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RRG\Desktop\Тех.режим 2024\"/>
    </mc:Choice>
  </mc:AlternateContent>
  <xr:revisionPtr revIDLastSave="0" documentId="13_ncr:1_{26FA0029-7056-4F8B-96CB-7BD3B4DD1385}" xr6:coauthVersionLast="36" xr6:coauthVersionMax="36" xr10:uidLastSave="{00000000-0000-0000-0000-000000000000}"/>
  <bookViews>
    <workbookView xWindow="0" yWindow="0" windowWidth="28800" windowHeight="11325" tabRatio="815" firstSheet="56" activeTab="64" xr2:uid="{00000000-000D-0000-FFFF-FFFF00000000}"/>
  </bookViews>
  <sheets>
    <sheet name="Январь  2016" sheetId="40" r:id="rId1"/>
    <sheet name="Февраль  2016" sheetId="41" r:id="rId2"/>
    <sheet name="Март  2016" sheetId="39" r:id="rId3"/>
    <sheet name="Апрель  2016" sheetId="42" r:id="rId4"/>
    <sheet name="Май 2016" sheetId="45" r:id="rId5"/>
    <sheet name="Июнь 2016" sheetId="46" r:id="rId6"/>
    <sheet name="Июль 2016" sheetId="47" r:id="rId7"/>
    <sheet name="Август 2016 " sheetId="48" r:id="rId8"/>
    <sheet name="Сентябрь 2016" sheetId="49" r:id="rId9"/>
    <sheet name="Октябрь 2016" sheetId="50" r:id="rId10"/>
    <sheet name="Ноябрь 2016" sheetId="51" r:id="rId11"/>
    <sheet name="Декабрь 2016" sheetId="52" r:id="rId12"/>
    <sheet name="Январь 2017" sheetId="55" r:id="rId13"/>
    <sheet name="Февраль 2017" sheetId="54" r:id="rId14"/>
    <sheet name="Март 2017" sheetId="56" r:id="rId15"/>
    <sheet name="Апрель 2017" sheetId="57" r:id="rId16"/>
    <sheet name="Май 2017" sheetId="58" r:id="rId17"/>
    <sheet name="Июнь 2017" sheetId="59" r:id="rId18"/>
    <sheet name="Июль 2017" sheetId="60" r:id="rId19"/>
    <sheet name="Август 2017" sheetId="61" r:id="rId20"/>
    <sheet name="Сентябрь 2017" sheetId="62" r:id="rId21"/>
    <sheet name="Октябрь 2017" sheetId="64" r:id="rId22"/>
    <sheet name="Ноябрь 2017" sheetId="65" r:id="rId23"/>
    <sheet name="Декабрь 2017" sheetId="66" r:id="rId24"/>
    <sheet name="Январь 2018" sheetId="67" r:id="rId25"/>
    <sheet name="Февраль 2018" sheetId="63" r:id="rId26"/>
    <sheet name="Март 2018" sheetId="68" r:id="rId27"/>
    <sheet name="Апрель 2018" sheetId="69" r:id="rId28"/>
    <sheet name="Май 2018" sheetId="70" r:id="rId29"/>
    <sheet name="Июнь 2018" sheetId="71" r:id="rId30"/>
    <sheet name="Июль 2018" sheetId="72" r:id="rId31"/>
    <sheet name="Август 2018" sheetId="73" r:id="rId32"/>
    <sheet name="Сентябрь 2018" sheetId="74" r:id="rId33"/>
    <sheet name="Октябрь 2018" sheetId="75" r:id="rId34"/>
    <sheet name="Декабрь 2018" sheetId="76" r:id="rId35"/>
    <sheet name="Январь 2019" sheetId="77" r:id="rId36"/>
    <sheet name="Март2019" sheetId="78" r:id="rId37"/>
    <sheet name="Апрель2019" sheetId="79" r:id="rId38"/>
    <sheet name="Июнь 2019" sheetId="80" r:id="rId39"/>
    <sheet name="Октябрь 2019" sheetId="81" r:id="rId40"/>
    <sheet name="Январь 2020" sheetId="82" r:id="rId41"/>
    <sheet name="Февраль 2020" sheetId="83" r:id="rId42"/>
    <sheet name="Сентябрь 2021" sheetId="85" r:id="rId43"/>
    <sheet name="Ноябрь 2022 " sheetId="87" r:id="rId44"/>
    <sheet name="Декабрь 2022" sheetId="86" r:id="rId45"/>
    <sheet name="Январь 2023 " sheetId="89" r:id="rId46"/>
    <sheet name="Февраль 2023" sheetId="91" r:id="rId47"/>
    <sheet name="Март 2023 " sheetId="90" r:id="rId48"/>
    <sheet name="Март 2023  (2)" sheetId="93" r:id="rId49"/>
    <sheet name="Март 2023  (3)" sheetId="94" r:id="rId50"/>
    <sheet name="Апрель 2023" sheetId="95" r:id="rId51"/>
    <sheet name="Май 2023" sheetId="96" r:id="rId52"/>
    <sheet name="Июнь 2023" sheetId="97" r:id="rId53"/>
    <sheet name="Июль 2023" sheetId="98" r:id="rId54"/>
    <sheet name="Август 2023" sheetId="99" r:id="rId55"/>
    <sheet name="Сентябрь 2023" sheetId="100" r:id="rId56"/>
    <sheet name="Октябрь 2023" sheetId="101" r:id="rId57"/>
    <sheet name="Ноябрь 2023" sheetId="102" r:id="rId58"/>
    <sheet name="Декабрь 2023" sheetId="103" r:id="rId59"/>
    <sheet name="Январь 2024" sheetId="104" r:id="rId60"/>
    <sheet name="Март 2024" sheetId="105" r:id="rId61"/>
    <sheet name="Апрель 2024" sheetId="106" r:id="rId62"/>
    <sheet name="Май 2024" sheetId="107" r:id="rId63"/>
    <sheet name="Июнь 2024" sheetId="108" r:id="rId64"/>
    <sheet name="Июль 2024" sheetId="110" r:id="rId65"/>
    <sheet name="Лист1" sheetId="109" r:id="rId66"/>
  </sheets>
  <definedNames>
    <definedName name="_xlnm._FilterDatabase" localSheetId="54" hidden="1">'Август 2023'!$A$14:$AO$87</definedName>
    <definedName name="_xlnm._FilterDatabase" localSheetId="61" hidden="1">'Апрель 2024'!$A$12:$AO$91</definedName>
    <definedName name="_xlnm._FilterDatabase" localSheetId="58" hidden="1">'Декабрь 2023'!$A$14:$AO$87</definedName>
    <definedName name="_xlnm._FilterDatabase" localSheetId="53" hidden="1">'Июль 2023'!$A$14:$AO$87</definedName>
    <definedName name="_xlnm._FilterDatabase" localSheetId="64" hidden="1">'Июль 2024'!$A$11:$AO$111</definedName>
    <definedName name="_xlnm._FilterDatabase" localSheetId="52" hidden="1">'Июнь 2023'!$A$14:$AO$87</definedName>
    <definedName name="_xlnm._FilterDatabase" localSheetId="63" hidden="1">'Июнь 2024'!$A$12:$AO$91</definedName>
    <definedName name="_xlnm._FilterDatabase" localSheetId="51" hidden="1">'Май 2023'!$A$14:$AO$87</definedName>
    <definedName name="_xlnm._FilterDatabase" localSheetId="62" hidden="1">'Май 2024'!$A$12:$AO$90</definedName>
    <definedName name="_xlnm._FilterDatabase" localSheetId="60" hidden="1">'Март 2024'!$A$14:$AO$87</definedName>
    <definedName name="_xlnm._FilterDatabase" localSheetId="57" hidden="1">'Ноябрь 2023'!$A$14:$AO$87</definedName>
    <definedName name="_xlnm._FilterDatabase" localSheetId="56" hidden="1">'Октябрь 2023'!$A$14:$AO$87</definedName>
    <definedName name="_xlnm._FilterDatabase" localSheetId="55" hidden="1">'Сентябрь 2023'!$A$14:$AO$87</definedName>
    <definedName name="_xlnm._FilterDatabase" localSheetId="59" hidden="1">'Январь 2024'!$A$14:$AO$87</definedName>
    <definedName name="_xlnm.Print_Titles" localSheetId="54">'Август 2023'!$16:$18</definedName>
    <definedName name="_xlnm.Print_Titles" localSheetId="50">'Апрель 2023'!$16:$18</definedName>
    <definedName name="_xlnm.Print_Titles" localSheetId="61">'Апрель 2024'!$14:$16</definedName>
    <definedName name="_xlnm.Print_Titles" localSheetId="44">'Декабрь 2022'!$13:$15</definedName>
    <definedName name="_xlnm.Print_Titles" localSheetId="58">'Декабрь 2023'!$16:$18</definedName>
    <definedName name="_xlnm.Print_Titles" localSheetId="53">'Июль 2023'!$16:$18</definedName>
    <definedName name="_xlnm.Print_Titles" localSheetId="64">'Июль 2024'!$14:$16</definedName>
    <definedName name="_xlnm.Print_Titles" localSheetId="52">'Июнь 2023'!$16:$18</definedName>
    <definedName name="_xlnm.Print_Titles" localSheetId="63">'Июнь 2024'!$14:$16</definedName>
    <definedName name="_xlnm.Print_Titles" localSheetId="51">'Май 2023'!$16:$18</definedName>
    <definedName name="_xlnm.Print_Titles" localSheetId="62">'Май 2024'!$14:$16</definedName>
    <definedName name="_xlnm.Print_Titles" localSheetId="47">'Март 2023 '!$16:$18</definedName>
    <definedName name="_xlnm.Print_Titles" localSheetId="48">'Март 2023  (2)'!$16:$18</definedName>
    <definedName name="_xlnm.Print_Titles" localSheetId="49">'Март 2023  (3)'!$16:$18</definedName>
    <definedName name="_xlnm.Print_Titles" localSheetId="60">'Март 2024'!$16:$18</definedName>
    <definedName name="_xlnm.Print_Titles" localSheetId="57">'Ноябрь 2023'!$16:$18</definedName>
    <definedName name="_xlnm.Print_Titles" localSheetId="56">'Октябрь 2023'!$16:$18</definedName>
    <definedName name="_xlnm.Print_Titles" localSheetId="55">'Сентябрь 2023'!$16:$18</definedName>
    <definedName name="_xlnm.Print_Titles" localSheetId="46">'Февраль 2023'!$10:$12</definedName>
    <definedName name="_xlnm.Print_Titles" localSheetId="45">'Январь 2023 '!$12:$14</definedName>
    <definedName name="_xlnm.Print_Titles" localSheetId="59">'Январь 2024'!$16:$18</definedName>
    <definedName name="_xlnm.Print_Area" localSheetId="3">'Апрель  2016'!$A$1:$AF$110</definedName>
    <definedName name="_xlnm.Print_Area" localSheetId="2">'Март  2016'!$A$1:$AF$110</definedName>
    <definedName name="_xlnm.Print_Area" localSheetId="1">'Февраль  2016'!$A$1:$AF$110</definedName>
    <definedName name="_xlnm.Print_Area" localSheetId="0">'Январь  2016'!$A$1:$AF$110</definedName>
  </definedNames>
  <calcPr calcId="191029"/>
</workbook>
</file>

<file path=xl/calcChain.xml><?xml version="1.0" encoding="utf-8"?>
<calcChain xmlns="http://schemas.openxmlformats.org/spreadsheetml/2006/main">
  <c r="AC86" i="110" l="1"/>
  <c r="AC83" i="110"/>
  <c r="AC79" i="110"/>
  <c r="AC63" i="110"/>
  <c r="AC17" i="110"/>
  <c r="AD17" i="110"/>
  <c r="AD83" i="110"/>
  <c r="AD86" i="110"/>
  <c r="AD63" i="110"/>
  <c r="AD79" i="110"/>
  <c r="AB63" i="110"/>
  <c r="Q63" i="110"/>
  <c r="Y63" i="110" s="1"/>
  <c r="U63" i="110"/>
  <c r="V63" i="110"/>
  <c r="AI63" i="110" l="1"/>
  <c r="P63" i="110" s="1"/>
  <c r="Q79" i="110" l="1"/>
  <c r="AB56" i="110" l="1"/>
  <c r="AB57" i="110"/>
  <c r="AA56" i="110"/>
  <c r="AD56" i="110" s="1"/>
  <c r="AA57" i="110"/>
  <c r="Z56" i="110"/>
  <c r="Z57" i="110"/>
  <c r="AB55" i="110"/>
  <c r="AA55" i="110"/>
  <c r="Z55" i="110"/>
  <c r="AB84" i="110"/>
  <c r="AA84" i="110"/>
  <c r="Z84" i="110"/>
  <c r="Q84" i="110"/>
  <c r="U84" i="110"/>
  <c r="AC84" i="110" s="1"/>
  <c r="V84" i="110"/>
  <c r="AD84" i="110" s="1"/>
  <c r="AA81" i="110"/>
  <c r="Z81" i="110"/>
  <c r="AB80" i="110"/>
  <c r="AA80" i="110"/>
  <c r="Z80" i="110"/>
  <c r="AB79" i="110"/>
  <c r="AD55" i="110" l="1"/>
  <c r="AD57" i="110"/>
  <c r="Q57" i="110"/>
  <c r="Y57" i="110" s="1"/>
  <c r="Q55" i="110"/>
  <c r="Y55" i="110" s="1"/>
  <c r="AE53" i="110"/>
  <c r="AE84" i="110" l="1"/>
  <c r="AF84" i="110" s="1"/>
  <c r="AE80" i="110"/>
  <c r="AF79" i="110"/>
  <c r="AE64" i="110"/>
  <c r="AE57" i="110"/>
  <c r="AF57" i="110" s="1"/>
  <c r="AE56" i="110"/>
  <c r="AE55" i="110"/>
  <c r="AF55" i="110" s="1"/>
  <c r="AE43" i="110"/>
  <c r="AF43" i="110" s="1"/>
  <c r="T103" i="110"/>
  <c r="S103" i="110"/>
  <c r="R103" i="110"/>
  <c r="Y102" i="110"/>
  <c r="U102" i="110"/>
  <c r="Q102" i="110"/>
  <c r="Y101" i="110"/>
  <c r="U101" i="110"/>
  <c r="Q101" i="110"/>
  <c r="Y100" i="110"/>
  <c r="Y99" i="110"/>
  <c r="AE98" i="110"/>
  <c r="AB98" i="110"/>
  <c r="AA98" i="110"/>
  <c r="Z98" i="110"/>
  <c r="V98" i="110"/>
  <c r="AD98" i="110" s="1"/>
  <c r="U98" i="110"/>
  <c r="AC98" i="110" s="1"/>
  <c r="Q98" i="110"/>
  <c r="Y98" i="110" s="1"/>
  <c r="AE97" i="110"/>
  <c r="AB97" i="110"/>
  <c r="AA97" i="110"/>
  <c r="Z97" i="110"/>
  <c r="V97" i="110"/>
  <c r="AD97" i="110" s="1"/>
  <c r="U97" i="110"/>
  <c r="AC97" i="110" s="1"/>
  <c r="Q97" i="110"/>
  <c r="Y97" i="110" s="1"/>
  <c r="AE96" i="110"/>
  <c r="AB96" i="110"/>
  <c r="AA96" i="110"/>
  <c r="Z96" i="110"/>
  <c r="V96" i="110"/>
  <c r="AD96" i="110" s="1"/>
  <c r="U96" i="110"/>
  <c r="AC96" i="110" s="1"/>
  <c r="Q96" i="110"/>
  <c r="Y96" i="110" s="1"/>
  <c r="AE95" i="110"/>
  <c r="AB95" i="110"/>
  <c r="AA95" i="110"/>
  <c r="Z95" i="110"/>
  <c r="V95" i="110"/>
  <c r="AI95" i="110" s="1"/>
  <c r="P95" i="110" s="1"/>
  <c r="U95" i="110"/>
  <c r="AC95" i="110" s="1"/>
  <c r="Q95" i="110"/>
  <c r="Y95" i="110" s="1"/>
  <c r="AE94" i="110"/>
  <c r="AB94" i="110"/>
  <c r="AA94" i="110"/>
  <c r="Z94" i="110"/>
  <c r="V94" i="110"/>
  <c r="AI94" i="110" s="1"/>
  <c r="P94" i="110" s="1"/>
  <c r="U94" i="110"/>
  <c r="AC94" i="110" s="1"/>
  <c r="Q94" i="110"/>
  <c r="Y94" i="110" s="1"/>
  <c r="AE93" i="110"/>
  <c r="AB93" i="110"/>
  <c r="AA93" i="110"/>
  <c r="Z93" i="110"/>
  <c r="V93" i="110"/>
  <c r="AD93" i="110" s="1"/>
  <c r="U93" i="110"/>
  <c r="Q93" i="110"/>
  <c r="Y93" i="110" s="1"/>
  <c r="AI91" i="110"/>
  <c r="AD91" i="110"/>
  <c r="AC91" i="110"/>
  <c r="AB91" i="110"/>
  <c r="AA91" i="110"/>
  <c r="Z91" i="110"/>
  <c r="AF91" i="110" s="1"/>
  <c r="Y91" i="110"/>
  <c r="AI90" i="110"/>
  <c r="AD90" i="110"/>
  <c r="AC90" i="110"/>
  <c r="AB90" i="110"/>
  <c r="AA90" i="110"/>
  <c r="Z90" i="110"/>
  <c r="AF90" i="110" s="1"/>
  <c r="Y90" i="110"/>
  <c r="AI89" i="110"/>
  <c r="AD89" i="110"/>
  <c r="AC89" i="110"/>
  <c r="AB89" i="110"/>
  <c r="AA89" i="110"/>
  <c r="Z89" i="110"/>
  <c r="AF89" i="110" s="1"/>
  <c r="Y89" i="110"/>
  <c r="T87" i="110"/>
  <c r="T113" i="110" s="1"/>
  <c r="S87" i="110"/>
  <c r="R87" i="110"/>
  <c r="AB86" i="110"/>
  <c r="AF86" i="110"/>
  <c r="V86" i="110"/>
  <c r="U86" i="110"/>
  <c r="Q86" i="110"/>
  <c r="Y86" i="110" s="1"/>
  <c r="AE85" i="110"/>
  <c r="AB85" i="110"/>
  <c r="AA85" i="110"/>
  <c r="Z85" i="110"/>
  <c r="V85" i="110"/>
  <c r="AI85" i="110" s="1"/>
  <c r="P85" i="110" s="1"/>
  <c r="U85" i="110"/>
  <c r="AC85" i="110" s="1"/>
  <c r="Q85" i="110"/>
  <c r="Y85" i="110" s="1"/>
  <c r="AI84" i="110"/>
  <c r="P84" i="110" s="1"/>
  <c r="Y84" i="110"/>
  <c r="AF83" i="110"/>
  <c r="V83" i="110"/>
  <c r="U83" i="110"/>
  <c r="Q83" i="110"/>
  <c r="Y83" i="110" s="1"/>
  <c r="AI82" i="110"/>
  <c r="P82" i="110" s="1"/>
  <c r="AE81" i="110"/>
  <c r="AF81" i="110" s="1"/>
  <c r="AB81" i="110"/>
  <c r="V81" i="110"/>
  <c r="AI81" i="110" s="1"/>
  <c r="P81" i="110" s="1"/>
  <c r="U81" i="110"/>
  <c r="AC81" i="110" s="1"/>
  <c r="Q81" i="110"/>
  <c r="Y81" i="110" s="1"/>
  <c r="AF80" i="110"/>
  <c r="V80" i="110"/>
  <c r="AD80" i="110" s="1"/>
  <c r="U80" i="110"/>
  <c r="AC80" i="110" s="1"/>
  <c r="Q80" i="110"/>
  <c r="Y80" i="110" s="1"/>
  <c r="V79" i="110"/>
  <c r="U79" i="110"/>
  <c r="Y79" i="110"/>
  <c r="AE78" i="110"/>
  <c r="AB78" i="110"/>
  <c r="AA78" i="110"/>
  <c r="Z78" i="110"/>
  <c r="V78" i="110"/>
  <c r="AI78" i="110" s="1"/>
  <c r="P78" i="110" s="1"/>
  <c r="U78" i="110"/>
  <c r="AC78" i="110" s="1"/>
  <c r="Q78" i="110"/>
  <c r="Y78" i="110" s="1"/>
  <c r="AE77" i="110"/>
  <c r="AB77" i="110"/>
  <c r="AA77" i="110"/>
  <c r="Z77" i="110"/>
  <c r="V77" i="110"/>
  <c r="AI77" i="110" s="1"/>
  <c r="P77" i="110" s="1"/>
  <c r="U77" i="110"/>
  <c r="AC77" i="110" s="1"/>
  <c r="Q77" i="110"/>
  <c r="Y77" i="110" s="1"/>
  <c r="AE76" i="110"/>
  <c r="AB76" i="110"/>
  <c r="AA76" i="110"/>
  <c r="Z76" i="110"/>
  <c r="V76" i="110"/>
  <c r="AD76" i="110" s="1"/>
  <c r="U76" i="110"/>
  <c r="AC76" i="110" s="1"/>
  <c r="Q76" i="110"/>
  <c r="Y76" i="110" s="1"/>
  <c r="AI75" i="110"/>
  <c r="P75" i="110" s="1"/>
  <c r="Y75" i="110"/>
  <c r="AE74" i="110"/>
  <c r="AB74" i="110"/>
  <c r="AA74" i="110"/>
  <c r="Z74" i="110"/>
  <c r="V74" i="110"/>
  <c r="AD74" i="110" s="1"/>
  <c r="U74" i="110"/>
  <c r="AC74" i="110" s="1"/>
  <c r="Q74" i="110"/>
  <c r="Y74" i="110" s="1"/>
  <c r="AE73" i="110"/>
  <c r="AB73" i="110"/>
  <c r="AA73" i="110"/>
  <c r="Z73" i="110"/>
  <c r="V73" i="110"/>
  <c r="AD73" i="110" s="1"/>
  <c r="U73" i="110"/>
  <c r="AC73" i="110" s="1"/>
  <c r="Q73" i="110"/>
  <c r="Y73" i="110" s="1"/>
  <c r="AE72" i="110"/>
  <c r="AB72" i="110"/>
  <c r="AA72" i="110"/>
  <c r="Z72" i="110"/>
  <c r="V72" i="110"/>
  <c r="AI72" i="110" s="1"/>
  <c r="P72" i="110" s="1"/>
  <c r="U72" i="110"/>
  <c r="Q72" i="110"/>
  <c r="Y72" i="110" s="1"/>
  <c r="AE71" i="110"/>
  <c r="AB71" i="110"/>
  <c r="AA71" i="110"/>
  <c r="Z71" i="110"/>
  <c r="V71" i="110"/>
  <c r="AD71" i="110" s="1"/>
  <c r="U71" i="110"/>
  <c r="AC71" i="110" s="1"/>
  <c r="Q71" i="110"/>
  <c r="Y71" i="110" s="1"/>
  <c r="AB70" i="110"/>
  <c r="AA70" i="110"/>
  <c r="Z70" i="110"/>
  <c r="AF70" i="110" s="1"/>
  <c r="Y70" i="110"/>
  <c r="V70" i="110"/>
  <c r="AD70" i="110" s="1"/>
  <c r="U70" i="110"/>
  <c r="AC70" i="110" s="1"/>
  <c r="Q70" i="110"/>
  <c r="AE69" i="110"/>
  <c r="AB69" i="110"/>
  <c r="AA69" i="110"/>
  <c r="Z69" i="110"/>
  <c r="V69" i="110"/>
  <c r="AD69" i="110" s="1"/>
  <c r="U69" i="110"/>
  <c r="AC69" i="110" s="1"/>
  <c r="Q69" i="110"/>
  <c r="Y69" i="110" s="1"/>
  <c r="AE68" i="110"/>
  <c r="AB68" i="110"/>
  <c r="AA68" i="110"/>
  <c r="Z68" i="110"/>
  <c r="V68" i="110"/>
  <c r="AI68" i="110" s="1"/>
  <c r="P68" i="110" s="1"/>
  <c r="U68" i="110"/>
  <c r="AC68" i="110" s="1"/>
  <c r="Q68" i="110"/>
  <c r="Y68" i="110" s="1"/>
  <c r="AE67" i="110"/>
  <c r="AB67" i="110"/>
  <c r="AA67" i="110"/>
  <c r="Z67" i="110"/>
  <c r="V67" i="110"/>
  <c r="AD67" i="110" s="1"/>
  <c r="U67" i="110"/>
  <c r="AC67" i="110" s="1"/>
  <c r="Q67" i="110"/>
  <c r="Y67" i="110" s="1"/>
  <c r="AE66" i="110"/>
  <c r="AB66" i="110"/>
  <c r="AA66" i="110"/>
  <c r="Z66" i="110"/>
  <c r="AF66" i="110" s="1"/>
  <c r="V66" i="110"/>
  <c r="AD66" i="110" s="1"/>
  <c r="U66" i="110"/>
  <c r="AC66" i="110" s="1"/>
  <c r="Q66" i="110"/>
  <c r="Y66" i="110" s="1"/>
  <c r="AE65" i="110"/>
  <c r="AB65" i="110"/>
  <c r="AA65" i="110"/>
  <c r="Z65" i="110"/>
  <c r="V65" i="110"/>
  <c r="AD65" i="110" s="1"/>
  <c r="U65" i="110"/>
  <c r="AC65" i="110" s="1"/>
  <c r="Q65" i="110"/>
  <c r="Y65" i="110" s="1"/>
  <c r="AB64" i="110"/>
  <c r="AA64" i="110"/>
  <c r="Z64" i="110"/>
  <c r="V64" i="110"/>
  <c r="AI64" i="110" s="1"/>
  <c r="P64" i="110" s="1"/>
  <c r="U64" i="110"/>
  <c r="AC64" i="110" s="1"/>
  <c r="Q64" i="110"/>
  <c r="Y64" i="110" s="1"/>
  <c r="AF63" i="110"/>
  <c r="AE62" i="110"/>
  <c r="AB62" i="110"/>
  <c r="AA62" i="110"/>
  <c r="Z62" i="110"/>
  <c r="V62" i="110"/>
  <c r="AD62" i="110" s="1"/>
  <c r="U62" i="110"/>
  <c r="AC62" i="110" s="1"/>
  <c r="Q62" i="110"/>
  <c r="Y62" i="110" s="1"/>
  <c r="AE61" i="110"/>
  <c r="AB61" i="110"/>
  <c r="AA61" i="110"/>
  <c r="Z61" i="110"/>
  <c r="V61" i="110"/>
  <c r="AI61" i="110" s="1"/>
  <c r="P61" i="110" s="1"/>
  <c r="U61" i="110"/>
  <c r="AC61" i="110" s="1"/>
  <c r="Q61" i="110"/>
  <c r="Y61" i="110" s="1"/>
  <c r="AE60" i="110"/>
  <c r="AB60" i="110"/>
  <c r="AA60" i="110"/>
  <c r="Z60" i="110"/>
  <c r="V60" i="110"/>
  <c r="AD60" i="110" s="1"/>
  <c r="U60" i="110"/>
  <c r="AC60" i="110" s="1"/>
  <c r="Q60" i="110"/>
  <c r="Y60" i="110" s="1"/>
  <c r="AF59" i="110"/>
  <c r="V59" i="110"/>
  <c r="AI59" i="110" s="1"/>
  <c r="P59" i="110" s="1"/>
  <c r="U59" i="110"/>
  <c r="Q59" i="110"/>
  <c r="AF58" i="110"/>
  <c r="V58" i="110"/>
  <c r="AI58" i="110" s="1"/>
  <c r="P58" i="110" s="1"/>
  <c r="U58" i="110"/>
  <c r="Q58" i="110"/>
  <c r="V57" i="110"/>
  <c r="AI57" i="110" s="1"/>
  <c r="P57" i="110" s="1"/>
  <c r="U57" i="110"/>
  <c r="AC57" i="110" s="1"/>
  <c r="AF56" i="110"/>
  <c r="V56" i="110"/>
  <c r="AI56" i="110" s="1"/>
  <c r="P56" i="110" s="1"/>
  <c r="U56" i="110"/>
  <c r="AC56" i="110" s="1"/>
  <c r="Q56" i="110"/>
  <c r="Y56" i="110" s="1"/>
  <c r="V55" i="110"/>
  <c r="AI55" i="110" s="1"/>
  <c r="P55" i="110" s="1"/>
  <c r="U55" i="110"/>
  <c r="AC55" i="110" s="1"/>
  <c r="AI54" i="110"/>
  <c r="AB53" i="110"/>
  <c r="AA53" i="110"/>
  <c r="Z53" i="110"/>
  <c r="AF53" i="110" s="1"/>
  <c r="V53" i="110"/>
  <c r="AI53" i="110" s="1"/>
  <c r="P53" i="110" s="1"/>
  <c r="U53" i="110"/>
  <c r="AC53" i="110" s="1"/>
  <c r="Q53" i="110"/>
  <c r="Y53" i="110" s="1"/>
  <c r="AI52" i="110"/>
  <c r="P52" i="110" s="1"/>
  <c r="Y52" i="110"/>
  <c r="AE51" i="110"/>
  <c r="AB51" i="110"/>
  <c r="AA51" i="110"/>
  <c r="Z51" i="110"/>
  <c r="V51" i="110"/>
  <c r="AI51" i="110" s="1"/>
  <c r="P51" i="110" s="1"/>
  <c r="U51" i="110"/>
  <c r="AC51" i="110" s="1"/>
  <c r="Q51" i="110"/>
  <c r="Y51" i="110" s="1"/>
  <c r="AI50" i="110"/>
  <c r="P50" i="110" s="1"/>
  <c r="Y50" i="110"/>
  <c r="AE49" i="110"/>
  <c r="AB49" i="110"/>
  <c r="AA49" i="110"/>
  <c r="Z49" i="110"/>
  <c r="V49" i="110"/>
  <c r="AI49" i="110" s="1"/>
  <c r="P49" i="110" s="1"/>
  <c r="U49" i="110"/>
  <c r="AC49" i="110" s="1"/>
  <c r="Q49" i="110"/>
  <c r="Y49" i="110" s="1"/>
  <c r="AE48" i="110"/>
  <c r="AB48" i="110"/>
  <c r="AA48" i="110"/>
  <c r="Z48" i="110"/>
  <c r="V48" i="110"/>
  <c r="AD48" i="110" s="1"/>
  <c r="U48" i="110"/>
  <c r="AC48" i="110" s="1"/>
  <c r="Q48" i="110"/>
  <c r="Y48" i="110" s="1"/>
  <c r="AE47" i="110"/>
  <c r="AB47" i="110"/>
  <c r="AA47" i="110"/>
  <c r="Z47" i="110"/>
  <c r="V47" i="110"/>
  <c r="U47" i="110"/>
  <c r="AC47" i="110" s="1"/>
  <c r="Q47" i="110"/>
  <c r="Y47" i="110" s="1"/>
  <c r="AE46" i="110"/>
  <c r="AB46" i="110"/>
  <c r="AA46" i="110"/>
  <c r="Z46" i="110"/>
  <c r="V46" i="110"/>
  <c r="AI46" i="110" s="1"/>
  <c r="P46" i="110" s="1"/>
  <c r="U46" i="110"/>
  <c r="AC46" i="110" s="1"/>
  <c r="Q46" i="110"/>
  <c r="Y46" i="110" s="1"/>
  <c r="AE45" i="110"/>
  <c r="AB45" i="110"/>
  <c r="AA45" i="110"/>
  <c r="Z45" i="110"/>
  <c r="V45" i="110"/>
  <c r="AI45" i="110" s="1"/>
  <c r="P45" i="110" s="1"/>
  <c r="U45" i="110"/>
  <c r="AC45" i="110" s="1"/>
  <c r="Q45" i="110"/>
  <c r="Y45" i="110" s="1"/>
  <c r="AE44" i="110"/>
  <c r="AB44" i="110"/>
  <c r="AA44" i="110"/>
  <c r="Z44" i="110"/>
  <c r="V44" i="110"/>
  <c r="AD44" i="110" s="1"/>
  <c r="U44" i="110"/>
  <c r="AC44" i="110" s="1"/>
  <c r="Q44" i="110"/>
  <c r="Y44" i="110" s="1"/>
  <c r="AB43" i="110"/>
  <c r="AA43" i="110"/>
  <c r="Z43" i="110"/>
  <c r="Y43" i="110"/>
  <c r="V43" i="110"/>
  <c r="AD43" i="110" s="1"/>
  <c r="U43" i="110"/>
  <c r="AC43" i="110" s="1"/>
  <c r="Q43" i="110"/>
  <c r="AI42" i="110"/>
  <c r="Y42" i="110"/>
  <c r="AE41" i="110"/>
  <c r="AB41" i="110"/>
  <c r="AA41" i="110"/>
  <c r="Z41" i="110"/>
  <c r="V41" i="110"/>
  <c r="AI41" i="110" s="1"/>
  <c r="P41" i="110" s="1"/>
  <c r="U41" i="110"/>
  <c r="AC41" i="110" s="1"/>
  <c r="Q41" i="110"/>
  <c r="Y41" i="110" s="1"/>
  <c r="AE40" i="110"/>
  <c r="AB40" i="110"/>
  <c r="AA40" i="110"/>
  <c r="Z40" i="110"/>
  <c r="V40" i="110"/>
  <c r="AD40" i="110" s="1"/>
  <c r="U40" i="110"/>
  <c r="AC40" i="110" s="1"/>
  <c r="Q40" i="110"/>
  <c r="Y40" i="110" s="1"/>
  <c r="AE39" i="110"/>
  <c r="AB39" i="110"/>
  <c r="AA39" i="110"/>
  <c r="Z39" i="110"/>
  <c r="V39" i="110"/>
  <c r="AI39" i="110" s="1"/>
  <c r="P39" i="110" s="1"/>
  <c r="U39" i="110"/>
  <c r="AC39" i="110" s="1"/>
  <c r="Q39" i="110"/>
  <c r="Y39" i="110" s="1"/>
  <c r="AE38" i="110"/>
  <c r="AB38" i="110"/>
  <c r="AA38" i="110"/>
  <c r="Z38" i="110"/>
  <c r="V38" i="110"/>
  <c r="AI38" i="110" s="1"/>
  <c r="P38" i="110" s="1"/>
  <c r="U38" i="110"/>
  <c r="AC38" i="110" s="1"/>
  <c r="Q38" i="110"/>
  <c r="Y38" i="110" s="1"/>
  <c r="AE37" i="110"/>
  <c r="AB37" i="110"/>
  <c r="AA37" i="110"/>
  <c r="Z37" i="110"/>
  <c r="V37" i="110"/>
  <c r="AI37" i="110" s="1"/>
  <c r="P37" i="110" s="1"/>
  <c r="U37" i="110"/>
  <c r="AC37" i="110" s="1"/>
  <c r="Q37" i="110"/>
  <c r="Y37" i="110" s="1"/>
  <c r="AE36" i="110"/>
  <c r="AB36" i="110"/>
  <c r="AA36" i="110"/>
  <c r="Z36" i="110"/>
  <c r="V36" i="110"/>
  <c r="AD36" i="110" s="1"/>
  <c r="U36" i="110"/>
  <c r="AC36" i="110" s="1"/>
  <c r="Q36" i="110"/>
  <c r="Y36" i="110" s="1"/>
  <c r="AE35" i="110"/>
  <c r="AB35" i="110"/>
  <c r="AA35" i="110"/>
  <c r="Z35" i="110"/>
  <c r="V35" i="110"/>
  <c r="AD35" i="110" s="1"/>
  <c r="U35" i="110"/>
  <c r="AC35" i="110" s="1"/>
  <c r="Q35" i="110"/>
  <c r="Y35" i="110" s="1"/>
  <c r="AE34" i="110"/>
  <c r="AB34" i="110"/>
  <c r="AA34" i="110"/>
  <c r="Z34" i="110"/>
  <c r="V34" i="110"/>
  <c r="AI34" i="110" s="1"/>
  <c r="P34" i="110" s="1"/>
  <c r="U34" i="110"/>
  <c r="AC34" i="110" s="1"/>
  <c r="Q34" i="110"/>
  <c r="Y34" i="110" s="1"/>
  <c r="AE33" i="110"/>
  <c r="AB33" i="110"/>
  <c r="AA33" i="110"/>
  <c r="Z33" i="110"/>
  <c r="V33" i="110"/>
  <c r="AI33" i="110" s="1"/>
  <c r="P33" i="110" s="1"/>
  <c r="U33" i="110"/>
  <c r="AC33" i="110" s="1"/>
  <c r="Q33" i="110"/>
  <c r="Y33" i="110" s="1"/>
  <c r="AF32" i="110"/>
  <c r="AD32" i="110"/>
  <c r="AC32" i="110"/>
  <c r="Y32" i="110"/>
  <c r="V32" i="110"/>
  <c r="AI32" i="110" s="1"/>
  <c r="P32" i="110" s="1"/>
  <c r="U32" i="110"/>
  <c r="Q32" i="110"/>
  <c r="AE31" i="110"/>
  <c r="AB31" i="110"/>
  <c r="AA31" i="110"/>
  <c r="Z31" i="110"/>
  <c r="V31" i="110"/>
  <c r="AD31" i="110" s="1"/>
  <c r="U31" i="110"/>
  <c r="AC31" i="110" s="1"/>
  <c r="Q31" i="110"/>
  <c r="Y31" i="110" s="1"/>
  <c r="AE30" i="110"/>
  <c r="AB30" i="110"/>
  <c r="AA30" i="110"/>
  <c r="Z30" i="110"/>
  <c r="V30" i="110"/>
  <c r="AD30" i="110" s="1"/>
  <c r="U30" i="110"/>
  <c r="AC30" i="110" s="1"/>
  <c r="Q30" i="110"/>
  <c r="Y30" i="110" s="1"/>
  <c r="AE29" i="110"/>
  <c r="AB29" i="110"/>
  <c r="AA29" i="110"/>
  <c r="Z29" i="110"/>
  <c r="V29" i="110"/>
  <c r="AI29" i="110" s="1"/>
  <c r="P29" i="110" s="1"/>
  <c r="U29" i="110"/>
  <c r="AC29" i="110" s="1"/>
  <c r="Q29" i="110"/>
  <c r="Y29" i="110" s="1"/>
  <c r="AE28" i="110"/>
  <c r="AB28" i="110"/>
  <c r="AA28" i="110"/>
  <c r="Z28" i="110"/>
  <c r="V28" i="110"/>
  <c r="AD28" i="110" s="1"/>
  <c r="U28" i="110"/>
  <c r="AC28" i="110" s="1"/>
  <c r="Q28" i="110"/>
  <c r="Y28" i="110" s="1"/>
  <c r="AE27" i="110"/>
  <c r="AB27" i="110"/>
  <c r="AA27" i="110"/>
  <c r="Z27" i="110"/>
  <c r="V27" i="110"/>
  <c r="AI27" i="110" s="1"/>
  <c r="P27" i="110" s="1"/>
  <c r="U27" i="110"/>
  <c r="AC27" i="110" s="1"/>
  <c r="Q27" i="110"/>
  <c r="Y27" i="110" s="1"/>
  <c r="AE26" i="110"/>
  <c r="AB26" i="110"/>
  <c r="AA26" i="110"/>
  <c r="Z26" i="110"/>
  <c r="V26" i="110"/>
  <c r="AD26" i="110" s="1"/>
  <c r="U26" i="110"/>
  <c r="AC26" i="110" s="1"/>
  <c r="Q26" i="110"/>
  <c r="Y26" i="110" s="1"/>
  <c r="AE25" i="110"/>
  <c r="AB25" i="110"/>
  <c r="AA25" i="110"/>
  <c r="Z25" i="110"/>
  <c r="V25" i="110"/>
  <c r="AD25" i="110" s="1"/>
  <c r="U25" i="110"/>
  <c r="AC25" i="110" s="1"/>
  <c r="Q25" i="110"/>
  <c r="Y25" i="110" s="1"/>
  <c r="AE24" i="110"/>
  <c r="AB24" i="110"/>
  <c r="AA24" i="110"/>
  <c r="Z24" i="110"/>
  <c r="V24" i="110"/>
  <c r="AD24" i="110" s="1"/>
  <c r="U24" i="110"/>
  <c r="AC24" i="110" s="1"/>
  <c r="Q24" i="110"/>
  <c r="Y24" i="110" s="1"/>
  <c r="AE23" i="110"/>
  <c r="AB23" i="110"/>
  <c r="AA23" i="110"/>
  <c r="Z23" i="110"/>
  <c r="V23" i="110"/>
  <c r="AI23" i="110" s="1"/>
  <c r="P23" i="110" s="1"/>
  <c r="U23" i="110"/>
  <c r="AC23" i="110" s="1"/>
  <c r="Q23" i="110"/>
  <c r="Y23" i="110" s="1"/>
  <c r="AN22" i="110"/>
  <c r="AE22" i="110"/>
  <c r="AB22" i="110"/>
  <c r="AA22" i="110"/>
  <c r="Z22" i="110"/>
  <c r="V22" i="110"/>
  <c r="AD22" i="110" s="1"/>
  <c r="U22" i="110"/>
  <c r="AC22" i="110" s="1"/>
  <c r="Q22" i="110"/>
  <c r="Y22" i="110" s="1"/>
  <c r="AE21" i="110"/>
  <c r="AB21" i="110"/>
  <c r="AA21" i="110"/>
  <c r="Z21" i="110"/>
  <c r="V21" i="110"/>
  <c r="AD21" i="110" s="1"/>
  <c r="U21" i="110"/>
  <c r="AC21" i="110" s="1"/>
  <c r="Q21" i="110"/>
  <c r="Y21" i="110" s="1"/>
  <c r="AE20" i="110"/>
  <c r="AB20" i="110"/>
  <c r="AA20" i="110"/>
  <c r="Z20" i="110"/>
  <c r="V20" i="110"/>
  <c r="AI20" i="110" s="1"/>
  <c r="P20" i="110" s="1"/>
  <c r="U20" i="110"/>
  <c r="AC20" i="110" s="1"/>
  <c r="Q20" i="110"/>
  <c r="Y20" i="110" s="1"/>
  <c r="AE19" i="110"/>
  <c r="AB19" i="110"/>
  <c r="AA19" i="110"/>
  <c r="Z19" i="110"/>
  <c r="V19" i="110"/>
  <c r="AD19" i="110" s="1"/>
  <c r="U19" i="110"/>
  <c r="AC19" i="110" s="1"/>
  <c r="Q19" i="110"/>
  <c r="Y19" i="110" s="1"/>
  <c r="AI18" i="110"/>
  <c r="Y18" i="110"/>
  <c r="AM17" i="110"/>
  <c r="AB17" i="110"/>
  <c r="V17" i="110"/>
  <c r="U17" i="110"/>
  <c r="Q17" i="110"/>
  <c r="Y17" i="110" s="1"/>
  <c r="AF69" i="110" l="1"/>
  <c r="AF47" i="110"/>
  <c r="AF28" i="110"/>
  <c r="AF33" i="110"/>
  <c r="AF39" i="110"/>
  <c r="AF26" i="110"/>
  <c r="AF27" i="110"/>
  <c r="AF45" i="110"/>
  <c r="AI71" i="110"/>
  <c r="P71" i="110" s="1"/>
  <c r="AF76" i="110"/>
  <c r="R113" i="110"/>
  <c r="AF21" i="110"/>
  <c r="AF98" i="110"/>
  <c r="AF37" i="110"/>
  <c r="AF48" i="110"/>
  <c r="AF64" i="110"/>
  <c r="AI98" i="110"/>
  <c r="P98" i="110" s="1"/>
  <c r="AF36" i="110"/>
  <c r="AF41" i="110"/>
  <c r="AF44" i="110"/>
  <c r="AD51" i="110"/>
  <c r="AF68" i="110"/>
  <c r="AI79" i="110"/>
  <c r="P79" i="110" s="1"/>
  <c r="AF94" i="110"/>
  <c r="AI21" i="110"/>
  <c r="P21" i="110" s="1"/>
  <c r="AF23" i="110"/>
  <c r="AF24" i="110"/>
  <c r="AF29" i="110"/>
  <c r="AD34" i="110"/>
  <c r="AF38" i="110"/>
  <c r="AF46" i="110"/>
  <c r="AF60" i="110"/>
  <c r="AI62" i="110"/>
  <c r="P62" i="110" s="1"/>
  <c r="AB103" i="110"/>
  <c r="S113" i="110"/>
  <c r="AF97" i="110"/>
  <c r="AF96" i="110"/>
  <c r="AD95" i="110"/>
  <c r="AA103" i="110"/>
  <c r="U103" i="110"/>
  <c r="AD94" i="110"/>
  <c r="Z103" i="110"/>
  <c r="AF93" i="110"/>
  <c r="AD85" i="110"/>
  <c r="AI80" i="110"/>
  <c r="P80" i="110" s="1"/>
  <c r="AD78" i="110"/>
  <c r="AD77" i="110"/>
  <c r="AF74" i="110"/>
  <c r="AF73" i="110"/>
  <c r="AI73" i="110"/>
  <c r="P73" i="110" s="1"/>
  <c r="AF71" i="110"/>
  <c r="AI69" i="110"/>
  <c r="P69" i="110" s="1"/>
  <c r="AD68" i="110"/>
  <c r="AF67" i="110"/>
  <c r="AI65" i="110"/>
  <c r="P65" i="110" s="1"/>
  <c r="AD64" i="110"/>
  <c r="AD61" i="110"/>
  <c r="AD53" i="110"/>
  <c r="AF51" i="110"/>
  <c r="AD49" i="110"/>
  <c r="AD46" i="110"/>
  <c r="AI43" i="110"/>
  <c r="P43" i="110" s="1"/>
  <c r="AO17" i="110"/>
  <c r="AF40" i="110"/>
  <c r="AD39" i="110"/>
  <c r="AD38" i="110"/>
  <c r="AF35" i="110"/>
  <c r="AF31" i="110"/>
  <c r="AI30" i="110"/>
  <c r="P30" i="110" s="1"/>
  <c r="AI28" i="110"/>
  <c r="P28" i="110" s="1"/>
  <c r="AD27" i="110"/>
  <c r="AF25" i="110"/>
  <c r="AI24" i="110"/>
  <c r="P24" i="110" s="1"/>
  <c r="AD23" i="110"/>
  <c r="AF22" i="110"/>
  <c r="AD20" i="110"/>
  <c r="AA87" i="110"/>
  <c r="AF19" i="110"/>
  <c r="U113" i="110"/>
  <c r="U87" i="110"/>
  <c r="AF61" i="110"/>
  <c r="AF77" i="110"/>
  <c r="AF78" i="110"/>
  <c r="AF49" i="110"/>
  <c r="AF20" i="110"/>
  <c r="AF62" i="110"/>
  <c r="AF65" i="110"/>
  <c r="AF34" i="110"/>
  <c r="AF72" i="110"/>
  <c r="AF85" i="110"/>
  <c r="AF95" i="110"/>
  <c r="AI17" i="110"/>
  <c r="P17" i="110" s="1"/>
  <c r="AI22" i="110"/>
  <c r="P22" i="110" s="1"/>
  <c r="AI25" i="110"/>
  <c r="P25" i="110" s="1"/>
  <c r="AI35" i="110"/>
  <c r="P35" i="110" s="1"/>
  <c r="AI36" i="110"/>
  <c r="P36" i="110" s="1"/>
  <c r="AI44" i="110"/>
  <c r="P44" i="110" s="1"/>
  <c r="AI19" i="110"/>
  <c r="P19" i="110" s="1"/>
  <c r="AI26" i="110"/>
  <c r="P26" i="110" s="1"/>
  <c r="AI31" i="110"/>
  <c r="P31" i="110" s="1"/>
  <c r="AD33" i="110"/>
  <c r="AD41" i="110"/>
  <c r="AD47" i="110"/>
  <c r="AI47" i="110"/>
  <c r="P47" i="110" s="1"/>
  <c r="AD37" i="110"/>
  <c r="AD45" i="110"/>
  <c r="AB87" i="110"/>
  <c r="Z87" i="110"/>
  <c r="AD29" i="110"/>
  <c r="AF30" i="110"/>
  <c r="AI40" i="110"/>
  <c r="P40" i="110" s="1"/>
  <c r="AI70" i="110"/>
  <c r="P70" i="110" s="1"/>
  <c r="AD81" i="110"/>
  <c r="AI86" i="110"/>
  <c r="P86" i="110" s="1"/>
  <c r="AI48" i="110"/>
  <c r="P48" i="110" s="1"/>
  <c r="AI66" i="110"/>
  <c r="P66" i="110" s="1"/>
  <c r="AI96" i="110"/>
  <c r="P96" i="110" s="1"/>
  <c r="AI60" i="110"/>
  <c r="P60" i="110" s="1"/>
  <c r="AI67" i="110"/>
  <c r="P67" i="110" s="1"/>
  <c r="AI74" i="110"/>
  <c r="P74" i="110" s="1"/>
  <c r="AI76" i="110"/>
  <c r="P76" i="110" s="1"/>
  <c r="AI83" i="110"/>
  <c r="P83" i="110" s="1"/>
  <c r="AC93" i="110"/>
  <c r="AI93" i="110"/>
  <c r="P93" i="110" s="1"/>
  <c r="AI97" i="110"/>
  <c r="P97" i="110" s="1"/>
  <c r="AF113" i="108"/>
  <c r="AC113" i="108"/>
  <c r="AB113" i="108"/>
  <c r="AA113" i="108"/>
  <c r="Z113" i="108"/>
  <c r="T113" i="108"/>
  <c r="S113" i="108"/>
  <c r="R113" i="108"/>
  <c r="AF103" i="110" l="1"/>
  <c r="AA113" i="110"/>
  <c r="Z113" i="110"/>
  <c r="AF87" i="110"/>
  <c r="AF113" i="110" s="1"/>
  <c r="K115" i="110" s="1"/>
  <c r="M116" i="110" s="1"/>
  <c r="AB113" i="110"/>
  <c r="AC87" i="110"/>
  <c r="AC113" i="110" s="1"/>
  <c r="Z17" i="108"/>
  <c r="Q98" i="109"/>
  <c r="P98" i="109"/>
  <c r="P4" i="109"/>
  <c r="P5" i="109"/>
  <c r="P6" i="109"/>
  <c r="P7" i="109"/>
  <c r="P8" i="109"/>
  <c r="P9" i="109"/>
  <c r="P10" i="109"/>
  <c r="P11" i="109"/>
  <c r="P12" i="109"/>
  <c r="P13" i="109"/>
  <c r="P14" i="109"/>
  <c r="P15" i="109"/>
  <c r="P16" i="109"/>
  <c r="P17" i="109"/>
  <c r="P18" i="109"/>
  <c r="P19" i="109"/>
  <c r="P20" i="109"/>
  <c r="P21" i="109"/>
  <c r="P22" i="109"/>
  <c r="P23" i="109"/>
  <c r="P24" i="109"/>
  <c r="P25" i="109"/>
  <c r="P26" i="109"/>
  <c r="P27" i="109"/>
  <c r="P28" i="109"/>
  <c r="P29" i="109"/>
  <c r="P30" i="109"/>
  <c r="P31" i="109"/>
  <c r="P32" i="109"/>
  <c r="P33" i="109"/>
  <c r="P34" i="109"/>
  <c r="P35" i="109"/>
  <c r="P36" i="109"/>
  <c r="P37" i="109"/>
  <c r="P38" i="109"/>
  <c r="P39" i="109"/>
  <c r="P40" i="109"/>
  <c r="P41" i="109"/>
  <c r="P42" i="109"/>
  <c r="P43" i="109"/>
  <c r="P44" i="109"/>
  <c r="P45" i="109"/>
  <c r="P46" i="109"/>
  <c r="P47" i="109"/>
  <c r="P48" i="109"/>
  <c r="P49" i="109"/>
  <c r="P50" i="109"/>
  <c r="P51" i="109"/>
  <c r="P52" i="109"/>
  <c r="P53" i="109"/>
  <c r="P54" i="109"/>
  <c r="P55" i="109"/>
  <c r="P56" i="109"/>
  <c r="P57" i="109"/>
  <c r="P58" i="109"/>
  <c r="P59" i="109"/>
  <c r="P60" i="109"/>
  <c r="P61" i="109"/>
  <c r="P62" i="109"/>
  <c r="P63" i="109"/>
  <c r="P64" i="109"/>
  <c r="P65" i="109"/>
  <c r="P66" i="109"/>
  <c r="P67" i="109"/>
  <c r="P68" i="109"/>
  <c r="P69" i="109"/>
  <c r="P70" i="109"/>
  <c r="P71" i="109"/>
  <c r="P72" i="109"/>
  <c r="P73" i="109"/>
  <c r="P74" i="109"/>
  <c r="P75" i="109"/>
  <c r="P76" i="109"/>
  <c r="P77" i="109"/>
  <c r="P78" i="109"/>
  <c r="P79" i="109"/>
  <c r="P80" i="109"/>
  <c r="P81" i="109"/>
  <c r="P82" i="109"/>
  <c r="P83" i="109"/>
  <c r="P84" i="109"/>
  <c r="P85" i="109"/>
  <c r="P86" i="109"/>
  <c r="P87" i="109"/>
  <c r="P88" i="109"/>
  <c r="Q3" i="109"/>
  <c r="P3" i="109"/>
  <c r="AC63" i="108"/>
  <c r="AD63" i="108"/>
  <c r="AF63" i="108"/>
  <c r="AF59" i="108"/>
  <c r="AF56" i="108"/>
  <c r="AF57" i="108"/>
  <c r="AF58" i="108"/>
  <c r="AF55" i="108"/>
  <c r="M116" i="107"/>
  <c r="AA115" i="110" l="1"/>
  <c r="AE76" i="108"/>
  <c r="AE74" i="108"/>
  <c r="AB53" i="108" l="1"/>
  <c r="AA53" i="108"/>
  <c r="Z53" i="108"/>
  <c r="AF53" i="108" s="1"/>
  <c r="Y53" i="108"/>
  <c r="V53" i="108"/>
  <c r="U53" i="108"/>
  <c r="AC53" i="108" s="1"/>
  <c r="Q53" i="108"/>
  <c r="AE51" i="108"/>
  <c r="Z49" i="108"/>
  <c r="AA49" i="108"/>
  <c r="AB49" i="108"/>
  <c r="AE49" i="108"/>
  <c r="V49" i="108"/>
  <c r="AD49" i="108" s="1"/>
  <c r="U49" i="108"/>
  <c r="AC49" i="108" s="1"/>
  <c r="Q49" i="108"/>
  <c r="Y49" i="108" s="1"/>
  <c r="Z47" i="108"/>
  <c r="AA47" i="108"/>
  <c r="AB47" i="108"/>
  <c r="AE47" i="108"/>
  <c r="AF47" i="108" s="1"/>
  <c r="V47" i="108"/>
  <c r="AD47" i="108" s="1"/>
  <c r="U47" i="108"/>
  <c r="AC47" i="108" s="1"/>
  <c r="Q47" i="108"/>
  <c r="Y47" i="108" s="1"/>
  <c r="AE40" i="108"/>
  <c r="Z39" i="108"/>
  <c r="AA39" i="108"/>
  <c r="AB39" i="108"/>
  <c r="AC39" i="108"/>
  <c r="AE39" i="108"/>
  <c r="V39" i="108"/>
  <c r="AD39" i="108" s="1"/>
  <c r="U39" i="108"/>
  <c r="Q39" i="108"/>
  <c r="Y39" i="108" s="1"/>
  <c r="AE38" i="108"/>
  <c r="Z36" i="108"/>
  <c r="AA36" i="108"/>
  <c r="AB36" i="108"/>
  <c r="AE36" i="108"/>
  <c r="AF36" i="108" s="1"/>
  <c r="V36" i="108"/>
  <c r="AD36" i="108" s="1"/>
  <c r="U36" i="108"/>
  <c r="AC36" i="108" s="1"/>
  <c r="Q36" i="108"/>
  <c r="Y36" i="108" s="1"/>
  <c r="AC17" i="108"/>
  <c r="AB17" i="108"/>
  <c r="AA17" i="108"/>
  <c r="Z19" i="108"/>
  <c r="AA19" i="108"/>
  <c r="AB19" i="108"/>
  <c r="AE17" i="108"/>
  <c r="V17" i="108"/>
  <c r="AI17" i="108" s="1"/>
  <c r="P17" i="108" s="1"/>
  <c r="U17" i="108"/>
  <c r="Q17" i="108"/>
  <c r="Y17" i="108" s="1"/>
  <c r="T103" i="108"/>
  <c r="S103" i="108"/>
  <c r="R103" i="108"/>
  <c r="Y102" i="108"/>
  <c r="U102" i="108"/>
  <c r="Q102" i="108"/>
  <c r="Y101" i="108"/>
  <c r="U101" i="108"/>
  <c r="Q101" i="108"/>
  <c r="Y100" i="108"/>
  <c r="Y99" i="108"/>
  <c r="AI98" i="108"/>
  <c r="P98" i="108" s="1"/>
  <c r="AE98" i="108"/>
  <c r="AB98" i="108"/>
  <c r="AA98" i="108"/>
  <c r="Z98" i="108"/>
  <c r="V98" i="108"/>
  <c r="AD98" i="108" s="1"/>
  <c r="U98" i="108"/>
  <c r="AC98" i="108" s="1"/>
  <c r="Q98" i="108"/>
  <c r="Y98" i="108" s="1"/>
  <c r="AE97" i="108"/>
  <c r="AB97" i="108"/>
  <c r="AA97" i="108"/>
  <c r="Z97" i="108"/>
  <c r="V97" i="108"/>
  <c r="AI97" i="108" s="1"/>
  <c r="P97" i="108" s="1"/>
  <c r="U97" i="108"/>
  <c r="AC97" i="108" s="1"/>
  <c r="Q97" i="108"/>
  <c r="Y97" i="108" s="1"/>
  <c r="AE96" i="108"/>
  <c r="AB96" i="108"/>
  <c r="AA96" i="108"/>
  <c r="Z96" i="108"/>
  <c r="V96" i="108"/>
  <c r="AD96" i="108" s="1"/>
  <c r="U96" i="108"/>
  <c r="AC96" i="108" s="1"/>
  <c r="Q96" i="108"/>
  <c r="Y96" i="108" s="1"/>
  <c r="AE95" i="108"/>
  <c r="AB95" i="108"/>
  <c r="AA95" i="108"/>
  <c r="Z95" i="108"/>
  <c r="V95" i="108"/>
  <c r="AI95" i="108" s="1"/>
  <c r="P95" i="108" s="1"/>
  <c r="U95" i="108"/>
  <c r="AC95" i="108" s="1"/>
  <c r="Q95" i="108"/>
  <c r="Y95" i="108" s="1"/>
  <c r="AE94" i="108"/>
  <c r="AB94" i="108"/>
  <c r="AB103" i="108" s="1"/>
  <c r="AA94" i="108"/>
  <c r="Z94" i="108"/>
  <c r="V94" i="108"/>
  <c r="AI94" i="108" s="1"/>
  <c r="P94" i="108" s="1"/>
  <c r="U94" i="108"/>
  <c r="AC94" i="108" s="1"/>
  <c r="Q94" i="108"/>
  <c r="Y94" i="108" s="1"/>
  <c r="AE93" i="108"/>
  <c r="AB93" i="108"/>
  <c r="AA93" i="108"/>
  <c r="Z93" i="108"/>
  <c r="V93" i="108"/>
  <c r="AD93" i="108" s="1"/>
  <c r="U93" i="108"/>
  <c r="AC93" i="108" s="1"/>
  <c r="Q93" i="108"/>
  <c r="Y93" i="108" s="1"/>
  <c r="AI91" i="108"/>
  <c r="AD91" i="108"/>
  <c r="AC91" i="108"/>
  <c r="AB91" i="108"/>
  <c r="AA91" i="108"/>
  <c r="Z91" i="108"/>
  <c r="AF91" i="108" s="1"/>
  <c r="Y91" i="108"/>
  <c r="AI90" i="108"/>
  <c r="AD90" i="108"/>
  <c r="AC90" i="108"/>
  <c r="AB90" i="108"/>
  <c r="AA90" i="108"/>
  <c r="Z90" i="108"/>
  <c r="AF90" i="108" s="1"/>
  <c r="Y90" i="108"/>
  <c r="AI89" i="108"/>
  <c r="AD89" i="108"/>
  <c r="AC89" i="108"/>
  <c r="AB89" i="108"/>
  <c r="AA89" i="108"/>
  <c r="Z89" i="108"/>
  <c r="AF89" i="108" s="1"/>
  <c r="Y89" i="108"/>
  <c r="T87" i="108"/>
  <c r="S87" i="108"/>
  <c r="R87" i="108"/>
  <c r="AC86" i="108"/>
  <c r="AB86" i="108"/>
  <c r="AA86" i="108"/>
  <c r="Z86" i="108"/>
  <c r="AF86" i="108" s="1"/>
  <c r="Y86" i="108"/>
  <c r="V86" i="108"/>
  <c r="AD86" i="108" s="1"/>
  <c r="U86" i="108"/>
  <c r="Q86" i="108"/>
  <c r="AE85" i="108"/>
  <c r="AC85" i="108"/>
  <c r="AB85" i="108"/>
  <c r="AA85" i="108"/>
  <c r="Z85" i="108"/>
  <c r="V85" i="108"/>
  <c r="AD85" i="108" s="1"/>
  <c r="U85" i="108"/>
  <c r="Q85" i="108"/>
  <c r="Y85" i="108" s="1"/>
  <c r="AI84" i="108"/>
  <c r="AF84" i="108"/>
  <c r="AD84" i="108"/>
  <c r="AC84" i="108"/>
  <c r="Y84" i="108"/>
  <c r="AE83" i="108"/>
  <c r="AF83" i="108" s="1"/>
  <c r="AB83" i="108"/>
  <c r="V83" i="108"/>
  <c r="AD83" i="108" s="1"/>
  <c r="U83" i="108"/>
  <c r="AC83" i="108" s="1"/>
  <c r="Q83" i="108"/>
  <c r="Y83" i="108" s="1"/>
  <c r="AI82" i="108"/>
  <c r="P82" i="108" s="1"/>
  <c r="Z82" i="108"/>
  <c r="Y82" i="108"/>
  <c r="AE81" i="108"/>
  <c r="AF81" i="108" s="1"/>
  <c r="AB81" i="108"/>
  <c r="Y81" i="108"/>
  <c r="V81" i="108"/>
  <c r="AD81" i="108" s="1"/>
  <c r="U81" i="108"/>
  <c r="AC81" i="108" s="1"/>
  <c r="Q81" i="108"/>
  <c r="AF80" i="108"/>
  <c r="AB80" i="108"/>
  <c r="V80" i="108"/>
  <c r="AD80" i="108" s="1"/>
  <c r="U80" i="108"/>
  <c r="AC80" i="108" s="1"/>
  <c r="Q80" i="108"/>
  <c r="Y80" i="108" s="1"/>
  <c r="AF79" i="108"/>
  <c r="V79" i="108"/>
  <c r="U79" i="108"/>
  <c r="Q79" i="108"/>
  <c r="AE78" i="108"/>
  <c r="AB78" i="108"/>
  <c r="AA78" i="108"/>
  <c r="Z78" i="108"/>
  <c r="AF78" i="108" s="1"/>
  <c r="V78" i="108"/>
  <c r="AD78" i="108" s="1"/>
  <c r="U78" i="108"/>
  <c r="AC78" i="108" s="1"/>
  <c r="Q78" i="108"/>
  <c r="Y78" i="108" s="1"/>
  <c r="AE77" i="108"/>
  <c r="AB77" i="108"/>
  <c r="AA77" i="108"/>
  <c r="Z77" i="108"/>
  <c r="V77" i="108"/>
  <c r="AI77" i="108" s="1"/>
  <c r="P77" i="108" s="1"/>
  <c r="U77" i="108"/>
  <c r="AC77" i="108" s="1"/>
  <c r="Q77" i="108"/>
  <c r="Y77" i="108" s="1"/>
  <c r="AB76" i="108"/>
  <c r="AA76" i="108"/>
  <c r="Z76" i="108"/>
  <c r="AF76" i="108" s="1"/>
  <c r="V76" i="108"/>
  <c r="AI76" i="108" s="1"/>
  <c r="P76" i="108" s="1"/>
  <c r="U76" i="108"/>
  <c r="AC76" i="108" s="1"/>
  <c r="Q76" i="108"/>
  <c r="Y76" i="108" s="1"/>
  <c r="AI75" i="108"/>
  <c r="P75" i="108" s="1"/>
  <c r="Y75" i="108"/>
  <c r="AB74" i="108"/>
  <c r="AA74" i="108"/>
  <c r="Z74" i="108"/>
  <c r="AF74" i="108" s="1"/>
  <c r="V74" i="108"/>
  <c r="AI74" i="108" s="1"/>
  <c r="P74" i="108" s="1"/>
  <c r="U74" i="108"/>
  <c r="AC74" i="108" s="1"/>
  <c r="Q74" i="108"/>
  <c r="Y74" i="108" s="1"/>
  <c r="AE73" i="108"/>
  <c r="AB73" i="108"/>
  <c r="AA73" i="108"/>
  <c r="Z73" i="108"/>
  <c r="AF73" i="108" s="1"/>
  <c r="V73" i="108"/>
  <c r="AI73" i="108" s="1"/>
  <c r="P73" i="108" s="1"/>
  <c r="U73" i="108"/>
  <c r="AC73" i="108" s="1"/>
  <c r="Q73" i="108"/>
  <c r="Y73" i="108" s="1"/>
  <c r="AE72" i="108"/>
  <c r="AB72" i="108"/>
  <c r="AA72" i="108"/>
  <c r="Z72" i="108"/>
  <c r="Y72" i="108"/>
  <c r="V72" i="108"/>
  <c r="AI72" i="108" s="1"/>
  <c r="P72" i="108" s="1"/>
  <c r="U72" i="108"/>
  <c r="Q72" i="108"/>
  <c r="AE71" i="108"/>
  <c r="AB71" i="108"/>
  <c r="AA71" i="108"/>
  <c r="Z71" i="108"/>
  <c r="V71" i="108"/>
  <c r="AI71" i="108" s="1"/>
  <c r="P71" i="108" s="1"/>
  <c r="U71" i="108"/>
  <c r="AC71" i="108" s="1"/>
  <c r="Q71" i="108"/>
  <c r="Y71" i="108" s="1"/>
  <c r="AB70" i="108"/>
  <c r="AA70" i="108"/>
  <c r="Z70" i="108"/>
  <c r="AF70" i="108" s="1"/>
  <c r="Y70" i="108"/>
  <c r="V70" i="108"/>
  <c r="AI70" i="108" s="1"/>
  <c r="P70" i="108" s="1"/>
  <c r="U70" i="108"/>
  <c r="AC70" i="108" s="1"/>
  <c r="Q70" i="108"/>
  <c r="AE69" i="108"/>
  <c r="AB69" i="108"/>
  <c r="AA69" i="108"/>
  <c r="Z69" i="108"/>
  <c r="V69" i="108"/>
  <c r="AD69" i="108" s="1"/>
  <c r="U69" i="108"/>
  <c r="AC69" i="108" s="1"/>
  <c r="Q69" i="108"/>
  <c r="Y69" i="108" s="1"/>
  <c r="AE68" i="108"/>
  <c r="AB68" i="108"/>
  <c r="AA68" i="108"/>
  <c r="Z68" i="108"/>
  <c r="V68" i="108"/>
  <c r="AI68" i="108" s="1"/>
  <c r="P68" i="108" s="1"/>
  <c r="U68" i="108"/>
  <c r="AC68" i="108" s="1"/>
  <c r="Q68" i="108"/>
  <c r="Y68" i="108" s="1"/>
  <c r="AE67" i="108"/>
  <c r="AB67" i="108"/>
  <c r="AA67" i="108"/>
  <c r="Z67" i="108"/>
  <c r="Y67" i="108"/>
  <c r="V67" i="108"/>
  <c r="AD67" i="108" s="1"/>
  <c r="U67" i="108"/>
  <c r="AC67" i="108" s="1"/>
  <c r="Q67" i="108"/>
  <c r="AE66" i="108"/>
  <c r="AB66" i="108"/>
  <c r="AA66" i="108"/>
  <c r="Z66" i="108"/>
  <c r="V66" i="108"/>
  <c r="AD66" i="108" s="1"/>
  <c r="U66" i="108"/>
  <c r="AC66" i="108" s="1"/>
  <c r="Q66" i="108"/>
  <c r="Y66" i="108" s="1"/>
  <c r="AE65" i="108"/>
  <c r="AB65" i="108"/>
  <c r="AA65" i="108"/>
  <c r="Z65" i="108"/>
  <c r="Y65" i="108"/>
  <c r="V65" i="108"/>
  <c r="AD65" i="108" s="1"/>
  <c r="U65" i="108"/>
  <c r="AC65" i="108" s="1"/>
  <c r="Q65" i="108"/>
  <c r="AB64" i="108"/>
  <c r="AA64" i="108"/>
  <c r="Z64" i="108"/>
  <c r="AF64" i="108" s="1"/>
  <c r="V64" i="108"/>
  <c r="AI64" i="108" s="1"/>
  <c r="P64" i="108" s="1"/>
  <c r="U64" i="108"/>
  <c r="AC64" i="108" s="1"/>
  <c r="Q64" i="108"/>
  <c r="Y64" i="108" s="1"/>
  <c r="AE62" i="108"/>
  <c r="AB62" i="108"/>
  <c r="AA62" i="108"/>
  <c r="Z62" i="108"/>
  <c r="AF62" i="108" s="1"/>
  <c r="V62" i="108"/>
  <c r="AI62" i="108" s="1"/>
  <c r="P62" i="108" s="1"/>
  <c r="U62" i="108"/>
  <c r="AC62" i="108" s="1"/>
  <c r="Q62" i="108"/>
  <c r="Y62" i="108" s="1"/>
  <c r="AE61" i="108"/>
  <c r="AB61" i="108"/>
  <c r="AA61" i="108"/>
  <c r="Z61" i="108"/>
  <c r="V61" i="108"/>
  <c r="AD61" i="108" s="1"/>
  <c r="U61" i="108"/>
  <c r="AC61" i="108" s="1"/>
  <c r="Q61" i="108"/>
  <c r="Y61" i="108" s="1"/>
  <c r="AE60" i="108"/>
  <c r="AB60" i="108"/>
  <c r="AA60" i="108"/>
  <c r="Z60" i="108"/>
  <c r="V60" i="108"/>
  <c r="AD60" i="108" s="1"/>
  <c r="U60" i="108"/>
  <c r="AC60" i="108" s="1"/>
  <c r="Q60" i="108"/>
  <c r="Y60" i="108" s="1"/>
  <c r="V59" i="108"/>
  <c r="AI59" i="108" s="1"/>
  <c r="P59" i="108" s="1"/>
  <c r="U59" i="108"/>
  <c r="Q59" i="108"/>
  <c r="V58" i="108"/>
  <c r="AI58" i="108" s="1"/>
  <c r="P58" i="108" s="1"/>
  <c r="U58" i="108"/>
  <c r="Q58" i="108"/>
  <c r="V57" i="108"/>
  <c r="AI57" i="108" s="1"/>
  <c r="P57" i="108" s="1"/>
  <c r="U57" i="108"/>
  <c r="Q57" i="108"/>
  <c r="V56" i="108"/>
  <c r="AI56" i="108" s="1"/>
  <c r="P56" i="108" s="1"/>
  <c r="U56" i="108"/>
  <c r="Q56" i="108"/>
  <c r="V55" i="108"/>
  <c r="AI55" i="108" s="1"/>
  <c r="P55" i="108" s="1"/>
  <c r="U55" i="108"/>
  <c r="Q55" i="108"/>
  <c r="AI54" i="108"/>
  <c r="Y54" i="108"/>
  <c r="AI53" i="108"/>
  <c r="P53" i="108" s="1"/>
  <c r="AI52" i="108"/>
  <c r="P52" i="108" s="1"/>
  <c r="Y52" i="108"/>
  <c r="AB51" i="108"/>
  <c r="AA51" i="108"/>
  <c r="Z51" i="108"/>
  <c r="AF51" i="108" s="1"/>
  <c r="Y51" i="108"/>
  <c r="V51" i="108"/>
  <c r="AI51" i="108" s="1"/>
  <c r="P51" i="108" s="1"/>
  <c r="U51" i="108"/>
  <c r="AC51" i="108" s="1"/>
  <c r="Q51" i="108"/>
  <c r="AI50" i="108"/>
  <c r="P50" i="108" s="1"/>
  <c r="Y50" i="108"/>
  <c r="AI49" i="108"/>
  <c r="P49" i="108" s="1"/>
  <c r="AE48" i="108"/>
  <c r="AB48" i="108"/>
  <c r="AA48" i="108"/>
  <c r="Z48" i="108"/>
  <c r="V48" i="108"/>
  <c r="AI48" i="108" s="1"/>
  <c r="P48" i="108" s="1"/>
  <c r="U48" i="108"/>
  <c r="AC48" i="108" s="1"/>
  <c r="Q48" i="108"/>
  <c r="Y48" i="108" s="1"/>
  <c r="AE46" i="108"/>
  <c r="AB46" i="108"/>
  <c r="AA46" i="108"/>
  <c r="Z46" i="108"/>
  <c r="V46" i="108"/>
  <c r="AD46" i="108" s="1"/>
  <c r="U46" i="108"/>
  <c r="AC46" i="108" s="1"/>
  <c r="Q46" i="108"/>
  <c r="Y46" i="108" s="1"/>
  <c r="AE45" i="108"/>
  <c r="AB45" i="108"/>
  <c r="AA45" i="108"/>
  <c r="Z45" i="108"/>
  <c r="AF45" i="108" s="1"/>
  <c r="V45" i="108"/>
  <c r="AD45" i="108" s="1"/>
  <c r="U45" i="108"/>
  <c r="AC45" i="108" s="1"/>
  <c r="Q45" i="108"/>
  <c r="Y45" i="108" s="1"/>
  <c r="AE44" i="108"/>
  <c r="AB44" i="108"/>
  <c r="AA44" i="108"/>
  <c r="Z44" i="108"/>
  <c r="AF44" i="108" s="1"/>
  <c r="V44" i="108"/>
  <c r="AD44" i="108" s="1"/>
  <c r="U44" i="108"/>
  <c r="AC44" i="108" s="1"/>
  <c r="Q44" i="108"/>
  <c r="Y44" i="108" s="1"/>
  <c r="AB43" i="108"/>
  <c r="AA43" i="108"/>
  <c r="Z43" i="108"/>
  <c r="AF43" i="108" s="1"/>
  <c r="V43" i="108"/>
  <c r="AI43" i="108" s="1"/>
  <c r="P43" i="108" s="1"/>
  <c r="U43" i="108"/>
  <c r="AC43" i="108" s="1"/>
  <c r="Q43" i="108"/>
  <c r="Y43" i="108" s="1"/>
  <c r="AI42" i="108"/>
  <c r="Y42" i="108"/>
  <c r="AE41" i="108"/>
  <c r="AB41" i="108"/>
  <c r="AA41" i="108"/>
  <c r="Z41" i="108"/>
  <c r="AF41" i="108" s="1"/>
  <c r="V41" i="108"/>
  <c r="AI41" i="108" s="1"/>
  <c r="P41" i="108" s="1"/>
  <c r="U41" i="108"/>
  <c r="AC41" i="108" s="1"/>
  <c r="Q41" i="108"/>
  <c r="Y41" i="108" s="1"/>
  <c r="AB40" i="108"/>
  <c r="AA40" i="108"/>
  <c r="Z40" i="108"/>
  <c r="Y40" i="108"/>
  <c r="V40" i="108"/>
  <c r="AI40" i="108" s="1"/>
  <c r="P40" i="108" s="1"/>
  <c r="U40" i="108"/>
  <c r="AC40" i="108" s="1"/>
  <c r="Q40" i="108"/>
  <c r="AD38" i="108"/>
  <c r="AB38" i="108"/>
  <c r="AA38" i="108"/>
  <c r="Z38" i="108"/>
  <c r="AF38" i="108" s="1"/>
  <c r="Y38" i="108"/>
  <c r="V38" i="108"/>
  <c r="AI38" i="108" s="1"/>
  <c r="P38" i="108" s="1"/>
  <c r="U38" i="108"/>
  <c r="AC38" i="108" s="1"/>
  <c r="Q38" i="108"/>
  <c r="AE37" i="108"/>
  <c r="AB37" i="108"/>
  <c r="AA37" i="108"/>
  <c r="Z37" i="108"/>
  <c r="V37" i="108"/>
  <c r="AI37" i="108" s="1"/>
  <c r="P37" i="108" s="1"/>
  <c r="U37" i="108"/>
  <c r="AC37" i="108" s="1"/>
  <c r="Q37" i="108"/>
  <c r="Y37" i="108" s="1"/>
  <c r="AE35" i="108"/>
  <c r="AB35" i="108"/>
  <c r="AA35" i="108"/>
  <c r="Z35" i="108"/>
  <c r="Y35" i="108"/>
  <c r="V35" i="108"/>
  <c r="AI35" i="108" s="1"/>
  <c r="P35" i="108" s="1"/>
  <c r="U35" i="108"/>
  <c r="AC35" i="108" s="1"/>
  <c r="Q35" i="108"/>
  <c r="AE34" i="108"/>
  <c r="AB34" i="108"/>
  <c r="AA34" i="108"/>
  <c r="Z34" i="108"/>
  <c r="V34" i="108"/>
  <c r="AD34" i="108" s="1"/>
  <c r="U34" i="108"/>
  <c r="AC34" i="108" s="1"/>
  <c r="Q34" i="108"/>
  <c r="Y34" i="108" s="1"/>
  <c r="AE33" i="108"/>
  <c r="AB33" i="108"/>
  <c r="AA33" i="108"/>
  <c r="Z33" i="108"/>
  <c r="V33" i="108"/>
  <c r="AI33" i="108" s="1"/>
  <c r="P33" i="108" s="1"/>
  <c r="U33" i="108"/>
  <c r="AC33" i="108" s="1"/>
  <c r="Q33" i="108"/>
  <c r="Y33" i="108" s="1"/>
  <c r="AF32" i="108"/>
  <c r="AD32" i="108"/>
  <c r="AC32" i="108"/>
  <c r="Y32" i="108"/>
  <c r="V32" i="108"/>
  <c r="AI32" i="108" s="1"/>
  <c r="P32" i="108" s="1"/>
  <c r="U32" i="108"/>
  <c r="Q32" i="108"/>
  <c r="AE31" i="108"/>
  <c r="AB31" i="108"/>
  <c r="AA31" i="108"/>
  <c r="Z31" i="108"/>
  <c r="V31" i="108"/>
  <c r="AD31" i="108" s="1"/>
  <c r="U31" i="108"/>
  <c r="AC31" i="108" s="1"/>
  <c r="Q31" i="108"/>
  <c r="Y31" i="108" s="1"/>
  <c r="AE30" i="108"/>
  <c r="AB30" i="108"/>
  <c r="AA30" i="108"/>
  <c r="Z30" i="108"/>
  <c r="Y30" i="108"/>
  <c r="V30" i="108"/>
  <c r="AI30" i="108" s="1"/>
  <c r="P30" i="108" s="1"/>
  <c r="U30" i="108"/>
  <c r="AC30" i="108" s="1"/>
  <c r="Q30" i="108"/>
  <c r="AE29" i="108"/>
  <c r="AB29" i="108"/>
  <c r="AA29" i="108"/>
  <c r="Z29" i="108"/>
  <c r="V29" i="108"/>
  <c r="AI29" i="108" s="1"/>
  <c r="P29" i="108" s="1"/>
  <c r="U29" i="108"/>
  <c r="AC29" i="108" s="1"/>
  <c r="Q29" i="108"/>
  <c r="Y29" i="108" s="1"/>
  <c r="AE28" i="108"/>
  <c r="AB28" i="108"/>
  <c r="AA28" i="108"/>
  <c r="Z28" i="108"/>
  <c r="Y28" i="108"/>
  <c r="V28" i="108"/>
  <c r="AD28" i="108" s="1"/>
  <c r="U28" i="108"/>
  <c r="AC28" i="108" s="1"/>
  <c r="Q28" i="108"/>
  <c r="AE27" i="108"/>
  <c r="AB27" i="108"/>
  <c r="AA27" i="108"/>
  <c r="Z27" i="108"/>
  <c r="Y27" i="108"/>
  <c r="V27" i="108"/>
  <c r="AI27" i="108" s="1"/>
  <c r="P27" i="108" s="1"/>
  <c r="U27" i="108"/>
  <c r="AC27" i="108" s="1"/>
  <c r="Q27" i="108"/>
  <c r="AE26" i="108"/>
  <c r="AD26" i="108"/>
  <c r="AB26" i="108"/>
  <c r="AA26" i="108"/>
  <c r="Z26" i="108"/>
  <c r="Y26" i="108"/>
  <c r="V26" i="108"/>
  <c r="AI26" i="108" s="1"/>
  <c r="P26" i="108" s="1"/>
  <c r="U26" i="108"/>
  <c r="AC26" i="108" s="1"/>
  <c r="Q26" i="108"/>
  <c r="AE25" i="108"/>
  <c r="AB25" i="108"/>
  <c r="AA25" i="108"/>
  <c r="Z25" i="108"/>
  <c r="V25" i="108"/>
  <c r="AI25" i="108" s="1"/>
  <c r="P25" i="108" s="1"/>
  <c r="U25" i="108"/>
  <c r="AC25" i="108" s="1"/>
  <c r="Q25" i="108"/>
  <c r="Y25" i="108" s="1"/>
  <c r="AE24" i="108"/>
  <c r="AB24" i="108"/>
  <c r="AA24" i="108"/>
  <c r="Z24" i="108"/>
  <c r="V24" i="108"/>
  <c r="AD24" i="108" s="1"/>
  <c r="U24" i="108"/>
  <c r="AC24" i="108" s="1"/>
  <c r="Q24" i="108"/>
  <c r="Y24" i="108" s="1"/>
  <c r="AE23" i="108"/>
  <c r="AB23" i="108"/>
  <c r="AA23" i="108"/>
  <c r="Z23" i="108"/>
  <c r="AF23" i="108" s="1"/>
  <c r="V23" i="108"/>
  <c r="AD23" i="108" s="1"/>
  <c r="U23" i="108"/>
  <c r="AC23" i="108" s="1"/>
  <c r="Q23" i="108"/>
  <c r="Y23" i="108" s="1"/>
  <c r="AN22" i="108"/>
  <c r="AE22" i="108"/>
  <c r="AB22" i="108"/>
  <c r="AA22" i="108"/>
  <c r="Z22" i="108"/>
  <c r="V22" i="108"/>
  <c r="AI22" i="108" s="1"/>
  <c r="P22" i="108" s="1"/>
  <c r="U22" i="108"/>
  <c r="AC22" i="108" s="1"/>
  <c r="Q22" i="108"/>
  <c r="Y22" i="108" s="1"/>
  <c r="AE21" i="108"/>
  <c r="AB21" i="108"/>
  <c r="AA21" i="108"/>
  <c r="Z21" i="108"/>
  <c r="V21" i="108"/>
  <c r="AD21" i="108" s="1"/>
  <c r="U21" i="108"/>
  <c r="AC21" i="108" s="1"/>
  <c r="Q21" i="108"/>
  <c r="Y21" i="108" s="1"/>
  <c r="AE20" i="108"/>
  <c r="AB20" i="108"/>
  <c r="AA20" i="108"/>
  <c r="Z20" i="108"/>
  <c r="V20" i="108"/>
  <c r="AI20" i="108" s="1"/>
  <c r="P20" i="108" s="1"/>
  <c r="U20" i="108"/>
  <c r="AC20" i="108" s="1"/>
  <c r="Q20" i="108"/>
  <c r="Y20" i="108" s="1"/>
  <c r="AE19" i="108"/>
  <c r="V19" i="108"/>
  <c r="AD19" i="108" s="1"/>
  <c r="U19" i="108"/>
  <c r="AC19" i="108" s="1"/>
  <c r="Q19" i="108"/>
  <c r="Y19" i="108" s="1"/>
  <c r="AI18" i="108"/>
  <c r="Y18" i="108"/>
  <c r="AM17" i="108"/>
  <c r="AF25" i="108" l="1"/>
  <c r="AF29" i="108"/>
  <c r="AF30" i="108"/>
  <c r="AI34" i="108"/>
  <c r="P34" i="108" s="1"/>
  <c r="AF37" i="108"/>
  <c r="AF66" i="108"/>
  <c r="AF67" i="108"/>
  <c r="AF71" i="108"/>
  <c r="AF72" i="108"/>
  <c r="AF93" i="108"/>
  <c r="AF94" i="108"/>
  <c r="AD17" i="108"/>
  <c r="AF21" i="108"/>
  <c r="AF22" i="108"/>
  <c r="AF27" i="108"/>
  <c r="AF33" i="108"/>
  <c r="AD62" i="108"/>
  <c r="AF77" i="108"/>
  <c r="Z103" i="108"/>
  <c r="AD40" i="108"/>
  <c r="AD53" i="108"/>
  <c r="AF39" i="108"/>
  <c r="AF49" i="108"/>
  <c r="AF95" i="108"/>
  <c r="AF97" i="108"/>
  <c r="AF96" i="108"/>
  <c r="AD95" i="108"/>
  <c r="AA103" i="108"/>
  <c r="AD94" i="108"/>
  <c r="AI93" i="108"/>
  <c r="P93" i="108" s="1"/>
  <c r="AI85" i="108"/>
  <c r="P85" i="108" s="1"/>
  <c r="AI83" i="108"/>
  <c r="P83" i="108" s="1"/>
  <c r="AI81" i="108"/>
  <c r="P81" i="108" s="1"/>
  <c r="AI78" i="108"/>
  <c r="P78" i="108" s="1"/>
  <c r="AD77" i="108"/>
  <c r="AD76" i="108"/>
  <c r="AD74" i="108"/>
  <c r="AD73" i="108"/>
  <c r="AD71" i="108"/>
  <c r="AI69" i="108"/>
  <c r="P69" i="108" s="1"/>
  <c r="AF69" i="108"/>
  <c r="AD68" i="108"/>
  <c r="AI67" i="108"/>
  <c r="P67" i="108" s="1"/>
  <c r="AI65" i="108"/>
  <c r="P65" i="108" s="1"/>
  <c r="AF65" i="108"/>
  <c r="AD64" i="108"/>
  <c r="AF61" i="108"/>
  <c r="AF60" i="108"/>
  <c r="AI60" i="108"/>
  <c r="P60" i="108" s="1"/>
  <c r="AD48" i="108"/>
  <c r="AI47" i="108"/>
  <c r="P47" i="108" s="1"/>
  <c r="AF46" i="108"/>
  <c r="AI44" i="108"/>
  <c r="P44" i="108" s="1"/>
  <c r="AD43" i="108"/>
  <c r="AF40" i="108"/>
  <c r="AI39" i="108"/>
  <c r="P39" i="108" s="1"/>
  <c r="AD37" i="108"/>
  <c r="AI36" i="108"/>
  <c r="P36" i="108" s="1"/>
  <c r="AF35" i="108"/>
  <c r="AD33" i="108"/>
  <c r="AF31" i="108"/>
  <c r="AD30" i="108"/>
  <c r="AD29" i="108"/>
  <c r="AF28" i="108"/>
  <c r="AA87" i="108"/>
  <c r="AD25" i="108"/>
  <c r="AB87" i="108"/>
  <c r="AO17" i="108"/>
  <c r="AF24" i="108"/>
  <c r="Z87" i="108"/>
  <c r="AD22" i="108"/>
  <c r="AF20" i="108"/>
  <c r="AI19" i="108"/>
  <c r="P19" i="108" s="1"/>
  <c r="U87" i="108"/>
  <c r="AF26" i="108"/>
  <c r="AF48" i="108"/>
  <c r="AF98" i="108"/>
  <c r="AF68" i="108"/>
  <c r="AF85" i="108"/>
  <c r="AF34" i="108"/>
  <c r="U113" i="108"/>
  <c r="AI61" i="108"/>
  <c r="P61" i="108" s="1"/>
  <c r="AI66" i="108"/>
  <c r="P66" i="108" s="1"/>
  <c r="AI80" i="108"/>
  <c r="P80" i="108" s="1"/>
  <c r="AD97" i="108"/>
  <c r="U103" i="108"/>
  <c r="AI23" i="108"/>
  <c r="P23" i="108" s="1"/>
  <c r="AI31" i="108"/>
  <c r="P31" i="108" s="1"/>
  <c r="AI45" i="108"/>
  <c r="P45" i="108" s="1"/>
  <c r="AD20" i="108"/>
  <c r="AI21" i="108"/>
  <c r="P21" i="108" s="1"/>
  <c r="AI24" i="108"/>
  <c r="P24" i="108" s="1"/>
  <c r="AD27" i="108"/>
  <c r="AI28" i="108"/>
  <c r="P28" i="108" s="1"/>
  <c r="AD35" i="108"/>
  <c r="AD41" i="108"/>
  <c r="AI46" i="108"/>
  <c r="P46" i="108" s="1"/>
  <c r="AD51" i="108"/>
  <c r="AD70" i="108"/>
  <c r="AI79" i="108"/>
  <c r="P79" i="108" s="1"/>
  <c r="AI86" i="108"/>
  <c r="P86" i="108" s="1"/>
  <c r="AF19" i="108"/>
  <c r="AF87" i="108" s="1"/>
  <c r="AI96" i="108"/>
  <c r="P96" i="108" s="1"/>
  <c r="V59" i="107"/>
  <c r="U59" i="107"/>
  <c r="Q59" i="107"/>
  <c r="V58" i="107"/>
  <c r="U58" i="107"/>
  <c r="Q58" i="107"/>
  <c r="V57" i="107"/>
  <c r="U57" i="107"/>
  <c r="Q57" i="107"/>
  <c r="V56" i="107"/>
  <c r="U56" i="107"/>
  <c r="Q56" i="107"/>
  <c r="V55" i="107"/>
  <c r="U55" i="107"/>
  <c r="Q55" i="107"/>
  <c r="AF32" i="107"/>
  <c r="AD32" i="107"/>
  <c r="AC32" i="107"/>
  <c r="Y32" i="107"/>
  <c r="AF83" i="107"/>
  <c r="AD83" i="107"/>
  <c r="AC83" i="107"/>
  <c r="AF103" i="108" l="1"/>
  <c r="K115" i="108"/>
  <c r="M116" i="108" s="1"/>
  <c r="AC87" i="108"/>
  <c r="AE79" i="107"/>
  <c r="Q75" i="107"/>
  <c r="Y75" i="107" s="1"/>
  <c r="AB75" i="107"/>
  <c r="AA75" i="107"/>
  <c r="Z75" i="107"/>
  <c r="AF75" i="107" s="1"/>
  <c r="V75" i="107"/>
  <c r="AD75" i="107" s="1"/>
  <c r="U75" i="107"/>
  <c r="AC75" i="107" s="1"/>
  <c r="AI75" i="107" l="1"/>
  <c r="P75" i="107" s="1"/>
  <c r="AE94" i="107"/>
  <c r="AE95" i="107"/>
  <c r="AE96" i="107"/>
  <c r="AE97" i="107"/>
  <c r="AE98" i="107"/>
  <c r="Q48" i="107" l="1"/>
  <c r="AB40" i="107" l="1"/>
  <c r="AA40" i="107"/>
  <c r="Z40" i="107"/>
  <c r="AB34" i="107"/>
  <c r="AE84" i="107" l="1"/>
  <c r="AE82" i="107"/>
  <c r="AF82" i="107" s="1"/>
  <c r="AE80" i="107"/>
  <c r="AF80" i="107" s="1"/>
  <c r="AF79" i="107"/>
  <c r="AE77" i="107"/>
  <c r="AE65" i="107"/>
  <c r="AE48" i="107"/>
  <c r="AE46" i="107"/>
  <c r="AE45" i="107"/>
  <c r="AE44" i="107"/>
  <c r="AE37" i="107"/>
  <c r="AE35" i="107"/>
  <c r="AE34" i="107"/>
  <c r="AE28" i="107"/>
  <c r="AE29" i="107"/>
  <c r="AE30" i="107"/>
  <c r="AE31" i="107"/>
  <c r="AE20" i="107"/>
  <c r="AE21" i="107"/>
  <c r="AE22" i="107"/>
  <c r="AE23" i="107"/>
  <c r="AE24" i="107"/>
  <c r="AE25" i="107"/>
  <c r="AE26" i="107"/>
  <c r="AE27" i="107"/>
  <c r="T103" i="107"/>
  <c r="S103" i="107"/>
  <c r="R103" i="107"/>
  <c r="Y102" i="107"/>
  <c r="U102" i="107"/>
  <c r="Q102" i="107"/>
  <c r="Y101" i="107"/>
  <c r="U101" i="107"/>
  <c r="Q101" i="107"/>
  <c r="Y100" i="107"/>
  <c r="Y99" i="107"/>
  <c r="AB98" i="107"/>
  <c r="AA98" i="107"/>
  <c r="Z98" i="107"/>
  <c r="Y98" i="107"/>
  <c r="V98" i="107"/>
  <c r="U98" i="107"/>
  <c r="AC98" i="107" s="1"/>
  <c r="Q98" i="107"/>
  <c r="AB97" i="107"/>
  <c r="AA97" i="107"/>
  <c r="Z97" i="107"/>
  <c r="V97" i="107"/>
  <c r="AD97" i="107" s="1"/>
  <c r="U97" i="107"/>
  <c r="AC97" i="107" s="1"/>
  <c r="Q97" i="107"/>
  <c r="Y97" i="107" s="1"/>
  <c r="AB96" i="107"/>
  <c r="AA96" i="107"/>
  <c r="Z96" i="107"/>
  <c r="V96" i="107"/>
  <c r="AI96" i="107" s="1"/>
  <c r="P96" i="107" s="1"/>
  <c r="U96" i="107"/>
  <c r="AC96" i="107" s="1"/>
  <c r="Q96" i="107"/>
  <c r="Y96" i="107" s="1"/>
  <c r="AB95" i="107"/>
  <c r="AA95" i="107"/>
  <c r="Z95" i="107"/>
  <c r="V95" i="107"/>
  <c r="AI95" i="107" s="1"/>
  <c r="P95" i="107" s="1"/>
  <c r="U95" i="107"/>
  <c r="AC95" i="107" s="1"/>
  <c r="Q95" i="107"/>
  <c r="Y95" i="107" s="1"/>
  <c r="AB94" i="107"/>
  <c r="AA94" i="107"/>
  <c r="Z94" i="107"/>
  <c r="AF94" i="107" s="1"/>
  <c r="V94" i="107"/>
  <c r="AI94" i="107" s="1"/>
  <c r="P94" i="107" s="1"/>
  <c r="U94" i="107"/>
  <c r="AC94" i="107" s="1"/>
  <c r="Q94" i="107"/>
  <c r="Y94" i="107" s="1"/>
  <c r="AE93" i="107"/>
  <c r="AB93" i="107"/>
  <c r="AA93" i="107"/>
  <c r="Z93" i="107"/>
  <c r="V93" i="107"/>
  <c r="U93" i="107"/>
  <c r="Q93" i="107"/>
  <c r="Y93" i="107" s="1"/>
  <c r="AI90" i="107"/>
  <c r="AD90" i="107"/>
  <c r="AC90" i="107"/>
  <c r="AB90" i="107"/>
  <c r="AA90" i="107"/>
  <c r="Z90" i="107"/>
  <c r="AF90" i="107" s="1"/>
  <c r="Y90" i="107"/>
  <c r="AI89" i="107"/>
  <c r="AD89" i="107"/>
  <c r="AC89" i="107"/>
  <c r="AB89" i="107"/>
  <c r="AA89" i="107"/>
  <c r="Z89" i="107"/>
  <c r="AF89" i="107" s="1"/>
  <c r="Y89" i="107"/>
  <c r="AI88" i="107"/>
  <c r="AD88" i="107"/>
  <c r="AC88" i="107"/>
  <c r="AB88" i="107"/>
  <c r="AA88" i="107"/>
  <c r="Z88" i="107"/>
  <c r="AF88" i="107" s="1"/>
  <c r="Y88" i="107"/>
  <c r="T86" i="107"/>
  <c r="S86" i="107"/>
  <c r="S113" i="107" s="1"/>
  <c r="R86" i="107"/>
  <c r="AO17" i="107" s="1"/>
  <c r="AB85" i="107"/>
  <c r="AA85" i="107"/>
  <c r="Z85" i="107"/>
  <c r="AF85" i="107" s="1"/>
  <c r="Y85" i="107"/>
  <c r="V85" i="107"/>
  <c r="AI85" i="107" s="1"/>
  <c r="P85" i="107" s="1"/>
  <c r="U85" i="107"/>
  <c r="AC85" i="107" s="1"/>
  <c r="Q85" i="107"/>
  <c r="AB84" i="107"/>
  <c r="AA84" i="107"/>
  <c r="Z84" i="107"/>
  <c r="V84" i="107"/>
  <c r="AI84" i="107" s="1"/>
  <c r="P84" i="107" s="1"/>
  <c r="U84" i="107"/>
  <c r="AC84" i="107" s="1"/>
  <c r="Q84" i="107"/>
  <c r="Y84" i="107" s="1"/>
  <c r="AI83" i="107"/>
  <c r="Y83" i="107"/>
  <c r="P83" i="107"/>
  <c r="AB82" i="107"/>
  <c r="V82" i="107"/>
  <c r="AI82" i="107" s="1"/>
  <c r="P82" i="107" s="1"/>
  <c r="U82" i="107"/>
  <c r="AC82" i="107" s="1"/>
  <c r="Q82" i="107"/>
  <c r="Y82" i="107" s="1"/>
  <c r="AI81" i="107"/>
  <c r="P81" i="107" s="1"/>
  <c r="Z81" i="107"/>
  <c r="Y81" i="107"/>
  <c r="AB80" i="107"/>
  <c r="V80" i="107"/>
  <c r="AD80" i="107" s="1"/>
  <c r="U80" i="107"/>
  <c r="AC80" i="107" s="1"/>
  <c r="Q80" i="107"/>
  <c r="Y80" i="107" s="1"/>
  <c r="AB79" i="107"/>
  <c r="V79" i="107"/>
  <c r="AI79" i="107" s="1"/>
  <c r="P79" i="107" s="1"/>
  <c r="U79" i="107"/>
  <c r="AC79" i="107" s="1"/>
  <c r="Q79" i="107"/>
  <c r="Y79" i="107" s="1"/>
  <c r="AB78" i="107"/>
  <c r="AA78" i="107"/>
  <c r="Z78" i="107"/>
  <c r="AF78" i="107" s="1"/>
  <c r="V78" i="107"/>
  <c r="AD78" i="107" s="1"/>
  <c r="U78" i="107"/>
  <c r="AC78" i="107" s="1"/>
  <c r="Q78" i="107"/>
  <c r="Y78" i="107" s="1"/>
  <c r="AB77" i="107"/>
  <c r="AA77" i="107"/>
  <c r="Z77" i="107"/>
  <c r="V77" i="107"/>
  <c r="AD77" i="107" s="1"/>
  <c r="U77" i="107"/>
  <c r="AC77" i="107" s="1"/>
  <c r="Q77" i="107"/>
  <c r="Y77" i="107" s="1"/>
  <c r="AE76" i="107"/>
  <c r="AB76" i="107"/>
  <c r="AA76" i="107"/>
  <c r="Z76" i="107"/>
  <c r="Y76" i="107"/>
  <c r="V76" i="107"/>
  <c r="AD76" i="107" s="1"/>
  <c r="U76" i="107"/>
  <c r="AC76" i="107" s="1"/>
  <c r="Q76" i="107"/>
  <c r="AI74" i="107"/>
  <c r="P74" i="107" s="1"/>
  <c r="Y74" i="107"/>
  <c r="AB73" i="107"/>
  <c r="AA73" i="107"/>
  <c r="Z73" i="107"/>
  <c r="V73" i="107"/>
  <c r="AD73" i="107" s="1"/>
  <c r="U73" i="107"/>
  <c r="AC73" i="107" s="1"/>
  <c r="Q73" i="107"/>
  <c r="Y73" i="107" s="1"/>
  <c r="AE72" i="107"/>
  <c r="AB72" i="107"/>
  <c r="AA72" i="107"/>
  <c r="Z72" i="107"/>
  <c r="V72" i="107"/>
  <c r="AD72" i="107" s="1"/>
  <c r="U72" i="107"/>
  <c r="AC72" i="107" s="1"/>
  <c r="Q72" i="107"/>
  <c r="Y72" i="107" s="1"/>
  <c r="AE71" i="107"/>
  <c r="AB71" i="107"/>
  <c r="AA71" i="107"/>
  <c r="Z71" i="107"/>
  <c r="V71" i="107"/>
  <c r="AI71" i="107" s="1"/>
  <c r="P71" i="107" s="1"/>
  <c r="U71" i="107"/>
  <c r="Q71" i="107"/>
  <c r="Y71" i="107" s="1"/>
  <c r="AE70" i="107"/>
  <c r="AB70" i="107"/>
  <c r="AA70" i="107"/>
  <c r="Z70" i="107"/>
  <c r="V70" i="107"/>
  <c r="AD70" i="107" s="1"/>
  <c r="U70" i="107"/>
  <c r="AC70" i="107" s="1"/>
  <c r="Q70" i="107"/>
  <c r="Y70" i="107" s="1"/>
  <c r="AB69" i="107"/>
  <c r="AA69" i="107"/>
  <c r="Z69" i="107"/>
  <c r="AF69" i="107" s="1"/>
  <c r="Y69" i="107"/>
  <c r="V69" i="107"/>
  <c r="AI69" i="107" s="1"/>
  <c r="P69" i="107" s="1"/>
  <c r="U69" i="107"/>
  <c r="AC69" i="107" s="1"/>
  <c r="Q69" i="107"/>
  <c r="AE68" i="107"/>
  <c r="AB68" i="107"/>
  <c r="AA68" i="107"/>
  <c r="Z68" i="107"/>
  <c r="V68" i="107"/>
  <c r="AD68" i="107" s="1"/>
  <c r="U68" i="107"/>
  <c r="AC68" i="107" s="1"/>
  <c r="Q68" i="107"/>
  <c r="Y68" i="107" s="1"/>
  <c r="AE67" i="107"/>
  <c r="AB67" i="107"/>
  <c r="AA67" i="107"/>
  <c r="Z67" i="107"/>
  <c r="V67" i="107"/>
  <c r="U67" i="107"/>
  <c r="AC67" i="107" s="1"/>
  <c r="Q67" i="107"/>
  <c r="Y67" i="107" s="1"/>
  <c r="AE66" i="107"/>
  <c r="AF66" i="107" s="1"/>
  <c r="AB66" i="107"/>
  <c r="AA66" i="107"/>
  <c r="Z66" i="107"/>
  <c r="V66" i="107"/>
  <c r="AD66" i="107" s="1"/>
  <c r="U66" i="107"/>
  <c r="AC66" i="107" s="1"/>
  <c r="Q66" i="107"/>
  <c r="Y66" i="107" s="1"/>
  <c r="AB65" i="107"/>
  <c r="AA65" i="107"/>
  <c r="Z65" i="107"/>
  <c r="V65" i="107"/>
  <c r="AI65" i="107" s="1"/>
  <c r="P65" i="107" s="1"/>
  <c r="U65" i="107"/>
  <c r="AC65" i="107" s="1"/>
  <c r="Q65" i="107"/>
  <c r="Y65" i="107" s="1"/>
  <c r="AE64" i="107"/>
  <c r="AB64" i="107"/>
  <c r="AA64" i="107"/>
  <c r="Z64" i="107"/>
  <c r="V64" i="107"/>
  <c r="AD64" i="107" s="1"/>
  <c r="U64" i="107"/>
  <c r="AC64" i="107" s="1"/>
  <c r="Q64" i="107"/>
  <c r="Y64" i="107" s="1"/>
  <c r="AE63" i="107"/>
  <c r="AB63" i="107"/>
  <c r="AA63" i="107"/>
  <c r="Z63" i="107"/>
  <c r="V63" i="107"/>
  <c r="AI63" i="107" s="1"/>
  <c r="P63" i="107" s="1"/>
  <c r="U63" i="107"/>
  <c r="AC63" i="107" s="1"/>
  <c r="Q63" i="107"/>
  <c r="Y63" i="107" s="1"/>
  <c r="AE62" i="107"/>
  <c r="AB62" i="107"/>
  <c r="AA62" i="107"/>
  <c r="Z62" i="107"/>
  <c r="V62" i="107"/>
  <c r="U62" i="107"/>
  <c r="AC62" i="107" s="1"/>
  <c r="Q62" i="107"/>
  <c r="Y62" i="107" s="1"/>
  <c r="AE61" i="107"/>
  <c r="AB61" i="107"/>
  <c r="AA61" i="107"/>
  <c r="Z61" i="107"/>
  <c r="V61" i="107"/>
  <c r="AD61" i="107" s="1"/>
  <c r="U61" i="107"/>
  <c r="AC61" i="107" s="1"/>
  <c r="Q61" i="107"/>
  <c r="Y61" i="107" s="1"/>
  <c r="AE60" i="107"/>
  <c r="AB60" i="107"/>
  <c r="AA60" i="107"/>
  <c r="Z60" i="107"/>
  <c r="V60" i="107"/>
  <c r="AD60" i="107" s="1"/>
  <c r="U60" i="107"/>
  <c r="AC60" i="107" s="1"/>
  <c r="Q60" i="107"/>
  <c r="Y60" i="107" s="1"/>
  <c r="AI59" i="107"/>
  <c r="P59" i="107" s="1"/>
  <c r="AI58" i="107"/>
  <c r="P58" i="107" s="1"/>
  <c r="AI57" i="107"/>
  <c r="P57" i="107" s="1"/>
  <c r="AI56" i="107"/>
  <c r="P56" i="107" s="1"/>
  <c r="AI55" i="107"/>
  <c r="P55" i="107" s="1"/>
  <c r="AI54" i="107"/>
  <c r="Y54" i="107"/>
  <c r="AI53" i="107"/>
  <c r="AI52" i="107"/>
  <c r="P52" i="107" s="1"/>
  <c r="Y52" i="107"/>
  <c r="AB51" i="107"/>
  <c r="AA51" i="107"/>
  <c r="Z51" i="107"/>
  <c r="AF51" i="107" s="1"/>
  <c r="V51" i="107"/>
  <c r="AI51" i="107" s="1"/>
  <c r="P51" i="107" s="1"/>
  <c r="U51" i="107"/>
  <c r="AC51" i="107" s="1"/>
  <c r="Q51" i="107"/>
  <c r="Y51" i="107" s="1"/>
  <c r="AI50" i="107"/>
  <c r="P50" i="107" s="1"/>
  <c r="Y50" i="107"/>
  <c r="AI49" i="107"/>
  <c r="AB48" i="107"/>
  <c r="AA48" i="107"/>
  <c r="Z48" i="107"/>
  <c r="V48" i="107"/>
  <c r="AI48" i="107" s="1"/>
  <c r="P48" i="107" s="1"/>
  <c r="U48" i="107"/>
  <c r="AC48" i="107" s="1"/>
  <c r="Y48" i="107"/>
  <c r="AI47" i="107"/>
  <c r="AB46" i="107"/>
  <c r="AA46" i="107"/>
  <c r="Z46" i="107"/>
  <c r="AF46" i="107" s="1"/>
  <c r="V46" i="107"/>
  <c r="AI46" i="107" s="1"/>
  <c r="P46" i="107" s="1"/>
  <c r="U46" i="107"/>
  <c r="AC46" i="107" s="1"/>
  <c r="Q46" i="107"/>
  <c r="Y46" i="107" s="1"/>
  <c r="AB45" i="107"/>
  <c r="AA45" i="107"/>
  <c r="Z45" i="107"/>
  <c r="V45" i="107"/>
  <c r="AI45" i="107" s="1"/>
  <c r="P45" i="107" s="1"/>
  <c r="U45" i="107"/>
  <c r="AC45" i="107" s="1"/>
  <c r="Q45" i="107"/>
  <c r="Y45" i="107" s="1"/>
  <c r="AB44" i="107"/>
  <c r="AA44" i="107"/>
  <c r="Z44" i="107"/>
  <c r="V44" i="107"/>
  <c r="AI44" i="107" s="1"/>
  <c r="P44" i="107" s="1"/>
  <c r="U44" i="107"/>
  <c r="AC44" i="107" s="1"/>
  <c r="Q44" i="107"/>
  <c r="Y44" i="107" s="1"/>
  <c r="AB43" i="107"/>
  <c r="AA43" i="107"/>
  <c r="Z43" i="107"/>
  <c r="AF43" i="107" s="1"/>
  <c r="V43" i="107"/>
  <c r="AI43" i="107" s="1"/>
  <c r="P43" i="107" s="1"/>
  <c r="U43" i="107"/>
  <c r="AC43" i="107" s="1"/>
  <c r="Q43" i="107"/>
  <c r="Y43" i="107" s="1"/>
  <c r="AI42" i="107"/>
  <c r="Y42" i="107"/>
  <c r="AE41" i="107"/>
  <c r="AB41" i="107"/>
  <c r="AA41" i="107"/>
  <c r="Z41" i="107"/>
  <c r="V41" i="107"/>
  <c r="AD41" i="107" s="1"/>
  <c r="U41" i="107"/>
  <c r="AC41" i="107" s="1"/>
  <c r="Q41" i="107"/>
  <c r="Y41" i="107" s="1"/>
  <c r="AF40" i="107"/>
  <c r="AD40" i="107"/>
  <c r="V40" i="107"/>
  <c r="AI40" i="107" s="1"/>
  <c r="P40" i="107" s="1"/>
  <c r="U40" i="107"/>
  <c r="AC40" i="107" s="1"/>
  <c r="Q40" i="107"/>
  <c r="Y40" i="107" s="1"/>
  <c r="AI39" i="107"/>
  <c r="AB38" i="107"/>
  <c r="AA38" i="107"/>
  <c r="Z38" i="107"/>
  <c r="AF38" i="107" s="1"/>
  <c r="V38" i="107"/>
  <c r="AI38" i="107" s="1"/>
  <c r="P38" i="107" s="1"/>
  <c r="U38" i="107"/>
  <c r="AC38" i="107" s="1"/>
  <c r="Q38" i="107"/>
  <c r="Y38" i="107" s="1"/>
  <c r="AB37" i="107"/>
  <c r="AA37" i="107"/>
  <c r="Z37" i="107"/>
  <c r="AF37" i="107" s="1"/>
  <c r="V37" i="107"/>
  <c r="AI37" i="107" s="1"/>
  <c r="P37" i="107" s="1"/>
  <c r="U37" i="107"/>
  <c r="AC37" i="107" s="1"/>
  <c r="Q37" i="107"/>
  <c r="Y37" i="107" s="1"/>
  <c r="AI36" i="107"/>
  <c r="AB35" i="107"/>
  <c r="AA35" i="107"/>
  <c r="Z35" i="107"/>
  <c r="AF35" i="107" s="1"/>
  <c r="V35" i="107"/>
  <c r="AI35" i="107" s="1"/>
  <c r="P35" i="107" s="1"/>
  <c r="U35" i="107"/>
  <c r="AC35" i="107" s="1"/>
  <c r="Q35" i="107"/>
  <c r="Y35" i="107" s="1"/>
  <c r="AA34" i="107"/>
  <c r="Z34" i="107"/>
  <c r="AF34" i="107" s="1"/>
  <c r="V34" i="107"/>
  <c r="AI34" i="107" s="1"/>
  <c r="P34" i="107" s="1"/>
  <c r="U34" i="107"/>
  <c r="AC34" i="107" s="1"/>
  <c r="Q34" i="107"/>
  <c r="Y34" i="107" s="1"/>
  <c r="AE33" i="107"/>
  <c r="AB33" i="107"/>
  <c r="AA33" i="107"/>
  <c r="Z33" i="107"/>
  <c r="V33" i="107"/>
  <c r="AD33" i="107" s="1"/>
  <c r="U33" i="107"/>
  <c r="AC33" i="107" s="1"/>
  <c r="Q33" i="107"/>
  <c r="Y33" i="107" s="1"/>
  <c r="V32" i="107"/>
  <c r="AI32" i="107" s="1"/>
  <c r="P32" i="107" s="1"/>
  <c r="U32" i="107"/>
  <c r="Q32" i="107"/>
  <c r="AB31" i="107"/>
  <c r="AA31" i="107"/>
  <c r="Z31" i="107"/>
  <c r="V31" i="107"/>
  <c r="AD31" i="107" s="1"/>
  <c r="U31" i="107"/>
  <c r="AC31" i="107" s="1"/>
  <c r="Q31" i="107"/>
  <c r="Y31" i="107" s="1"/>
  <c r="AB30" i="107"/>
  <c r="AA30" i="107"/>
  <c r="Z30" i="107"/>
  <c r="V30" i="107"/>
  <c r="AD30" i="107" s="1"/>
  <c r="U30" i="107"/>
  <c r="AC30" i="107" s="1"/>
  <c r="Q30" i="107"/>
  <c r="Y30" i="107" s="1"/>
  <c r="AB29" i="107"/>
  <c r="AA29" i="107"/>
  <c r="Z29" i="107"/>
  <c r="AF29" i="107" s="1"/>
  <c r="V29" i="107"/>
  <c r="AI29" i="107" s="1"/>
  <c r="P29" i="107" s="1"/>
  <c r="U29" i="107"/>
  <c r="AC29" i="107" s="1"/>
  <c r="Q29" i="107"/>
  <c r="Y29" i="107" s="1"/>
  <c r="AB28" i="107"/>
  <c r="AA28" i="107"/>
  <c r="Z28" i="107"/>
  <c r="AF28" i="107" s="1"/>
  <c r="V28" i="107"/>
  <c r="AI28" i="107" s="1"/>
  <c r="P28" i="107" s="1"/>
  <c r="U28" i="107"/>
  <c r="AC28" i="107" s="1"/>
  <c r="Q28" i="107"/>
  <c r="Y28" i="107" s="1"/>
  <c r="AB27" i="107"/>
  <c r="AA27" i="107"/>
  <c r="Z27" i="107"/>
  <c r="V27" i="107"/>
  <c r="AI27" i="107" s="1"/>
  <c r="P27" i="107" s="1"/>
  <c r="U27" i="107"/>
  <c r="AC27" i="107" s="1"/>
  <c r="Q27" i="107"/>
  <c r="Y27" i="107" s="1"/>
  <c r="AB26" i="107"/>
  <c r="AA26" i="107"/>
  <c r="Z26" i="107"/>
  <c r="AF26" i="107" s="1"/>
  <c r="V26" i="107"/>
  <c r="AI26" i="107" s="1"/>
  <c r="P26" i="107" s="1"/>
  <c r="U26" i="107"/>
  <c r="AC26" i="107" s="1"/>
  <c r="Q26" i="107"/>
  <c r="Y26" i="107" s="1"/>
  <c r="AB25" i="107"/>
  <c r="AA25" i="107"/>
  <c r="Z25" i="107"/>
  <c r="AF25" i="107" s="1"/>
  <c r="V25" i="107"/>
  <c r="AI25" i="107" s="1"/>
  <c r="P25" i="107" s="1"/>
  <c r="U25" i="107"/>
  <c r="AC25" i="107" s="1"/>
  <c r="Q25" i="107"/>
  <c r="Y25" i="107" s="1"/>
  <c r="AB24" i="107"/>
  <c r="AA24" i="107"/>
  <c r="Z24" i="107"/>
  <c r="V24" i="107"/>
  <c r="AI24" i="107" s="1"/>
  <c r="P24" i="107" s="1"/>
  <c r="U24" i="107"/>
  <c r="AC24" i="107" s="1"/>
  <c r="Q24" i="107"/>
  <c r="Y24" i="107" s="1"/>
  <c r="AB23" i="107"/>
  <c r="AA23" i="107"/>
  <c r="Z23" i="107"/>
  <c r="V23" i="107"/>
  <c r="AD23" i="107" s="1"/>
  <c r="U23" i="107"/>
  <c r="AC23" i="107" s="1"/>
  <c r="Q23" i="107"/>
  <c r="Y23" i="107" s="1"/>
  <c r="AN22" i="107"/>
  <c r="AB22" i="107"/>
  <c r="AA22" i="107"/>
  <c r="Z22" i="107"/>
  <c r="AF22" i="107" s="1"/>
  <c r="V22" i="107"/>
  <c r="AI22" i="107" s="1"/>
  <c r="P22" i="107" s="1"/>
  <c r="U22" i="107"/>
  <c r="AC22" i="107" s="1"/>
  <c r="Q22" i="107"/>
  <c r="Y22" i="107" s="1"/>
  <c r="AB21" i="107"/>
  <c r="AA21" i="107"/>
  <c r="Z21" i="107"/>
  <c r="AF21" i="107" s="1"/>
  <c r="V21" i="107"/>
  <c r="AI21" i="107" s="1"/>
  <c r="P21" i="107" s="1"/>
  <c r="U21" i="107"/>
  <c r="AC21" i="107" s="1"/>
  <c r="Q21" i="107"/>
  <c r="Y21" i="107" s="1"/>
  <c r="AB20" i="107"/>
  <c r="AA20" i="107"/>
  <c r="Z20" i="107"/>
  <c r="AF20" i="107" s="1"/>
  <c r="V20" i="107"/>
  <c r="AI20" i="107" s="1"/>
  <c r="P20" i="107" s="1"/>
  <c r="U20" i="107"/>
  <c r="AC20" i="107" s="1"/>
  <c r="Q20" i="107"/>
  <c r="Y20" i="107" s="1"/>
  <c r="AE19" i="107"/>
  <c r="AB19" i="107"/>
  <c r="AA19" i="107"/>
  <c r="Z19" i="107"/>
  <c r="V19" i="107"/>
  <c r="AD19" i="107" s="1"/>
  <c r="U19" i="107"/>
  <c r="AC19" i="107" s="1"/>
  <c r="Q19" i="107"/>
  <c r="Y19" i="107" s="1"/>
  <c r="AI18" i="107"/>
  <c r="Y18" i="107"/>
  <c r="AM17" i="107"/>
  <c r="AF63" i="107" l="1"/>
  <c r="AF61" i="107"/>
  <c r="AB103" i="107"/>
  <c r="AF98" i="107"/>
  <c r="AF97" i="107"/>
  <c r="AI97" i="107"/>
  <c r="P97" i="107" s="1"/>
  <c r="AD95" i="107"/>
  <c r="AA103" i="107"/>
  <c r="R113" i="107"/>
  <c r="AI60" i="107"/>
  <c r="P60" i="107" s="1"/>
  <c r="AF76" i="107"/>
  <c r="AI30" i="107"/>
  <c r="P30" i="107" s="1"/>
  <c r="AD43" i="107"/>
  <c r="AF84" i="107"/>
  <c r="AF77" i="107"/>
  <c r="AF65" i="107"/>
  <c r="AF48" i="107"/>
  <c r="AF45" i="107"/>
  <c r="AF44" i="107"/>
  <c r="AF27" i="107"/>
  <c r="AF23" i="107"/>
  <c r="AF68" i="107"/>
  <c r="AF73" i="107"/>
  <c r="AF60" i="107"/>
  <c r="AF62" i="107"/>
  <c r="AF67" i="107"/>
  <c r="AF41" i="107"/>
  <c r="AF31" i="107"/>
  <c r="AF95" i="107"/>
  <c r="AF19" i="107"/>
  <c r="AF93" i="107"/>
  <c r="AD94" i="107"/>
  <c r="AD96" i="107"/>
  <c r="AD27" i="107"/>
  <c r="AI33" i="107"/>
  <c r="P33" i="107" s="1"/>
  <c r="AD44" i="107"/>
  <c r="AI80" i="107"/>
  <c r="P80" i="107" s="1"/>
  <c r="Z103" i="107"/>
  <c r="AI61" i="107"/>
  <c r="P61" i="107" s="1"/>
  <c r="AD63" i="107"/>
  <c r="AD34" i="107"/>
  <c r="AD35" i="107"/>
  <c r="AD48" i="107"/>
  <c r="AI64" i="107"/>
  <c r="P64" i="107" s="1"/>
  <c r="AI68" i="107"/>
  <c r="P68" i="107" s="1"/>
  <c r="AI70" i="107"/>
  <c r="P70" i="107" s="1"/>
  <c r="AI72" i="107"/>
  <c r="P72" i="107" s="1"/>
  <c r="AI73" i="107"/>
  <c r="P73" i="107" s="1"/>
  <c r="AB86" i="107"/>
  <c r="AB113" i="107" s="1"/>
  <c r="AD21" i="107"/>
  <c r="AD26" i="107"/>
  <c r="AD37" i="107"/>
  <c r="AD38" i="107"/>
  <c r="AD45" i="107"/>
  <c r="AD46" i="107"/>
  <c r="AD69" i="107"/>
  <c r="AD84" i="107"/>
  <c r="AD20" i="107"/>
  <c r="AD22" i="107"/>
  <c r="AD25" i="107"/>
  <c r="AI23" i="107"/>
  <c r="P23" i="107" s="1"/>
  <c r="AF24" i="107"/>
  <c r="AD28" i="107"/>
  <c r="AD29" i="107"/>
  <c r="AF33" i="107"/>
  <c r="AD51" i="107"/>
  <c r="AF64" i="107"/>
  <c r="AI66" i="107"/>
  <c r="P66" i="107" s="1"/>
  <c r="AF70" i="107"/>
  <c r="AF72" i="107"/>
  <c r="AI76" i="107"/>
  <c r="P76" i="107" s="1"/>
  <c r="AD85" i="107"/>
  <c r="U86" i="107"/>
  <c r="AF96" i="107"/>
  <c r="AI17" i="107"/>
  <c r="AD67" i="107"/>
  <c r="AI67" i="107"/>
  <c r="P67" i="107" s="1"/>
  <c r="AI19" i="107"/>
  <c r="P19" i="107" s="1"/>
  <c r="AI31" i="107"/>
  <c r="P31" i="107" s="1"/>
  <c r="AI41" i="107"/>
  <c r="P41" i="107" s="1"/>
  <c r="AD62" i="107"/>
  <c r="AI62" i="107"/>
  <c r="P62" i="107" s="1"/>
  <c r="AF71" i="107"/>
  <c r="AI77" i="107"/>
  <c r="P77" i="107" s="1"/>
  <c r="AI78" i="107"/>
  <c r="P78" i="107" s="1"/>
  <c r="AD82" i="107"/>
  <c r="U103" i="107"/>
  <c r="T113" i="107"/>
  <c r="Z86" i="107"/>
  <c r="AF30" i="107"/>
  <c r="AD79" i="107"/>
  <c r="AD93" i="107"/>
  <c r="AI93" i="107"/>
  <c r="P93" i="107" s="1"/>
  <c r="AD98" i="107"/>
  <c r="AI98" i="107"/>
  <c r="P98" i="107" s="1"/>
  <c r="AA86" i="107"/>
  <c r="AD24" i="107"/>
  <c r="AD65" i="107"/>
  <c r="AC93" i="107"/>
  <c r="V78" i="106"/>
  <c r="AD40" i="106"/>
  <c r="AC40" i="106"/>
  <c r="U113" i="107" l="1"/>
  <c r="Z113" i="107"/>
  <c r="AF103" i="107"/>
  <c r="AF86" i="107"/>
  <c r="AA113" i="107"/>
  <c r="AC86" i="107"/>
  <c r="AC113" i="107" s="1"/>
  <c r="Q27" i="106"/>
  <c r="AF113" i="107" l="1"/>
  <c r="K115" i="107" s="1"/>
  <c r="R104" i="106"/>
  <c r="S104" i="106"/>
  <c r="T104" i="106"/>
  <c r="Q97" i="106"/>
  <c r="Y97" i="106" s="1"/>
  <c r="Q99" i="106"/>
  <c r="Y99" i="106" s="1"/>
  <c r="AE96" i="106"/>
  <c r="AE97" i="106"/>
  <c r="AE98" i="106"/>
  <c r="AE99" i="106"/>
  <c r="AE94" i="106"/>
  <c r="V95" i="106"/>
  <c r="AD95" i="106" s="1"/>
  <c r="V96" i="106"/>
  <c r="AD96" i="106" s="1"/>
  <c r="V97" i="106"/>
  <c r="AD97" i="106" s="1"/>
  <c r="V98" i="106"/>
  <c r="AI98" i="106" s="1"/>
  <c r="P98" i="106" s="1"/>
  <c r="V99" i="106"/>
  <c r="AI99" i="106" s="1"/>
  <c r="P99" i="106" s="1"/>
  <c r="V94" i="106"/>
  <c r="AD94" i="106" s="1"/>
  <c r="Q30" i="106"/>
  <c r="Y30" i="106" s="1"/>
  <c r="Z30" i="106"/>
  <c r="AA30" i="106"/>
  <c r="AB30" i="106"/>
  <c r="Y103" i="106"/>
  <c r="U103" i="106"/>
  <c r="Q103" i="106"/>
  <c r="Y102" i="106"/>
  <c r="U102" i="106"/>
  <c r="Q102" i="106"/>
  <c r="Y101" i="106"/>
  <c r="Y100" i="106"/>
  <c r="AB99" i="106"/>
  <c r="AA99" i="106"/>
  <c r="Z99" i="106"/>
  <c r="U99" i="106"/>
  <c r="AC99" i="106" s="1"/>
  <c r="AB98" i="106"/>
  <c r="AA98" i="106"/>
  <c r="Z98" i="106"/>
  <c r="Y98" i="106"/>
  <c r="U98" i="106"/>
  <c r="AC98" i="106" s="1"/>
  <c r="Q98" i="106"/>
  <c r="AB97" i="106"/>
  <c r="AA97" i="106"/>
  <c r="Z97" i="106"/>
  <c r="U97" i="106"/>
  <c r="AC97" i="106" s="1"/>
  <c r="AB96" i="106"/>
  <c r="AA96" i="106"/>
  <c r="Z96" i="106"/>
  <c r="U96" i="106"/>
  <c r="AC96" i="106" s="1"/>
  <c r="Q96" i="106"/>
  <c r="Y96" i="106" s="1"/>
  <c r="AI95" i="106"/>
  <c r="P95" i="106" s="1"/>
  <c r="AB95" i="106"/>
  <c r="AA95" i="106"/>
  <c r="Z95" i="106"/>
  <c r="AF95" i="106" s="1"/>
  <c r="U95" i="106"/>
  <c r="AC95" i="106" s="1"/>
  <c r="Q95" i="106"/>
  <c r="Y95" i="106" s="1"/>
  <c r="AB94" i="106"/>
  <c r="AA94" i="106"/>
  <c r="Z94" i="106"/>
  <c r="U94" i="106"/>
  <c r="AC94" i="106" s="1"/>
  <c r="Q94" i="106"/>
  <c r="Y94" i="106" s="1"/>
  <c r="AI91" i="106"/>
  <c r="AD91" i="106"/>
  <c r="AC91" i="106"/>
  <c r="AB91" i="106"/>
  <c r="AA91" i="106"/>
  <c r="Z91" i="106"/>
  <c r="AF91" i="106" s="1"/>
  <c r="Y91" i="106"/>
  <c r="AI90" i="106"/>
  <c r="AD90" i="106"/>
  <c r="AC90" i="106"/>
  <c r="AB90" i="106"/>
  <c r="AA90" i="106"/>
  <c r="Z90" i="106"/>
  <c r="AF90" i="106" s="1"/>
  <c r="Y90" i="106"/>
  <c r="AI89" i="106"/>
  <c r="AD89" i="106"/>
  <c r="AC89" i="106"/>
  <c r="AB89" i="106"/>
  <c r="AA89" i="106"/>
  <c r="Z89" i="106"/>
  <c r="AF89" i="106" s="1"/>
  <c r="Y89" i="106"/>
  <c r="AI88" i="106"/>
  <c r="AD88" i="106"/>
  <c r="AC88" i="106"/>
  <c r="AB88" i="106"/>
  <c r="AA88" i="106"/>
  <c r="Z88" i="106"/>
  <c r="AF88" i="106" s="1"/>
  <c r="Y88" i="106"/>
  <c r="T85" i="106"/>
  <c r="S85" i="106"/>
  <c r="R85" i="106"/>
  <c r="AO17" i="106" s="1"/>
  <c r="AB84" i="106"/>
  <c r="AA84" i="106"/>
  <c r="Z84" i="106"/>
  <c r="AF84" i="106" s="1"/>
  <c r="Y84" i="106"/>
  <c r="V84" i="106"/>
  <c r="AI84" i="106" s="1"/>
  <c r="P84" i="106" s="1"/>
  <c r="U84" i="106"/>
  <c r="AC84" i="106" s="1"/>
  <c r="Q84" i="106"/>
  <c r="AB83" i="106"/>
  <c r="AA83" i="106"/>
  <c r="Z83" i="106"/>
  <c r="V83" i="106"/>
  <c r="AI83" i="106" s="1"/>
  <c r="P83" i="106" s="1"/>
  <c r="U83" i="106"/>
  <c r="AC83" i="106" s="1"/>
  <c r="Q83" i="106"/>
  <c r="Y83" i="106" s="1"/>
  <c r="AI82" i="106"/>
  <c r="P82" i="106" s="1"/>
  <c r="Y82" i="106"/>
  <c r="AB81" i="106"/>
  <c r="AF81" i="106"/>
  <c r="V81" i="106"/>
  <c r="AI81" i="106" s="1"/>
  <c r="P81" i="106" s="1"/>
  <c r="U81" i="106"/>
  <c r="AC81" i="106" s="1"/>
  <c r="Q81" i="106"/>
  <c r="Y81" i="106" s="1"/>
  <c r="AI80" i="106"/>
  <c r="P80" i="106" s="1"/>
  <c r="Z80" i="106"/>
  <c r="Y80" i="106"/>
  <c r="AB79" i="106"/>
  <c r="V79" i="106"/>
  <c r="AD79" i="106" s="1"/>
  <c r="U79" i="106"/>
  <c r="AC79" i="106" s="1"/>
  <c r="Q79" i="106"/>
  <c r="Y79" i="106" s="1"/>
  <c r="AB78" i="106"/>
  <c r="U78" i="106"/>
  <c r="AC78" i="106" s="1"/>
  <c r="Q78" i="106"/>
  <c r="Y78" i="106" s="1"/>
  <c r="AB77" i="106"/>
  <c r="AA77" i="106"/>
  <c r="Z77" i="106"/>
  <c r="AF77" i="106" s="1"/>
  <c r="V77" i="106"/>
  <c r="AD77" i="106" s="1"/>
  <c r="U77" i="106"/>
  <c r="AC77" i="106" s="1"/>
  <c r="Q77" i="106"/>
  <c r="Y77" i="106" s="1"/>
  <c r="AB76" i="106"/>
  <c r="AA76" i="106"/>
  <c r="Z76" i="106"/>
  <c r="AF76" i="106" s="1"/>
  <c r="V76" i="106"/>
  <c r="AD76" i="106" s="1"/>
  <c r="U76" i="106"/>
  <c r="AC76" i="106" s="1"/>
  <c r="Q76" i="106"/>
  <c r="Y76" i="106" s="1"/>
  <c r="AE75" i="106"/>
  <c r="AB75" i="106"/>
  <c r="AA75" i="106"/>
  <c r="Z75" i="106"/>
  <c r="V75" i="106"/>
  <c r="AI75" i="106" s="1"/>
  <c r="P75" i="106" s="1"/>
  <c r="U75" i="106"/>
  <c r="AC75" i="106" s="1"/>
  <c r="Q75" i="106"/>
  <c r="Y75" i="106" s="1"/>
  <c r="AI74" i="106"/>
  <c r="P74" i="106" s="1"/>
  <c r="Y74" i="106"/>
  <c r="AE73" i="106"/>
  <c r="AB73" i="106"/>
  <c r="AA73" i="106"/>
  <c r="Z73" i="106"/>
  <c r="V73" i="106"/>
  <c r="AI73" i="106" s="1"/>
  <c r="P73" i="106" s="1"/>
  <c r="U73" i="106"/>
  <c r="AC73" i="106" s="1"/>
  <c r="Q73" i="106"/>
  <c r="Y73" i="106" s="1"/>
  <c r="AE72" i="106"/>
  <c r="AB72" i="106"/>
  <c r="AA72" i="106"/>
  <c r="Z72" i="106"/>
  <c r="V72" i="106"/>
  <c r="U72" i="106"/>
  <c r="AC72" i="106" s="1"/>
  <c r="Q72" i="106"/>
  <c r="Y72" i="106" s="1"/>
  <c r="AE71" i="106"/>
  <c r="AB71" i="106"/>
  <c r="AA71" i="106"/>
  <c r="Z71" i="106"/>
  <c r="V71" i="106"/>
  <c r="AI71" i="106" s="1"/>
  <c r="P71" i="106" s="1"/>
  <c r="U71" i="106"/>
  <c r="Q71" i="106"/>
  <c r="Y71" i="106" s="1"/>
  <c r="AE70" i="106"/>
  <c r="AB70" i="106"/>
  <c r="AA70" i="106"/>
  <c r="Z70" i="106"/>
  <c r="V70" i="106"/>
  <c r="U70" i="106"/>
  <c r="AC70" i="106" s="1"/>
  <c r="Q70" i="106"/>
  <c r="Y70" i="106" s="1"/>
  <c r="AB69" i="106"/>
  <c r="AA69" i="106"/>
  <c r="Z69" i="106"/>
  <c r="AF69" i="106" s="1"/>
  <c r="Y69" i="106"/>
  <c r="V69" i="106"/>
  <c r="AD69" i="106" s="1"/>
  <c r="U69" i="106"/>
  <c r="AC69" i="106" s="1"/>
  <c r="Q69" i="106"/>
  <c r="AE68" i="106"/>
  <c r="AB68" i="106"/>
  <c r="AA68" i="106"/>
  <c r="Z68" i="106"/>
  <c r="V68" i="106"/>
  <c r="AD68" i="106" s="1"/>
  <c r="U68" i="106"/>
  <c r="AC68" i="106" s="1"/>
  <c r="Q68" i="106"/>
  <c r="Y68" i="106" s="1"/>
  <c r="AE67" i="106"/>
  <c r="AB67" i="106"/>
  <c r="AA67" i="106"/>
  <c r="Z67" i="106"/>
  <c r="V67" i="106"/>
  <c r="AD67" i="106" s="1"/>
  <c r="U67" i="106"/>
  <c r="AC67" i="106" s="1"/>
  <c r="Q67" i="106"/>
  <c r="Y67" i="106" s="1"/>
  <c r="AE66" i="106"/>
  <c r="AB66" i="106"/>
  <c r="AA66" i="106"/>
  <c r="Z66" i="106"/>
  <c r="V66" i="106"/>
  <c r="AI66" i="106" s="1"/>
  <c r="P66" i="106" s="1"/>
  <c r="U66" i="106"/>
  <c r="AC66" i="106" s="1"/>
  <c r="Q66" i="106"/>
  <c r="Y66" i="106" s="1"/>
  <c r="AB65" i="106"/>
  <c r="AA65" i="106"/>
  <c r="Z65" i="106"/>
  <c r="AF65" i="106" s="1"/>
  <c r="V65" i="106"/>
  <c r="U65" i="106"/>
  <c r="AC65" i="106" s="1"/>
  <c r="Q65" i="106"/>
  <c r="Y65" i="106" s="1"/>
  <c r="AE64" i="106"/>
  <c r="AB64" i="106"/>
  <c r="AA64" i="106"/>
  <c r="Z64" i="106"/>
  <c r="V64" i="106"/>
  <c r="AD64" i="106" s="1"/>
  <c r="U64" i="106"/>
  <c r="AC64" i="106" s="1"/>
  <c r="Q64" i="106"/>
  <c r="Y64" i="106" s="1"/>
  <c r="AE63" i="106"/>
  <c r="AB63" i="106"/>
  <c r="AA63" i="106"/>
  <c r="Z63" i="106"/>
  <c r="V63" i="106"/>
  <c r="AI63" i="106" s="1"/>
  <c r="P63" i="106" s="1"/>
  <c r="U63" i="106"/>
  <c r="AC63" i="106" s="1"/>
  <c r="Q63" i="106"/>
  <c r="Y63" i="106" s="1"/>
  <c r="AE62" i="106"/>
  <c r="AB62" i="106"/>
  <c r="AA62" i="106"/>
  <c r="Z62" i="106"/>
  <c r="V62" i="106"/>
  <c r="AD62" i="106" s="1"/>
  <c r="U62" i="106"/>
  <c r="AC62" i="106" s="1"/>
  <c r="Q62" i="106"/>
  <c r="Y62" i="106" s="1"/>
  <c r="AE61" i="106"/>
  <c r="AB61" i="106"/>
  <c r="AA61" i="106"/>
  <c r="Z61" i="106"/>
  <c r="V61" i="106"/>
  <c r="U61" i="106"/>
  <c r="AC61" i="106" s="1"/>
  <c r="Q61" i="106"/>
  <c r="Y61" i="106" s="1"/>
  <c r="AE60" i="106"/>
  <c r="AB60" i="106"/>
  <c r="AA60" i="106"/>
  <c r="Z60" i="106"/>
  <c r="V60" i="106"/>
  <c r="AD60" i="106" s="1"/>
  <c r="U60" i="106"/>
  <c r="AC60" i="106" s="1"/>
  <c r="Q60" i="106"/>
  <c r="Y60" i="106" s="1"/>
  <c r="AB59" i="106"/>
  <c r="AA59" i="106"/>
  <c r="Z59" i="106"/>
  <c r="AF59" i="106" s="1"/>
  <c r="V59" i="106"/>
  <c r="AD59" i="106" s="1"/>
  <c r="U59" i="106"/>
  <c r="AC59" i="106" s="1"/>
  <c r="Q59" i="106"/>
  <c r="Y59" i="106" s="1"/>
  <c r="AB58" i="106"/>
  <c r="AA58" i="106"/>
  <c r="Z58" i="106"/>
  <c r="AF58" i="106" s="1"/>
  <c r="V58" i="106"/>
  <c r="AD58" i="106" s="1"/>
  <c r="U58" i="106"/>
  <c r="AC58" i="106" s="1"/>
  <c r="Q58" i="106"/>
  <c r="Y58" i="106" s="1"/>
  <c r="AB57" i="106"/>
  <c r="AA57" i="106"/>
  <c r="Z57" i="106"/>
  <c r="AF57" i="106" s="1"/>
  <c r="V57" i="106"/>
  <c r="U57" i="106"/>
  <c r="AC57" i="106" s="1"/>
  <c r="Q57" i="106"/>
  <c r="Y57" i="106" s="1"/>
  <c r="AB56" i="106"/>
  <c r="AA56" i="106"/>
  <c r="Z56" i="106"/>
  <c r="AF56" i="106" s="1"/>
  <c r="V56" i="106"/>
  <c r="AD56" i="106" s="1"/>
  <c r="U56" i="106"/>
  <c r="AC56" i="106" s="1"/>
  <c r="Q56" i="106"/>
  <c r="Y56" i="106" s="1"/>
  <c r="AB55" i="106"/>
  <c r="AA55" i="106"/>
  <c r="Z55" i="106"/>
  <c r="AF55" i="106" s="1"/>
  <c r="V55" i="106"/>
  <c r="AD55" i="106" s="1"/>
  <c r="U55" i="106"/>
  <c r="AC55" i="106" s="1"/>
  <c r="Q55" i="106"/>
  <c r="Y55" i="106" s="1"/>
  <c r="AI54" i="106"/>
  <c r="P54" i="106" s="1"/>
  <c r="Y54" i="106"/>
  <c r="AB53" i="106"/>
  <c r="AA53" i="106"/>
  <c r="Z53" i="106"/>
  <c r="V53" i="106"/>
  <c r="AI53" i="106" s="1"/>
  <c r="P53" i="106" s="1"/>
  <c r="U53" i="106"/>
  <c r="Q53" i="106"/>
  <c r="Y53" i="106" s="1"/>
  <c r="AI52" i="106"/>
  <c r="P52" i="106" s="1"/>
  <c r="Y52" i="106"/>
  <c r="AB51" i="106"/>
  <c r="AA51" i="106"/>
  <c r="Z51" i="106"/>
  <c r="AF51" i="106" s="1"/>
  <c r="V51" i="106"/>
  <c r="AI51" i="106" s="1"/>
  <c r="P51" i="106" s="1"/>
  <c r="U51" i="106"/>
  <c r="AC51" i="106" s="1"/>
  <c r="Q51" i="106"/>
  <c r="Y51" i="106" s="1"/>
  <c r="AI50" i="106"/>
  <c r="P50" i="106" s="1"/>
  <c r="Y50" i="106"/>
  <c r="AB49" i="106"/>
  <c r="AA49" i="106"/>
  <c r="Z49" i="106"/>
  <c r="AF49" i="106" s="1"/>
  <c r="V49" i="106"/>
  <c r="AI49" i="106" s="1"/>
  <c r="P49" i="106" s="1"/>
  <c r="U49" i="106"/>
  <c r="AC49" i="106" s="1"/>
  <c r="Q49" i="106"/>
  <c r="Y49" i="106" s="1"/>
  <c r="AB48" i="106"/>
  <c r="AA48" i="106"/>
  <c r="Z48" i="106"/>
  <c r="AF48" i="106" s="1"/>
  <c r="V48" i="106"/>
  <c r="AD48" i="106" s="1"/>
  <c r="U48" i="106"/>
  <c r="AC48" i="106" s="1"/>
  <c r="Q48" i="106"/>
  <c r="Y48" i="106" s="1"/>
  <c r="AB47" i="106"/>
  <c r="AA47" i="106"/>
  <c r="Z47" i="106"/>
  <c r="V47" i="106"/>
  <c r="U47" i="106"/>
  <c r="AC47" i="106" s="1"/>
  <c r="Q47" i="106"/>
  <c r="Y47" i="106" s="1"/>
  <c r="AB46" i="106"/>
  <c r="AA46" i="106"/>
  <c r="Z46" i="106"/>
  <c r="V46" i="106"/>
  <c r="AD46" i="106" s="1"/>
  <c r="U46" i="106"/>
  <c r="AC46" i="106" s="1"/>
  <c r="Q46" i="106"/>
  <c r="Y46" i="106" s="1"/>
  <c r="AB45" i="106"/>
  <c r="AA45" i="106"/>
  <c r="Z45" i="106"/>
  <c r="V45" i="106"/>
  <c r="AD45" i="106" s="1"/>
  <c r="U45" i="106"/>
  <c r="AC45" i="106" s="1"/>
  <c r="Q45" i="106"/>
  <c r="Y45" i="106" s="1"/>
  <c r="AB44" i="106"/>
  <c r="AA44" i="106"/>
  <c r="Z44" i="106"/>
  <c r="AF44" i="106" s="1"/>
  <c r="V44" i="106"/>
  <c r="AD44" i="106" s="1"/>
  <c r="U44" i="106"/>
  <c r="AC44" i="106" s="1"/>
  <c r="Q44" i="106"/>
  <c r="Y44" i="106" s="1"/>
  <c r="AB43" i="106"/>
  <c r="AA43" i="106"/>
  <c r="Z43" i="106"/>
  <c r="AF43" i="106" s="1"/>
  <c r="V43" i="106"/>
  <c r="U43" i="106"/>
  <c r="AC43" i="106" s="1"/>
  <c r="Q43" i="106"/>
  <c r="Y43" i="106" s="1"/>
  <c r="AI42" i="106"/>
  <c r="Y42" i="106"/>
  <c r="AE41" i="106"/>
  <c r="AB41" i="106"/>
  <c r="AA41" i="106"/>
  <c r="Z41" i="106"/>
  <c r="V41" i="106"/>
  <c r="AI41" i="106" s="1"/>
  <c r="P41" i="106" s="1"/>
  <c r="U41" i="106"/>
  <c r="AC41" i="106" s="1"/>
  <c r="Q41" i="106"/>
  <c r="Y41" i="106" s="1"/>
  <c r="AF40" i="106"/>
  <c r="Y40" i="106"/>
  <c r="V40" i="106"/>
  <c r="AI40" i="106" s="1"/>
  <c r="P40" i="106" s="1"/>
  <c r="U40" i="106"/>
  <c r="Q40" i="106"/>
  <c r="AB39" i="106"/>
  <c r="AA39" i="106"/>
  <c r="Z39" i="106"/>
  <c r="V39" i="106"/>
  <c r="U39" i="106"/>
  <c r="AC39" i="106" s="1"/>
  <c r="Q39" i="106"/>
  <c r="Y39" i="106" s="1"/>
  <c r="AB38" i="106"/>
  <c r="AA38" i="106"/>
  <c r="Z38" i="106"/>
  <c r="AF38" i="106" s="1"/>
  <c r="V38" i="106"/>
  <c r="AD38" i="106" s="1"/>
  <c r="U38" i="106"/>
  <c r="AC38" i="106" s="1"/>
  <c r="Q38" i="106"/>
  <c r="Y38" i="106" s="1"/>
  <c r="AB37" i="106"/>
  <c r="AA37" i="106"/>
  <c r="Z37" i="106"/>
  <c r="V37" i="106"/>
  <c r="AI37" i="106" s="1"/>
  <c r="P37" i="106" s="1"/>
  <c r="U37" i="106"/>
  <c r="Q37" i="106"/>
  <c r="Y37" i="106" s="1"/>
  <c r="AB36" i="106"/>
  <c r="AA36" i="106"/>
  <c r="Z36" i="106"/>
  <c r="V36" i="106"/>
  <c r="AI36" i="106" s="1"/>
  <c r="P36" i="106" s="1"/>
  <c r="U36" i="106"/>
  <c r="AC36" i="106" s="1"/>
  <c r="Q36" i="106"/>
  <c r="Y36" i="106" s="1"/>
  <c r="AB35" i="106"/>
  <c r="AA35" i="106"/>
  <c r="Z35" i="106"/>
  <c r="V35" i="106"/>
  <c r="AD35" i="106" s="1"/>
  <c r="U35" i="106"/>
  <c r="AC35" i="106" s="1"/>
  <c r="Q35" i="106"/>
  <c r="Y35" i="106" s="1"/>
  <c r="AB34" i="106"/>
  <c r="AA34" i="106"/>
  <c r="Z34" i="106"/>
  <c r="AF34" i="106" s="1"/>
  <c r="V34" i="106"/>
  <c r="AI34" i="106" s="1"/>
  <c r="P34" i="106" s="1"/>
  <c r="U34" i="106"/>
  <c r="AC34" i="106" s="1"/>
  <c r="Q34" i="106"/>
  <c r="Y34" i="106" s="1"/>
  <c r="AE33" i="106"/>
  <c r="AB33" i="106"/>
  <c r="AA33" i="106"/>
  <c r="Z33" i="106"/>
  <c r="V33" i="106"/>
  <c r="AD33" i="106" s="1"/>
  <c r="U33" i="106"/>
  <c r="AC33" i="106" s="1"/>
  <c r="Q33" i="106"/>
  <c r="Y33" i="106" s="1"/>
  <c r="AF32" i="106"/>
  <c r="AB32" i="106"/>
  <c r="AA32" i="106"/>
  <c r="Y32" i="106"/>
  <c r="V32" i="106"/>
  <c r="AI32" i="106" s="1"/>
  <c r="P32" i="106" s="1"/>
  <c r="U32" i="106"/>
  <c r="AC32" i="106" s="1"/>
  <c r="Q32" i="106"/>
  <c r="AE31" i="106"/>
  <c r="AB31" i="106"/>
  <c r="AA31" i="106"/>
  <c r="Z31" i="106"/>
  <c r="V31" i="106"/>
  <c r="AI31" i="106" s="1"/>
  <c r="P31" i="106" s="1"/>
  <c r="U31" i="106"/>
  <c r="AC31" i="106" s="1"/>
  <c r="Q31" i="106"/>
  <c r="Y31" i="106" s="1"/>
  <c r="AE30" i="106"/>
  <c r="AF30" i="106" s="1"/>
  <c r="V30" i="106"/>
  <c r="AD30" i="106" s="1"/>
  <c r="U30" i="106"/>
  <c r="AC30" i="106" s="1"/>
  <c r="AB29" i="106"/>
  <c r="AA29" i="106"/>
  <c r="Z29" i="106"/>
  <c r="AF29" i="106" s="1"/>
  <c r="V29" i="106"/>
  <c r="AD29" i="106" s="1"/>
  <c r="U29" i="106"/>
  <c r="AC29" i="106" s="1"/>
  <c r="Q29" i="106"/>
  <c r="Y29" i="106" s="1"/>
  <c r="AB28" i="106"/>
  <c r="AA28" i="106"/>
  <c r="Z28" i="106"/>
  <c r="V28" i="106"/>
  <c r="AD28" i="106" s="1"/>
  <c r="U28" i="106"/>
  <c r="AC28" i="106" s="1"/>
  <c r="Q28" i="106"/>
  <c r="Y28" i="106" s="1"/>
  <c r="AB27" i="106"/>
  <c r="AA27" i="106"/>
  <c r="Z27" i="106"/>
  <c r="AF27" i="106" s="1"/>
  <c r="V27" i="106"/>
  <c r="AI27" i="106" s="1"/>
  <c r="P27" i="106" s="1"/>
  <c r="U27" i="106"/>
  <c r="AC27" i="106" s="1"/>
  <c r="Y27" i="106"/>
  <c r="AB26" i="106"/>
  <c r="AA26" i="106"/>
  <c r="Z26" i="106"/>
  <c r="AF26" i="106" s="1"/>
  <c r="V26" i="106"/>
  <c r="AI26" i="106" s="1"/>
  <c r="P26" i="106" s="1"/>
  <c r="U26" i="106"/>
  <c r="AC26" i="106" s="1"/>
  <c r="Q26" i="106"/>
  <c r="Y26" i="106" s="1"/>
  <c r="AB25" i="106"/>
  <c r="AA25" i="106"/>
  <c r="Z25" i="106"/>
  <c r="V25" i="106"/>
  <c r="AD25" i="106" s="1"/>
  <c r="U25" i="106"/>
  <c r="AC25" i="106" s="1"/>
  <c r="Q25" i="106"/>
  <c r="Y25" i="106" s="1"/>
  <c r="AE24" i="106"/>
  <c r="AB24" i="106"/>
  <c r="AA24" i="106"/>
  <c r="Z24" i="106"/>
  <c r="V24" i="106"/>
  <c r="AI24" i="106" s="1"/>
  <c r="P24" i="106" s="1"/>
  <c r="U24" i="106"/>
  <c r="AC24" i="106" s="1"/>
  <c r="Q24" i="106"/>
  <c r="Y24" i="106" s="1"/>
  <c r="AB23" i="106"/>
  <c r="AA23" i="106"/>
  <c r="Z23" i="106"/>
  <c r="V23" i="106"/>
  <c r="AI23" i="106" s="1"/>
  <c r="P23" i="106" s="1"/>
  <c r="U23" i="106"/>
  <c r="AC23" i="106" s="1"/>
  <c r="Q23" i="106"/>
  <c r="Y23" i="106" s="1"/>
  <c r="AN22" i="106"/>
  <c r="AB22" i="106"/>
  <c r="AA22" i="106"/>
  <c r="Z22" i="106"/>
  <c r="AF22" i="106" s="1"/>
  <c r="V22" i="106"/>
  <c r="AD22" i="106" s="1"/>
  <c r="U22" i="106"/>
  <c r="AC22" i="106" s="1"/>
  <c r="Q22" i="106"/>
  <c r="Y22" i="106" s="1"/>
  <c r="AB21" i="106"/>
  <c r="AA21" i="106"/>
  <c r="Z21" i="106"/>
  <c r="V21" i="106"/>
  <c r="AD21" i="106" s="1"/>
  <c r="U21" i="106"/>
  <c r="AC21" i="106" s="1"/>
  <c r="Q21" i="106"/>
  <c r="Y21" i="106" s="1"/>
  <c r="AB20" i="106"/>
  <c r="AA20" i="106"/>
  <c r="Z20" i="106"/>
  <c r="V20" i="106"/>
  <c r="AD20" i="106" s="1"/>
  <c r="U20" i="106"/>
  <c r="AC20" i="106" s="1"/>
  <c r="Q20" i="106"/>
  <c r="Y20" i="106" s="1"/>
  <c r="AE19" i="106"/>
  <c r="AB19" i="106"/>
  <c r="AA19" i="106"/>
  <c r="Z19" i="106"/>
  <c r="V19" i="106"/>
  <c r="AD19" i="106" s="1"/>
  <c r="U19" i="106"/>
  <c r="AC19" i="106" s="1"/>
  <c r="Q19" i="106"/>
  <c r="Y19" i="106" s="1"/>
  <c r="AI18" i="106"/>
  <c r="Y18" i="106"/>
  <c r="AM17" i="106"/>
  <c r="AB17" i="106"/>
  <c r="AA17" i="106"/>
  <c r="Z17" i="106"/>
  <c r="V17" i="106"/>
  <c r="AD17" i="106" s="1"/>
  <c r="U17" i="106"/>
  <c r="AC17" i="106" s="1"/>
  <c r="Q17" i="106"/>
  <c r="Y17" i="106" s="1"/>
  <c r="AF72" i="106" l="1"/>
  <c r="AF96" i="106"/>
  <c r="AF68" i="106"/>
  <c r="AI69" i="106"/>
  <c r="P69" i="106" s="1"/>
  <c r="AI35" i="106"/>
  <c r="P35" i="106" s="1"/>
  <c r="AF64" i="106"/>
  <c r="AD84" i="106"/>
  <c r="AF66" i="106"/>
  <c r="AD37" i="106"/>
  <c r="AD53" i="106"/>
  <c r="AF62" i="106"/>
  <c r="AF75" i="106"/>
  <c r="AF31" i="106"/>
  <c r="AF41" i="106"/>
  <c r="AB104" i="106"/>
  <c r="AA104" i="106"/>
  <c r="AI76" i="106"/>
  <c r="P76" i="106" s="1"/>
  <c r="AF99" i="106"/>
  <c r="AI20" i="106"/>
  <c r="P20" i="106" s="1"/>
  <c r="AF97" i="106"/>
  <c r="Z104" i="106"/>
  <c r="AI97" i="106"/>
  <c r="P97" i="106" s="1"/>
  <c r="U104" i="106"/>
  <c r="AI94" i="106"/>
  <c r="P94" i="106" s="1"/>
  <c r="T114" i="106"/>
  <c r="AF98" i="106"/>
  <c r="AF94" i="106"/>
  <c r="AF83" i="106"/>
  <c r="AD99" i="106"/>
  <c r="S114" i="106"/>
  <c r="AI96" i="106"/>
  <c r="P96" i="106" s="1"/>
  <c r="AD98" i="106"/>
  <c r="R114" i="106"/>
  <c r="U114" i="106" s="1"/>
  <c r="AD83" i="106"/>
  <c r="AD81" i="106"/>
  <c r="AF79" i="106"/>
  <c r="AF78" i="106"/>
  <c r="AI77" i="106"/>
  <c r="P77" i="106" s="1"/>
  <c r="AD75" i="106"/>
  <c r="AD73" i="106"/>
  <c r="AF70" i="106"/>
  <c r="AI68" i="106"/>
  <c r="P68" i="106" s="1"/>
  <c r="AI67" i="106"/>
  <c r="P67" i="106" s="1"/>
  <c r="AD66" i="106"/>
  <c r="AI64" i="106"/>
  <c r="P64" i="106" s="1"/>
  <c r="AD63" i="106"/>
  <c r="AI62" i="106"/>
  <c r="P62" i="106" s="1"/>
  <c r="AF61" i="106"/>
  <c r="AF60" i="106"/>
  <c r="AI60" i="106"/>
  <c r="P60" i="106" s="1"/>
  <c r="AI59" i="106"/>
  <c r="P59" i="106" s="1"/>
  <c r="AI58" i="106"/>
  <c r="P58" i="106" s="1"/>
  <c r="AI56" i="106"/>
  <c r="P56" i="106" s="1"/>
  <c r="AI55" i="106"/>
  <c r="P55" i="106" s="1"/>
  <c r="AD49" i="106"/>
  <c r="AI48" i="106"/>
  <c r="P48" i="106" s="1"/>
  <c r="AF47" i="106"/>
  <c r="AF46" i="106"/>
  <c r="AI45" i="106"/>
  <c r="P45" i="106" s="1"/>
  <c r="AI44" i="106"/>
  <c r="P44" i="106" s="1"/>
  <c r="AD41" i="106"/>
  <c r="AF39" i="106"/>
  <c r="AF37" i="106"/>
  <c r="AD36" i="106"/>
  <c r="AF33" i="106"/>
  <c r="AI30" i="106"/>
  <c r="P30" i="106" s="1"/>
  <c r="AI29" i="106"/>
  <c r="P29" i="106" s="1"/>
  <c r="AI28" i="106"/>
  <c r="P28" i="106" s="1"/>
  <c r="AD27" i="106"/>
  <c r="AF25" i="106"/>
  <c r="AD24" i="106"/>
  <c r="AD23" i="106"/>
  <c r="AI21" i="106"/>
  <c r="P21" i="106" s="1"/>
  <c r="AF21" i="106"/>
  <c r="AB85" i="106"/>
  <c r="AB114" i="106" s="1"/>
  <c r="AI19" i="106"/>
  <c r="P19" i="106" s="1"/>
  <c r="AA85" i="106"/>
  <c r="AF17" i="106"/>
  <c r="T86" i="106"/>
  <c r="AF36" i="106"/>
  <c r="AF23" i="106"/>
  <c r="AF45" i="106"/>
  <c r="AF63" i="106"/>
  <c r="AF71" i="106"/>
  <c r="AF67" i="106"/>
  <c r="AF19" i="106"/>
  <c r="AF20" i="106"/>
  <c r="AF24" i="106"/>
  <c r="AD61" i="106"/>
  <c r="AI61" i="106"/>
  <c r="P61" i="106" s="1"/>
  <c r="AF73" i="106"/>
  <c r="AI17" i="106"/>
  <c r="P17" i="106" s="1"/>
  <c r="AI22" i="106"/>
  <c r="P22" i="106" s="1"/>
  <c r="AF28" i="106"/>
  <c r="AD34" i="106"/>
  <c r="AF35" i="106"/>
  <c r="AD47" i="106"/>
  <c r="AI47" i="106"/>
  <c r="P47" i="106" s="1"/>
  <c r="AC53" i="106"/>
  <c r="AF53" i="106"/>
  <c r="AD65" i="106"/>
  <c r="AI65" i="106"/>
  <c r="P65" i="106" s="1"/>
  <c r="AD78" i="106"/>
  <c r="AI78" i="106"/>
  <c r="P78" i="106" s="1"/>
  <c r="Z85" i="106"/>
  <c r="AD26" i="106"/>
  <c r="AI33" i="106"/>
  <c r="P33" i="106" s="1"/>
  <c r="AD39" i="106"/>
  <c r="AI39" i="106"/>
  <c r="P39" i="106" s="1"/>
  <c r="AI46" i="106"/>
  <c r="P46" i="106" s="1"/>
  <c r="AI25" i="106"/>
  <c r="P25" i="106" s="1"/>
  <c r="AD31" i="106"/>
  <c r="AI38" i="106"/>
  <c r="P38" i="106" s="1"/>
  <c r="AD43" i="106"/>
  <c r="AI43" i="106"/>
  <c r="P43" i="106" s="1"/>
  <c r="AD51" i="106"/>
  <c r="AD57" i="106"/>
  <c r="AI57" i="106"/>
  <c r="P57" i="106" s="1"/>
  <c r="AD70" i="106"/>
  <c r="AI70" i="106"/>
  <c r="P70" i="106" s="1"/>
  <c r="AD72" i="106"/>
  <c r="AI72" i="106"/>
  <c r="P72" i="106" s="1"/>
  <c r="AI79" i="106"/>
  <c r="P79" i="106" s="1"/>
  <c r="U85" i="106"/>
  <c r="Z121" i="105"/>
  <c r="Q83" i="105"/>
  <c r="Q65" i="105"/>
  <c r="Q40" i="105"/>
  <c r="AF104" i="106" l="1"/>
  <c r="AA114" i="106"/>
  <c r="Z114" i="106"/>
  <c r="AF85" i="106"/>
  <c r="AA86" i="106"/>
  <c r="AC85" i="106"/>
  <c r="AC114" i="106" s="1"/>
  <c r="Q50" i="105"/>
  <c r="AF114" i="106" l="1"/>
  <c r="K116" i="106" s="1"/>
  <c r="M117" i="106" s="1"/>
  <c r="Q36" i="105"/>
  <c r="AC79" i="105" l="1"/>
  <c r="AE83" i="105"/>
  <c r="AD83" i="105"/>
  <c r="AC83" i="105"/>
  <c r="AB83" i="105"/>
  <c r="AA83" i="105"/>
  <c r="Z83" i="105"/>
  <c r="Y83" i="105"/>
  <c r="AE63" i="105"/>
  <c r="AD63" i="105"/>
  <c r="Z63" i="105"/>
  <c r="AA63" i="105"/>
  <c r="AB63" i="105"/>
  <c r="AF62" i="105"/>
  <c r="AE62" i="105"/>
  <c r="AD62" i="105"/>
  <c r="AC62" i="105"/>
  <c r="AB62" i="105"/>
  <c r="AA62" i="105"/>
  <c r="Z62" i="105"/>
  <c r="Q62" i="105"/>
  <c r="Q51" i="105"/>
  <c r="T106" i="105" l="1"/>
  <c r="S106" i="105"/>
  <c r="R106" i="105"/>
  <c r="Y105" i="105"/>
  <c r="U105" i="105"/>
  <c r="Q105" i="105"/>
  <c r="Y104" i="105"/>
  <c r="U104" i="105"/>
  <c r="Q104" i="105"/>
  <c r="Y103" i="105"/>
  <c r="Y102" i="105"/>
  <c r="AI101" i="105"/>
  <c r="P101" i="105" s="1"/>
  <c r="AD101" i="105"/>
  <c r="AB101" i="105"/>
  <c r="AA101" i="105"/>
  <c r="Z101" i="105"/>
  <c r="AF101" i="105" s="1"/>
  <c r="Y101" i="105"/>
  <c r="U101" i="105"/>
  <c r="AC101" i="105" s="1"/>
  <c r="Q101" i="105"/>
  <c r="AI100" i="105"/>
  <c r="P100" i="105" s="1"/>
  <c r="AF100" i="105"/>
  <c r="AD100" i="105"/>
  <c r="AB100" i="105"/>
  <c r="AA100" i="105"/>
  <c r="Z100" i="105"/>
  <c r="Y100" i="105"/>
  <c r="U100" i="105"/>
  <c r="AC100" i="105" s="1"/>
  <c r="Q100" i="105"/>
  <c r="AI99" i="105"/>
  <c r="AD99" i="105"/>
  <c r="AB99" i="105"/>
  <c r="AA99" i="105"/>
  <c r="Z99" i="105"/>
  <c r="AF99" i="105" s="1"/>
  <c r="Y99" i="105"/>
  <c r="U99" i="105"/>
  <c r="AC99" i="105" s="1"/>
  <c r="Q99" i="105"/>
  <c r="P99" i="105"/>
  <c r="AI98" i="105"/>
  <c r="AD98" i="105"/>
  <c r="AC98" i="105"/>
  <c r="AB98" i="105"/>
  <c r="AA98" i="105"/>
  <c r="Z98" i="105"/>
  <c r="AF98" i="105" s="1"/>
  <c r="Y98" i="105"/>
  <c r="U98" i="105"/>
  <c r="Q98" i="105"/>
  <c r="P98" i="105"/>
  <c r="AI97" i="105"/>
  <c r="P97" i="105" s="1"/>
  <c r="AD97" i="105"/>
  <c r="AC97" i="105"/>
  <c r="AB97" i="105"/>
  <c r="AB106" i="105" s="1"/>
  <c r="AA97" i="105"/>
  <c r="AA106" i="105" s="1"/>
  <c r="Z97" i="105"/>
  <c r="AF97" i="105" s="1"/>
  <c r="Y97" i="105"/>
  <c r="U97" i="105"/>
  <c r="U106" i="105" s="1"/>
  <c r="Q97" i="105"/>
  <c r="AI96" i="105"/>
  <c r="P96" i="105" s="1"/>
  <c r="AF96" i="105"/>
  <c r="AD96" i="105"/>
  <c r="AB96" i="105"/>
  <c r="AA96" i="105"/>
  <c r="Z96" i="105"/>
  <c r="Y96" i="105"/>
  <c r="U96" i="105"/>
  <c r="AC96" i="105" s="1"/>
  <c r="Q96" i="105"/>
  <c r="AI93" i="105"/>
  <c r="AF93" i="105"/>
  <c r="AD93" i="105"/>
  <c r="AC93" i="105"/>
  <c r="AB93" i="105"/>
  <c r="AA93" i="105"/>
  <c r="Z93" i="105"/>
  <c r="Y93" i="105"/>
  <c r="AI92" i="105"/>
  <c r="AF92" i="105"/>
  <c r="AD92" i="105"/>
  <c r="AC92" i="105"/>
  <c r="AB92" i="105"/>
  <c r="AA92" i="105"/>
  <c r="Z92" i="105"/>
  <c r="Y92" i="105"/>
  <c r="AI91" i="105"/>
  <c r="AF91" i="105"/>
  <c r="AD91" i="105"/>
  <c r="AC91" i="105"/>
  <c r="AB91" i="105"/>
  <c r="AA91" i="105"/>
  <c r="Z91" i="105"/>
  <c r="Y91" i="105"/>
  <c r="AI90" i="105"/>
  <c r="AF90" i="105"/>
  <c r="AD90" i="105"/>
  <c r="AC90" i="105"/>
  <c r="AB90" i="105"/>
  <c r="AA90" i="105"/>
  <c r="Z90" i="105"/>
  <c r="Y90" i="105"/>
  <c r="T87" i="105"/>
  <c r="T119" i="105" s="1"/>
  <c r="S87" i="105"/>
  <c r="S119" i="105" s="1"/>
  <c r="R87" i="105"/>
  <c r="R119" i="105" s="1"/>
  <c r="AD86" i="105"/>
  <c r="AC86" i="105"/>
  <c r="AB86" i="105"/>
  <c r="AA86" i="105"/>
  <c r="Z86" i="105"/>
  <c r="AF86" i="105" s="1"/>
  <c r="Y86" i="105"/>
  <c r="V86" i="105"/>
  <c r="AI86" i="105" s="1"/>
  <c r="P86" i="105" s="1"/>
  <c r="U86" i="105"/>
  <c r="Q86" i="105"/>
  <c r="AB85" i="105"/>
  <c r="AA85" i="105"/>
  <c r="Z85" i="105"/>
  <c r="AF85" i="105" s="1"/>
  <c r="V85" i="105"/>
  <c r="AI85" i="105" s="1"/>
  <c r="P85" i="105" s="1"/>
  <c r="U85" i="105"/>
  <c r="AC85" i="105" s="1"/>
  <c r="Q85" i="105"/>
  <c r="Y85" i="105" s="1"/>
  <c r="AI84" i="105"/>
  <c r="Y84" i="105"/>
  <c r="P84" i="105"/>
  <c r="AF83" i="105"/>
  <c r="V83" i="105"/>
  <c r="AI83" i="105" s="1"/>
  <c r="P83" i="105" s="1"/>
  <c r="U83" i="105"/>
  <c r="AI82" i="105"/>
  <c r="P82" i="105" s="1"/>
  <c r="Z82" i="105"/>
  <c r="Y82" i="105"/>
  <c r="AE81" i="105"/>
  <c r="AB81" i="105"/>
  <c r="AA81" i="105"/>
  <c r="Z81" i="105"/>
  <c r="Y81" i="105"/>
  <c r="V81" i="105"/>
  <c r="U81" i="105"/>
  <c r="AC81" i="105" s="1"/>
  <c r="Q81" i="105"/>
  <c r="AE80" i="105"/>
  <c r="AB80" i="105"/>
  <c r="AA80" i="105"/>
  <c r="Z80" i="105"/>
  <c r="Y80" i="105"/>
  <c r="V80" i="105"/>
  <c r="AD80" i="105" s="1"/>
  <c r="U80" i="105"/>
  <c r="AC80" i="105" s="1"/>
  <c r="Q80" i="105"/>
  <c r="AE79" i="105"/>
  <c r="AF79" i="105" s="1"/>
  <c r="AD79" i="105"/>
  <c r="AB79" i="105"/>
  <c r="AA79" i="105"/>
  <c r="Z79" i="105"/>
  <c r="Y79" i="105"/>
  <c r="V79" i="105"/>
  <c r="AI79" i="105" s="1"/>
  <c r="P79" i="105" s="1"/>
  <c r="U79" i="105"/>
  <c r="Q79" i="105"/>
  <c r="AI78" i="105"/>
  <c r="P78" i="105" s="1"/>
  <c r="AE78" i="105"/>
  <c r="AB78" i="105"/>
  <c r="AA78" i="105"/>
  <c r="Z78" i="105"/>
  <c r="V78" i="105"/>
  <c r="AD78" i="105" s="1"/>
  <c r="U78" i="105"/>
  <c r="AC78" i="105" s="1"/>
  <c r="Q78" i="105"/>
  <c r="Y78" i="105" s="1"/>
  <c r="AE77" i="105"/>
  <c r="AB77" i="105"/>
  <c r="AA77" i="105"/>
  <c r="Z77" i="105"/>
  <c r="AF77" i="105" s="1"/>
  <c r="V77" i="105"/>
  <c r="AI77" i="105" s="1"/>
  <c r="P77" i="105" s="1"/>
  <c r="U77" i="105"/>
  <c r="AC77" i="105" s="1"/>
  <c r="Q77" i="105"/>
  <c r="Y77" i="105" s="1"/>
  <c r="AI76" i="105"/>
  <c r="Y76" i="105"/>
  <c r="P76" i="105"/>
  <c r="AE75" i="105"/>
  <c r="AB75" i="105"/>
  <c r="AA75" i="105"/>
  <c r="Z75" i="105"/>
  <c r="AF75" i="105" s="1"/>
  <c r="V75" i="105"/>
  <c r="AI75" i="105" s="1"/>
  <c r="P75" i="105" s="1"/>
  <c r="U75" i="105"/>
  <c r="AC75" i="105" s="1"/>
  <c r="Q75" i="105"/>
  <c r="Y75" i="105" s="1"/>
  <c r="AE74" i="105"/>
  <c r="AB74" i="105"/>
  <c r="AA74" i="105"/>
  <c r="Z74" i="105"/>
  <c r="V74" i="105"/>
  <c r="U74" i="105"/>
  <c r="AC74" i="105" s="1"/>
  <c r="Q74" i="105"/>
  <c r="Y74" i="105" s="1"/>
  <c r="AE73" i="105"/>
  <c r="AB73" i="105"/>
  <c r="AA73" i="105"/>
  <c r="Z73" i="105"/>
  <c r="Y73" i="105"/>
  <c r="V73" i="105"/>
  <c r="AI73" i="105" s="1"/>
  <c r="P73" i="105" s="1"/>
  <c r="U73" i="105"/>
  <c r="Q73" i="105"/>
  <c r="AE72" i="105"/>
  <c r="AB72" i="105"/>
  <c r="AA72" i="105"/>
  <c r="Z72" i="105"/>
  <c r="V72" i="105"/>
  <c r="AI72" i="105" s="1"/>
  <c r="P72" i="105" s="1"/>
  <c r="U72" i="105"/>
  <c r="AC72" i="105" s="1"/>
  <c r="Q72" i="105"/>
  <c r="Y72" i="105" s="1"/>
  <c r="AI71" i="105"/>
  <c r="P71" i="105" s="1"/>
  <c r="AD71" i="105"/>
  <c r="AB71" i="105"/>
  <c r="AA71" i="105"/>
  <c r="Z71" i="105"/>
  <c r="AF71" i="105" s="1"/>
  <c r="Y71" i="105"/>
  <c r="V71" i="105"/>
  <c r="U71" i="105"/>
  <c r="AC71" i="105" s="1"/>
  <c r="Q71" i="105"/>
  <c r="AE70" i="105"/>
  <c r="AB70" i="105"/>
  <c r="AA70" i="105"/>
  <c r="Z70" i="105"/>
  <c r="Y70" i="105"/>
  <c r="V70" i="105"/>
  <c r="AD70" i="105" s="1"/>
  <c r="U70" i="105"/>
  <c r="AC70" i="105" s="1"/>
  <c r="Q70" i="105"/>
  <c r="AE69" i="105"/>
  <c r="AB69" i="105"/>
  <c r="AA69" i="105"/>
  <c r="Z69" i="105"/>
  <c r="AF69" i="105" s="1"/>
  <c r="V69" i="105"/>
  <c r="AI69" i="105" s="1"/>
  <c r="P69" i="105" s="1"/>
  <c r="U69" i="105"/>
  <c r="AC69" i="105" s="1"/>
  <c r="Q69" i="105"/>
  <c r="Y69" i="105" s="1"/>
  <c r="AE68" i="105"/>
  <c r="AB68" i="105"/>
  <c r="AA68" i="105"/>
  <c r="Z68" i="105"/>
  <c r="Y68" i="105"/>
  <c r="V68" i="105"/>
  <c r="AI68" i="105" s="1"/>
  <c r="P68" i="105" s="1"/>
  <c r="U68" i="105"/>
  <c r="AC68" i="105" s="1"/>
  <c r="Q68" i="105"/>
  <c r="AE67" i="105"/>
  <c r="AB67" i="105"/>
  <c r="AA67" i="105"/>
  <c r="Z67" i="105"/>
  <c r="AF67" i="105" s="1"/>
  <c r="V67" i="105"/>
  <c r="AI67" i="105" s="1"/>
  <c r="P67" i="105" s="1"/>
  <c r="U67" i="105"/>
  <c r="AC67" i="105" s="1"/>
  <c r="Q67" i="105"/>
  <c r="Y67" i="105" s="1"/>
  <c r="AE66" i="105"/>
  <c r="AB66" i="105"/>
  <c r="AA66" i="105"/>
  <c r="Z66" i="105"/>
  <c r="Y66" i="105"/>
  <c r="V66" i="105"/>
  <c r="AD66" i="105" s="1"/>
  <c r="U66" i="105"/>
  <c r="AC66" i="105" s="1"/>
  <c r="Q66" i="105"/>
  <c r="AE65" i="105"/>
  <c r="AB65" i="105"/>
  <c r="AA65" i="105"/>
  <c r="Z65" i="105"/>
  <c r="AF65" i="105" s="1"/>
  <c r="V65" i="105"/>
  <c r="AI65" i="105" s="1"/>
  <c r="P65" i="105" s="1"/>
  <c r="U65" i="105"/>
  <c r="AC65" i="105" s="1"/>
  <c r="Y65" i="105"/>
  <c r="AE64" i="105"/>
  <c r="AB64" i="105"/>
  <c r="AA64" i="105"/>
  <c r="Z64" i="105"/>
  <c r="Y64" i="105"/>
  <c r="V64" i="105"/>
  <c r="AI64" i="105" s="1"/>
  <c r="P64" i="105" s="1"/>
  <c r="U64" i="105"/>
  <c r="AC64" i="105" s="1"/>
  <c r="Q64" i="105"/>
  <c r="AF63" i="105"/>
  <c r="Y63" i="105"/>
  <c r="V63" i="105"/>
  <c r="AI63" i="105" s="1"/>
  <c r="P63" i="105" s="1"/>
  <c r="U63" i="105"/>
  <c r="AC63" i="105" s="1"/>
  <c r="Q63" i="105"/>
  <c r="Y62" i="105"/>
  <c r="V62" i="105"/>
  <c r="AI62" i="105" s="1"/>
  <c r="P62" i="105" s="1"/>
  <c r="U62" i="105"/>
  <c r="AE61" i="105"/>
  <c r="AB61" i="105"/>
  <c r="AA61" i="105"/>
  <c r="Z61" i="105"/>
  <c r="V61" i="105"/>
  <c r="AI61" i="105" s="1"/>
  <c r="P61" i="105" s="1"/>
  <c r="U61" i="105"/>
  <c r="AC61" i="105" s="1"/>
  <c r="Q61" i="105"/>
  <c r="Y61" i="105" s="1"/>
  <c r="AE60" i="105"/>
  <c r="AB60" i="105"/>
  <c r="AA60" i="105"/>
  <c r="Z60" i="105"/>
  <c r="V60" i="105"/>
  <c r="AD60" i="105" s="1"/>
  <c r="U60" i="105"/>
  <c r="AC60" i="105" s="1"/>
  <c r="Q60" i="105"/>
  <c r="Y60" i="105" s="1"/>
  <c r="AE59" i="105"/>
  <c r="AB59" i="105"/>
  <c r="AA59" i="105"/>
  <c r="Z59" i="105"/>
  <c r="AF59" i="105" s="1"/>
  <c r="Y59" i="105"/>
  <c r="V59" i="105"/>
  <c r="AI59" i="105" s="1"/>
  <c r="P59" i="105" s="1"/>
  <c r="U59" i="105"/>
  <c r="AC59" i="105" s="1"/>
  <c r="Q59" i="105"/>
  <c r="AE58" i="105"/>
  <c r="AB58" i="105"/>
  <c r="AA58" i="105"/>
  <c r="Z58" i="105"/>
  <c r="Y58" i="105"/>
  <c r="V58" i="105"/>
  <c r="AI58" i="105" s="1"/>
  <c r="P58" i="105" s="1"/>
  <c r="U58" i="105"/>
  <c r="AC58" i="105" s="1"/>
  <c r="Q58" i="105"/>
  <c r="AE57" i="105"/>
  <c r="AB57" i="105"/>
  <c r="AA57" i="105"/>
  <c r="Z57" i="105"/>
  <c r="V57" i="105"/>
  <c r="AI57" i="105" s="1"/>
  <c r="P57" i="105" s="1"/>
  <c r="U57" i="105"/>
  <c r="AC57" i="105" s="1"/>
  <c r="Q57" i="105"/>
  <c r="Y57" i="105" s="1"/>
  <c r="AI56" i="105"/>
  <c r="P56" i="105" s="1"/>
  <c r="Y56" i="105"/>
  <c r="AE55" i="105"/>
  <c r="AB55" i="105"/>
  <c r="AA55" i="105"/>
  <c r="Z55" i="105"/>
  <c r="V55" i="105"/>
  <c r="AI55" i="105" s="1"/>
  <c r="P55" i="105" s="1"/>
  <c r="U55" i="105"/>
  <c r="Q55" i="105"/>
  <c r="Y55" i="105" s="1"/>
  <c r="AI54" i="105"/>
  <c r="P54" i="105" s="1"/>
  <c r="Y54" i="105"/>
  <c r="AE53" i="105"/>
  <c r="AB53" i="105"/>
  <c r="AA53" i="105"/>
  <c r="Z53" i="105"/>
  <c r="V53" i="105"/>
  <c r="AI53" i="105" s="1"/>
  <c r="P53" i="105" s="1"/>
  <c r="U53" i="105"/>
  <c r="AC53" i="105" s="1"/>
  <c r="Q53" i="105"/>
  <c r="Y53" i="105" s="1"/>
  <c r="AI52" i="105"/>
  <c r="P52" i="105" s="1"/>
  <c r="Y52" i="105"/>
  <c r="AE51" i="105"/>
  <c r="AB51" i="105"/>
  <c r="AA51" i="105"/>
  <c r="Z51" i="105"/>
  <c r="Y51" i="105"/>
  <c r="V51" i="105"/>
  <c r="AI51" i="105" s="1"/>
  <c r="P51" i="105" s="1"/>
  <c r="U51" i="105"/>
  <c r="AC51" i="105" s="1"/>
  <c r="AE50" i="105"/>
  <c r="AB50" i="105"/>
  <c r="AA50" i="105"/>
  <c r="Z50" i="105"/>
  <c r="V50" i="105"/>
  <c r="AI50" i="105" s="1"/>
  <c r="P50" i="105" s="1"/>
  <c r="U50" i="105"/>
  <c r="AC50" i="105" s="1"/>
  <c r="Y50" i="105"/>
  <c r="AE49" i="105"/>
  <c r="AB49" i="105"/>
  <c r="AA49" i="105"/>
  <c r="Z49" i="105"/>
  <c r="Y49" i="105"/>
  <c r="V49" i="105"/>
  <c r="AD49" i="105" s="1"/>
  <c r="U49" i="105"/>
  <c r="AC49" i="105" s="1"/>
  <c r="Q49" i="105"/>
  <c r="AE48" i="105"/>
  <c r="AB48" i="105"/>
  <c r="AA48" i="105"/>
  <c r="Z48" i="105"/>
  <c r="Y48" i="105"/>
  <c r="V48" i="105"/>
  <c r="AD48" i="105" s="1"/>
  <c r="U48" i="105"/>
  <c r="AC48" i="105" s="1"/>
  <c r="Q48" i="105"/>
  <c r="AE47" i="105"/>
  <c r="AB47" i="105"/>
  <c r="AA47" i="105"/>
  <c r="Z47" i="105"/>
  <c r="V47" i="105"/>
  <c r="AD47" i="105" s="1"/>
  <c r="U47" i="105"/>
  <c r="AC47" i="105" s="1"/>
  <c r="Q47" i="105"/>
  <c r="Y47" i="105" s="1"/>
  <c r="AE46" i="105"/>
  <c r="AB46" i="105"/>
  <c r="AA46" i="105"/>
  <c r="Z46" i="105"/>
  <c r="V46" i="105"/>
  <c r="AI46" i="105" s="1"/>
  <c r="P46" i="105" s="1"/>
  <c r="U46" i="105"/>
  <c r="AC46" i="105" s="1"/>
  <c r="Q46" i="105"/>
  <c r="Y46" i="105" s="1"/>
  <c r="AE45" i="105"/>
  <c r="AB45" i="105"/>
  <c r="AA45" i="105"/>
  <c r="Z45" i="105"/>
  <c r="V45" i="105"/>
  <c r="AD45" i="105" s="1"/>
  <c r="U45" i="105"/>
  <c r="AC45" i="105" s="1"/>
  <c r="Q45" i="105"/>
  <c r="Y45" i="105" s="1"/>
  <c r="AI44" i="105"/>
  <c r="Y44" i="105"/>
  <c r="AE43" i="105"/>
  <c r="AB43" i="105"/>
  <c r="AA43" i="105"/>
  <c r="Z43" i="105"/>
  <c r="V43" i="105"/>
  <c r="AI43" i="105" s="1"/>
  <c r="P43" i="105" s="1"/>
  <c r="U43" i="105"/>
  <c r="AC43" i="105" s="1"/>
  <c r="Q43" i="105"/>
  <c r="Y43" i="105" s="1"/>
  <c r="AI42" i="105"/>
  <c r="P42" i="105" s="1"/>
  <c r="AB42" i="105"/>
  <c r="AA42" i="105"/>
  <c r="Z42" i="105"/>
  <c r="AF42" i="105" s="1"/>
  <c r="Y42" i="105"/>
  <c r="V42" i="105"/>
  <c r="AD42" i="105" s="1"/>
  <c r="U42" i="105"/>
  <c r="AC42" i="105" s="1"/>
  <c r="Q42" i="105"/>
  <c r="AE41" i="105"/>
  <c r="AB41" i="105"/>
  <c r="AA41" i="105"/>
  <c r="Z41" i="105"/>
  <c r="Y41" i="105"/>
  <c r="V41" i="105"/>
  <c r="AD41" i="105" s="1"/>
  <c r="U41" i="105"/>
  <c r="AC41" i="105" s="1"/>
  <c r="Q41" i="105"/>
  <c r="AE40" i="105"/>
  <c r="AB40" i="105"/>
  <c r="AA40" i="105"/>
  <c r="Z40" i="105"/>
  <c r="AF40" i="105" s="1"/>
  <c r="V40" i="105"/>
  <c r="AI40" i="105" s="1"/>
  <c r="P40" i="105" s="1"/>
  <c r="U40" i="105"/>
  <c r="AC40" i="105" s="1"/>
  <c r="Y40" i="105"/>
  <c r="AE39" i="105"/>
  <c r="AB39" i="105"/>
  <c r="AA39" i="105"/>
  <c r="Z39" i="105"/>
  <c r="Y39" i="105"/>
  <c r="V39" i="105"/>
  <c r="AI39" i="105" s="1"/>
  <c r="P39" i="105" s="1"/>
  <c r="U39" i="105"/>
  <c r="Q39" i="105"/>
  <c r="AE38" i="105"/>
  <c r="AB38" i="105"/>
  <c r="AA38" i="105"/>
  <c r="Z38" i="105"/>
  <c r="Y38" i="105"/>
  <c r="V38" i="105"/>
  <c r="AD38" i="105" s="1"/>
  <c r="U38" i="105"/>
  <c r="AC38" i="105" s="1"/>
  <c r="Q38" i="105"/>
  <c r="AE37" i="105"/>
  <c r="AB37" i="105"/>
  <c r="AA37" i="105"/>
  <c r="Z37" i="105"/>
  <c r="V37" i="105"/>
  <c r="AI37" i="105" s="1"/>
  <c r="P37" i="105" s="1"/>
  <c r="U37" i="105"/>
  <c r="AC37" i="105" s="1"/>
  <c r="Q37" i="105"/>
  <c r="Y37" i="105" s="1"/>
  <c r="AE36" i="105"/>
  <c r="AB36" i="105"/>
  <c r="AA36" i="105"/>
  <c r="Z36" i="105"/>
  <c r="V36" i="105"/>
  <c r="AD36" i="105" s="1"/>
  <c r="U36" i="105"/>
  <c r="AC36" i="105" s="1"/>
  <c r="Y36" i="105"/>
  <c r="AE35" i="105"/>
  <c r="AB35" i="105"/>
  <c r="AA35" i="105"/>
  <c r="Z35" i="105"/>
  <c r="Y35" i="105"/>
  <c r="V35" i="105"/>
  <c r="AD35" i="105" s="1"/>
  <c r="U35" i="105"/>
  <c r="AC35" i="105" s="1"/>
  <c r="Q35" i="105"/>
  <c r="AI34" i="105"/>
  <c r="P34" i="105" s="1"/>
  <c r="AF34" i="105"/>
  <c r="AB34" i="105"/>
  <c r="AA34" i="105"/>
  <c r="Y34" i="105"/>
  <c r="V34" i="105"/>
  <c r="U34" i="105"/>
  <c r="AC34" i="105" s="1"/>
  <c r="Q34" i="105"/>
  <c r="AE33" i="105"/>
  <c r="AB33" i="105"/>
  <c r="AA33" i="105"/>
  <c r="Z33" i="105"/>
  <c r="AF33" i="105" s="1"/>
  <c r="V33" i="105"/>
  <c r="AD33" i="105" s="1"/>
  <c r="U33" i="105"/>
  <c r="AC33" i="105" s="1"/>
  <c r="Q33" i="105"/>
  <c r="Y33" i="105" s="1"/>
  <c r="AE32" i="105"/>
  <c r="V32" i="105"/>
  <c r="AI32" i="105" s="1"/>
  <c r="P32" i="105" s="1"/>
  <c r="U32" i="105"/>
  <c r="AC32" i="105" s="1"/>
  <c r="Y32" i="105"/>
  <c r="AE31" i="105"/>
  <c r="AB31" i="105"/>
  <c r="AA31" i="105"/>
  <c r="Z31" i="105"/>
  <c r="Y31" i="105"/>
  <c r="V31" i="105"/>
  <c r="AD31" i="105" s="1"/>
  <c r="U31" i="105"/>
  <c r="AC31" i="105" s="1"/>
  <c r="Q31" i="105"/>
  <c r="AE30" i="105"/>
  <c r="AB30" i="105"/>
  <c r="AA30" i="105"/>
  <c r="Z30" i="105"/>
  <c r="Y30" i="105"/>
  <c r="V30" i="105"/>
  <c r="AI30" i="105" s="1"/>
  <c r="P30" i="105" s="1"/>
  <c r="U30" i="105"/>
  <c r="AC30" i="105" s="1"/>
  <c r="Q30" i="105"/>
  <c r="AB29" i="105"/>
  <c r="AA29" i="105"/>
  <c r="Z29" i="105"/>
  <c r="Y29" i="105"/>
  <c r="V29" i="105"/>
  <c r="AD29" i="105" s="1"/>
  <c r="U29" i="105"/>
  <c r="AC29" i="105" s="1"/>
  <c r="Q29" i="105"/>
  <c r="AE28" i="105"/>
  <c r="AB28" i="105"/>
  <c r="AA28" i="105"/>
  <c r="Z28" i="105"/>
  <c r="V28" i="105"/>
  <c r="AI28" i="105" s="1"/>
  <c r="P28" i="105" s="1"/>
  <c r="U28" i="105"/>
  <c r="AC28" i="105" s="1"/>
  <c r="Q28" i="105"/>
  <c r="Y28" i="105" s="1"/>
  <c r="AE27" i="105"/>
  <c r="AB27" i="105"/>
  <c r="AA27" i="105"/>
  <c r="Z27" i="105"/>
  <c r="V27" i="105"/>
  <c r="AD27" i="105" s="1"/>
  <c r="U27" i="105"/>
  <c r="AC27" i="105" s="1"/>
  <c r="Q27" i="105"/>
  <c r="Y27" i="105" s="1"/>
  <c r="AE26" i="105"/>
  <c r="AB26" i="105"/>
  <c r="AA26" i="105"/>
  <c r="Z26" i="105"/>
  <c r="Y26" i="105"/>
  <c r="V26" i="105"/>
  <c r="AI26" i="105" s="1"/>
  <c r="P26" i="105" s="1"/>
  <c r="U26" i="105"/>
  <c r="AC26" i="105" s="1"/>
  <c r="Q26" i="105"/>
  <c r="AE25" i="105"/>
  <c r="AB25" i="105"/>
  <c r="AA25" i="105"/>
  <c r="Z25" i="105"/>
  <c r="V25" i="105"/>
  <c r="AI25" i="105" s="1"/>
  <c r="P25" i="105" s="1"/>
  <c r="U25" i="105"/>
  <c r="AC25" i="105" s="1"/>
  <c r="Q25" i="105"/>
  <c r="Y25" i="105" s="1"/>
  <c r="AN24" i="105"/>
  <c r="AE24" i="105"/>
  <c r="AB24" i="105"/>
  <c r="AA24" i="105"/>
  <c r="Z24" i="105"/>
  <c r="V24" i="105"/>
  <c r="AD24" i="105" s="1"/>
  <c r="U24" i="105"/>
  <c r="AC24" i="105" s="1"/>
  <c r="Q24" i="105"/>
  <c r="Y24" i="105" s="1"/>
  <c r="AE23" i="105"/>
  <c r="AB23" i="105"/>
  <c r="AA23" i="105"/>
  <c r="Z23" i="105"/>
  <c r="V23" i="105"/>
  <c r="AI23" i="105" s="1"/>
  <c r="P23" i="105" s="1"/>
  <c r="U23" i="105"/>
  <c r="AC23" i="105" s="1"/>
  <c r="Q23" i="105"/>
  <c r="Y23" i="105" s="1"/>
  <c r="AE22" i="105"/>
  <c r="AB22" i="105"/>
  <c r="AA22" i="105"/>
  <c r="Z22" i="105"/>
  <c r="AF22" i="105" s="1"/>
  <c r="Y22" i="105"/>
  <c r="V22" i="105"/>
  <c r="AI22" i="105" s="1"/>
  <c r="P22" i="105" s="1"/>
  <c r="U22" i="105"/>
  <c r="AC22" i="105" s="1"/>
  <c r="Q22" i="105"/>
  <c r="AE21" i="105"/>
  <c r="AB21" i="105"/>
  <c r="AA21" i="105"/>
  <c r="Z21" i="105"/>
  <c r="V21" i="105"/>
  <c r="AI21" i="105" s="1"/>
  <c r="P21" i="105" s="1"/>
  <c r="U21" i="105"/>
  <c r="AC21" i="105" s="1"/>
  <c r="Q21" i="105"/>
  <c r="Y21" i="105" s="1"/>
  <c r="AI20" i="105"/>
  <c r="Y20" i="105"/>
  <c r="AM19" i="105"/>
  <c r="AE19" i="105"/>
  <c r="AB19" i="105"/>
  <c r="AA19" i="105"/>
  <c r="Z19" i="105"/>
  <c r="V19" i="105"/>
  <c r="AD19" i="105" s="1"/>
  <c r="U19" i="105"/>
  <c r="AC19" i="105" s="1"/>
  <c r="Q19" i="105"/>
  <c r="Y19" i="105" s="1"/>
  <c r="AD32" i="105" l="1"/>
  <c r="AD85" i="105"/>
  <c r="AF81" i="105"/>
  <c r="AF80" i="105"/>
  <c r="AI80" i="105"/>
  <c r="P80" i="105" s="1"/>
  <c r="AD77" i="105"/>
  <c r="AD75" i="105"/>
  <c r="AF74" i="105"/>
  <c r="AF70" i="105"/>
  <c r="AI70" i="105"/>
  <c r="P70" i="105" s="1"/>
  <c r="AD68" i="105"/>
  <c r="AI66" i="105"/>
  <c r="P66" i="105" s="1"/>
  <c r="AF66" i="105"/>
  <c r="AD64" i="105"/>
  <c r="AF60" i="105"/>
  <c r="AI60" i="105"/>
  <c r="P60" i="105" s="1"/>
  <c r="AD58" i="105"/>
  <c r="AC55" i="105"/>
  <c r="AD55" i="105"/>
  <c r="AD53" i="105"/>
  <c r="AF49" i="105"/>
  <c r="AF48" i="105"/>
  <c r="AI47" i="105"/>
  <c r="P47" i="105" s="1"/>
  <c r="AF45" i="105"/>
  <c r="AF41" i="105"/>
  <c r="AO19" i="105"/>
  <c r="AD40" i="105"/>
  <c r="AD39" i="105"/>
  <c r="AI38" i="105"/>
  <c r="P38" i="105" s="1"/>
  <c r="AF36" i="105"/>
  <c r="AF35" i="105"/>
  <c r="AI33" i="105"/>
  <c r="P33" i="105" s="1"/>
  <c r="AF31" i="105"/>
  <c r="AF30" i="105"/>
  <c r="AI29" i="105"/>
  <c r="P29" i="105" s="1"/>
  <c r="AD28" i="105"/>
  <c r="AF27" i="105"/>
  <c r="AF26" i="105"/>
  <c r="AD25" i="105"/>
  <c r="AF24" i="105"/>
  <c r="AF23" i="105"/>
  <c r="AD22" i="105"/>
  <c r="AA87" i="105"/>
  <c r="AA119" i="105" s="1"/>
  <c r="AD21" i="105"/>
  <c r="AF19" i="105"/>
  <c r="U119" i="105"/>
  <c r="AF28" i="105"/>
  <c r="AF32" i="105"/>
  <c r="AF37" i="105"/>
  <c r="AF46" i="105"/>
  <c r="AF21" i="105"/>
  <c r="AF25" i="105"/>
  <c r="AF29" i="105"/>
  <c r="AF53" i="105"/>
  <c r="AF38" i="105"/>
  <c r="AF57" i="105"/>
  <c r="AF61" i="105"/>
  <c r="AF68" i="105"/>
  <c r="AF43" i="105"/>
  <c r="AF50" i="105"/>
  <c r="AF51" i="105"/>
  <c r="AF72" i="105"/>
  <c r="AF73" i="105"/>
  <c r="AF78" i="105"/>
  <c r="AB87" i="105"/>
  <c r="AF55" i="105"/>
  <c r="AD65" i="105"/>
  <c r="AI19" i="105"/>
  <c r="P19" i="105" s="1"/>
  <c r="AD23" i="105"/>
  <c r="AI24" i="105"/>
  <c r="P24" i="105" s="1"/>
  <c r="AD26" i="105"/>
  <c r="AI27" i="105"/>
  <c r="P27" i="105" s="1"/>
  <c r="AD30" i="105"/>
  <c r="AI31" i="105"/>
  <c r="P31" i="105" s="1"/>
  <c r="AI35" i="105"/>
  <c r="P35" i="105" s="1"/>
  <c r="AI36" i="105"/>
  <c r="P36" i="105" s="1"/>
  <c r="AI48" i="105"/>
  <c r="P48" i="105" s="1"/>
  <c r="AI49" i="105"/>
  <c r="P49" i="105" s="1"/>
  <c r="AI45" i="105"/>
  <c r="P45" i="105" s="1"/>
  <c r="AD37" i="105"/>
  <c r="AF39" i="105"/>
  <c r="AD50" i="105"/>
  <c r="AD67" i="105"/>
  <c r="Z87" i="105"/>
  <c r="Z119" i="105" s="1"/>
  <c r="AI41" i="105"/>
  <c r="P41" i="105" s="1"/>
  <c r="AD46" i="105"/>
  <c r="AF47" i="105"/>
  <c r="AD51" i="105"/>
  <c r="AD57" i="105"/>
  <c r="AF58" i="105"/>
  <c r="AD59" i="105"/>
  <c r="AD61" i="105"/>
  <c r="AF64" i="105"/>
  <c r="AD69" i="105"/>
  <c r="AD74" i="105"/>
  <c r="AI74" i="105"/>
  <c r="P74" i="105" s="1"/>
  <c r="T88" i="105"/>
  <c r="AD43" i="105"/>
  <c r="AD72" i="105"/>
  <c r="AD81" i="105"/>
  <c r="AI81" i="105"/>
  <c r="P81" i="105" s="1"/>
  <c r="AF106" i="105"/>
  <c r="Z106" i="105"/>
  <c r="U87" i="105"/>
  <c r="M122" i="104"/>
  <c r="AF87" i="105" l="1"/>
  <c r="AF119" i="105" s="1"/>
  <c r="K121" i="105" s="1"/>
  <c r="M122" i="105" s="1"/>
  <c r="AA88" i="105"/>
  <c r="AB119" i="105"/>
  <c r="AC87" i="105"/>
  <c r="AC119" i="105" s="1"/>
  <c r="Q48" i="104"/>
  <c r="U62" i="104" l="1"/>
  <c r="AC62" i="104" s="1"/>
  <c r="V62" i="104"/>
  <c r="AF62" i="104"/>
  <c r="Q62" i="104"/>
  <c r="AB78" i="104" l="1"/>
  <c r="AB79" i="104"/>
  <c r="AB80" i="104"/>
  <c r="AB81" i="104"/>
  <c r="AB64" i="104"/>
  <c r="AB65" i="104"/>
  <c r="AB66" i="104"/>
  <c r="AB67" i="104"/>
  <c r="AB68" i="104"/>
  <c r="AB69" i="104"/>
  <c r="AB70" i="104"/>
  <c r="AB71" i="104"/>
  <c r="AB72" i="104"/>
  <c r="AB73" i="104"/>
  <c r="AB74" i="104"/>
  <c r="AB75" i="104"/>
  <c r="AB58" i="104"/>
  <c r="AB59" i="104"/>
  <c r="AB60" i="104"/>
  <c r="AB61" i="104"/>
  <c r="AB46" i="104"/>
  <c r="AB47" i="104"/>
  <c r="AB48" i="104"/>
  <c r="AB49" i="104"/>
  <c r="AB50" i="104"/>
  <c r="AB51" i="104"/>
  <c r="AB45" i="104"/>
  <c r="AB22" i="104"/>
  <c r="AB23" i="104"/>
  <c r="AB24" i="104"/>
  <c r="AB25" i="104"/>
  <c r="AB26" i="104"/>
  <c r="AB27" i="104"/>
  <c r="AB28" i="104"/>
  <c r="AB29" i="104"/>
  <c r="AB30" i="104"/>
  <c r="AB31" i="104"/>
  <c r="AB32" i="104"/>
  <c r="AB33" i="104"/>
  <c r="AB34" i="104"/>
  <c r="AB35" i="104"/>
  <c r="AB36" i="104"/>
  <c r="AB37" i="104"/>
  <c r="AB38" i="104"/>
  <c r="AB39" i="104"/>
  <c r="AB40" i="104"/>
  <c r="AB41" i="104"/>
  <c r="AB42" i="104"/>
  <c r="AB43" i="104"/>
  <c r="AA78" i="104"/>
  <c r="AA79" i="104"/>
  <c r="AA80" i="104"/>
  <c r="AA81" i="104"/>
  <c r="AA77" i="104"/>
  <c r="AA64" i="104"/>
  <c r="AA65" i="104"/>
  <c r="AA66" i="104"/>
  <c r="AA67" i="104"/>
  <c r="AA68" i="104"/>
  <c r="AA69" i="104"/>
  <c r="AA70" i="104"/>
  <c r="AA71" i="104"/>
  <c r="AA72" i="104"/>
  <c r="AA73" i="104"/>
  <c r="AA74" i="104"/>
  <c r="AA75" i="104"/>
  <c r="AA58" i="104"/>
  <c r="AA59" i="104"/>
  <c r="AA60" i="104"/>
  <c r="AA61" i="104"/>
  <c r="AA55" i="104"/>
  <c r="AA47" i="104"/>
  <c r="AA48" i="104"/>
  <c r="AA49" i="104"/>
  <c r="AA50" i="104"/>
  <c r="AA51" i="104"/>
  <c r="AA53" i="104"/>
  <c r="AA46" i="104"/>
  <c r="AA45" i="104"/>
  <c r="AA22" i="104"/>
  <c r="AA23" i="104"/>
  <c r="AA24" i="104"/>
  <c r="AA25" i="104"/>
  <c r="AA26" i="104"/>
  <c r="AA27" i="104"/>
  <c r="AA28" i="104"/>
  <c r="AA29" i="104"/>
  <c r="AA30" i="104"/>
  <c r="AA31" i="104"/>
  <c r="AA32" i="104"/>
  <c r="AA33" i="104"/>
  <c r="AA34" i="104"/>
  <c r="AA35" i="104"/>
  <c r="AA36" i="104"/>
  <c r="AA37" i="104"/>
  <c r="AA38" i="104"/>
  <c r="AA39" i="104"/>
  <c r="AA40" i="104"/>
  <c r="AA41" i="104"/>
  <c r="AA42" i="104"/>
  <c r="AA43" i="104"/>
  <c r="AA21" i="104"/>
  <c r="AA19" i="104"/>
  <c r="Z78" i="104"/>
  <c r="Z79" i="104"/>
  <c r="Z80" i="104"/>
  <c r="Z81" i="104"/>
  <c r="Z71" i="104"/>
  <c r="Z72" i="104"/>
  <c r="Z73" i="104"/>
  <c r="Z74" i="104"/>
  <c r="Z75" i="104"/>
  <c r="Z64" i="104"/>
  <c r="Z65" i="104"/>
  <c r="Z66" i="104"/>
  <c r="Z67" i="104"/>
  <c r="Z68" i="104"/>
  <c r="Z69" i="104"/>
  <c r="Z70" i="104"/>
  <c r="Z58" i="104"/>
  <c r="Z59" i="104"/>
  <c r="Z60" i="104"/>
  <c r="Z61" i="104"/>
  <c r="Z46" i="104"/>
  <c r="Z47" i="104"/>
  <c r="Z48" i="104"/>
  <c r="Z49" i="104"/>
  <c r="Z50" i="104"/>
  <c r="Z51" i="104"/>
  <c r="Z45" i="104"/>
  <c r="Z36" i="104"/>
  <c r="Z37" i="104"/>
  <c r="Z38" i="104"/>
  <c r="Z39" i="104"/>
  <c r="Z40" i="104"/>
  <c r="Z41" i="104"/>
  <c r="Z42" i="104"/>
  <c r="Z43" i="104"/>
  <c r="Z22" i="104"/>
  <c r="Z23" i="104"/>
  <c r="Z24" i="104"/>
  <c r="Z25" i="104"/>
  <c r="Z26" i="104"/>
  <c r="Z27" i="104"/>
  <c r="Z28" i="104"/>
  <c r="Z29" i="104"/>
  <c r="Z30" i="104"/>
  <c r="Z31" i="104"/>
  <c r="Z32" i="104"/>
  <c r="Z33" i="104"/>
  <c r="Z21" i="104"/>
  <c r="Z19" i="104"/>
  <c r="Z70" i="103"/>
  <c r="Z48" i="103"/>
  <c r="Z45" i="103"/>
  <c r="Z36" i="103"/>
  <c r="AA19" i="103"/>
  <c r="AA21" i="103"/>
  <c r="AA22" i="103"/>
  <c r="Z19" i="103"/>
  <c r="Z21" i="103"/>
  <c r="AE79" i="104"/>
  <c r="AD79" i="104"/>
  <c r="Y79" i="104"/>
  <c r="AE65" i="104" l="1"/>
  <c r="AD65" i="104"/>
  <c r="AC65" i="104"/>
  <c r="Y65" i="104"/>
  <c r="AE60" i="104"/>
  <c r="AD60" i="104"/>
  <c r="AC60" i="104"/>
  <c r="Y60" i="104"/>
  <c r="AE40" i="104" l="1"/>
  <c r="T106" i="104" l="1"/>
  <c r="S106" i="104"/>
  <c r="R106" i="104"/>
  <c r="Y105" i="104"/>
  <c r="U105" i="104"/>
  <c r="Q105" i="104"/>
  <c r="Y104" i="104"/>
  <c r="U104" i="104"/>
  <c r="Q104" i="104"/>
  <c r="Y103" i="104"/>
  <c r="Y102" i="104"/>
  <c r="AI101" i="104"/>
  <c r="P101" i="104" s="1"/>
  <c r="AD101" i="104"/>
  <c r="AC101" i="104"/>
  <c r="AB101" i="104"/>
  <c r="AA101" i="104"/>
  <c r="Z101" i="104"/>
  <c r="AF101" i="104" s="1"/>
  <c r="Y101" i="104"/>
  <c r="U101" i="104"/>
  <c r="Q101" i="104"/>
  <c r="AI100" i="104"/>
  <c r="P100" i="104" s="1"/>
  <c r="AF100" i="104"/>
  <c r="AD100" i="104"/>
  <c r="AB100" i="104"/>
  <c r="AA100" i="104"/>
  <c r="Z100" i="104"/>
  <c r="Y100" i="104"/>
  <c r="U100" i="104"/>
  <c r="AC100" i="104" s="1"/>
  <c r="Q100" i="104"/>
  <c r="AI99" i="104"/>
  <c r="P99" i="104" s="1"/>
  <c r="AF99" i="104"/>
  <c r="AD99" i="104"/>
  <c r="AB99" i="104"/>
  <c r="AA99" i="104"/>
  <c r="Z99" i="104"/>
  <c r="Y99" i="104"/>
  <c r="U99" i="104"/>
  <c r="AC99" i="104" s="1"/>
  <c r="Q99" i="104"/>
  <c r="AI98" i="104"/>
  <c r="AD98" i="104"/>
  <c r="AB98" i="104"/>
  <c r="AA98" i="104"/>
  <c r="Z98" i="104"/>
  <c r="AF98" i="104" s="1"/>
  <c r="Y98" i="104"/>
  <c r="U98" i="104"/>
  <c r="AC98" i="104" s="1"/>
  <c r="Q98" i="104"/>
  <c r="P98" i="104"/>
  <c r="AI97" i="104"/>
  <c r="P97" i="104" s="1"/>
  <c r="AD97" i="104"/>
  <c r="AC97" i="104"/>
  <c r="AB97" i="104"/>
  <c r="AB106" i="104" s="1"/>
  <c r="AA97" i="104"/>
  <c r="AA106" i="104" s="1"/>
  <c r="Z97" i="104"/>
  <c r="AF97" i="104" s="1"/>
  <c r="AF106" i="104" s="1"/>
  <c r="Y97" i="104"/>
  <c r="U97" i="104"/>
  <c r="U106" i="104" s="1"/>
  <c r="Q97" i="104"/>
  <c r="AI96" i="104"/>
  <c r="P96" i="104" s="1"/>
  <c r="AD96" i="104"/>
  <c r="AB96" i="104"/>
  <c r="AA96" i="104"/>
  <c r="Z96" i="104"/>
  <c r="AF96" i="104" s="1"/>
  <c r="Y96" i="104"/>
  <c r="U96" i="104"/>
  <c r="AC96" i="104" s="1"/>
  <c r="Q96" i="104"/>
  <c r="AI93" i="104"/>
  <c r="AF93" i="104"/>
  <c r="AD93" i="104"/>
  <c r="AC93" i="104"/>
  <c r="AB93" i="104"/>
  <c r="AA93" i="104"/>
  <c r="Z93" i="104"/>
  <c r="Y93" i="104"/>
  <c r="AI92" i="104"/>
  <c r="AF92" i="104"/>
  <c r="AD92" i="104"/>
  <c r="AC92" i="104"/>
  <c r="AB92" i="104"/>
  <c r="AA92" i="104"/>
  <c r="Z92" i="104"/>
  <c r="Y92" i="104"/>
  <c r="AI91" i="104"/>
  <c r="AF91" i="104"/>
  <c r="AD91" i="104"/>
  <c r="AC91" i="104"/>
  <c r="AB91" i="104"/>
  <c r="AA91" i="104"/>
  <c r="Z91" i="104"/>
  <c r="Y91" i="104"/>
  <c r="AI90" i="104"/>
  <c r="AF90" i="104"/>
  <c r="AD90" i="104"/>
  <c r="AC90" i="104"/>
  <c r="AB90" i="104"/>
  <c r="AA90" i="104"/>
  <c r="Z90" i="104"/>
  <c r="Y90" i="104"/>
  <c r="T87" i="104"/>
  <c r="T119" i="104" s="1"/>
  <c r="S87" i="104"/>
  <c r="S119" i="104" s="1"/>
  <c r="R87" i="104"/>
  <c r="R119" i="104" s="1"/>
  <c r="AD86" i="104"/>
  <c r="AB86" i="104"/>
  <c r="AA86" i="104"/>
  <c r="Z86" i="104"/>
  <c r="AF86" i="104" s="1"/>
  <c r="Y86" i="104"/>
  <c r="V86" i="104"/>
  <c r="AI86" i="104" s="1"/>
  <c r="P86" i="104" s="1"/>
  <c r="U86" i="104"/>
  <c r="AC86" i="104" s="1"/>
  <c r="Q86" i="104"/>
  <c r="AB85" i="104"/>
  <c r="AA85" i="104"/>
  <c r="Z85" i="104"/>
  <c r="AF85" i="104" s="1"/>
  <c r="V85" i="104"/>
  <c r="AI85" i="104" s="1"/>
  <c r="P85" i="104" s="1"/>
  <c r="U85" i="104"/>
  <c r="AC85" i="104" s="1"/>
  <c r="Q85" i="104"/>
  <c r="Y85" i="104" s="1"/>
  <c r="AI84" i="104"/>
  <c r="Y84" i="104"/>
  <c r="P84" i="104"/>
  <c r="AF83" i="104"/>
  <c r="V83" i="104"/>
  <c r="AI83" i="104" s="1"/>
  <c r="P83" i="104" s="1"/>
  <c r="U83" i="104"/>
  <c r="Q83" i="104"/>
  <c r="AI82" i="104"/>
  <c r="P82" i="104" s="1"/>
  <c r="Z82" i="104"/>
  <c r="Y82" i="104"/>
  <c r="AE81" i="104"/>
  <c r="Y81" i="104"/>
  <c r="V81" i="104"/>
  <c r="AD81" i="104" s="1"/>
  <c r="U81" i="104"/>
  <c r="AC81" i="104" s="1"/>
  <c r="Q81" i="104"/>
  <c r="AE80" i="104"/>
  <c r="Y80" i="104"/>
  <c r="V80" i="104"/>
  <c r="AD80" i="104" s="1"/>
  <c r="U80" i="104"/>
  <c r="AC80" i="104" s="1"/>
  <c r="Q80" i="104"/>
  <c r="AI79" i="104"/>
  <c r="P79" i="104" s="1"/>
  <c r="AF79" i="104"/>
  <c r="V79" i="104"/>
  <c r="U79" i="104"/>
  <c r="Q79" i="104"/>
  <c r="AE78" i="104"/>
  <c r="V78" i="104"/>
  <c r="AD78" i="104" s="1"/>
  <c r="U78" i="104"/>
  <c r="AC78" i="104" s="1"/>
  <c r="Q78" i="104"/>
  <c r="Y78" i="104" s="1"/>
  <c r="AI77" i="104"/>
  <c r="P77" i="104" s="1"/>
  <c r="AE77" i="104"/>
  <c r="AB77" i="104"/>
  <c r="Z77" i="104"/>
  <c r="AF77" i="104" s="1"/>
  <c r="V77" i="104"/>
  <c r="AD77" i="104" s="1"/>
  <c r="U77" i="104"/>
  <c r="AC77" i="104" s="1"/>
  <c r="Q77" i="104"/>
  <c r="Y77" i="104" s="1"/>
  <c r="AI76" i="104"/>
  <c r="P76" i="104" s="1"/>
  <c r="Y76" i="104"/>
  <c r="AE75" i="104"/>
  <c r="V75" i="104"/>
  <c r="AD75" i="104" s="1"/>
  <c r="U75" i="104"/>
  <c r="AC75" i="104" s="1"/>
  <c r="Q75" i="104"/>
  <c r="Y75" i="104" s="1"/>
  <c r="AE74" i="104"/>
  <c r="AF74" i="104"/>
  <c r="V74" i="104"/>
  <c r="AI74" i="104" s="1"/>
  <c r="P74" i="104" s="1"/>
  <c r="U74" i="104"/>
  <c r="AC74" i="104" s="1"/>
  <c r="Q74" i="104"/>
  <c r="Y74" i="104" s="1"/>
  <c r="AE73" i="104"/>
  <c r="Y73" i="104"/>
  <c r="V73" i="104"/>
  <c r="AI73" i="104" s="1"/>
  <c r="P73" i="104" s="1"/>
  <c r="U73" i="104"/>
  <c r="Q73" i="104"/>
  <c r="AI72" i="104"/>
  <c r="P72" i="104" s="1"/>
  <c r="AE72" i="104"/>
  <c r="V72" i="104"/>
  <c r="AD72" i="104" s="1"/>
  <c r="U72" i="104"/>
  <c r="AC72" i="104" s="1"/>
  <c r="Q72" i="104"/>
  <c r="Y72" i="104" s="1"/>
  <c r="AD71" i="104"/>
  <c r="AC71" i="104"/>
  <c r="AF71" i="104"/>
  <c r="Y71" i="104"/>
  <c r="V71" i="104"/>
  <c r="AI71" i="104" s="1"/>
  <c r="P71" i="104" s="1"/>
  <c r="U71" i="104"/>
  <c r="Q71" i="104"/>
  <c r="AE70" i="104"/>
  <c r="AF70" i="104" s="1"/>
  <c r="V70" i="104"/>
  <c r="AI70" i="104" s="1"/>
  <c r="P70" i="104" s="1"/>
  <c r="U70" i="104"/>
  <c r="AC70" i="104" s="1"/>
  <c r="Q70" i="104"/>
  <c r="Y70" i="104" s="1"/>
  <c r="AI69" i="104"/>
  <c r="P69" i="104" s="1"/>
  <c r="AE69" i="104"/>
  <c r="AF69" i="104"/>
  <c r="V69" i="104"/>
  <c r="AD69" i="104" s="1"/>
  <c r="U69" i="104"/>
  <c r="AC69" i="104" s="1"/>
  <c r="Q69" i="104"/>
  <c r="Y69" i="104" s="1"/>
  <c r="AE68" i="104"/>
  <c r="V68" i="104"/>
  <c r="AD68" i="104" s="1"/>
  <c r="U68" i="104"/>
  <c r="AC68" i="104" s="1"/>
  <c r="Q68" i="104"/>
  <c r="Y68" i="104" s="1"/>
  <c r="AE67" i="104"/>
  <c r="Y67" i="104"/>
  <c r="V67" i="104"/>
  <c r="AD67" i="104" s="1"/>
  <c r="U67" i="104"/>
  <c r="AC67" i="104" s="1"/>
  <c r="Q67" i="104"/>
  <c r="AI66" i="104"/>
  <c r="P66" i="104" s="1"/>
  <c r="AE66" i="104"/>
  <c r="AF66" i="104"/>
  <c r="V66" i="104"/>
  <c r="AD66" i="104" s="1"/>
  <c r="U66" i="104"/>
  <c r="AC66" i="104" s="1"/>
  <c r="Q66" i="104"/>
  <c r="Y66" i="104" s="1"/>
  <c r="AF65" i="104"/>
  <c r="V65" i="104"/>
  <c r="AI65" i="104" s="1"/>
  <c r="P65" i="104" s="1"/>
  <c r="U65" i="104"/>
  <c r="Q65" i="104"/>
  <c r="AE64" i="104"/>
  <c r="V64" i="104"/>
  <c r="AD64" i="104" s="1"/>
  <c r="U64" i="104"/>
  <c r="AC64" i="104" s="1"/>
  <c r="Q64" i="104"/>
  <c r="Y64" i="104" s="1"/>
  <c r="AF63" i="104"/>
  <c r="V63" i="104"/>
  <c r="U63" i="104"/>
  <c r="AC63" i="104" s="1"/>
  <c r="Q63" i="104"/>
  <c r="Y63" i="104" s="1"/>
  <c r="AI62" i="104"/>
  <c r="P62" i="104" s="1"/>
  <c r="Y62" i="104"/>
  <c r="AE61" i="104"/>
  <c r="AF61" i="104"/>
  <c r="V61" i="104"/>
  <c r="AD61" i="104" s="1"/>
  <c r="U61" i="104"/>
  <c r="AC61" i="104" s="1"/>
  <c r="Q61" i="104"/>
  <c r="Y61" i="104" s="1"/>
  <c r="AF60" i="104"/>
  <c r="V60" i="104"/>
  <c r="AI60" i="104" s="1"/>
  <c r="P60" i="104" s="1"/>
  <c r="U60" i="104"/>
  <c r="Q60" i="104"/>
  <c r="AI59" i="104"/>
  <c r="P59" i="104" s="1"/>
  <c r="AE59" i="104"/>
  <c r="V59" i="104"/>
  <c r="AD59" i="104" s="1"/>
  <c r="U59" i="104"/>
  <c r="AC59" i="104" s="1"/>
  <c r="Q59" i="104"/>
  <c r="Y59" i="104" s="1"/>
  <c r="AE58" i="104"/>
  <c r="AF58" i="104"/>
  <c r="V58" i="104"/>
  <c r="AD58" i="104" s="1"/>
  <c r="U58" i="104"/>
  <c r="AC58" i="104" s="1"/>
  <c r="Q58" i="104"/>
  <c r="Y58" i="104" s="1"/>
  <c r="AE57" i="104"/>
  <c r="AB57" i="104"/>
  <c r="AA57" i="104"/>
  <c r="Z57" i="104"/>
  <c r="AF57" i="104" s="1"/>
  <c r="V57" i="104"/>
  <c r="U57" i="104"/>
  <c r="AC57" i="104" s="1"/>
  <c r="Q57" i="104"/>
  <c r="Y57" i="104" s="1"/>
  <c r="AI56" i="104"/>
  <c r="P56" i="104" s="1"/>
  <c r="Y56" i="104"/>
  <c r="AE55" i="104"/>
  <c r="AF55" i="104" s="1"/>
  <c r="AB55" i="104"/>
  <c r="AD55" i="104"/>
  <c r="Z55" i="104"/>
  <c r="V55" i="104"/>
  <c r="AI55" i="104" s="1"/>
  <c r="P55" i="104" s="1"/>
  <c r="U55" i="104"/>
  <c r="Q55" i="104"/>
  <c r="Y55" i="104" s="1"/>
  <c r="AI54" i="104"/>
  <c r="P54" i="104" s="1"/>
  <c r="Y54" i="104"/>
  <c r="AE53" i="104"/>
  <c r="AB53" i="104"/>
  <c r="Z53" i="104"/>
  <c r="AF53" i="104" s="1"/>
  <c r="V53" i="104"/>
  <c r="AI53" i="104" s="1"/>
  <c r="P53" i="104" s="1"/>
  <c r="U53" i="104"/>
  <c r="AC53" i="104" s="1"/>
  <c r="Q53" i="104"/>
  <c r="Y53" i="104" s="1"/>
  <c r="AI52" i="104"/>
  <c r="P52" i="104" s="1"/>
  <c r="Y52" i="104"/>
  <c r="AE51" i="104"/>
  <c r="Y51" i="104"/>
  <c r="V51" i="104"/>
  <c r="U51" i="104"/>
  <c r="AC51" i="104" s="1"/>
  <c r="AE50" i="104"/>
  <c r="V50" i="104"/>
  <c r="U50" i="104"/>
  <c r="AC50" i="104" s="1"/>
  <c r="Q50" i="104"/>
  <c r="Y50" i="104" s="1"/>
  <c r="AI49" i="104"/>
  <c r="P49" i="104" s="1"/>
  <c r="AE49" i="104"/>
  <c r="Y49" i="104"/>
  <c r="V49" i="104"/>
  <c r="AD49" i="104" s="1"/>
  <c r="U49" i="104"/>
  <c r="AC49" i="104" s="1"/>
  <c r="Q49" i="104"/>
  <c r="AI48" i="104"/>
  <c r="P48" i="104" s="1"/>
  <c r="AE48" i="104"/>
  <c r="AF48" i="104" s="1"/>
  <c r="AD48" i="104"/>
  <c r="V48" i="104"/>
  <c r="U48" i="104"/>
  <c r="AC48" i="104" s="1"/>
  <c r="Y48" i="104"/>
  <c r="AE47" i="104"/>
  <c r="AF47" i="104"/>
  <c r="V47" i="104"/>
  <c r="U47" i="104"/>
  <c r="AC47" i="104" s="1"/>
  <c r="Q47" i="104"/>
  <c r="Y47" i="104" s="1"/>
  <c r="AE46" i="104"/>
  <c r="AC46" i="104"/>
  <c r="AF46" i="104"/>
  <c r="Y46" i="104"/>
  <c r="V46" i="104"/>
  <c r="AD46" i="104" s="1"/>
  <c r="U46" i="104"/>
  <c r="Q46" i="104"/>
  <c r="AF45" i="104"/>
  <c r="AE45" i="104"/>
  <c r="V45" i="104"/>
  <c r="AD45" i="104" s="1"/>
  <c r="U45" i="104"/>
  <c r="AC45" i="104" s="1"/>
  <c r="Q45" i="104"/>
  <c r="Y45" i="104" s="1"/>
  <c r="AI44" i="104"/>
  <c r="Y44" i="104"/>
  <c r="AI43" i="104"/>
  <c r="P43" i="104" s="1"/>
  <c r="AE43" i="104"/>
  <c r="V43" i="104"/>
  <c r="AD43" i="104" s="1"/>
  <c r="U43" i="104"/>
  <c r="AC43" i="104" s="1"/>
  <c r="Q43" i="104"/>
  <c r="Y43" i="104" s="1"/>
  <c r="AD42" i="104"/>
  <c r="AC42" i="104"/>
  <c r="AF42" i="104"/>
  <c r="Y42" i="104"/>
  <c r="V42" i="104"/>
  <c r="AI42" i="104" s="1"/>
  <c r="U42" i="104"/>
  <c r="Q42" i="104"/>
  <c r="P42" i="104"/>
  <c r="AI41" i="104"/>
  <c r="P41" i="104" s="1"/>
  <c r="AE41" i="104"/>
  <c r="AF41" i="104"/>
  <c r="V41" i="104"/>
  <c r="AD41" i="104" s="1"/>
  <c r="U41" i="104"/>
  <c r="AC41" i="104" s="1"/>
  <c r="Q41" i="104"/>
  <c r="Y41" i="104" s="1"/>
  <c r="AF40" i="104"/>
  <c r="Y40" i="104"/>
  <c r="V40" i="104"/>
  <c r="AI40" i="104" s="1"/>
  <c r="P40" i="104" s="1"/>
  <c r="U40" i="104"/>
  <c r="AC40" i="104" s="1"/>
  <c r="Q40" i="104"/>
  <c r="AE39" i="104"/>
  <c r="V39" i="104"/>
  <c r="AI39" i="104" s="1"/>
  <c r="P39" i="104" s="1"/>
  <c r="U39" i="104"/>
  <c r="Q39" i="104"/>
  <c r="Y39" i="104" s="1"/>
  <c r="AE38" i="104"/>
  <c r="V38" i="104"/>
  <c r="U38" i="104"/>
  <c r="AC38" i="104" s="1"/>
  <c r="Q38" i="104"/>
  <c r="Y38" i="104" s="1"/>
  <c r="AE37" i="104"/>
  <c r="V37" i="104"/>
  <c r="AD37" i="104" s="1"/>
  <c r="U37" i="104"/>
  <c r="AC37" i="104" s="1"/>
  <c r="Q37" i="104"/>
  <c r="Y37" i="104" s="1"/>
  <c r="AE36" i="104"/>
  <c r="AF36" i="104" s="1"/>
  <c r="V36" i="104"/>
  <c r="AI36" i="104" s="1"/>
  <c r="P36" i="104" s="1"/>
  <c r="U36" i="104"/>
  <c r="AC36" i="104" s="1"/>
  <c r="Q36" i="104"/>
  <c r="Y36" i="104" s="1"/>
  <c r="AE35" i="104"/>
  <c r="Z35" i="104"/>
  <c r="AF35" i="104" s="1"/>
  <c r="V35" i="104"/>
  <c r="U35" i="104"/>
  <c r="AC35" i="104" s="1"/>
  <c r="Q35" i="104"/>
  <c r="Y35" i="104" s="1"/>
  <c r="AF34" i="104"/>
  <c r="Y34" i="104"/>
  <c r="V34" i="104"/>
  <c r="AI34" i="104" s="1"/>
  <c r="P34" i="104" s="1"/>
  <c r="U34" i="104"/>
  <c r="AC34" i="104" s="1"/>
  <c r="Q34" i="104"/>
  <c r="AE33" i="104"/>
  <c r="AF33" i="104"/>
  <c r="V33" i="104"/>
  <c r="AI33" i="104" s="1"/>
  <c r="P33" i="104" s="1"/>
  <c r="U33" i="104"/>
  <c r="AC33" i="104" s="1"/>
  <c r="Q33" i="104"/>
  <c r="Y33" i="104" s="1"/>
  <c r="AE32" i="104"/>
  <c r="AF32" i="104"/>
  <c r="V32" i="104"/>
  <c r="AI32" i="104" s="1"/>
  <c r="P32" i="104" s="1"/>
  <c r="U32" i="104"/>
  <c r="AC32" i="104" s="1"/>
  <c r="Q32" i="104"/>
  <c r="Y32" i="104" s="1"/>
  <c r="AE31" i="104"/>
  <c r="AF31" i="104"/>
  <c r="V31" i="104"/>
  <c r="U31" i="104"/>
  <c r="AC31" i="104" s="1"/>
  <c r="Q31" i="104"/>
  <c r="Y31" i="104" s="1"/>
  <c r="AE30" i="104"/>
  <c r="AF30" i="104"/>
  <c r="Y30" i="104"/>
  <c r="V30" i="104"/>
  <c r="AD30" i="104" s="1"/>
  <c r="U30" i="104"/>
  <c r="AC30" i="104" s="1"/>
  <c r="Q30" i="104"/>
  <c r="AI29" i="104"/>
  <c r="P29" i="104" s="1"/>
  <c r="AE29" i="104"/>
  <c r="V29" i="104"/>
  <c r="AD29" i="104" s="1"/>
  <c r="U29" i="104"/>
  <c r="AC29" i="104" s="1"/>
  <c r="Q29" i="104"/>
  <c r="Y29" i="104" s="1"/>
  <c r="AE28" i="104"/>
  <c r="V28" i="104"/>
  <c r="AI28" i="104" s="1"/>
  <c r="P28" i="104" s="1"/>
  <c r="U28" i="104"/>
  <c r="AC28" i="104" s="1"/>
  <c r="Q28" i="104"/>
  <c r="Y28" i="104" s="1"/>
  <c r="AE27" i="104"/>
  <c r="AF27" i="104"/>
  <c r="V27" i="104"/>
  <c r="U27" i="104"/>
  <c r="AC27" i="104" s="1"/>
  <c r="Q27" i="104"/>
  <c r="Y27" i="104" s="1"/>
  <c r="AE26" i="104"/>
  <c r="AF26" i="104"/>
  <c r="Y26" i="104"/>
  <c r="V26" i="104"/>
  <c r="AD26" i="104" s="1"/>
  <c r="U26" i="104"/>
  <c r="AC26" i="104" s="1"/>
  <c r="Q26" i="104"/>
  <c r="AE25" i="104"/>
  <c r="AF25" i="104"/>
  <c r="V25" i="104"/>
  <c r="AI25" i="104" s="1"/>
  <c r="P25" i="104" s="1"/>
  <c r="U25" i="104"/>
  <c r="AC25" i="104" s="1"/>
  <c r="Q25" i="104"/>
  <c r="Y25" i="104" s="1"/>
  <c r="AN24" i="104"/>
  <c r="AE24" i="104"/>
  <c r="AF24" i="104"/>
  <c r="V24" i="104"/>
  <c r="U24" i="104"/>
  <c r="AC24" i="104" s="1"/>
  <c r="Q24" i="104"/>
  <c r="Y24" i="104" s="1"/>
  <c r="AE23" i="104"/>
  <c r="V23" i="104"/>
  <c r="AD23" i="104" s="1"/>
  <c r="U23" i="104"/>
  <c r="AC23" i="104" s="1"/>
  <c r="Q23" i="104"/>
  <c r="Y23" i="104" s="1"/>
  <c r="AE22" i="104"/>
  <c r="V22" i="104"/>
  <c r="AD22" i="104" s="1"/>
  <c r="U22" i="104"/>
  <c r="AC22" i="104" s="1"/>
  <c r="Q22" i="104"/>
  <c r="Y22" i="104" s="1"/>
  <c r="AF21" i="104"/>
  <c r="AE21" i="104"/>
  <c r="AB21" i="104"/>
  <c r="V21" i="104"/>
  <c r="AD21" i="104" s="1"/>
  <c r="U21" i="104"/>
  <c r="AC21" i="104" s="1"/>
  <c r="Q21" i="104"/>
  <c r="Y21" i="104" s="1"/>
  <c r="AI20" i="104"/>
  <c r="Y20" i="104"/>
  <c r="AO19" i="104"/>
  <c r="AM19" i="104"/>
  <c r="AE19" i="104"/>
  <c r="AF19" i="104" s="1"/>
  <c r="AB19" i="104"/>
  <c r="Y19" i="104"/>
  <c r="V19" i="104"/>
  <c r="AD19" i="104" s="1"/>
  <c r="U19" i="104"/>
  <c r="AC19" i="104" s="1"/>
  <c r="Q19" i="104"/>
  <c r="AI63" i="104" l="1"/>
  <c r="P63" i="104" s="1"/>
  <c r="AD85" i="104"/>
  <c r="AF81" i="104"/>
  <c r="AF80" i="104"/>
  <c r="AI80" i="104"/>
  <c r="P80" i="104" s="1"/>
  <c r="AF78" i="104"/>
  <c r="AF75" i="104"/>
  <c r="AI75" i="104"/>
  <c r="P75" i="104" s="1"/>
  <c r="AD74" i="104"/>
  <c r="AD70" i="104"/>
  <c r="AF68" i="104"/>
  <c r="AF67" i="104"/>
  <c r="AI67" i="104"/>
  <c r="P67" i="104" s="1"/>
  <c r="AI64" i="104"/>
  <c r="P64" i="104" s="1"/>
  <c r="AF64" i="104"/>
  <c r="AI61" i="104"/>
  <c r="P61" i="104" s="1"/>
  <c r="AI58" i="104"/>
  <c r="P58" i="104" s="1"/>
  <c r="AD53" i="104"/>
  <c r="AF51" i="104"/>
  <c r="AF50" i="104"/>
  <c r="AF49" i="104"/>
  <c r="AI45" i="104"/>
  <c r="P45" i="104" s="1"/>
  <c r="AD40" i="104"/>
  <c r="AD39" i="104"/>
  <c r="AF39" i="104"/>
  <c r="AF38" i="104"/>
  <c r="AF37" i="104"/>
  <c r="AD36" i="104"/>
  <c r="AD33" i="104"/>
  <c r="AD32" i="104"/>
  <c r="AD28" i="104"/>
  <c r="AD25" i="104"/>
  <c r="AA87" i="104"/>
  <c r="AA119" i="104" s="1"/>
  <c r="AI23" i="104"/>
  <c r="P23" i="104" s="1"/>
  <c r="AI22" i="104"/>
  <c r="P22" i="104" s="1"/>
  <c r="U119" i="104"/>
  <c r="AF73" i="104"/>
  <c r="AF22" i="104"/>
  <c r="AF28" i="104"/>
  <c r="AF23" i="104"/>
  <c r="AF43" i="104"/>
  <c r="AF72" i="104"/>
  <c r="AF29" i="104"/>
  <c r="AF59" i="104"/>
  <c r="AI26" i="104"/>
  <c r="P26" i="104" s="1"/>
  <c r="AI50" i="104"/>
  <c r="P50" i="104" s="1"/>
  <c r="AD50" i="104"/>
  <c r="AB87" i="104"/>
  <c r="AI21" i="104"/>
  <c r="P21" i="104" s="1"/>
  <c r="AI31" i="104"/>
  <c r="P31" i="104" s="1"/>
  <c r="AD31" i="104"/>
  <c r="AI35" i="104"/>
  <c r="P35" i="104" s="1"/>
  <c r="AD35" i="104"/>
  <c r="AI38" i="104"/>
  <c r="P38" i="104" s="1"/>
  <c r="AD38" i="104"/>
  <c r="AI47" i="104"/>
  <c r="P47" i="104" s="1"/>
  <c r="AD47" i="104"/>
  <c r="AC55" i="104"/>
  <c r="AI19" i="104"/>
  <c r="P19" i="104" s="1"/>
  <c r="AI24" i="104"/>
  <c r="P24" i="104" s="1"/>
  <c r="AD24" i="104"/>
  <c r="AI30" i="104"/>
  <c r="P30" i="104" s="1"/>
  <c r="AI37" i="104"/>
  <c r="P37" i="104" s="1"/>
  <c r="AI46" i="104"/>
  <c r="P46" i="104" s="1"/>
  <c r="AI57" i="104"/>
  <c r="P57" i="104" s="1"/>
  <c r="AD57" i="104"/>
  <c r="Z87" i="104"/>
  <c r="AI27" i="104"/>
  <c r="P27" i="104" s="1"/>
  <c r="AD27" i="104"/>
  <c r="AI51" i="104"/>
  <c r="P51" i="104" s="1"/>
  <c r="AD51" i="104"/>
  <c r="T88" i="104"/>
  <c r="Z106" i="104"/>
  <c r="AI68" i="104"/>
  <c r="P68" i="104" s="1"/>
  <c r="AI78" i="104"/>
  <c r="P78" i="104" s="1"/>
  <c r="AI81" i="104"/>
  <c r="P81" i="104" s="1"/>
  <c r="U87" i="104"/>
  <c r="T106" i="103"/>
  <c r="S106" i="103"/>
  <c r="R106" i="103"/>
  <c r="Y105" i="103"/>
  <c r="U105" i="103"/>
  <c r="Q105" i="103"/>
  <c r="Y104" i="103"/>
  <c r="U104" i="103"/>
  <c r="Q104" i="103"/>
  <c r="Y103" i="103"/>
  <c r="Y102" i="103"/>
  <c r="AI101" i="103"/>
  <c r="AD101" i="103"/>
  <c r="AB101" i="103"/>
  <c r="AA101" i="103"/>
  <c r="Z101" i="103"/>
  <c r="AF101" i="103" s="1"/>
  <c r="Y101" i="103"/>
  <c r="U101" i="103"/>
  <c r="AC101" i="103" s="1"/>
  <c r="Q101" i="103"/>
  <c r="P101" i="103"/>
  <c r="AI100" i="103"/>
  <c r="AD100" i="103"/>
  <c r="AC100" i="103"/>
  <c r="AB100" i="103"/>
  <c r="AA100" i="103"/>
  <c r="Z100" i="103"/>
  <c r="AF100" i="103" s="1"/>
  <c r="Y100" i="103"/>
  <c r="U100" i="103"/>
  <c r="Q100" i="103"/>
  <c r="P100" i="103"/>
  <c r="AI99" i="103"/>
  <c r="P99" i="103" s="1"/>
  <c r="AD99" i="103"/>
  <c r="AB99" i="103"/>
  <c r="AA99" i="103"/>
  <c r="Z99" i="103"/>
  <c r="AF99" i="103" s="1"/>
  <c r="Y99" i="103"/>
  <c r="U99" i="103"/>
  <c r="AC99" i="103" s="1"/>
  <c r="Q99" i="103"/>
  <c r="AI98" i="103"/>
  <c r="P98" i="103" s="1"/>
  <c r="AF98" i="103"/>
  <c r="AD98" i="103"/>
  <c r="AB98" i="103"/>
  <c r="AA98" i="103"/>
  <c r="Z98" i="103"/>
  <c r="Y98" i="103"/>
  <c r="U98" i="103"/>
  <c r="AC98" i="103" s="1"/>
  <c r="Q98" i="103"/>
  <c r="AI97" i="103"/>
  <c r="AD97" i="103"/>
  <c r="AC97" i="103"/>
  <c r="AB97" i="103"/>
  <c r="AA97" i="103"/>
  <c r="Z97" i="103"/>
  <c r="Z106" i="103" s="1"/>
  <c r="Y97" i="103"/>
  <c r="U97" i="103"/>
  <c r="Q97" i="103"/>
  <c r="P97" i="103"/>
  <c r="AI96" i="103"/>
  <c r="AD96" i="103"/>
  <c r="AC96" i="103"/>
  <c r="AB96" i="103"/>
  <c r="AA96" i="103"/>
  <c r="Z96" i="103"/>
  <c r="AF96" i="103" s="1"/>
  <c r="Y96" i="103"/>
  <c r="U96" i="103"/>
  <c r="Q96" i="103"/>
  <c r="P96" i="103"/>
  <c r="AI93" i="103"/>
  <c r="AF93" i="103"/>
  <c r="AD93" i="103"/>
  <c r="AC93" i="103"/>
  <c r="AB93" i="103"/>
  <c r="AA93" i="103"/>
  <c r="Z93" i="103"/>
  <c r="Y93" i="103"/>
  <c r="AI92" i="103"/>
  <c r="AF92" i="103"/>
  <c r="AD92" i="103"/>
  <c r="AC92" i="103"/>
  <c r="AB92" i="103"/>
  <c r="AA92" i="103"/>
  <c r="Z92" i="103"/>
  <c r="Y92" i="103"/>
  <c r="AI91" i="103"/>
  <c r="AF91" i="103"/>
  <c r="AD91" i="103"/>
  <c r="AC91" i="103"/>
  <c r="AB91" i="103"/>
  <c r="AA91" i="103"/>
  <c r="Z91" i="103"/>
  <c r="Y91" i="103"/>
  <c r="AI90" i="103"/>
  <c r="AF90" i="103"/>
  <c r="AD90" i="103"/>
  <c r="AC90" i="103"/>
  <c r="AB90" i="103"/>
  <c r="AA90" i="103"/>
  <c r="Z90" i="103"/>
  <c r="Y90" i="103"/>
  <c r="T87" i="103"/>
  <c r="T119" i="103" s="1"/>
  <c r="S87" i="103"/>
  <c r="S119" i="103" s="1"/>
  <c r="R87" i="103"/>
  <c r="R119" i="103" s="1"/>
  <c r="AF86" i="103"/>
  <c r="AB86" i="103"/>
  <c r="AA86" i="103"/>
  <c r="Z86" i="103"/>
  <c r="Y86" i="103"/>
  <c r="V86" i="103"/>
  <c r="AD86" i="103" s="1"/>
  <c r="U86" i="103"/>
  <c r="AC86" i="103" s="1"/>
  <c r="Q86" i="103"/>
  <c r="AB85" i="103"/>
  <c r="AA85" i="103"/>
  <c r="Z85" i="103"/>
  <c r="AF85" i="103" s="1"/>
  <c r="V85" i="103"/>
  <c r="AD85" i="103" s="1"/>
  <c r="U85" i="103"/>
  <c r="AC85" i="103" s="1"/>
  <c r="Q85" i="103"/>
  <c r="Y85" i="103" s="1"/>
  <c r="AI84" i="103"/>
  <c r="P84" i="103" s="1"/>
  <c r="Y84" i="103"/>
  <c r="AF83" i="103"/>
  <c r="V83" i="103"/>
  <c r="AI83" i="103" s="1"/>
  <c r="P83" i="103" s="1"/>
  <c r="U83" i="103"/>
  <c r="Q83" i="103"/>
  <c r="AI82" i="103"/>
  <c r="P82" i="103" s="1"/>
  <c r="Z82" i="103"/>
  <c r="Y82" i="103"/>
  <c r="AE81" i="103"/>
  <c r="AB81" i="103"/>
  <c r="AA81" i="103"/>
  <c r="Z81" i="103"/>
  <c r="V81" i="103"/>
  <c r="AD81" i="103" s="1"/>
  <c r="U81" i="103"/>
  <c r="AC81" i="103" s="1"/>
  <c r="Q81" i="103"/>
  <c r="Y81" i="103" s="1"/>
  <c r="AE80" i="103"/>
  <c r="AB80" i="103"/>
  <c r="AA80" i="103"/>
  <c r="Z80" i="103"/>
  <c r="AF80" i="103" s="1"/>
  <c r="V80" i="103"/>
  <c r="AI80" i="103" s="1"/>
  <c r="P80" i="103" s="1"/>
  <c r="U80" i="103"/>
  <c r="AC80" i="103" s="1"/>
  <c r="Q80" i="103"/>
  <c r="Y80" i="103" s="1"/>
  <c r="AF79" i="103"/>
  <c r="V79" i="103"/>
  <c r="AI79" i="103" s="1"/>
  <c r="U79" i="103"/>
  <c r="Q79" i="103"/>
  <c r="P79" i="103"/>
  <c r="AE78" i="103"/>
  <c r="AB78" i="103"/>
  <c r="AA78" i="103"/>
  <c r="Z78" i="103"/>
  <c r="AF78" i="103" s="1"/>
  <c r="V78" i="103"/>
  <c r="AI78" i="103" s="1"/>
  <c r="P78" i="103" s="1"/>
  <c r="U78" i="103"/>
  <c r="AC78" i="103" s="1"/>
  <c r="Q78" i="103"/>
  <c r="Y78" i="103" s="1"/>
  <c r="AE77" i="103"/>
  <c r="AB77" i="103"/>
  <c r="AA77" i="103"/>
  <c r="Z77" i="103"/>
  <c r="AF77" i="103" s="1"/>
  <c r="V77" i="103"/>
  <c r="AI77" i="103" s="1"/>
  <c r="P77" i="103" s="1"/>
  <c r="U77" i="103"/>
  <c r="AC77" i="103" s="1"/>
  <c r="Q77" i="103"/>
  <c r="Y77" i="103" s="1"/>
  <c r="AI76" i="103"/>
  <c r="Y76" i="103"/>
  <c r="P76" i="103"/>
  <c r="AE75" i="103"/>
  <c r="AB75" i="103"/>
  <c r="AA75" i="103"/>
  <c r="Z75" i="103"/>
  <c r="AF75" i="103" s="1"/>
  <c r="V75" i="103"/>
  <c r="AI75" i="103" s="1"/>
  <c r="P75" i="103" s="1"/>
  <c r="U75" i="103"/>
  <c r="AC75" i="103" s="1"/>
  <c r="Q75" i="103"/>
  <c r="Y75" i="103" s="1"/>
  <c r="AE74" i="103"/>
  <c r="AB74" i="103"/>
  <c r="AA74" i="103"/>
  <c r="Z74" i="103"/>
  <c r="AF74" i="103" s="1"/>
  <c r="Y74" i="103"/>
  <c r="V74" i="103"/>
  <c r="U74" i="103"/>
  <c r="AC74" i="103" s="1"/>
  <c r="Q74" i="103"/>
  <c r="AI73" i="103"/>
  <c r="P73" i="103" s="1"/>
  <c r="AE73" i="103"/>
  <c r="AB73" i="103"/>
  <c r="AA73" i="103"/>
  <c r="Z73" i="103"/>
  <c r="AF73" i="103" s="1"/>
  <c r="V73" i="103"/>
  <c r="U73" i="103"/>
  <c r="Q73" i="103"/>
  <c r="Y73" i="103" s="1"/>
  <c r="AE72" i="103"/>
  <c r="AF72" i="103" s="1"/>
  <c r="AB72" i="103"/>
  <c r="AA72" i="103"/>
  <c r="Z72" i="103"/>
  <c r="Y72" i="103"/>
  <c r="V72" i="103"/>
  <c r="U72" i="103"/>
  <c r="AC72" i="103" s="1"/>
  <c r="Q72" i="103"/>
  <c r="AF71" i="103"/>
  <c r="AB71" i="103"/>
  <c r="AA71" i="103"/>
  <c r="Z71" i="103"/>
  <c r="Y71" i="103"/>
  <c r="V71" i="103"/>
  <c r="AD71" i="103" s="1"/>
  <c r="U71" i="103"/>
  <c r="AC71" i="103" s="1"/>
  <c r="Q71" i="103"/>
  <c r="AE70" i="103"/>
  <c r="AF70" i="103" s="1"/>
  <c r="AB70" i="103"/>
  <c r="AA70" i="103"/>
  <c r="Y70" i="103"/>
  <c r="V70" i="103"/>
  <c r="AD70" i="103" s="1"/>
  <c r="U70" i="103"/>
  <c r="AC70" i="103" s="1"/>
  <c r="Q70" i="103"/>
  <c r="AE69" i="103"/>
  <c r="AB69" i="103"/>
  <c r="AA69" i="103"/>
  <c r="Z69" i="103"/>
  <c r="Y69" i="103"/>
  <c r="V69" i="103"/>
  <c r="AD69" i="103" s="1"/>
  <c r="U69" i="103"/>
  <c r="AC69" i="103" s="1"/>
  <c r="Q69" i="103"/>
  <c r="AE68" i="103"/>
  <c r="AC68" i="103"/>
  <c r="AB68" i="103"/>
  <c r="AA68" i="103"/>
  <c r="Z68" i="103"/>
  <c r="V68" i="103"/>
  <c r="AD68" i="103" s="1"/>
  <c r="U68" i="103"/>
  <c r="Q68" i="103"/>
  <c r="Y68" i="103" s="1"/>
  <c r="AE67" i="103"/>
  <c r="AB67" i="103"/>
  <c r="AA67" i="103"/>
  <c r="Z67" i="103"/>
  <c r="V67" i="103"/>
  <c r="AI67" i="103" s="1"/>
  <c r="P67" i="103" s="1"/>
  <c r="U67" i="103"/>
  <c r="AC67" i="103" s="1"/>
  <c r="Q67" i="103"/>
  <c r="Y67" i="103" s="1"/>
  <c r="AE66" i="103"/>
  <c r="AB66" i="103"/>
  <c r="AA66" i="103"/>
  <c r="Z66" i="103"/>
  <c r="Y66" i="103"/>
  <c r="V66" i="103"/>
  <c r="U66" i="103"/>
  <c r="AC66" i="103" s="1"/>
  <c r="Q66" i="103"/>
  <c r="AI65" i="103"/>
  <c r="AF65" i="103"/>
  <c r="V65" i="103"/>
  <c r="U65" i="103"/>
  <c r="Q65" i="103"/>
  <c r="P65" i="103"/>
  <c r="AE64" i="103"/>
  <c r="AB64" i="103"/>
  <c r="AA64" i="103"/>
  <c r="Z64" i="103"/>
  <c r="V64" i="103"/>
  <c r="AD64" i="103" s="1"/>
  <c r="U64" i="103"/>
  <c r="AC64" i="103" s="1"/>
  <c r="Q64" i="103"/>
  <c r="Y64" i="103" s="1"/>
  <c r="AE63" i="103"/>
  <c r="AF63" i="103" s="1"/>
  <c r="AB63" i="103"/>
  <c r="AA63" i="103"/>
  <c r="Z63" i="103"/>
  <c r="V63" i="103"/>
  <c r="U63" i="103"/>
  <c r="AC63" i="103" s="1"/>
  <c r="Q63" i="103"/>
  <c r="Y63" i="103" s="1"/>
  <c r="AI62" i="103"/>
  <c r="P62" i="103" s="1"/>
  <c r="Y62" i="103"/>
  <c r="AE61" i="103"/>
  <c r="AF61" i="103" s="1"/>
  <c r="AB61" i="103"/>
  <c r="AA61" i="103"/>
  <c r="Z61" i="103"/>
  <c r="V61" i="103"/>
  <c r="U61" i="103"/>
  <c r="AC61" i="103" s="1"/>
  <c r="Q61" i="103"/>
  <c r="Y61" i="103" s="1"/>
  <c r="AI60" i="103"/>
  <c r="AF60" i="103"/>
  <c r="V60" i="103"/>
  <c r="U60" i="103"/>
  <c r="Q60" i="103"/>
  <c r="P60" i="103"/>
  <c r="AE59" i="103"/>
  <c r="AB59" i="103"/>
  <c r="AA59" i="103"/>
  <c r="Z59" i="103"/>
  <c r="V59" i="103"/>
  <c r="AD59" i="103" s="1"/>
  <c r="U59" i="103"/>
  <c r="AC59" i="103" s="1"/>
  <c r="Q59" i="103"/>
  <c r="Y59" i="103" s="1"/>
  <c r="AE58" i="103"/>
  <c r="AF58" i="103" s="1"/>
  <c r="AB58" i="103"/>
  <c r="AA58" i="103"/>
  <c r="Z58" i="103"/>
  <c r="V58" i="103"/>
  <c r="U58" i="103"/>
  <c r="AC58" i="103" s="1"/>
  <c r="Q58" i="103"/>
  <c r="Y58" i="103" s="1"/>
  <c r="AE57" i="103"/>
  <c r="AB57" i="103"/>
  <c r="AA57" i="103"/>
  <c r="Z57" i="103"/>
  <c r="Y57" i="103"/>
  <c r="V57" i="103"/>
  <c r="AD57" i="103" s="1"/>
  <c r="U57" i="103"/>
  <c r="AC57" i="103" s="1"/>
  <c r="Q57" i="103"/>
  <c r="AI56" i="103"/>
  <c r="P56" i="103" s="1"/>
  <c r="Y56" i="103"/>
  <c r="AE55" i="103"/>
  <c r="AC55" i="103"/>
  <c r="AB55" i="103"/>
  <c r="AA55" i="103"/>
  <c r="AD55" i="103" s="1"/>
  <c r="Z55" i="103"/>
  <c r="Y55" i="103"/>
  <c r="V55" i="103"/>
  <c r="AI55" i="103" s="1"/>
  <c r="P55" i="103" s="1"/>
  <c r="U55" i="103"/>
  <c r="Q55" i="103"/>
  <c r="AI54" i="103"/>
  <c r="P54" i="103" s="1"/>
  <c r="Y54" i="103"/>
  <c r="AE53" i="103"/>
  <c r="AB53" i="103"/>
  <c r="AA53" i="103"/>
  <c r="Z53" i="103"/>
  <c r="Y53" i="103"/>
  <c r="V53" i="103"/>
  <c r="AI53" i="103" s="1"/>
  <c r="P53" i="103" s="1"/>
  <c r="U53" i="103"/>
  <c r="AC53" i="103" s="1"/>
  <c r="Q53" i="103"/>
  <c r="AI52" i="103"/>
  <c r="P52" i="103" s="1"/>
  <c r="Y52" i="103"/>
  <c r="AE51" i="103"/>
  <c r="AB51" i="103"/>
  <c r="AA51" i="103"/>
  <c r="Z51" i="103"/>
  <c r="Y51" i="103"/>
  <c r="V51" i="103"/>
  <c r="AD51" i="103" s="1"/>
  <c r="U51" i="103"/>
  <c r="AC51" i="103" s="1"/>
  <c r="AE50" i="103"/>
  <c r="AC50" i="103"/>
  <c r="AB50" i="103"/>
  <c r="AA50" i="103"/>
  <c r="Z50" i="103"/>
  <c r="Y50" i="103"/>
  <c r="V50" i="103"/>
  <c r="AD50" i="103" s="1"/>
  <c r="U50" i="103"/>
  <c r="Q50" i="103"/>
  <c r="AE49" i="103"/>
  <c r="AD49" i="103"/>
  <c r="AB49" i="103"/>
  <c r="AA49" i="103"/>
  <c r="Z49" i="103"/>
  <c r="Y49" i="103"/>
  <c r="V49" i="103"/>
  <c r="AI49" i="103" s="1"/>
  <c r="P49" i="103" s="1"/>
  <c r="U49" i="103"/>
  <c r="AC49" i="103" s="1"/>
  <c r="Q49" i="103"/>
  <c r="AE48" i="103"/>
  <c r="AF48" i="103" s="1"/>
  <c r="V48" i="103"/>
  <c r="AI48" i="103" s="1"/>
  <c r="P48" i="103" s="1"/>
  <c r="U48" i="103"/>
  <c r="AC48" i="103" s="1"/>
  <c r="Q48" i="103"/>
  <c r="Y48" i="103" s="1"/>
  <c r="AE47" i="103"/>
  <c r="AB47" i="103"/>
  <c r="AA47" i="103"/>
  <c r="Z47" i="103"/>
  <c r="Y47" i="103"/>
  <c r="V47" i="103"/>
  <c r="AD47" i="103" s="1"/>
  <c r="U47" i="103"/>
  <c r="AC47" i="103" s="1"/>
  <c r="Q47" i="103"/>
  <c r="AE46" i="103"/>
  <c r="AC46" i="103"/>
  <c r="AB46" i="103"/>
  <c r="AA46" i="103"/>
  <c r="Z46" i="103"/>
  <c r="Y46" i="103"/>
  <c r="V46" i="103"/>
  <c r="AD46" i="103" s="1"/>
  <c r="U46" i="103"/>
  <c r="Q46" i="103"/>
  <c r="AE45" i="103"/>
  <c r="AF45" i="103" s="1"/>
  <c r="V45" i="103"/>
  <c r="AI45" i="103" s="1"/>
  <c r="P45" i="103" s="1"/>
  <c r="U45" i="103"/>
  <c r="AC45" i="103" s="1"/>
  <c r="Q45" i="103"/>
  <c r="Y45" i="103" s="1"/>
  <c r="AI44" i="103"/>
  <c r="Y44" i="103"/>
  <c r="AI43" i="103"/>
  <c r="P43" i="103" s="1"/>
  <c r="AE43" i="103"/>
  <c r="AB43" i="103"/>
  <c r="AA43" i="103"/>
  <c r="Z43" i="103"/>
  <c r="V43" i="103"/>
  <c r="AD43" i="103" s="1"/>
  <c r="U43" i="103"/>
  <c r="AC43" i="103" s="1"/>
  <c r="Q43" i="103"/>
  <c r="Y43" i="103" s="1"/>
  <c r="AD42" i="103"/>
  <c r="AB42" i="103"/>
  <c r="AA42" i="103"/>
  <c r="Z42" i="103"/>
  <c r="AF42" i="103" s="1"/>
  <c r="Y42" i="103"/>
  <c r="V42" i="103"/>
  <c r="AI42" i="103" s="1"/>
  <c r="P42" i="103" s="1"/>
  <c r="U42" i="103"/>
  <c r="AC42" i="103" s="1"/>
  <c r="Q42" i="103"/>
  <c r="AE41" i="103"/>
  <c r="AF41" i="103" s="1"/>
  <c r="AB41" i="103"/>
  <c r="AA41" i="103"/>
  <c r="Z41" i="103"/>
  <c r="V41" i="103"/>
  <c r="U41" i="103"/>
  <c r="AC41" i="103" s="1"/>
  <c r="Q41" i="103"/>
  <c r="Y41" i="103" s="1"/>
  <c r="AF40" i="103"/>
  <c r="AB40" i="103"/>
  <c r="AA40" i="103"/>
  <c r="Z40" i="103"/>
  <c r="Y40" i="103"/>
  <c r="V40" i="103"/>
  <c r="AD40" i="103" s="1"/>
  <c r="U40" i="103"/>
  <c r="AC40" i="103" s="1"/>
  <c r="Q40" i="103"/>
  <c r="AI39" i="103"/>
  <c r="P39" i="103" s="1"/>
  <c r="AE39" i="103"/>
  <c r="AB39" i="103"/>
  <c r="AA39" i="103"/>
  <c r="Z39" i="103"/>
  <c r="V39" i="103"/>
  <c r="AD39" i="103" s="1"/>
  <c r="U39" i="103"/>
  <c r="Q39" i="103"/>
  <c r="Y39" i="103" s="1"/>
  <c r="AE38" i="103"/>
  <c r="AC38" i="103"/>
  <c r="AB38" i="103"/>
  <c r="AA38" i="103"/>
  <c r="Z38" i="103"/>
  <c r="Y38" i="103"/>
  <c r="V38" i="103"/>
  <c r="AD38" i="103" s="1"/>
  <c r="U38" i="103"/>
  <c r="Q38" i="103"/>
  <c r="AE37" i="103"/>
  <c r="AB37" i="103"/>
  <c r="AA37" i="103"/>
  <c r="Z37" i="103"/>
  <c r="Y37" i="103"/>
  <c r="V37" i="103"/>
  <c r="AI37" i="103" s="1"/>
  <c r="P37" i="103" s="1"/>
  <c r="U37" i="103"/>
  <c r="AC37" i="103" s="1"/>
  <c r="Q37" i="103"/>
  <c r="AE36" i="103"/>
  <c r="AF36" i="103" s="1"/>
  <c r="V36" i="103"/>
  <c r="AI36" i="103" s="1"/>
  <c r="P36" i="103" s="1"/>
  <c r="U36" i="103"/>
  <c r="AC36" i="103" s="1"/>
  <c r="Q36" i="103"/>
  <c r="Y36" i="103" s="1"/>
  <c r="AE35" i="103"/>
  <c r="AB35" i="103"/>
  <c r="AA35" i="103"/>
  <c r="Z35" i="103"/>
  <c r="Y35" i="103"/>
  <c r="V35" i="103"/>
  <c r="AD35" i="103" s="1"/>
  <c r="U35" i="103"/>
  <c r="AC35" i="103" s="1"/>
  <c r="Q35" i="103"/>
  <c r="AF34" i="103"/>
  <c r="AB34" i="103"/>
  <c r="Y34" i="103"/>
  <c r="V34" i="103"/>
  <c r="AI34" i="103" s="1"/>
  <c r="P34" i="103" s="1"/>
  <c r="U34" i="103"/>
  <c r="AC34" i="103" s="1"/>
  <c r="Q34" i="103"/>
  <c r="AE33" i="103"/>
  <c r="AB33" i="103"/>
  <c r="AA33" i="103"/>
  <c r="Z33" i="103"/>
  <c r="V33" i="103"/>
  <c r="AI33" i="103" s="1"/>
  <c r="P33" i="103" s="1"/>
  <c r="U33" i="103"/>
  <c r="AC33" i="103" s="1"/>
  <c r="Q33" i="103"/>
  <c r="Y33" i="103" s="1"/>
  <c r="AE32" i="103"/>
  <c r="AF32" i="103" s="1"/>
  <c r="AB32" i="103"/>
  <c r="AA32" i="103"/>
  <c r="Z32" i="103"/>
  <c r="V32" i="103"/>
  <c r="AI32" i="103" s="1"/>
  <c r="P32" i="103" s="1"/>
  <c r="U32" i="103"/>
  <c r="AC32" i="103" s="1"/>
  <c r="Q32" i="103"/>
  <c r="Y32" i="103" s="1"/>
  <c r="AI31" i="103"/>
  <c r="P31" i="103" s="1"/>
  <c r="AE31" i="103"/>
  <c r="AB31" i="103"/>
  <c r="AA31" i="103"/>
  <c r="Z31" i="103"/>
  <c r="V31" i="103"/>
  <c r="AD31" i="103" s="1"/>
  <c r="U31" i="103"/>
  <c r="AC31" i="103" s="1"/>
  <c r="Q31" i="103"/>
  <c r="Y31" i="103" s="1"/>
  <c r="AE30" i="103"/>
  <c r="AB30" i="103"/>
  <c r="AA30" i="103"/>
  <c r="Z30" i="103"/>
  <c r="V30" i="103"/>
  <c r="AI30" i="103" s="1"/>
  <c r="P30" i="103" s="1"/>
  <c r="U30" i="103"/>
  <c r="AC30" i="103" s="1"/>
  <c r="Q30" i="103"/>
  <c r="Y30" i="103" s="1"/>
  <c r="AE29" i="103"/>
  <c r="AF29" i="103" s="1"/>
  <c r="AB29" i="103"/>
  <c r="AA29" i="103"/>
  <c r="Z29" i="103"/>
  <c r="Y29" i="103"/>
  <c r="V29" i="103"/>
  <c r="AD29" i="103" s="1"/>
  <c r="U29" i="103"/>
  <c r="AC29" i="103" s="1"/>
  <c r="Q29" i="103"/>
  <c r="AE28" i="103"/>
  <c r="AB28" i="103"/>
  <c r="AA28" i="103"/>
  <c r="Z28" i="103"/>
  <c r="V28" i="103"/>
  <c r="AD28" i="103" s="1"/>
  <c r="U28" i="103"/>
  <c r="AC28" i="103" s="1"/>
  <c r="Q28" i="103"/>
  <c r="Y28" i="103" s="1"/>
  <c r="AE27" i="103"/>
  <c r="AC27" i="103"/>
  <c r="AB27" i="103"/>
  <c r="AA27" i="103"/>
  <c r="Z27" i="103"/>
  <c r="Y27" i="103"/>
  <c r="V27" i="103"/>
  <c r="AI27" i="103" s="1"/>
  <c r="P27" i="103" s="1"/>
  <c r="U27" i="103"/>
  <c r="Q27" i="103"/>
  <c r="AE26" i="103"/>
  <c r="AB26" i="103"/>
  <c r="AA26" i="103"/>
  <c r="Z26" i="103"/>
  <c r="V26" i="103"/>
  <c r="AI26" i="103" s="1"/>
  <c r="P26" i="103" s="1"/>
  <c r="U26" i="103"/>
  <c r="AC26" i="103" s="1"/>
  <c r="Q26" i="103"/>
  <c r="Y26" i="103" s="1"/>
  <c r="AE25" i="103"/>
  <c r="AF25" i="103" s="1"/>
  <c r="AB25" i="103"/>
  <c r="AA25" i="103"/>
  <c r="Z25" i="103"/>
  <c r="Y25" i="103"/>
  <c r="V25" i="103"/>
  <c r="AD25" i="103" s="1"/>
  <c r="U25" i="103"/>
  <c r="AC25" i="103" s="1"/>
  <c r="Q25" i="103"/>
  <c r="AN24" i="103"/>
  <c r="AE24" i="103"/>
  <c r="AB24" i="103"/>
  <c r="AA24" i="103"/>
  <c r="Z24" i="103"/>
  <c r="V24" i="103"/>
  <c r="AD24" i="103" s="1"/>
  <c r="U24" i="103"/>
  <c r="AC24" i="103" s="1"/>
  <c r="Q24" i="103"/>
  <c r="Y24" i="103" s="1"/>
  <c r="AE23" i="103"/>
  <c r="AB23" i="103"/>
  <c r="AA23" i="103"/>
  <c r="Z23" i="103"/>
  <c r="V23" i="103"/>
  <c r="AI23" i="103" s="1"/>
  <c r="P23" i="103" s="1"/>
  <c r="U23" i="103"/>
  <c r="AC23" i="103" s="1"/>
  <c r="Q23" i="103"/>
  <c r="Y23" i="103" s="1"/>
  <c r="AE22" i="103"/>
  <c r="AB22" i="103"/>
  <c r="Z22" i="103"/>
  <c r="Y22" i="103"/>
  <c r="V22" i="103"/>
  <c r="AD22" i="103" s="1"/>
  <c r="U22" i="103"/>
  <c r="AC22" i="103" s="1"/>
  <c r="Q22" i="103"/>
  <c r="AF21" i="103"/>
  <c r="AE21" i="103"/>
  <c r="AB21" i="103"/>
  <c r="V21" i="103"/>
  <c r="AD21" i="103" s="1"/>
  <c r="U21" i="103"/>
  <c r="AC21" i="103" s="1"/>
  <c r="Q21" i="103"/>
  <c r="Y21" i="103" s="1"/>
  <c r="AI20" i="103"/>
  <c r="Y20" i="103"/>
  <c r="AO19" i="103"/>
  <c r="AM19" i="103"/>
  <c r="AE19" i="103"/>
  <c r="AF19" i="103" s="1"/>
  <c r="AB19" i="103"/>
  <c r="Y19" i="103"/>
  <c r="V19" i="103"/>
  <c r="AD19" i="103" s="1"/>
  <c r="U19" i="103"/>
  <c r="AC19" i="103" s="1"/>
  <c r="Q19" i="103"/>
  <c r="AF87" i="104" l="1"/>
  <c r="AF119" i="104" s="1"/>
  <c r="K121" i="104" s="1"/>
  <c r="Z119" i="104"/>
  <c r="AA88" i="104"/>
  <c r="AB119" i="104"/>
  <c r="AC87" i="104"/>
  <c r="AC119" i="104" s="1"/>
  <c r="AI81" i="103"/>
  <c r="P81" i="103" s="1"/>
  <c r="AD80" i="103"/>
  <c r="AD78" i="103"/>
  <c r="AD77" i="103"/>
  <c r="AD75" i="103"/>
  <c r="AI70" i="103"/>
  <c r="P70" i="103" s="1"/>
  <c r="AF69" i="103"/>
  <c r="AI68" i="103"/>
  <c r="P68" i="103" s="1"/>
  <c r="AD67" i="103"/>
  <c r="AF66" i="103"/>
  <c r="AI64" i="103"/>
  <c r="P64" i="103" s="1"/>
  <c r="AI59" i="103"/>
  <c r="P59" i="103" s="1"/>
  <c r="AF57" i="103"/>
  <c r="AF55" i="103"/>
  <c r="AF53" i="103"/>
  <c r="AD53" i="103"/>
  <c r="AF51" i="103"/>
  <c r="AF50" i="103"/>
  <c r="AD48" i="103"/>
  <c r="AF47" i="103"/>
  <c r="AI46" i="103"/>
  <c r="P46" i="103" s="1"/>
  <c r="AF38" i="103"/>
  <c r="AD37" i="103"/>
  <c r="AD36" i="103"/>
  <c r="AF35" i="103"/>
  <c r="AD33" i="103"/>
  <c r="AD30" i="103"/>
  <c r="AF28" i="103"/>
  <c r="AD27" i="103"/>
  <c r="AD26" i="103"/>
  <c r="AB87" i="103"/>
  <c r="AI24" i="103"/>
  <c r="P24" i="103" s="1"/>
  <c r="AA87" i="103"/>
  <c r="AD23" i="103"/>
  <c r="AF22" i="103"/>
  <c r="AI21" i="103"/>
  <c r="P21" i="103" s="1"/>
  <c r="U119" i="103"/>
  <c r="AI19" i="103"/>
  <c r="P19" i="103" s="1"/>
  <c r="AF68" i="103"/>
  <c r="AF30" i="103"/>
  <c r="AF23" i="103"/>
  <c r="AF26" i="103"/>
  <c r="AF39" i="103"/>
  <c r="AF46" i="103"/>
  <c r="AF24" i="103"/>
  <c r="AF27" i="103"/>
  <c r="AF33" i="103"/>
  <c r="AF37" i="103"/>
  <c r="AF59" i="103"/>
  <c r="AF31" i="103"/>
  <c r="AF49" i="103"/>
  <c r="AF81" i="103"/>
  <c r="AF43" i="103"/>
  <c r="AI47" i="103"/>
  <c r="P47" i="103" s="1"/>
  <c r="AI58" i="103"/>
  <c r="P58" i="103" s="1"/>
  <c r="AD58" i="103"/>
  <c r="AF67" i="103"/>
  <c r="AI28" i="103"/>
  <c r="P28" i="103" s="1"/>
  <c r="AI41" i="103"/>
  <c r="P41" i="103" s="1"/>
  <c r="AD41" i="103"/>
  <c r="AI50" i="103"/>
  <c r="P50" i="103" s="1"/>
  <c r="AI57" i="103"/>
  <c r="P57" i="103" s="1"/>
  <c r="AI85" i="103"/>
  <c r="P85" i="103" s="1"/>
  <c r="AA106" i="103"/>
  <c r="AF97" i="103"/>
  <c r="AF106" i="103" s="1"/>
  <c r="AI35" i="103"/>
  <c r="P35" i="103" s="1"/>
  <c r="AF64" i="103"/>
  <c r="AI69" i="103"/>
  <c r="P69" i="103" s="1"/>
  <c r="AI74" i="103"/>
  <c r="P74" i="103" s="1"/>
  <c r="AD74" i="103"/>
  <c r="AI29" i="103"/>
  <c r="P29" i="103" s="1"/>
  <c r="AD32" i="103"/>
  <c r="AI40" i="103"/>
  <c r="P40" i="103" s="1"/>
  <c r="AI63" i="103"/>
  <c r="P63" i="103" s="1"/>
  <c r="AD63" i="103"/>
  <c r="AI66" i="103"/>
  <c r="P66" i="103" s="1"/>
  <c r="AD66" i="103"/>
  <c r="AI72" i="103"/>
  <c r="P72" i="103" s="1"/>
  <c r="AD72" i="103"/>
  <c r="AI86" i="103"/>
  <c r="P86" i="103" s="1"/>
  <c r="U87" i="103"/>
  <c r="U106" i="103"/>
  <c r="AB106" i="103"/>
  <c r="AI38" i="103"/>
  <c r="P38" i="103" s="1"/>
  <c r="AI61" i="103"/>
  <c r="P61" i="103" s="1"/>
  <c r="AD61" i="103"/>
  <c r="AI22" i="103"/>
  <c r="P22" i="103" s="1"/>
  <c r="AI25" i="103"/>
  <c r="P25" i="103" s="1"/>
  <c r="Z87" i="103"/>
  <c r="Z119" i="103" s="1"/>
  <c r="AD45" i="103"/>
  <c r="AI51" i="103"/>
  <c r="P51" i="103" s="1"/>
  <c r="AI71" i="103"/>
  <c r="P71" i="103" s="1"/>
  <c r="T88" i="103"/>
  <c r="AE25" i="102"/>
  <c r="AB119" i="103" l="1"/>
  <c r="AA119" i="103"/>
  <c r="AF87" i="103"/>
  <c r="AF119" i="103" s="1"/>
  <c r="K121" i="103" s="1"/>
  <c r="M122" i="103" s="1"/>
  <c r="AC87" i="103"/>
  <c r="AC119" i="103" s="1"/>
  <c r="AA88" i="103"/>
  <c r="AA106" i="102"/>
  <c r="T106" i="102"/>
  <c r="S106" i="102"/>
  <c r="R106" i="102"/>
  <c r="Y105" i="102"/>
  <c r="U105" i="102"/>
  <c r="Q105" i="102"/>
  <c r="Y104" i="102"/>
  <c r="U104" i="102"/>
  <c r="Q104" i="102"/>
  <c r="Y103" i="102"/>
  <c r="Y102" i="102"/>
  <c r="AI101" i="102"/>
  <c r="AD101" i="102"/>
  <c r="AB101" i="102"/>
  <c r="AA101" i="102"/>
  <c r="Z101" i="102"/>
  <c r="AF101" i="102" s="1"/>
  <c r="Y101" i="102"/>
  <c r="U101" i="102"/>
  <c r="AC101" i="102" s="1"/>
  <c r="Q101" i="102"/>
  <c r="P101" i="102"/>
  <c r="AI100" i="102"/>
  <c r="P100" i="102" s="1"/>
  <c r="AF100" i="102"/>
  <c r="AD100" i="102"/>
  <c r="AC100" i="102"/>
  <c r="AB100" i="102"/>
  <c r="AA100" i="102"/>
  <c r="Z100" i="102"/>
  <c r="Y100" i="102"/>
  <c r="U100" i="102"/>
  <c r="Q100" i="102"/>
  <c r="AI99" i="102"/>
  <c r="P99" i="102" s="1"/>
  <c r="AD99" i="102"/>
  <c r="AB99" i="102"/>
  <c r="AA99" i="102"/>
  <c r="Z99" i="102"/>
  <c r="AF99" i="102" s="1"/>
  <c r="Y99" i="102"/>
  <c r="U99" i="102"/>
  <c r="AC99" i="102" s="1"/>
  <c r="Q99" i="102"/>
  <c r="AI98" i="102"/>
  <c r="AF98" i="102"/>
  <c r="AD98" i="102"/>
  <c r="AB98" i="102"/>
  <c r="AA98" i="102"/>
  <c r="Z98" i="102"/>
  <c r="Y98" i="102"/>
  <c r="U98" i="102"/>
  <c r="AC98" i="102" s="1"/>
  <c r="Q98" i="102"/>
  <c r="P98" i="102"/>
  <c r="AI97" i="102"/>
  <c r="AD97" i="102"/>
  <c r="AC97" i="102"/>
  <c r="AB97" i="102"/>
  <c r="AB106" i="102" s="1"/>
  <c r="AA97" i="102"/>
  <c r="Z97" i="102"/>
  <c r="Y97" i="102"/>
  <c r="U97" i="102"/>
  <c r="U106" i="102" s="1"/>
  <c r="Q97" i="102"/>
  <c r="P97" i="102"/>
  <c r="AI96" i="102"/>
  <c r="P96" i="102" s="1"/>
  <c r="AD96" i="102"/>
  <c r="AC96" i="102"/>
  <c r="AB96" i="102"/>
  <c r="AA96" i="102"/>
  <c r="Z96" i="102"/>
  <c r="AF96" i="102" s="1"/>
  <c r="Y96" i="102"/>
  <c r="U96" i="102"/>
  <c r="Q96" i="102"/>
  <c r="AI93" i="102"/>
  <c r="AF93" i="102"/>
  <c r="AD93" i="102"/>
  <c r="AC93" i="102"/>
  <c r="AB93" i="102"/>
  <c r="AA93" i="102"/>
  <c r="Z93" i="102"/>
  <c r="Y93" i="102"/>
  <c r="AI92" i="102"/>
  <c r="AF92" i="102"/>
  <c r="AD92" i="102"/>
  <c r="AC92" i="102"/>
  <c r="AB92" i="102"/>
  <c r="AA92" i="102"/>
  <c r="Z92" i="102"/>
  <c r="Y92" i="102"/>
  <c r="AI91" i="102"/>
  <c r="AF91" i="102"/>
  <c r="AD91" i="102"/>
  <c r="AC91" i="102"/>
  <c r="AB91" i="102"/>
  <c r="AA91" i="102"/>
  <c r="Z91" i="102"/>
  <c r="Y91" i="102"/>
  <c r="AI90" i="102"/>
  <c r="AF90" i="102"/>
  <c r="AD90" i="102"/>
  <c r="AC90" i="102"/>
  <c r="AB90" i="102"/>
  <c r="AA90" i="102"/>
  <c r="Z90" i="102"/>
  <c r="Y90" i="102"/>
  <c r="T87" i="102"/>
  <c r="S87" i="102"/>
  <c r="R87" i="102"/>
  <c r="R119" i="102" s="1"/>
  <c r="AF86" i="102"/>
  <c r="AD86" i="102"/>
  <c r="AB86" i="102"/>
  <c r="AA86" i="102"/>
  <c r="Z86" i="102"/>
  <c r="Y86" i="102"/>
  <c r="V86" i="102"/>
  <c r="AI86" i="102" s="1"/>
  <c r="P86" i="102" s="1"/>
  <c r="U86" i="102"/>
  <c r="AC86" i="102" s="1"/>
  <c r="Q86" i="102"/>
  <c r="AB85" i="102"/>
  <c r="AA85" i="102"/>
  <c r="Z85" i="102"/>
  <c r="AF85" i="102" s="1"/>
  <c r="V85" i="102"/>
  <c r="AI85" i="102" s="1"/>
  <c r="P85" i="102" s="1"/>
  <c r="U85" i="102"/>
  <c r="AC85" i="102" s="1"/>
  <c r="Q85" i="102"/>
  <c r="Y85" i="102" s="1"/>
  <c r="AI84" i="102"/>
  <c r="Y84" i="102"/>
  <c r="P84" i="102"/>
  <c r="AF83" i="102"/>
  <c r="V83" i="102"/>
  <c r="AI83" i="102" s="1"/>
  <c r="P83" i="102" s="1"/>
  <c r="U83" i="102"/>
  <c r="Q83" i="102"/>
  <c r="AI82" i="102"/>
  <c r="P82" i="102" s="1"/>
  <c r="Z82" i="102"/>
  <c r="Y82" i="102"/>
  <c r="AF81" i="102"/>
  <c r="AE81" i="102"/>
  <c r="AB81" i="102"/>
  <c r="AA81" i="102"/>
  <c r="Z81" i="102"/>
  <c r="Y81" i="102"/>
  <c r="V81" i="102"/>
  <c r="AD81" i="102" s="1"/>
  <c r="U81" i="102"/>
  <c r="AC81" i="102" s="1"/>
  <c r="Q81" i="102"/>
  <c r="AE80" i="102"/>
  <c r="AB80" i="102"/>
  <c r="AA80" i="102"/>
  <c r="Z80" i="102"/>
  <c r="AF80" i="102" s="1"/>
  <c r="V80" i="102"/>
  <c r="AI80" i="102" s="1"/>
  <c r="P80" i="102" s="1"/>
  <c r="U80" i="102"/>
  <c r="AC80" i="102" s="1"/>
  <c r="Q80" i="102"/>
  <c r="Y80" i="102" s="1"/>
  <c r="AF79" i="102"/>
  <c r="V79" i="102"/>
  <c r="AI79" i="102" s="1"/>
  <c r="P79" i="102" s="1"/>
  <c r="U79" i="102"/>
  <c r="Q79" i="102"/>
  <c r="AE78" i="102"/>
  <c r="AB78" i="102"/>
  <c r="AA78" i="102"/>
  <c r="Z78" i="102"/>
  <c r="V78" i="102"/>
  <c r="AD78" i="102" s="1"/>
  <c r="U78" i="102"/>
  <c r="AC78" i="102" s="1"/>
  <c r="Q78" i="102"/>
  <c r="Y78" i="102" s="1"/>
  <c r="AI77" i="102"/>
  <c r="P77" i="102" s="1"/>
  <c r="AE77" i="102"/>
  <c r="AB77" i="102"/>
  <c r="AA77" i="102"/>
  <c r="Z77" i="102"/>
  <c r="V77" i="102"/>
  <c r="AD77" i="102" s="1"/>
  <c r="U77" i="102"/>
  <c r="AC77" i="102" s="1"/>
  <c r="Q77" i="102"/>
  <c r="Y77" i="102" s="1"/>
  <c r="AI76" i="102"/>
  <c r="Y76" i="102"/>
  <c r="P76" i="102"/>
  <c r="AE75" i="102"/>
  <c r="AB75" i="102"/>
  <c r="AA75" i="102"/>
  <c r="Z75" i="102"/>
  <c r="V75" i="102"/>
  <c r="AI75" i="102" s="1"/>
  <c r="P75" i="102" s="1"/>
  <c r="U75" i="102"/>
  <c r="AC75" i="102" s="1"/>
  <c r="Q75" i="102"/>
  <c r="Y75" i="102" s="1"/>
  <c r="AE74" i="102"/>
  <c r="AB74" i="102"/>
  <c r="AA74" i="102"/>
  <c r="Z74" i="102"/>
  <c r="V74" i="102"/>
  <c r="AI74" i="102" s="1"/>
  <c r="P74" i="102" s="1"/>
  <c r="U74" i="102"/>
  <c r="AC74" i="102" s="1"/>
  <c r="Q74" i="102"/>
  <c r="Y74" i="102" s="1"/>
  <c r="AE73" i="102"/>
  <c r="AB73" i="102"/>
  <c r="AA73" i="102"/>
  <c r="Z73" i="102"/>
  <c r="V73" i="102"/>
  <c r="AI73" i="102" s="1"/>
  <c r="P73" i="102" s="1"/>
  <c r="U73" i="102"/>
  <c r="Q73" i="102"/>
  <c r="Y73" i="102" s="1"/>
  <c r="AE72" i="102"/>
  <c r="AB72" i="102"/>
  <c r="AA72" i="102"/>
  <c r="Z72" i="102"/>
  <c r="V72" i="102"/>
  <c r="AI72" i="102" s="1"/>
  <c r="P72" i="102" s="1"/>
  <c r="U72" i="102"/>
  <c r="AC72" i="102" s="1"/>
  <c r="Q72" i="102"/>
  <c r="Y72" i="102" s="1"/>
  <c r="AD71" i="102"/>
  <c r="AB71" i="102"/>
  <c r="AA71" i="102"/>
  <c r="Z71" i="102"/>
  <c r="AF71" i="102" s="1"/>
  <c r="Y71" i="102"/>
  <c r="V71" i="102"/>
  <c r="AI71" i="102" s="1"/>
  <c r="P71" i="102" s="1"/>
  <c r="U71" i="102"/>
  <c r="AC71" i="102" s="1"/>
  <c r="Q71" i="102"/>
  <c r="AE70" i="102"/>
  <c r="AF70" i="102" s="1"/>
  <c r="AB70" i="102"/>
  <c r="AA70" i="102"/>
  <c r="V70" i="102"/>
  <c r="AD70" i="102" s="1"/>
  <c r="U70" i="102"/>
  <c r="AC70" i="102" s="1"/>
  <c r="Q70" i="102"/>
  <c r="Y70" i="102" s="1"/>
  <c r="AE69" i="102"/>
  <c r="AB69" i="102"/>
  <c r="AA69" i="102"/>
  <c r="Z69" i="102"/>
  <c r="Y69" i="102"/>
  <c r="V69" i="102"/>
  <c r="U69" i="102"/>
  <c r="AC69" i="102" s="1"/>
  <c r="Q69" i="102"/>
  <c r="AE68" i="102"/>
  <c r="AB68" i="102"/>
  <c r="AA68" i="102"/>
  <c r="Z68" i="102"/>
  <c r="Y68" i="102"/>
  <c r="V68" i="102"/>
  <c r="AD68" i="102" s="1"/>
  <c r="U68" i="102"/>
  <c r="AC68" i="102" s="1"/>
  <c r="Q68" i="102"/>
  <c r="AE67" i="102"/>
  <c r="AC67" i="102"/>
  <c r="AB67" i="102"/>
  <c r="AA67" i="102"/>
  <c r="Z67" i="102"/>
  <c r="Y67" i="102"/>
  <c r="V67" i="102"/>
  <c r="AD67" i="102" s="1"/>
  <c r="U67" i="102"/>
  <c r="Q67" i="102"/>
  <c r="AE66" i="102"/>
  <c r="AB66" i="102"/>
  <c r="AA66" i="102"/>
  <c r="Z66" i="102"/>
  <c r="AF66" i="102" s="1"/>
  <c r="V66" i="102"/>
  <c r="AI66" i="102" s="1"/>
  <c r="P66" i="102" s="1"/>
  <c r="U66" i="102"/>
  <c r="AC66" i="102" s="1"/>
  <c r="Q66" i="102"/>
  <c r="Y66" i="102" s="1"/>
  <c r="AF65" i="102"/>
  <c r="V65" i="102"/>
  <c r="AI65" i="102" s="1"/>
  <c r="P65" i="102" s="1"/>
  <c r="U65" i="102"/>
  <c r="Q65" i="102"/>
  <c r="AI64" i="102"/>
  <c r="P64" i="102" s="1"/>
  <c r="AE64" i="102"/>
  <c r="AB64" i="102"/>
  <c r="AA64" i="102"/>
  <c r="Z64" i="102"/>
  <c r="AF64" i="102" s="1"/>
  <c r="V64" i="102"/>
  <c r="AD64" i="102" s="1"/>
  <c r="U64" i="102"/>
  <c r="AC64" i="102" s="1"/>
  <c r="Q64" i="102"/>
  <c r="Y64" i="102" s="1"/>
  <c r="AE63" i="102"/>
  <c r="AB63" i="102"/>
  <c r="AA63" i="102"/>
  <c r="Z63" i="102"/>
  <c r="V63" i="102"/>
  <c r="AI63" i="102" s="1"/>
  <c r="P63" i="102" s="1"/>
  <c r="U63" i="102"/>
  <c r="AC63" i="102" s="1"/>
  <c r="Q63" i="102"/>
  <c r="Y63" i="102" s="1"/>
  <c r="AI62" i="102"/>
  <c r="Y62" i="102"/>
  <c r="P62" i="102"/>
  <c r="AE61" i="102"/>
  <c r="AB61" i="102"/>
  <c r="AA61" i="102"/>
  <c r="Z61" i="102"/>
  <c r="V61" i="102"/>
  <c r="AI61" i="102" s="1"/>
  <c r="P61" i="102" s="1"/>
  <c r="U61" i="102"/>
  <c r="AC61" i="102" s="1"/>
  <c r="Q61" i="102"/>
  <c r="Y61" i="102" s="1"/>
  <c r="AF60" i="102"/>
  <c r="V60" i="102"/>
  <c r="AI60" i="102" s="1"/>
  <c r="P60" i="102" s="1"/>
  <c r="U60" i="102"/>
  <c r="Q60" i="102"/>
  <c r="AE59" i="102"/>
  <c r="AB59" i="102"/>
  <c r="AA59" i="102"/>
  <c r="Z59" i="102"/>
  <c r="V59" i="102"/>
  <c r="AI59" i="102" s="1"/>
  <c r="P59" i="102" s="1"/>
  <c r="U59" i="102"/>
  <c r="AC59" i="102" s="1"/>
  <c r="Q59" i="102"/>
  <c r="Y59" i="102" s="1"/>
  <c r="AE58" i="102"/>
  <c r="AB58" i="102"/>
  <c r="AA58" i="102"/>
  <c r="Z58" i="102"/>
  <c r="V58" i="102"/>
  <c r="AI58" i="102" s="1"/>
  <c r="P58" i="102" s="1"/>
  <c r="U58" i="102"/>
  <c r="AC58" i="102" s="1"/>
  <c r="Q58" i="102"/>
  <c r="Y58" i="102" s="1"/>
  <c r="AE57" i="102"/>
  <c r="AB57" i="102"/>
  <c r="AA57" i="102"/>
  <c r="Z57" i="102"/>
  <c r="Y57" i="102"/>
  <c r="V57" i="102"/>
  <c r="U57" i="102"/>
  <c r="AC57" i="102" s="1"/>
  <c r="Q57" i="102"/>
  <c r="AI56" i="102"/>
  <c r="P56" i="102" s="1"/>
  <c r="Y56" i="102"/>
  <c r="AE55" i="102"/>
  <c r="AB55" i="102"/>
  <c r="AC55" i="102" s="1"/>
  <c r="AA55" i="102"/>
  <c r="AD55" i="102" s="1"/>
  <c r="Z55" i="102"/>
  <c r="Y55" i="102"/>
  <c r="V55" i="102"/>
  <c r="AI55" i="102" s="1"/>
  <c r="P55" i="102" s="1"/>
  <c r="U55" i="102"/>
  <c r="Q55" i="102"/>
  <c r="AI54" i="102"/>
  <c r="P54" i="102" s="1"/>
  <c r="Y54" i="102"/>
  <c r="AE53" i="102"/>
  <c r="AF53" i="102" s="1"/>
  <c r="AB53" i="102"/>
  <c r="AA53" i="102"/>
  <c r="AD53" i="102" s="1"/>
  <c r="Z53" i="102"/>
  <c r="Y53" i="102"/>
  <c r="V53" i="102"/>
  <c r="AI53" i="102" s="1"/>
  <c r="P53" i="102" s="1"/>
  <c r="U53" i="102"/>
  <c r="AC53" i="102" s="1"/>
  <c r="Q53" i="102"/>
  <c r="AI52" i="102"/>
  <c r="P52" i="102" s="1"/>
  <c r="Y52" i="102"/>
  <c r="AE51" i="102"/>
  <c r="AB51" i="102"/>
  <c r="AA51" i="102"/>
  <c r="Z51" i="102"/>
  <c r="Y51" i="102"/>
  <c r="V51" i="102"/>
  <c r="U51" i="102"/>
  <c r="AC51" i="102" s="1"/>
  <c r="AE50" i="102"/>
  <c r="AB50" i="102"/>
  <c r="AA50" i="102"/>
  <c r="Z50" i="102"/>
  <c r="Y50" i="102"/>
  <c r="V50" i="102"/>
  <c r="U50" i="102"/>
  <c r="AC50" i="102" s="1"/>
  <c r="Q50" i="102"/>
  <c r="AE49" i="102"/>
  <c r="AB49" i="102"/>
  <c r="AA49" i="102"/>
  <c r="Z49" i="102"/>
  <c r="Y49" i="102"/>
  <c r="V49" i="102"/>
  <c r="AD49" i="102" s="1"/>
  <c r="U49" i="102"/>
  <c r="AC49" i="102" s="1"/>
  <c r="Q49" i="102"/>
  <c r="AE48" i="102"/>
  <c r="AF48" i="102" s="1"/>
  <c r="V48" i="102"/>
  <c r="AD48" i="102" s="1"/>
  <c r="U48" i="102"/>
  <c r="AC48" i="102" s="1"/>
  <c r="Q48" i="102"/>
  <c r="Y48" i="102" s="1"/>
  <c r="AE47" i="102"/>
  <c r="AB47" i="102"/>
  <c r="AA47" i="102"/>
  <c r="Z47" i="102"/>
  <c r="V47" i="102"/>
  <c r="U47" i="102"/>
  <c r="AC47" i="102" s="1"/>
  <c r="Q47" i="102"/>
  <c r="Y47" i="102" s="1"/>
  <c r="AE46" i="102"/>
  <c r="AC46" i="102"/>
  <c r="AB46" i="102"/>
  <c r="AA46" i="102"/>
  <c r="Z46" i="102"/>
  <c r="AF46" i="102" s="1"/>
  <c r="Y46" i="102"/>
  <c r="V46" i="102"/>
  <c r="AD46" i="102" s="1"/>
  <c r="U46" i="102"/>
  <c r="Q46" i="102"/>
  <c r="AE45" i="102"/>
  <c r="AF45" i="102" s="1"/>
  <c r="AC45" i="102"/>
  <c r="V45" i="102"/>
  <c r="AD45" i="102" s="1"/>
  <c r="U45" i="102"/>
  <c r="Q45" i="102"/>
  <c r="Y45" i="102" s="1"/>
  <c r="AI44" i="102"/>
  <c r="Y44" i="102"/>
  <c r="AE43" i="102"/>
  <c r="AB43" i="102"/>
  <c r="AA43" i="102"/>
  <c r="Z43" i="102"/>
  <c r="Y43" i="102"/>
  <c r="V43" i="102"/>
  <c r="AI43" i="102" s="1"/>
  <c r="P43" i="102" s="1"/>
  <c r="U43" i="102"/>
  <c r="AC43" i="102" s="1"/>
  <c r="Q43" i="102"/>
  <c r="AD42" i="102"/>
  <c r="AC42" i="102"/>
  <c r="AB42" i="102"/>
  <c r="AA42" i="102"/>
  <c r="Z42" i="102"/>
  <c r="AF42" i="102" s="1"/>
  <c r="Y42" i="102"/>
  <c r="V42" i="102"/>
  <c r="AI42" i="102" s="1"/>
  <c r="U42" i="102"/>
  <c r="Q42" i="102"/>
  <c r="P42" i="102"/>
  <c r="AE41" i="102"/>
  <c r="AB41" i="102"/>
  <c r="AA41" i="102"/>
  <c r="Z41" i="102"/>
  <c r="AF41" i="102" s="1"/>
  <c r="V41" i="102"/>
  <c r="AI41" i="102" s="1"/>
  <c r="P41" i="102" s="1"/>
  <c r="U41" i="102"/>
  <c r="AC41" i="102" s="1"/>
  <c r="Q41" i="102"/>
  <c r="Y41" i="102" s="1"/>
  <c r="AD40" i="102"/>
  <c r="AB40" i="102"/>
  <c r="AA40" i="102"/>
  <c r="Z40" i="102"/>
  <c r="AF40" i="102" s="1"/>
  <c r="Y40" i="102"/>
  <c r="V40" i="102"/>
  <c r="AI40" i="102" s="1"/>
  <c r="P40" i="102" s="1"/>
  <c r="U40" i="102"/>
  <c r="AC40" i="102" s="1"/>
  <c r="Q40" i="102"/>
  <c r="AE39" i="102"/>
  <c r="AB39" i="102"/>
  <c r="AA39" i="102"/>
  <c r="Z39" i="102"/>
  <c r="V39" i="102"/>
  <c r="AD39" i="102" s="1"/>
  <c r="U39" i="102"/>
  <c r="Q39" i="102"/>
  <c r="Y39" i="102" s="1"/>
  <c r="AE38" i="102"/>
  <c r="AF38" i="102" s="1"/>
  <c r="AB38" i="102"/>
  <c r="AA38" i="102"/>
  <c r="Z38" i="102"/>
  <c r="Y38" i="102"/>
  <c r="V38" i="102"/>
  <c r="U38" i="102"/>
  <c r="AC38" i="102" s="1"/>
  <c r="Q38" i="102"/>
  <c r="AE37" i="102"/>
  <c r="AB37" i="102"/>
  <c r="AA37" i="102"/>
  <c r="Z37" i="102"/>
  <c r="Y37" i="102"/>
  <c r="V37" i="102"/>
  <c r="AD37" i="102" s="1"/>
  <c r="U37" i="102"/>
  <c r="AC37" i="102" s="1"/>
  <c r="Q37" i="102"/>
  <c r="AE36" i="102"/>
  <c r="AF36" i="102" s="1"/>
  <c r="V36" i="102"/>
  <c r="AI36" i="102" s="1"/>
  <c r="P36" i="102" s="1"/>
  <c r="U36" i="102"/>
  <c r="AC36" i="102" s="1"/>
  <c r="Q36" i="102"/>
  <c r="Y36" i="102" s="1"/>
  <c r="AE35" i="102"/>
  <c r="AB35" i="102"/>
  <c r="AA35" i="102"/>
  <c r="Z35" i="102"/>
  <c r="V35" i="102"/>
  <c r="AD35" i="102" s="1"/>
  <c r="U35" i="102"/>
  <c r="AC35" i="102" s="1"/>
  <c r="Q35" i="102"/>
  <c r="Y35" i="102" s="1"/>
  <c r="AI34" i="102"/>
  <c r="P34" i="102" s="1"/>
  <c r="AF34" i="102"/>
  <c r="AB34" i="102"/>
  <c r="Y34" i="102"/>
  <c r="V34" i="102"/>
  <c r="U34" i="102"/>
  <c r="AC34" i="102" s="1"/>
  <c r="Q34" i="102"/>
  <c r="AE33" i="102"/>
  <c r="AB33" i="102"/>
  <c r="AA33" i="102"/>
  <c r="Z33" i="102"/>
  <c r="AF33" i="102" s="1"/>
  <c r="V33" i="102"/>
  <c r="AI33" i="102" s="1"/>
  <c r="P33" i="102" s="1"/>
  <c r="U33" i="102"/>
  <c r="AC33" i="102" s="1"/>
  <c r="Q33" i="102"/>
  <c r="Y33" i="102" s="1"/>
  <c r="AE32" i="102"/>
  <c r="AF32" i="102" s="1"/>
  <c r="AB32" i="102"/>
  <c r="AA32" i="102"/>
  <c r="Z32" i="102"/>
  <c r="Y32" i="102"/>
  <c r="V32" i="102"/>
  <c r="AD32" i="102" s="1"/>
  <c r="U32" i="102"/>
  <c r="AC32" i="102" s="1"/>
  <c r="Q32" i="102"/>
  <c r="AE31" i="102"/>
  <c r="AB31" i="102"/>
  <c r="AA31" i="102"/>
  <c r="Z31" i="102"/>
  <c r="V31" i="102"/>
  <c r="AD31" i="102" s="1"/>
  <c r="U31" i="102"/>
  <c r="AC31" i="102" s="1"/>
  <c r="Q31" i="102"/>
  <c r="Y31" i="102" s="1"/>
  <c r="AE30" i="102"/>
  <c r="AB30" i="102"/>
  <c r="AA30" i="102"/>
  <c r="Z30" i="102"/>
  <c r="Y30" i="102"/>
  <c r="V30" i="102"/>
  <c r="AD30" i="102" s="1"/>
  <c r="U30" i="102"/>
  <c r="AC30" i="102" s="1"/>
  <c r="Q30" i="102"/>
  <c r="AE29" i="102"/>
  <c r="AB29" i="102"/>
  <c r="AA29" i="102"/>
  <c r="Z29" i="102"/>
  <c r="V29" i="102"/>
  <c r="AI29" i="102" s="1"/>
  <c r="P29" i="102" s="1"/>
  <c r="U29" i="102"/>
  <c r="AC29" i="102" s="1"/>
  <c r="Q29" i="102"/>
  <c r="Y29" i="102" s="1"/>
  <c r="AE28" i="102"/>
  <c r="AF28" i="102" s="1"/>
  <c r="AB28" i="102"/>
  <c r="AA28" i="102"/>
  <c r="Z28" i="102"/>
  <c r="Y28" i="102"/>
  <c r="V28" i="102"/>
  <c r="AD28" i="102" s="1"/>
  <c r="U28" i="102"/>
  <c r="AC28" i="102" s="1"/>
  <c r="Q28" i="102"/>
  <c r="AE27" i="102"/>
  <c r="AB27" i="102"/>
  <c r="AA27" i="102"/>
  <c r="Z27" i="102"/>
  <c r="V27" i="102"/>
  <c r="AD27" i="102" s="1"/>
  <c r="U27" i="102"/>
  <c r="AC27" i="102" s="1"/>
  <c r="Q27" i="102"/>
  <c r="Y27" i="102" s="1"/>
  <c r="AE26" i="102"/>
  <c r="AC26" i="102"/>
  <c r="AB26" i="102"/>
  <c r="AA26" i="102"/>
  <c r="Z26" i="102"/>
  <c r="AF26" i="102" s="1"/>
  <c r="Y26" i="102"/>
  <c r="V26" i="102"/>
  <c r="AD26" i="102" s="1"/>
  <c r="U26" i="102"/>
  <c r="Q26" i="102"/>
  <c r="AB25" i="102"/>
  <c r="AA25" i="102"/>
  <c r="Z25" i="102"/>
  <c r="AF25" i="102" s="1"/>
  <c r="V25" i="102"/>
  <c r="AI25" i="102" s="1"/>
  <c r="P25" i="102" s="1"/>
  <c r="U25" i="102"/>
  <c r="AC25" i="102" s="1"/>
  <c r="Q25" i="102"/>
  <c r="Y25" i="102" s="1"/>
  <c r="AN24" i="102"/>
  <c r="AE24" i="102"/>
  <c r="AF24" i="102" s="1"/>
  <c r="AB24" i="102"/>
  <c r="AA24" i="102"/>
  <c r="Z24" i="102"/>
  <c r="Y24" i="102"/>
  <c r="V24" i="102"/>
  <c r="AD24" i="102" s="1"/>
  <c r="U24" i="102"/>
  <c r="AC24" i="102" s="1"/>
  <c r="Q24" i="102"/>
  <c r="AE23" i="102"/>
  <c r="AF23" i="102" s="1"/>
  <c r="AB23" i="102"/>
  <c r="AA23" i="102"/>
  <c r="Z23" i="102"/>
  <c r="V23" i="102"/>
  <c r="AD23" i="102" s="1"/>
  <c r="U23" i="102"/>
  <c r="AC23" i="102" s="1"/>
  <c r="Q23" i="102"/>
  <c r="Y23" i="102" s="1"/>
  <c r="AE22" i="102"/>
  <c r="AB22" i="102"/>
  <c r="AA22" i="102"/>
  <c r="Z22" i="102"/>
  <c r="Y22" i="102"/>
  <c r="V22" i="102"/>
  <c r="AI22" i="102" s="1"/>
  <c r="P22" i="102" s="1"/>
  <c r="U22" i="102"/>
  <c r="AC22" i="102" s="1"/>
  <c r="Q22" i="102"/>
  <c r="AE21" i="102"/>
  <c r="AF21" i="102" s="1"/>
  <c r="AB21" i="102"/>
  <c r="V21" i="102"/>
  <c r="AI21" i="102" s="1"/>
  <c r="P21" i="102" s="1"/>
  <c r="U21" i="102"/>
  <c r="AC21" i="102" s="1"/>
  <c r="Q21" i="102"/>
  <c r="Y21" i="102" s="1"/>
  <c r="AI20" i="102"/>
  <c r="Y20" i="102"/>
  <c r="AO19" i="102"/>
  <c r="AM19" i="102"/>
  <c r="AE19" i="102"/>
  <c r="AF19" i="102" s="1"/>
  <c r="AB19" i="102"/>
  <c r="Y19" i="102"/>
  <c r="V19" i="102"/>
  <c r="AD19" i="102" s="1"/>
  <c r="U19" i="102"/>
  <c r="AC19" i="102" s="1"/>
  <c r="Q19" i="102"/>
  <c r="AE53" i="101"/>
  <c r="AC36" i="101"/>
  <c r="AD36" i="101"/>
  <c r="AD85" i="101"/>
  <c r="AC85" i="101"/>
  <c r="AB85" i="101"/>
  <c r="AA85" i="101"/>
  <c r="Z85" i="101"/>
  <c r="Y85" i="101"/>
  <c r="AF39" i="102" l="1"/>
  <c r="AF68" i="102"/>
  <c r="AF29" i="102"/>
  <c r="AF30" i="102"/>
  <c r="AF35" i="102"/>
  <c r="AF57" i="102"/>
  <c r="AF72" i="102"/>
  <c r="AF67" i="102"/>
  <c r="AF31" i="102"/>
  <c r="AF49" i="102"/>
  <c r="AF77" i="102"/>
  <c r="AF61" i="102"/>
  <c r="AD85" i="102"/>
  <c r="AI81" i="102"/>
  <c r="P81" i="102" s="1"/>
  <c r="AD80" i="102"/>
  <c r="AF78" i="102"/>
  <c r="AI78" i="102"/>
  <c r="P78" i="102" s="1"/>
  <c r="AD75" i="102"/>
  <c r="AD74" i="102"/>
  <c r="AD72" i="102"/>
  <c r="AF69" i="102"/>
  <c r="AI67" i="102"/>
  <c r="P67" i="102" s="1"/>
  <c r="AD66" i="102"/>
  <c r="AD63" i="102"/>
  <c r="AD61" i="102"/>
  <c r="AD59" i="102"/>
  <c r="AD58" i="102"/>
  <c r="AF55" i="102"/>
  <c r="AF51" i="102"/>
  <c r="AF50" i="102"/>
  <c r="AI48" i="102"/>
  <c r="P48" i="102" s="1"/>
  <c r="AF47" i="102"/>
  <c r="AI45" i="102"/>
  <c r="P45" i="102" s="1"/>
  <c r="AD43" i="102"/>
  <c r="AD41" i="102"/>
  <c r="AF37" i="102"/>
  <c r="AI37" i="102"/>
  <c r="P37" i="102" s="1"/>
  <c r="AD33" i="102"/>
  <c r="AI30" i="102"/>
  <c r="P30" i="102" s="1"/>
  <c r="AD29" i="102"/>
  <c r="AI28" i="102"/>
  <c r="P28" i="102" s="1"/>
  <c r="AF27" i="102"/>
  <c r="AI26" i="102"/>
  <c r="P26" i="102" s="1"/>
  <c r="AD25" i="102"/>
  <c r="AI24" i="102"/>
  <c r="P24" i="102" s="1"/>
  <c r="AB87" i="102"/>
  <c r="AB119" i="102" s="1"/>
  <c r="AD22" i="102"/>
  <c r="AI19" i="102"/>
  <c r="P19" i="102" s="1"/>
  <c r="S119" i="102"/>
  <c r="T88" i="102"/>
  <c r="AF43" i="102"/>
  <c r="AF59" i="102"/>
  <c r="AF73" i="102"/>
  <c r="AF75" i="102"/>
  <c r="AD21" i="102"/>
  <c r="AI35" i="102"/>
  <c r="P35" i="102" s="1"/>
  <c r="AF63" i="102"/>
  <c r="AF74" i="102"/>
  <c r="Z87" i="102"/>
  <c r="Z119" i="102" s="1"/>
  <c r="AI23" i="102"/>
  <c r="P23" i="102" s="1"/>
  <c r="AI27" i="102"/>
  <c r="P27" i="102" s="1"/>
  <c r="AI31" i="102"/>
  <c r="P31" i="102" s="1"/>
  <c r="AD36" i="102"/>
  <c r="AD47" i="102"/>
  <c r="AI47" i="102"/>
  <c r="P47" i="102" s="1"/>
  <c r="AD50" i="102"/>
  <c r="AI50" i="102"/>
  <c r="P50" i="102" s="1"/>
  <c r="AD51" i="102"/>
  <c r="AI51" i="102"/>
  <c r="P51" i="102" s="1"/>
  <c r="AI68" i="102"/>
  <c r="P68" i="102" s="1"/>
  <c r="AD38" i="102"/>
  <c r="AI38" i="102"/>
  <c r="P38" i="102" s="1"/>
  <c r="AI32" i="102"/>
  <c r="P32" i="102" s="1"/>
  <c r="AI46" i="102"/>
  <c r="P46" i="102" s="1"/>
  <c r="AI49" i="102"/>
  <c r="P49" i="102" s="1"/>
  <c r="AD57" i="102"/>
  <c r="AI57" i="102"/>
  <c r="P57" i="102" s="1"/>
  <c r="T119" i="102"/>
  <c r="U119" i="102" s="1"/>
  <c r="U87" i="102"/>
  <c r="AF97" i="102"/>
  <c r="AF106" i="102" s="1"/>
  <c r="Z106" i="102"/>
  <c r="AF58" i="102"/>
  <c r="AD69" i="102"/>
  <c r="AI69" i="102"/>
  <c r="P69" i="102" s="1"/>
  <c r="AA87" i="102"/>
  <c r="AF22" i="102"/>
  <c r="AI39" i="102"/>
  <c r="P39" i="102" s="1"/>
  <c r="AI70" i="102"/>
  <c r="P70" i="102" s="1"/>
  <c r="U63" i="101"/>
  <c r="AF87" i="102" l="1"/>
  <c r="AF119" i="102" s="1"/>
  <c r="K121" i="102" s="1"/>
  <c r="M122" i="102" s="1"/>
  <c r="AA88" i="102"/>
  <c r="AA119" i="102"/>
  <c r="AA122" i="102" s="1"/>
  <c r="AC87" i="102"/>
  <c r="AC119" i="102" s="1"/>
  <c r="T106" i="101"/>
  <c r="S106" i="101"/>
  <c r="R106" i="101"/>
  <c r="Y105" i="101"/>
  <c r="U105" i="101"/>
  <c r="Q105" i="101"/>
  <c r="Y104" i="101"/>
  <c r="U104" i="101"/>
  <c r="Q104" i="101"/>
  <c r="Y103" i="101"/>
  <c r="Y102" i="101"/>
  <c r="AI101" i="101"/>
  <c r="P101" i="101" s="1"/>
  <c r="AF101" i="101"/>
  <c r="AD101" i="101"/>
  <c r="AB101" i="101"/>
  <c r="AA101" i="101"/>
  <c r="Z101" i="101"/>
  <c r="Y101" i="101"/>
  <c r="U101" i="101"/>
  <c r="AC101" i="101" s="1"/>
  <c r="Q101" i="101"/>
  <c r="AI100" i="101"/>
  <c r="AD100" i="101"/>
  <c r="AB100" i="101"/>
  <c r="AA100" i="101"/>
  <c r="Z100" i="101"/>
  <c r="AF100" i="101" s="1"/>
  <c r="Y100" i="101"/>
  <c r="U100" i="101"/>
  <c r="AC100" i="101" s="1"/>
  <c r="Q100" i="101"/>
  <c r="P100" i="101"/>
  <c r="AI99" i="101"/>
  <c r="P99" i="101" s="1"/>
  <c r="AD99" i="101"/>
  <c r="AC99" i="101"/>
  <c r="AB99" i="101"/>
  <c r="AA99" i="101"/>
  <c r="Z99" i="101"/>
  <c r="AF99" i="101" s="1"/>
  <c r="Y99" i="101"/>
  <c r="U99" i="101"/>
  <c r="Q99" i="101"/>
  <c r="AI98" i="101"/>
  <c r="AD98" i="101"/>
  <c r="AB98" i="101"/>
  <c r="AA98" i="101"/>
  <c r="Z98" i="101"/>
  <c r="AF98" i="101" s="1"/>
  <c r="Y98" i="101"/>
  <c r="U98" i="101"/>
  <c r="AC98" i="101" s="1"/>
  <c r="Q98" i="101"/>
  <c r="P98" i="101"/>
  <c r="AI97" i="101"/>
  <c r="AF97" i="101"/>
  <c r="AD97" i="101"/>
  <c r="AC97" i="101"/>
  <c r="AB97" i="101"/>
  <c r="AB106" i="101" s="1"/>
  <c r="AA97" i="101"/>
  <c r="AA106" i="101" s="1"/>
  <c r="Z97" i="101"/>
  <c r="Z106" i="101" s="1"/>
  <c r="Y97" i="101"/>
  <c r="U97" i="101"/>
  <c r="U106" i="101" s="1"/>
  <c r="Q97" i="101"/>
  <c r="P97" i="101"/>
  <c r="AI96" i="101"/>
  <c r="P96" i="101" s="1"/>
  <c r="AD96" i="101"/>
  <c r="AB96" i="101"/>
  <c r="AA96" i="101"/>
  <c r="Z96" i="101"/>
  <c r="AF96" i="101" s="1"/>
  <c r="Y96" i="101"/>
  <c r="U96" i="101"/>
  <c r="AC96" i="101" s="1"/>
  <c r="Q96" i="101"/>
  <c r="AI93" i="101"/>
  <c r="AF93" i="101"/>
  <c r="AD93" i="101"/>
  <c r="AC93" i="101"/>
  <c r="AB93" i="101"/>
  <c r="AA93" i="101"/>
  <c r="Z93" i="101"/>
  <c r="Y93" i="101"/>
  <c r="AI92" i="101"/>
  <c r="AF92" i="101"/>
  <c r="AD92" i="101"/>
  <c r="AC92" i="101"/>
  <c r="AB92" i="101"/>
  <c r="AA92" i="101"/>
  <c r="Z92" i="101"/>
  <c r="Y92" i="101"/>
  <c r="AI91" i="101"/>
  <c r="AF91" i="101"/>
  <c r="AD91" i="101"/>
  <c r="AC91" i="101"/>
  <c r="AB91" i="101"/>
  <c r="AA91" i="101"/>
  <c r="Z91" i="101"/>
  <c r="Y91" i="101"/>
  <c r="AI90" i="101"/>
  <c r="AF90" i="101"/>
  <c r="AD90" i="101"/>
  <c r="AC90" i="101"/>
  <c r="AB90" i="101"/>
  <c r="AA90" i="101"/>
  <c r="Z90" i="101"/>
  <c r="Y90" i="101"/>
  <c r="T87" i="101"/>
  <c r="T119" i="101" s="1"/>
  <c r="S87" i="101"/>
  <c r="R87" i="101"/>
  <c r="R119" i="101" s="1"/>
  <c r="AD86" i="101"/>
  <c r="AB86" i="101"/>
  <c r="AA86" i="101"/>
  <c r="Z86" i="101"/>
  <c r="AF86" i="101" s="1"/>
  <c r="Y86" i="101"/>
  <c r="V86" i="101"/>
  <c r="AI86" i="101" s="1"/>
  <c r="P86" i="101" s="1"/>
  <c r="U86" i="101"/>
  <c r="AC86" i="101" s="1"/>
  <c r="Q86" i="101"/>
  <c r="AF85" i="101"/>
  <c r="V85" i="101"/>
  <c r="AI85" i="101" s="1"/>
  <c r="P85" i="101" s="1"/>
  <c r="U85" i="101"/>
  <c r="Q85" i="101"/>
  <c r="AI84" i="101"/>
  <c r="Y84" i="101"/>
  <c r="P84" i="101"/>
  <c r="AF83" i="101"/>
  <c r="V83" i="101"/>
  <c r="AI83" i="101" s="1"/>
  <c r="P83" i="101" s="1"/>
  <c r="U83" i="101"/>
  <c r="Q83" i="101"/>
  <c r="AI82" i="101"/>
  <c r="Z82" i="101"/>
  <c r="Y82" i="101"/>
  <c r="P82" i="101"/>
  <c r="AE81" i="101"/>
  <c r="AB81" i="101"/>
  <c r="AA81" i="101"/>
  <c r="Z81" i="101"/>
  <c r="V81" i="101"/>
  <c r="U81" i="101"/>
  <c r="AC81" i="101" s="1"/>
  <c r="Q81" i="101"/>
  <c r="Y81" i="101" s="1"/>
  <c r="AE80" i="101"/>
  <c r="AB80" i="101"/>
  <c r="AA80" i="101"/>
  <c r="Z80" i="101"/>
  <c r="Y80" i="101"/>
  <c r="V80" i="101"/>
  <c r="AD80" i="101" s="1"/>
  <c r="U80" i="101"/>
  <c r="AC80" i="101" s="1"/>
  <c r="Q80" i="101"/>
  <c r="AI79" i="101"/>
  <c r="AF79" i="101"/>
  <c r="V79" i="101"/>
  <c r="U79" i="101"/>
  <c r="Q79" i="101"/>
  <c r="P79" i="101"/>
  <c r="AE78" i="101"/>
  <c r="AF78" i="101" s="1"/>
  <c r="AB78" i="101"/>
  <c r="AA78" i="101"/>
  <c r="Z78" i="101"/>
  <c r="V78" i="101"/>
  <c r="U78" i="101"/>
  <c r="AC78" i="101" s="1"/>
  <c r="Q78" i="101"/>
  <c r="Y78" i="101" s="1"/>
  <c r="AE77" i="101"/>
  <c r="AB77" i="101"/>
  <c r="AA77" i="101"/>
  <c r="Z77" i="101"/>
  <c r="V77" i="101"/>
  <c r="AD77" i="101" s="1"/>
  <c r="U77" i="101"/>
  <c r="AC77" i="101" s="1"/>
  <c r="Q77" i="101"/>
  <c r="Y77" i="101" s="1"/>
  <c r="AI76" i="101"/>
  <c r="P76" i="101" s="1"/>
  <c r="Y76" i="101"/>
  <c r="AE75" i="101"/>
  <c r="AB75" i="101"/>
  <c r="AA75" i="101"/>
  <c r="Z75" i="101"/>
  <c r="Y75" i="101"/>
  <c r="V75" i="101"/>
  <c r="AD75" i="101" s="1"/>
  <c r="U75" i="101"/>
  <c r="AC75" i="101" s="1"/>
  <c r="Q75" i="101"/>
  <c r="AE74" i="101"/>
  <c r="AF74" i="101" s="1"/>
  <c r="AB74" i="101"/>
  <c r="AA74" i="101"/>
  <c r="Z74" i="101"/>
  <c r="V74" i="101"/>
  <c r="AI74" i="101" s="1"/>
  <c r="P74" i="101" s="1"/>
  <c r="U74" i="101"/>
  <c r="AC74" i="101" s="1"/>
  <c r="Q74" i="101"/>
  <c r="Y74" i="101" s="1"/>
  <c r="AE73" i="101"/>
  <c r="AB73" i="101"/>
  <c r="AA73" i="101"/>
  <c r="Z73" i="101"/>
  <c r="Y73" i="101"/>
  <c r="V73" i="101"/>
  <c r="AI73" i="101" s="1"/>
  <c r="P73" i="101" s="1"/>
  <c r="U73" i="101"/>
  <c r="Q73" i="101"/>
  <c r="AE72" i="101"/>
  <c r="AB72" i="101"/>
  <c r="AA72" i="101"/>
  <c r="Z72" i="101"/>
  <c r="V72" i="101"/>
  <c r="AI72" i="101" s="1"/>
  <c r="P72" i="101" s="1"/>
  <c r="U72" i="101"/>
  <c r="AC72" i="101" s="1"/>
  <c r="Q72" i="101"/>
  <c r="Y72" i="101" s="1"/>
  <c r="AD71" i="101"/>
  <c r="AC71" i="101"/>
  <c r="AB71" i="101"/>
  <c r="AA71" i="101"/>
  <c r="Z71" i="101"/>
  <c r="AF71" i="101" s="1"/>
  <c r="Y71" i="101"/>
  <c r="V71" i="101"/>
  <c r="AI71" i="101" s="1"/>
  <c r="P71" i="101" s="1"/>
  <c r="U71" i="101"/>
  <c r="Q71" i="101"/>
  <c r="AE70" i="101"/>
  <c r="AF70" i="101" s="1"/>
  <c r="AB70" i="101"/>
  <c r="AA70" i="101"/>
  <c r="V70" i="101"/>
  <c r="AD70" i="101" s="1"/>
  <c r="U70" i="101"/>
  <c r="AC70" i="101" s="1"/>
  <c r="Q70" i="101"/>
  <c r="Y70" i="101" s="1"/>
  <c r="AE69" i="101"/>
  <c r="AB69" i="101"/>
  <c r="AA69" i="101"/>
  <c r="Z69" i="101"/>
  <c r="Y69" i="101"/>
  <c r="V69" i="101"/>
  <c r="AI69" i="101" s="1"/>
  <c r="P69" i="101" s="1"/>
  <c r="U69" i="101"/>
  <c r="AC69" i="101" s="1"/>
  <c r="Q69" i="101"/>
  <c r="AE68" i="101"/>
  <c r="AB68" i="101"/>
  <c r="AA68" i="101"/>
  <c r="Z68" i="101"/>
  <c r="V68" i="101"/>
  <c r="AI68" i="101" s="1"/>
  <c r="P68" i="101" s="1"/>
  <c r="U68" i="101"/>
  <c r="AC68" i="101" s="1"/>
  <c r="Q68" i="101"/>
  <c r="Y68" i="101" s="1"/>
  <c r="AI67" i="101"/>
  <c r="P67" i="101" s="1"/>
  <c r="AE67" i="101"/>
  <c r="AB67" i="101"/>
  <c r="AA67" i="101"/>
  <c r="Z67" i="101"/>
  <c r="Y67" i="101"/>
  <c r="V67" i="101"/>
  <c r="AD67" i="101" s="1"/>
  <c r="U67" i="101"/>
  <c r="AC67" i="101" s="1"/>
  <c r="Q67" i="101"/>
  <c r="AE66" i="101"/>
  <c r="AB66" i="101"/>
  <c r="AA66" i="101"/>
  <c r="Z66" i="101"/>
  <c r="V66" i="101"/>
  <c r="AI66" i="101" s="1"/>
  <c r="P66" i="101" s="1"/>
  <c r="U66" i="101"/>
  <c r="AC66" i="101" s="1"/>
  <c r="Q66" i="101"/>
  <c r="Y66" i="101" s="1"/>
  <c r="AF65" i="101"/>
  <c r="V65" i="101"/>
  <c r="AI65" i="101" s="1"/>
  <c r="P65" i="101" s="1"/>
  <c r="U65" i="101"/>
  <c r="Q65" i="101"/>
  <c r="AI64" i="101"/>
  <c r="P64" i="101" s="1"/>
  <c r="AE64" i="101"/>
  <c r="AB64" i="101"/>
  <c r="AA64" i="101"/>
  <c r="Z64" i="101"/>
  <c r="Y64" i="101"/>
  <c r="V64" i="101"/>
  <c r="AD64" i="101" s="1"/>
  <c r="U64" i="101"/>
  <c r="AC64" i="101" s="1"/>
  <c r="Q64" i="101"/>
  <c r="AE63" i="101"/>
  <c r="AC63" i="101"/>
  <c r="AB63" i="101"/>
  <c r="AA63" i="101"/>
  <c r="Z63" i="101"/>
  <c r="V63" i="101"/>
  <c r="AI63" i="101" s="1"/>
  <c r="P63" i="101" s="1"/>
  <c r="Q63" i="101"/>
  <c r="Y63" i="101" s="1"/>
  <c r="AI62" i="101"/>
  <c r="Y62" i="101"/>
  <c r="P62" i="101"/>
  <c r="AE61" i="101"/>
  <c r="AB61" i="101"/>
  <c r="AA61" i="101"/>
  <c r="Z61" i="101"/>
  <c r="Y61" i="101"/>
  <c r="V61" i="101"/>
  <c r="AI61" i="101" s="1"/>
  <c r="P61" i="101" s="1"/>
  <c r="U61" i="101"/>
  <c r="AC61" i="101" s="1"/>
  <c r="Q61" i="101"/>
  <c r="AF60" i="101"/>
  <c r="V60" i="101"/>
  <c r="AI60" i="101" s="1"/>
  <c r="P60" i="101" s="1"/>
  <c r="U60" i="101"/>
  <c r="Q60" i="101"/>
  <c r="AE59" i="101"/>
  <c r="AB59" i="101"/>
  <c r="AA59" i="101"/>
  <c r="Z59" i="101"/>
  <c r="V59" i="101"/>
  <c r="AI59" i="101" s="1"/>
  <c r="P59" i="101" s="1"/>
  <c r="U59" i="101"/>
  <c r="AC59" i="101" s="1"/>
  <c r="Q59" i="101"/>
  <c r="Y59" i="101" s="1"/>
  <c r="AE58" i="101"/>
  <c r="AB58" i="101"/>
  <c r="AA58" i="101"/>
  <c r="Z58" i="101"/>
  <c r="AF58" i="101" s="1"/>
  <c r="Y58" i="101"/>
  <c r="V58" i="101"/>
  <c r="AD58" i="101" s="1"/>
  <c r="U58" i="101"/>
  <c r="AC58" i="101" s="1"/>
  <c r="Q58" i="101"/>
  <c r="AE57" i="101"/>
  <c r="AB57" i="101"/>
  <c r="AA57" i="101"/>
  <c r="Z57" i="101"/>
  <c r="AF57" i="101" s="1"/>
  <c r="V57" i="101"/>
  <c r="AI57" i="101" s="1"/>
  <c r="P57" i="101" s="1"/>
  <c r="U57" i="101"/>
  <c r="AC57" i="101" s="1"/>
  <c r="Q57" i="101"/>
  <c r="Y57" i="101" s="1"/>
  <c r="AI56" i="101"/>
  <c r="P56" i="101" s="1"/>
  <c r="Y56" i="101"/>
  <c r="AE55" i="101"/>
  <c r="AB55" i="101"/>
  <c r="AA55" i="101"/>
  <c r="Z55" i="101"/>
  <c r="AC55" i="101" s="1"/>
  <c r="V55" i="101"/>
  <c r="AI55" i="101" s="1"/>
  <c r="P55" i="101" s="1"/>
  <c r="U55" i="101"/>
  <c r="Q55" i="101"/>
  <c r="Y55" i="101" s="1"/>
  <c r="AI54" i="101"/>
  <c r="P54" i="101" s="1"/>
  <c r="Y54" i="101"/>
  <c r="AB53" i="101"/>
  <c r="AA53" i="101"/>
  <c r="Z53" i="101"/>
  <c r="AF53" i="101" s="1"/>
  <c r="Y53" i="101"/>
  <c r="V53" i="101"/>
  <c r="AI53" i="101" s="1"/>
  <c r="P53" i="101" s="1"/>
  <c r="U53" i="101"/>
  <c r="AC53" i="101" s="1"/>
  <c r="Q53" i="101"/>
  <c r="AI52" i="101"/>
  <c r="Y52" i="101"/>
  <c r="P52" i="101"/>
  <c r="AE51" i="101"/>
  <c r="AB51" i="101"/>
  <c r="AA51" i="101"/>
  <c r="Z51" i="101"/>
  <c r="Y51" i="101"/>
  <c r="V51" i="101"/>
  <c r="AD51" i="101" s="1"/>
  <c r="U51" i="101"/>
  <c r="AC51" i="101" s="1"/>
  <c r="AE50" i="101"/>
  <c r="AB50" i="101"/>
  <c r="AA50" i="101"/>
  <c r="Z50" i="101"/>
  <c r="Y50" i="101"/>
  <c r="V50" i="101"/>
  <c r="U50" i="101"/>
  <c r="AC50" i="101" s="1"/>
  <c r="Q50" i="101"/>
  <c r="AE49" i="101"/>
  <c r="AB49" i="101"/>
  <c r="AA49" i="101"/>
  <c r="Z49" i="101"/>
  <c r="V49" i="101"/>
  <c r="AI49" i="101" s="1"/>
  <c r="P49" i="101" s="1"/>
  <c r="U49" i="101"/>
  <c r="AC49" i="101" s="1"/>
  <c r="Q49" i="101"/>
  <c r="Y49" i="101" s="1"/>
  <c r="AE48" i="101"/>
  <c r="AF48" i="101" s="1"/>
  <c r="V48" i="101"/>
  <c r="AD48" i="101" s="1"/>
  <c r="U48" i="101"/>
  <c r="AC48" i="101" s="1"/>
  <c r="Q48" i="101"/>
  <c r="Y48" i="101" s="1"/>
  <c r="AE47" i="101"/>
  <c r="AB47" i="101"/>
  <c r="AA47" i="101"/>
  <c r="Z47" i="101"/>
  <c r="V47" i="101"/>
  <c r="AI47" i="101" s="1"/>
  <c r="P47" i="101" s="1"/>
  <c r="U47" i="101"/>
  <c r="AC47" i="101" s="1"/>
  <c r="Q47" i="101"/>
  <c r="Y47" i="101" s="1"/>
  <c r="AE46" i="101"/>
  <c r="AB46" i="101"/>
  <c r="AA46" i="101"/>
  <c r="Z46" i="101"/>
  <c r="V46" i="101"/>
  <c r="AI46" i="101" s="1"/>
  <c r="P46" i="101" s="1"/>
  <c r="U46" i="101"/>
  <c r="AC46" i="101" s="1"/>
  <c r="Q46" i="101"/>
  <c r="Y46" i="101" s="1"/>
  <c r="AE45" i="101"/>
  <c r="AF45" i="101" s="1"/>
  <c r="AC45" i="101"/>
  <c r="Y45" i="101"/>
  <c r="V45" i="101"/>
  <c r="AD45" i="101" s="1"/>
  <c r="U45" i="101"/>
  <c r="Q45" i="101"/>
  <c r="AI44" i="101"/>
  <c r="Y44" i="101"/>
  <c r="AE43" i="101"/>
  <c r="AB43" i="101"/>
  <c r="AA43" i="101"/>
  <c r="Z43" i="101"/>
  <c r="Y43" i="101"/>
  <c r="V43" i="101"/>
  <c r="AD43" i="101" s="1"/>
  <c r="U43" i="101"/>
  <c r="AC43" i="101" s="1"/>
  <c r="Q43" i="101"/>
  <c r="AF42" i="101"/>
  <c r="AC42" i="101"/>
  <c r="AB42" i="101"/>
  <c r="AA42" i="101"/>
  <c r="Z42" i="101"/>
  <c r="Y42" i="101"/>
  <c r="V42" i="101"/>
  <c r="AD42" i="101" s="1"/>
  <c r="U42" i="101"/>
  <c r="Q42" i="101"/>
  <c r="AI41" i="101"/>
  <c r="P41" i="101" s="1"/>
  <c r="AE41" i="101"/>
  <c r="AB41" i="101"/>
  <c r="AA41" i="101"/>
  <c r="Z41" i="101"/>
  <c r="V41" i="101"/>
  <c r="AD41" i="101" s="1"/>
  <c r="U41" i="101"/>
  <c r="AC41" i="101" s="1"/>
  <c r="Q41" i="101"/>
  <c r="Y41" i="101" s="1"/>
  <c r="AD40" i="101"/>
  <c r="AC40" i="101"/>
  <c r="AB40" i="101"/>
  <c r="AA40" i="101"/>
  <c r="Z40" i="101"/>
  <c r="AF40" i="101" s="1"/>
  <c r="Y40" i="101"/>
  <c r="V40" i="101"/>
  <c r="AI40" i="101" s="1"/>
  <c r="P40" i="101" s="1"/>
  <c r="U40" i="101"/>
  <c r="Q40" i="101"/>
  <c r="AE39" i="101"/>
  <c r="AB39" i="101"/>
  <c r="AA39" i="101"/>
  <c r="Z39" i="101"/>
  <c r="Y39" i="101"/>
  <c r="V39" i="101"/>
  <c r="AI39" i="101" s="1"/>
  <c r="P39" i="101" s="1"/>
  <c r="U39" i="101"/>
  <c r="Q39" i="101"/>
  <c r="AE38" i="101"/>
  <c r="AB38" i="101"/>
  <c r="AA38" i="101"/>
  <c r="Z38" i="101"/>
  <c r="V38" i="101"/>
  <c r="AD38" i="101" s="1"/>
  <c r="U38" i="101"/>
  <c r="AC38" i="101" s="1"/>
  <c r="Q38" i="101"/>
  <c r="Y38" i="101" s="1"/>
  <c r="AE37" i="101"/>
  <c r="AB37" i="101"/>
  <c r="AA37" i="101"/>
  <c r="Z37" i="101"/>
  <c r="V37" i="101"/>
  <c r="AI37" i="101" s="1"/>
  <c r="P37" i="101" s="1"/>
  <c r="U37" i="101"/>
  <c r="AC37" i="101" s="1"/>
  <c r="Q37" i="101"/>
  <c r="Y37" i="101" s="1"/>
  <c r="AE36" i="101"/>
  <c r="AF36" i="101" s="1"/>
  <c r="V36" i="101"/>
  <c r="AI36" i="101" s="1"/>
  <c r="P36" i="101" s="1"/>
  <c r="U36" i="101"/>
  <c r="Q36" i="101"/>
  <c r="Y36" i="101" s="1"/>
  <c r="AE35" i="101"/>
  <c r="AB35" i="101"/>
  <c r="AA35" i="101"/>
  <c r="Z35" i="101"/>
  <c r="V35" i="101"/>
  <c r="AI35" i="101" s="1"/>
  <c r="P35" i="101" s="1"/>
  <c r="U35" i="101"/>
  <c r="AC35" i="101" s="1"/>
  <c r="Q35" i="101"/>
  <c r="Y35" i="101" s="1"/>
  <c r="AF34" i="101"/>
  <c r="AB34" i="101"/>
  <c r="Y34" i="101"/>
  <c r="V34" i="101"/>
  <c r="AI34" i="101" s="1"/>
  <c r="P34" i="101" s="1"/>
  <c r="U34" i="101"/>
  <c r="AC34" i="101" s="1"/>
  <c r="Q34" i="101"/>
  <c r="AE33" i="101"/>
  <c r="AF33" i="101" s="1"/>
  <c r="AB33" i="101"/>
  <c r="AA33" i="101"/>
  <c r="Z33" i="101"/>
  <c r="Y33" i="101"/>
  <c r="V33" i="101"/>
  <c r="AD33" i="101" s="1"/>
  <c r="U33" i="101"/>
  <c r="AC33" i="101" s="1"/>
  <c r="Q33" i="101"/>
  <c r="AE32" i="101"/>
  <c r="AF32" i="101" s="1"/>
  <c r="AB32" i="101"/>
  <c r="AA32" i="101"/>
  <c r="Z32" i="101"/>
  <c r="V32" i="101"/>
  <c r="AD32" i="101" s="1"/>
  <c r="U32" i="101"/>
  <c r="AC32" i="101" s="1"/>
  <c r="Q32" i="101"/>
  <c r="Y32" i="101" s="1"/>
  <c r="AE31" i="101"/>
  <c r="AB31" i="101"/>
  <c r="AA31" i="101"/>
  <c r="Z31" i="101"/>
  <c r="V31" i="101"/>
  <c r="AI31" i="101" s="1"/>
  <c r="P31" i="101" s="1"/>
  <c r="U31" i="101"/>
  <c r="AC31" i="101" s="1"/>
  <c r="Q31" i="101"/>
  <c r="Y31" i="101" s="1"/>
  <c r="AE30" i="101"/>
  <c r="AB30" i="101"/>
  <c r="AA30" i="101"/>
  <c r="Z30" i="101"/>
  <c r="V30" i="101"/>
  <c r="AI30" i="101" s="1"/>
  <c r="P30" i="101" s="1"/>
  <c r="U30" i="101"/>
  <c r="AC30" i="101" s="1"/>
  <c r="Q30" i="101"/>
  <c r="Y30" i="101" s="1"/>
  <c r="AE29" i="101"/>
  <c r="AB29" i="101"/>
  <c r="AA29" i="101"/>
  <c r="Z29" i="101"/>
  <c r="AF29" i="101" s="1"/>
  <c r="Y29" i="101"/>
  <c r="V29" i="101"/>
  <c r="AD29" i="101" s="1"/>
  <c r="U29" i="101"/>
  <c r="AC29" i="101" s="1"/>
  <c r="Q29" i="101"/>
  <c r="AE28" i="101"/>
  <c r="AB28" i="101"/>
  <c r="AA28" i="101"/>
  <c r="Z28" i="101"/>
  <c r="AF28" i="101" s="1"/>
  <c r="Y28" i="101"/>
  <c r="V28" i="101"/>
  <c r="AD28" i="101" s="1"/>
  <c r="U28" i="101"/>
  <c r="AC28" i="101" s="1"/>
  <c r="Q28" i="101"/>
  <c r="AE27" i="101"/>
  <c r="AB27" i="101"/>
  <c r="AA27" i="101"/>
  <c r="Z27" i="101"/>
  <c r="AF27" i="101" s="1"/>
  <c r="V27" i="101"/>
  <c r="AI27" i="101" s="1"/>
  <c r="P27" i="101" s="1"/>
  <c r="U27" i="101"/>
  <c r="AC27" i="101" s="1"/>
  <c r="Q27" i="101"/>
  <c r="Y27" i="101" s="1"/>
  <c r="AF26" i="101"/>
  <c r="AE26" i="101"/>
  <c r="AB26" i="101"/>
  <c r="AA26" i="101"/>
  <c r="Z26" i="101"/>
  <c r="V26" i="101"/>
  <c r="AI26" i="101" s="1"/>
  <c r="P26" i="101" s="1"/>
  <c r="U26" i="101"/>
  <c r="AC26" i="101" s="1"/>
  <c r="Q26" i="101"/>
  <c r="Y26" i="101" s="1"/>
  <c r="AB25" i="101"/>
  <c r="AA25" i="101"/>
  <c r="Z25" i="101"/>
  <c r="AF25" i="101" s="1"/>
  <c r="V25" i="101"/>
  <c r="AI25" i="101" s="1"/>
  <c r="P25" i="101" s="1"/>
  <c r="U25" i="101"/>
  <c r="AC25" i="101" s="1"/>
  <c r="Q25" i="101"/>
  <c r="Y25" i="101" s="1"/>
  <c r="AN24" i="101"/>
  <c r="AE24" i="101"/>
  <c r="AB24" i="101"/>
  <c r="AA24" i="101"/>
  <c r="Z24" i="101"/>
  <c r="Y24" i="101"/>
  <c r="V24" i="101"/>
  <c r="AI24" i="101" s="1"/>
  <c r="P24" i="101" s="1"/>
  <c r="U24" i="101"/>
  <c r="AC24" i="101" s="1"/>
  <c r="Q24" i="101"/>
  <c r="AI23" i="101"/>
  <c r="P23" i="101" s="1"/>
  <c r="AE23" i="101"/>
  <c r="AB23" i="101"/>
  <c r="AA23" i="101"/>
  <c r="Z23" i="101"/>
  <c r="V23" i="101"/>
  <c r="AD23" i="101" s="1"/>
  <c r="U23" i="101"/>
  <c r="AC23" i="101" s="1"/>
  <c r="Q23" i="101"/>
  <c r="Y23" i="101" s="1"/>
  <c r="AE22" i="101"/>
  <c r="AF22" i="101" s="1"/>
  <c r="AB22" i="101"/>
  <c r="AA22" i="101"/>
  <c r="Z22" i="101"/>
  <c r="V22" i="101"/>
  <c r="AD22" i="101" s="1"/>
  <c r="U22" i="101"/>
  <c r="AC22" i="101" s="1"/>
  <c r="Q22" i="101"/>
  <c r="Y22" i="101" s="1"/>
  <c r="AE21" i="101"/>
  <c r="AF21" i="101" s="1"/>
  <c r="AB21" i="101"/>
  <c r="V21" i="101"/>
  <c r="AD21" i="101" s="1"/>
  <c r="U21" i="101"/>
  <c r="AC21" i="101" s="1"/>
  <c r="Q21" i="101"/>
  <c r="Y21" i="101" s="1"/>
  <c r="AI20" i="101"/>
  <c r="Y20" i="101"/>
  <c r="AO19" i="101"/>
  <c r="AM19" i="101"/>
  <c r="AE19" i="101"/>
  <c r="AF19" i="101" s="1"/>
  <c r="AB19" i="101"/>
  <c r="Y19" i="101"/>
  <c r="V19" i="101"/>
  <c r="AD19" i="101" s="1"/>
  <c r="U19" i="101"/>
  <c r="AC19" i="101" s="1"/>
  <c r="Q19" i="101"/>
  <c r="AF49" i="101" l="1"/>
  <c r="AF63" i="101"/>
  <c r="AF23" i="101"/>
  <c r="AF39" i="101"/>
  <c r="AF41" i="101"/>
  <c r="AF50" i="101"/>
  <c r="AF24" i="101"/>
  <c r="AF30" i="101"/>
  <c r="AF46" i="101"/>
  <c r="AI50" i="101"/>
  <c r="P50" i="101" s="1"/>
  <c r="AD50" i="101"/>
  <c r="AF59" i="101"/>
  <c r="AF72" i="101"/>
  <c r="AF37" i="101"/>
  <c r="AF47" i="101"/>
  <c r="AF66" i="101"/>
  <c r="AF68" i="101"/>
  <c r="AF81" i="101"/>
  <c r="AI80" i="101"/>
  <c r="P80" i="101" s="1"/>
  <c r="AF80" i="101"/>
  <c r="AI77" i="101"/>
  <c r="P77" i="101" s="1"/>
  <c r="AF77" i="101"/>
  <c r="AF75" i="101"/>
  <c r="AI75" i="101"/>
  <c r="P75" i="101" s="1"/>
  <c r="AI70" i="101"/>
  <c r="P70" i="101" s="1"/>
  <c r="AD69" i="101"/>
  <c r="AF67" i="101"/>
  <c r="AF64" i="101"/>
  <c r="AD63" i="101"/>
  <c r="AD61" i="101"/>
  <c r="AI58" i="101"/>
  <c r="P58" i="101" s="1"/>
  <c r="AD55" i="101"/>
  <c r="AD53" i="101"/>
  <c r="AI51" i="101"/>
  <c r="P51" i="101" s="1"/>
  <c r="AI48" i="101"/>
  <c r="P48" i="101" s="1"/>
  <c r="AD47" i="101"/>
  <c r="AF43" i="101"/>
  <c r="AI38" i="101"/>
  <c r="P38" i="101" s="1"/>
  <c r="AD35" i="101"/>
  <c r="AD31" i="101"/>
  <c r="AI28" i="101"/>
  <c r="P28" i="101" s="1"/>
  <c r="AD27" i="101"/>
  <c r="AD24" i="101"/>
  <c r="AA87" i="101"/>
  <c r="AA119" i="101" s="1"/>
  <c r="AI21" i="101"/>
  <c r="P21" i="101" s="1"/>
  <c r="U87" i="101"/>
  <c r="T88" i="101"/>
  <c r="AD25" i="101"/>
  <c r="AI29" i="101"/>
  <c r="P29" i="101" s="1"/>
  <c r="AD46" i="101"/>
  <c r="AD57" i="101"/>
  <c r="AD81" i="101"/>
  <c r="AI81" i="101"/>
  <c r="P81" i="101" s="1"/>
  <c r="AI19" i="101"/>
  <c r="P19" i="101" s="1"/>
  <c r="AI22" i="101"/>
  <c r="P22" i="101" s="1"/>
  <c r="AI32" i="101"/>
  <c r="P32" i="101" s="1"/>
  <c r="AI33" i="101"/>
  <c r="P33" i="101" s="1"/>
  <c r="AD37" i="101"/>
  <c r="AF38" i="101"/>
  <c r="AI42" i="101"/>
  <c r="P42" i="101" s="1"/>
  <c r="AI43" i="101"/>
  <c r="P43" i="101" s="1"/>
  <c r="AD49" i="101"/>
  <c r="AF55" i="101"/>
  <c r="AD59" i="101"/>
  <c r="AD66" i="101"/>
  <c r="AD68" i="101"/>
  <c r="AF69" i="101"/>
  <c r="AD72" i="101"/>
  <c r="AF73" i="101"/>
  <c r="AD74" i="101"/>
  <c r="AF106" i="101"/>
  <c r="AB87" i="101"/>
  <c r="AD26" i="101"/>
  <c r="AD39" i="101"/>
  <c r="AI45" i="101"/>
  <c r="P45" i="101" s="1"/>
  <c r="Z87" i="101"/>
  <c r="Z119" i="101" s="1"/>
  <c r="AD30" i="101"/>
  <c r="AF31" i="101"/>
  <c r="AF35" i="101"/>
  <c r="AF51" i="101"/>
  <c r="AF61" i="101"/>
  <c r="AD78" i="101"/>
  <c r="AI78" i="101"/>
  <c r="P78" i="101" s="1"/>
  <c r="U119" i="101"/>
  <c r="S119" i="101"/>
  <c r="AA88" i="100"/>
  <c r="T88" i="100"/>
  <c r="AF87" i="101" l="1"/>
  <c r="AF119" i="101" s="1"/>
  <c r="K121" i="101" s="1"/>
  <c r="M122" i="101" s="1"/>
  <c r="AA88" i="101"/>
  <c r="AB119" i="101"/>
  <c r="AC87" i="101"/>
  <c r="AC119" i="101" s="1"/>
  <c r="AA122" i="101"/>
  <c r="AE77" i="100"/>
  <c r="AE80" i="100" l="1"/>
  <c r="AE23" i="100"/>
  <c r="AE50" i="100" l="1"/>
  <c r="AB50" i="100"/>
  <c r="AA50" i="100"/>
  <c r="Z50" i="100"/>
  <c r="Q50" i="100"/>
  <c r="AE48" i="100"/>
  <c r="AD48" i="100"/>
  <c r="AC48" i="100"/>
  <c r="S124" i="100" l="1"/>
  <c r="T106" i="100"/>
  <c r="S106" i="100"/>
  <c r="R106" i="100"/>
  <c r="Y105" i="100"/>
  <c r="U105" i="100"/>
  <c r="Q105" i="100"/>
  <c r="Y104" i="100"/>
  <c r="U104" i="100"/>
  <c r="Q104" i="100"/>
  <c r="Y103" i="100"/>
  <c r="Y102" i="100"/>
  <c r="AI101" i="100"/>
  <c r="AD101" i="100"/>
  <c r="AB101" i="100"/>
  <c r="AA101" i="100"/>
  <c r="Z101" i="100"/>
  <c r="AF101" i="100" s="1"/>
  <c r="Y101" i="100"/>
  <c r="U101" i="100"/>
  <c r="AC101" i="100" s="1"/>
  <c r="Q101" i="100"/>
  <c r="P101" i="100"/>
  <c r="AI100" i="100"/>
  <c r="AD100" i="100"/>
  <c r="AC100" i="100"/>
  <c r="AB100" i="100"/>
  <c r="AA100" i="100"/>
  <c r="Z100" i="100"/>
  <c r="AF100" i="100" s="1"/>
  <c r="Y100" i="100"/>
  <c r="U100" i="100"/>
  <c r="Q100" i="100"/>
  <c r="P100" i="100"/>
  <c r="AI99" i="100"/>
  <c r="P99" i="100" s="1"/>
  <c r="AD99" i="100"/>
  <c r="AB99" i="100"/>
  <c r="AA99" i="100"/>
  <c r="Z99" i="100"/>
  <c r="AF99" i="100" s="1"/>
  <c r="Y99" i="100"/>
  <c r="U99" i="100"/>
  <c r="AC99" i="100" s="1"/>
  <c r="Q99" i="100"/>
  <c r="AI98" i="100"/>
  <c r="AF98" i="100"/>
  <c r="AD98" i="100"/>
  <c r="AB98" i="100"/>
  <c r="AA98" i="100"/>
  <c r="AA106" i="100" s="1"/>
  <c r="Z98" i="100"/>
  <c r="Y98" i="100"/>
  <c r="U98" i="100"/>
  <c r="AC98" i="100" s="1"/>
  <c r="Q98" i="100"/>
  <c r="P98" i="100"/>
  <c r="AI97" i="100"/>
  <c r="AD97" i="100"/>
  <c r="AC97" i="100"/>
  <c r="AB97" i="100"/>
  <c r="AB106" i="100" s="1"/>
  <c r="AA97" i="100"/>
  <c r="Z97" i="100"/>
  <c r="Y97" i="100"/>
  <c r="U97" i="100"/>
  <c r="U106" i="100" s="1"/>
  <c r="Q97" i="100"/>
  <c r="P97" i="100"/>
  <c r="AI96" i="100"/>
  <c r="P96" i="100" s="1"/>
  <c r="AD96" i="100"/>
  <c r="AC96" i="100"/>
  <c r="AB96" i="100"/>
  <c r="AA96" i="100"/>
  <c r="Z96" i="100"/>
  <c r="AF96" i="100" s="1"/>
  <c r="Y96" i="100"/>
  <c r="U96" i="100"/>
  <c r="Q96" i="100"/>
  <c r="AI93" i="100"/>
  <c r="AF93" i="100"/>
  <c r="AD93" i="100"/>
  <c r="AC93" i="100"/>
  <c r="AB93" i="100"/>
  <c r="AA93" i="100"/>
  <c r="Z93" i="100"/>
  <c r="Y93" i="100"/>
  <c r="AI92" i="100"/>
  <c r="AF92" i="100"/>
  <c r="AD92" i="100"/>
  <c r="AC92" i="100"/>
  <c r="AB92" i="100"/>
  <c r="AA92" i="100"/>
  <c r="Z92" i="100"/>
  <c r="Y92" i="100"/>
  <c r="AI91" i="100"/>
  <c r="AF91" i="100"/>
  <c r="AD91" i="100"/>
  <c r="AC91" i="100"/>
  <c r="AB91" i="100"/>
  <c r="AA91" i="100"/>
  <c r="Z91" i="100"/>
  <c r="Y91" i="100"/>
  <c r="AI90" i="100"/>
  <c r="AF90" i="100"/>
  <c r="AD90" i="100"/>
  <c r="AC90" i="100"/>
  <c r="AB90" i="100"/>
  <c r="AA90" i="100"/>
  <c r="Z90" i="100"/>
  <c r="Y90" i="100"/>
  <c r="T87" i="100"/>
  <c r="T119" i="100" s="1"/>
  <c r="S87" i="100"/>
  <c r="S119" i="100" s="1"/>
  <c r="R87" i="100"/>
  <c r="AO19" i="100" s="1"/>
  <c r="AC86" i="100"/>
  <c r="AB86" i="100"/>
  <c r="AA86" i="100"/>
  <c r="Z86" i="100"/>
  <c r="AF86" i="100" s="1"/>
  <c r="Y86" i="100"/>
  <c r="V86" i="100"/>
  <c r="AI86" i="100" s="1"/>
  <c r="P86" i="100" s="1"/>
  <c r="U86" i="100"/>
  <c r="Q86" i="100"/>
  <c r="AF85" i="100"/>
  <c r="V85" i="100"/>
  <c r="AI85" i="100" s="1"/>
  <c r="P85" i="100" s="1"/>
  <c r="U85" i="100"/>
  <c r="Q85" i="100"/>
  <c r="AI84" i="100"/>
  <c r="Y84" i="100"/>
  <c r="P84" i="100"/>
  <c r="AF83" i="100"/>
  <c r="V83" i="100"/>
  <c r="AI83" i="100" s="1"/>
  <c r="P83" i="100" s="1"/>
  <c r="U83" i="100"/>
  <c r="Q83" i="100"/>
  <c r="AI82" i="100"/>
  <c r="P82" i="100" s="1"/>
  <c r="Z82" i="100"/>
  <c r="Y82" i="100"/>
  <c r="AE81" i="100"/>
  <c r="AB81" i="100"/>
  <c r="AA81" i="100"/>
  <c r="Z81" i="100"/>
  <c r="Y81" i="100"/>
  <c r="V81" i="100"/>
  <c r="AD81" i="100" s="1"/>
  <c r="U81" i="100"/>
  <c r="AC81" i="100" s="1"/>
  <c r="Q81" i="100"/>
  <c r="AB80" i="100"/>
  <c r="AA80" i="100"/>
  <c r="Z80" i="100"/>
  <c r="AF80" i="100" s="1"/>
  <c r="Y80" i="100"/>
  <c r="V80" i="100"/>
  <c r="AI80" i="100" s="1"/>
  <c r="P80" i="100" s="1"/>
  <c r="U80" i="100"/>
  <c r="AC80" i="100" s="1"/>
  <c r="Q80" i="100"/>
  <c r="AI79" i="100"/>
  <c r="P79" i="100" s="1"/>
  <c r="AF79" i="100"/>
  <c r="V79" i="100"/>
  <c r="U79" i="100"/>
  <c r="Q79" i="100"/>
  <c r="AE78" i="100"/>
  <c r="AB78" i="100"/>
  <c r="AA78" i="100"/>
  <c r="Z78" i="100"/>
  <c r="V78" i="100"/>
  <c r="U78" i="100"/>
  <c r="AC78" i="100" s="1"/>
  <c r="Q78" i="100"/>
  <c r="Y78" i="100" s="1"/>
  <c r="AB77" i="100"/>
  <c r="AA77" i="100"/>
  <c r="Z77" i="100"/>
  <c r="AF77" i="100" s="1"/>
  <c r="Y77" i="100"/>
  <c r="V77" i="100"/>
  <c r="AD77" i="100" s="1"/>
  <c r="U77" i="100"/>
  <c r="AC77" i="100" s="1"/>
  <c r="Q77" i="100"/>
  <c r="AI76" i="100"/>
  <c r="P76" i="100" s="1"/>
  <c r="Y76" i="100"/>
  <c r="AE75" i="100"/>
  <c r="AB75" i="100"/>
  <c r="AA75" i="100"/>
  <c r="Z75" i="100"/>
  <c r="V75" i="100"/>
  <c r="U75" i="100"/>
  <c r="AC75" i="100" s="1"/>
  <c r="Q75" i="100"/>
  <c r="Y75" i="100" s="1"/>
  <c r="AI74" i="100"/>
  <c r="P74" i="100" s="1"/>
  <c r="AE74" i="100"/>
  <c r="AB74" i="100"/>
  <c r="AA74" i="100"/>
  <c r="Z74" i="100"/>
  <c r="Y74" i="100"/>
  <c r="V74" i="100"/>
  <c r="AD74" i="100" s="1"/>
  <c r="U74" i="100"/>
  <c r="AC74" i="100" s="1"/>
  <c r="Q74" i="100"/>
  <c r="AE73" i="100"/>
  <c r="AB73" i="100"/>
  <c r="AA73" i="100"/>
  <c r="Z73" i="100"/>
  <c r="V73" i="100"/>
  <c r="AI73" i="100" s="1"/>
  <c r="P73" i="100" s="1"/>
  <c r="U73" i="100"/>
  <c r="Q73" i="100"/>
  <c r="Y73" i="100" s="1"/>
  <c r="AE72" i="100"/>
  <c r="AC72" i="100"/>
  <c r="AB72" i="100"/>
  <c r="AA72" i="100"/>
  <c r="Z72" i="100"/>
  <c r="Y72" i="100"/>
  <c r="V72" i="100"/>
  <c r="AD72" i="100" s="1"/>
  <c r="U72" i="100"/>
  <c r="Q72" i="100"/>
  <c r="AF71" i="100"/>
  <c r="AC71" i="100"/>
  <c r="AB71" i="100"/>
  <c r="AA71" i="100"/>
  <c r="Z71" i="100"/>
  <c r="Y71" i="100"/>
  <c r="V71" i="100"/>
  <c r="AI71" i="100" s="1"/>
  <c r="U71" i="100"/>
  <c r="Q71" i="100"/>
  <c r="P71" i="100"/>
  <c r="AE70" i="100"/>
  <c r="AF70" i="100" s="1"/>
  <c r="AB70" i="100"/>
  <c r="AA70" i="100"/>
  <c r="Y70" i="100"/>
  <c r="V70" i="100"/>
  <c r="AI70" i="100" s="1"/>
  <c r="P70" i="100" s="1"/>
  <c r="U70" i="100"/>
  <c r="AC70" i="100" s="1"/>
  <c r="Q70" i="100"/>
  <c r="AE69" i="100"/>
  <c r="AB69" i="100"/>
  <c r="AA69" i="100"/>
  <c r="Z69" i="100"/>
  <c r="V69" i="100"/>
  <c r="AD69" i="100" s="1"/>
  <c r="U69" i="100"/>
  <c r="AC69" i="100" s="1"/>
  <c r="Q69" i="100"/>
  <c r="Y69" i="100" s="1"/>
  <c r="AE68" i="100"/>
  <c r="AB68" i="100"/>
  <c r="AA68" i="100"/>
  <c r="Z68" i="100"/>
  <c r="V68" i="100"/>
  <c r="AD68" i="100" s="1"/>
  <c r="U68" i="100"/>
  <c r="AC68" i="100" s="1"/>
  <c r="Q68" i="100"/>
  <c r="Y68" i="100" s="1"/>
  <c r="AE67" i="100"/>
  <c r="AF67" i="100" s="1"/>
  <c r="AB67" i="100"/>
  <c r="AA67" i="100"/>
  <c r="Z67" i="100"/>
  <c r="V67" i="100"/>
  <c r="U67" i="100"/>
  <c r="AC67" i="100" s="1"/>
  <c r="Q67" i="100"/>
  <c r="Y67" i="100" s="1"/>
  <c r="AE66" i="100"/>
  <c r="AB66" i="100"/>
  <c r="AA66" i="100"/>
  <c r="Z66" i="100"/>
  <c r="Y66" i="100"/>
  <c r="V66" i="100"/>
  <c r="AD66" i="100" s="1"/>
  <c r="U66" i="100"/>
  <c r="AC66" i="100" s="1"/>
  <c r="Q66" i="100"/>
  <c r="AI65" i="100"/>
  <c r="P65" i="100" s="1"/>
  <c r="AF65" i="100"/>
  <c r="V65" i="100"/>
  <c r="U65" i="100"/>
  <c r="Q65" i="100"/>
  <c r="AE64" i="100"/>
  <c r="AF64" i="100" s="1"/>
  <c r="AB64" i="100"/>
  <c r="AA64" i="100"/>
  <c r="Z64" i="100"/>
  <c r="V64" i="100"/>
  <c r="U64" i="100"/>
  <c r="AC64" i="100" s="1"/>
  <c r="Q64" i="100"/>
  <c r="Y64" i="100" s="1"/>
  <c r="AE63" i="100"/>
  <c r="AB63" i="100"/>
  <c r="AA63" i="100"/>
  <c r="Z63" i="100"/>
  <c r="V63" i="100"/>
  <c r="AD63" i="100" s="1"/>
  <c r="AC63" i="100"/>
  <c r="Q63" i="100"/>
  <c r="Y63" i="100" s="1"/>
  <c r="AI62" i="100"/>
  <c r="P62" i="100" s="1"/>
  <c r="Y62" i="100"/>
  <c r="AI61" i="100"/>
  <c r="P61" i="100" s="1"/>
  <c r="AE61" i="100"/>
  <c r="AB61" i="100"/>
  <c r="AA61" i="100"/>
  <c r="Z61" i="100"/>
  <c r="Y61" i="100"/>
  <c r="V61" i="100"/>
  <c r="AD61" i="100" s="1"/>
  <c r="U61" i="100"/>
  <c r="AC61" i="100" s="1"/>
  <c r="Q61" i="100"/>
  <c r="AI60" i="100"/>
  <c r="P60" i="100" s="1"/>
  <c r="AF60" i="100"/>
  <c r="V60" i="100"/>
  <c r="U60" i="100"/>
  <c r="Q60" i="100"/>
  <c r="AE59" i="100"/>
  <c r="AF59" i="100" s="1"/>
  <c r="AB59" i="100"/>
  <c r="AA59" i="100"/>
  <c r="Z59" i="100"/>
  <c r="V59" i="100"/>
  <c r="U59" i="100"/>
  <c r="AC59" i="100" s="1"/>
  <c r="Q59" i="100"/>
  <c r="Y59" i="100" s="1"/>
  <c r="AE58" i="100"/>
  <c r="AC58" i="100"/>
  <c r="AB58" i="100"/>
  <c r="AA58" i="100"/>
  <c r="Z58" i="100"/>
  <c r="Y58" i="100"/>
  <c r="V58" i="100"/>
  <c r="AD58" i="100" s="1"/>
  <c r="U58" i="100"/>
  <c r="Q58" i="100"/>
  <c r="AE57" i="100"/>
  <c r="AC57" i="100"/>
  <c r="AB57" i="100"/>
  <c r="AA57" i="100"/>
  <c r="Z57" i="100"/>
  <c r="AF57" i="100" s="1"/>
  <c r="V57" i="100"/>
  <c r="AI57" i="100" s="1"/>
  <c r="P57" i="100" s="1"/>
  <c r="U57" i="100"/>
  <c r="Q57" i="100"/>
  <c r="Y57" i="100" s="1"/>
  <c r="AI56" i="100"/>
  <c r="Y56" i="100"/>
  <c r="P56" i="100"/>
  <c r="AE55" i="100"/>
  <c r="AB55" i="100"/>
  <c r="AA55" i="100"/>
  <c r="Z55" i="100"/>
  <c r="V55" i="100"/>
  <c r="AI55" i="100" s="1"/>
  <c r="P55" i="100" s="1"/>
  <c r="U55" i="100"/>
  <c r="Q55" i="100"/>
  <c r="Y55" i="100" s="1"/>
  <c r="AI54" i="100"/>
  <c r="Y54" i="100"/>
  <c r="P54" i="100"/>
  <c r="AB53" i="100"/>
  <c r="AA53" i="100"/>
  <c r="Z53" i="100"/>
  <c r="AF53" i="100" s="1"/>
  <c r="Y53" i="100"/>
  <c r="V53" i="100"/>
  <c r="AI53" i="100" s="1"/>
  <c r="P53" i="100" s="1"/>
  <c r="U53" i="100"/>
  <c r="AC53" i="100" s="1"/>
  <c r="Q53" i="100"/>
  <c r="AI52" i="100"/>
  <c r="P52" i="100" s="1"/>
  <c r="Y52" i="100"/>
  <c r="AE51" i="100"/>
  <c r="AF51" i="100" s="1"/>
  <c r="AB51" i="100"/>
  <c r="AA51" i="100"/>
  <c r="Z51" i="100"/>
  <c r="Y51" i="100"/>
  <c r="V51" i="100"/>
  <c r="AD51" i="100" s="1"/>
  <c r="U51" i="100"/>
  <c r="AC51" i="100" s="1"/>
  <c r="AF50" i="100"/>
  <c r="AD50" i="100"/>
  <c r="AC50" i="100"/>
  <c r="V50" i="100"/>
  <c r="AI50" i="100" s="1"/>
  <c r="P50" i="100" s="1"/>
  <c r="U50" i="100"/>
  <c r="Y50" i="100"/>
  <c r="AE49" i="100"/>
  <c r="AD49" i="100"/>
  <c r="AB49" i="100"/>
  <c r="AA49" i="100"/>
  <c r="Z49" i="100"/>
  <c r="V49" i="100"/>
  <c r="AI49" i="100" s="1"/>
  <c r="P49" i="100" s="1"/>
  <c r="U49" i="100"/>
  <c r="AC49" i="100" s="1"/>
  <c r="Q49" i="100"/>
  <c r="Y49" i="100" s="1"/>
  <c r="AF48" i="100"/>
  <c r="Y48" i="100"/>
  <c r="V48" i="100"/>
  <c r="AI48" i="100" s="1"/>
  <c r="P48" i="100" s="1"/>
  <c r="U48" i="100"/>
  <c r="Q48" i="100"/>
  <c r="AE47" i="100"/>
  <c r="AB47" i="100"/>
  <c r="AA47" i="100"/>
  <c r="Z47" i="100"/>
  <c r="V47" i="100"/>
  <c r="U47" i="100"/>
  <c r="AC47" i="100" s="1"/>
  <c r="Q47" i="100"/>
  <c r="Y47" i="100" s="1"/>
  <c r="AE46" i="100"/>
  <c r="AB46" i="100"/>
  <c r="AA46" i="100"/>
  <c r="Z46" i="100"/>
  <c r="Y46" i="100"/>
  <c r="V46" i="100"/>
  <c r="AD46" i="100" s="1"/>
  <c r="U46" i="100"/>
  <c r="AC46" i="100" s="1"/>
  <c r="Q46" i="100"/>
  <c r="AE45" i="100"/>
  <c r="AF45" i="100" s="1"/>
  <c r="V45" i="100"/>
  <c r="AD45" i="100" s="1"/>
  <c r="U45" i="100"/>
  <c r="AC45" i="100" s="1"/>
  <c r="Q45" i="100"/>
  <c r="Y45" i="100" s="1"/>
  <c r="AI44" i="100"/>
  <c r="Y44" i="100"/>
  <c r="AE43" i="100"/>
  <c r="AC43" i="100"/>
  <c r="AB43" i="100"/>
  <c r="AA43" i="100"/>
  <c r="Z43" i="100"/>
  <c r="V43" i="100"/>
  <c r="AD43" i="100" s="1"/>
  <c r="U43" i="100"/>
  <c r="Q43" i="100"/>
  <c r="Y43" i="100" s="1"/>
  <c r="AD42" i="100"/>
  <c r="AC42" i="100"/>
  <c r="AB42" i="100"/>
  <c r="AA42" i="100"/>
  <c r="Z42" i="100"/>
  <c r="AF42" i="100" s="1"/>
  <c r="Y42" i="100"/>
  <c r="V42" i="100"/>
  <c r="AI42" i="100" s="1"/>
  <c r="P42" i="100" s="1"/>
  <c r="U42" i="100"/>
  <c r="Q42" i="100"/>
  <c r="AE41" i="100"/>
  <c r="AB41" i="100"/>
  <c r="AA41" i="100"/>
  <c r="Z41" i="100"/>
  <c r="V41" i="100"/>
  <c r="AD41" i="100" s="1"/>
  <c r="U41" i="100"/>
  <c r="AC41" i="100" s="1"/>
  <c r="Q41" i="100"/>
  <c r="Y41" i="100" s="1"/>
  <c r="AF40" i="100"/>
  <c r="AD40" i="100"/>
  <c r="AB40" i="100"/>
  <c r="AA40" i="100"/>
  <c r="Z40" i="100"/>
  <c r="Y40" i="100"/>
  <c r="V40" i="100"/>
  <c r="AI40" i="100" s="1"/>
  <c r="P40" i="100" s="1"/>
  <c r="U40" i="100"/>
  <c r="AC40" i="100" s="1"/>
  <c r="Q40" i="100"/>
  <c r="AE39" i="100"/>
  <c r="AB39" i="100"/>
  <c r="AA39" i="100"/>
  <c r="Z39" i="100"/>
  <c r="V39" i="100"/>
  <c r="AI39" i="100" s="1"/>
  <c r="P39" i="100" s="1"/>
  <c r="U39" i="100"/>
  <c r="Q39" i="100"/>
  <c r="Y39" i="100" s="1"/>
  <c r="AE38" i="100"/>
  <c r="AF38" i="100" s="1"/>
  <c r="AB38" i="100"/>
  <c r="AA38" i="100"/>
  <c r="Z38" i="100"/>
  <c r="V38" i="100"/>
  <c r="U38" i="100"/>
  <c r="AC38" i="100" s="1"/>
  <c r="Q38" i="100"/>
  <c r="Y38" i="100" s="1"/>
  <c r="AE37" i="100"/>
  <c r="AB37" i="100"/>
  <c r="AA37" i="100"/>
  <c r="Z37" i="100"/>
  <c r="Y37" i="100"/>
  <c r="V37" i="100"/>
  <c r="AD37" i="100" s="1"/>
  <c r="U37" i="100"/>
  <c r="AC37" i="100" s="1"/>
  <c r="Q37" i="100"/>
  <c r="AE36" i="100"/>
  <c r="AF36" i="100" s="1"/>
  <c r="AD36" i="100"/>
  <c r="AC36" i="100"/>
  <c r="V36" i="100"/>
  <c r="AI36" i="100" s="1"/>
  <c r="P36" i="100" s="1"/>
  <c r="U36" i="100"/>
  <c r="Q36" i="100"/>
  <c r="Y36" i="100" s="1"/>
  <c r="AE35" i="100"/>
  <c r="AB35" i="100"/>
  <c r="AA35" i="100"/>
  <c r="Z35" i="100"/>
  <c r="V35" i="100"/>
  <c r="U35" i="100"/>
  <c r="AC35" i="100" s="1"/>
  <c r="Q35" i="100"/>
  <c r="Y35" i="100" s="1"/>
  <c r="AF34" i="100"/>
  <c r="AB34" i="100"/>
  <c r="Y34" i="100"/>
  <c r="V34" i="100"/>
  <c r="AI34" i="100" s="1"/>
  <c r="P34" i="100" s="1"/>
  <c r="U34" i="100"/>
  <c r="AC34" i="100" s="1"/>
  <c r="Q34" i="100"/>
  <c r="AE33" i="100"/>
  <c r="AB33" i="100"/>
  <c r="AA33" i="100"/>
  <c r="Z33" i="100"/>
  <c r="V33" i="100"/>
  <c r="AI33" i="100" s="1"/>
  <c r="P33" i="100" s="1"/>
  <c r="U33" i="100"/>
  <c r="AC33" i="100" s="1"/>
  <c r="Q33" i="100"/>
  <c r="Y33" i="100" s="1"/>
  <c r="AI32" i="100"/>
  <c r="P32" i="100" s="1"/>
  <c r="AE32" i="100"/>
  <c r="AB32" i="100"/>
  <c r="AA32" i="100"/>
  <c r="Z32" i="100"/>
  <c r="V32" i="100"/>
  <c r="AD32" i="100" s="1"/>
  <c r="U32" i="100"/>
  <c r="AC32" i="100" s="1"/>
  <c r="Q32" i="100"/>
  <c r="Y32" i="100" s="1"/>
  <c r="AE31" i="100"/>
  <c r="AB31" i="100"/>
  <c r="AA31" i="100"/>
  <c r="Z31" i="100"/>
  <c r="V31" i="100"/>
  <c r="U31" i="100"/>
  <c r="AC31" i="100" s="1"/>
  <c r="Q31" i="100"/>
  <c r="Y31" i="100" s="1"/>
  <c r="AE30" i="100"/>
  <c r="AF30" i="100" s="1"/>
  <c r="AB30" i="100"/>
  <c r="AA30" i="100"/>
  <c r="Z30" i="100"/>
  <c r="Y30" i="100"/>
  <c r="V30" i="100"/>
  <c r="AD30" i="100" s="1"/>
  <c r="U30" i="100"/>
  <c r="AC30" i="100" s="1"/>
  <c r="Q30" i="100"/>
  <c r="AE29" i="100"/>
  <c r="AB29" i="100"/>
  <c r="AA29" i="100"/>
  <c r="Z29" i="100"/>
  <c r="V29" i="100"/>
  <c r="AD29" i="100" s="1"/>
  <c r="U29" i="100"/>
  <c r="AC29" i="100" s="1"/>
  <c r="Q29" i="100"/>
  <c r="Y29" i="100" s="1"/>
  <c r="AE28" i="100"/>
  <c r="AB28" i="100"/>
  <c r="AA28" i="100"/>
  <c r="Z28" i="100"/>
  <c r="AF28" i="100" s="1"/>
  <c r="V28" i="100"/>
  <c r="AI28" i="100" s="1"/>
  <c r="P28" i="100" s="1"/>
  <c r="U28" i="100"/>
  <c r="AC28" i="100" s="1"/>
  <c r="Q28" i="100"/>
  <c r="Y28" i="100" s="1"/>
  <c r="AE27" i="100"/>
  <c r="AB27" i="100"/>
  <c r="AA27" i="100"/>
  <c r="Z27" i="100"/>
  <c r="V27" i="100"/>
  <c r="U27" i="100"/>
  <c r="AC27" i="100" s="1"/>
  <c r="Q27" i="100"/>
  <c r="Y27" i="100" s="1"/>
  <c r="AE26" i="100"/>
  <c r="AF26" i="100" s="1"/>
  <c r="AB26" i="100"/>
  <c r="AA26" i="100"/>
  <c r="Z26" i="100"/>
  <c r="Y26" i="100"/>
  <c r="V26" i="100"/>
  <c r="AD26" i="100" s="1"/>
  <c r="U26" i="100"/>
  <c r="AC26" i="100" s="1"/>
  <c r="Q26" i="100"/>
  <c r="AB25" i="100"/>
  <c r="AA25" i="100"/>
  <c r="Z25" i="100"/>
  <c r="AF25" i="100" s="1"/>
  <c r="Y25" i="100"/>
  <c r="V25" i="100"/>
  <c r="AD25" i="100" s="1"/>
  <c r="U25" i="100"/>
  <c r="AC25" i="100" s="1"/>
  <c r="Q25" i="100"/>
  <c r="AN24" i="100"/>
  <c r="AE24" i="100"/>
  <c r="AB24" i="100"/>
  <c r="AA24" i="100"/>
  <c r="Z24" i="100"/>
  <c r="V24" i="100"/>
  <c r="AI24" i="100" s="1"/>
  <c r="P24" i="100" s="1"/>
  <c r="U24" i="100"/>
  <c r="AC24" i="100" s="1"/>
  <c r="Q24" i="100"/>
  <c r="Y24" i="100" s="1"/>
  <c r="AB23" i="100"/>
  <c r="AA23" i="100"/>
  <c r="Z23" i="100"/>
  <c r="AF23" i="100" s="1"/>
  <c r="V23" i="100"/>
  <c r="AI23" i="100" s="1"/>
  <c r="P23" i="100" s="1"/>
  <c r="U23" i="100"/>
  <c r="AC23" i="100" s="1"/>
  <c r="Q23" i="100"/>
  <c r="Y23" i="100" s="1"/>
  <c r="AE22" i="100"/>
  <c r="AB22" i="100"/>
  <c r="AA22" i="100"/>
  <c r="Z22" i="100"/>
  <c r="V22" i="100"/>
  <c r="AI22" i="100" s="1"/>
  <c r="P22" i="100" s="1"/>
  <c r="U22" i="100"/>
  <c r="AC22" i="100" s="1"/>
  <c r="Q22" i="100"/>
  <c r="Y22" i="100" s="1"/>
  <c r="AE21" i="100"/>
  <c r="AF21" i="100" s="1"/>
  <c r="AB21" i="100"/>
  <c r="V21" i="100"/>
  <c r="AD21" i="100" s="1"/>
  <c r="U21" i="100"/>
  <c r="AC21" i="100" s="1"/>
  <c r="Q21" i="100"/>
  <c r="Y21" i="100" s="1"/>
  <c r="AI20" i="100"/>
  <c r="Y20" i="100"/>
  <c r="AM19" i="100"/>
  <c r="AE19" i="100"/>
  <c r="AB19" i="100"/>
  <c r="Y19" i="100"/>
  <c r="V19" i="100"/>
  <c r="AD19" i="100" s="1"/>
  <c r="U19" i="100"/>
  <c r="AC19" i="100" s="1"/>
  <c r="Q19" i="100"/>
  <c r="AF22" i="100" l="1"/>
  <c r="AF37" i="100"/>
  <c r="AF49" i="100"/>
  <c r="AF63" i="100"/>
  <c r="AF69" i="100"/>
  <c r="AF29" i="100"/>
  <c r="AF31" i="100"/>
  <c r="AF74" i="100"/>
  <c r="AF75" i="100"/>
  <c r="AF78" i="100"/>
  <c r="AF81" i="100"/>
  <c r="AI81" i="100"/>
  <c r="P81" i="100" s="1"/>
  <c r="AI77" i="100"/>
  <c r="P77" i="100" s="1"/>
  <c r="AF72" i="100"/>
  <c r="AI72" i="100"/>
  <c r="P72" i="100" s="1"/>
  <c r="AD70" i="100"/>
  <c r="AI69" i="100"/>
  <c r="P69" i="100" s="1"/>
  <c r="AI68" i="100"/>
  <c r="P68" i="100" s="1"/>
  <c r="AI66" i="100"/>
  <c r="P66" i="100" s="1"/>
  <c r="AF66" i="100"/>
  <c r="AI63" i="100"/>
  <c r="P63" i="100" s="1"/>
  <c r="AF61" i="100"/>
  <c r="AI58" i="100"/>
  <c r="P58" i="100" s="1"/>
  <c r="AF58" i="100"/>
  <c r="AD57" i="100"/>
  <c r="AD53" i="100"/>
  <c r="AI51" i="100"/>
  <c r="P51" i="100" s="1"/>
  <c r="AF47" i="100"/>
  <c r="AF46" i="100"/>
  <c r="AI46" i="100"/>
  <c r="P46" i="100" s="1"/>
  <c r="AI45" i="100"/>
  <c r="P45" i="100" s="1"/>
  <c r="AI43" i="100"/>
  <c r="P43" i="100" s="1"/>
  <c r="AI41" i="100"/>
  <c r="P41" i="100" s="1"/>
  <c r="AD39" i="100"/>
  <c r="AF39" i="100"/>
  <c r="AI37" i="100"/>
  <c r="P37" i="100" s="1"/>
  <c r="AF35" i="100"/>
  <c r="AD33" i="100"/>
  <c r="AI29" i="100"/>
  <c r="P29" i="100" s="1"/>
  <c r="AD28" i="100"/>
  <c r="AF27" i="100"/>
  <c r="AF41" i="100"/>
  <c r="AF32" i="100"/>
  <c r="AF33" i="100"/>
  <c r="AF73" i="100"/>
  <c r="AF43" i="100"/>
  <c r="AI25" i="100"/>
  <c r="P25" i="100" s="1"/>
  <c r="Z87" i="100"/>
  <c r="AD24" i="100"/>
  <c r="AD23" i="100"/>
  <c r="AD22" i="100"/>
  <c r="AF19" i="100"/>
  <c r="AI19" i="100"/>
  <c r="P19" i="100" s="1"/>
  <c r="AD47" i="100"/>
  <c r="AI47" i="100"/>
  <c r="P47" i="100" s="1"/>
  <c r="AC55" i="100"/>
  <c r="AF55" i="100"/>
  <c r="AF68" i="100"/>
  <c r="AI21" i="100"/>
  <c r="P21" i="100" s="1"/>
  <c r="AD31" i="100"/>
  <c r="AI31" i="100"/>
  <c r="P31" i="100" s="1"/>
  <c r="AD64" i="100"/>
  <c r="AI64" i="100"/>
  <c r="P64" i="100" s="1"/>
  <c r="Z106" i="100"/>
  <c r="AF97" i="100"/>
  <c r="AF106" i="100" s="1"/>
  <c r="AF24" i="100"/>
  <c r="AI30" i="100"/>
  <c r="P30" i="100" s="1"/>
  <c r="AD59" i="100"/>
  <c r="AI59" i="100"/>
  <c r="P59" i="100" s="1"/>
  <c r="AD67" i="100"/>
  <c r="AI67" i="100"/>
  <c r="P67" i="100" s="1"/>
  <c r="AD78" i="100"/>
  <c r="AI78" i="100"/>
  <c r="P78" i="100" s="1"/>
  <c r="AI26" i="100"/>
  <c r="P26" i="100" s="1"/>
  <c r="AA87" i="100"/>
  <c r="AB87" i="100"/>
  <c r="AD27" i="100"/>
  <c r="AI27" i="100"/>
  <c r="P27" i="100" s="1"/>
  <c r="AD35" i="100"/>
  <c r="AI35" i="100"/>
  <c r="P35" i="100" s="1"/>
  <c r="AD38" i="100"/>
  <c r="AI38" i="100"/>
  <c r="P38" i="100" s="1"/>
  <c r="AD55" i="100"/>
  <c r="AD75" i="100"/>
  <c r="AI75" i="100"/>
  <c r="P75" i="100" s="1"/>
  <c r="R119" i="100"/>
  <c r="U119" i="100" s="1"/>
  <c r="U87" i="100"/>
  <c r="AD71" i="100"/>
  <c r="AD80" i="100"/>
  <c r="AD86" i="100"/>
  <c r="S124" i="99"/>
  <c r="AA119" i="100" l="1"/>
  <c r="AF87" i="100"/>
  <c r="AF119" i="100" s="1"/>
  <c r="K121" i="100" s="1"/>
  <c r="M122" i="100" s="1"/>
  <c r="Z119" i="100"/>
  <c r="AC87" i="100"/>
  <c r="AC119" i="100" s="1"/>
  <c r="AB119" i="100"/>
  <c r="Q55" i="99"/>
  <c r="AA122" i="100" l="1"/>
  <c r="AA122" i="99"/>
  <c r="Z69" i="99" l="1"/>
  <c r="AA69" i="99"/>
  <c r="AB69" i="99"/>
  <c r="AD69" i="99"/>
  <c r="AC69" i="99"/>
  <c r="AE69" i="99"/>
  <c r="AD58" i="99" l="1"/>
  <c r="AC58" i="99"/>
  <c r="AE59" i="99"/>
  <c r="AE58" i="99"/>
  <c r="AE57" i="99"/>
  <c r="AE55" i="99"/>
  <c r="AE51" i="99"/>
  <c r="AB58" i="99"/>
  <c r="AA58" i="99"/>
  <c r="Z58" i="99"/>
  <c r="AB55" i="99"/>
  <c r="AA55" i="99"/>
  <c r="Z55" i="99"/>
  <c r="AB53" i="99"/>
  <c r="AA53" i="99"/>
  <c r="Z53" i="99"/>
  <c r="AB51" i="99"/>
  <c r="AA51" i="99"/>
  <c r="Z51" i="99"/>
  <c r="AC50" i="99"/>
  <c r="AC48" i="99"/>
  <c r="AD48" i="99"/>
  <c r="AE30" i="99"/>
  <c r="AE28" i="99"/>
  <c r="AE29" i="99"/>
  <c r="AD50" i="99" l="1"/>
  <c r="T106" i="99"/>
  <c r="S106" i="99"/>
  <c r="R106" i="99"/>
  <c r="Y105" i="99"/>
  <c r="U105" i="99"/>
  <c r="Q105" i="99"/>
  <c r="Y104" i="99"/>
  <c r="U104" i="99"/>
  <c r="Q104" i="99"/>
  <c r="Y103" i="99"/>
  <c r="Y102" i="99"/>
  <c r="AI101" i="99"/>
  <c r="P101" i="99" s="1"/>
  <c r="AF101" i="99"/>
  <c r="AD101" i="99"/>
  <c r="AB101" i="99"/>
  <c r="AA101" i="99"/>
  <c r="Z101" i="99"/>
  <c r="Y101" i="99"/>
  <c r="U101" i="99"/>
  <c r="AC101" i="99" s="1"/>
  <c r="Q101" i="99"/>
  <c r="AI100" i="99"/>
  <c r="P100" i="99" s="1"/>
  <c r="AF100" i="99"/>
  <c r="AD100" i="99"/>
  <c r="AB100" i="99"/>
  <c r="AA100" i="99"/>
  <c r="Z100" i="99"/>
  <c r="Y100" i="99"/>
  <c r="U100" i="99"/>
  <c r="AC100" i="99" s="1"/>
  <c r="Q100" i="99"/>
  <c r="AI99" i="99"/>
  <c r="AD99" i="99"/>
  <c r="AB99" i="99"/>
  <c r="AA99" i="99"/>
  <c r="Z99" i="99"/>
  <c r="AF99" i="99" s="1"/>
  <c r="Y99" i="99"/>
  <c r="U99" i="99"/>
  <c r="AC99" i="99" s="1"/>
  <c r="Q99" i="99"/>
  <c r="P99" i="99"/>
  <c r="AI98" i="99"/>
  <c r="AD98" i="99"/>
  <c r="AC98" i="99"/>
  <c r="AB98" i="99"/>
  <c r="AA98" i="99"/>
  <c r="Z98" i="99"/>
  <c r="AF98" i="99" s="1"/>
  <c r="Y98" i="99"/>
  <c r="U98" i="99"/>
  <c r="Q98" i="99"/>
  <c r="P98" i="99"/>
  <c r="AI97" i="99"/>
  <c r="P97" i="99" s="1"/>
  <c r="AD97" i="99"/>
  <c r="AC97" i="99"/>
  <c r="AB97" i="99"/>
  <c r="AB106" i="99" s="1"/>
  <c r="AA97" i="99"/>
  <c r="AA106" i="99" s="1"/>
  <c r="Z97" i="99"/>
  <c r="AF97" i="99" s="1"/>
  <c r="AF106" i="99" s="1"/>
  <c r="Y97" i="99"/>
  <c r="U97" i="99"/>
  <c r="U106" i="99" s="1"/>
  <c r="Q97" i="99"/>
  <c r="AI96" i="99"/>
  <c r="P96" i="99" s="1"/>
  <c r="AF96" i="99"/>
  <c r="AD96" i="99"/>
  <c r="AB96" i="99"/>
  <c r="AA96" i="99"/>
  <c r="Z96" i="99"/>
  <c r="Y96" i="99"/>
  <c r="U96" i="99"/>
  <c r="AC96" i="99" s="1"/>
  <c r="Q96" i="99"/>
  <c r="AI93" i="99"/>
  <c r="AF93" i="99"/>
  <c r="AD93" i="99"/>
  <c r="AC93" i="99"/>
  <c r="AB93" i="99"/>
  <c r="AA93" i="99"/>
  <c r="Z93" i="99"/>
  <c r="Y93" i="99"/>
  <c r="AI92" i="99"/>
  <c r="AF92" i="99"/>
  <c r="AD92" i="99"/>
  <c r="AC92" i="99"/>
  <c r="AB92" i="99"/>
  <c r="AA92" i="99"/>
  <c r="Z92" i="99"/>
  <c r="Y92" i="99"/>
  <c r="AI91" i="99"/>
  <c r="AF91" i="99"/>
  <c r="AD91" i="99"/>
  <c r="AC91" i="99"/>
  <c r="AB91" i="99"/>
  <c r="AA91" i="99"/>
  <c r="Z91" i="99"/>
  <c r="Y91" i="99"/>
  <c r="AI90" i="99"/>
  <c r="AF90" i="99"/>
  <c r="AD90" i="99"/>
  <c r="AC90" i="99"/>
  <c r="AB90" i="99"/>
  <c r="AA90" i="99"/>
  <c r="Z90" i="99"/>
  <c r="Y90" i="99"/>
  <c r="T87" i="99"/>
  <c r="T119" i="99" s="1"/>
  <c r="S87" i="99"/>
  <c r="S119" i="99" s="1"/>
  <c r="R87" i="99"/>
  <c r="R119" i="99" s="1"/>
  <c r="AF86" i="99"/>
  <c r="AB86" i="99"/>
  <c r="AA86" i="99"/>
  <c r="Z86" i="99"/>
  <c r="Y86" i="99"/>
  <c r="V86" i="99"/>
  <c r="AD86" i="99" s="1"/>
  <c r="U86" i="99"/>
  <c r="AC86" i="99" s="1"/>
  <c r="Q86" i="99"/>
  <c r="AF85" i="99"/>
  <c r="V85" i="99"/>
  <c r="AI85" i="99" s="1"/>
  <c r="P85" i="99" s="1"/>
  <c r="U85" i="99"/>
  <c r="Q85" i="99"/>
  <c r="AI84" i="99"/>
  <c r="P84" i="99" s="1"/>
  <c r="Y84" i="99"/>
  <c r="AF83" i="99"/>
  <c r="V83" i="99"/>
  <c r="AI83" i="99" s="1"/>
  <c r="P83" i="99" s="1"/>
  <c r="U83" i="99"/>
  <c r="Q83" i="99"/>
  <c r="AI82" i="99"/>
  <c r="Z82" i="99"/>
  <c r="Y82" i="99"/>
  <c r="P82" i="99"/>
  <c r="AE81" i="99"/>
  <c r="AB81" i="99"/>
  <c r="AA81" i="99"/>
  <c r="Z81" i="99"/>
  <c r="V81" i="99"/>
  <c r="AI81" i="99" s="1"/>
  <c r="P81" i="99" s="1"/>
  <c r="U81" i="99"/>
  <c r="AC81" i="99" s="1"/>
  <c r="Q81" i="99"/>
  <c r="Y81" i="99" s="1"/>
  <c r="AB80" i="99"/>
  <c r="AA80" i="99"/>
  <c r="Z80" i="99"/>
  <c r="AF80" i="99" s="1"/>
  <c r="V80" i="99"/>
  <c r="AI80" i="99" s="1"/>
  <c r="P80" i="99" s="1"/>
  <c r="U80" i="99"/>
  <c r="AC80" i="99" s="1"/>
  <c r="Q80" i="99"/>
  <c r="Y80" i="99" s="1"/>
  <c r="AF79" i="99"/>
  <c r="V79" i="99"/>
  <c r="AI79" i="99" s="1"/>
  <c r="P79" i="99" s="1"/>
  <c r="U79" i="99"/>
  <c r="Q79" i="99"/>
  <c r="AE78" i="99"/>
  <c r="AB78" i="99"/>
  <c r="AA78" i="99"/>
  <c r="Z78" i="99"/>
  <c r="Y78" i="99"/>
  <c r="V78" i="99"/>
  <c r="AD78" i="99" s="1"/>
  <c r="U78" i="99"/>
  <c r="AC78" i="99" s="1"/>
  <c r="Q78" i="99"/>
  <c r="AF77" i="99"/>
  <c r="AC77" i="99"/>
  <c r="AB77" i="99"/>
  <c r="AA77" i="99"/>
  <c r="Z77" i="99"/>
  <c r="Y77" i="99"/>
  <c r="V77" i="99"/>
  <c r="AD77" i="99" s="1"/>
  <c r="U77" i="99"/>
  <c r="Q77" i="99"/>
  <c r="AI76" i="99"/>
  <c r="P76" i="99" s="1"/>
  <c r="Y76" i="99"/>
  <c r="AE75" i="99"/>
  <c r="AB75" i="99"/>
  <c r="AA75" i="99"/>
  <c r="Z75" i="99"/>
  <c r="Y75" i="99"/>
  <c r="V75" i="99"/>
  <c r="AD75" i="99" s="1"/>
  <c r="U75" i="99"/>
  <c r="AC75" i="99" s="1"/>
  <c r="Q75" i="99"/>
  <c r="AE74" i="99"/>
  <c r="AB74" i="99"/>
  <c r="AA74" i="99"/>
  <c r="Z74" i="99"/>
  <c r="AF74" i="99" s="1"/>
  <c r="V74" i="99"/>
  <c r="AI74" i="99" s="1"/>
  <c r="P74" i="99" s="1"/>
  <c r="U74" i="99"/>
  <c r="AC74" i="99" s="1"/>
  <c r="Q74" i="99"/>
  <c r="Y74" i="99" s="1"/>
  <c r="AE73" i="99"/>
  <c r="AB73" i="99"/>
  <c r="AA73" i="99"/>
  <c r="Z73" i="99"/>
  <c r="Y73" i="99"/>
  <c r="V73" i="99"/>
  <c r="AI73" i="99" s="1"/>
  <c r="P73" i="99" s="1"/>
  <c r="U73" i="99"/>
  <c r="Q73" i="99"/>
  <c r="AE72" i="99"/>
  <c r="AC72" i="99"/>
  <c r="AB72" i="99"/>
  <c r="AA72" i="99"/>
  <c r="Z72" i="99"/>
  <c r="AF72" i="99" s="1"/>
  <c r="V72" i="99"/>
  <c r="AI72" i="99" s="1"/>
  <c r="P72" i="99" s="1"/>
  <c r="U72" i="99"/>
  <c r="Q72" i="99"/>
  <c r="Y72" i="99" s="1"/>
  <c r="AD71" i="99"/>
  <c r="AC71" i="99"/>
  <c r="AB71" i="99"/>
  <c r="AA71" i="99"/>
  <c r="Z71" i="99"/>
  <c r="AF71" i="99" s="1"/>
  <c r="Y71" i="99"/>
  <c r="V71" i="99"/>
  <c r="AI71" i="99" s="1"/>
  <c r="P71" i="99" s="1"/>
  <c r="U71" i="99"/>
  <c r="Q71" i="99"/>
  <c r="AE70" i="99"/>
  <c r="AF70" i="99" s="1"/>
  <c r="AB70" i="99"/>
  <c r="AA70" i="99"/>
  <c r="V70" i="99"/>
  <c r="AD70" i="99" s="1"/>
  <c r="U70" i="99"/>
  <c r="AC70" i="99" s="1"/>
  <c r="Q70" i="99"/>
  <c r="Y70" i="99" s="1"/>
  <c r="AF69" i="99"/>
  <c r="Y69" i="99"/>
  <c r="V69" i="99"/>
  <c r="AI69" i="99" s="1"/>
  <c r="P69" i="99" s="1"/>
  <c r="U69" i="99"/>
  <c r="Q69" i="99"/>
  <c r="AE68" i="99"/>
  <c r="AF68" i="99" s="1"/>
  <c r="AB68" i="99"/>
  <c r="AA68" i="99"/>
  <c r="Z68" i="99"/>
  <c r="V68" i="99"/>
  <c r="AI68" i="99" s="1"/>
  <c r="P68" i="99" s="1"/>
  <c r="U68" i="99"/>
  <c r="AC68" i="99" s="1"/>
  <c r="Q68" i="99"/>
  <c r="Y68" i="99" s="1"/>
  <c r="AE67" i="99"/>
  <c r="AF67" i="99" s="1"/>
  <c r="AB67" i="99"/>
  <c r="AA67" i="99"/>
  <c r="Z67" i="99"/>
  <c r="Y67" i="99"/>
  <c r="V67" i="99"/>
  <c r="AD67" i="99" s="1"/>
  <c r="U67" i="99"/>
  <c r="AC67" i="99" s="1"/>
  <c r="Q67" i="99"/>
  <c r="AE66" i="99"/>
  <c r="AB66" i="99"/>
  <c r="AA66" i="99"/>
  <c r="Z66" i="99"/>
  <c r="V66" i="99"/>
  <c r="AI66" i="99" s="1"/>
  <c r="P66" i="99" s="1"/>
  <c r="U66" i="99"/>
  <c r="AC66" i="99" s="1"/>
  <c r="Q66" i="99"/>
  <c r="Y66" i="99" s="1"/>
  <c r="AI65" i="99"/>
  <c r="P65" i="99" s="1"/>
  <c r="AF65" i="99"/>
  <c r="V65" i="99"/>
  <c r="U65" i="99"/>
  <c r="Q65" i="99"/>
  <c r="AE64" i="99"/>
  <c r="AB64" i="99"/>
  <c r="AA64" i="99"/>
  <c r="Z64" i="99"/>
  <c r="Y64" i="99"/>
  <c r="V64" i="99"/>
  <c r="AD64" i="99" s="1"/>
  <c r="U64" i="99"/>
  <c r="AC64" i="99" s="1"/>
  <c r="Q64" i="99"/>
  <c r="AE63" i="99"/>
  <c r="AB63" i="99"/>
  <c r="AA63" i="99"/>
  <c r="Z63" i="99"/>
  <c r="V63" i="99"/>
  <c r="AI63" i="99" s="1"/>
  <c r="P63" i="99" s="1"/>
  <c r="U63" i="99"/>
  <c r="AC63" i="99" s="1"/>
  <c r="Q63" i="99"/>
  <c r="Y63" i="99" s="1"/>
  <c r="AI62" i="99"/>
  <c r="Y62" i="99"/>
  <c r="P62" i="99"/>
  <c r="AE61" i="99"/>
  <c r="AB61" i="99"/>
  <c r="AA61" i="99"/>
  <c r="Z61" i="99"/>
  <c r="AF61" i="99" s="1"/>
  <c r="V61" i="99"/>
  <c r="AI61" i="99" s="1"/>
  <c r="P61" i="99" s="1"/>
  <c r="U61" i="99"/>
  <c r="AC61" i="99" s="1"/>
  <c r="Q61" i="99"/>
  <c r="Y61" i="99" s="1"/>
  <c r="AF60" i="99"/>
  <c r="V60" i="99"/>
  <c r="AI60" i="99" s="1"/>
  <c r="P60" i="99" s="1"/>
  <c r="U60" i="99"/>
  <c r="Q60" i="99"/>
  <c r="AB59" i="99"/>
  <c r="AA59" i="99"/>
  <c r="Z59" i="99"/>
  <c r="AF59" i="99" s="1"/>
  <c r="Y59" i="99"/>
  <c r="V59" i="99"/>
  <c r="AI59" i="99" s="1"/>
  <c r="P59" i="99" s="1"/>
  <c r="U59" i="99"/>
  <c r="AC59" i="99" s="1"/>
  <c r="Q59" i="99"/>
  <c r="AF58" i="99"/>
  <c r="Y58" i="99"/>
  <c r="V58" i="99"/>
  <c r="AI58" i="99" s="1"/>
  <c r="P58" i="99" s="1"/>
  <c r="U58" i="99"/>
  <c r="Q58" i="99"/>
  <c r="AB57" i="99"/>
  <c r="AA57" i="99"/>
  <c r="Z57" i="99"/>
  <c r="AF57" i="99" s="1"/>
  <c r="V57" i="99"/>
  <c r="AD57" i="99" s="1"/>
  <c r="U57" i="99"/>
  <c r="AC57" i="99" s="1"/>
  <c r="Q57" i="99"/>
  <c r="Y57" i="99" s="1"/>
  <c r="AI56" i="99"/>
  <c r="Y56" i="99"/>
  <c r="P56" i="99"/>
  <c r="AF55" i="99"/>
  <c r="AD55" i="99"/>
  <c r="AC55" i="99"/>
  <c r="V55" i="99"/>
  <c r="AI55" i="99" s="1"/>
  <c r="P55" i="99" s="1"/>
  <c r="U55" i="99"/>
  <c r="Y55" i="99"/>
  <c r="AI54" i="99"/>
  <c r="Y54" i="99"/>
  <c r="P54" i="99"/>
  <c r="AF53" i="99"/>
  <c r="AD53" i="99"/>
  <c r="Y53" i="99"/>
  <c r="V53" i="99"/>
  <c r="AI53" i="99" s="1"/>
  <c r="P53" i="99" s="1"/>
  <c r="U53" i="99"/>
  <c r="AC53" i="99" s="1"/>
  <c r="Q53" i="99"/>
  <c r="AI52" i="99"/>
  <c r="Y52" i="99"/>
  <c r="P52" i="99"/>
  <c r="AI51" i="99"/>
  <c r="P51" i="99" s="1"/>
  <c r="AF51" i="99"/>
  <c r="Y51" i="99"/>
  <c r="V51" i="99"/>
  <c r="AD51" i="99" s="1"/>
  <c r="U51" i="99"/>
  <c r="AC51" i="99" s="1"/>
  <c r="AI50" i="99"/>
  <c r="P50" i="99" s="1"/>
  <c r="V50" i="99"/>
  <c r="U50" i="99"/>
  <c r="Q50" i="99"/>
  <c r="Y50" i="99" s="1"/>
  <c r="AE49" i="99"/>
  <c r="AB49" i="99"/>
  <c r="AA49" i="99"/>
  <c r="Z49" i="99"/>
  <c r="V49" i="99"/>
  <c r="AI49" i="99" s="1"/>
  <c r="P49" i="99" s="1"/>
  <c r="U49" i="99"/>
  <c r="AC49" i="99" s="1"/>
  <c r="Q49" i="99"/>
  <c r="Y49" i="99" s="1"/>
  <c r="V48" i="99"/>
  <c r="U48" i="99"/>
  <c r="Q48" i="99"/>
  <c r="Y48" i="99" s="1"/>
  <c r="AE47" i="99"/>
  <c r="AB47" i="99"/>
  <c r="AA47" i="99"/>
  <c r="Z47" i="99"/>
  <c r="Y47" i="99"/>
  <c r="V47" i="99"/>
  <c r="AD47" i="99" s="1"/>
  <c r="U47" i="99"/>
  <c r="AC47" i="99" s="1"/>
  <c r="Q47" i="99"/>
  <c r="AE46" i="99"/>
  <c r="AB46" i="99"/>
  <c r="AA46" i="99"/>
  <c r="Z46" i="99"/>
  <c r="Y46" i="99"/>
  <c r="V46" i="99"/>
  <c r="AI46" i="99" s="1"/>
  <c r="P46" i="99" s="1"/>
  <c r="U46" i="99"/>
  <c r="AC46" i="99" s="1"/>
  <c r="Q46" i="99"/>
  <c r="AE45" i="99"/>
  <c r="V45" i="99"/>
  <c r="AI45" i="99" s="1"/>
  <c r="P45" i="99" s="1"/>
  <c r="U45" i="99"/>
  <c r="AC45" i="99" s="1"/>
  <c r="Q45" i="99"/>
  <c r="Y45" i="99" s="1"/>
  <c r="AI44" i="99"/>
  <c r="Y44" i="99"/>
  <c r="AE43" i="99"/>
  <c r="AB43" i="99"/>
  <c r="AA43" i="99"/>
  <c r="Z43" i="99"/>
  <c r="V43" i="99"/>
  <c r="AI43" i="99" s="1"/>
  <c r="P43" i="99" s="1"/>
  <c r="U43" i="99"/>
  <c r="AC43" i="99" s="1"/>
  <c r="Q43" i="99"/>
  <c r="Y43" i="99" s="1"/>
  <c r="AF42" i="99"/>
  <c r="AD42" i="99"/>
  <c r="AB42" i="99"/>
  <c r="AA42" i="99"/>
  <c r="Z42" i="99"/>
  <c r="Y42" i="99"/>
  <c r="V42" i="99"/>
  <c r="AI42" i="99" s="1"/>
  <c r="U42" i="99"/>
  <c r="AC42" i="99" s="1"/>
  <c r="Q42" i="99"/>
  <c r="P42" i="99"/>
  <c r="AE41" i="99"/>
  <c r="AB41" i="99"/>
  <c r="AA41" i="99"/>
  <c r="Z41" i="99"/>
  <c r="V41" i="99"/>
  <c r="AI41" i="99" s="1"/>
  <c r="P41" i="99" s="1"/>
  <c r="U41" i="99"/>
  <c r="AC41" i="99" s="1"/>
  <c r="Q41" i="99"/>
  <c r="Y41" i="99" s="1"/>
  <c r="AI40" i="99"/>
  <c r="P40" i="99" s="1"/>
  <c r="AD40" i="99"/>
  <c r="AB40" i="99"/>
  <c r="AA40" i="99"/>
  <c r="Z40" i="99"/>
  <c r="AF40" i="99" s="1"/>
  <c r="Y40" i="99"/>
  <c r="V40" i="99"/>
  <c r="U40" i="99"/>
  <c r="AC40" i="99" s="1"/>
  <c r="Q40" i="99"/>
  <c r="AE39" i="99"/>
  <c r="AB39" i="99"/>
  <c r="AA39" i="99"/>
  <c r="Z39" i="99"/>
  <c r="V39" i="99"/>
  <c r="AD39" i="99" s="1"/>
  <c r="U39" i="99"/>
  <c r="Q39" i="99"/>
  <c r="Y39" i="99" s="1"/>
  <c r="AE38" i="99"/>
  <c r="AF38" i="99" s="1"/>
  <c r="AB38" i="99"/>
  <c r="AA38" i="99"/>
  <c r="Z38" i="99"/>
  <c r="Y38" i="99"/>
  <c r="V38" i="99"/>
  <c r="AD38" i="99" s="1"/>
  <c r="U38" i="99"/>
  <c r="AC38" i="99" s="1"/>
  <c r="Q38" i="99"/>
  <c r="AF37" i="99"/>
  <c r="AE37" i="99"/>
  <c r="AB37" i="99"/>
  <c r="AA37" i="99"/>
  <c r="Z37" i="99"/>
  <c r="V37" i="99"/>
  <c r="AD37" i="99" s="1"/>
  <c r="U37" i="99"/>
  <c r="AC37" i="99" s="1"/>
  <c r="Q37" i="99"/>
  <c r="Y37" i="99" s="1"/>
  <c r="AE36" i="99"/>
  <c r="AF36" i="99" s="1"/>
  <c r="AD36" i="99"/>
  <c r="AC36" i="99"/>
  <c r="V36" i="99"/>
  <c r="AI36" i="99" s="1"/>
  <c r="P36" i="99" s="1"/>
  <c r="U36" i="99"/>
  <c r="Q36" i="99"/>
  <c r="Y36" i="99" s="1"/>
  <c r="AE35" i="99"/>
  <c r="AB35" i="99"/>
  <c r="AA35" i="99"/>
  <c r="Z35" i="99"/>
  <c r="Y35" i="99"/>
  <c r="V35" i="99"/>
  <c r="AD35" i="99" s="1"/>
  <c r="U35" i="99"/>
  <c r="AC35" i="99" s="1"/>
  <c r="Q35" i="99"/>
  <c r="AF34" i="99"/>
  <c r="AB34" i="99"/>
  <c r="Y34" i="99"/>
  <c r="V34" i="99"/>
  <c r="AI34" i="99" s="1"/>
  <c r="P34" i="99" s="1"/>
  <c r="U34" i="99"/>
  <c r="AC34" i="99" s="1"/>
  <c r="Q34" i="99"/>
  <c r="AE33" i="99"/>
  <c r="AB33" i="99"/>
  <c r="AA33" i="99"/>
  <c r="Z33" i="99"/>
  <c r="Y33" i="99"/>
  <c r="V33" i="99"/>
  <c r="AI33" i="99" s="1"/>
  <c r="P33" i="99" s="1"/>
  <c r="U33" i="99"/>
  <c r="AC33" i="99" s="1"/>
  <c r="Q33" i="99"/>
  <c r="AE32" i="99"/>
  <c r="AB32" i="99"/>
  <c r="AA32" i="99"/>
  <c r="Z32" i="99"/>
  <c r="V32" i="99"/>
  <c r="AI32" i="99" s="1"/>
  <c r="P32" i="99" s="1"/>
  <c r="U32" i="99"/>
  <c r="AC32" i="99" s="1"/>
  <c r="Q32" i="99"/>
  <c r="Y32" i="99" s="1"/>
  <c r="AE31" i="99"/>
  <c r="AB31" i="99"/>
  <c r="AA31" i="99"/>
  <c r="Z31" i="99"/>
  <c r="Y31" i="99"/>
  <c r="V31" i="99"/>
  <c r="AD31" i="99" s="1"/>
  <c r="U31" i="99"/>
  <c r="AC31" i="99" s="1"/>
  <c r="Q31" i="99"/>
  <c r="AF30" i="99"/>
  <c r="AB30" i="99"/>
  <c r="AA30" i="99"/>
  <c r="Z30" i="99"/>
  <c r="Y30" i="99"/>
  <c r="V30" i="99"/>
  <c r="AD30" i="99" s="1"/>
  <c r="U30" i="99"/>
  <c r="AC30" i="99" s="1"/>
  <c r="Q30" i="99"/>
  <c r="AF29" i="99"/>
  <c r="AB29" i="99"/>
  <c r="AA29" i="99"/>
  <c r="Z29" i="99"/>
  <c r="V29" i="99"/>
  <c r="AD29" i="99" s="1"/>
  <c r="U29" i="99"/>
  <c r="AC29" i="99" s="1"/>
  <c r="Q29" i="99"/>
  <c r="Y29" i="99" s="1"/>
  <c r="AB28" i="99"/>
  <c r="AA28" i="99"/>
  <c r="Z28" i="99"/>
  <c r="AF28" i="99" s="1"/>
  <c r="V28" i="99"/>
  <c r="AD28" i="99" s="1"/>
  <c r="U28" i="99"/>
  <c r="AC28" i="99" s="1"/>
  <c r="Q28" i="99"/>
  <c r="Y28" i="99" s="1"/>
  <c r="AE27" i="99"/>
  <c r="AB27" i="99"/>
  <c r="AA27" i="99"/>
  <c r="Z27" i="99"/>
  <c r="V27" i="99"/>
  <c r="AI27" i="99" s="1"/>
  <c r="P27" i="99" s="1"/>
  <c r="U27" i="99"/>
  <c r="AC27" i="99" s="1"/>
  <c r="Q27" i="99"/>
  <c r="Y27" i="99" s="1"/>
  <c r="AE26" i="99"/>
  <c r="AB26" i="99"/>
  <c r="AA26" i="99"/>
  <c r="Z26" i="99"/>
  <c r="V26" i="99"/>
  <c r="AI26" i="99" s="1"/>
  <c r="P26" i="99" s="1"/>
  <c r="U26" i="99"/>
  <c r="AC26" i="99" s="1"/>
  <c r="Q26" i="99"/>
  <c r="Y26" i="99" s="1"/>
  <c r="AC25" i="99"/>
  <c r="AB25" i="99"/>
  <c r="AA25" i="99"/>
  <c r="Z25" i="99"/>
  <c r="AF25" i="99" s="1"/>
  <c r="V25" i="99"/>
  <c r="AI25" i="99" s="1"/>
  <c r="P25" i="99" s="1"/>
  <c r="U25" i="99"/>
  <c r="Q25" i="99"/>
  <c r="Y25" i="99" s="1"/>
  <c r="AN24" i="99"/>
  <c r="AE24" i="99"/>
  <c r="AB24" i="99"/>
  <c r="AA24" i="99"/>
  <c r="Z24" i="99"/>
  <c r="Y24" i="99"/>
  <c r="V24" i="99"/>
  <c r="AD24" i="99" s="1"/>
  <c r="U24" i="99"/>
  <c r="AC24" i="99" s="1"/>
  <c r="Q24" i="99"/>
  <c r="AB23" i="99"/>
  <c r="AA23" i="99"/>
  <c r="Z23" i="99"/>
  <c r="AF23" i="99" s="1"/>
  <c r="V23" i="99"/>
  <c r="AD23" i="99" s="1"/>
  <c r="U23" i="99"/>
  <c r="AC23" i="99" s="1"/>
  <c r="Q23" i="99"/>
  <c r="Y23" i="99" s="1"/>
  <c r="AE22" i="99"/>
  <c r="AD22" i="99"/>
  <c r="AC22" i="99"/>
  <c r="AB22" i="99"/>
  <c r="AA22" i="99"/>
  <c r="Z22" i="99"/>
  <c r="V22" i="99"/>
  <c r="AI22" i="99" s="1"/>
  <c r="P22" i="99" s="1"/>
  <c r="U22" i="99"/>
  <c r="Q22" i="99"/>
  <c r="Y22" i="99" s="1"/>
  <c r="AE21" i="99"/>
  <c r="AB21" i="99"/>
  <c r="AA21" i="99"/>
  <c r="Z21" i="99"/>
  <c r="AF21" i="99" s="1"/>
  <c r="V21" i="99"/>
  <c r="AI21" i="99" s="1"/>
  <c r="P21" i="99" s="1"/>
  <c r="U21" i="99"/>
  <c r="AC21" i="99" s="1"/>
  <c r="Q21" i="99"/>
  <c r="Y21" i="99" s="1"/>
  <c r="AI20" i="99"/>
  <c r="Y20" i="99"/>
  <c r="AO19" i="99"/>
  <c r="AM19" i="99"/>
  <c r="AE19" i="99"/>
  <c r="AB19" i="99"/>
  <c r="AA19" i="99"/>
  <c r="Z19" i="99"/>
  <c r="Y19" i="99"/>
  <c r="V19" i="99"/>
  <c r="AD19" i="99" s="1"/>
  <c r="U19" i="99"/>
  <c r="AC19" i="99" s="1"/>
  <c r="Q19" i="99"/>
  <c r="AF19" i="99" l="1"/>
  <c r="AF27" i="99"/>
  <c r="AF32" i="99"/>
  <c r="AF49" i="99"/>
  <c r="AF26" i="99"/>
  <c r="AD81" i="99"/>
  <c r="AD80" i="99"/>
  <c r="AF78" i="99"/>
  <c r="AI78" i="99"/>
  <c r="P78" i="99" s="1"/>
  <c r="AI75" i="99"/>
  <c r="P75" i="99" s="1"/>
  <c r="AF75" i="99"/>
  <c r="AI67" i="99"/>
  <c r="P67" i="99" s="1"/>
  <c r="AD66" i="99"/>
  <c r="AI64" i="99"/>
  <c r="P64" i="99" s="1"/>
  <c r="AF64" i="99"/>
  <c r="AF63" i="99"/>
  <c r="AD59" i="99"/>
  <c r="AF48" i="99"/>
  <c r="AF47" i="99"/>
  <c r="AI47" i="99"/>
  <c r="P47" i="99" s="1"/>
  <c r="AD46" i="99"/>
  <c r="AD43" i="99"/>
  <c r="AF35" i="99"/>
  <c r="AD33" i="99"/>
  <c r="AF31" i="99"/>
  <c r="AI30" i="99"/>
  <c r="P30" i="99" s="1"/>
  <c r="AI28" i="99"/>
  <c r="P28" i="99" s="1"/>
  <c r="AD27" i="99"/>
  <c r="AD26" i="99"/>
  <c r="AD25" i="99"/>
  <c r="AF24" i="99"/>
  <c r="AI23" i="99"/>
  <c r="P23" i="99" s="1"/>
  <c r="AA87" i="99"/>
  <c r="AA119" i="99" s="1"/>
  <c r="AD21" i="99"/>
  <c r="AI19" i="99"/>
  <c r="P19" i="99" s="1"/>
  <c r="U119" i="99"/>
  <c r="U87" i="99"/>
  <c r="AF39" i="99"/>
  <c r="AF41" i="99"/>
  <c r="AF45" i="99"/>
  <c r="AF43" i="99"/>
  <c r="AF22" i="99"/>
  <c r="AF66" i="99"/>
  <c r="AF81" i="99"/>
  <c r="AI31" i="99"/>
  <c r="P31" i="99" s="1"/>
  <c r="AI48" i="99"/>
  <c r="P48" i="99" s="1"/>
  <c r="AB87" i="99"/>
  <c r="AI29" i="99"/>
  <c r="P29" i="99" s="1"/>
  <c r="AI35" i="99"/>
  <c r="P35" i="99" s="1"/>
  <c r="AI37" i="99"/>
  <c r="P37" i="99" s="1"/>
  <c r="AI38" i="99"/>
  <c r="P38" i="99" s="1"/>
  <c r="AD45" i="99"/>
  <c r="AF46" i="99"/>
  <c r="AI57" i="99"/>
  <c r="P57" i="99" s="1"/>
  <c r="AI70" i="99"/>
  <c r="P70" i="99" s="1"/>
  <c r="AI86" i="99"/>
  <c r="P86" i="99" s="1"/>
  <c r="AD68" i="99"/>
  <c r="AI24" i="99"/>
  <c r="P24" i="99" s="1"/>
  <c r="AI39" i="99"/>
  <c r="P39" i="99" s="1"/>
  <c r="Z87" i="99"/>
  <c r="AD32" i="99"/>
  <c r="AF33" i="99"/>
  <c r="AD41" i="99"/>
  <c r="AD49" i="99"/>
  <c r="AF50" i="99"/>
  <c r="AD72" i="99"/>
  <c r="AF73" i="99"/>
  <c r="AD74" i="99"/>
  <c r="AD61" i="99"/>
  <c r="AD63" i="99"/>
  <c r="AI77" i="99"/>
  <c r="P77" i="99" s="1"/>
  <c r="Z106" i="99"/>
  <c r="AE61" i="98"/>
  <c r="AC58" i="98"/>
  <c r="AD58" i="98"/>
  <c r="AD55" i="98"/>
  <c r="AC55" i="98"/>
  <c r="AD53" i="98"/>
  <c r="AE49" i="98"/>
  <c r="AE47" i="98"/>
  <c r="AE36" i="98"/>
  <c r="AE35" i="98"/>
  <c r="AF87" i="99" l="1"/>
  <c r="AF119" i="99" s="1"/>
  <c r="K121" i="99" s="1"/>
  <c r="M122" i="99" s="1"/>
  <c r="AB119" i="99"/>
  <c r="AC87" i="99"/>
  <c r="AC119" i="99" s="1"/>
  <c r="Z119" i="99"/>
  <c r="Z81" i="97"/>
  <c r="AA81" i="97"/>
  <c r="AC69" i="98" l="1"/>
  <c r="AD69" i="98"/>
  <c r="AE47" i="96" l="1"/>
  <c r="AE38" i="98"/>
  <c r="AD38" i="98"/>
  <c r="AE25" i="97" l="1"/>
  <c r="AE19" i="98" l="1"/>
  <c r="T106" i="98" l="1"/>
  <c r="S106" i="98"/>
  <c r="R106" i="98"/>
  <c r="Y105" i="98"/>
  <c r="U105" i="98"/>
  <c r="Q105" i="98"/>
  <c r="Y104" i="98"/>
  <c r="U104" i="98"/>
  <c r="Q104" i="98"/>
  <c r="Y103" i="98"/>
  <c r="Y102" i="98"/>
  <c r="AI101" i="98"/>
  <c r="AD101" i="98"/>
  <c r="AB101" i="98"/>
  <c r="AA101" i="98"/>
  <c r="Z101" i="98"/>
  <c r="AF101" i="98" s="1"/>
  <c r="Y101" i="98"/>
  <c r="U101" i="98"/>
  <c r="AC101" i="98" s="1"/>
  <c r="Q101" i="98"/>
  <c r="P101" i="98"/>
  <c r="AI100" i="98"/>
  <c r="P100" i="98" s="1"/>
  <c r="AF100" i="98"/>
  <c r="AD100" i="98"/>
  <c r="AC100" i="98"/>
  <c r="AB100" i="98"/>
  <c r="AA100" i="98"/>
  <c r="Z100" i="98"/>
  <c r="Y100" i="98"/>
  <c r="U100" i="98"/>
  <c r="Q100" i="98"/>
  <c r="AI99" i="98"/>
  <c r="P99" i="98" s="1"/>
  <c r="AD99" i="98"/>
  <c r="AB99" i="98"/>
  <c r="AA99" i="98"/>
  <c r="Z99" i="98"/>
  <c r="AF99" i="98" s="1"/>
  <c r="Y99" i="98"/>
  <c r="U99" i="98"/>
  <c r="AC99" i="98" s="1"/>
  <c r="Q99" i="98"/>
  <c r="AI98" i="98"/>
  <c r="AD98" i="98"/>
  <c r="AC98" i="98"/>
  <c r="AB98" i="98"/>
  <c r="AA98" i="98"/>
  <c r="Z98" i="98"/>
  <c r="AF98" i="98" s="1"/>
  <c r="Y98" i="98"/>
  <c r="U98" i="98"/>
  <c r="Q98" i="98"/>
  <c r="P98" i="98"/>
  <c r="AI97" i="98"/>
  <c r="AD97" i="98"/>
  <c r="AC97" i="98"/>
  <c r="AB97" i="98"/>
  <c r="AB106" i="98" s="1"/>
  <c r="AA97" i="98"/>
  <c r="AA106" i="98" s="1"/>
  <c r="Z97" i="98"/>
  <c r="AF97" i="98" s="1"/>
  <c r="Y97" i="98"/>
  <c r="U97" i="98"/>
  <c r="U106" i="98" s="1"/>
  <c r="Q97" i="98"/>
  <c r="P97" i="98"/>
  <c r="AI96" i="98"/>
  <c r="P96" i="98" s="1"/>
  <c r="AF96" i="98"/>
  <c r="AD96" i="98"/>
  <c r="AB96" i="98"/>
  <c r="AA96" i="98"/>
  <c r="Z96" i="98"/>
  <c r="Y96" i="98"/>
  <c r="U96" i="98"/>
  <c r="AC96" i="98" s="1"/>
  <c r="Q96" i="98"/>
  <c r="AI93" i="98"/>
  <c r="AF93" i="98"/>
  <c r="AD93" i="98"/>
  <c r="AC93" i="98"/>
  <c r="AB93" i="98"/>
  <c r="AA93" i="98"/>
  <c r="Z93" i="98"/>
  <c r="Y93" i="98"/>
  <c r="AI92" i="98"/>
  <c r="AF92" i="98"/>
  <c r="AD92" i="98"/>
  <c r="AC92" i="98"/>
  <c r="AB92" i="98"/>
  <c r="AA92" i="98"/>
  <c r="Z92" i="98"/>
  <c r="Y92" i="98"/>
  <c r="AI91" i="98"/>
  <c r="AF91" i="98"/>
  <c r="AD91" i="98"/>
  <c r="AC91" i="98"/>
  <c r="AB91" i="98"/>
  <c r="AA91" i="98"/>
  <c r="Z91" i="98"/>
  <c r="Y91" i="98"/>
  <c r="AI90" i="98"/>
  <c r="AF90" i="98"/>
  <c r="AD90" i="98"/>
  <c r="AC90" i="98"/>
  <c r="AB90" i="98"/>
  <c r="AA90" i="98"/>
  <c r="Z90" i="98"/>
  <c r="Y90" i="98"/>
  <c r="T87" i="98"/>
  <c r="T119" i="98" s="1"/>
  <c r="S87" i="98"/>
  <c r="S119" i="98" s="1"/>
  <c r="R87" i="98"/>
  <c r="R119" i="98" s="1"/>
  <c r="AB86" i="98"/>
  <c r="AA86" i="98"/>
  <c r="Z86" i="98"/>
  <c r="AF86" i="98" s="1"/>
  <c r="Y86" i="98"/>
  <c r="V86" i="98"/>
  <c r="AD86" i="98" s="1"/>
  <c r="U86" i="98"/>
  <c r="AC86" i="98" s="1"/>
  <c r="Q86" i="98"/>
  <c r="AE85" i="98"/>
  <c r="AB85" i="98"/>
  <c r="AA85" i="98"/>
  <c r="Z85" i="98"/>
  <c r="Y85" i="98"/>
  <c r="V85" i="98"/>
  <c r="AI85" i="98" s="1"/>
  <c r="P85" i="98" s="1"/>
  <c r="U85" i="98"/>
  <c r="AC85" i="98" s="1"/>
  <c r="Q85" i="98"/>
  <c r="AI84" i="98"/>
  <c r="Y84" i="98"/>
  <c r="P84" i="98"/>
  <c r="AF83" i="98"/>
  <c r="V83" i="98"/>
  <c r="U83" i="98"/>
  <c r="Q83" i="98"/>
  <c r="AI82" i="98"/>
  <c r="Z82" i="98"/>
  <c r="Y82" i="98"/>
  <c r="P82" i="98"/>
  <c r="AI81" i="98"/>
  <c r="P81" i="98" s="1"/>
  <c r="AE81" i="98"/>
  <c r="AB81" i="98"/>
  <c r="AA81" i="98"/>
  <c r="Z81" i="98"/>
  <c r="V81" i="98"/>
  <c r="AD81" i="98" s="1"/>
  <c r="U81" i="98"/>
  <c r="AC81" i="98" s="1"/>
  <c r="Q81" i="98"/>
  <c r="Y81" i="98" s="1"/>
  <c r="AF80" i="98"/>
  <c r="AB80" i="98"/>
  <c r="AA80" i="98"/>
  <c r="Z80" i="98"/>
  <c r="V80" i="98"/>
  <c r="AD80" i="98" s="1"/>
  <c r="U80" i="98"/>
  <c r="AC80" i="98" s="1"/>
  <c r="Q80" i="98"/>
  <c r="Y80" i="98" s="1"/>
  <c r="AI79" i="98"/>
  <c r="AF79" i="98"/>
  <c r="V79" i="98"/>
  <c r="U79" i="98"/>
  <c r="Q79" i="98"/>
  <c r="P79" i="98"/>
  <c r="AE78" i="98"/>
  <c r="AB78" i="98"/>
  <c r="AA78" i="98"/>
  <c r="Z78" i="98"/>
  <c r="V78" i="98"/>
  <c r="AD78" i="98" s="1"/>
  <c r="U78" i="98"/>
  <c r="AC78" i="98" s="1"/>
  <c r="Q78" i="98"/>
  <c r="Y78" i="98" s="1"/>
  <c r="AB77" i="98"/>
  <c r="AA77" i="98"/>
  <c r="Z77" i="98"/>
  <c r="AF77" i="98" s="1"/>
  <c r="Y77" i="98"/>
  <c r="V77" i="98"/>
  <c r="AD77" i="98" s="1"/>
  <c r="U77" i="98"/>
  <c r="AC77" i="98" s="1"/>
  <c r="Q77" i="98"/>
  <c r="AI76" i="98"/>
  <c r="P76" i="98" s="1"/>
  <c r="Y76" i="98"/>
  <c r="AE75" i="98"/>
  <c r="AB75" i="98"/>
  <c r="AA75" i="98"/>
  <c r="Z75" i="98"/>
  <c r="V75" i="98"/>
  <c r="AD75" i="98" s="1"/>
  <c r="U75" i="98"/>
  <c r="AC75" i="98" s="1"/>
  <c r="Q75" i="98"/>
  <c r="Y75" i="98" s="1"/>
  <c r="AE74" i="98"/>
  <c r="AB74" i="98"/>
  <c r="AA74" i="98"/>
  <c r="Z74" i="98"/>
  <c r="Y74" i="98"/>
  <c r="V74" i="98"/>
  <c r="AD74" i="98" s="1"/>
  <c r="U74" i="98"/>
  <c r="AC74" i="98" s="1"/>
  <c r="Q74" i="98"/>
  <c r="AE73" i="98"/>
  <c r="AB73" i="98"/>
  <c r="AA73" i="98"/>
  <c r="Z73" i="98"/>
  <c r="AF73" i="98" s="1"/>
  <c r="V73" i="98"/>
  <c r="AI73" i="98" s="1"/>
  <c r="P73" i="98" s="1"/>
  <c r="U73" i="98"/>
  <c r="Q73" i="98"/>
  <c r="Y73" i="98" s="1"/>
  <c r="AE72" i="98"/>
  <c r="AB72" i="98"/>
  <c r="AA72" i="98"/>
  <c r="Z72" i="98"/>
  <c r="Y72" i="98"/>
  <c r="V72" i="98"/>
  <c r="AD72" i="98" s="1"/>
  <c r="U72" i="98"/>
  <c r="AC72" i="98" s="1"/>
  <c r="Q72" i="98"/>
  <c r="AF71" i="98"/>
  <c r="AC71" i="98"/>
  <c r="AB71" i="98"/>
  <c r="AA71" i="98"/>
  <c r="Z71" i="98"/>
  <c r="Y71" i="98"/>
  <c r="V71" i="98"/>
  <c r="AI71" i="98" s="1"/>
  <c r="P71" i="98" s="1"/>
  <c r="U71" i="98"/>
  <c r="Q71" i="98"/>
  <c r="AE70" i="98"/>
  <c r="AF70" i="98" s="1"/>
  <c r="AB70" i="98"/>
  <c r="AA70" i="98"/>
  <c r="Y70" i="98"/>
  <c r="V70" i="98"/>
  <c r="AI70" i="98" s="1"/>
  <c r="P70" i="98" s="1"/>
  <c r="U70" i="98"/>
  <c r="AC70" i="98" s="1"/>
  <c r="Q70" i="98"/>
  <c r="AF69" i="98"/>
  <c r="V69" i="98"/>
  <c r="AI69" i="98" s="1"/>
  <c r="P69" i="98" s="1"/>
  <c r="U69" i="98"/>
  <c r="Q69" i="98"/>
  <c r="Y69" i="98" s="1"/>
  <c r="AE68" i="98"/>
  <c r="AD68" i="98"/>
  <c r="AB68" i="98"/>
  <c r="AA68" i="98"/>
  <c r="Z68" i="98"/>
  <c r="AF68" i="98" s="1"/>
  <c r="Y68" i="98"/>
  <c r="V68" i="98"/>
  <c r="AI68" i="98" s="1"/>
  <c r="P68" i="98" s="1"/>
  <c r="U68" i="98"/>
  <c r="AC68" i="98" s="1"/>
  <c r="Q68" i="98"/>
  <c r="AE67" i="98"/>
  <c r="AB67" i="98"/>
  <c r="AA67" i="98"/>
  <c r="Z67" i="98"/>
  <c r="V67" i="98"/>
  <c r="AI67" i="98" s="1"/>
  <c r="P67" i="98" s="1"/>
  <c r="U67" i="98"/>
  <c r="AC67" i="98" s="1"/>
  <c r="Q67" i="98"/>
  <c r="Y67" i="98" s="1"/>
  <c r="AI66" i="98"/>
  <c r="P66" i="98" s="1"/>
  <c r="AE66" i="98"/>
  <c r="AB66" i="98"/>
  <c r="AA66" i="98"/>
  <c r="Z66" i="98"/>
  <c r="Y66" i="98"/>
  <c r="V66" i="98"/>
  <c r="AD66" i="98" s="1"/>
  <c r="U66" i="98"/>
  <c r="AC66" i="98" s="1"/>
  <c r="Q66" i="98"/>
  <c r="AF65" i="98"/>
  <c r="V65" i="98"/>
  <c r="AI65" i="98" s="1"/>
  <c r="P65" i="98" s="1"/>
  <c r="U65" i="98"/>
  <c r="Q65" i="98"/>
  <c r="AE64" i="98"/>
  <c r="AB64" i="98"/>
  <c r="AA64" i="98"/>
  <c r="Z64" i="98"/>
  <c r="V64" i="98"/>
  <c r="AI64" i="98" s="1"/>
  <c r="P64" i="98" s="1"/>
  <c r="U64" i="98"/>
  <c r="AC64" i="98" s="1"/>
  <c r="Q64" i="98"/>
  <c r="Y64" i="98" s="1"/>
  <c r="AE63" i="98"/>
  <c r="AB63" i="98"/>
  <c r="AA63" i="98"/>
  <c r="Z63" i="98"/>
  <c r="Y63" i="98"/>
  <c r="V63" i="98"/>
  <c r="AD63" i="98" s="1"/>
  <c r="U63" i="98"/>
  <c r="AC63" i="98" s="1"/>
  <c r="Q63" i="98"/>
  <c r="AI62" i="98"/>
  <c r="P62" i="98" s="1"/>
  <c r="Y62" i="98"/>
  <c r="AB61" i="98"/>
  <c r="AA61" i="98"/>
  <c r="Z61" i="98"/>
  <c r="AF61" i="98" s="1"/>
  <c r="V61" i="98"/>
  <c r="AI61" i="98" s="1"/>
  <c r="P61" i="98" s="1"/>
  <c r="U61" i="98"/>
  <c r="AC61" i="98" s="1"/>
  <c r="Q61" i="98"/>
  <c r="Y61" i="98" s="1"/>
  <c r="AF60" i="98"/>
  <c r="V60" i="98"/>
  <c r="AI60" i="98" s="1"/>
  <c r="P60" i="98" s="1"/>
  <c r="U60" i="98"/>
  <c r="Q60" i="98"/>
  <c r="AE59" i="98"/>
  <c r="AD59" i="98"/>
  <c r="AB59" i="98"/>
  <c r="AA59" i="98"/>
  <c r="Z59" i="98"/>
  <c r="AF59" i="98" s="1"/>
  <c r="Y59" i="98"/>
  <c r="V59" i="98"/>
  <c r="AI59" i="98" s="1"/>
  <c r="P59" i="98" s="1"/>
  <c r="U59" i="98"/>
  <c r="AC59" i="98" s="1"/>
  <c r="Q59" i="98"/>
  <c r="AF58" i="98"/>
  <c r="Y58" i="98"/>
  <c r="V58" i="98"/>
  <c r="AI58" i="98" s="1"/>
  <c r="P58" i="98" s="1"/>
  <c r="U58" i="98"/>
  <c r="Q58" i="98"/>
  <c r="AB57" i="98"/>
  <c r="AA57" i="98"/>
  <c r="Z57" i="98"/>
  <c r="AF57" i="98" s="1"/>
  <c r="V57" i="98"/>
  <c r="AI57" i="98" s="1"/>
  <c r="P57" i="98" s="1"/>
  <c r="U57" i="98"/>
  <c r="AC57" i="98" s="1"/>
  <c r="Q57" i="98"/>
  <c r="Y57" i="98" s="1"/>
  <c r="AI56" i="98"/>
  <c r="Y56" i="98"/>
  <c r="P56" i="98"/>
  <c r="AI55" i="98"/>
  <c r="P55" i="98" s="1"/>
  <c r="AF55" i="98"/>
  <c r="V55" i="98"/>
  <c r="U55" i="98"/>
  <c r="Q55" i="98"/>
  <c r="AI54" i="98"/>
  <c r="Y54" i="98"/>
  <c r="P54" i="98"/>
  <c r="AF53" i="98"/>
  <c r="AC53" i="98"/>
  <c r="Y53" i="98"/>
  <c r="V53" i="98"/>
  <c r="AI53" i="98" s="1"/>
  <c r="P53" i="98" s="1"/>
  <c r="U53" i="98"/>
  <c r="Q53" i="98"/>
  <c r="AI52" i="98"/>
  <c r="Y52" i="98"/>
  <c r="P52" i="98"/>
  <c r="AF51" i="98"/>
  <c r="Y51" i="98"/>
  <c r="V51" i="98"/>
  <c r="AI51" i="98" s="1"/>
  <c r="P51" i="98" s="1"/>
  <c r="U51" i="98"/>
  <c r="AC51" i="98" s="1"/>
  <c r="AI50" i="98"/>
  <c r="AE50" i="98"/>
  <c r="AD50" i="98"/>
  <c r="AC50" i="98"/>
  <c r="AB50" i="98"/>
  <c r="AA50" i="98"/>
  <c r="Z50" i="98"/>
  <c r="Y50" i="98"/>
  <c r="V50" i="98"/>
  <c r="U50" i="98"/>
  <c r="Q50" i="98"/>
  <c r="P50" i="98"/>
  <c r="AF49" i="98"/>
  <c r="AB49" i="98"/>
  <c r="AA49" i="98"/>
  <c r="Z49" i="98"/>
  <c r="V49" i="98"/>
  <c r="AI49" i="98" s="1"/>
  <c r="P49" i="98" s="1"/>
  <c r="U49" i="98"/>
  <c r="AC49" i="98" s="1"/>
  <c r="Q49" i="98"/>
  <c r="Y49" i="98" s="1"/>
  <c r="AE48" i="98"/>
  <c r="AB48" i="98"/>
  <c r="AA48" i="98"/>
  <c r="Z48" i="98"/>
  <c r="V48" i="98"/>
  <c r="AI48" i="98" s="1"/>
  <c r="P48" i="98" s="1"/>
  <c r="U48" i="98"/>
  <c r="AC48" i="98" s="1"/>
  <c r="Q48" i="98"/>
  <c r="Y48" i="98" s="1"/>
  <c r="AB47" i="98"/>
  <c r="AA47" i="98"/>
  <c r="Z47" i="98"/>
  <c r="AF47" i="98" s="1"/>
  <c r="V47" i="98"/>
  <c r="AI47" i="98" s="1"/>
  <c r="P47" i="98" s="1"/>
  <c r="U47" i="98"/>
  <c r="AC47" i="98" s="1"/>
  <c r="Q47" i="98"/>
  <c r="Y47" i="98" s="1"/>
  <c r="AE46" i="98"/>
  <c r="AB46" i="98"/>
  <c r="AA46" i="98"/>
  <c r="Z46" i="98"/>
  <c r="Y46" i="98"/>
  <c r="V46" i="98"/>
  <c r="AD46" i="98" s="1"/>
  <c r="U46" i="98"/>
  <c r="AC46" i="98" s="1"/>
  <c r="Q46" i="98"/>
  <c r="AE45" i="98"/>
  <c r="AB45" i="98"/>
  <c r="AA45" i="98"/>
  <c r="Z45" i="98"/>
  <c r="Y45" i="98"/>
  <c r="V45" i="98"/>
  <c r="AD45" i="98" s="1"/>
  <c r="U45" i="98"/>
  <c r="AC45" i="98" s="1"/>
  <c r="Q45" i="98"/>
  <c r="AI44" i="98"/>
  <c r="Y44" i="98"/>
  <c r="AE43" i="98"/>
  <c r="AB43" i="98"/>
  <c r="AA43" i="98"/>
  <c r="Z43" i="98"/>
  <c r="V43" i="98"/>
  <c r="AD43" i="98" s="1"/>
  <c r="U43" i="98"/>
  <c r="AC43" i="98" s="1"/>
  <c r="Q43" i="98"/>
  <c r="Y43" i="98" s="1"/>
  <c r="AF42" i="98"/>
  <c r="AB42" i="98"/>
  <c r="AA42" i="98"/>
  <c r="Z42" i="98"/>
  <c r="Y42" i="98"/>
  <c r="V42" i="98"/>
  <c r="AD42" i="98" s="1"/>
  <c r="U42" i="98"/>
  <c r="AC42" i="98" s="1"/>
  <c r="Q42" i="98"/>
  <c r="AE41" i="98"/>
  <c r="AB41" i="98"/>
  <c r="AA41" i="98"/>
  <c r="Z41" i="98"/>
  <c r="Y41" i="98"/>
  <c r="V41" i="98"/>
  <c r="AD41" i="98" s="1"/>
  <c r="U41" i="98"/>
  <c r="AC41" i="98" s="1"/>
  <c r="Q41" i="98"/>
  <c r="AC40" i="98"/>
  <c r="AB40" i="98"/>
  <c r="AA40" i="98"/>
  <c r="Z40" i="98"/>
  <c r="AF40" i="98" s="1"/>
  <c r="Y40" i="98"/>
  <c r="V40" i="98"/>
  <c r="AD40" i="98" s="1"/>
  <c r="U40" i="98"/>
  <c r="Q40" i="98"/>
  <c r="AE39" i="98"/>
  <c r="AB39" i="98"/>
  <c r="AA39" i="98"/>
  <c r="Z39" i="98"/>
  <c r="V39" i="98"/>
  <c r="AD39" i="98" s="1"/>
  <c r="U39" i="98"/>
  <c r="Q39" i="98"/>
  <c r="Y39" i="98" s="1"/>
  <c r="AB38" i="98"/>
  <c r="AA38" i="98"/>
  <c r="Z38" i="98"/>
  <c r="AF38" i="98" s="1"/>
  <c r="Y38" i="98"/>
  <c r="V38" i="98"/>
  <c r="AI38" i="98" s="1"/>
  <c r="P38" i="98" s="1"/>
  <c r="U38" i="98"/>
  <c r="AC38" i="98" s="1"/>
  <c r="Q38" i="98"/>
  <c r="AE37" i="98"/>
  <c r="AB37" i="98"/>
  <c r="AA37" i="98"/>
  <c r="Z37" i="98"/>
  <c r="V37" i="98"/>
  <c r="AI37" i="98" s="1"/>
  <c r="P37" i="98" s="1"/>
  <c r="U37" i="98"/>
  <c r="AC37" i="98" s="1"/>
  <c r="Q37" i="98"/>
  <c r="Y37" i="98" s="1"/>
  <c r="AF36" i="98"/>
  <c r="AD36" i="98"/>
  <c r="AC36" i="98"/>
  <c r="Y36" i="98"/>
  <c r="V36" i="98"/>
  <c r="AI36" i="98" s="1"/>
  <c r="P36" i="98" s="1"/>
  <c r="U36" i="98"/>
  <c r="Q36" i="98"/>
  <c r="AF35" i="98"/>
  <c r="AB35" i="98"/>
  <c r="AA35" i="98"/>
  <c r="Z35" i="98"/>
  <c r="V35" i="98"/>
  <c r="AI35" i="98" s="1"/>
  <c r="P35" i="98" s="1"/>
  <c r="U35" i="98"/>
  <c r="AC35" i="98" s="1"/>
  <c r="Q35" i="98"/>
  <c r="Y35" i="98" s="1"/>
  <c r="AF34" i="98"/>
  <c r="AB34" i="98"/>
  <c r="Y34" i="98"/>
  <c r="V34" i="98"/>
  <c r="AI34" i="98" s="1"/>
  <c r="P34" i="98" s="1"/>
  <c r="U34" i="98"/>
  <c r="AC34" i="98" s="1"/>
  <c r="Q34" i="98"/>
  <c r="AE33" i="98"/>
  <c r="AF33" i="98" s="1"/>
  <c r="AB33" i="98"/>
  <c r="AA33" i="98"/>
  <c r="Z33" i="98"/>
  <c r="Y33" i="98"/>
  <c r="V33" i="98"/>
  <c r="AD33" i="98" s="1"/>
  <c r="U33" i="98"/>
  <c r="AC33" i="98" s="1"/>
  <c r="Q33" i="98"/>
  <c r="AE32" i="98"/>
  <c r="AC32" i="98"/>
  <c r="AB32" i="98"/>
  <c r="AA32" i="98"/>
  <c r="Z32" i="98"/>
  <c r="AF32" i="98" s="1"/>
  <c r="V32" i="98"/>
  <c r="AD32" i="98" s="1"/>
  <c r="U32" i="98"/>
  <c r="Q32" i="98"/>
  <c r="Y32" i="98" s="1"/>
  <c r="AE31" i="98"/>
  <c r="AB31" i="98"/>
  <c r="AA31" i="98"/>
  <c r="Z31" i="98"/>
  <c r="V31" i="98"/>
  <c r="AD31" i="98" s="1"/>
  <c r="U31" i="98"/>
  <c r="AC31" i="98" s="1"/>
  <c r="Q31" i="98"/>
  <c r="Y31" i="98" s="1"/>
  <c r="AF30" i="98"/>
  <c r="AD30" i="98"/>
  <c r="AB30" i="98"/>
  <c r="AA30" i="98"/>
  <c r="Z30" i="98"/>
  <c r="Y30" i="98"/>
  <c r="V30" i="98"/>
  <c r="AI30" i="98" s="1"/>
  <c r="P30" i="98" s="1"/>
  <c r="U30" i="98"/>
  <c r="AC30" i="98" s="1"/>
  <c r="Q30" i="98"/>
  <c r="AB29" i="98"/>
  <c r="AA29" i="98"/>
  <c r="Z29" i="98"/>
  <c r="AF29" i="98" s="1"/>
  <c r="V29" i="98"/>
  <c r="AI29" i="98" s="1"/>
  <c r="P29" i="98" s="1"/>
  <c r="U29" i="98"/>
  <c r="AC29" i="98" s="1"/>
  <c r="Q29" i="98"/>
  <c r="Y29" i="98" s="1"/>
  <c r="AB28" i="98"/>
  <c r="AA28" i="98"/>
  <c r="Z28" i="98"/>
  <c r="Y28" i="98"/>
  <c r="V28" i="98"/>
  <c r="AD28" i="98" s="1"/>
  <c r="U28" i="98"/>
  <c r="AC28" i="98" s="1"/>
  <c r="Q28" i="98"/>
  <c r="AE27" i="98"/>
  <c r="AB27" i="98"/>
  <c r="AA27" i="98"/>
  <c r="Z27" i="98"/>
  <c r="V27" i="98"/>
  <c r="AI27" i="98" s="1"/>
  <c r="P27" i="98" s="1"/>
  <c r="U27" i="98"/>
  <c r="AC27" i="98" s="1"/>
  <c r="Q27" i="98"/>
  <c r="Y27" i="98" s="1"/>
  <c r="AE26" i="98"/>
  <c r="AD26" i="98"/>
  <c r="AB26" i="98"/>
  <c r="AA26" i="98"/>
  <c r="Z26" i="98"/>
  <c r="Y26" i="98"/>
  <c r="V26" i="98"/>
  <c r="AI26" i="98" s="1"/>
  <c r="P26" i="98" s="1"/>
  <c r="U26" i="98"/>
  <c r="AC26" i="98" s="1"/>
  <c r="Q26" i="98"/>
  <c r="AB25" i="98"/>
  <c r="AA25" i="98"/>
  <c r="Z25" i="98"/>
  <c r="AF25" i="98" s="1"/>
  <c r="Y25" i="98"/>
  <c r="V25" i="98"/>
  <c r="AI25" i="98" s="1"/>
  <c r="P25" i="98" s="1"/>
  <c r="U25" i="98"/>
  <c r="AC25" i="98" s="1"/>
  <c r="Q25" i="98"/>
  <c r="AN24" i="98"/>
  <c r="AE24" i="98"/>
  <c r="AC24" i="98"/>
  <c r="AB24" i="98"/>
  <c r="AA24" i="98"/>
  <c r="Z24" i="98"/>
  <c r="Y24" i="98"/>
  <c r="V24" i="98"/>
  <c r="AD24" i="98" s="1"/>
  <c r="U24" i="98"/>
  <c r="Q24" i="98"/>
  <c r="AB23" i="98"/>
  <c r="AA23" i="98"/>
  <c r="Z23" i="98"/>
  <c r="AF23" i="98" s="1"/>
  <c r="V23" i="98"/>
  <c r="AI23" i="98" s="1"/>
  <c r="P23" i="98" s="1"/>
  <c r="U23" i="98"/>
  <c r="AC23" i="98" s="1"/>
  <c r="Q23" i="98"/>
  <c r="Y23" i="98" s="1"/>
  <c r="AI22" i="98"/>
  <c r="P22" i="98" s="1"/>
  <c r="AE22" i="98"/>
  <c r="AB22" i="98"/>
  <c r="AA22" i="98"/>
  <c r="Z22" i="98"/>
  <c r="Y22" i="98"/>
  <c r="V22" i="98"/>
  <c r="AD22" i="98" s="1"/>
  <c r="U22" i="98"/>
  <c r="AC22" i="98" s="1"/>
  <c r="Q22" i="98"/>
  <c r="AE21" i="98"/>
  <c r="AB21" i="98"/>
  <c r="AA21" i="98"/>
  <c r="Z21" i="98"/>
  <c r="V21" i="98"/>
  <c r="AI21" i="98" s="1"/>
  <c r="P21" i="98" s="1"/>
  <c r="U21" i="98"/>
  <c r="AC21" i="98" s="1"/>
  <c r="Q21" i="98"/>
  <c r="Y21" i="98" s="1"/>
  <c r="AI20" i="98"/>
  <c r="Y20" i="98"/>
  <c r="AM19" i="98"/>
  <c r="AB19" i="98"/>
  <c r="AA19" i="98"/>
  <c r="Z19" i="98"/>
  <c r="V19" i="98"/>
  <c r="AI19" i="98" s="1"/>
  <c r="P19" i="98" s="1"/>
  <c r="U19" i="98"/>
  <c r="AC19" i="98" s="1"/>
  <c r="Q19" i="98"/>
  <c r="Y19" i="98" s="1"/>
  <c r="AF27" i="98" l="1"/>
  <c r="AF45" i="98"/>
  <c r="AF21" i="98"/>
  <c r="AF22" i="98"/>
  <c r="AF26" i="98"/>
  <c r="AF31" i="98"/>
  <c r="AF37" i="98"/>
  <c r="AF48" i="98"/>
  <c r="AF50" i="98"/>
  <c r="AF72" i="98"/>
  <c r="AF39" i="98"/>
  <c r="AF41" i="98"/>
  <c r="AF64" i="98"/>
  <c r="AF67" i="98"/>
  <c r="AF75" i="98"/>
  <c r="AF78" i="98"/>
  <c r="AF81" i="98"/>
  <c r="AF85" i="98"/>
  <c r="AI83" i="98"/>
  <c r="P83" i="98" s="1"/>
  <c r="AI78" i="98"/>
  <c r="P78" i="98" s="1"/>
  <c r="AF74" i="98"/>
  <c r="AI74" i="98"/>
  <c r="P74" i="98" s="1"/>
  <c r="AI72" i="98"/>
  <c r="P72" i="98" s="1"/>
  <c r="AD70" i="98"/>
  <c r="AF66" i="98"/>
  <c r="AF63" i="98"/>
  <c r="AD61" i="98"/>
  <c r="AO19" i="98"/>
  <c r="AD57" i="98"/>
  <c r="AD51" i="98"/>
  <c r="AD49" i="98"/>
  <c r="AD48" i="98"/>
  <c r="AD47" i="98"/>
  <c r="AF46" i="98"/>
  <c r="AF43" i="98"/>
  <c r="AD37" i="98"/>
  <c r="AD35" i="98"/>
  <c r="AI33" i="98"/>
  <c r="P33" i="98" s="1"/>
  <c r="AI31" i="98"/>
  <c r="P31" i="98" s="1"/>
  <c r="AI28" i="98"/>
  <c r="P28" i="98" s="1"/>
  <c r="AF28" i="98"/>
  <c r="AD27" i="98"/>
  <c r="AD25" i="98"/>
  <c r="AD23" i="98"/>
  <c r="Z87" i="98"/>
  <c r="AB87" i="98"/>
  <c r="AB119" i="98" s="1"/>
  <c r="AA87" i="98"/>
  <c r="AA119" i="98" s="1"/>
  <c r="AI24" i="98"/>
  <c r="P24" i="98" s="1"/>
  <c r="AF24" i="98"/>
  <c r="U119" i="98"/>
  <c r="AF106" i="98"/>
  <c r="AI39" i="98"/>
  <c r="P39" i="98" s="1"/>
  <c r="AI40" i="98"/>
  <c r="P40" i="98" s="1"/>
  <c r="AD64" i="98"/>
  <c r="AD67" i="98"/>
  <c r="AI77" i="98"/>
  <c r="P77" i="98" s="1"/>
  <c r="AI80" i="98"/>
  <c r="P80" i="98" s="1"/>
  <c r="AD19" i="98"/>
  <c r="AD21" i="98"/>
  <c r="AD29" i="98"/>
  <c r="AF19" i="98"/>
  <c r="AI32" i="98"/>
  <c r="P32" i="98" s="1"/>
  <c r="AI41" i="98"/>
  <c r="P41" i="98" s="1"/>
  <c r="AI42" i="98"/>
  <c r="P42" i="98" s="1"/>
  <c r="AI45" i="98"/>
  <c r="P45" i="98" s="1"/>
  <c r="AD71" i="98"/>
  <c r="AI75" i="98"/>
  <c r="P75" i="98" s="1"/>
  <c r="AI86" i="98"/>
  <c r="P86" i="98" s="1"/>
  <c r="U87" i="98"/>
  <c r="Z106" i="98"/>
  <c r="AI43" i="98"/>
  <c r="P43" i="98" s="1"/>
  <c r="AI46" i="98"/>
  <c r="P46" i="98" s="1"/>
  <c r="AI63" i="98"/>
  <c r="P63" i="98" s="1"/>
  <c r="AE63" i="97"/>
  <c r="AE59" i="97"/>
  <c r="AF87" i="98" l="1"/>
  <c r="AF119" i="98" s="1"/>
  <c r="K121" i="98" s="1"/>
  <c r="M122" i="98" s="1"/>
  <c r="AC87" i="98"/>
  <c r="AC119" i="98" s="1"/>
  <c r="Z119" i="98"/>
  <c r="AD36" i="97"/>
  <c r="AC36" i="97"/>
  <c r="AB86" i="96" l="1"/>
  <c r="AB85" i="96"/>
  <c r="AB83" i="96"/>
  <c r="AB79" i="96"/>
  <c r="AB80" i="96"/>
  <c r="AB81" i="96"/>
  <c r="AB78" i="96"/>
  <c r="AB64" i="96"/>
  <c r="AB65" i="96"/>
  <c r="AB66" i="96"/>
  <c r="AB67" i="96"/>
  <c r="AB68" i="96"/>
  <c r="AB69" i="96"/>
  <c r="AB70" i="96"/>
  <c r="AB71" i="96"/>
  <c r="AB72" i="96"/>
  <c r="AB73" i="96"/>
  <c r="AB74" i="96"/>
  <c r="AB75" i="96"/>
  <c r="AB63" i="96"/>
  <c r="AB59" i="96"/>
  <c r="AB60" i="96"/>
  <c r="AB61" i="96"/>
  <c r="AB58" i="96"/>
  <c r="AB57" i="96"/>
  <c r="AB53" i="96"/>
  <c r="AB51" i="96"/>
  <c r="AB48" i="96"/>
  <c r="AB49" i="96"/>
  <c r="AB50" i="96"/>
  <c r="AB47" i="96"/>
  <c r="AB46" i="96"/>
  <c r="AB45" i="96"/>
  <c r="AB22" i="96"/>
  <c r="AB23" i="96"/>
  <c r="AB24" i="96"/>
  <c r="AB25" i="96"/>
  <c r="AB26" i="96"/>
  <c r="AB27" i="96"/>
  <c r="AB28" i="96"/>
  <c r="AB29" i="96"/>
  <c r="AB30" i="96"/>
  <c r="AB31" i="96"/>
  <c r="AB32" i="96"/>
  <c r="AB33" i="96"/>
  <c r="AB34" i="96"/>
  <c r="AB35" i="96"/>
  <c r="AB36" i="96"/>
  <c r="AB37" i="96"/>
  <c r="AB38" i="96"/>
  <c r="AB39" i="96"/>
  <c r="AB40" i="96"/>
  <c r="AB41" i="96"/>
  <c r="AB43" i="96"/>
  <c r="AB21" i="96"/>
  <c r="AB19" i="96"/>
  <c r="AA86" i="96"/>
  <c r="AA85" i="96"/>
  <c r="AA83" i="96"/>
  <c r="AA79" i="96"/>
  <c r="AA80" i="96"/>
  <c r="AA81" i="96"/>
  <c r="AA78" i="96"/>
  <c r="AA73" i="96"/>
  <c r="AA74" i="96"/>
  <c r="AA75" i="96"/>
  <c r="AA64" i="96"/>
  <c r="AA65" i="96"/>
  <c r="AA66" i="96"/>
  <c r="AA67" i="96"/>
  <c r="AA68" i="96"/>
  <c r="AA69" i="96"/>
  <c r="AA70" i="96"/>
  <c r="AA72" i="96"/>
  <c r="AA63" i="96"/>
  <c r="AA58" i="96"/>
  <c r="AA59" i="96"/>
  <c r="AA60" i="96"/>
  <c r="AA61" i="96"/>
  <c r="AA57" i="96"/>
  <c r="AA53" i="96"/>
  <c r="AA46" i="96"/>
  <c r="AA47" i="96"/>
  <c r="AA48" i="96"/>
  <c r="AA49" i="96"/>
  <c r="AA50" i="96"/>
  <c r="AA51" i="96"/>
  <c r="AA45" i="96"/>
  <c r="AA36" i="96"/>
  <c r="AA37" i="96"/>
  <c r="AA38" i="96"/>
  <c r="AA39" i="96"/>
  <c r="AA40" i="96"/>
  <c r="AA41" i="96"/>
  <c r="AA43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19" i="96"/>
  <c r="Z86" i="96"/>
  <c r="Z85" i="96"/>
  <c r="Z83" i="96"/>
  <c r="Z81" i="96"/>
  <c r="Z80" i="96"/>
  <c r="Z79" i="96"/>
  <c r="Z78" i="96"/>
  <c r="Z75" i="96"/>
  <c r="Z74" i="96"/>
  <c r="Z73" i="96"/>
  <c r="Z72" i="96"/>
  <c r="Z70" i="96"/>
  <c r="Z69" i="96"/>
  <c r="Z68" i="96"/>
  <c r="Z67" i="96"/>
  <c r="Z66" i="96"/>
  <c r="Z65" i="96"/>
  <c r="Z64" i="96"/>
  <c r="Z63" i="96"/>
  <c r="Z61" i="96"/>
  <c r="Z60" i="96"/>
  <c r="Z59" i="96"/>
  <c r="Z58" i="96"/>
  <c r="Z57" i="96"/>
  <c r="Z53" i="96"/>
  <c r="Z51" i="96"/>
  <c r="Z50" i="96"/>
  <c r="Z49" i="96"/>
  <c r="Z48" i="96"/>
  <c r="Z47" i="96"/>
  <c r="Z46" i="96"/>
  <c r="Z45" i="96"/>
  <c r="Z43" i="96"/>
  <c r="Z41" i="96"/>
  <c r="Z40" i="96"/>
  <c r="Z39" i="96"/>
  <c r="Z38" i="96"/>
  <c r="Z37" i="96"/>
  <c r="Z36" i="96"/>
  <c r="Z35" i="96"/>
  <c r="Z34" i="96"/>
  <c r="Z33" i="96"/>
  <c r="Z32" i="96"/>
  <c r="Z31" i="96"/>
  <c r="Z30" i="96"/>
  <c r="Z29" i="96"/>
  <c r="Z28" i="96"/>
  <c r="Z27" i="96"/>
  <c r="Z26" i="96"/>
  <c r="Z25" i="96"/>
  <c r="Z24" i="96"/>
  <c r="Z23" i="96"/>
  <c r="Z22" i="96"/>
  <c r="Z21" i="96"/>
  <c r="Z19" i="96"/>
  <c r="AD73" i="96"/>
  <c r="T106" i="97" l="1"/>
  <c r="S106" i="97"/>
  <c r="R106" i="97"/>
  <c r="Y105" i="97"/>
  <c r="U105" i="97"/>
  <c r="Q105" i="97"/>
  <c r="Y104" i="97"/>
  <c r="U104" i="97"/>
  <c r="Q104" i="97"/>
  <c r="Y103" i="97"/>
  <c r="Y102" i="97"/>
  <c r="AI101" i="97"/>
  <c r="AD101" i="97"/>
  <c r="AB101" i="97"/>
  <c r="AA101" i="97"/>
  <c r="Z101" i="97"/>
  <c r="AF101" i="97" s="1"/>
  <c r="Y101" i="97"/>
  <c r="U101" i="97"/>
  <c r="AC101" i="97" s="1"/>
  <c r="Q101" i="97"/>
  <c r="P101" i="97"/>
  <c r="AI100" i="97"/>
  <c r="AF100" i="97"/>
  <c r="AD100" i="97"/>
  <c r="AC100" i="97"/>
  <c r="AB100" i="97"/>
  <c r="AA100" i="97"/>
  <c r="Z100" i="97"/>
  <c r="Y100" i="97"/>
  <c r="U100" i="97"/>
  <c r="Q100" i="97"/>
  <c r="P100" i="97"/>
  <c r="AI99" i="97"/>
  <c r="P99" i="97" s="1"/>
  <c r="AD99" i="97"/>
  <c r="AB99" i="97"/>
  <c r="AA99" i="97"/>
  <c r="Z99" i="97"/>
  <c r="AF99" i="97" s="1"/>
  <c r="Y99" i="97"/>
  <c r="U99" i="97"/>
  <c r="AC99" i="97" s="1"/>
  <c r="Q99" i="97"/>
  <c r="AI98" i="97"/>
  <c r="P98" i="97" s="1"/>
  <c r="AF98" i="97"/>
  <c r="AD98" i="97"/>
  <c r="AB98" i="97"/>
  <c r="AA98" i="97"/>
  <c r="AA106" i="97" s="1"/>
  <c r="Z98" i="97"/>
  <c r="Y98" i="97"/>
  <c r="U98" i="97"/>
  <c r="AC98" i="97" s="1"/>
  <c r="Q98" i="97"/>
  <c r="AI97" i="97"/>
  <c r="AD97" i="97"/>
  <c r="AB97" i="97"/>
  <c r="AB106" i="97" s="1"/>
  <c r="AA97" i="97"/>
  <c r="Z97" i="97"/>
  <c r="AF97" i="97" s="1"/>
  <c r="Y97" i="97"/>
  <c r="U97" i="97"/>
  <c r="AC97" i="97" s="1"/>
  <c r="Q97" i="97"/>
  <c r="P97" i="97"/>
  <c r="AI96" i="97"/>
  <c r="AF96" i="97"/>
  <c r="AD96" i="97"/>
  <c r="AC96" i="97"/>
  <c r="AB96" i="97"/>
  <c r="AA96" i="97"/>
  <c r="Z96" i="97"/>
  <c r="Y96" i="97"/>
  <c r="U96" i="97"/>
  <c r="Q96" i="97"/>
  <c r="P96" i="97"/>
  <c r="AI93" i="97"/>
  <c r="AD93" i="97"/>
  <c r="AC93" i="97"/>
  <c r="AB93" i="97"/>
  <c r="AA93" i="97"/>
  <c r="Z93" i="97"/>
  <c r="AF93" i="97" s="1"/>
  <c r="Y93" i="97"/>
  <c r="AI92" i="97"/>
  <c r="AD92" i="97"/>
  <c r="AC92" i="97"/>
  <c r="AB92" i="97"/>
  <c r="AA92" i="97"/>
  <c r="Z92" i="97"/>
  <c r="AF92" i="97" s="1"/>
  <c r="Y92" i="97"/>
  <c r="AI91" i="97"/>
  <c r="AD91" i="97"/>
  <c r="AC91" i="97"/>
  <c r="AB91" i="97"/>
  <c r="AA91" i="97"/>
  <c r="Z91" i="97"/>
  <c r="AF91" i="97" s="1"/>
  <c r="Y91" i="97"/>
  <c r="AI90" i="97"/>
  <c r="AD90" i="97"/>
  <c r="AC90" i="97"/>
  <c r="AB90" i="97"/>
  <c r="AA90" i="97"/>
  <c r="Z90" i="97"/>
  <c r="AF90" i="97" s="1"/>
  <c r="Y90" i="97"/>
  <c r="T87" i="97"/>
  <c r="T119" i="97" s="1"/>
  <c r="S87" i="97"/>
  <c r="R87" i="97"/>
  <c r="R119" i="97" s="1"/>
  <c r="AD86" i="97"/>
  <c r="AB86" i="97"/>
  <c r="AA86" i="97"/>
  <c r="Z86" i="97"/>
  <c r="AF86" i="97" s="1"/>
  <c r="Y86" i="97"/>
  <c r="V86" i="97"/>
  <c r="AI86" i="97" s="1"/>
  <c r="P86" i="97" s="1"/>
  <c r="U86" i="97"/>
  <c r="AC86" i="97" s="1"/>
  <c r="Q86" i="97"/>
  <c r="AE85" i="97"/>
  <c r="AB85" i="97"/>
  <c r="AA85" i="97"/>
  <c r="Z85" i="97"/>
  <c r="Y85" i="97"/>
  <c r="V85" i="97"/>
  <c r="AI85" i="97" s="1"/>
  <c r="P85" i="97" s="1"/>
  <c r="U85" i="97"/>
  <c r="AC85" i="97" s="1"/>
  <c r="Q85" i="97"/>
  <c r="AI84" i="97"/>
  <c r="Y84" i="97"/>
  <c r="P84" i="97"/>
  <c r="AE83" i="97"/>
  <c r="AB83" i="97"/>
  <c r="AA83" i="97"/>
  <c r="Z83" i="97"/>
  <c r="Y83" i="97"/>
  <c r="V83" i="97"/>
  <c r="AI83" i="97" s="1"/>
  <c r="P83" i="97" s="1"/>
  <c r="U83" i="97"/>
  <c r="AC83" i="97" s="1"/>
  <c r="Q83" i="97"/>
  <c r="AI82" i="97"/>
  <c r="Z82" i="97"/>
  <c r="Y82" i="97"/>
  <c r="P82" i="97"/>
  <c r="AE81" i="97"/>
  <c r="AF81" i="97" s="1"/>
  <c r="AB81" i="97"/>
  <c r="V81" i="97"/>
  <c r="AI81" i="97" s="1"/>
  <c r="P81" i="97" s="1"/>
  <c r="U81" i="97"/>
  <c r="AC81" i="97" s="1"/>
  <c r="Q81" i="97"/>
  <c r="Y81" i="97" s="1"/>
  <c r="AE80" i="97"/>
  <c r="AF80" i="97" s="1"/>
  <c r="AB80" i="97"/>
  <c r="AA80" i="97"/>
  <c r="Z80" i="97"/>
  <c r="Y80" i="97"/>
  <c r="V80" i="97"/>
  <c r="AD80" i="97" s="1"/>
  <c r="U80" i="97"/>
  <c r="AC80" i="97" s="1"/>
  <c r="Q80" i="97"/>
  <c r="AF79" i="97"/>
  <c r="V79" i="97"/>
  <c r="AI79" i="97" s="1"/>
  <c r="P79" i="97" s="1"/>
  <c r="U79" i="97"/>
  <c r="Q79" i="97"/>
  <c r="AE78" i="97"/>
  <c r="AB78" i="97"/>
  <c r="AA78" i="97"/>
  <c r="Z78" i="97"/>
  <c r="Y78" i="97"/>
  <c r="V78" i="97"/>
  <c r="AI78" i="97" s="1"/>
  <c r="P78" i="97" s="1"/>
  <c r="U78" i="97"/>
  <c r="AC78" i="97" s="1"/>
  <c r="Q78" i="97"/>
  <c r="AB77" i="97"/>
  <c r="AA77" i="97"/>
  <c r="Z77" i="97"/>
  <c r="AF77" i="97" s="1"/>
  <c r="V77" i="97"/>
  <c r="AI77" i="97" s="1"/>
  <c r="P77" i="97" s="1"/>
  <c r="U77" i="97"/>
  <c r="AC77" i="97" s="1"/>
  <c r="Q77" i="97"/>
  <c r="Y77" i="97" s="1"/>
  <c r="AI76" i="97"/>
  <c r="P76" i="97" s="1"/>
  <c r="Y76" i="97"/>
  <c r="AE75" i="97"/>
  <c r="AC75" i="97"/>
  <c r="AB75" i="97"/>
  <c r="AA75" i="97"/>
  <c r="Z75" i="97"/>
  <c r="Y75" i="97"/>
  <c r="V75" i="97"/>
  <c r="AI75" i="97" s="1"/>
  <c r="P75" i="97" s="1"/>
  <c r="U75" i="97"/>
  <c r="Q75" i="97"/>
  <c r="AE74" i="97"/>
  <c r="AC74" i="97"/>
  <c r="AB74" i="97"/>
  <c r="AA74" i="97"/>
  <c r="Z74" i="97"/>
  <c r="AF74" i="97" s="1"/>
  <c r="Y74" i="97"/>
  <c r="V74" i="97"/>
  <c r="AI74" i="97" s="1"/>
  <c r="P74" i="97" s="1"/>
  <c r="U74" i="97"/>
  <c r="Q74" i="97"/>
  <c r="AE73" i="97"/>
  <c r="AB73" i="97"/>
  <c r="AA73" i="97"/>
  <c r="Z73" i="97"/>
  <c r="Y73" i="97"/>
  <c r="V73" i="97"/>
  <c r="AI73" i="97" s="1"/>
  <c r="P73" i="97" s="1"/>
  <c r="U73" i="97"/>
  <c r="Q73" i="97"/>
  <c r="AE72" i="97"/>
  <c r="AC72" i="97"/>
  <c r="AB72" i="97"/>
  <c r="AA72" i="97"/>
  <c r="Z72" i="97"/>
  <c r="AF72" i="97" s="1"/>
  <c r="Y72" i="97"/>
  <c r="V72" i="97"/>
  <c r="AI72" i="97" s="1"/>
  <c r="P72" i="97" s="1"/>
  <c r="U72" i="97"/>
  <c r="Q72" i="97"/>
  <c r="AB71" i="97"/>
  <c r="AA71" i="97"/>
  <c r="Z71" i="97"/>
  <c r="AF71" i="97" s="1"/>
  <c r="V71" i="97"/>
  <c r="AI71" i="97" s="1"/>
  <c r="P71" i="97" s="1"/>
  <c r="U71" i="97"/>
  <c r="AC71" i="97" s="1"/>
  <c r="Q71" i="97"/>
  <c r="Y71" i="97" s="1"/>
  <c r="AE70" i="97"/>
  <c r="AF70" i="97" s="1"/>
  <c r="AB70" i="97"/>
  <c r="AA70" i="97"/>
  <c r="Y70" i="97"/>
  <c r="V70" i="97"/>
  <c r="AI70" i="97" s="1"/>
  <c r="P70" i="97" s="1"/>
  <c r="U70" i="97"/>
  <c r="AC70" i="97" s="1"/>
  <c r="Q70" i="97"/>
  <c r="AF69" i="97"/>
  <c r="Y69" i="97"/>
  <c r="V69" i="97"/>
  <c r="AI69" i="97" s="1"/>
  <c r="P69" i="97" s="1"/>
  <c r="U69" i="97"/>
  <c r="Q69" i="97"/>
  <c r="AE68" i="97"/>
  <c r="AB68" i="97"/>
  <c r="AA68" i="97"/>
  <c r="Z68" i="97"/>
  <c r="V68" i="97"/>
  <c r="AI68" i="97" s="1"/>
  <c r="P68" i="97" s="1"/>
  <c r="U68" i="97"/>
  <c r="AC68" i="97" s="1"/>
  <c r="Q68" i="97"/>
  <c r="Y68" i="97" s="1"/>
  <c r="AE67" i="97"/>
  <c r="AB67" i="97"/>
  <c r="AA67" i="97"/>
  <c r="Z67" i="97"/>
  <c r="Y67" i="97"/>
  <c r="V67" i="97"/>
  <c r="AD67" i="97" s="1"/>
  <c r="U67" i="97"/>
  <c r="AC67" i="97" s="1"/>
  <c r="Q67" i="97"/>
  <c r="AE66" i="97"/>
  <c r="AB66" i="97"/>
  <c r="AA66" i="97"/>
  <c r="Z66" i="97"/>
  <c r="Y66" i="97"/>
  <c r="V66" i="97"/>
  <c r="AI66" i="97" s="1"/>
  <c r="P66" i="97" s="1"/>
  <c r="U66" i="97"/>
  <c r="AC66" i="97" s="1"/>
  <c r="Q66" i="97"/>
  <c r="AF65" i="97"/>
  <c r="V65" i="97"/>
  <c r="AI65" i="97" s="1"/>
  <c r="P65" i="97" s="1"/>
  <c r="U65" i="97"/>
  <c r="Q65" i="97"/>
  <c r="AE64" i="97"/>
  <c r="AB64" i="97"/>
  <c r="AA64" i="97"/>
  <c r="Z64" i="97"/>
  <c r="AF64" i="97" s="1"/>
  <c r="Y64" i="97"/>
  <c r="V64" i="97"/>
  <c r="AD64" i="97" s="1"/>
  <c r="U64" i="97"/>
  <c r="AC64" i="97" s="1"/>
  <c r="Q64" i="97"/>
  <c r="AB63" i="97"/>
  <c r="AA63" i="97"/>
  <c r="Z63" i="97"/>
  <c r="AF63" i="97" s="1"/>
  <c r="Y63" i="97"/>
  <c r="V63" i="97"/>
  <c r="AI63" i="97" s="1"/>
  <c r="P63" i="97" s="1"/>
  <c r="U63" i="97"/>
  <c r="AC63" i="97" s="1"/>
  <c r="Q63" i="97"/>
  <c r="AI62" i="97"/>
  <c r="Y62" i="97"/>
  <c r="P62" i="97"/>
  <c r="AB61" i="97"/>
  <c r="AA61" i="97"/>
  <c r="Z61" i="97"/>
  <c r="AF61" i="97" s="1"/>
  <c r="Y61" i="97"/>
  <c r="V61" i="97"/>
  <c r="AI61" i="97" s="1"/>
  <c r="P61" i="97" s="1"/>
  <c r="U61" i="97"/>
  <c r="AC61" i="97" s="1"/>
  <c r="Q61" i="97"/>
  <c r="AI60" i="97"/>
  <c r="P60" i="97" s="1"/>
  <c r="AF60" i="97"/>
  <c r="V60" i="97"/>
  <c r="U60" i="97"/>
  <c r="Q60" i="97"/>
  <c r="AF59" i="97"/>
  <c r="AB59" i="97"/>
  <c r="AA59" i="97"/>
  <c r="Z59" i="97"/>
  <c r="Y59" i="97"/>
  <c r="V59" i="97"/>
  <c r="AI59" i="97" s="1"/>
  <c r="P59" i="97" s="1"/>
  <c r="U59" i="97"/>
  <c r="AC59" i="97" s="1"/>
  <c r="Q59" i="97"/>
  <c r="AF58" i="97"/>
  <c r="AB58" i="97"/>
  <c r="AA58" i="97"/>
  <c r="Z58" i="97"/>
  <c r="V58" i="97"/>
  <c r="AI58" i="97" s="1"/>
  <c r="P58" i="97" s="1"/>
  <c r="U58" i="97"/>
  <c r="AC58" i="97" s="1"/>
  <c r="Q58" i="97"/>
  <c r="Y58" i="97" s="1"/>
  <c r="AC57" i="97"/>
  <c r="AB57" i="97"/>
  <c r="AA57" i="97"/>
  <c r="Z57" i="97"/>
  <c r="Y57" i="97"/>
  <c r="V57" i="97"/>
  <c r="AI57" i="97" s="1"/>
  <c r="P57" i="97" s="1"/>
  <c r="U57" i="97"/>
  <c r="Q57" i="97"/>
  <c r="AI56" i="97"/>
  <c r="P56" i="97" s="1"/>
  <c r="Y56" i="97"/>
  <c r="AI55" i="97"/>
  <c r="AF55" i="97"/>
  <c r="V55" i="97"/>
  <c r="U55" i="97"/>
  <c r="Q55" i="97"/>
  <c r="P55" i="97"/>
  <c r="AI54" i="97"/>
  <c r="Y54" i="97"/>
  <c r="P54" i="97"/>
  <c r="AB53" i="97"/>
  <c r="AA53" i="97"/>
  <c r="Z53" i="97"/>
  <c r="AF53" i="97" s="1"/>
  <c r="V53" i="97"/>
  <c r="AD53" i="97" s="1"/>
  <c r="U53" i="97"/>
  <c r="AC53" i="97" s="1"/>
  <c r="Q53" i="97"/>
  <c r="Y53" i="97" s="1"/>
  <c r="AI52" i="97"/>
  <c r="Y52" i="97"/>
  <c r="P52" i="97"/>
  <c r="AI51" i="97"/>
  <c r="P51" i="97" s="1"/>
  <c r="AD51" i="97"/>
  <c r="AC51" i="97"/>
  <c r="AF51" i="97"/>
  <c r="Y51" i="97"/>
  <c r="V51" i="97"/>
  <c r="U51" i="97"/>
  <c r="AE50" i="97"/>
  <c r="AB50" i="97"/>
  <c r="AA50" i="97"/>
  <c r="Z50" i="97"/>
  <c r="AF50" i="97" s="1"/>
  <c r="Y50" i="97"/>
  <c r="V50" i="97"/>
  <c r="AD50" i="97" s="1"/>
  <c r="U50" i="97"/>
  <c r="AC50" i="97" s="1"/>
  <c r="Q50" i="97"/>
  <c r="AB49" i="97"/>
  <c r="AA49" i="97"/>
  <c r="Z49" i="97"/>
  <c r="AF49" i="97" s="1"/>
  <c r="V49" i="97"/>
  <c r="AI49" i="97" s="1"/>
  <c r="P49" i="97" s="1"/>
  <c r="U49" i="97"/>
  <c r="AC49" i="97" s="1"/>
  <c r="Q49" i="97"/>
  <c r="Y49" i="97" s="1"/>
  <c r="AE48" i="97"/>
  <c r="AF48" i="97" s="1"/>
  <c r="AB48" i="97"/>
  <c r="AA48" i="97"/>
  <c r="Z48" i="97"/>
  <c r="Y48" i="97"/>
  <c r="V48" i="97"/>
  <c r="AD48" i="97" s="1"/>
  <c r="U48" i="97"/>
  <c r="AC48" i="97" s="1"/>
  <c r="Q48" i="97"/>
  <c r="AF47" i="97"/>
  <c r="AB47" i="97"/>
  <c r="AA47" i="97"/>
  <c r="Z47" i="97"/>
  <c r="V47" i="97"/>
  <c r="AI47" i="97" s="1"/>
  <c r="P47" i="97" s="1"/>
  <c r="U47" i="97"/>
  <c r="AC47" i="97" s="1"/>
  <c r="Q47" i="97"/>
  <c r="Y47" i="97" s="1"/>
  <c r="AE46" i="97"/>
  <c r="AB46" i="97"/>
  <c r="AA46" i="97"/>
  <c r="Z46" i="97"/>
  <c r="Y46" i="97"/>
  <c r="V46" i="97"/>
  <c r="AI46" i="97" s="1"/>
  <c r="P46" i="97" s="1"/>
  <c r="U46" i="97"/>
  <c r="AC46" i="97" s="1"/>
  <c r="Q46" i="97"/>
  <c r="AE45" i="97"/>
  <c r="AB45" i="97"/>
  <c r="AA45" i="97"/>
  <c r="Z45" i="97"/>
  <c r="Y45" i="97"/>
  <c r="V45" i="97"/>
  <c r="AD45" i="97" s="1"/>
  <c r="U45" i="97"/>
  <c r="AC45" i="97" s="1"/>
  <c r="Q45" i="97"/>
  <c r="AI44" i="97"/>
  <c r="Y44" i="97"/>
  <c r="AF43" i="97"/>
  <c r="AE43" i="97"/>
  <c r="AB43" i="97"/>
  <c r="AA43" i="97"/>
  <c r="Z43" i="97"/>
  <c r="Y43" i="97"/>
  <c r="V43" i="97"/>
  <c r="AI43" i="97" s="1"/>
  <c r="P43" i="97" s="1"/>
  <c r="U43" i="97"/>
  <c r="AC43" i="97" s="1"/>
  <c r="Q43" i="97"/>
  <c r="AB42" i="97"/>
  <c r="AA42" i="97"/>
  <c r="Z42" i="97"/>
  <c r="AF42" i="97" s="1"/>
  <c r="Y42" i="97"/>
  <c r="V42" i="97"/>
  <c r="AI42" i="97" s="1"/>
  <c r="P42" i="97" s="1"/>
  <c r="U42" i="97"/>
  <c r="AC42" i="97" s="1"/>
  <c r="Q42" i="97"/>
  <c r="AE41" i="97"/>
  <c r="AB41" i="97"/>
  <c r="AA41" i="97"/>
  <c r="Z41" i="97"/>
  <c r="Y41" i="97"/>
  <c r="V41" i="97"/>
  <c r="AD41" i="97" s="1"/>
  <c r="U41" i="97"/>
  <c r="AC41" i="97" s="1"/>
  <c r="Q41" i="97"/>
  <c r="AB40" i="97"/>
  <c r="AA40" i="97"/>
  <c r="Z40" i="97"/>
  <c r="AF40" i="97" s="1"/>
  <c r="V40" i="97"/>
  <c r="AI40" i="97" s="1"/>
  <c r="P40" i="97" s="1"/>
  <c r="U40" i="97"/>
  <c r="AC40" i="97" s="1"/>
  <c r="Q40" i="97"/>
  <c r="Y40" i="97" s="1"/>
  <c r="AE39" i="97"/>
  <c r="AD39" i="97"/>
  <c r="AB39" i="97"/>
  <c r="AA39" i="97"/>
  <c r="Z39" i="97"/>
  <c r="AF39" i="97" s="1"/>
  <c r="Y39" i="97"/>
  <c r="V39" i="97"/>
  <c r="AI39" i="97" s="1"/>
  <c r="P39" i="97" s="1"/>
  <c r="U39" i="97"/>
  <c r="Q39" i="97"/>
  <c r="AC38" i="97"/>
  <c r="AB38" i="97"/>
  <c r="AA38" i="97"/>
  <c r="Z38" i="97"/>
  <c r="AF38" i="97" s="1"/>
  <c r="Y38" i="97"/>
  <c r="V38" i="97"/>
  <c r="AI38" i="97" s="1"/>
  <c r="P38" i="97" s="1"/>
  <c r="U38" i="97"/>
  <c r="Q38" i="97"/>
  <c r="AE37" i="97"/>
  <c r="AC37" i="97"/>
  <c r="AB37" i="97"/>
  <c r="AA37" i="97"/>
  <c r="Z37" i="97"/>
  <c r="Y37" i="97"/>
  <c r="V37" i="97"/>
  <c r="AD37" i="97" s="1"/>
  <c r="U37" i="97"/>
  <c r="Q37" i="97"/>
  <c r="AF36" i="97"/>
  <c r="V36" i="97"/>
  <c r="AI36" i="97" s="1"/>
  <c r="P36" i="97" s="1"/>
  <c r="U36" i="97"/>
  <c r="Q36" i="97"/>
  <c r="Y36" i="97" s="1"/>
  <c r="AB35" i="97"/>
  <c r="AA35" i="97"/>
  <c r="Z35" i="97"/>
  <c r="AF35" i="97" s="1"/>
  <c r="V35" i="97"/>
  <c r="AI35" i="97" s="1"/>
  <c r="P35" i="97" s="1"/>
  <c r="U35" i="97"/>
  <c r="AC35" i="97" s="1"/>
  <c r="Q35" i="97"/>
  <c r="Y35" i="97" s="1"/>
  <c r="AB34" i="97"/>
  <c r="AF34" i="97"/>
  <c r="V34" i="97"/>
  <c r="AI34" i="97" s="1"/>
  <c r="P34" i="97" s="1"/>
  <c r="U34" i="97"/>
  <c r="AC34" i="97" s="1"/>
  <c r="Q34" i="97"/>
  <c r="Y34" i="97" s="1"/>
  <c r="AE33" i="97"/>
  <c r="AB33" i="97"/>
  <c r="AA33" i="97"/>
  <c r="Z33" i="97"/>
  <c r="V33" i="97"/>
  <c r="AD33" i="97" s="1"/>
  <c r="U33" i="97"/>
  <c r="AC33" i="97" s="1"/>
  <c r="Q33" i="97"/>
  <c r="Y33" i="97" s="1"/>
  <c r="AE32" i="97"/>
  <c r="AB32" i="97"/>
  <c r="AA32" i="97"/>
  <c r="Z32" i="97"/>
  <c r="Y32" i="97"/>
  <c r="V32" i="97"/>
  <c r="U32" i="97"/>
  <c r="AC32" i="97" s="1"/>
  <c r="Q32" i="97"/>
  <c r="AE31" i="97"/>
  <c r="AB31" i="97"/>
  <c r="AA31" i="97"/>
  <c r="Z31" i="97"/>
  <c r="Y31" i="97"/>
  <c r="V31" i="97"/>
  <c r="AI31" i="97" s="1"/>
  <c r="P31" i="97" s="1"/>
  <c r="U31" i="97"/>
  <c r="AC31" i="97" s="1"/>
  <c r="Q31" i="97"/>
  <c r="AB30" i="97"/>
  <c r="AA30" i="97"/>
  <c r="Z30" i="97"/>
  <c r="AF30" i="97" s="1"/>
  <c r="V30" i="97"/>
  <c r="AD30" i="97" s="1"/>
  <c r="U30" i="97"/>
  <c r="AC30" i="97" s="1"/>
  <c r="Q30" i="97"/>
  <c r="Y30" i="97" s="1"/>
  <c r="AE29" i="97"/>
  <c r="AF29" i="97" s="1"/>
  <c r="AB29" i="97"/>
  <c r="AA29" i="97"/>
  <c r="Z29" i="97"/>
  <c r="V29" i="97"/>
  <c r="AD29" i="97" s="1"/>
  <c r="U29" i="97"/>
  <c r="AC29" i="97" s="1"/>
  <c r="Q29" i="97"/>
  <c r="Y29" i="97" s="1"/>
  <c r="AE28" i="97"/>
  <c r="AF28" i="97" s="1"/>
  <c r="AB28" i="97"/>
  <c r="AA28" i="97"/>
  <c r="Z28" i="97"/>
  <c r="Y28" i="97"/>
  <c r="V28" i="97"/>
  <c r="U28" i="97"/>
  <c r="AC28" i="97" s="1"/>
  <c r="Q28" i="97"/>
  <c r="AE27" i="97"/>
  <c r="AB27" i="97"/>
  <c r="AA27" i="97"/>
  <c r="Z27" i="97"/>
  <c r="Y27" i="97"/>
  <c r="V27" i="97"/>
  <c r="AI27" i="97" s="1"/>
  <c r="P27" i="97" s="1"/>
  <c r="U27" i="97"/>
  <c r="AC27" i="97" s="1"/>
  <c r="Q27" i="97"/>
  <c r="AI26" i="97"/>
  <c r="P26" i="97" s="1"/>
  <c r="AE26" i="97"/>
  <c r="AB26" i="97"/>
  <c r="AA26" i="97"/>
  <c r="Z26" i="97"/>
  <c r="AF26" i="97" s="1"/>
  <c r="V26" i="97"/>
  <c r="AD26" i="97" s="1"/>
  <c r="U26" i="97"/>
  <c r="AC26" i="97" s="1"/>
  <c r="Q26" i="97"/>
  <c r="Y26" i="97" s="1"/>
  <c r="AB25" i="97"/>
  <c r="AA25" i="97"/>
  <c r="Z25" i="97"/>
  <c r="AF25" i="97" s="1"/>
  <c r="V25" i="97"/>
  <c r="AI25" i="97" s="1"/>
  <c r="P25" i="97" s="1"/>
  <c r="U25" i="97"/>
  <c r="AC25" i="97" s="1"/>
  <c r="Q25" i="97"/>
  <c r="Y25" i="97" s="1"/>
  <c r="AN24" i="97"/>
  <c r="AE24" i="97"/>
  <c r="AB24" i="97"/>
  <c r="AA24" i="97"/>
  <c r="Z24" i="97"/>
  <c r="Y24" i="97"/>
  <c r="V24" i="97"/>
  <c r="U24" i="97"/>
  <c r="AC24" i="97" s="1"/>
  <c r="Q24" i="97"/>
  <c r="AB23" i="97"/>
  <c r="AA23" i="97"/>
  <c r="Z23" i="97"/>
  <c r="Y23" i="97"/>
  <c r="V23" i="97"/>
  <c r="AD23" i="97" s="1"/>
  <c r="U23" i="97"/>
  <c r="AC23" i="97" s="1"/>
  <c r="Q23" i="97"/>
  <c r="AI22" i="97"/>
  <c r="P22" i="97" s="1"/>
  <c r="AE22" i="97"/>
  <c r="AB22" i="97"/>
  <c r="AA22" i="97"/>
  <c r="Z22" i="97"/>
  <c r="V22" i="97"/>
  <c r="AD22" i="97" s="1"/>
  <c r="U22" i="97"/>
  <c r="AC22" i="97" s="1"/>
  <c r="Q22" i="97"/>
  <c r="Y22" i="97" s="1"/>
  <c r="AE21" i="97"/>
  <c r="AB21" i="97"/>
  <c r="AA21" i="97"/>
  <c r="Z21" i="97"/>
  <c r="V21" i="97"/>
  <c r="AI21" i="97" s="1"/>
  <c r="P21" i="97" s="1"/>
  <c r="U21" i="97"/>
  <c r="AC21" i="97" s="1"/>
  <c r="Q21" i="97"/>
  <c r="Y21" i="97" s="1"/>
  <c r="AI20" i="97"/>
  <c r="Y20" i="97"/>
  <c r="AO19" i="97"/>
  <c r="AM19" i="97"/>
  <c r="AD19" i="97"/>
  <c r="AB19" i="97"/>
  <c r="AA19" i="97"/>
  <c r="Z19" i="97"/>
  <c r="V19" i="97"/>
  <c r="AI19" i="97" s="1"/>
  <c r="P19" i="97" s="1"/>
  <c r="U19" i="97"/>
  <c r="AC19" i="97" s="1"/>
  <c r="Q19" i="97"/>
  <c r="Y19" i="97" s="1"/>
  <c r="AF73" i="97" l="1"/>
  <c r="AF27" i="97"/>
  <c r="AF68" i="97"/>
  <c r="AD83" i="97"/>
  <c r="AD81" i="97"/>
  <c r="AF78" i="97"/>
  <c r="AF75" i="97"/>
  <c r="AD74" i="97"/>
  <c r="AD72" i="97"/>
  <c r="AD71" i="97"/>
  <c r="AD70" i="97"/>
  <c r="AD68" i="97"/>
  <c r="AF67" i="97"/>
  <c r="AF66" i="97"/>
  <c r="AI64" i="97"/>
  <c r="P64" i="97" s="1"/>
  <c r="AD63" i="97"/>
  <c r="AF57" i="97"/>
  <c r="AI53" i="97"/>
  <c r="P53" i="97" s="1"/>
  <c r="AI50" i="97"/>
  <c r="P50" i="97" s="1"/>
  <c r="AD49" i="97"/>
  <c r="AF46" i="97"/>
  <c r="AI45" i="97"/>
  <c r="P45" i="97" s="1"/>
  <c r="AI41" i="97"/>
  <c r="P41" i="97" s="1"/>
  <c r="AD40" i="97"/>
  <c r="AI37" i="97"/>
  <c r="P37" i="97" s="1"/>
  <c r="AD35" i="97"/>
  <c r="AF33" i="97"/>
  <c r="AF32" i="97"/>
  <c r="AD31" i="97"/>
  <c r="AI30" i="97"/>
  <c r="P30" i="97" s="1"/>
  <c r="AD27" i="97"/>
  <c r="AD25" i="97"/>
  <c r="AA87" i="97"/>
  <c r="AA119" i="97" s="1"/>
  <c r="AF24" i="97"/>
  <c r="AF23" i="97"/>
  <c r="AI23" i="97"/>
  <c r="P23" i="97" s="1"/>
  <c r="AB87" i="97"/>
  <c r="AB119" i="97" s="1"/>
  <c r="S119" i="97"/>
  <c r="AD21" i="97"/>
  <c r="AF85" i="97"/>
  <c r="AF37" i="97"/>
  <c r="AF83" i="97"/>
  <c r="AF21" i="97"/>
  <c r="AF22" i="97"/>
  <c r="AF31" i="97"/>
  <c r="AF41" i="97"/>
  <c r="AF45" i="97"/>
  <c r="Z87" i="97"/>
  <c r="AF19" i="97"/>
  <c r="AI32" i="97"/>
  <c r="P32" i="97" s="1"/>
  <c r="AD32" i="97"/>
  <c r="AD24" i="97"/>
  <c r="AI24" i="97"/>
  <c r="P24" i="97" s="1"/>
  <c r="AI28" i="97"/>
  <c r="P28" i="97" s="1"/>
  <c r="AD28" i="97"/>
  <c r="U119" i="97"/>
  <c r="AF106" i="97"/>
  <c r="AI29" i="97"/>
  <c r="P29" i="97" s="1"/>
  <c r="AI33" i="97"/>
  <c r="P33" i="97" s="1"/>
  <c r="AD42" i="97"/>
  <c r="AD43" i="97"/>
  <c r="AD46" i="97"/>
  <c r="AI48" i="97"/>
  <c r="P48" i="97" s="1"/>
  <c r="AD57" i="97"/>
  <c r="AD61" i="97"/>
  <c r="AD66" i="97"/>
  <c r="AI67" i="97"/>
  <c r="P67" i="97" s="1"/>
  <c r="AD75" i="97"/>
  <c r="AD77" i="97"/>
  <c r="AD78" i="97"/>
  <c r="AI80" i="97"/>
  <c r="P80" i="97" s="1"/>
  <c r="U106" i="97"/>
  <c r="AD47" i="97"/>
  <c r="AD58" i="97"/>
  <c r="AD59" i="97"/>
  <c r="U87" i="97"/>
  <c r="Z106" i="97"/>
  <c r="Z82" i="93"/>
  <c r="Z83" i="93"/>
  <c r="AF87" i="97" l="1"/>
  <c r="AF119" i="97" s="1"/>
  <c r="K121" i="97" s="1"/>
  <c r="M122" i="97" s="1"/>
  <c r="Z119" i="97"/>
  <c r="AC87" i="97"/>
  <c r="AC119" i="97" s="1"/>
  <c r="AD99" i="90"/>
  <c r="AG98" i="90"/>
  <c r="AG99" i="90"/>
  <c r="AG100" i="90"/>
  <c r="AG101" i="90"/>
  <c r="AG97" i="90"/>
  <c r="U106" i="96" l="1"/>
  <c r="T106" i="96"/>
  <c r="S106" i="96"/>
  <c r="R106" i="96"/>
  <c r="Y105" i="96"/>
  <c r="U105" i="96"/>
  <c r="Q105" i="96"/>
  <c r="Y104" i="96"/>
  <c r="U104" i="96"/>
  <c r="Q104" i="96"/>
  <c r="Y103" i="96"/>
  <c r="Y102" i="96"/>
  <c r="AI101" i="96"/>
  <c r="P101" i="96" s="1"/>
  <c r="AF101" i="96"/>
  <c r="AD101" i="96"/>
  <c r="AB101" i="96"/>
  <c r="AA101" i="96"/>
  <c r="Z101" i="96"/>
  <c r="Y101" i="96"/>
  <c r="U101" i="96"/>
  <c r="AC101" i="96" s="1"/>
  <c r="Q101" i="96"/>
  <c r="AI100" i="96"/>
  <c r="P100" i="96" s="1"/>
  <c r="AF100" i="96"/>
  <c r="AD100" i="96"/>
  <c r="AC100" i="96"/>
  <c r="AB100" i="96"/>
  <c r="AA100" i="96"/>
  <c r="Z100" i="96"/>
  <c r="Y100" i="96"/>
  <c r="U100" i="96"/>
  <c r="Q100" i="96"/>
  <c r="AI99" i="96"/>
  <c r="P99" i="96" s="1"/>
  <c r="AD99" i="96"/>
  <c r="AC99" i="96"/>
  <c r="AB99" i="96"/>
  <c r="AA99" i="96"/>
  <c r="Z99" i="96"/>
  <c r="AF99" i="96" s="1"/>
  <c r="Y99" i="96"/>
  <c r="U99" i="96"/>
  <c r="Q99" i="96"/>
  <c r="AI98" i="96"/>
  <c r="P98" i="96" s="1"/>
  <c r="AD98" i="96"/>
  <c r="AC98" i="96"/>
  <c r="AB98" i="96"/>
  <c r="AA98" i="96"/>
  <c r="Z98" i="96"/>
  <c r="AF98" i="96" s="1"/>
  <c r="AF106" i="96" s="1"/>
  <c r="Y98" i="96"/>
  <c r="U98" i="96"/>
  <c r="Q98" i="96"/>
  <c r="AI97" i="96"/>
  <c r="P97" i="96" s="1"/>
  <c r="AF97" i="96"/>
  <c r="AD97" i="96"/>
  <c r="AB97" i="96"/>
  <c r="AB106" i="96" s="1"/>
  <c r="AA97" i="96"/>
  <c r="AA106" i="96" s="1"/>
  <c r="Z97" i="96"/>
  <c r="Z106" i="96" s="1"/>
  <c r="Y97" i="96"/>
  <c r="U97" i="96"/>
  <c r="AC97" i="96" s="1"/>
  <c r="Q97" i="96"/>
  <c r="AI96" i="96"/>
  <c r="P96" i="96" s="1"/>
  <c r="AF96" i="96"/>
  <c r="AD96" i="96"/>
  <c r="AB96" i="96"/>
  <c r="AA96" i="96"/>
  <c r="Z96" i="96"/>
  <c r="Y96" i="96"/>
  <c r="U96" i="96"/>
  <c r="AC96" i="96" s="1"/>
  <c r="Q96" i="96"/>
  <c r="AI93" i="96"/>
  <c r="AD93" i="96"/>
  <c r="AC93" i="96"/>
  <c r="AB93" i="96"/>
  <c r="AA93" i="96"/>
  <c r="Z93" i="96"/>
  <c r="AF93" i="96" s="1"/>
  <c r="Y93" i="96"/>
  <c r="AI92" i="96"/>
  <c r="AD92" i="96"/>
  <c r="AC92" i="96"/>
  <c r="AB92" i="96"/>
  <c r="AA92" i="96"/>
  <c r="Z92" i="96"/>
  <c r="AF92" i="96" s="1"/>
  <c r="Y92" i="96"/>
  <c r="AI91" i="96"/>
  <c r="AD91" i="96"/>
  <c r="AC91" i="96"/>
  <c r="AB91" i="96"/>
  <c r="AA91" i="96"/>
  <c r="Z91" i="96"/>
  <c r="AF91" i="96" s="1"/>
  <c r="Y91" i="96"/>
  <c r="AI90" i="96"/>
  <c r="AD90" i="96"/>
  <c r="AC90" i="96"/>
  <c r="AB90" i="96"/>
  <c r="AA90" i="96"/>
  <c r="Z90" i="96"/>
  <c r="AF90" i="96" s="1"/>
  <c r="Y90" i="96"/>
  <c r="T87" i="96"/>
  <c r="S87" i="96"/>
  <c r="S119" i="96" s="1"/>
  <c r="R87" i="96"/>
  <c r="R119" i="96" s="1"/>
  <c r="Y86" i="96"/>
  <c r="V86" i="96"/>
  <c r="U86" i="96"/>
  <c r="AC86" i="96" s="1"/>
  <c r="Q86" i="96"/>
  <c r="AE85" i="96"/>
  <c r="V85" i="96"/>
  <c r="AI85" i="96" s="1"/>
  <c r="P85" i="96" s="1"/>
  <c r="U85" i="96"/>
  <c r="AC85" i="96" s="1"/>
  <c r="Q85" i="96"/>
  <c r="Y85" i="96" s="1"/>
  <c r="AI84" i="96"/>
  <c r="P84" i="96" s="1"/>
  <c r="Y84" i="96"/>
  <c r="AE83" i="96"/>
  <c r="AF83" i="96" s="1"/>
  <c r="V83" i="96"/>
  <c r="AI83" i="96" s="1"/>
  <c r="P83" i="96" s="1"/>
  <c r="U83" i="96"/>
  <c r="AC83" i="96" s="1"/>
  <c r="Q83" i="96"/>
  <c r="Y83" i="96" s="1"/>
  <c r="AI82" i="96"/>
  <c r="Y82" i="96"/>
  <c r="P82" i="96"/>
  <c r="AE81" i="96"/>
  <c r="V81" i="96"/>
  <c r="AI81" i="96" s="1"/>
  <c r="P81" i="96" s="1"/>
  <c r="U81" i="96"/>
  <c r="AC81" i="96" s="1"/>
  <c r="Q81" i="96"/>
  <c r="Y81" i="96" s="1"/>
  <c r="AE80" i="96"/>
  <c r="AF80" i="96" s="1"/>
  <c r="V80" i="96"/>
  <c r="U80" i="96"/>
  <c r="AC80" i="96" s="1"/>
  <c r="Q80" i="96"/>
  <c r="Y80" i="96" s="1"/>
  <c r="V79" i="96"/>
  <c r="AD79" i="96" s="1"/>
  <c r="U79" i="96"/>
  <c r="AC79" i="96" s="1"/>
  <c r="Q79" i="96"/>
  <c r="Y79" i="96" s="1"/>
  <c r="AE78" i="96"/>
  <c r="AF78" i="96"/>
  <c r="V78" i="96"/>
  <c r="AI78" i="96" s="1"/>
  <c r="P78" i="96" s="1"/>
  <c r="U78" i="96"/>
  <c r="AC78" i="96" s="1"/>
  <c r="Q78" i="96"/>
  <c r="Y78" i="96" s="1"/>
  <c r="V77" i="96"/>
  <c r="U77" i="96"/>
  <c r="Q77" i="96"/>
  <c r="Y77" i="96" s="1"/>
  <c r="AI76" i="96"/>
  <c r="P76" i="96" s="1"/>
  <c r="Y76" i="96"/>
  <c r="AE75" i="96"/>
  <c r="AF75" i="96" s="1"/>
  <c r="V75" i="96"/>
  <c r="AI75" i="96" s="1"/>
  <c r="P75" i="96" s="1"/>
  <c r="U75" i="96"/>
  <c r="AC75" i="96" s="1"/>
  <c r="Q75" i="96"/>
  <c r="Y75" i="96" s="1"/>
  <c r="AE74" i="96"/>
  <c r="V74" i="96"/>
  <c r="U74" i="96"/>
  <c r="AC74" i="96" s="1"/>
  <c r="Q74" i="96"/>
  <c r="Y74" i="96" s="1"/>
  <c r="AE73" i="96"/>
  <c r="V73" i="96"/>
  <c r="AI73" i="96" s="1"/>
  <c r="P73" i="96" s="1"/>
  <c r="U73" i="96"/>
  <c r="Q73" i="96"/>
  <c r="Y73" i="96" s="1"/>
  <c r="AE72" i="96"/>
  <c r="V72" i="96"/>
  <c r="U72" i="96"/>
  <c r="AC72" i="96" s="1"/>
  <c r="Q72" i="96"/>
  <c r="Y72" i="96" s="1"/>
  <c r="V71" i="96"/>
  <c r="U71" i="96"/>
  <c r="Q71" i="96"/>
  <c r="Y71" i="96" s="1"/>
  <c r="AE70" i="96"/>
  <c r="AF70" i="96" s="1"/>
  <c r="V70" i="96"/>
  <c r="AI70" i="96" s="1"/>
  <c r="P70" i="96" s="1"/>
  <c r="U70" i="96"/>
  <c r="AC70" i="96" s="1"/>
  <c r="Q70" i="96"/>
  <c r="Y70" i="96" s="1"/>
  <c r="V69" i="96"/>
  <c r="AI69" i="96" s="1"/>
  <c r="P69" i="96" s="1"/>
  <c r="U69" i="96"/>
  <c r="AC69" i="96" s="1"/>
  <c r="Q69" i="96"/>
  <c r="Y69" i="96" s="1"/>
  <c r="AE68" i="96"/>
  <c r="V68" i="96"/>
  <c r="AD68" i="96" s="1"/>
  <c r="U68" i="96"/>
  <c r="AC68" i="96" s="1"/>
  <c r="Q68" i="96"/>
  <c r="Y68" i="96" s="1"/>
  <c r="AE67" i="96"/>
  <c r="V67" i="96"/>
  <c r="U67" i="96"/>
  <c r="AC67" i="96" s="1"/>
  <c r="Q67" i="96"/>
  <c r="Y67" i="96" s="1"/>
  <c r="AE66" i="96"/>
  <c r="V66" i="96"/>
  <c r="AD66" i="96" s="1"/>
  <c r="U66" i="96"/>
  <c r="AC66" i="96" s="1"/>
  <c r="Q66" i="96"/>
  <c r="Y66" i="96" s="1"/>
  <c r="V65" i="96"/>
  <c r="AI65" i="96" s="1"/>
  <c r="P65" i="96" s="1"/>
  <c r="U65" i="96"/>
  <c r="AC65" i="96" s="1"/>
  <c r="Q65" i="96"/>
  <c r="Y65" i="96" s="1"/>
  <c r="AE64" i="96"/>
  <c r="V64" i="96"/>
  <c r="AD64" i="96" s="1"/>
  <c r="U64" i="96"/>
  <c r="AC64" i="96" s="1"/>
  <c r="Q64" i="96"/>
  <c r="Y64" i="96" s="1"/>
  <c r="AF63" i="96"/>
  <c r="V63" i="96"/>
  <c r="AI63" i="96" s="1"/>
  <c r="P63" i="96" s="1"/>
  <c r="U63" i="96"/>
  <c r="AC63" i="96" s="1"/>
  <c r="Q63" i="96"/>
  <c r="Y63" i="96" s="1"/>
  <c r="AI62" i="96"/>
  <c r="P62" i="96" s="1"/>
  <c r="Y62" i="96"/>
  <c r="V61" i="96"/>
  <c r="AI61" i="96" s="1"/>
  <c r="P61" i="96" s="1"/>
  <c r="U61" i="96"/>
  <c r="AC61" i="96" s="1"/>
  <c r="Q61" i="96"/>
  <c r="Y61" i="96" s="1"/>
  <c r="V60" i="96"/>
  <c r="AI60" i="96" s="1"/>
  <c r="P60" i="96" s="1"/>
  <c r="U60" i="96"/>
  <c r="AC60" i="96" s="1"/>
  <c r="Q60" i="96"/>
  <c r="Y60" i="96" s="1"/>
  <c r="V59" i="96"/>
  <c r="U59" i="96"/>
  <c r="AC59" i="96" s="1"/>
  <c r="Q59" i="96"/>
  <c r="Y59" i="96" s="1"/>
  <c r="V58" i="96"/>
  <c r="AD58" i="96" s="1"/>
  <c r="U58" i="96"/>
  <c r="AC58" i="96" s="1"/>
  <c r="Q58" i="96"/>
  <c r="Y58" i="96" s="1"/>
  <c r="AE57" i="96"/>
  <c r="V57" i="96"/>
  <c r="AI57" i="96" s="1"/>
  <c r="P57" i="96" s="1"/>
  <c r="U57" i="96"/>
  <c r="AC57" i="96" s="1"/>
  <c r="Q57" i="96"/>
  <c r="Y57" i="96" s="1"/>
  <c r="AI56" i="96"/>
  <c r="P56" i="96" s="1"/>
  <c r="Y56" i="96"/>
  <c r="AF55" i="96"/>
  <c r="V55" i="96"/>
  <c r="AI55" i="96" s="1"/>
  <c r="P55" i="96" s="1"/>
  <c r="U55" i="96"/>
  <c r="Q55" i="96"/>
  <c r="AI54" i="96"/>
  <c r="P54" i="96" s="1"/>
  <c r="Y54" i="96"/>
  <c r="AE53" i="96"/>
  <c r="V53" i="96"/>
  <c r="AD53" i="96" s="1"/>
  <c r="U53" i="96"/>
  <c r="AC53" i="96" s="1"/>
  <c r="Q53" i="96"/>
  <c r="Y53" i="96" s="1"/>
  <c r="AI52" i="96"/>
  <c r="P52" i="96" s="1"/>
  <c r="Y52" i="96"/>
  <c r="Y51" i="96"/>
  <c r="V51" i="96"/>
  <c r="AI51" i="96" s="1"/>
  <c r="P51" i="96" s="1"/>
  <c r="U51" i="96"/>
  <c r="AC51" i="96" s="1"/>
  <c r="AE50" i="96"/>
  <c r="AF50" i="96" s="1"/>
  <c r="V50" i="96"/>
  <c r="AI50" i="96" s="1"/>
  <c r="P50" i="96" s="1"/>
  <c r="U50" i="96"/>
  <c r="AC50" i="96" s="1"/>
  <c r="Q50" i="96"/>
  <c r="Y50" i="96" s="1"/>
  <c r="AE49" i="96"/>
  <c r="V49" i="96"/>
  <c r="AD49" i="96" s="1"/>
  <c r="U49" i="96"/>
  <c r="AC49" i="96" s="1"/>
  <c r="Q49" i="96"/>
  <c r="Y49" i="96" s="1"/>
  <c r="AE48" i="96"/>
  <c r="V48" i="96"/>
  <c r="U48" i="96"/>
  <c r="AC48" i="96" s="1"/>
  <c r="Q48" i="96"/>
  <c r="Y48" i="96" s="1"/>
  <c r="AF47" i="96"/>
  <c r="V47" i="96"/>
  <c r="AD47" i="96" s="1"/>
  <c r="U47" i="96"/>
  <c r="AC47" i="96" s="1"/>
  <c r="Q47" i="96"/>
  <c r="Y47" i="96" s="1"/>
  <c r="AE46" i="96"/>
  <c r="V46" i="96"/>
  <c r="AD46" i="96" s="1"/>
  <c r="U46" i="96"/>
  <c r="AC46" i="96" s="1"/>
  <c r="Q46" i="96"/>
  <c r="Y46" i="96" s="1"/>
  <c r="AE45" i="96"/>
  <c r="V45" i="96"/>
  <c r="AI45" i="96" s="1"/>
  <c r="P45" i="96" s="1"/>
  <c r="U45" i="96"/>
  <c r="AC45" i="96" s="1"/>
  <c r="Q45" i="96"/>
  <c r="Y45" i="96" s="1"/>
  <c r="AI44" i="96"/>
  <c r="Y44" i="96"/>
  <c r="AE43" i="96"/>
  <c r="V43" i="96"/>
  <c r="AD43" i="96" s="1"/>
  <c r="U43" i="96"/>
  <c r="AC43" i="96" s="1"/>
  <c r="Q43" i="96"/>
  <c r="Y43" i="96" s="1"/>
  <c r="V42" i="96"/>
  <c r="AI42" i="96" s="1"/>
  <c r="P42" i="96" s="1"/>
  <c r="U42" i="96"/>
  <c r="Q42" i="96"/>
  <c r="Y42" i="96" s="1"/>
  <c r="AE41" i="96"/>
  <c r="V41" i="96"/>
  <c r="AD41" i="96" s="1"/>
  <c r="U41" i="96"/>
  <c r="AC41" i="96" s="1"/>
  <c r="Q41" i="96"/>
  <c r="Y41" i="96" s="1"/>
  <c r="V40" i="96"/>
  <c r="U40" i="96"/>
  <c r="AC40" i="96" s="1"/>
  <c r="Q40" i="96"/>
  <c r="Y40" i="96" s="1"/>
  <c r="AE39" i="96"/>
  <c r="V39" i="96"/>
  <c r="AD39" i="96" s="1"/>
  <c r="U39" i="96"/>
  <c r="Q39" i="96"/>
  <c r="Y39" i="96" s="1"/>
  <c r="V38" i="96"/>
  <c r="AI38" i="96" s="1"/>
  <c r="P38" i="96" s="1"/>
  <c r="U38" i="96"/>
  <c r="AC38" i="96" s="1"/>
  <c r="Q38" i="96"/>
  <c r="Y38" i="96" s="1"/>
  <c r="AE37" i="96"/>
  <c r="V37" i="96"/>
  <c r="AD37" i="96" s="1"/>
  <c r="U37" i="96"/>
  <c r="AC37" i="96" s="1"/>
  <c r="Q37" i="96"/>
  <c r="Y37" i="96" s="1"/>
  <c r="V36" i="96"/>
  <c r="AI36" i="96" s="1"/>
  <c r="P36" i="96" s="1"/>
  <c r="U36" i="96"/>
  <c r="AC36" i="96" s="1"/>
  <c r="Q36" i="96"/>
  <c r="Y36" i="96" s="1"/>
  <c r="AE35" i="96"/>
  <c r="V35" i="96"/>
  <c r="AD35" i="96" s="1"/>
  <c r="U35" i="96"/>
  <c r="AC35" i="96" s="1"/>
  <c r="Q35" i="96"/>
  <c r="Y35" i="96" s="1"/>
  <c r="V34" i="96"/>
  <c r="AI34" i="96" s="1"/>
  <c r="P34" i="96" s="1"/>
  <c r="U34" i="96"/>
  <c r="AC34" i="96" s="1"/>
  <c r="Q34" i="96"/>
  <c r="Y34" i="96" s="1"/>
  <c r="AE33" i="96"/>
  <c r="V33" i="96"/>
  <c r="AD33" i="96" s="1"/>
  <c r="U33" i="96"/>
  <c r="AC33" i="96" s="1"/>
  <c r="Q33" i="96"/>
  <c r="Y33" i="96" s="1"/>
  <c r="AE32" i="96"/>
  <c r="V32" i="96"/>
  <c r="AD32" i="96" s="1"/>
  <c r="U32" i="96"/>
  <c r="AC32" i="96" s="1"/>
  <c r="Q32" i="96"/>
  <c r="Y32" i="96" s="1"/>
  <c r="AE31" i="96"/>
  <c r="V31" i="96"/>
  <c r="AD31" i="96" s="1"/>
  <c r="U31" i="96"/>
  <c r="AC31" i="96" s="1"/>
  <c r="Q31" i="96"/>
  <c r="Y31" i="96" s="1"/>
  <c r="AE30" i="96"/>
  <c r="V30" i="96"/>
  <c r="AD30" i="96" s="1"/>
  <c r="U30" i="96"/>
  <c r="AC30" i="96" s="1"/>
  <c r="Q30" i="96"/>
  <c r="Y30" i="96" s="1"/>
  <c r="AE29" i="96"/>
  <c r="V29" i="96"/>
  <c r="AI29" i="96" s="1"/>
  <c r="P29" i="96" s="1"/>
  <c r="U29" i="96"/>
  <c r="AC29" i="96" s="1"/>
  <c r="Q29" i="96"/>
  <c r="Y29" i="96" s="1"/>
  <c r="AE28" i="96"/>
  <c r="AF28" i="96" s="1"/>
  <c r="V28" i="96"/>
  <c r="AI28" i="96" s="1"/>
  <c r="P28" i="96" s="1"/>
  <c r="U28" i="96"/>
  <c r="AC28" i="96" s="1"/>
  <c r="Q28" i="96"/>
  <c r="Y28" i="96" s="1"/>
  <c r="AE27" i="96"/>
  <c r="V27" i="96"/>
  <c r="AD27" i="96" s="1"/>
  <c r="U27" i="96"/>
  <c r="AC27" i="96" s="1"/>
  <c r="Q27" i="96"/>
  <c r="Y27" i="96" s="1"/>
  <c r="AE26" i="96"/>
  <c r="V26" i="96"/>
  <c r="AD26" i="96" s="1"/>
  <c r="U26" i="96"/>
  <c r="AC26" i="96" s="1"/>
  <c r="Q26" i="96"/>
  <c r="Y26" i="96" s="1"/>
  <c r="AF25" i="96"/>
  <c r="V25" i="96"/>
  <c r="U25" i="96"/>
  <c r="AC25" i="96" s="1"/>
  <c r="Q25" i="96"/>
  <c r="Y25" i="96" s="1"/>
  <c r="AN24" i="96"/>
  <c r="AE24" i="96"/>
  <c r="V24" i="96"/>
  <c r="AD24" i="96" s="1"/>
  <c r="U24" i="96"/>
  <c r="AC24" i="96" s="1"/>
  <c r="Q24" i="96"/>
  <c r="Y24" i="96" s="1"/>
  <c r="AE23" i="96"/>
  <c r="V23" i="96"/>
  <c r="AD23" i="96" s="1"/>
  <c r="U23" i="96"/>
  <c r="AC23" i="96" s="1"/>
  <c r="Q23" i="96"/>
  <c r="Y23" i="96" s="1"/>
  <c r="AE22" i="96"/>
  <c r="V22" i="96"/>
  <c r="AD22" i="96" s="1"/>
  <c r="U22" i="96"/>
  <c r="AC22" i="96" s="1"/>
  <c r="Q22" i="96"/>
  <c r="Y22" i="96" s="1"/>
  <c r="AE21" i="96"/>
  <c r="V21" i="96"/>
  <c r="AD21" i="96" s="1"/>
  <c r="U21" i="96"/>
  <c r="AC21" i="96" s="1"/>
  <c r="Q21" i="96"/>
  <c r="Y21" i="96" s="1"/>
  <c r="AI20" i="96"/>
  <c r="Y20" i="96"/>
  <c r="AO19" i="96"/>
  <c r="AM19" i="96"/>
  <c r="V19" i="96"/>
  <c r="AI19" i="96" s="1"/>
  <c r="P19" i="96" s="1"/>
  <c r="U19" i="96"/>
  <c r="AC19" i="96" s="1"/>
  <c r="Q19" i="96"/>
  <c r="Y19" i="96" s="1"/>
  <c r="AI25" i="96" l="1"/>
  <c r="P25" i="96" s="1"/>
  <c r="AD25" i="96"/>
  <c r="AF86" i="96"/>
  <c r="AF40" i="96"/>
  <c r="AI41" i="96"/>
  <c r="P41" i="96" s="1"/>
  <c r="AF43" i="96"/>
  <c r="AF81" i="96"/>
  <c r="AD65" i="96"/>
  <c r="AI71" i="96"/>
  <c r="P71" i="96" s="1"/>
  <c r="AD69" i="96"/>
  <c r="AD51" i="96"/>
  <c r="AF60" i="96"/>
  <c r="AF77" i="96"/>
  <c r="AI77" i="96"/>
  <c r="P77" i="96" s="1"/>
  <c r="AD78" i="96"/>
  <c r="AF79" i="96"/>
  <c r="AI21" i="96"/>
  <c r="P21" i="96" s="1"/>
  <c r="AD29" i="96"/>
  <c r="AI58" i="96"/>
  <c r="P58" i="96" s="1"/>
  <c r="AF35" i="96"/>
  <c r="AD45" i="96"/>
  <c r="AF64" i="96"/>
  <c r="AI64" i="96"/>
  <c r="P64" i="96" s="1"/>
  <c r="AF68" i="96"/>
  <c r="AF51" i="96"/>
  <c r="AI22" i="96"/>
  <c r="P22" i="96" s="1"/>
  <c r="AF23" i="96"/>
  <c r="AI66" i="96"/>
  <c r="P66" i="96" s="1"/>
  <c r="AF67" i="96"/>
  <c r="AB87" i="96"/>
  <c r="AB119" i="96" s="1"/>
  <c r="AF41" i="96"/>
  <c r="AF37" i="96"/>
  <c r="AD61" i="96"/>
  <c r="AD81" i="96"/>
  <c r="AD19" i="96"/>
  <c r="AF24" i="96"/>
  <c r="AI27" i="96"/>
  <c r="P27" i="96" s="1"/>
  <c r="AD28" i="96"/>
  <c r="AF32" i="96"/>
  <c r="AF33" i="96"/>
  <c r="AD36" i="96"/>
  <c r="AF46" i="96"/>
  <c r="AI49" i="96"/>
  <c r="P49" i="96" s="1"/>
  <c r="AD50" i="96"/>
  <c r="AI53" i="96"/>
  <c r="P53" i="96" s="1"/>
  <c r="AF57" i="96"/>
  <c r="AD57" i="96"/>
  <c r="AF58" i="96"/>
  <c r="AF59" i="96"/>
  <c r="AD70" i="96"/>
  <c r="AD75" i="96"/>
  <c r="AI79" i="96"/>
  <c r="P79" i="96" s="1"/>
  <c r="AF85" i="96"/>
  <c r="AI35" i="96"/>
  <c r="P35" i="96" s="1"/>
  <c r="AF30" i="96"/>
  <c r="AI68" i="96"/>
  <c r="P68" i="96" s="1"/>
  <c r="AF74" i="96"/>
  <c r="AD63" i="96"/>
  <c r="AA87" i="96"/>
  <c r="AA119" i="96" s="1"/>
  <c r="AF26" i="96"/>
  <c r="AF48" i="96"/>
  <c r="AF66" i="96"/>
  <c r="AF71" i="96"/>
  <c r="AF72" i="96"/>
  <c r="AD83" i="96"/>
  <c r="AF22" i="96"/>
  <c r="AF49" i="96"/>
  <c r="AF45" i="96"/>
  <c r="AF19" i="96"/>
  <c r="AF38" i="96"/>
  <c r="AF39" i="96"/>
  <c r="AF73" i="96"/>
  <c r="AF27" i="96"/>
  <c r="AF21" i="96"/>
  <c r="AF29" i="96"/>
  <c r="AF34" i="96"/>
  <c r="AF36" i="96"/>
  <c r="AF42" i="96"/>
  <c r="AF65" i="96"/>
  <c r="AF69" i="96"/>
  <c r="AI43" i="96"/>
  <c r="P43" i="96" s="1"/>
  <c r="AD74" i="96"/>
  <c r="AI74" i="96"/>
  <c r="P74" i="96" s="1"/>
  <c r="AI23" i="96"/>
  <c r="P23" i="96" s="1"/>
  <c r="AI30" i="96"/>
  <c r="P30" i="96" s="1"/>
  <c r="AI31" i="96"/>
  <c r="P31" i="96" s="1"/>
  <c r="AD34" i="96"/>
  <c r="AD40" i="96"/>
  <c r="AI40" i="96"/>
  <c r="P40" i="96" s="1"/>
  <c r="AD48" i="96"/>
  <c r="AI48" i="96"/>
  <c r="P48" i="96" s="1"/>
  <c r="T119" i="96"/>
  <c r="U119" i="96" s="1"/>
  <c r="U87" i="96"/>
  <c r="AF53" i="96"/>
  <c r="AD80" i="96"/>
  <c r="AI80" i="96"/>
  <c r="P80" i="96" s="1"/>
  <c r="AD86" i="96"/>
  <c r="AI86" i="96"/>
  <c r="P86" i="96" s="1"/>
  <c r="AI24" i="96"/>
  <c r="P24" i="96" s="1"/>
  <c r="AI26" i="96"/>
  <c r="P26" i="96" s="1"/>
  <c r="AI32" i="96"/>
  <c r="P32" i="96" s="1"/>
  <c r="AI33" i="96"/>
  <c r="P33" i="96" s="1"/>
  <c r="AI39" i="96"/>
  <c r="P39" i="96" s="1"/>
  <c r="AI46" i="96"/>
  <c r="P46" i="96" s="1"/>
  <c r="AI47" i="96"/>
  <c r="P47" i="96" s="1"/>
  <c r="AD59" i="96"/>
  <c r="AI59" i="96"/>
  <c r="P59" i="96" s="1"/>
  <c r="AI37" i="96"/>
  <c r="P37" i="96" s="1"/>
  <c r="AF61" i="96"/>
  <c r="AD67" i="96"/>
  <c r="AI67" i="96"/>
  <c r="P67" i="96" s="1"/>
  <c r="AD72" i="96"/>
  <c r="AI72" i="96"/>
  <c r="P72" i="96" s="1"/>
  <c r="Z87" i="96"/>
  <c r="Z119" i="96" s="1"/>
  <c r="AF31" i="96"/>
  <c r="AA70" i="95"/>
  <c r="AD70" i="95"/>
  <c r="AF87" i="96" l="1"/>
  <c r="AF119" i="96" s="1"/>
  <c r="K121" i="96" s="1"/>
  <c r="M122" i="96" s="1"/>
  <c r="AC87" i="96"/>
  <c r="AC119" i="96" s="1"/>
  <c r="Q75" i="95"/>
  <c r="U97" i="95" l="1"/>
  <c r="U98" i="95"/>
  <c r="U99" i="95"/>
  <c r="U100" i="95"/>
  <c r="U101" i="95"/>
  <c r="AI97" i="95"/>
  <c r="AI98" i="95"/>
  <c r="AI99" i="95"/>
  <c r="AI100" i="95"/>
  <c r="AI101" i="95"/>
  <c r="Z97" i="95" l="1"/>
  <c r="AA97" i="95"/>
  <c r="AB97" i="95"/>
  <c r="Z98" i="95"/>
  <c r="AA98" i="95"/>
  <c r="AB98" i="95"/>
  <c r="Z99" i="95"/>
  <c r="AA99" i="95"/>
  <c r="AB99" i="95"/>
  <c r="AC99" i="95"/>
  <c r="Z100" i="95"/>
  <c r="AA100" i="95"/>
  <c r="AB100" i="95"/>
  <c r="Z101" i="95"/>
  <c r="AA101" i="95"/>
  <c r="AB101" i="95"/>
  <c r="U29" i="95" l="1"/>
  <c r="Q26" i="95"/>
  <c r="AC24" i="95"/>
  <c r="AE83" i="95"/>
  <c r="AE78" i="95"/>
  <c r="AE50" i="95"/>
  <c r="AE28" i="95"/>
  <c r="T106" i="95" l="1"/>
  <c r="S106" i="95"/>
  <c r="R106" i="95"/>
  <c r="Y105" i="95"/>
  <c r="U105" i="95"/>
  <c r="Q105" i="95"/>
  <c r="Y104" i="95"/>
  <c r="U104" i="95"/>
  <c r="Q104" i="95"/>
  <c r="Y103" i="95"/>
  <c r="Y102" i="95"/>
  <c r="AF101" i="95"/>
  <c r="AC101" i="95"/>
  <c r="Q101" i="95"/>
  <c r="Y101" i="95" s="1"/>
  <c r="AF100" i="95"/>
  <c r="AD100" i="95"/>
  <c r="AC100" i="95"/>
  <c r="Q100" i="95"/>
  <c r="Y100" i="95" s="1"/>
  <c r="P99" i="95"/>
  <c r="AD99" i="95"/>
  <c r="Q99" i="95"/>
  <c r="Y99" i="95" s="1"/>
  <c r="AF98" i="95"/>
  <c r="AC98" i="95"/>
  <c r="Q98" i="95"/>
  <c r="Y98" i="95" s="1"/>
  <c r="AB106" i="95"/>
  <c r="AA106" i="95"/>
  <c r="AF97" i="95"/>
  <c r="AD97" i="95"/>
  <c r="Q97" i="95"/>
  <c r="Y97" i="95" s="1"/>
  <c r="AI96" i="95"/>
  <c r="P96" i="95" s="1"/>
  <c r="AD96" i="95"/>
  <c r="AC96" i="95"/>
  <c r="AB96" i="95"/>
  <c r="AA96" i="95"/>
  <c r="Z96" i="95"/>
  <c r="AF96" i="95" s="1"/>
  <c r="Y96" i="95"/>
  <c r="U96" i="95"/>
  <c r="Q96" i="95"/>
  <c r="AI93" i="95"/>
  <c r="AD93" i="95"/>
  <c r="AC93" i="95"/>
  <c r="AB93" i="95"/>
  <c r="AA93" i="95"/>
  <c r="Z93" i="95"/>
  <c r="Y93" i="95"/>
  <c r="AI92" i="95"/>
  <c r="AF92" i="95"/>
  <c r="AD92" i="95"/>
  <c r="AC92" i="95"/>
  <c r="AB92" i="95"/>
  <c r="AA92" i="95"/>
  <c r="Z92" i="95"/>
  <c r="Y92" i="95"/>
  <c r="AI91" i="95"/>
  <c r="AF91" i="95"/>
  <c r="AD91" i="95"/>
  <c r="AC91" i="95"/>
  <c r="AB91" i="95"/>
  <c r="AA91" i="95"/>
  <c r="Z91" i="95"/>
  <c r="Y91" i="95"/>
  <c r="AI90" i="95"/>
  <c r="AD90" i="95"/>
  <c r="AC90" i="95"/>
  <c r="AB90" i="95"/>
  <c r="AA90" i="95"/>
  <c r="Z90" i="95"/>
  <c r="Y90" i="95"/>
  <c r="T87" i="95"/>
  <c r="T119" i="95" s="1"/>
  <c r="S87" i="95"/>
  <c r="S119" i="95" s="1"/>
  <c r="R87" i="95"/>
  <c r="AE86" i="95"/>
  <c r="AB86" i="95"/>
  <c r="AA86" i="95"/>
  <c r="Z86" i="95"/>
  <c r="V86" i="95"/>
  <c r="AD86" i="95" s="1"/>
  <c r="U86" i="95"/>
  <c r="AC86" i="95" s="1"/>
  <c r="Q86" i="95"/>
  <c r="Y86" i="95" s="1"/>
  <c r="AE85" i="95"/>
  <c r="AF85" i="95" s="1"/>
  <c r="AB85" i="95"/>
  <c r="AA85" i="95"/>
  <c r="Z85" i="95"/>
  <c r="V85" i="95"/>
  <c r="AI85" i="95" s="1"/>
  <c r="P85" i="95" s="1"/>
  <c r="U85" i="95"/>
  <c r="AC85" i="95" s="1"/>
  <c r="Q85" i="95"/>
  <c r="Y85" i="95" s="1"/>
  <c r="AI84" i="95"/>
  <c r="P84" i="95" s="1"/>
  <c r="Y84" i="95"/>
  <c r="AF83" i="95"/>
  <c r="AB83" i="95"/>
  <c r="AA83" i="95"/>
  <c r="Y83" i="95"/>
  <c r="V83" i="95"/>
  <c r="AI83" i="95" s="1"/>
  <c r="P83" i="95" s="1"/>
  <c r="U83" i="95"/>
  <c r="AC83" i="95" s="1"/>
  <c r="Q83" i="95"/>
  <c r="AI82" i="95"/>
  <c r="Y82" i="95"/>
  <c r="P82" i="95"/>
  <c r="AE81" i="95"/>
  <c r="AC81" i="95"/>
  <c r="AB81" i="95"/>
  <c r="AA81" i="95"/>
  <c r="Z81" i="95"/>
  <c r="Y81" i="95"/>
  <c r="V81" i="95"/>
  <c r="AI81" i="95" s="1"/>
  <c r="P81" i="95" s="1"/>
  <c r="U81" i="95"/>
  <c r="Q81" i="95"/>
  <c r="AI80" i="95"/>
  <c r="P80" i="95" s="1"/>
  <c r="AE80" i="95"/>
  <c r="AB80" i="95"/>
  <c r="AA80" i="95"/>
  <c r="Z80" i="95"/>
  <c r="V80" i="95"/>
  <c r="AD80" i="95" s="1"/>
  <c r="U80" i="95"/>
  <c r="AC80" i="95" s="1"/>
  <c r="Q80" i="95"/>
  <c r="Y80" i="95" s="1"/>
  <c r="AE79" i="95"/>
  <c r="AB79" i="95"/>
  <c r="AA79" i="95"/>
  <c r="Z79" i="95"/>
  <c r="V79" i="95"/>
  <c r="AD79" i="95" s="1"/>
  <c r="U79" i="95"/>
  <c r="AC79" i="95" s="1"/>
  <c r="Q79" i="95"/>
  <c r="Y79" i="95" s="1"/>
  <c r="AB78" i="95"/>
  <c r="AA78" i="95"/>
  <c r="Z78" i="95"/>
  <c r="AF78" i="95" s="1"/>
  <c r="V78" i="95"/>
  <c r="AD78" i="95" s="1"/>
  <c r="U78" i="95"/>
  <c r="AC78" i="95" s="1"/>
  <c r="Q78" i="95"/>
  <c r="Y78" i="95" s="1"/>
  <c r="AF77" i="95"/>
  <c r="AE77" i="95"/>
  <c r="AB77" i="95"/>
  <c r="AA77" i="95"/>
  <c r="Z77" i="95"/>
  <c r="Y77" i="95"/>
  <c r="V77" i="95"/>
  <c r="U77" i="95"/>
  <c r="AC77" i="95" s="1"/>
  <c r="Q77" i="95"/>
  <c r="AI76" i="95"/>
  <c r="P76" i="95" s="1"/>
  <c r="Y76" i="95"/>
  <c r="AE75" i="95"/>
  <c r="AB75" i="95"/>
  <c r="AA75" i="95"/>
  <c r="Z75" i="95"/>
  <c r="V75" i="95"/>
  <c r="U75" i="95"/>
  <c r="AC75" i="95" s="1"/>
  <c r="Y75" i="95"/>
  <c r="AE74" i="95"/>
  <c r="AB74" i="95"/>
  <c r="AA74" i="95"/>
  <c r="Z74" i="95"/>
  <c r="Y74" i="95"/>
  <c r="V74" i="95"/>
  <c r="AI74" i="95" s="1"/>
  <c r="P74" i="95" s="1"/>
  <c r="U74" i="95"/>
  <c r="AC74" i="95" s="1"/>
  <c r="Q74" i="95"/>
  <c r="AE73" i="95"/>
  <c r="AB73" i="95"/>
  <c r="AA73" i="95"/>
  <c r="Z73" i="95"/>
  <c r="Y73" i="95"/>
  <c r="V73" i="95"/>
  <c r="AI73" i="95" s="1"/>
  <c r="P73" i="95" s="1"/>
  <c r="U73" i="95"/>
  <c r="Q73" i="95"/>
  <c r="AE72" i="95"/>
  <c r="AB72" i="95"/>
  <c r="AA72" i="95"/>
  <c r="Z72" i="95"/>
  <c r="Y72" i="95"/>
  <c r="V72" i="95"/>
  <c r="AD72" i="95" s="1"/>
  <c r="U72" i="95"/>
  <c r="AC72" i="95" s="1"/>
  <c r="Q72" i="95"/>
  <c r="AE71" i="95"/>
  <c r="AB71" i="95"/>
  <c r="AA71" i="95"/>
  <c r="Z71" i="95"/>
  <c r="V71" i="95"/>
  <c r="AD71" i="95" s="1"/>
  <c r="U71" i="95"/>
  <c r="AC71" i="95" s="1"/>
  <c r="Q71" i="95"/>
  <c r="Y71" i="95" s="1"/>
  <c r="AE70" i="95"/>
  <c r="AF70" i="95" s="1"/>
  <c r="AB70" i="95"/>
  <c r="V70" i="95"/>
  <c r="AI70" i="95" s="1"/>
  <c r="P70" i="95" s="1"/>
  <c r="U70" i="95"/>
  <c r="AC70" i="95" s="1"/>
  <c r="Q70" i="95"/>
  <c r="Y70" i="95" s="1"/>
  <c r="AE69" i="95"/>
  <c r="AB69" i="95"/>
  <c r="AA69" i="95"/>
  <c r="Z69" i="95"/>
  <c r="V69" i="95"/>
  <c r="AD69" i="95" s="1"/>
  <c r="U69" i="95"/>
  <c r="AC69" i="95" s="1"/>
  <c r="Q69" i="95"/>
  <c r="Y69" i="95" s="1"/>
  <c r="AE68" i="95"/>
  <c r="AB68" i="95"/>
  <c r="AA68" i="95"/>
  <c r="Z68" i="95"/>
  <c r="Y68" i="95"/>
  <c r="V68" i="95"/>
  <c r="U68" i="95"/>
  <c r="AC68" i="95" s="1"/>
  <c r="Q68" i="95"/>
  <c r="AE67" i="95"/>
  <c r="AB67" i="95"/>
  <c r="AA67" i="95"/>
  <c r="Z67" i="95"/>
  <c r="Y67" i="95"/>
  <c r="V67" i="95"/>
  <c r="AD67" i="95" s="1"/>
  <c r="U67" i="95"/>
  <c r="AC67" i="95" s="1"/>
  <c r="Q67" i="95"/>
  <c r="AE66" i="95"/>
  <c r="AB66" i="95"/>
  <c r="AA66" i="95"/>
  <c r="Z66" i="95"/>
  <c r="AF66" i="95" s="1"/>
  <c r="V66" i="95"/>
  <c r="AD66" i="95" s="1"/>
  <c r="U66" i="95"/>
  <c r="AC66" i="95" s="1"/>
  <c r="Q66" i="95"/>
  <c r="Y66" i="95" s="1"/>
  <c r="AE65" i="95"/>
  <c r="AB65" i="95"/>
  <c r="AA65" i="95"/>
  <c r="Z65" i="95"/>
  <c r="V65" i="95"/>
  <c r="AD65" i="95" s="1"/>
  <c r="U65" i="95"/>
  <c r="AC65" i="95" s="1"/>
  <c r="Q65" i="95"/>
  <c r="Y65" i="95" s="1"/>
  <c r="AE64" i="95"/>
  <c r="AF64" i="95" s="1"/>
  <c r="AB64" i="95"/>
  <c r="AA64" i="95"/>
  <c r="Z64" i="95"/>
  <c r="Y64" i="95"/>
  <c r="V64" i="95"/>
  <c r="U64" i="95"/>
  <c r="AC64" i="95" s="1"/>
  <c r="Q64" i="95"/>
  <c r="AB63" i="95"/>
  <c r="AA63" i="95"/>
  <c r="Z63" i="95"/>
  <c r="AF63" i="95" s="1"/>
  <c r="V63" i="95"/>
  <c r="AI63" i="95" s="1"/>
  <c r="P63" i="95" s="1"/>
  <c r="U63" i="95"/>
  <c r="AC63" i="95" s="1"/>
  <c r="Q63" i="95"/>
  <c r="Y63" i="95" s="1"/>
  <c r="AI62" i="95"/>
  <c r="Y62" i="95"/>
  <c r="P62" i="95"/>
  <c r="AI61" i="95"/>
  <c r="P61" i="95" s="1"/>
  <c r="AE61" i="95"/>
  <c r="AB61" i="95"/>
  <c r="AA61" i="95"/>
  <c r="Z61" i="95"/>
  <c r="V61" i="95"/>
  <c r="AD61" i="95" s="1"/>
  <c r="U61" i="95"/>
  <c r="AC61" i="95" s="1"/>
  <c r="Q61" i="95"/>
  <c r="Y61" i="95" s="1"/>
  <c r="AE60" i="95"/>
  <c r="AB60" i="95"/>
  <c r="AA60" i="95"/>
  <c r="Z60" i="95"/>
  <c r="AF60" i="95" s="1"/>
  <c r="Y60" i="95"/>
  <c r="V60" i="95"/>
  <c r="AI60" i="95" s="1"/>
  <c r="P60" i="95" s="1"/>
  <c r="U60" i="95"/>
  <c r="AC60" i="95" s="1"/>
  <c r="Q60" i="95"/>
  <c r="AE59" i="95"/>
  <c r="AB59" i="95"/>
  <c r="AA59" i="95"/>
  <c r="Z59" i="95"/>
  <c r="AF59" i="95" s="1"/>
  <c r="V59" i="95"/>
  <c r="AD59" i="95" s="1"/>
  <c r="U59" i="95"/>
  <c r="AC59" i="95" s="1"/>
  <c r="Q59" i="95"/>
  <c r="Y59" i="95" s="1"/>
  <c r="AE58" i="95"/>
  <c r="AF58" i="95" s="1"/>
  <c r="AB58" i="95"/>
  <c r="AA58" i="95"/>
  <c r="Z58" i="95"/>
  <c r="V58" i="95"/>
  <c r="AD58" i="95" s="1"/>
  <c r="U58" i="95"/>
  <c r="AC58" i="95" s="1"/>
  <c r="Q58" i="95"/>
  <c r="Y58" i="95" s="1"/>
  <c r="AE57" i="95"/>
  <c r="AC57" i="95"/>
  <c r="AB57" i="95"/>
  <c r="AA57" i="95"/>
  <c r="Z57" i="95"/>
  <c r="Y57" i="95"/>
  <c r="V57" i="95"/>
  <c r="U57" i="95"/>
  <c r="Q57" i="95"/>
  <c r="AI56" i="95"/>
  <c r="P56" i="95" s="1"/>
  <c r="Y56" i="95"/>
  <c r="V55" i="95"/>
  <c r="U55" i="95"/>
  <c r="Q55" i="95"/>
  <c r="AI54" i="95"/>
  <c r="P54" i="95" s="1"/>
  <c r="Y54" i="95"/>
  <c r="AE53" i="95"/>
  <c r="AB53" i="95"/>
  <c r="AA53" i="95"/>
  <c r="Z53" i="95"/>
  <c r="Y53" i="95"/>
  <c r="V53" i="95"/>
  <c r="U53" i="95"/>
  <c r="AC53" i="95" s="1"/>
  <c r="Q53" i="95"/>
  <c r="AI52" i="95"/>
  <c r="P52" i="95" s="1"/>
  <c r="Y52" i="95"/>
  <c r="AE51" i="95"/>
  <c r="AB51" i="95"/>
  <c r="AA51" i="95"/>
  <c r="Z51" i="95"/>
  <c r="Y51" i="95"/>
  <c r="V51" i="95"/>
  <c r="U51" i="95"/>
  <c r="AC51" i="95" s="1"/>
  <c r="AF50" i="95"/>
  <c r="AB50" i="95"/>
  <c r="AA50" i="95"/>
  <c r="V50" i="95"/>
  <c r="AD50" i="95" s="1"/>
  <c r="U50" i="95"/>
  <c r="AC50" i="95" s="1"/>
  <c r="Q50" i="95"/>
  <c r="Y50" i="95" s="1"/>
  <c r="AE49" i="95"/>
  <c r="AF49" i="95" s="1"/>
  <c r="AB49" i="95"/>
  <c r="AA49" i="95"/>
  <c r="Z49" i="95"/>
  <c r="V49" i="95"/>
  <c r="AD49" i="95" s="1"/>
  <c r="U49" i="95"/>
  <c r="AC49" i="95" s="1"/>
  <c r="Q49" i="95"/>
  <c r="Y49" i="95" s="1"/>
  <c r="AE48" i="95"/>
  <c r="AC48" i="95"/>
  <c r="AB48" i="95"/>
  <c r="AA48" i="95"/>
  <c r="Z48" i="95"/>
  <c r="Y48" i="95"/>
  <c r="V48" i="95"/>
  <c r="U48" i="95"/>
  <c r="Q48" i="95"/>
  <c r="AB47" i="95"/>
  <c r="AA47" i="95"/>
  <c r="Z47" i="95"/>
  <c r="AF47" i="95" s="1"/>
  <c r="Y47" i="95"/>
  <c r="V47" i="95"/>
  <c r="AD47" i="95" s="1"/>
  <c r="U47" i="95"/>
  <c r="AC47" i="95" s="1"/>
  <c r="Q47" i="95"/>
  <c r="AE46" i="95"/>
  <c r="AB46" i="95"/>
  <c r="AA46" i="95"/>
  <c r="Z46" i="95"/>
  <c r="AF46" i="95" s="1"/>
  <c r="V46" i="95"/>
  <c r="AD46" i="95" s="1"/>
  <c r="U46" i="95"/>
  <c r="AC46" i="95" s="1"/>
  <c r="Q46" i="95"/>
  <c r="Y46" i="95" s="1"/>
  <c r="AE45" i="95"/>
  <c r="AB45" i="95"/>
  <c r="AA45" i="95"/>
  <c r="Z45" i="95"/>
  <c r="V45" i="95"/>
  <c r="U45" i="95"/>
  <c r="AC45" i="95" s="1"/>
  <c r="Q45" i="95"/>
  <c r="Y45" i="95" s="1"/>
  <c r="AI44" i="95"/>
  <c r="Y44" i="95"/>
  <c r="AE43" i="95"/>
  <c r="AB43" i="95"/>
  <c r="AA43" i="95"/>
  <c r="Z43" i="95"/>
  <c r="AF43" i="95" s="1"/>
  <c r="V43" i="95"/>
  <c r="AI43" i="95" s="1"/>
  <c r="P43" i="95" s="1"/>
  <c r="U43" i="95"/>
  <c r="AC43" i="95" s="1"/>
  <c r="Q43" i="95"/>
  <c r="Y43" i="95" s="1"/>
  <c r="AE42" i="95"/>
  <c r="AF42" i="95" s="1"/>
  <c r="AB42" i="95"/>
  <c r="AA42" i="95"/>
  <c r="Z42" i="95"/>
  <c r="V42" i="95"/>
  <c r="AI42" i="95" s="1"/>
  <c r="P42" i="95" s="1"/>
  <c r="U42" i="95"/>
  <c r="AC42" i="95" s="1"/>
  <c r="Q42" i="95"/>
  <c r="Y42" i="95" s="1"/>
  <c r="AE41" i="95"/>
  <c r="AC41" i="95"/>
  <c r="AB41" i="95"/>
  <c r="AA41" i="95"/>
  <c r="Z41" i="95"/>
  <c r="Y41" i="95"/>
  <c r="V41" i="95"/>
  <c r="AD41" i="95" s="1"/>
  <c r="U41" i="95"/>
  <c r="Q41" i="95"/>
  <c r="AE40" i="95"/>
  <c r="AB40" i="95"/>
  <c r="AA40" i="95"/>
  <c r="Z40" i="95"/>
  <c r="V40" i="95"/>
  <c r="AI40" i="95" s="1"/>
  <c r="P40" i="95" s="1"/>
  <c r="U40" i="95"/>
  <c r="AC40" i="95" s="1"/>
  <c r="Q40" i="95"/>
  <c r="Y40" i="95" s="1"/>
  <c r="AE39" i="95"/>
  <c r="AB39" i="95"/>
  <c r="AA39" i="95"/>
  <c r="Z39" i="95"/>
  <c r="AF39" i="95" s="1"/>
  <c r="Y39" i="95"/>
  <c r="V39" i="95"/>
  <c r="AI39" i="95" s="1"/>
  <c r="P39" i="95" s="1"/>
  <c r="U39" i="95"/>
  <c r="Q39" i="95"/>
  <c r="AE38" i="95"/>
  <c r="AB38" i="95"/>
  <c r="AA38" i="95"/>
  <c r="Z38" i="95"/>
  <c r="V38" i="95"/>
  <c r="AI38" i="95" s="1"/>
  <c r="P38" i="95" s="1"/>
  <c r="U38" i="95"/>
  <c r="AC38" i="95" s="1"/>
  <c r="Q38" i="95"/>
  <c r="Y38" i="95" s="1"/>
  <c r="AE37" i="95"/>
  <c r="AB37" i="95"/>
  <c r="AA37" i="95"/>
  <c r="Z37" i="95"/>
  <c r="AF37" i="95" s="1"/>
  <c r="V37" i="95"/>
  <c r="AD37" i="95" s="1"/>
  <c r="U37" i="95"/>
  <c r="AC37" i="95" s="1"/>
  <c r="Q37" i="95"/>
  <c r="Y37" i="95" s="1"/>
  <c r="AE36" i="95"/>
  <c r="AB36" i="95"/>
  <c r="AA36" i="95"/>
  <c r="Z36" i="95"/>
  <c r="AF36" i="95" s="1"/>
  <c r="V36" i="95"/>
  <c r="AI36" i="95" s="1"/>
  <c r="P36" i="95" s="1"/>
  <c r="U36" i="95"/>
  <c r="AC36" i="95" s="1"/>
  <c r="Q36" i="95"/>
  <c r="Y36" i="95" s="1"/>
  <c r="AE35" i="95"/>
  <c r="AB35" i="95"/>
  <c r="AA35" i="95"/>
  <c r="Z35" i="95"/>
  <c r="V35" i="95"/>
  <c r="AI35" i="95" s="1"/>
  <c r="P35" i="95" s="1"/>
  <c r="U35" i="95"/>
  <c r="AC35" i="95" s="1"/>
  <c r="Q35" i="95"/>
  <c r="Y35" i="95" s="1"/>
  <c r="AE34" i="95"/>
  <c r="AB34" i="95"/>
  <c r="AA34" i="95"/>
  <c r="Z34" i="95"/>
  <c r="Y34" i="95"/>
  <c r="V34" i="95"/>
  <c r="AI34" i="95" s="1"/>
  <c r="P34" i="95" s="1"/>
  <c r="U34" i="95"/>
  <c r="AC34" i="95" s="1"/>
  <c r="Q34" i="95"/>
  <c r="AE33" i="95"/>
  <c r="AB33" i="95"/>
  <c r="AA33" i="95"/>
  <c r="Z33" i="95"/>
  <c r="V33" i="95"/>
  <c r="AD33" i="95" s="1"/>
  <c r="U33" i="95"/>
  <c r="AC33" i="95" s="1"/>
  <c r="Q33" i="95"/>
  <c r="Y33" i="95" s="1"/>
  <c r="AI32" i="95"/>
  <c r="P32" i="95" s="1"/>
  <c r="AE32" i="95"/>
  <c r="AB32" i="95"/>
  <c r="AA32" i="95"/>
  <c r="Z32" i="95"/>
  <c r="Y32" i="95"/>
  <c r="V32" i="95"/>
  <c r="AD32" i="95" s="1"/>
  <c r="U32" i="95"/>
  <c r="AC32" i="95" s="1"/>
  <c r="Q32" i="95"/>
  <c r="AE31" i="95"/>
  <c r="AB31" i="95"/>
  <c r="AA31" i="95"/>
  <c r="Z31" i="95"/>
  <c r="V31" i="95"/>
  <c r="AI31" i="95" s="1"/>
  <c r="P31" i="95" s="1"/>
  <c r="U31" i="95"/>
  <c r="AC31" i="95" s="1"/>
  <c r="Q31" i="95"/>
  <c r="Y31" i="95" s="1"/>
  <c r="AE30" i="95"/>
  <c r="AF30" i="95" s="1"/>
  <c r="AB30" i="95"/>
  <c r="AA30" i="95"/>
  <c r="Z30" i="95"/>
  <c r="Y30" i="95"/>
  <c r="V30" i="95"/>
  <c r="AD30" i="95" s="1"/>
  <c r="U30" i="95"/>
  <c r="AC30" i="95" s="1"/>
  <c r="Q30" i="95"/>
  <c r="AE29" i="95"/>
  <c r="AB29" i="95"/>
  <c r="AA29" i="95"/>
  <c r="Z29" i="95"/>
  <c r="V29" i="95"/>
  <c r="AD29" i="95" s="1"/>
  <c r="AC29" i="95"/>
  <c r="Q29" i="95"/>
  <c r="Y29" i="95" s="1"/>
  <c r="AF28" i="95"/>
  <c r="AB28" i="95"/>
  <c r="AA28" i="95"/>
  <c r="Y28" i="95"/>
  <c r="V28" i="95"/>
  <c r="AI28" i="95" s="1"/>
  <c r="P28" i="95" s="1"/>
  <c r="U28" i="95"/>
  <c r="AC28" i="95" s="1"/>
  <c r="Q28" i="95"/>
  <c r="AE27" i="95"/>
  <c r="AB27" i="95"/>
  <c r="AA27" i="95"/>
  <c r="Z27" i="95"/>
  <c r="V27" i="95"/>
  <c r="AD27" i="95" s="1"/>
  <c r="U27" i="95"/>
  <c r="AC27" i="95" s="1"/>
  <c r="Q27" i="95"/>
  <c r="Y27" i="95" s="1"/>
  <c r="AE26" i="95"/>
  <c r="AB26" i="95"/>
  <c r="AA26" i="95"/>
  <c r="Z26" i="95"/>
  <c r="Y26" i="95"/>
  <c r="V26" i="95"/>
  <c r="AD26" i="95" s="1"/>
  <c r="U26" i="95"/>
  <c r="AC26" i="95" s="1"/>
  <c r="V25" i="95"/>
  <c r="AI25" i="95" s="1"/>
  <c r="P25" i="95" s="1"/>
  <c r="U25" i="95"/>
  <c r="Q25" i="95"/>
  <c r="AN24" i="95"/>
  <c r="AE24" i="95"/>
  <c r="AB24" i="95"/>
  <c r="AA24" i="95"/>
  <c r="Z24" i="95"/>
  <c r="Y24" i="95"/>
  <c r="V24" i="95"/>
  <c r="AI24" i="95" s="1"/>
  <c r="P24" i="95" s="1"/>
  <c r="U24" i="95"/>
  <c r="Q24" i="95"/>
  <c r="AE23" i="95"/>
  <c r="AB23" i="95"/>
  <c r="AA23" i="95"/>
  <c r="Z23" i="95"/>
  <c r="V23" i="95"/>
  <c r="AD23" i="95" s="1"/>
  <c r="U23" i="95"/>
  <c r="AC23" i="95" s="1"/>
  <c r="Q23" i="95"/>
  <c r="Y23" i="95" s="1"/>
  <c r="AI22" i="95"/>
  <c r="P22" i="95" s="1"/>
  <c r="AE22" i="95"/>
  <c r="AB22" i="95"/>
  <c r="AA22" i="95"/>
  <c r="Z22" i="95"/>
  <c r="V22" i="95"/>
  <c r="AD22" i="95" s="1"/>
  <c r="U22" i="95"/>
  <c r="AC22" i="95" s="1"/>
  <c r="Q22" i="95"/>
  <c r="Y22" i="95" s="1"/>
  <c r="AE21" i="95"/>
  <c r="AB21" i="95"/>
  <c r="AA21" i="95"/>
  <c r="Z21" i="95"/>
  <c r="AF21" i="95" s="1"/>
  <c r="V21" i="95"/>
  <c r="AI21" i="95" s="1"/>
  <c r="P21" i="95" s="1"/>
  <c r="U21" i="95"/>
  <c r="AC21" i="95" s="1"/>
  <c r="Q21" i="95"/>
  <c r="Y21" i="95" s="1"/>
  <c r="AI20" i="95"/>
  <c r="Y20" i="95"/>
  <c r="AM19" i="95"/>
  <c r="AE19" i="95"/>
  <c r="AD19" i="95"/>
  <c r="AB19" i="95"/>
  <c r="AA19" i="95"/>
  <c r="Z19" i="95"/>
  <c r="AF19" i="95" s="1"/>
  <c r="Y19" i="95"/>
  <c r="V19" i="95"/>
  <c r="AI19" i="95" s="1"/>
  <c r="P19" i="95" s="1"/>
  <c r="U19" i="95"/>
  <c r="AC19" i="95" s="1"/>
  <c r="Q19" i="95"/>
  <c r="AF80" i="95" l="1"/>
  <c r="AF34" i="95"/>
  <c r="AF29" i="95"/>
  <c r="AF71" i="95"/>
  <c r="AF74" i="95"/>
  <c r="P101" i="95"/>
  <c r="AD101" i="95"/>
  <c r="R119" i="95"/>
  <c r="P98" i="95"/>
  <c r="AD98" i="95"/>
  <c r="P97" i="95"/>
  <c r="U106" i="95"/>
  <c r="AC97" i="95"/>
  <c r="AF86" i="95"/>
  <c r="AD83" i="95"/>
  <c r="AD81" i="95"/>
  <c r="AF79" i="95"/>
  <c r="AF75" i="95"/>
  <c r="AD74" i="95"/>
  <c r="AI72" i="95"/>
  <c r="P72" i="95" s="1"/>
  <c r="AI71" i="95"/>
  <c r="P71" i="95" s="1"/>
  <c r="AF69" i="95"/>
  <c r="AF68" i="95"/>
  <c r="AI67" i="95"/>
  <c r="P67" i="95" s="1"/>
  <c r="AI66" i="95"/>
  <c r="P66" i="95" s="1"/>
  <c r="AF65" i="95"/>
  <c r="AD63" i="95"/>
  <c r="AI59" i="95"/>
  <c r="P59" i="95" s="1"/>
  <c r="AF57" i="95"/>
  <c r="AF55" i="95"/>
  <c r="AF53" i="95"/>
  <c r="AF51" i="95"/>
  <c r="AI50" i="95"/>
  <c r="P50" i="95" s="1"/>
  <c r="AF48" i="95"/>
  <c r="AI47" i="95"/>
  <c r="P47" i="95" s="1"/>
  <c r="AI46" i="95"/>
  <c r="P46" i="95" s="1"/>
  <c r="AF45" i="95"/>
  <c r="AD43" i="95"/>
  <c r="AF41" i="95"/>
  <c r="AD40" i="95"/>
  <c r="AD39" i="95"/>
  <c r="AI37" i="95"/>
  <c r="P37" i="95" s="1"/>
  <c r="AO19" i="95"/>
  <c r="AD35" i="95"/>
  <c r="AD34" i="95"/>
  <c r="AF33" i="95"/>
  <c r="AF32" i="95"/>
  <c r="AD31" i="95"/>
  <c r="AI30" i="95"/>
  <c r="P30" i="95" s="1"/>
  <c r="AD28" i="95"/>
  <c r="AF27" i="95"/>
  <c r="AF26" i="95"/>
  <c r="AI26" i="95"/>
  <c r="P26" i="95" s="1"/>
  <c r="AF24" i="95"/>
  <c r="AD24" i="95"/>
  <c r="AF23" i="95"/>
  <c r="AA87" i="95"/>
  <c r="AA119" i="95" s="1"/>
  <c r="AF22" i="95"/>
  <c r="AD21" i="95"/>
  <c r="AF40" i="95"/>
  <c r="AF67" i="95"/>
  <c r="AF72" i="95"/>
  <c r="AF81" i="95"/>
  <c r="AF90" i="95"/>
  <c r="AF99" i="95"/>
  <c r="AF106" i="95" s="1"/>
  <c r="AF93" i="95"/>
  <c r="AF25" i="95"/>
  <c r="AF31" i="95"/>
  <c r="AF38" i="95"/>
  <c r="AF35" i="95"/>
  <c r="AF61" i="95"/>
  <c r="AF73" i="95"/>
  <c r="U119" i="95"/>
  <c r="Z106" i="95"/>
  <c r="AB87" i="95"/>
  <c r="AI23" i="95"/>
  <c r="P23" i="95" s="1"/>
  <c r="AI27" i="95"/>
  <c r="P27" i="95" s="1"/>
  <c r="AI29" i="95"/>
  <c r="P29" i="95" s="1"/>
  <c r="AI33" i="95"/>
  <c r="P33" i="95" s="1"/>
  <c r="AD45" i="95"/>
  <c r="AI45" i="95"/>
  <c r="P45" i="95" s="1"/>
  <c r="AD36" i="95"/>
  <c r="AD42" i="95"/>
  <c r="AD68" i="95"/>
  <c r="AI68" i="95"/>
  <c r="P68" i="95" s="1"/>
  <c r="Z87" i="95"/>
  <c r="AI41" i="95"/>
  <c r="P41" i="95" s="1"/>
  <c r="AD48" i="95"/>
  <c r="AI48" i="95"/>
  <c r="P48" i="95" s="1"/>
  <c r="AD51" i="95"/>
  <c r="AI51" i="95"/>
  <c r="P51" i="95" s="1"/>
  <c r="AD53" i="95"/>
  <c r="AI53" i="95"/>
  <c r="P53" i="95" s="1"/>
  <c r="AI55" i="95"/>
  <c r="P55" i="95" s="1"/>
  <c r="AD57" i="95"/>
  <c r="AI57" i="95"/>
  <c r="P57" i="95" s="1"/>
  <c r="AD64" i="95"/>
  <c r="AI64" i="95"/>
  <c r="P64" i="95" s="1"/>
  <c r="AD75" i="95"/>
  <c r="AI75" i="95"/>
  <c r="P75" i="95" s="1"/>
  <c r="AD77" i="95"/>
  <c r="AI77" i="95"/>
  <c r="P77" i="95" s="1"/>
  <c r="AI78" i="95"/>
  <c r="P78" i="95" s="1"/>
  <c r="AI49" i="95"/>
  <c r="P49" i="95" s="1"/>
  <c r="AI58" i="95"/>
  <c r="P58" i="95" s="1"/>
  <c r="AI65" i="95"/>
  <c r="P65" i="95" s="1"/>
  <c r="AI69" i="95"/>
  <c r="P69" i="95" s="1"/>
  <c r="AI79" i="95"/>
  <c r="P79" i="95" s="1"/>
  <c r="AI86" i="95"/>
  <c r="P86" i="95" s="1"/>
  <c r="U87" i="95"/>
  <c r="P100" i="95"/>
  <c r="AD70" i="94"/>
  <c r="AA70" i="94"/>
  <c r="R119" i="94"/>
  <c r="T106" i="94"/>
  <c r="S106" i="94"/>
  <c r="R106" i="94"/>
  <c r="Y105" i="94"/>
  <c r="U105" i="94"/>
  <c r="Q105" i="94"/>
  <c r="Y104" i="94"/>
  <c r="U104" i="94"/>
  <c r="Q104" i="94"/>
  <c r="Y103" i="94"/>
  <c r="Y102" i="94"/>
  <c r="AI101" i="94"/>
  <c r="AE101" i="94"/>
  <c r="AD101" i="94"/>
  <c r="AB101" i="94"/>
  <c r="AA101" i="94"/>
  <c r="AA106" i="94" s="1"/>
  <c r="Z101" i="94"/>
  <c r="AF101" i="94" s="1"/>
  <c r="Y101" i="94"/>
  <c r="V101" i="94"/>
  <c r="U101" i="94"/>
  <c r="AC101" i="94" s="1"/>
  <c r="Q101" i="94"/>
  <c r="P101" i="94"/>
  <c r="AE100" i="94"/>
  <c r="AF100" i="94" s="1"/>
  <c r="AB100" i="94"/>
  <c r="AA100" i="94"/>
  <c r="Z100" i="94"/>
  <c r="V100" i="94"/>
  <c r="U100" i="94"/>
  <c r="AC100" i="94" s="1"/>
  <c r="Q100" i="94"/>
  <c r="Y100" i="94" s="1"/>
  <c r="AI99" i="94"/>
  <c r="P99" i="94" s="1"/>
  <c r="AE99" i="94"/>
  <c r="AB99" i="94"/>
  <c r="AA99" i="94"/>
  <c r="Z99" i="94"/>
  <c r="V99" i="94"/>
  <c r="Q99" i="94"/>
  <c r="Y99" i="94" s="1"/>
  <c r="AE98" i="94"/>
  <c r="AB98" i="94"/>
  <c r="AA98" i="94"/>
  <c r="Z98" i="94"/>
  <c r="V98" i="94"/>
  <c r="AD98" i="94" s="1"/>
  <c r="U98" i="94"/>
  <c r="Q98" i="94"/>
  <c r="Y98" i="94" s="1"/>
  <c r="AI97" i="94"/>
  <c r="AD97" i="94"/>
  <c r="AB97" i="94"/>
  <c r="AB106" i="94" s="1"/>
  <c r="AC106" i="94" s="1"/>
  <c r="AA97" i="94"/>
  <c r="Z97" i="94"/>
  <c r="Z106" i="94" s="1"/>
  <c r="Y97" i="94"/>
  <c r="V97" i="94"/>
  <c r="U97" i="94"/>
  <c r="Q97" i="94"/>
  <c r="P97" i="94"/>
  <c r="AI96" i="94"/>
  <c r="AF96" i="94"/>
  <c r="AD96" i="94"/>
  <c r="AB96" i="94"/>
  <c r="AA96" i="94"/>
  <c r="Z96" i="94"/>
  <c r="Y96" i="94"/>
  <c r="U96" i="94"/>
  <c r="AC96" i="94" s="1"/>
  <c r="Q96" i="94"/>
  <c r="P96" i="94"/>
  <c r="AI93" i="94"/>
  <c r="AF93" i="94"/>
  <c r="AE93" i="94"/>
  <c r="AD93" i="94"/>
  <c r="AC93" i="94"/>
  <c r="AB93" i="94"/>
  <c r="AA93" i="94"/>
  <c r="Z93" i="94"/>
  <c r="Y93" i="94"/>
  <c r="AI92" i="94"/>
  <c r="AE92" i="94"/>
  <c r="AF92" i="94" s="1"/>
  <c r="AD92" i="94"/>
  <c r="AC92" i="94"/>
  <c r="AB92" i="94"/>
  <c r="AA92" i="94"/>
  <c r="Z92" i="94"/>
  <c r="Y92" i="94"/>
  <c r="AI91" i="94"/>
  <c r="AE91" i="94"/>
  <c r="AD91" i="94"/>
  <c r="AC91" i="94"/>
  <c r="AB91" i="94"/>
  <c r="AA91" i="94"/>
  <c r="Z91" i="94"/>
  <c r="Y91" i="94"/>
  <c r="AI90" i="94"/>
  <c r="AE90" i="94"/>
  <c r="AD90" i="94"/>
  <c r="AC90" i="94"/>
  <c r="AB90" i="94"/>
  <c r="AA90" i="94"/>
  <c r="Z90" i="94"/>
  <c r="Y90" i="94"/>
  <c r="U87" i="94"/>
  <c r="T87" i="94"/>
  <c r="T119" i="94" s="1"/>
  <c r="U119" i="94" s="1"/>
  <c r="S87" i="94"/>
  <c r="S119" i="94" s="1"/>
  <c r="R87" i="94"/>
  <c r="AI86" i="94"/>
  <c r="AE86" i="94"/>
  <c r="AF86" i="94" s="1"/>
  <c r="AC86" i="94"/>
  <c r="AB86" i="94"/>
  <c r="AA86" i="94"/>
  <c r="Z86" i="94"/>
  <c r="Y86" i="94"/>
  <c r="V86" i="94"/>
  <c r="AD86" i="94" s="1"/>
  <c r="U86" i="94"/>
  <c r="Q86" i="94"/>
  <c r="P86" i="94"/>
  <c r="AF85" i="94"/>
  <c r="AE85" i="94"/>
  <c r="AC85" i="94"/>
  <c r="AB85" i="94"/>
  <c r="AA85" i="94"/>
  <c r="Z85" i="94"/>
  <c r="Y85" i="94"/>
  <c r="V85" i="94"/>
  <c r="AI85" i="94" s="1"/>
  <c r="P85" i="94" s="1"/>
  <c r="U85" i="94"/>
  <c r="Q85" i="94"/>
  <c r="AI84" i="94"/>
  <c r="Y84" i="94"/>
  <c r="P84" i="94"/>
  <c r="AI83" i="94"/>
  <c r="P83" i="94" s="1"/>
  <c r="AF83" i="94"/>
  <c r="AB83" i="94"/>
  <c r="AA83" i="94"/>
  <c r="V83" i="94"/>
  <c r="AD83" i="94" s="1"/>
  <c r="U83" i="94"/>
  <c r="AC83" i="94" s="1"/>
  <c r="Q83" i="94"/>
  <c r="Y83" i="94" s="1"/>
  <c r="AI82" i="94"/>
  <c r="P82" i="94" s="1"/>
  <c r="Y82" i="94"/>
  <c r="AF81" i="94"/>
  <c r="AB81" i="94"/>
  <c r="AA81" i="94"/>
  <c r="Z81" i="94"/>
  <c r="V81" i="94"/>
  <c r="AD81" i="94" s="1"/>
  <c r="U81" i="94"/>
  <c r="AC81" i="94" s="1"/>
  <c r="Q81" i="94"/>
  <c r="Y81" i="94" s="1"/>
  <c r="AF80" i="94"/>
  <c r="AC80" i="94"/>
  <c r="AB80" i="94"/>
  <c r="AA80" i="94"/>
  <c r="Z80" i="94"/>
  <c r="Y80" i="94"/>
  <c r="V80" i="94"/>
  <c r="U80" i="94"/>
  <c r="Q80" i="94"/>
  <c r="AI79" i="94"/>
  <c r="AE79" i="94"/>
  <c r="AD79" i="94"/>
  <c r="AC79" i="94"/>
  <c r="AB79" i="94"/>
  <c r="AA79" i="94"/>
  <c r="Z79" i="94"/>
  <c r="AF79" i="94" s="1"/>
  <c r="Y79" i="94"/>
  <c r="V79" i="94"/>
  <c r="U79" i="94"/>
  <c r="Q79" i="94"/>
  <c r="P79" i="94"/>
  <c r="AD78" i="94"/>
  <c r="AC78" i="94"/>
  <c r="AB78" i="94"/>
  <c r="AA78" i="94"/>
  <c r="Z78" i="94"/>
  <c r="AF78" i="94" s="1"/>
  <c r="Y78" i="94"/>
  <c r="V78" i="94"/>
  <c r="AI78" i="94" s="1"/>
  <c r="U78" i="94"/>
  <c r="Q78" i="94"/>
  <c r="P78" i="94"/>
  <c r="AE77" i="94"/>
  <c r="AD77" i="94"/>
  <c r="AB77" i="94"/>
  <c r="AA77" i="94"/>
  <c r="Z77" i="94"/>
  <c r="V77" i="94"/>
  <c r="AI77" i="94" s="1"/>
  <c r="P77" i="94" s="1"/>
  <c r="U77" i="94"/>
  <c r="AC77" i="94" s="1"/>
  <c r="Q77" i="94"/>
  <c r="Y77" i="94" s="1"/>
  <c r="AI76" i="94"/>
  <c r="Y76" i="94"/>
  <c r="P76" i="94"/>
  <c r="AE75" i="94"/>
  <c r="AD75" i="94"/>
  <c r="AB75" i="94"/>
  <c r="AA75" i="94"/>
  <c r="Z75" i="94"/>
  <c r="AF75" i="94" s="1"/>
  <c r="V75" i="94"/>
  <c r="AI75" i="94" s="1"/>
  <c r="P75" i="94" s="1"/>
  <c r="U75" i="94"/>
  <c r="AC75" i="94" s="1"/>
  <c r="Q75" i="94"/>
  <c r="Y75" i="94" s="1"/>
  <c r="AE74" i="94"/>
  <c r="AF74" i="94" s="1"/>
  <c r="AB74" i="94"/>
  <c r="AA74" i="94"/>
  <c r="Z74" i="94"/>
  <c r="V74" i="94"/>
  <c r="AD74" i="94" s="1"/>
  <c r="U74" i="94"/>
  <c r="AC74" i="94" s="1"/>
  <c r="Q74" i="94"/>
  <c r="Y74" i="94" s="1"/>
  <c r="AI73" i="94"/>
  <c r="P73" i="94" s="1"/>
  <c r="AE73" i="94"/>
  <c r="AB73" i="94"/>
  <c r="AA73" i="94"/>
  <c r="Z73" i="94"/>
  <c r="V73" i="94"/>
  <c r="U73" i="94"/>
  <c r="Q73" i="94"/>
  <c r="Y73" i="94" s="1"/>
  <c r="AE72" i="94"/>
  <c r="AF72" i="94" s="1"/>
  <c r="AB72" i="94"/>
  <c r="AA72" i="94"/>
  <c r="Z72" i="94"/>
  <c r="V72" i="94"/>
  <c r="AD72" i="94" s="1"/>
  <c r="U72" i="94"/>
  <c r="AC72" i="94" s="1"/>
  <c r="Q72" i="94"/>
  <c r="Y72" i="94" s="1"/>
  <c r="AF71" i="94"/>
  <c r="AB71" i="94"/>
  <c r="AA71" i="94"/>
  <c r="Z71" i="94"/>
  <c r="Y71" i="94"/>
  <c r="V71" i="94"/>
  <c r="U71" i="94"/>
  <c r="AC71" i="94" s="1"/>
  <c r="Q71" i="94"/>
  <c r="AE70" i="94"/>
  <c r="AF70" i="94" s="1"/>
  <c r="AC70" i="94"/>
  <c r="AB70" i="94"/>
  <c r="Y70" i="94"/>
  <c r="V70" i="94"/>
  <c r="AI70" i="94" s="1"/>
  <c r="P70" i="94" s="1"/>
  <c r="U70" i="94"/>
  <c r="Q70" i="94"/>
  <c r="AI69" i="94"/>
  <c r="AE69" i="94"/>
  <c r="AD69" i="94"/>
  <c r="AC69" i="94"/>
  <c r="AB69" i="94"/>
  <c r="AA69" i="94"/>
  <c r="Z69" i="94"/>
  <c r="AF69" i="94" s="1"/>
  <c r="Y69" i="94"/>
  <c r="V69" i="94"/>
  <c r="U69" i="94"/>
  <c r="Q69" i="94"/>
  <c r="P69" i="94"/>
  <c r="AI68" i="94"/>
  <c r="AE68" i="94"/>
  <c r="AD68" i="94"/>
  <c r="AB68" i="94"/>
  <c r="AA68" i="94"/>
  <c r="Z68" i="94"/>
  <c r="AF68" i="94" s="1"/>
  <c r="V68" i="94"/>
  <c r="U68" i="94"/>
  <c r="AC68" i="94" s="1"/>
  <c r="Q68" i="94"/>
  <c r="Y68" i="94" s="1"/>
  <c r="P68" i="94"/>
  <c r="AE67" i="94"/>
  <c r="AF67" i="94" s="1"/>
  <c r="AB67" i="94"/>
  <c r="AA67" i="94"/>
  <c r="Z67" i="94"/>
  <c r="V67" i="94"/>
  <c r="AD67" i="94" s="1"/>
  <c r="U67" i="94"/>
  <c r="AC67" i="94" s="1"/>
  <c r="Q67" i="94"/>
  <c r="Y67" i="94" s="1"/>
  <c r="AE66" i="94"/>
  <c r="AF66" i="94" s="1"/>
  <c r="AB66" i="94"/>
  <c r="AA66" i="94"/>
  <c r="Z66" i="94"/>
  <c r="Y66" i="94"/>
  <c r="V66" i="94"/>
  <c r="U66" i="94"/>
  <c r="AC66" i="94" s="1"/>
  <c r="Q66" i="94"/>
  <c r="AI65" i="94"/>
  <c r="P65" i="94" s="1"/>
  <c r="AE65" i="94"/>
  <c r="AC65" i="94"/>
  <c r="AB65" i="94"/>
  <c r="AA65" i="94"/>
  <c r="Z65" i="94"/>
  <c r="Y65" i="94"/>
  <c r="V65" i="94"/>
  <c r="AD65" i="94" s="1"/>
  <c r="U65" i="94"/>
  <c r="Q65" i="94"/>
  <c r="AI64" i="94"/>
  <c r="AE64" i="94"/>
  <c r="AD64" i="94"/>
  <c r="AB64" i="94"/>
  <c r="AA64" i="94"/>
  <c r="Z64" i="94"/>
  <c r="AF64" i="94" s="1"/>
  <c r="V64" i="94"/>
  <c r="U64" i="94"/>
  <c r="AC64" i="94" s="1"/>
  <c r="Q64" i="94"/>
  <c r="Y64" i="94" s="1"/>
  <c r="P64" i="94"/>
  <c r="AE63" i="94"/>
  <c r="AF63" i="94" s="1"/>
  <c r="AB63" i="94"/>
  <c r="AA63" i="94"/>
  <c r="Z63" i="94"/>
  <c r="V63" i="94"/>
  <c r="AD63" i="94" s="1"/>
  <c r="U63" i="94"/>
  <c r="AC63" i="94" s="1"/>
  <c r="Q63" i="94"/>
  <c r="Y63" i="94" s="1"/>
  <c r="AI62" i="94"/>
  <c r="P62" i="94" s="1"/>
  <c r="Y62" i="94"/>
  <c r="AE61" i="94"/>
  <c r="AF61" i="94" s="1"/>
  <c r="AB61" i="94"/>
  <c r="AA61" i="94"/>
  <c r="Z61" i="94"/>
  <c r="V61" i="94"/>
  <c r="AD61" i="94" s="1"/>
  <c r="U61" i="94"/>
  <c r="AC61" i="94" s="1"/>
  <c r="Q61" i="94"/>
  <c r="Y61" i="94" s="1"/>
  <c r="AE60" i="94"/>
  <c r="AF60" i="94" s="1"/>
  <c r="AB60" i="94"/>
  <c r="AA60" i="94"/>
  <c r="Z60" i="94"/>
  <c r="V60" i="94"/>
  <c r="AI60" i="94" s="1"/>
  <c r="P60" i="94" s="1"/>
  <c r="U60" i="94"/>
  <c r="AC60" i="94" s="1"/>
  <c r="Q60" i="94"/>
  <c r="Y60" i="94" s="1"/>
  <c r="AE59" i="94"/>
  <c r="AF59" i="94" s="1"/>
  <c r="AC59" i="94"/>
  <c r="AB59" i="94"/>
  <c r="AA59" i="94"/>
  <c r="Z59" i="94"/>
  <c r="Y59" i="94"/>
  <c r="V59" i="94"/>
  <c r="U59" i="94"/>
  <c r="Q59" i="94"/>
  <c r="AI58" i="94"/>
  <c r="P58" i="94" s="1"/>
  <c r="AE58" i="94"/>
  <c r="AD58" i="94"/>
  <c r="AC58" i="94"/>
  <c r="AB58" i="94"/>
  <c r="AA58" i="94"/>
  <c r="Z58" i="94"/>
  <c r="AF58" i="94" s="1"/>
  <c r="Y58" i="94"/>
  <c r="V58" i="94"/>
  <c r="U58" i="94"/>
  <c r="Q58" i="94"/>
  <c r="AI57" i="94"/>
  <c r="AE57" i="94"/>
  <c r="AD57" i="94"/>
  <c r="AB57" i="94"/>
  <c r="AA57" i="94"/>
  <c r="Z57" i="94"/>
  <c r="AF57" i="94" s="1"/>
  <c r="V57" i="94"/>
  <c r="U57" i="94"/>
  <c r="AC57" i="94" s="1"/>
  <c r="Q57" i="94"/>
  <c r="Y57" i="94" s="1"/>
  <c r="P57" i="94"/>
  <c r="AI56" i="94"/>
  <c r="Y56" i="94"/>
  <c r="P56" i="94"/>
  <c r="AI55" i="94"/>
  <c r="AE55" i="94"/>
  <c r="AD55" i="94"/>
  <c r="AB55" i="94"/>
  <c r="AA55" i="94"/>
  <c r="Z55" i="94"/>
  <c r="AF55" i="94" s="1"/>
  <c r="V55" i="94"/>
  <c r="U55" i="94"/>
  <c r="AC55" i="94" s="1"/>
  <c r="Q55" i="94"/>
  <c r="Y55" i="94" s="1"/>
  <c r="P55" i="94"/>
  <c r="AI54" i="94"/>
  <c r="Y54" i="94"/>
  <c r="P54" i="94"/>
  <c r="AI53" i="94"/>
  <c r="AE53" i="94"/>
  <c r="AD53" i="94"/>
  <c r="AB53" i="94"/>
  <c r="AA53" i="94"/>
  <c r="Z53" i="94"/>
  <c r="AF53" i="94" s="1"/>
  <c r="V53" i="94"/>
  <c r="U53" i="94"/>
  <c r="AC53" i="94" s="1"/>
  <c r="Q53" i="94"/>
  <c r="Y53" i="94" s="1"/>
  <c r="P53" i="94"/>
  <c r="AI52" i="94"/>
  <c r="Y52" i="94"/>
  <c r="P52" i="94"/>
  <c r="AI51" i="94"/>
  <c r="AE51" i="94"/>
  <c r="AD51" i="94"/>
  <c r="AB51" i="94"/>
  <c r="AA51" i="94"/>
  <c r="Z51" i="94"/>
  <c r="Y51" i="94"/>
  <c r="V51" i="94"/>
  <c r="U51" i="94"/>
  <c r="AC51" i="94" s="1"/>
  <c r="P51" i="94"/>
  <c r="AF50" i="94"/>
  <c r="AC50" i="94"/>
  <c r="AB50" i="94"/>
  <c r="AA50" i="94"/>
  <c r="Y50" i="94"/>
  <c r="V50" i="94"/>
  <c r="U50" i="94"/>
  <c r="Q50" i="94"/>
  <c r="AI49" i="94"/>
  <c r="AE49" i="94"/>
  <c r="AD49" i="94"/>
  <c r="AC49" i="94"/>
  <c r="AB49" i="94"/>
  <c r="AA49" i="94"/>
  <c r="Z49" i="94"/>
  <c r="AF49" i="94" s="1"/>
  <c r="Y49" i="94"/>
  <c r="V49" i="94"/>
  <c r="U49" i="94"/>
  <c r="Q49" i="94"/>
  <c r="P49" i="94"/>
  <c r="AE48" i="94"/>
  <c r="AD48" i="94"/>
  <c r="AB48" i="94"/>
  <c r="AA48" i="94"/>
  <c r="Z48" i="94"/>
  <c r="AF48" i="94" s="1"/>
  <c r="V48" i="94"/>
  <c r="AI48" i="94" s="1"/>
  <c r="P48" i="94" s="1"/>
  <c r="U48" i="94"/>
  <c r="AC48" i="94" s="1"/>
  <c r="Q48" i="94"/>
  <c r="Y48" i="94" s="1"/>
  <c r="AE47" i="94"/>
  <c r="AF47" i="94" s="1"/>
  <c r="AB47" i="94"/>
  <c r="AA47" i="94"/>
  <c r="Z47" i="94"/>
  <c r="V47" i="94"/>
  <c r="AD47" i="94" s="1"/>
  <c r="U47" i="94"/>
  <c r="AC47" i="94" s="1"/>
  <c r="Q47" i="94"/>
  <c r="Y47" i="94" s="1"/>
  <c r="AF46" i="94"/>
  <c r="AE46" i="94"/>
  <c r="AC46" i="94"/>
  <c r="AB46" i="94"/>
  <c r="AA46" i="94"/>
  <c r="Z46" i="94"/>
  <c r="Y46" i="94"/>
  <c r="V46" i="94"/>
  <c r="U46" i="94"/>
  <c r="Q46" i="94"/>
  <c r="AI45" i="94"/>
  <c r="P45" i="94" s="1"/>
  <c r="AE45" i="94"/>
  <c r="AD45" i="94"/>
  <c r="AC45" i="94"/>
  <c r="AB45" i="94"/>
  <c r="AA45" i="94"/>
  <c r="Z45" i="94"/>
  <c r="AF45" i="94" s="1"/>
  <c r="Y45" i="94"/>
  <c r="V45" i="94"/>
  <c r="U45" i="94"/>
  <c r="Q45" i="94"/>
  <c r="AI44" i="94"/>
  <c r="Y44" i="94"/>
  <c r="AE43" i="94"/>
  <c r="AF43" i="94" s="1"/>
  <c r="AC43" i="94"/>
  <c r="AB43" i="94"/>
  <c r="AA43" i="94"/>
  <c r="Z43" i="94"/>
  <c r="Y43" i="94"/>
  <c r="V43" i="94"/>
  <c r="U43" i="94"/>
  <c r="Q43" i="94"/>
  <c r="AI42" i="94"/>
  <c r="P42" i="94" s="1"/>
  <c r="AE42" i="94"/>
  <c r="AD42" i="94"/>
  <c r="AC42" i="94"/>
  <c r="AB42" i="94"/>
  <c r="AA42" i="94"/>
  <c r="Z42" i="94"/>
  <c r="AF42" i="94" s="1"/>
  <c r="Y42" i="94"/>
  <c r="V42" i="94"/>
  <c r="U42" i="94"/>
  <c r="Q42" i="94"/>
  <c r="AE41" i="94"/>
  <c r="AD41" i="94"/>
  <c r="AB41" i="94"/>
  <c r="AA41" i="94"/>
  <c r="Z41" i="94"/>
  <c r="AF41" i="94" s="1"/>
  <c r="V41" i="94"/>
  <c r="AI41" i="94" s="1"/>
  <c r="P41" i="94" s="1"/>
  <c r="U41" i="94"/>
  <c r="AC41" i="94" s="1"/>
  <c r="Q41" i="94"/>
  <c r="Y41" i="94" s="1"/>
  <c r="AE40" i="94"/>
  <c r="AF40" i="94" s="1"/>
  <c r="AB40" i="94"/>
  <c r="AA40" i="94"/>
  <c r="Z40" i="94"/>
  <c r="V40" i="94"/>
  <c r="AD40" i="94" s="1"/>
  <c r="U40" i="94"/>
  <c r="AC40" i="94" s="1"/>
  <c r="Q40" i="94"/>
  <c r="Y40" i="94" s="1"/>
  <c r="AE39" i="94"/>
  <c r="AF39" i="94" s="1"/>
  <c r="AB39" i="94"/>
  <c r="AA39" i="94"/>
  <c r="Z39" i="94"/>
  <c r="V39" i="94"/>
  <c r="AD39" i="94" s="1"/>
  <c r="U39" i="94"/>
  <c r="Q39" i="94"/>
  <c r="Y39" i="94" s="1"/>
  <c r="AE38" i="94"/>
  <c r="AF38" i="94" s="1"/>
  <c r="AB38" i="94"/>
  <c r="AA38" i="94"/>
  <c r="Z38" i="94"/>
  <c r="V38" i="94"/>
  <c r="AI38" i="94" s="1"/>
  <c r="P38" i="94" s="1"/>
  <c r="U38" i="94"/>
  <c r="AC38" i="94" s="1"/>
  <c r="Q38" i="94"/>
  <c r="Y38" i="94" s="1"/>
  <c r="AE37" i="94"/>
  <c r="AF37" i="94" s="1"/>
  <c r="AB37" i="94"/>
  <c r="AA37" i="94"/>
  <c r="Z37" i="94"/>
  <c r="Y37" i="94"/>
  <c r="V37" i="94"/>
  <c r="U37" i="94"/>
  <c r="AC37" i="94" s="1"/>
  <c r="Q37" i="94"/>
  <c r="AI36" i="94"/>
  <c r="P36" i="94" s="1"/>
  <c r="AE36" i="94"/>
  <c r="AF36" i="94" s="1"/>
  <c r="AC36" i="94"/>
  <c r="AB36" i="94"/>
  <c r="AA36" i="94"/>
  <c r="Z36" i="94"/>
  <c r="Y36" i="94"/>
  <c r="V36" i="94"/>
  <c r="AD36" i="94" s="1"/>
  <c r="U36" i="94"/>
  <c r="Q36" i="94"/>
  <c r="AI35" i="94"/>
  <c r="AE35" i="94"/>
  <c r="AD35" i="94"/>
  <c r="AB35" i="94"/>
  <c r="AA35" i="94"/>
  <c r="Z35" i="94"/>
  <c r="V35" i="94"/>
  <c r="U35" i="94"/>
  <c r="AC35" i="94" s="1"/>
  <c r="Q35" i="94"/>
  <c r="Y35" i="94" s="1"/>
  <c r="P35" i="94"/>
  <c r="AE34" i="94"/>
  <c r="AB34" i="94"/>
  <c r="AA34" i="94"/>
  <c r="Z34" i="94"/>
  <c r="V34" i="94"/>
  <c r="AD34" i="94" s="1"/>
  <c r="U34" i="94"/>
  <c r="AC34" i="94" s="1"/>
  <c r="Q34" i="94"/>
  <c r="Y34" i="94" s="1"/>
  <c r="AF33" i="94"/>
  <c r="AE33" i="94"/>
  <c r="AB33" i="94"/>
  <c r="AA33" i="94"/>
  <c r="Z33" i="94"/>
  <c r="Y33" i="94"/>
  <c r="V33" i="94"/>
  <c r="U33" i="94"/>
  <c r="AC33" i="94" s="1"/>
  <c r="Q33" i="94"/>
  <c r="AI32" i="94"/>
  <c r="P32" i="94" s="1"/>
  <c r="AE32" i="94"/>
  <c r="AF32" i="94" s="1"/>
  <c r="AC32" i="94"/>
  <c r="AB32" i="94"/>
  <c r="AA32" i="94"/>
  <c r="Z32" i="94"/>
  <c r="Y32" i="94"/>
  <c r="V32" i="94"/>
  <c r="AD32" i="94" s="1"/>
  <c r="U32" i="94"/>
  <c r="Q32" i="94"/>
  <c r="AI31" i="94"/>
  <c r="P31" i="94" s="1"/>
  <c r="AE31" i="94"/>
  <c r="AD31" i="94"/>
  <c r="AB31" i="94"/>
  <c r="AA31" i="94"/>
  <c r="Z31" i="94"/>
  <c r="AF31" i="94" s="1"/>
  <c r="V31" i="94"/>
  <c r="U31" i="94"/>
  <c r="AC31" i="94" s="1"/>
  <c r="Q31" i="94"/>
  <c r="Y31" i="94" s="1"/>
  <c r="AE30" i="94"/>
  <c r="AF30" i="94" s="1"/>
  <c r="AB30" i="94"/>
  <c r="AA30" i="94"/>
  <c r="Z30" i="94"/>
  <c r="V30" i="94"/>
  <c r="AI30" i="94" s="1"/>
  <c r="P30" i="94" s="1"/>
  <c r="U30" i="94"/>
  <c r="AC30" i="94" s="1"/>
  <c r="Q30" i="94"/>
  <c r="Y30" i="94" s="1"/>
  <c r="AE29" i="94"/>
  <c r="AF29" i="94" s="1"/>
  <c r="AC29" i="94"/>
  <c r="AB29" i="94"/>
  <c r="AA29" i="94"/>
  <c r="Z29" i="94"/>
  <c r="V29" i="94"/>
  <c r="AD29" i="94" s="1"/>
  <c r="U29" i="94"/>
  <c r="Q29" i="94"/>
  <c r="Y29" i="94" s="1"/>
  <c r="AI28" i="94"/>
  <c r="P28" i="94" s="1"/>
  <c r="AF28" i="94"/>
  <c r="AD28" i="94"/>
  <c r="AB28" i="94"/>
  <c r="AA28" i="94"/>
  <c r="Y28" i="94"/>
  <c r="V28" i="94"/>
  <c r="U28" i="94"/>
  <c r="AC28" i="94" s="1"/>
  <c r="Q28" i="94"/>
  <c r="AE27" i="94"/>
  <c r="AF27" i="94" s="1"/>
  <c r="AC27" i="94"/>
  <c r="AB27" i="94"/>
  <c r="AA27" i="94"/>
  <c r="Z27" i="94"/>
  <c r="V27" i="94"/>
  <c r="AD27" i="94" s="1"/>
  <c r="U27" i="94"/>
  <c r="Q27" i="94"/>
  <c r="Y27" i="94" s="1"/>
  <c r="AI26" i="94"/>
  <c r="P26" i="94" s="1"/>
  <c r="AE26" i="94"/>
  <c r="AD26" i="94"/>
  <c r="AC26" i="94"/>
  <c r="AB26" i="94"/>
  <c r="AA26" i="94"/>
  <c r="Z26" i="94"/>
  <c r="AF26" i="94" s="1"/>
  <c r="Y26" i="94"/>
  <c r="V26" i="94"/>
  <c r="U26" i="94"/>
  <c r="Q26" i="94"/>
  <c r="AE25" i="94"/>
  <c r="AD25" i="94"/>
  <c r="AB25" i="94"/>
  <c r="AA25" i="94"/>
  <c r="Z25" i="94"/>
  <c r="V25" i="94"/>
  <c r="AI25" i="94" s="1"/>
  <c r="P25" i="94" s="1"/>
  <c r="U25" i="94"/>
  <c r="AC25" i="94" s="1"/>
  <c r="Q25" i="94"/>
  <c r="Y25" i="94" s="1"/>
  <c r="AN24" i="94"/>
  <c r="AF24" i="94"/>
  <c r="AE24" i="94"/>
  <c r="AD24" i="94"/>
  <c r="AB24" i="94"/>
  <c r="AA24" i="94"/>
  <c r="Z24" i="94"/>
  <c r="Y24" i="94"/>
  <c r="V24" i="94"/>
  <c r="AI24" i="94" s="1"/>
  <c r="P24" i="94" s="1"/>
  <c r="U24" i="94"/>
  <c r="Q24" i="94"/>
  <c r="AE23" i="94"/>
  <c r="AF23" i="94" s="1"/>
  <c r="AC23" i="94"/>
  <c r="AB23" i="94"/>
  <c r="AA23" i="94"/>
  <c r="Z23" i="94"/>
  <c r="V23" i="94"/>
  <c r="AD23" i="94" s="1"/>
  <c r="U23" i="94"/>
  <c r="Q23" i="94"/>
  <c r="Y23" i="94" s="1"/>
  <c r="AI22" i="94"/>
  <c r="P22" i="94" s="1"/>
  <c r="AE22" i="94"/>
  <c r="AD22" i="94"/>
  <c r="AC22" i="94"/>
  <c r="AB22" i="94"/>
  <c r="AA22" i="94"/>
  <c r="Z22" i="94"/>
  <c r="Y22" i="94"/>
  <c r="V22" i="94"/>
  <c r="U22" i="94"/>
  <c r="Q22" i="94"/>
  <c r="AE21" i="94"/>
  <c r="AD21" i="94"/>
  <c r="AB21" i="94"/>
  <c r="AA21" i="94"/>
  <c r="Z21" i="94"/>
  <c r="AF21" i="94" s="1"/>
  <c r="V21" i="94"/>
  <c r="AI21" i="94" s="1"/>
  <c r="P21" i="94" s="1"/>
  <c r="U21" i="94"/>
  <c r="AC21" i="94" s="1"/>
  <c r="Q21" i="94"/>
  <c r="Y21" i="94" s="1"/>
  <c r="AI20" i="94"/>
  <c r="Y20" i="94"/>
  <c r="AO19" i="94"/>
  <c r="AM19" i="94"/>
  <c r="AI19" i="94"/>
  <c r="AE19" i="94"/>
  <c r="AF19" i="94" s="1"/>
  <c r="AB19" i="94"/>
  <c r="AA19" i="94"/>
  <c r="Z19" i="94"/>
  <c r="Y19" i="94"/>
  <c r="V19" i="94"/>
  <c r="AD19" i="94" s="1"/>
  <c r="U19" i="94"/>
  <c r="AC19" i="94" s="1"/>
  <c r="Q19" i="94"/>
  <c r="P19" i="94"/>
  <c r="T119" i="93"/>
  <c r="AA106" i="93"/>
  <c r="T106" i="93"/>
  <c r="S106" i="93"/>
  <c r="R106" i="93"/>
  <c r="R119" i="93" s="1"/>
  <c r="Y105" i="93"/>
  <c r="U105" i="93"/>
  <c r="Q105" i="93"/>
  <c r="Y104" i="93"/>
  <c r="U104" i="93"/>
  <c r="Q104" i="93"/>
  <c r="Y103" i="93"/>
  <c r="Y102" i="93"/>
  <c r="AI101" i="93"/>
  <c r="P101" i="93" s="1"/>
  <c r="AD101" i="93"/>
  <c r="AB101" i="93"/>
  <c r="AA101" i="93"/>
  <c r="Z101" i="93"/>
  <c r="V101" i="93"/>
  <c r="U101" i="93"/>
  <c r="AC101" i="93" s="1"/>
  <c r="Q101" i="93"/>
  <c r="Y101" i="93" s="1"/>
  <c r="AB100" i="93"/>
  <c r="AA100" i="93"/>
  <c r="Z100" i="93"/>
  <c r="V100" i="93"/>
  <c r="AI100" i="93" s="1"/>
  <c r="P100" i="93" s="1"/>
  <c r="U100" i="93"/>
  <c r="AC100" i="93" s="1"/>
  <c r="Q100" i="93"/>
  <c r="Y100" i="93" s="1"/>
  <c r="AI99" i="93"/>
  <c r="AB99" i="93"/>
  <c r="AA99" i="93"/>
  <c r="Z99" i="93"/>
  <c r="V99" i="93"/>
  <c r="Q99" i="93"/>
  <c r="Y99" i="93" s="1"/>
  <c r="P99" i="93"/>
  <c r="AB98" i="93"/>
  <c r="AA98" i="93"/>
  <c r="Z98" i="93"/>
  <c r="AF98" i="93" s="1"/>
  <c r="Y98" i="93"/>
  <c r="V98" i="93"/>
  <c r="U98" i="93"/>
  <c r="Q98" i="93"/>
  <c r="AI97" i="93"/>
  <c r="P97" i="93" s="1"/>
  <c r="AD97" i="93"/>
  <c r="AC97" i="93"/>
  <c r="AB97" i="93"/>
  <c r="AB106" i="93" s="1"/>
  <c r="AA97" i="93"/>
  <c r="Z97" i="93"/>
  <c r="Y97" i="93"/>
  <c r="V97" i="93"/>
  <c r="U97" i="93"/>
  <c r="U106" i="93" s="1"/>
  <c r="Q97" i="93"/>
  <c r="AI96" i="93"/>
  <c r="AF96" i="93"/>
  <c r="AD96" i="93"/>
  <c r="AB96" i="93"/>
  <c r="AA96" i="93"/>
  <c r="Z96" i="93"/>
  <c r="Y96" i="93"/>
  <c r="U96" i="93"/>
  <c r="AC96" i="93" s="1"/>
  <c r="Q96" i="93"/>
  <c r="P96" i="93"/>
  <c r="AI93" i="93"/>
  <c r="AE93" i="93"/>
  <c r="AF93" i="93" s="1"/>
  <c r="AD93" i="93"/>
  <c r="AC93" i="93"/>
  <c r="AB93" i="93"/>
  <c r="AA93" i="93"/>
  <c r="Z93" i="93"/>
  <c r="Y93" i="93"/>
  <c r="AI92" i="93"/>
  <c r="AE92" i="93"/>
  <c r="AF92" i="93" s="1"/>
  <c r="AD92" i="93"/>
  <c r="AC92" i="93"/>
  <c r="AB92" i="93"/>
  <c r="AA92" i="93"/>
  <c r="Z92" i="93"/>
  <c r="Y92" i="93"/>
  <c r="AI91" i="93"/>
  <c r="AE91" i="93"/>
  <c r="AD91" i="93"/>
  <c r="AC91" i="93"/>
  <c r="AB91" i="93"/>
  <c r="AA91" i="93"/>
  <c r="Z91" i="93"/>
  <c r="Y91" i="93"/>
  <c r="AI90" i="93"/>
  <c r="AE90" i="93"/>
  <c r="AD90" i="93"/>
  <c r="AC90" i="93"/>
  <c r="AB90" i="93"/>
  <c r="AA90" i="93"/>
  <c r="Z90" i="93"/>
  <c r="Y90" i="93"/>
  <c r="U87" i="93"/>
  <c r="T87" i="93"/>
  <c r="S87" i="93"/>
  <c r="R87" i="93"/>
  <c r="AE86" i="93"/>
  <c r="AF86" i="93" s="1"/>
  <c r="AC86" i="93"/>
  <c r="AB86" i="93"/>
  <c r="AA86" i="93"/>
  <c r="Z86" i="93"/>
  <c r="Y86" i="93"/>
  <c r="V86" i="93"/>
  <c r="AD86" i="93" s="1"/>
  <c r="U86" i="93"/>
  <c r="Q86" i="93"/>
  <c r="AF85" i="93"/>
  <c r="AE85" i="93"/>
  <c r="AC85" i="93"/>
  <c r="AB85" i="93"/>
  <c r="AA85" i="93"/>
  <c r="Z85" i="93"/>
  <c r="Y85" i="93"/>
  <c r="V85" i="93"/>
  <c r="AI85" i="93" s="1"/>
  <c r="P85" i="93" s="1"/>
  <c r="U85" i="93"/>
  <c r="Q85" i="93"/>
  <c r="AI84" i="93"/>
  <c r="P84" i="93" s="1"/>
  <c r="Y84" i="93"/>
  <c r="AI83" i="93"/>
  <c r="AF83" i="93"/>
  <c r="AD83" i="93"/>
  <c r="AB83" i="93"/>
  <c r="AA83" i="93"/>
  <c r="Y83" i="93"/>
  <c r="V83" i="93"/>
  <c r="U83" i="93"/>
  <c r="AC83" i="93" s="1"/>
  <c r="Q83" i="93"/>
  <c r="P83" i="93"/>
  <c r="AI82" i="93"/>
  <c r="Y82" i="93"/>
  <c r="P82" i="93"/>
  <c r="AI81" i="93"/>
  <c r="P81" i="93" s="1"/>
  <c r="AE81" i="93"/>
  <c r="AD81" i="93"/>
  <c r="AC81" i="93"/>
  <c r="AB81" i="93"/>
  <c r="AA81" i="93"/>
  <c r="Z81" i="93"/>
  <c r="Y81" i="93"/>
  <c r="V81" i="93"/>
  <c r="U81" i="93"/>
  <c r="Q81" i="93"/>
  <c r="AF80" i="93"/>
  <c r="AE80" i="93"/>
  <c r="AB80" i="93"/>
  <c r="AA80" i="93"/>
  <c r="Z80" i="93"/>
  <c r="V80" i="93"/>
  <c r="AI80" i="93" s="1"/>
  <c r="P80" i="93" s="1"/>
  <c r="U80" i="93"/>
  <c r="AC80" i="93" s="1"/>
  <c r="Q80" i="93"/>
  <c r="Y80" i="93" s="1"/>
  <c r="AE79" i="93"/>
  <c r="AF79" i="93" s="1"/>
  <c r="AC79" i="93"/>
  <c r="AB79" i="93"/>
  <c r="AA79" i="93"/>
  <c r="Z79" i="93"/>
  <c r="Y79" i="93"/>
  <c r="V79" i="93"/>
  <c r="AD79" i="93" s="1"/>
  <c r="U79" i="93"/>
  <c r="Q79" i="93"/>
  <c r="AF78" i="93"/>
  <c r="AC78" i="93"/>
  <c r="AB78" i="93"/>
  <c r="AA78" i="93"/>
  <c r="Z78" i="93"/>
  <c r="Y78" i="93"/>
  <c r="V78" i="93"/>
  <c r="U78" i="93"/>
  <c r="Q78" i="93"/>
  <c r="AI77" i="93"/>
  <c r="P77" i="93" s="1"/>
  <c r="AE77" i="93"/>
  <c r="AD77" i="93"/>
  <c r="AC77" i="93"/>
  <c r="AB77" i="93"/>
  <c r="AA77" i="93"/>
  <c r="Z77" i="93"/>
  <c r="AF77" i="93" s="1"/>
  <c r="Y77" i="93"/>
  <c r="V77" i="93"/>
  <c r="U77" i="93"/>
  <c r="Q77" i="93"/>
  <c r="AI76" i="93"/>
  <c r="Y76" i="93"/>
  <c r="P76" i="93"/>
  <c r="AI75" i="93"/>
  <c r="P75" i="93" s="1"/>
  <c r="AE75" i="93"/>
  <c r="AD75" i="93"/>
  <c r="AC75" i="93"/>
  <c r="AB75" i="93"/>
  <c r="AA75" i="93"/>
  <c r="Z75" i="93"/>
  <c r="Y75" i="93"/>
  <c r="V75" i="93"/>
  <c r="U75" i="93"/>
  <c r="Q75" i="93"/>
  <c r="AI74" i="93"/>
  <c r="AE74" i="93"/>
  <c r="AD74" i="93"/>
  <c r="AC74" i="93"/>
  <c r="AB74" i="93"/>
  <c r="AA74" i="93"/>
  <c r="Z74" i="93"/>
  <c r="Y74" i="93"/>
  <c r="V74" i="93"/>
  <c r="U74" i="93"/>
  <c r="Q74" i="93"/>
  <c r="P74" i="93"/>
  <c r="AE73" i="93"/>
  <c r="AB73" i="93"/>
  <c r="AA73" i="93"/>
  <c r="Z73" i="93"/>
  <c r="V73" i="93"/>
  <c r="AI73" i="93" s="1"/>
  <c r="P73" i="93" s="1"/>
  <c r="U73" i="93"/>
  <c r="Q73" i="93"/>
  <c r="Y73" i="93" s="1"/>
  <c r="AI72" i="93"/>
  <c r="P72" i="93" s="1"/>
  <c r="AE72" i="93"/>
  <c r="AD72" i="93"/>
  <c r="AB72" i="93"/>
  <c r="AA72" i="93"/>
  <c r="Z72" i="93"/>
  <c r="V72" i="93"/>
  <c r="U72" i="93"/>
  <c r="AC72" i="93" s="1"/>
  <c r="Q72" i="93"/>
  <c r="Y72" i="93" s="1"/>
  <c r="AE71" i="93"/>
  <c r="AB71" i="93"/>
  <c r="AA71" i="93"/>
  <c r="Z71" i="93"/>
  <c r="V71" i="93"/>
  <c r="AI71" i="93" s="1"/>
  <c r="P71" i="93" s="1"/>
  <c r="U71" i="93"/>
  <c r="AC71" i="93" s="1"/>
  <c r="Q71" i="93"/>
  <c r="Y71" i="93" s="1"/>
  <c r="AI70" i="93"/>
  <c r="P70" i="93" s="1"/>
  <c r="AE70" i="93"/>
  <c r="AF70" i="93" s="1"/>
  <c r="AB70" i="93"/>
  <c r="AA70" i="93"/>
  <c r="AD70" i="93" s="1"/>
  <c r="V70" i="93"/>
  <c r="U70" i="93"/>
  <c r="AC70" i="93" s="1"/>
  <c r="Q70" i="93"/>
  <c r="Y70" i="93" s="1"/>
  <c r="AE69" i="93"/>
  <c r="AF69" i="93" s="1"/>
  <c r="AC69" i="93"/>
  <c r="AB69" i="93"/>
  <c r="AA69" i="93"/>
  <c r="Z69" i="93"/>
  <c r="Y69" i="93"/>
  <c r="V69" i="93"/>
  <c r="AD69" i="93" s="1"/>
  <c r="U69" i="93"/>
  <c r="Q69" i="93"/>
  <c r="AI68" i="93"/>
  <c r="AE68" i="93"/>
  <c r="AD68" i="93"/>
  <c r="AC68" i="93"/>
  <c r="AB68" i="93"/>
  <c r="AA68" i="93"/>
  <c r="Z68" i="93"/>
  <c r="V68" i="93"/>
  <c r="U68" i="93"/>
  <c r="Q68" i="93"/>
  <c r="Y68" i="93" s="1"/>
  <c r="P68" i="93"/>
  <c r="AI67" i="93"/>
  <c r="AE67" i="93"/>
  <c r="AD67" i="93"/>
  <c r="AB67" i="93"/>
  <c r="AA67" i="93"/>
  <c r="Z67" i="93"/>
  <c r="AF67" i="93" s="1"/>
  <c r="V67" i="93"/>
  <c r="U67" i="93"/>
  <c r="AC67" i="93" s="1"/>
  <c r="Q67" i="93"/>
  <c r="Y67" i="93" s="1"/>
  <c r="P67" i="93"/>
  <c r="AE66" i="93"/>
  <c r="AB66" i="93"/>
  <c r="AA66" i="93"/>
  <c r="Z66" i="93"/>
  <c r="V66" i="93"/>
  <c r="AI66" i="93" s="1"/>
  <c r="P66" i="93" s="1"/>
  <c r="U66" i="93"/>
  <c r="AC66" i="93" s="1"/>
  <c r="Q66" i="93"/>
  <c r="Y66" i="93" s="1"/>
  <c r="AE65" i="93"/>
  <c r="AF65" i="93" s="1"/>
  <c r="AB65" i="93"/>
  <c r="AA65" i="93"/>
  <c r="Z65" i="93"/>
  <c r="Y65" i="93"/>
  <c r="V65" i="93"/>
  <c r="AD65" i="93" s="1"/>
  <c r="U65" i="93"/>
  <c r="AC65" i="93" s="1"/>
  <c r="Q65" i="93"/>
  <c r="AF64" i="93"/>
  <c r="AE64" i="93"/>
  <c r="AC64" i="93"/>
  <c r="AB64" i="93"/>
  <c r="AA64" i="93"/>
  <c r="Z64" i="93"/>
  <c r="Y64" i="93"/>
  <c r="V64" i="93"/>
  <c r="U64" i="93"/>
  <c r="Q64" i="93"/>
  <c r="AI63" i="93"/>
  <c r="P63" i="93" s="1"/>
  <c r="AE63" i="93"/>
  <c r="AD63" i="93"/>
  <c r="AC63" i="93"/>
  <c r="AB63" i="93"/>
  <c r="AA63" i="93"/>
  <c r="Z63" i="93"/>
  <c r="Y63" i="93"/>
  <c r="V63" i="93"/>
  <c r="U63" i="93"/>
  <c r="Q63" i="93"/>
  <c r="AI62" i="93"/>
  <c r="Y62" i="93"/>
  <c r="P62" i="93"/>
  <c r="AI61" i="93"/>
  <c r="P61" i="93" s="1"/>
  <c r="AE61" i="93"/>
  <c r="AD61" i="93"/>
  <c r="AB61" i="93"/>
  <c r="AA61" i="93"/>
  <c r="Z61" i="93"/>
  <c r="V61" i="93"/>
  <c r="U61" i="93"/>
  <c r="AC61" i="93" s="1"/>
  <c r="Q61" i="93"/>
  <c r="Y61" i="93" s="1"/>
  <c r="AE60" i="93"/>
  <c r="AB60" i="93"/>
  <c r="AA60" i="93"/>
  <c r="Z60" i="93"/>
  <c r="AF60" i="93" s="1"/>
  <c r="V60" i="93"/>
  <c r="AI60" i="93" s="1"/>
  <c r="U60" i="93"/>
  <c r="AC60" i="93" s="1"/>
  <c r="Q60" i="93"/>
  <c r="Y60" i="93" s="1"/>
  <c r="P60" i="93"/>
  <c r="AE59" i="93"/>
  <c r="AB59" i="93"/>
  <c r="AA59" i="93"/>
  <c r="Z59" i="93"/>
  <c r="V59" i="93"/>
  <c r="AI59" i="93" s="1"/>
  <c r="P59" i="93" s="1"/>
  <c r="U59" i="93"/>
  <c r="AC59" i="93" s="1"/>
  <c r="Q59" i="93"/>
  <c r="Y59" i="93" s="1"/>
  <c r="AI58" i="93"/>
  <c r="P58" i="93" s="1"/>
  <c r="AE58" i="93"/>
  <c r="AF58" i="93" s="1"/>
  <c r="AB58" i="93"/>
  <c r="AA58" i="93"/>
  <c r="Z58" i="93"/>
  <c r="Y58" i="93"/>
  <c r="V58" i="93"/>
  <c r="AD58" i="93" s="1"/>
  <c r="U58" i="93"/>
  <c r="AC58" i="93" s="1"/>
  <c r="Q58" i="93"/>
  <c r="AE57" i="93"/>
  <c r="AF57" i="93" s="1"/>
  <c r="AC57" i="93"/>
  <c r="AB57" i="93"/>
  <c r="AA57" i="93"/>
  <c r="Z57" i="93"/>
  <c r="Y57" i="93"/>
  <c r="V57" i="93"/>
  <c r="AD57" i="93" s="1"/>
  <c r="U57" i="93"/>
  <c r="Q57" i="93"/>
  <c r="AI56" i="93"/>
  <c r="P56" i="93" s="1"/>
  <c r="Y56" i="93"/>
  <c r="AE55" i="93"/>
  <c r="AF55" i="93" s="1"/>
  <c r="AC55" i="93"/>
  <c r="AB55" i="93"/>
  <c r="AA55" i="93"/>
  <c r="Z55" i="93"/>
  <c r="Y55" i="93"/>
  <c r="V55" i="93"/>
  <c r="AD55" i="93" s="1"/>
  <c r="U55" i="93"/>
  <c r="Q55" i="93"/>
  <c r="AI54" i="93"/>
  <c r="P54" i="93" s="1"/>
  <c r="Y54" i="93"/>
  <c r="AE53" i="93"/>
  <c r="AF53" i="93" s="1"/>
  <c r="AC53" i="93"/>
  <c r="AB53" i="93"/>
  <c r="AA53" i="93"/>
  <c r="Z53" i="93"/>
  <c r="Y53" i="93"/>
  <c r="V53" i="93"/>
  <c r="AD53" i="93" s="1"/>
  <c r="U53" i="93"/>
  <c r="Q53" i="93"/>
  <c r="AI52" i="93"/>
  <c r="P52" i="93" s="1"/>
  <c r="Y52" i="93"/>
  <c r="AE51" i="93"/>
  <c r="AF51" i="93" s="1"/>
  <c r="AC51" i="93"/>
  <c r="AB51" i="93"/>
  <c r="AA51" i="93"/>
  <c r="Z51" i="93"/>
  <c r="Y51" i="93"/>
  <c r="V51" i="93"/>
  <c r="AD51" i="93" s="1"/>
  <c r="U51" i="93"/>
  <c r="AF50" i="93"/>
  <c r="AB50" i="93"/>
  <c r="AA50" i="93"/>
  <c r="V50" i="93"/>
  <c r="AD50" i="93" s="1"/>
  <c r="U50" i="93"/>
  <c r="AC50" i="93" s="1"/>
  <c r="Q50" i="93"/>
  <c r="Y50" i="93" s="1"/>
  <c r="AE49" i="93"/>
  <c r="AF49" i="93" s="1"/>
  <c r="AB49" i="93"/>
  <c r="AA49" i="93"/>
  <c r="Z49" i="93"/>
  <c r="Y49" i="93"/>
  <c r="V49" i="93"/>
  <c r="AD49" i="93" s="1"/>
  <c r="U49" i="93"/>
  <c r="AC49" i="93" s="1"/>
  <c r="Q49" i="93"/>
  <c r="AE48" i="93"/>
  <c r="AF48" i="93" s="1"/>
  <c r="AC48" i="93"/>
  <c r="AB48" i="93"/>
  <c r="AA48" i="93"/>
  <c r="Z48" i="93"/>
  <c r="Y48" i="93"/>
  <c r="V48" i="93"/>
  <c r="AD48" i="93" s="1"/>
  <c r="U48" i="93"/>
  <c r="Q48" i="93"/>
  <c r="AI47" i="93"/>
  <c r="P47" i="93" s="1"/>
  <c r="AE47" i="93"/>
  <c r="AD47" i="93"/>
  <c r="AC47" i="93"/>
  <c r="AB47" i="93"/>
  <c r="AA47" i="93"/>
  <c r="Z47" i="93"/>
  <c r="AF47" i="93" s="1"/>
  <c r="Y47" i="93"/>
  <c r="V47" i="93"/>
  <c r="U47" i="93"/>
  <c r="Q47" i="93"/>
  <c r="AE46" i="93"/>
  <c r="AF46" i="93" s="1"/>
  <c r="AB46" i="93"/>
  <c r="AA46" i="93"/>
  <c r="Z46" i="93"/>
  <c r="V46" i="93"/>
  <c r="AI46" i="93" s="1"/>
  <c r="P46" i="93" s="1"/>
  <c r="U46" i="93"/>
  <c r="AC46" i="93" s="1"/>
  <c r="Q46" i="93"/>
  <c r="Y46" i="93" s="1"/>
  <c r="AE45" i="93"/>
  <c r="AF45" i="93" s="1"/>
  <c r="AC45" i="93"/>
  <c r="AB45" i="93"/>
  <c r="AA45" i="93"/>
  <c r="Z45" i="93"/>
  <c r="Y45" i="93"/>
  <c r="V45" i="93"/>
  <c r="AD45" i="93" s="1"/>
  <c r="U45" i="93"/>
  <c r="Q45" i="93"/>
  <c r="AI44" i="93"/>
  <c r="Y44" i="93"/>
  <c r="AE43" i="93"/>
  <c r="AB43" i="93"/>
  <c r="AA43" i="93"/>
  <c r="Z43" i="93"/>
  <c r="V43" i="93"/>
  <c r="AI43" i="93" s="1"/>
  <c r="P43" i="93" s="1"/>
  <c r="U43" i="93"/>
  <c r="AC43" i="93" s="1"/>
  <c r="Q43" i="93"/>
  <c r="Y43" i="93" s="1"/>
  <c r="AI42" i="93"/>
  <c r="P42" i="93" s="1"/>
  <c r="AE42" i="93"/>
  <c r="AF42" i="93" s="1"/>
  <c r="AC42" i="93"/>
  <c r="AB42" i="93"/>
  <c r="AA42" i="93"/>
  <c r="Z42" i="93"/>
  <c r="Y42" i="93"/>
  <c r="V42" i="93"/>
  <c r="AD42" i="93" s="1"/>
  <c r="U42" i="93"/>
  <c r="Q42" i="93"/>
  <c r="AI41" i="93"/>
  <c r="P41" i="93" s="1"/>
  <c r="AE41" i="93"/>
  <c r="AD41" i="93"/>
  <c r="AC41" i="93"/>
  <c r="AB41" i="93"/>
  <c r="AA41" i="93"/>
  <c r="Z41" i="93"/>
  <c r="V41" i="93"/>
  <c r="U41" i="93"/>
  <c r="Q41" i="93"/>
  <c r="Y41" i="93" s="1"/>
  <c r="AI40" i="93"/>
  <c r="AE40" i="93"/>
  <c r="AD40" i="93"/>
  <c r="AC40" i="93"/>
  <c r="AB40" i="93"/>
  <c r="AA40" i="93"/>
  <c r="Z40" i="93"/>
  <c r="V40" i="93"/>
  <c r="U40" i="93"/>
  <c r="Q40" i="93"/>
  <c r="Y40" i="93" s="1"/>
  <c r="P40" i="93"/>
  <c r="AE39" i="93"/>
  <c r="AD39" i="93"/>
  <c r="AB39" i="93"/>
  <c r="AA39" i="93"/>
  <c r="Z39" i="93"/>
  <c r="Y39" i="93"/>
  <c r="V39" i="93"/>
  <c r="AI39" i="93" s="1"/>
  <c r="P39" i="93" s="1"/>
  <c r="U39" i="93"/>
  <c r="Q39" i="93"/>
  <c r="AE38" i="93"/>
  <c r="AF38" i="93" s="1"/>
  <c r="AB38" i="93"/>
  <c r="AA38" i="93"/>
  <c r="Z38" i="93"/>
  <c r="Y38" i="93"/>
  <c r="V38" i="93"/>
  <c r="AI38" i="93" s="1"/>
  <c r="P38" i="93" s="1"/>
  <c r="U38" i="93"/>
  <c r="AC38" i="93" s="1"/>
  <c r="Q38" i="93"/>
  <c r="AE37" i="93"/>
  <c r="AB37" i="93"/>
  <c r="AA37" i="93"/>
  <c r="Z37" i="93"/>
  <c r="V37" i="93"/>
  <c r="AI37" i="93" s="1"/>
  <c r="P37" i="93" s="1"/>
  <c r="U37" i="93"/>
  <c r="AC37" i="93" s="1"/>
  <c r="Q37" i="93"/>
  <c r="Y37" i="93" s="1"/>
  <c r="AE36" i="93"/>
  <c r="AF36" i="93" s="1"/>
  <c r="AC36" i="93"/>
  <c r="AB36" i="93"/>
  <c r="AA36" i="93"/>
  <c r="Z36" i="93"/>
  <c r="Y36" i="93"/>
  <c r="V36" i="93"/>
  <c r="AD36" i="93" s="1"/>
  <c r="U36" i="93"/>
  <c r="Q36" i="93"/>
  <c r="AI35" i="93"/>
  <c r="P35" i="93" s="1"/>
  <c r="AE35" i="93"/>
  <c r="AD35" i="93"/>
  <c r="AC35" i="93"/>
  <c r="AB35" i="93"/>
  <c r="AA35" i="93"/>
  <c r="Z35" i="93"/>
  <c r="AF35" i="93" s="1"/>
  <c r="Y35" i="93"/>
  <c r="V35" i="93"/>
  <c r="U35" i="93"/>
  <c r="Q35" i="93"/>
  <c r="AI34" i="93"/>
  <c r="AE34" i="93"/>
  <c r="AD34" i="93"/>
  <c r="AC34" i="93"/>
  <c r="AB34" i="93"/>
  <c r="AA34" i="93"/>
  <c r="Z34" i="93"/>
  <c r="Y34" i="93"/>
  <c r="V34" i="93"/>
  <c r="U34" i="93"/>
  <c r="Q34" i="93"/>
  <c r="P34" i="93"/>
  <c r="AE33" i="93"/>
  <c r="AB33" i="93"/>
  <c r="AA33" i="93"/>
  <c r="Z33" i="93"/>
  <c r="AF33" i="93" s="1"/>
  <c r="V33" i="93"/>
  <c r="AI33" i="93" s="1"/>
  <c r="P33" i="93" s="1"/>
  <c r="U33" i="93"/>
  <c r="AC33" i="93" s="1"/>
  <c r="Q33" i="93"/>
  <c r="Y33" i="93" s="1"/>
  <c r="AF32" i="93"/>
  <c r="AE32" i="93"/>
  <c r="AB32" i="93"/>
  <c r="AA32" i="93"/>
  <c r="Z32" i="93"/>
  <c r="Y32" i="93"/>
  <c r="V32" i="93"/>
  <c r="AD32" i="93" s="1"/>
  <c r="U32" i="93"/>
  <c r="AC32" i="93" s="1"/>
  <c r="Q32" i="93"/>
  <c r="AE31" i="93"/>
  <c r="AF31" i="93" s="1"/>
  <c r="AC31" i="93"/>
  <c r="AB31" i="93"/>
  <c r="AA31" i="93"/>
  <c r="Z31" i="93"/>
  <c r="Y31" i="93"/>
  <c r="V31" i="93"/>
  <c r="U31" i="93"/>
  <c r="Q31" i="93"/>
  <c r="AI30" i="93"/>
  <c r="P30" i="93" s="1"/>
  <c r="AE30" i="93"/>
  <c r="AD30" i="93"/>
  <c r="AB30" i="93"/>
  <c r="AA30" i="93"/>
  <c r="Z30" i="93"/>
  <c r="Y30" i="93"/>
  <c r="V30" i="93"/>
  <c r="U30" i="93"/>
  <c r="AC30" i="93" s="1"/>
  <c r="Q30" i="93"/>
  <c r="AE29" i="93"/>
  <c r="AB29" i="93"/>
  <c r="AA29" i="93"/>
  <c r="Z29" i="93"/>
  <c r="AF29" i="93" s="1"/>
  <c r="V29" i="93"/>
  <c r="AI29" i="93" s="1"/>
  <c r="P29" i="93" s="1"/>
  <c r="U29" i="93"/>
  <c r="AC29" i="93" s="1"/>
  <c r="Q29" i="93"/>
  <c r="Y29" i="93" s="1"/>
  <c r="AI28" i="93"/>
  <c r="P28" i="93" s="1"/>
  <c r="AF28" i="93"/>
  <c r="AB28" i="93"/>
  <c r="AA28" i="93"/>
  <c r="V28" i="93"/>
  <c r="AD28" i="93" s="1"/>
  <c r="U28" i="93"/>
  <c r="AC28" i="93" s="1"/>
  <c r="Q28" i="93"/>
  <c r="Y28" i="93" s="1"/>
  <c r="AE27" i="93"/>
  <c r="AF27" i="93" s="1"/>
  <c r="AB27" i="93"/>
  <c r="AA27" i="93"/>
  <c r="Z27" i="93"/>
  <c r="Y27" i="93"/>
  <c r="V27" i="93"/>
  <c r="U27" i="93"/>
  <c r="AC27" i="93" s="1"/>
  <c r="Q27" i="93"/>
  <c r="AF26" i="93"/>
  <c r="AE26" i="93"/>
  <c r="AC26" i="93"/>
  <c r="AB26" i="93"/>
  <c r="AA26" i="93"/>
  <c r="Z26" i="93"/>
  <c r="Y26" i="93"/>
  <c r="V26" i="93"/>
  <c r="AD26" i="93" s="1"/>
  <c r="U26" i="93"/>
  <c r="Q26" i="93"/>
  <c r="AI25" i="93"/>
  <c r="AE25" i="93"/>
  <c r="AD25" i="93"/>
  <c r="AC25" i="93"/>
  <c r="AB25" i="93"/>
  <c r="AA25" i="93"/>
  <c r="Z25" i="93"/>
  <c r="AF25" i="93" s="1"/>
  <c r="Y25" i="93"/>
  <c r="V25" i="93"/>
  <c r="U25" i="93"/>
  <c r="Q25" i="93"/>
  <c r="P25" i="93"/>
  <c r="AN24" i="93"/>
  <c r="AE24" i="93"/>
  <c r="AB24" i="93"/>
  <c r="AA24" i="93"/>
  <c r="Z24" i="93"/>
  <c r="AF24" i="93" s="1"/>
  <c r="V24" i="93"/>
  <c r="AD24" i="93" s="1"/>
  <c r="U24" i="93"/>
  <c r="Q24" i="93"/>
  <c r="Y24" i="93" s="1"/>
  <c r="AE23" i="93"/>
  <c r="AF23" i="93" s="1"/>
  <c r="AB23" i="93"/>
  <c r="AA23" i="93"/>
  <c r="Z23" i="93"/>
  <c r="Y23" i="93"/>
  <c r="V23" i="93"/>
  <c r="U23" i="93"/>
  <c r="AC23" i="93" s="1"/>
  <c r="Q23" i="93"/>
  <c r="AF22" i="93"/>
  <c r="AE22" i="93"/>
  <c r="AC22" i="93"/>
  <c r="AB22" i="93"/>
  <c r="AA22" i="93"/>
  <c r="Z22" i="93"/>
  <c r="Y22" i="93"/>
  <c r="V22" i="93"/>
  <c r="AD22" i="93" s="1"/>
  <c r="U22" i="93"/>
  <c r="Q22" i="93"/>
  <c r="AI21" i="93"/>
  <c r="P21" i="93" s="1"/>
  <c r="AE21" i="93"/>
  <c r="AD21" i="93"/>
  <c r="AC21" i="93"/>
  <c r="AB21" i="93"/>
  <c r="AA21" i="93"/>
  <c r="Z21" i="93"/>
  <c r="AF21" i="93" s="1"/>
  <c r="Y21" i="93"/>
  <c r="V21" i="93"/>
  <c r="U21" i="93"/>
  <c r="Q21" i="93"/>
  <c r="AI20" i="93"/>
  <c r="Y20" i="93"/>
  <c r="AO19" i="93"/>
  <c r="AM19" i="93"/>
  <c r="AE19" i="93"/>
  <c r="AD19" i="93"/>
  <c r="AB19" i="93"/>
  <c r="AA19" i="93"/>
  <c r="AA87" i="93" s="1"/>
  <c r="AA119" i="93" s="1"/>
  <c r="Z19" i="93"/>
  <c r="V19" i="93"/>
  <c r="AI19" i="93" s="1"/>
  <c r="P19" i="93" s="1"/>
  <c r="U19" i="93"/>
  <c r="AC19" i="93" s="1"/>
  <c r="Q19" i="93"/>
  <c r="Y19" i="93" s="1"/>
  <c r="AF34" i="93" l="1"/>
  <c r="AF40" i="93"/>
  <c r="AF66" i="93"/>
  <c r="AF73" i="93"/>
  <c r="AF75" i="93"/>
  <c r="AF39" i="93"/>
  <c r="AF37" i="93"/>
  <c r="AF41" i="93"/>
  <c r="AF43" i="93"/>
  <c r="AF68" i="93"/>
  <c r="AF74" i="93"/>
  <c r="AF90" i="93"/>
  <c r="AF91" i="93"/>
  <c r="AF25" i="94"/>
  <c r="AF91" i="94"/>
  <c r="AF98" i="94"/>
  <c r="AF35" i="94"/>
  <c r="AF51" i="94"/>
  <c r="AF77" i="94"/>
  <c r="AF73" i="94"/>
  <c r="AF65" i="94"/>
  <c r="AF22" i="94"/>
  <c r="AF99" i="94"/>
  <c r="Z119" i="95"/>
  <c r="AF87" i="95"/>
  <c r="AF119" i="95" s="1"/>
  <c r="K121" i="95" s="1"/>
  <c r="M122" i="95" s="1"/>
  <c r="AB119" i="95"/>
  <c r="AC87" i="95"/>
  <c r="AC119" i="95" s="1"/>
  <c r="AA87" i="94"/>
  <c r="AA119" i="94" s="1"/>
  <c r="AF99" i="93"/>
  <c r="AF100" i="93"/>
  <c r="AF101" i="93"/>
  <c r="AI50" i="94"/>
  <c r="P50" i="94" s="1"/>
  <c r="AD50" i="94"/>
  <c r="AB87" i="94"/>
  <c r="AI23" i="94"/>
  <c r="P23" i="94" s="1"/>
  <c r="AI27" i="94"/>
  <c r="P27" i="94" s="1"/>
  <c r="AI29" i="94"/>
  <c r="P29" i="94" s="1"/>
  <c r="AD33" i="94"/>
  <c r="AI33" i="94"/>
  <c r="P33" i="94" s="1"/>
  <c r="AD59" i="94"/>
  <c r="AI59" i="94"/>
  <c r="P59" i="94" s="1"/>
  <c r="AD71" i="94"/>
  <c r="AI71" i="94"/>
  <c r="P71" i="94" s="1"/>
  <c r="AF90" i="94"/>
  <c r="AD100" i="94"/>
  <c r="AI100" i="94"/>
  <c r="P100" i="94" s="1"/>
  <c r="AD80" i="94"/>
  <c r="AI80" i="94"/>
  <c r="P80" i="94" s="1"/>
  <c r="AD30" i="94"/>
  <c r="AD66" i="94"/>
  <c r="AI66" i="94"/>
  <c r="P66" i="94" s="1"/>
  <c r="Z87" i="94"/>
  <c r="Z119" i="94" s="1"/>
  <c r="AF34" i="94"/>
  <c r="AF87" i="94" s="1"/>
  <c r="AF119" i="94" s="1"/>
  <c r="K121" i="94" s="1"/>
  <c r="M122" i="94" s="1"/>
  <c r="AD37" i="94"/>
  <c r="AI37" i="94"/>
  <c r="P37" i="94" s="1"/>
  <c r="AD43" i="94"/>
  <c r="AI43" i="94"/>
  <c r="P43" i="94" s="1"/>
  <c r="AD46" i="94"/>
  <c r="AI46" i="94"/>
  <c r="P46" i="94" s="1"/>
  <c r="U106" i="94"/>
  <c r="AC97" i="94"/>
  <c r="AI39" i="94"/>
  <c r="P39" i="94" s="1"/>
  <c r="AF97" i="94"/>
  <c r="AF106" i="94" s="1"/>
  <c r="AI34" i="94"/>
  <c r="P34" i="94" s="1"/>
  <c r="AI40" i="94"/>
  <c r="P40" i="94" s="1"/>
  <c r="AI47" i="94"/>
  <c r="P47" i="94" s="1"/>
  <c r="AI61" i="94"/>
  <c r="P61" i="94" s="1"/>
  <c r="AI63" i="94"/>
  <c r="P63" i="94" s="1"/>
  <c r="AI67" i="94"/>
  <c r="P67" i="94" s="1"/>
  <c r="AI72" i="94"/>
  <c r="P72" i="94" s="1"/>
  <c r="AI74" i="94"/>
  <c r="P74" i="94" s="1"/>
  <c r="AI81" i="94"/>
  <c r="P81" i="94" s="1"/>
  <c r="AI98" i="94"/>
  <c r="P98" i="94" s="1"/>
  <c r="AI51" i="93"/>
  <c r="P51" i="93" s="1"/>
  <c r="Z87" i="93"/>
  <c r="AF19" i="93"/>
  <c r="AB87" i="93"/>
  <c r="AI48" i="93"/>
  <c r="P48" i="93" s="1"/>
  <c r="AD27" i="93"/>
  <c r="AI27" i="93"/>
  <c r="P27" i="93" s="1"/>
  <c r="AI50" i="93"/>
  <c r="P50" i="93" s="1"/>
  <c r="AI53" i="93"/>
  <c r="P53" i="93" s="1"/>
  <c r="AI57" i="93"/>
  <c r="P57" i="93" s="1"/>
  <c r="AD66" i="93"/>
  <c r="AF71" i="93"/>
  <c r="AI98" i="93"/>
  <c r="P98" i="93" s="1"/>
  <c r="AD98" i="93"/>
  <c r="U119" i="93"/>
  <c r="AD23" i="93"/>
  <c r="AI23" i="93"/>
  <c r="P23" i="93" s="1"/>
  <c r="AD31" i="93"/>
  <c r="AI31" i="93"/>
  <c r="P31" i="93" s="1"/>
  <c r="AI55" i="93"/>
  <c r="P55" i="93" s="1"/>
  <c r="AF59" i="93"/>
  <c r="AI22" i="93"/>
  <c r="P22" i="93" s="1"/>
  <c r="AI26" i="93"/>
  <c r="P26" i="93" s="1"/>
  <c r="AD33" i="93"/>
  <c r="AI36" i="93"/>
  <c r="P36" i="93" s="1"/>
  <c r="AI49" i="93"/>
  <c r="P49" i="93" s="1"/>
  <c r="AD59" i="93"/>
  <c r="AI64" i="93"/>
  <c r="P64" i="93" s="1"/>
  <c r="AD64" i="93"/>
  <c r="AD78" i="93"/>
  <c r="AI78" i="93"/>
  <c r="P78" i="93" s="1"/>
  <c r="AC106" i="93"/>
  <c r="AD100" i="93"/>
  <c r="AD46" i="93"/>
  <c r="AF63" i="93"/>
  <c r="AD80" i="93"/>
  <c r="AF81" i="93"/>
  <c r="AF97" i="93"/>
  <c r="AI65" i="93"/>
  <c r="P65" i="93" s="1"/>
  <c r="S119" i="93"/>
  <c r="AI24" i="93"/>
  <c r="P24" i="93" s="1"/>
  <c r="AI32" i="93"/>
  <c r="P32" i="93" s="1"/>
  <c r="AD29" i="93"/>
  <c r="AF30" i="93"/>
  <c r="AD37" i="93"/>
  <c r="AD43" i="93"/>
  <c r="AI45" i="93"/>
  <c r="P45" i="93" s="1"/>
  <c r="AF61" i="93"/>
  <c r="AI69" i="93"/>
  <c r="P69" i="93" s="1"/>
  <c r="AD71" i="93"/>
  <c r="AF72" i="93"/>
  <c r="AI79" i="93"/>
  <c r="P79" i="93" s="1"/>
  <c r="AI86" i="93"/>
  <c r="P86" i="93" s="1"/>
  <c r="Z106" i="93"/>
  <c r="AF106" i="93" l="1"/>
  <c r="AB119" i="94"/>
  <c r="AC87" i="94"/>
  <c r="AC119" i="94" s="1"/>
  <c r="AB119" i="93"/>
  <c r="AC87" i="93"/>
  <c r="AC119" i="93" s="1"/>
  <c r="AF87" i="93"/>
  <c r="Z119" i="93"/>
  <c r="AD70" i="90"/>
  <c r="AF119" i="93" l="1"/>
  <c r="K121" i="93" s="1"/>
  <c r="M122" i="93" s="1"/>
  <c r="AI85" i="90"/>
  <c r="U28" i="90" l="1"/>
  <c r="Q28" i="90"/>
  <c r="Q77" i="90" l="1"/>
  <c r="T100" i="91"/>
  <c r="S100" i="91"/>
  <c r="R100" i="91"/>
  <c r="Y99" i="91"/>
  <c r="U99" i="91"/>
  <c r="Q99" i="91"/>
  <c r="Y98" i="91"/>
  <c r="U98" i="91"/>
  <c r="Q98" i="91"/>
  <c r="Y97" i="91"/>
  <c r="Y96" i="91"/>
  <c r="AE95" i="91"/>
  <c r="AB95" i="91"/>
  <c r="AA95" i="91"/>
  <c r="Z95" i="91"/>
  <c r="AF95" i="91" s="1"/>
  <c r="V95" i="91"/>
  <c r="AD95" i="91" s="1"/>
  <c r="U95" i="91"/>
  <c r="AC95" i="91" s="1"/>
  <c r="Q95" i="91"/>
  <c r="Y95" i="91" s="1"/>
  <c r="AF94" i="91"/>
  <c r="AE94" i="91"/>
  <c r="AB94" i="91"/>
  <c r="AA94" i="91"/>
  <c r="Z94" i="91"/>
  <c r="Y94" i="91"/>
  <c r="V94" i="91"/>
  <c r="AD94" i="91" s="1"/>
  <c r="U94" i="91"/>
  <c r="AC94" i="91" s="1"/>
  <c r="Q94" i="91"/>
  <c r="AI93" i="91"/>
  <c r="P93" i="91" s="1"/>
  <c r="AE93" i="91"/>
  <c r="AB93" i="91"/>
  <c r="AA93" i="91"/>
  <c r="Z93" i="91"/>
  <c r="AF93" i="91" s="1"/>
  <c r="V93" i="91"/>
  <c r="Q93" i="91"/>
  <c r="Y93" i="91" s="1"/>
  <c r="AE92" i="91"/>
  <c r="AB92" i="91"/>
  <c r="AA92" i="91"/>
  <c r="Z92" i="91"/>
  <c r="AF92" i="91" s="1"/>
  <c r="V92" i="91"/>
  <c r="AD92" i="91" s="1"/>
  <c r="U92" i="91"/>
  <c r="Q92" i="91"/>
  <c r="Y92" i="91" s="1"/>
  <c r="AI91" i="91"/>
  <c r="AE91" i="91"/>
  <c r="AD91" i="91"/>
  <c r="AB91" i="91"/>
  <c r="AB100" i="91" s="1"/>
  <c r="AA91" i="91"/>
  <c r="AA100" i="91" s="1"/>
  <c r="Z91" i="91"/>
  <c r="Z100" i="91" s="1"/>
  <c r="Y91" i="91"/>
  <c r="V91" i="91"/>
  <c r="U91" i="91"/>
  <c r="U100" i="91" s="1"/>
  <c r="Q91" i="91"/>
  <c r="P91" i="91"/>
  <c r="AI90" i="91"/>
  <c r="AF90" i="91"/>
  <c r="AE90" i="91"/>
  <c r="AD90" i="91"/>
  <c r="AB90" i="91"/>
  <c r="AA90" i="91"/>
  <c r="Z90" i="91"/>
  <c r="Y90" i="91"/>
  <c r="U90" i="91"/>
  <c r="AC90" i="91" s="1"/>
  <c r="Q90" i="91"/>
  <c r="P90" i="91"/>
  <c r="AI87" i="91"/>
  <c r="AF87" i="91"/>
  <c r="AE87" i="91"/>
  <c r="AD87" i="91"/>
  <c r="AC87" i="91"/>
  <c r="AB87" i="91"/>
  <c r="AA87" i="91"/>
  <c r="Z87" i="91"/>
  <c r="Y87" i="91"/>
  <c r="AI86" i="91"/>
  <c r="AF86" i="91"/>
  <c r="AE86" i="91"/>
  <c r="AD86" i="91"/>
  <c r="AC86" i="91"/>
  <c r="AB86" i="91"/>
  <c r="AA86" i="91"/>
  <c r="Z86" i="91"/>
  <c r="Y86" i="91"/>
  <c r="AI85" i="91"/>
  <c r="AE85" i="91"/>
  <c r="AD85" i="91"/>
  <c r="AC85" i="91"/>
  <c r="AB85" i="91"/>
  <c r="AA85" i="91"/>
  <c r="Z85" i="91"/>
  <c r="AF85" i="91" s="1"/>
  <c r="Y85" i="91"/>
  <c r="AI84" i="91"/>
  <c r="AE84" i="91"/>
  <c r="AD84" i="91"/>
  <c r="AC84" i="91"/>
  <c r="AB84" i="91"/>
  <c r="AA84" i="91"/>
  <c r="Z84" i="91"/>
  <c r="AF84" i="91" s="1"/>
  <c r="Y84" i="91"/>
  <c r="U81" i="91"/>
  <c r="T81" i="91"/>
  <c r="T113" i="91" s="1"/>
  <c r="U113" i="91" s="1"/>
  <c r="S81" i="91"/>
  <c r="S113" i="91" s="1"/>
  <c r="R81" i="91"/>
  <c r="R113" i="91" s="1"/>
  <c r="AI80" i="91"/>
  <c r="AE80" i="91"/>
  <c r="AF80" i="91" s="1"/>
  <c r="AC80" i="91"/>
  <c r="AB80" i="91"/>
  <c r="AA80" i="91"/>
  <c r="Z80" i="91"/>
  <c r="Y80" i="91"/>
  <c r="V80" i="91"/>
  <c r="AD80" i="91" s="1"/>
  <c r="U80" i="91"/>
  <c r="Q80" i="91"/>
  <c r="P80" i="91"/>
  <c r="AF79" i="91"/>
  <c r="AE79" i="91"/>
  <c r="AC79" i="91"/>
  <c r="AB79" i="91"/>
  <c r="AA79" i="91"/>
  <c r="Z79" i="91"/>
  <c r="Y79" i="91"/>
  <c r="V79" i="91"/>
  <c r="AI79" i="91" s="1"/>
  <c r="P79" i="91" s="1"/>
  <c r="U79" i="91"/>
  <c r="Q79" i="91"/>
  <c r="AI78" i="91"/>
  <c r="Y78" i="91"/>
  <c r="P78" i="91"/>
  <c r="AI77" i="91"/>
  <c r="P77" i="91" s="1"/>
  <c r="AF77" i="91"/>
  <c r="AB77" i="91"/>
  <c r="AA77" i="91"/>
  <c r="V77" i="91"/>
  <c r="AD77" i="91" s="1"/>
  <c r="U77" i="91"/>
  <c r="AC77" i="91" s="1"/>
  <c r="Q77" i="91"/>
  <c r="Y77" i="91" s="1"/>
  <c r="AI76" i="91"/>
  <c r="P76" i="91" s="1"/>
  <c r="Y76" i="91"/>
  <c r="AE75" i="91"/>
  <c r="AF75" i="91" s="1"/>
  <c r="AB75" i="91"/>
  <c r="AA75" i="91"/>
  <c r="Z75" i="91"/>
  <c r="Y75" i="91"/>
  <c r="V75" i="91"/>
  <c r="AD75" i="91" s="1"/>
  <c r="U75" i="91"/>
  <c r="AC75" i="91" s="1"/>
  <c r="Q75" i="91"/>
  <c r="AF74" i="91"/>
  <c r="AE74" i="91"/>
  <c r="AC74" i="91"/>
  <c r="AB74" i="91"/>
  <c r="AA74" i="91"/>
  <c r="Z74" i="91"/>
  <c r="Y74" i="91"/>
  <c r="V74" i="91"/>
  <c r="AD74" i="91" s="1"/>
  <c r="U74" i="91"/>
  <c r="Q74" i="91"/>
  <c r="AI73" i="91"/>
  <c r="AE73" i="91"/>
  <c r="AD73" i="91"/>
  <c r="AC73" i="91"/>
  <c r="AB73" i="91"/>
  <c r="AA73" i="91"/>
  <c r="Z73" i="91"/>
  <c r="AF73" i="91" s="1"/>
  <c r="Y73" i="91"/>
  <c r="V73" i="91"/>
  <c r="U73" i="91"/>
  <c r="Q73" i="91"/>
  <c r="P73" i="91"/>
  <c r="AD72" i="91"/>
  <c r="AC72" i="91"/>
  <c r="AB72" i="91"/>
  <c r="AA72" i="91"/>
  <c r="Z72" i="91"/>
  <c r="AF72" i="91" s="1"/>
  <c r="Y72" i="91"/>
  <c r="V72" i="91"/>
  <c r="AI72" i="91" s="1"/>
  <c r="P72" i="91" s="1"/>
  <c r="U72" i="91"/>
  <c r="Q72" i="91"/>
  <c r="AE71" i="91"/>
  <c r="AD71" i="91"/>
  <c r="AB71" i="91"/>
  <c r="AA71" i="91"/>
  <c r="Z71" i="91"/>
  <c r="AF71" i="91" s="1"/>
  <c r="V71" i="91"/>
  <c r="AI71" i="91" s="1"/>
  <c r="P71" i="91" s="1"/>
  <c r="U71" i="91"/>
  <c r="AC71" i="91" s="1"/>
  <c r="Q71" i="91"/>
  <c r="Y71" i="91" s="1"/>
  <c r="AI70" i="91"/>
  <c r="Y70" i="91"/>
  <c r="P70" i="91"/>
  <c r="AE69" i="91"/>
  <c r="AD69" i="91"/>
  <c r="AB69" i="91"/>
  <c r="AA69" i="91"/>
  <c r="Z69" i="91"/>
  <c r="AF69" i="91" s="1"/>
  <c r="V69" i="91"/>
  <c r="AI69" i="91" s="1"/>
  <c r="P69" i="91" s="1"/>
  <c r="U69" i="91"/>
  <c r="AC69" i="91" s="1"/>
  <c r="Q69" i="91"/>
  <c r="Y69" i="91" s="1"/>
  <c r="AE68" i="91"/>
  <c r="AF68" i="91" s="1"/>
  <c r="AB68" i="91"/>
  <c r="AA68" i="91"/>
  <c r="Z68" i="91"/>
  <c r="V68" i="91"/>
  <c r="AD68" i="91" s="1"/>
  <c r="U68" i="91"/>
  <c r="AC68" i="91" s="1"/>
  <c r="Q68" i="91"/>
  <c r="Y68" i="91" s="1"/>
  <c r="AI67" i="91"/>
  <c r="P67" i="91" s="1"/>
  <c r="AE67" i="91"/>
  <c r="AB67" i="91"/>
  <c r="AA67" i="91"/>
  <c r="Z67" i="91"/>
  <c r="AF67" i="91" s="1"/>
  <c r="V67" i="91"/>
  <c r="U67" i="91"/>
  <c r="Q67" i="91"/>
  <c r="Y67" i="91" s="1"/>
  <c r="AE66" i="91"/>
  <c r="AF66" i="91" s="1"/>
  <c r="AB66" i="91"/>
  <c r="AA66" i="91"/>
  <c r="Z66" i="91"/>
  <c r="V66" i="91"/>
  <c r="AD66" i="91" s="1"/>
  <c r="U66" i="91"/>
  <c r="AC66" i="91" s="1"/>
  <c r="Q66" i="91"/>
  <c r="Y66" i="91" s="1"/>
  <c r="AF65" i="91"/>
  <c r="AE65" i="91"/>
  <c r="AC65" i="91"/>
  <c r="AB65" i="91"/>
  <c r="AA65" i="91"/>
  <c r="Z65" i="91"/>
  <c r="Y65" i="91"/>
  <c r="V65" i="91"/>
  <c r="U65" i="91"/>
  <c r="Q65" i="91"/>
  <c r="AF64" i="91"/>
  <c r="AE64" i="91"/>
  <c r="AD64" i="91"/>
  <c r="AC64" i="91"/>
  <c r="AB64" i="91"/>
  <c r="AA64" i="91"/>
  <c r="Y64" i="91"/>
  <c r="V64" i="91"/>
  <c r="AI64" i="91" s="1"/>
  <c r="P64" i="91" s="1"/>
  <c r="U64" i="91"/>
  <c r="Q64" i="91"/>
  <c r="AI63" i="91"/>
  <c r="AE63" i="91"/>
  <c r="AD63" i="91"/>
  <c r="AC63" i="91"/>
  <c r="AB63" i="91"/>
  <c r="AA63" i="91"/>
  <c r="Z63" i="91"/>
  <c r="AF63" i="91" s="1"/>
  <c r="Y63" i="91"/>
  <c r="V63" i="91"/>
  <c r="U63" i="91"/>
  <c r="Q63" i="91"/>
  <c r="P63" i="91"/>
  <c r="AI62" i="91"/>
  <c r="AE62" i="91"/>
  <c r="AD62" i="91"/>
  <c r="AB62" i="91"/>
  <c r="AA62" i="91"/>
  <c r="Z62" i="91"/>
  <c r="AF62" i="91" s="1"/>
  <c r="V62" i="91"/>
  <c r="U62" i="91"/>
  <c r="AC62" i="91" s="1"/>
  <c r="Q62" i="91"/>
  <c r="Y62" i="91" s="1"/>
  <c r="P62" i="91"/>
  <c r="AE61" i="91"/>
  <c r="AF61" i="91" s="1"/>
  <c r="AB61" i="91"/>
  <c r="AA61" i="91"/>
  <c r="Z61" i="91"/>
  <c r="V61" i="91"/>
  <c r="AD61" i="91" s="1"/>
  <c r="U61" i="91"/>
  <c r="AC61" i="91" s="1"/>
  <c r="Q61" i="91"/>
  <c r="Y61" i="91" s="1"/>
  <c r="AF60" i="91"/>
  <c r="AE60" i="91"/>
  <c r="AC60" i="91"/>
  <c r="AB60" i="91"/>
  <c r="AA60" i="91"/>
  <c r="Z60" i="91"/>
  <c r="Y60" i="91"/>
  <c r="V60" i="91"/>
  <c r="U60" i="91"/>
  <c r="Q60" i="91"/>
  <c r="AI59" i="91"/>
  <c r="P59" i="91" s="1"/>
  <c r="AE59" i="91"/>
  <c r="AD59" i="91"/>
  <c r="AC59" i="91"/>
  <c r="AB59" i="91"/>
  <c r="AA59" i="91"/>
  <c r="Z59" i="91"/>
  <c r="AF59" i="91" s="1"/>
  <c r="Y59" i="91"/>
  <c r="V59" i="91"/>
  <c r="U59" i="91"/>
  <c r="Q59" i="91"/>
  <c r="AI58" i="91"/>
  <c r="AE58" i="91"/>
  <c r="AD58" i="91"/>
  <c r="AB58" i="91"/>
  <c r="AA58" i="91"/>
  <c r="Z58" i="91"/>
  <c r="AF58" i="91" s="1"/>
  <c r="V58" i="91"/>
  <c r="U58" i="91"/>
  <c r="AC58" i="91" s="1"/>
  <c r="Q58" i="91"/>
  <c r="Y58" i="91" s="1"/>
  <c r="P58" i="91"/>
  <c r="AE57" i="91"/>
  <c r="AF57" i="91" s="1"/>
  <c r="AB57" i="91"/>
  <c r="AA57" i="91"/>
  <c r="Z57" i="91"/>
  <c r="V57" i="91"/>
  <c r="AD57" i="91" s="1"/>
  <c r="U57" i="91"/>
  <c r="AC57" i="91" s="1"/>
  <c r="Q57" i="91"/>
  <c r="Y57" i="91" s="1"/>
  <c r="AI56" i="91"/>
  <c r="P56" i="91" s="1"/>
  <c r="Y56" i="91"/>
  <c r="AE55" i="91"/>
  <c r="AF55" i="91" s="1"/>
  <c r="AB55" i="91"/>
  <c r="AA55" i="91"/>
  <c r="Z55" i="91"/>
  <c r="V55" i="91"/>
  <c r="U55" i="91"/>
  <c r="AC55" i="91" s="1"/>
  <c r="Q55" i="91"/>
  <c r="Y55" i="91" s="1"/>
  <c r="AF54" i="91"/>
  <c r="AE54" i="91"/>
  <c r="AB54" i="91"/>
  <c r="AA54" i="91"/>
  <c r="Z54" i="91"/>
  <c r="V54" i="91"/>
  <c r="AI54" i="91" s="1"/>
  <c r="P54" i="91" s="1"/>
  <c r="U54" i="91"/>
  <c r="AC54" i="91" s="1"/>
  <c r="Q54" i="91"/>
  <c r="Y54" i="91" s="1"/>
  <c r="AF53" i="91"/>
  <c r="AE53" i="91"/>
  <c r="AC53" i="91"/>
  <c r="AB53" i="91"/>
  <c r="AA53" i="91"/>
  <c r="Z53" i="91"/>
  <c r="Y53" i="91"/>
  <c r="V53" i="91"/>
  <c r="AD53" i="91" s="1"/>
  <c r="U53" i="91"/>
  <c r="Q53" i="91"/>
  <c r="AI52" i="91"/>
  <c r="P52" i="91" s="1"/>
  <c r="AE52" i="91"/>
  <c r="AD52" i="91"/>
  <c r="AC52" i="91"/>
  <c r="AB52" i="91"/>
  <c r="AA52" i="91"/>
  <c r="Z52" i="91"/>
  <c r="AF52" i="91" s="1"/>
  <c r="V52" i="91"/>
  <c r="U52" i="91"/>
  <c r="Q52" i="91"/>
  <c r="Y52" i="91" s="1"/>
  <c r="AI51" i="91"/>
  <c r="AE51" i="91"/>
  <c r="AD51" i="91"/>
  <c r="AB51" i="91"/>
  <c r="AA51" i="91"/>
  <c r="Z51" i="91"/>
  <c r="AF51" i="91" s="1"/>
  <c r="V51" i="91"/>
  <c r="U51" i="91"/>
  <c r="AC51" i="91" s="1"/>
  <c r="Q51" i="91"/>
  <c r="Y51" i="91" s="1"/>
  <c r="P51" i="91"/>
  <c r="AI50" i="91"/>
  <c r="Y50" i="91"/>
  <c r="P50" i="91"/>
  <c r="AI49" i="91"/>
  <c r="AE49" i="91"/>
  <c r="AD49" i="91"/>
  <c r="AB49" i="91"/>
  <c r="AA49" i="91"/>
  <c r="Z49" i="91"/>
  <c r="AF49" i="91" s="1"/>
  <c r="V49" i="91"/>
  <c r="U49" i="91"/>
  <c r="AC49" i="91" s="1"/>
  <c r="Q49" i="91"/>
  <c r="Y49" i="91" s="1"/>
  <c r="P49" i="91"/>
  <c r="AI48" i="91"/>
  <c r="Y48" i="91"/>
  <c r="P48" i="91"/>
  <c r="AI47" i="91"/>
  <c r="AE47" i="91"/>
  <c r="AD47" i="91"/>
  <c r="AC47" i="91"/>
  <c r="AB47" i="91"/>
  <c r="AA47" i="91"/>
  <c r="Z47" i="91"/>
  <c r="AF47" i="91" s="1"/>
  <c r="V47" i="91"/>
  <c r="U47" i="91"/>
  <c r="Q47" i="91"/>
  <c r="Y47" i="91" s="1"/>
  <c r="P47" i="91"/>
  <c r="AI46" i="91"/>
  <c r="Y46" i="91"/>
  <c r="P46" i="91"/>
  <c r="AI45" i="91"/>
  <c r="P45" i="91" s="1"/>
  <c r="AE45" i="91"/>
  <c r="AD45" i="91"/>
  <c r="AC45" i="91"/>
  <c r="AB45" i="91"/>
  <c r="AA45" i="91"/>
  <c r="Z45" i="91"/>
  <c r="Y45" i="91"/>
  <c r="V45" i="91"/>
  <c r="U45" i="91"/>
  <c r="AI44" i="91"/>
  <c r="P44" i="91" s="1"/>
  <c r="AF44" i="91"/>
  <c r="AD44" i="91"/>
  <c r="AB44" i="91"/>
  <c r="AA44" i="91"/>
  <c r="Y44" i="91"/>
  <c r="V44" i="91"/>
  <c r="U44" i="91"/>
  <c r="AC44" i="91" s="1"/>
  <c r="Q44" i="91"/>
  <c r="AF43" i="91"/>
  <c r="AE43" i="91"/>
  <c r="AC43" i="91"/>
  <c r="AB43" i="91"/>
  <c r="AA43" i="91"/>
  <c r="Z43" i="91"/>
  <c r="V43" i="91"/>
  <c r="AD43" i="91" s="1"/>
  <c r="U43" i="91"/>
  <c r="Q43" i="91"/>
  <c r="Y43" i="91" s="1"/>
  <c r="AI42" i="91"/>
  <c r="P42" i="91" s="1"/>
  <c r="AE42" i="91"/>
  <c r="AD42" i="91"/>
  <c r="AB42" i="91"/>
  <c r="AA42" i="91"/>
  <c r="Z42" i="91"/>
  <c r="AF42" i="91" s="1"/>
  <c r="V42" i="91"/>
  <c r="U42" i="91"/>
  <c r="AC42" i="91" s="1"/>
  <c r="Q42" i="91"/>
  <c r="Y42" i="91" s="1"/>
  <c r="AF41" i="91"/>
  <c r="AE41" i="91"/>
  <c r="AB41" i="91"/>
  <c r="AA41" i="91"/>
  <c r="Z41" i="91"/>
  <c r="V41" i="91"/>
  <c r="AI41" i="91" s="1"/>
  <c r="P41" i="91" s="1"/>
  <c r="U41" i="91"/>
  <c r="AC41" i="91" s="1"/>
  <c r="Q41" i="91"/>
  <c r="Y41" i="91" s="1"/>
  <c r="AF40" i="91"/>
  <c r="AE40" i="91"/>
  <c r="AC40" i="91"/>
  <c r="AB40" i="91"/>
  <c r="AA40" i="91"/>
  <c r="Z40" i="91"/>
  <c r="Y40" i="91"/>
  <c r="V40" i="91"/>
  <c r="AD40" i="91" s="1"/>
  <c r="U40" i="91"/>
  <c r="Q40" i="91"/>
  <c r="AE39" i="91"/>
  <c r="AD39" i="91"/>
  <c r="AC39" i="91"/>
  <c r="AB39" i="91"/>
  <c r="AA39" i="91"/>
  <c r="Z39" i="91"/>
  <c r="AF39" i="91" s="1"/>
  <c r="V39" i="91"/>
  <c r="AI39" i="91" s="1"/>
  <c r="P39" i="91" s="1"/>
  <c r="U39" i="91"/>
  <c r="Q39" i="91"/>
  <c r="Y39" i="91" s="1"/>
  <c r="AI38" i="91"/>
  <c r="Y38" i="91"/>
  <c r="AE37" i="91"/>
  <c r="AF37" i="91" s="1"/>
  <c r="AB37" i="91"/>
  <c r="AA37" i="91"/>
  <c r="Z37" i="91"/>
  <c r="Y37" i="91"/>
  <c r="V37" i="91"/>
  <c r="AD37" i="91" s="1"/>
  <c r="U37" i="91"/>
  <c r="AC37" i="91" s="1"/>
  <c r="Q37" i="91"/>
  <c r="AI36" i="91"/>
  <c r="AF36" i="91"/>
  <c r="AE36" i="91"/>
  <c r="AC36" i="91"/>
  <c r="AB36" i="91"/>
  <c r="AA36" i="91"/>
  <c r="Z36" i="91"/>
  <c r="Y36" i="91"/>
  <c r="V36" i="91"/>
  <c r="AD36" i="91" s="1"/>
  <c r="U36" i="91"/>
  <c r="Q36" i="91"/>
  <c r="P36" i="91"/>
  <c r="AI35" i="91"/>
  <c r="AE35" i="91"/>
  <c r="AD35" i="91"/>
  <c r="AC35" i="91"/>
  <c r="AB35" i="91"/>
  <c r="AA35" i="91"/>
  <c r="Z35" i="91"/>
  <c r="Y35" i="91"/>
  <c r="V35" i="91"/>
  <c r="U35" i="91"/>
  <c r="Q35" i="91"/>
  <c r="P35" i="91"/>
  <c r="AE34" i="91"/>
  <c r="AB34" i="91"/>
  <c r="AA34" i="91"/>
  <c r="Z34" i="91"/>
  <c r="AF34" i="91" s="1"/>
  <c r="V34" i="91"/>
  <c r="AI34" i="91" s="1"/>
  <c r="P34" i="91" s="1"/>
  <c r="U34" i="91"/>
  <c r="AC34" i="91" s="1"/>
  <c r="Q34" i="91"/>
  <c r="Y34" i="91" s="1"/>
  <c r="AE33" i="91"/>
  <c r="AB33" i="91"/>
  <c r="AA33" i="91"/>
  <c r="Z33" i="91"/>
  <c r="AF33" i="91" s="1"/>
  <c r="V33" i="91"/>
  <c r="AD33" i="91" s="1"/>
  <c r="U33" i="91"/>
  <c r="Q33" i="91"/>
  <c r="Y33" i="91" s="1"/>
  <c r="AF32" i="91"/>
  <c r="AE32" i="91"/>
  <c r="AB32" i="91"/>
  <c r="AA32" i="91"/>
  <c r="Z32" i="91"/>
  <c r="V32" i="91"/>
  <c r="AI32" i="91" s="1"/>
  <c r="P32" i="91" s="1"/>
  <c r="U32" i="91"/>
  <c r="AC32" i="91" s="1"/>
  <c r="Q32" i="91"/>
  <c r="Y32" i="91" s="1"/>
  <c r="AE31" i="91"/>
  <c r="AF31" i="91" s="1"/>
  <c r="AB31" i="91"/>
  <c r="AA31" i="91"/>
  <c r="Z31" i="91"/>
  <c r="Y31" i="91"/>
  <c r="V31" i="91"/>
  <c r="AD31" i="91" s="1"/>
  <c r="U31" i="91"/>
  <c r="AC31" i="91" s="1"/>
  <c r="Q31" i="91"/>
  <c r="AI30" i="91"/>
  <c r="P30" i="91" s="1"/>
  <c r="AF30" i="91"/>
  <c r="AE30" i="91"/>
  <c r="AC30" i="91"/>
  <c r="AB30" i="91"/>
  <c r="AA30" i="91"/>
  <c r="Z30" i="91"/>
  <c r="Y30" i="91"/>
  <c r="V30" i="91"/>
  <c r="AD30" i="91" s="1"/>
  <c r="U30" i="91"/>
  <c r="Q30" i="91"/>
  <c r="AI29" i="91"/>
  <c r="AE29" i="91"/>
  <c r="AD29" i="91"/>
  <c r="AC29" i="91"/>
  <c r="AB29" i="91"/>
  <c r="AA29" i="91"/>
  <c r="Z29" i="91"/>
  <c r="Y29" i="91"/>
  <c r="V29" i="91"/>
  <c r="U29" i="91"/>
  <c r="Q29" i="91"/>
  <c r="P29" i="91"/>
  <c r="AE28" i="91"/>
  <c r="AB28" i="91"/>
  <c r="AA28" i="91"/>
  <c r="Z28" i="91"/>
  <c r="AF28" i="91" s="1"/>
  <c r="V28" i="91"/>
  <c r="AI28" i="91" s="1"/>
  <c r="P28" i="91" s="1"/>
  <c r="U28" i="91"/>
  <c r="AC28" i="91" s="1"/>
  <c r="Q28" i="91"/>
  <c r="Y28" i="91" s="1"/>
  <c r="AE27" i="91"/>
  <c r="AF27" i="91" s="1"/>
  <c r="AC27" i="91"/>
  <c r="AB27" i="91"/>
  <c r="AA27" i="91"/>
  <c r="Z27" i="91"/>
  <c r="Y27" i="91"/>
  <c r="V27" i="91"/>
  <c r="AD27" i="91" s="1"/>
  <c r="U27" i="91"/>
  <c r="Q27" i="91"/>
  <c r="AI26" i="91"/>
  <c r="AE26" i="91"/>
  <c r="AD26" i="91"/>
  <c r="AC26" i="91"/>
  <c r="AB26" i="91"/>
  <c r="AA26" i="91"/>
  <c r="Z26" i="91"/>
  <c r="AF26" i="91" s="1"/>
  <c r="Y26" i="91"/>
  <c r="V26" i="91"/>
  <c r="U26" i="91"/>
  <c r="Q26" i="91"/>
  <c r="P26" i="91"/>
  <c r="AI25" i="91"/>
  <c r="AE25" i="91"/>
  <c r="AD25" i="91"/>
  <c r="AB25" i="91"/>
  <c r="AA25" i="91"/>
  <c r="Z25" i="91"/>
  <c r="Y25" i="91"/>
  <c r="V25" i="91"/>
  <c r="U25" i="91"/>
  <c r="AC25" i="91" s="1"/>
  <c r="Q25" i="91"/>
  <c r="P25" i="91"/>
  <c r="AE24" i="91"/>
  <c r="AB24" i="91"/>
  <c r="AA24" i="91"/>
  <c r="Z24" i="91"/>
  <c r="AF24" i="91" s="1"/>
  <c r="V24" i="91"/>
  <c r="AI24" i="91" s="1"/>
  <c r="P24" i="91" s="1"/>
  <c r="U24" i="91"/>
  <c r="AC24" i="91" s="1"/>
  <c r="Q24" i="91"/>
  <c r="Y24" i="91" s="1"/>
  <c r="AI23" i="91"/>
  <c r="AE23" i="91"/>
  <c r="AD23" i="91"/>
  <c r="AB23" i="91"/>
  <c r="AA23" i="91"/>
  <c r="Z23" i="91"/>
  <c r="AF23" i="91" s="1"/>
  <c r="Y23" i="91"/>
  <c r="V23" i="91"/>
  <c r="U23" i="91"/>
  <c r="AC23" i="91" s="1"/>
  <c r="Q23" i="91"/>
  <c r="P23" i="91"/>
  <c r="AF22" i="91"/>
  <c r="AC22" i="91"/>
  <c r="AB22" i="91"/>
  <c r="AA22" i="91"/>
  <c r="Y22" i="91"/>
  <c r="V22" i="91"/>
  <c r="AD22" i="91" s="1"/>
  <c r="Q22" i="91"/>
  <c r="AE21" i="91"/>
  <c r="AD21" i="91"/>
  <c r="AC21" i="91"/>
  <c r="AB21" i="91"/>
  <c r="AA21" i="91"/>
  <c r="Z21" i="91"/>
  <c r="AF21" i="91" s="1"/>
  <c r="V21" i="91"/>
  <c r="AI21" i="91" s="1"/>
  <c r="P21" i="91" s="1"/>
  <c r="U21" i="91"/>
  <c r="Q21" i="91"/>
  <c r="Y21" i="91" s="1"/>
  <c r="AI20" i="91"/>
  <c r="AE20" i="91"/>
  <c r="AD20" i="91"/>
  <c r="AB20" i="91"/>
  <c r="AA20" i="91"/>
  <c r="Z20" i="91"/>
  <c r="AF20" i="91" s="1"/>
  <c r="Y20" i="91"/>
  <c r="V20" i="91"/>
  <c r="U20" i="91"/>
  <c r="AC20" i="91" s="1"/>
  <c r="Q20" i="91"/>
  <c r="P20" i="91"/>
  <c r="AF19" i="91"/>
  <c r="AE19" i="91"/>
  <c r="AB19" i="91"/>
  <c r="AA19" i="91"/>
  <c r="Z19" i="91"/>
  <c r="V19" i="91"/>
  <c r="AD19" i="91" s="1"/>
  <c r="U19" i="91"/>
  <c r="AC19" i="91" s="1"/>
  <c r="Q19" i="91"/>
  <c r="Y19" i="91" s="1"/>
  <c r="AN18" i="91"/>
  <c r="AF18" i="91"/>
  <c r="AE18" i="91"/>
  <c r="AD18" i="91"/>
  <c r="AB18" i="91"/>
  <c r="AA18" i="91"/>
  <c r="Z18" i="91"/>
  <c r="Y18" i="91"/>
  <c r="V18" i="91"/>
  <c r="AI18" i="91" s="1"/>
  <c r="P18" i="91" s="1"/>
  <c r="U18" i="91"/>
  <c r="Q18" i="91"/>
  <c r="AE17" i="91"/>
  <c r="AD17" i="91"/>
  <c r="AC17" i="91"/>
  <c r="AB17" i="91"/>
  <c r="AA17" i="91"/>
  <c r="Z17" i="91"/>
  <c r="AF17" i="91" s="1"/>
  <c r="V17" i="91"/>
  <c r="AI17" i="91" s="1"/>
  <c r="P17" i="91" s="1"/>
  <c r="U17" i="91"/>
  <c r="Q17" i="91"/>
  <c r="Y17" i="91" s="1"/>
  <c r="AI16" i="91"/>
  <c r="AE16" i="91"/>
  <c r="AD16" i="91"/>
  <c r="AB16" i="91"/>
  <c r="AA16" i="91"/>
  <c r="Z16" i="91"/>
  <c r="AF16" i="91" s="1"/>
  <c r="Y16" i="91"/>
  <c r="V16" i="91"/>
  <c r="U16" i="91"/>
  <c r="AC16" i="91" s="1"/>
  <c r="Q16" i="91"/>
  <c r="P16" i="91"/>
  <c r="AF15" i="91"/>
  <c r="AE15" i="91"/>
  <c r="AB15" i="91"/>
  <c r="AA15" i="91"/>
  <c r="Z15" i="91"/>
  <c r="V15" i="91"/>
  <c r="AD15" i="91" s="1"/>
  <c r="U15" i="91"/>
  <c r="AC15" i="91" s="1"/>
  <c r="Q15" i="91"/>
  <c r="Y15" i="91" s="1"/>
  <c r="AI14" i="91"/>
  <c r="Y14" i="91"/>
  <c r="AO13" i="91"/>
  <c r="E115" i="91" s="1"/>
  <c r="AM13" i="91"/>
  <c r="AI13" i="91"/>
  <c r="P13" i="91" s="1"/>
  <c r="AE13" i="91"/>
  <c r="AF13" i="91" s="1"/>
  <c r="AC13" i="91"/>
  <c r="AB13" i="91"/>
  <c r="AA13" i="91"/>
  <c r="Z13" i="91"/>
  <c r="Y13" i="91"/>
  <c r="V13" i="91"/>
  <c r="AD13" i="91" s="1"/>
  <c r="U13" i="91"/>
  <c r="Q13" i="91"/>
  <c r="AI31" i="91" l="1"/>
  <c r="P31" i="91" s="1"/>
  <c r="AI37" i="91"/>
  <c r="P37" i="91" s="1"/>
  <c r="AI53" i="91"/>
  <c r="P53" i="91" s="1"/>
  <c r="AD55" i="91"/>
  <c r="AI55" i="91"/>
  <c r="P55" i="91" s="1"/>
  <c r="Z81" i="91"/>
  <c r="Z113" i="91" s="1"/>
  <c r="AI15" i="91"/>
  <c r="P15" i="91" s="1"/>
  <c r="AI19" i="91"/>
  <c r="P19" i="91" s="1"/>
  <c r="AI22" i="91"/>
  <c r="P22" i="91" s="1"/>
  <c r="AD28" i="91"/>
  <c r="AF29" i="91"/>
  <c r="AD34" i="91"/>
  <c r="AF35" i="91"/>
  <c r="AI43" i="91"/>
  <c r="P43" i="91" s="1"/>
  <c r="AF45" i="91"/>
  <c r="AD65" i="91"/>
  <c r="AI65" i="91"/>
  <c r="P65" i="91" s="1"/>
  <c r="AI27" i="91"/>
  <c r="P27" i="91" s="1"/>
  <c r="AI33" i="91"/>
  <c r="P33" i="91" s="1"/>
  <c r="AD41" i="91"/>
  <c r="AA81" i="91"/>
  <c r="AA113" i="91" s="1"/>
  <c r="AB81" i="91"/>
  <c r="AD24" i="91"/>
  <c r="AF25" i="91"/>
  <c r="AF81" i="91" s="1"/>
  <c r="AF113" i="91" s="1"/>
  <c r="K115" i="91" s="1"/>
  <c r="M116" i="91" s="1"/>
  <c r="AI40" i="91"/>
  <c r="P40" i="91" s="1"/>
  <c r="AD60" i="91"/>
  <c r="AI60" i="91"/>
  <c r="P60" i="91" s="1"/>
  <c r="AC100" i="91"/>
  <c r="AI74" i="91"/>
  <c r="P74" i="91" s="1"/>
  <c r="AF91" i="91"/>
  <c r="AF100" i="91" s="1"/>
  <c r="AI94" i="91"/>
  <c r="P94" i="91" s="1"/>
  <c r="AI57" i="91"/>
  <c r="P57" i="91" s="1"/>
  <c r="AI61" i="91"/>
  <c r="P61" i="91" s="1"/>
  <c r="AI66" i="91"/>
  <c r="P66" i="91" s="1"/>
  <c r="AI68" i="91"/>
  <c r="P68" i="91" s="1"/>
  <c r="AI75" i="91"/>
  <c r="P75" i="91" s="1"/>
  <c r="AC91" i="91"/>
  <c r="AI92" i="91"/>
  <c r="P92" i="91" s="1"/>
  <c r="AI95" i="91"/>
  <c r="P95" i="91" s="1"/>
  <c r="Y97" i="90"/>
  <c r="Y98" i="90"/>
  <c r="Y101" i="90"/>
  <c r="Y102" i="90"/>
  <c r="Y103" i="90"/>
  <c r="Y104" i="90"/>
  <c r="Y105" i="90"/>
  <c r="Y96" i="90"/>
  <c r="Y20" i="90"/>
  <c r="Y21" i="90"/>
  <c r="Y22" i="90"/>
  <c r="Y23" i="90"/>
  <c r="Y24" i="90"/>
  <c r="Y26" i="90"/>
  <c r="Y27" i="90"/>
  <c r="Y29" i="90"/>
  <c r="Y30" i="90"/>
  <c r="Y31" i="90"/>
  <c r="Y32" i="90"/>
  <c r="Y33" i="90"/>
  <c r="Y34" i="90"/>
  <c r="Y35" i="90"/>
  <c r="Y36" i="90"/>
  <c r="Y37" i="90"/>
  <c r="Y38" i="90"/>
  <c r="Y39" i="90"/>
  <c r="Y40" i="90"/>
  <c r="Y41" i="90"/>
  <c r="Y42" i="90"/>
  <c r="Y43" i="90"/>
  <c r="Y44" i="90"/>
  <c r="Y45" i="90"/>
  <c r="Y46" i="90"/>
  <c r="Y47" i="90"/>
  <c r="Y48" i="90"/>
  <c r="Y49" i="90"/>
  <c r="Y50" i="90"/>
  <c r="Y51" i="90"/>
  <c r="Y52" i="90"/>
  <c r="Y53" i="90"/>
  <c r="Y54" i="90"/>
  <c r="Y55" i="90"/>
  <c r="Y56" i="90"/>
  <c r="Y57" i="90"/>
  <c r="Y58" i="90"/>
  <c r="Y59" i="90"/>
  <c r="Y60" i="90"/>
  <c r="Y61" i="90"/>
  <c r="Y62" i="90"/>
  <c r="Y63" i="90"/>
  <c r="Y64" i="90"/>
  <c r="Y65" i="90"/>
  <c r="Y66" i="90"/>
  <c r="Y67" i="90"/>
  <c r="Y68" i="90"/>
  <c r="Y69" i="90"/>
  <c r="Y70" i="90"/>
  <c r="Y71" i="90"/>
  <c r="Y72" i="90"/>
  <c r="Y73" i="90"/>
  <c r="Y74" i="90"/>
  <c r="Y75" i="90"/>
  <c r="Y76" i="90"/>
  <c r="Y77" i="90"/>
  <c r="Y78" i="90"/>
  <c r="Y79" i="90"/>
  <c r="Y80" i="90"/>
  <c r="Y81" i="90"/>
  <c r="Y82" i="90"/>
  <c r="Y84" i="90"/>
  <c r="Y85" i="90"/>
  <c r="Y86" i="90"/>
  <c r="Y19" i="90"/>
  <c r="AB113" i="91" l="1"/>
  <c r="AC81" i="91"/>
  <c r="AC113" i="91" s="1"/>
  <c r="Q80" i="90"/>
  <c r="Q83" i="90"/>
  <c r="Y83" i="90" s="1"/>
  <c r="Q79" i="90"/>
  <c r="Q78" i="90"/>
  <c r="Q72" i="90"/>
  <c r="Q70" i="90"/>
  <c r="Q68" i="90"/>
  <c r="Q67" i="90"/>
  <c r="Q60" i="90"/>
  <c r="Q59" i="90"/>
  <c r="Q50" i="90"/>
  <c r="Q46" i="90"/>
  <c r="Q38" i="90"/>
  <c r="Q37" i="90"/>
  <c r="Q34" i="90"/>
  <c r="Q29" i="90"/>
  <c r="Q19" i="90"/>
  <c r="Y28" i="90"/>
  <c r="Q27" i="90"/>
  <c r="Q21" i="90"/>
  <c r="AE45" i="90" l="1"/>
  <c r="AE41" i="90"/>
  <c r="AN24" i="90"/>
  <c r="Q100" i="90"/>
  <c r="Y100" i="90" s="1"/>
  <c r="Q45" i="90" l="1"/>
  <c r="Q24" i="90"/>
  <c r="Q22" i="90"/>
  <c r="Q33" i="90" l="1"/>
  <c r="T106" i="90" l="1"/>
  <c r="S106" i="90"/>
  <c r="R106" i="90"/>
  <c r="U105" i="90"/>
  <c r="Q105" i="90"/>
  <c r="U104" i="90"/>
  <c r="Q104" i="90"/>
  <c r="AE101" i="90"/>
  <c r="AB101" i="90"/>
  <c r="AA101" i="90"/>
  <c r="Z101" i="90"/>
  <c r="V101" i="90"/>
  <c r="AD101" i="90" s="1"/>
  <c r="U101" i="90"/>
  <c r="AC101" i="90" s="1"/>
  <c r="Q101" i="90"/>
  <c r="AE100" i="90"/>
  <c r="AB100" i="90"/>
  <c r="AA100" i="90"/>
  <c r="Z100" i="90"/>
  <c r="V100" i="90"/>
  <c r="AI100" i="90" s="1"/>
  <c r="P100" i="90" s="1"/>
  <c r="U100" i="90"/>
  <c r="AC100" i="90" s="1"/>
  <c r="AE99" i="90"/>
  <c r="AB99" i="90"/>
  <c r="AA99" i="90"/>
  <c r="Z99" i="90"/>
  <c r="V99" i="90"/>
  <c r="AI99" i="90" s="1"/>
  <c r="P99" i="90" s="1"/>
  <c r="Q99" i="90"/>
  <c r="Y99" i="90" s="1"/>
  <c r="AE98" i="90"/>
  <c r="AB98" i="90"/>
  <c r="AA98" i="90"/>
  <c r="Z98" i="90"/>
  <c r="V98" i="90"/>
  <c r="AI98" i="90" s="1"/>
  <c r="P98" i="90" s="1"/>
  <c r="U98" i="90"/>
  <c r="Q98" i="90"/>
  <c r="AE97" i="90"/>
  <c r="AB97" i="90"/>
  <c r="AA97" i="90"/>
  <c r="Z97" i="90"/>
  <c r="V97" i="90"/>
  <c r="AI97" i="90" s="1"/>
  <c r="P97" i="90" s="1"/>
  <c r="U97" i="90"/>
  <c r="Q97" i="90"/>
  <c r="AI96" i="90"/>
  <c r="P96" i="90" s="1"/>
  <c r="AD96" i="90"/>
  <c r="AB96" i="90"/>
  <c r="AA96" i="90"/>
  <c r="Z96" i="90"/>
  <c r="U96" i="90"/>
  <c r="AC96" i="90" s="1"/>
  <c r="Q96" i="90"/>
  <c r="AI93" i="90"/>
  <c r="AE93" i="90"/>
  <c r="AD93" i="90"/>
  <c r="AC93" i="90"/>
  <c r="AB93" i="90"/>
  <c r="AA93" i="90"/>
  <c r="Z93" i="90"/>
  <c r="Y93" i="90"/>
  <c r="AI92" i="90"/>
  <c r="AE92" i="90"/>
  <c r="AD92" i="90"/>
  <c r="AC92" i="90"/>
  <c r="AB92" i="90"/>
  <c r="AA92" i="90"/>
  <c r="Z92" i="90"/>
  <c r="Y92" i="90"/>
  <c r="AI91" i="90"/>
  <c r="AE91" i="90"/>
  <c r="AD91" i="90"/>
  <c r="AC91" i="90"/>
  <c r="AB91" i="90"/>
  <c r="AA91" i="90"/>
  <c r="Z91" i="90"/>
  <c r="Y91" i="90"/>
  <c r="AI90" i="90"/>
  <c r="AE90" i="90"/>
  <c r="AD90" i="90"/>
  <c r="AC90" i="90"/>
  <c r="AB90" i="90"/>
  <c r="AA90" i="90"/>
  <c r="Z90" i="90"/>
  <c r="Y90" i="90"/>
  <c r="T87" i="90"/>
  <c r="S87" i="90"/>
  <c r="R87" i="90"/>
  <c r="AE86" i="90"/>
  <c r="AB86" i="90"/>
  <c r="AA86" i="90"/>
  <c r="Z86" i="90"/>
  <c r="V86" i="90"/>
  <c r="AD86" i="90" s="1"/>
  <c r="U86" i="90"/>
  <c r="AC86" i="90" s="1"/>
  <c r="Q86" i="90"/>
  <c r="AE85" i="90"/>
  <c r="AB85" i="90"/>
  <c r="AA85" i="90"/>
  <c r="Z85" i="90"/>
  <c r="V85" i="90"/>
  <c r="P85" i="90" s="1"/>
  <c r="U85" i="90"/>
  <c r="AC85" i="90" s="1"/>
  <c r="Q85" i="90"/>
  <c r="AI84" i="90"/>
  <c r="P84" i="90" s="1"/>
  <c r="AB83" i="90"/>
  <c r="AA83" i="90"/>
  <c r="AF83" i="90"/>
  <c r="V83" i="90"/>
  <c r="AI83" i="90" s="1"/>
  <c r="P83" i="90" s="1"/>
  <c r="U83" i="90"/>
  <c r="AC83" i="90" s="1"/>
  <c r="AI82" i="90"/>
  <c r="P82" i="90" s="1"/>
  <c r="AE81" i="90"/>
  <c r="AB81" i="90"/>
  <c r="AA81" i="90"/>
  <c r="Z81" i="90"/>
  <c r="V81" i="90"/>
  <c r="AD81" i="90" s="1"/>
  <c r="U81" i="90"/>
  <c r="AC81" i="90" s="1"/>
  <c r="Q81" i="90"/>
  <c r="AE80" i="90"/>
  <c r="AB80" i="90"/>
  <c r="AA80" i="90"/>
  <c r="Z80" i="90"/>
  <c r="V80" i="90"/>
  <c r="AI80" i="90" s="1"/>
  <c r="P80" i="90" s="1"/>
  <c r="U80" i="90"/>
  <c r="AC80" i="90" s="1"/>
  <c r="AE79" i="90"/>
  <c r="AB79" i="90"/>
  <c r="AA79" i="90"/>
  <c r="Z79" i="90"/>
  <c r="V79" i="90"/>
  <c r="AI79" i="90" s="1"/>
  <c r="P79" i="90" s="1"/>
  <c r="U79" i="90"/>
  <c r="AC79" i="90" s="1"/>
  <c r="AB78" i="90"/>
  <c r="AA78" i="90"/>
  <c r="Z78" i="90"/>
  <c r="V78" i="90"/>
  <c r="AI78" i="90" s="1"/>
  <c r="P78" i="90" s="1"/>
  <c r="U78" i="90"/>
  <c r="AC78" i="90" s="1"/>
  <c r="AE77" i="90"/>
  <c r="AB77" i="90"/>
  <c r="AA77" i="90"/>
  <c r="Z77" i="90"/>
  <c r="V77" i="90"/>
  <c r="AD77" i="90" s="1"/>
  <c r="U77" i="90"/>
  <c r="AC77" i="90" s="1"/>
  <c r="AI76" i="90"/>
  <c r="P76" i="90" s="1"/>
  <c r="AE75" i="90"/>
  <c r="AB75" i="90"/>
  <c r="AA75" i="90"/>
  <c r="Z75" i="90"/>
  <c r="V75" i="90"/>
  <c r="AI75" i="90" s="1"/>
  <c r="P75" i="90" s="1"/>
  <c r="U75" i="90"/>
  <c r="AC75" i="90" s="1"/>
  <c r="Q75" i="90"/>
  <c r="AE74" i="90"/>
  <c r="AB74" i="90"/>
  <c r="AA74" i="90"/>
  <c r="Z74" i="90"/>
  <c r="V74" i="90"/>
  <c r="AI74" i="90" s="1"/>
  <c r="P74" i="90" s="1"/>
  <c r="U74" i="90"/>
  <c r="AC74" i="90" s="1"/>
  <c r="Q74" i="90"/>
  <c r="AE73" i="90"/>
  <c r="AB73" i="90"/>
  <c r="AA73" i="90"/>
  <c r="Z73" i="90"/>
  <c r="V73" i="90"/>
  <c r="AI73" i="90" s="1"/>
  <c r="P73" i="90" s="1"/>
  <c r="U73" i="90"/>
  <c r="Q73" i="90"/>
  <c r="AE72" i="90"/>
  <c r="AB72" i="90"/>
  <c r="AA72" i="90"/>
  <c r="Z72" i="90"/>
  <c r="V72" i="90"/>
  <c r="AI72" i="90" s="1"/>
  <c r="P72" i="90" s="1"/>
  <c r="U72" i="90"/>
  <c r="AC72" i="90" s="1"/>
  <c r="AE71" i="90"/>
  <c r="AB71" i="90"/>
  <c r="AA71" i="90"/>
  <c r="Z71" i="90"/>
  <c r="V71" i="90"/>
  <c r="AI71" i="90" s="1"/>
  <c r="P71" i="90" s="1"/>
  <c r="U71" i="90"/>
  <c r="AC71" i="90" s="1"/>
  <c r="Q71" i="90"/>
  <c r="AE70" i="90"/>
  <c r="AF70" i="90" s="1"/>
  <c r="AB70" i="90"/>
  <c r="AA70" i="90"/>
  <c r="V70" i="90"/>
  <c r="AI70" i="90" s="1"/>
  <c r="P70" i="90" s="1"/>
  <c r="U70" i="90"/>
  <c r="AC70" i="90" s="1"/>
  <c r="AE69" i="90"/>
  <c r="AB69" i="90"/>
  <c r="AA69" i="90"/>
  <c r="Z69" i="90"/>
  <c r="V69" i="90"/>
  <c r="AI69" i="90" s="1"/>
  <c r="P69" i="90" s="1"/>
  <c r="U69" i="90"/>
  <c r="AC69" i="90" s="1"/>
  <c r="Q69" i="90"/>
  <c r="AE68" i="90"/>
  <c r="AB68" i="90"/>
  <c r="AA68" i="90"/>
  <c r="Z68" i="90"/>
  <c r="V68" i="90"/>
  <c r="AD68" i="90" s="1"/>
  <c r="U68" i="90"/>
  <c r="AC68" i="90" s="1"/>
  <c r="AE67" i="90"/>
  <c r="AB67" i="90"/>
  <c r="AA67" i="90"/>
  <c r="Z67" i="90"/>
  <c r="V67" i="90"/>
  <c r="AD67" i="90" s="1"/>
  <c r="U67" i="90"/>
  <c r="AC67" i="90" s="1"/>
  <c r="AE66" i="90"/>
  <c r="AB66" i="90"/>
  <c r="AA66" i="90"/>
  <c r="Z66" i="90"/>
  <c r="V66" i="90"/>
  <c r="AD66" i="90" s="1"/>
  <c r="U66" i="90"/>
  <c r="AC66" i="90" s="1"/>
  <c r="Q66" i="90"/>
  <c r="AE65" i="90"/>
  <c r="AB65" i="90"/>
  <c r="AA65" i="90"/>
  <c r="Z65" i="90"/>
  <c r="V65" i="90"/>
  <c r="AI65" i="90" s="1"/>
  <c r="P65" i="90" s="1"/>
  <c r="U65" i="90"/>
  <c r="AC65" i="90" s="1"/>
  <c r="Q65" i="90"/>
  <c r="AE64" i="90"/>
  <c r="AB64" i="90"/>
  <c r="AA64" i="90"/>
  <c r="Z64" i="90"/>
  <c r="V64" i="90"/>
  <c r="AI64" i="90" s="1"/>
  <c r="P64" i="90" s="1"/>
  <c r="U64" i="90"/>
  <c r="AC64" i="90" s="1"/>
  <c r="Q64" i="90"/>
  <c r="AE63" i="90"/>
  <c r="AB63" i="90"/>
  <c r="AA63" i="90"/>
  <c r="Z63" i="90"/>
  <c r="V63" i="90"/>
  <c r="AI63" i="90" s="1"/>
  <c r="P63" i="90" s="1"/>
  <c r="U63" i="90"/>
  <c r="AC63" i="90" s="1"/>
  <c r="Q63" i="90"/>
  <c r="AI62" i="90"/>
  <c r="P62" i="90" s="1"/>
  <c r="AE61" i="90"/>
  <c r="AB61" i="90"/>
  <c r="AA61" i="90"/>
  <c r="Z61" i="90"/>
  <c r="V61" i="90"/>
  <c r="AD61" i="90" s="1"/>
  <c r="U61" i="90"/>
  <c r="AC61" i="90" s="1"/>
  <c r="Q61" i="90"/>
  <c r="AE60" i="90"/>
  <c r="AB60" i="90"/>
  <c r="AA60" i="90"/>
  <c r="Z60" i="90"/>
  <c r="V60" i="90"/>
  <c r="AI60" i="90" s="1"/>
  <c r="P60" i="90" s="1"/>
  <c r="U60" i="90"/>
  <c r="AC60" i="90" s="1"/>
  <c r="AE59" i="90"/>
  <c r="AB59" i="90"/>
  <c r="AA59" i="90"/>
  <c r="Z59" i="90"/>
  <c r="V59" i="90"/>
  <c r="AI59" i="90" s="1"/>
  <c r="P59" i="90" s="1"/>
  <c r="U59" i="90"/>
  <c r="AC59" i="90" s="1"/>
  <c r="AE58" i="90"/>
  <c r="AB58" i="90"/>
  <c r="AA58" i="90"/>
  <c r="Z58" i="90"/>
  <c r="V58" i="90"/>
  <c r="AI58" i="90" s="1"/>
  <c r="P58" i="90" s="1"/>
  <c r="U58" i="90"/>
  <c r="AC58" i="90" s="1"/>
  <c r="Q58" i="90"/>
  <c r="AE57" i="90"/>
  <c r="AB57" i="90"/>
  <c r="AA57" i="90"/>
  <c r="Z57" i="90"/>
  <c r="V57" i="90"/>
  <c r="AI57" i="90" s="1"/>
  <c r="P57" i="90" s="1"/>
  <c r="U57" i="90"/>
  <c r="AC57" i="90" s="1"/>
  <c r="Q57" i="90"/>
  <c r="AI56" i="90"/>
  <c r="P56" i="90" s="1"/>
  <c r="AE55" i="90"/>
  <c r="AB55" i="90"/>
  <c r="AA55" i="90"/>
  <c r="Z55" i="90"/>
  <c r="V55" i="90"/>
  <c r="AD55" i="90" s="1"/>
  <c r="U55" i="90"/>
  <c r="AC55" i="90" s="1"/>
  <c r="Q55" i="90"/>
  <c r="AI54" i="90"/>
  <c r="P54" i="90" s="1"/>
  <c r="AE53" i="90"/>
  <c r="AB53" i="90"/>
  <c r="AA53" i="90"/>
  <c r="Z53" i="90"/>
  <c r="V53" i="90"/>
  <c r="AI53" i="90" s="1"/>
  <c r="P53" i="90" s="1"/>
  <c r="U53" i="90"/>
  <c r="AC53" i="90" s="1"/>
  <c r="Q53" i="90"/>
  <c r="AI52" i="90"/>
  <c r="P52" i="90" s="1"/>
  <c r="AE51" i="90"/>
  <c r="AB51" i="90"/>
  <c r="AA51" i="90"/>
  <c r="Z51" i="90"/>
  <c r="V51" i="90"/>
  <c r="AD51" i="90" s="1"/>
  <c r="U51" i="90"/>
  <c r="AC51" i="90" s="1"/>
  <c r="AF50" i="90"/>
  <c r="AB50" i="90"/>
  <c r="AA50" i="90"/>
  <c r="V50" i="90"/>
  <c r="AD50" i="90" s="1"/>
  <c r="U50" i="90"/>
  <c r="AC50" i="90" s="1"/>
  <c r="AE49" i="90"/>
  <c r="AB49" i="90"/>
  <c r="AA49" i="90"/>
  <c r="Z49" i="90"/>
  <c r="V49" i="90"/>
  <c r="AD49" i="90" s="1"/>
  <c r="U49" i="90"/>
  <c r="AC49" i="90" s="1"/>
  <c r="Q49" i="90"/>
  <c r="AE48" i="90"/>
  <c r="AB48" i="90"/>
  <c r="AA48" i="90"/>
  <c r="Z48" i="90"/>
  <c r="V48" i="90"/>
  <c r="AD48" i="90" s="1"/>
  <c r="U48" i="90"/>
  <c r="AC48" i="90" s="1"/>
  <c r="Q48" i="90"/>
  <c r="AE47" i="90"/>
  <c r="AB47" i="90"/>
  <c r="AA47" i="90"/>
  <c r="Z47" i="90"/>
  <c r="V47" i="90"/>
  <c r="AI47" i="90" s="1"/>
  <c r="P47" i="90" s="1"/>
  <c r="U47" i="90"/>
  <c r="AC47" i="90" s="1"/>
  <c r="Q47" i="90"/>
  <c r="AE46" i="90"/>
  <c r="AB46" i="90"/>
  <c r="AA46" i="90"/>
  <c r="Z46" i="90"/>
  <c r="V46" i="90"/>
  <c r="AI46" i="90" s="1"/>
  <c r="P46" i="90" s="1"/>
  <c r="U46" i="90"/>
  <c r="AC46" i="90" s="1"/>
  <c r="AB45" i="90"/>
  <c r="AA45" i="90"/>
  <c r="Z45" i="90"/>
  <c r="AF45" i="90" s="1"/>
  <c r="V45" i="90"/>
  <c r="AI45" i="90" s="1"/>
  <c r="P45" i="90" s="1"/>
  <c r="U45" i="90"/>
  <c r="AC45" i="90" s="1"/>
  <c r="AI44" i="90"/>
  <c r="AE43" i="90"/>
  <c r="AB43" i="90"/>
  <c r="AA43" i="90"/>
  <c r="Z43" i="90"/>
  <c r="V43" i="90"/>
  <c r="AD43" i="90" s="1"/>
  <c r="U43" i="90"/>
  <c r="AC43" i="90" s="1"/>
  <c r="Q43" i="90"/>
  <c r="AE42" i="90"/>
  <c r="AB42" i="90"/>
  <c r="AA42" i="90"/>
  <c r="Z42" i="90"/>
  <c r="V42" i="90"/>
  <c r="AD42" i="90" s="1"/>
  <c r="U42" i="90"/>
  <c r="AC42" i="90" s="1"/>
  <c r="Q42" i="90"/>
  <c r="AB41" i="90"/>
  <c r="AA41" i="90"/>
  <c r="Z41" i="90"/>
  <c r="AF41" i="90" s="1"/>
  <c r="V41" i="90"/>
  <c r="U41" i="90"/>
  <c r="AC41" i="90" s="1"/>
  <c r="Q41" i="90"/>
  <c r="AE40" i="90"/>
  <c r="AB40" i="90"/>
  <c r="AA40" i="90"/>
  <c r="Z40" i="90"/>
  <c r="V40" i="90"/>
  <c r="AD40" i="90" s="1"/>
  <c r="U40" i="90"/>
  <c r="AC40" i="90" s="1"/>
  <c r="Q40" i="90"/>
  <c r="AE39" i="90"/>
  <c r="AB39" i="90"/>
  <c r="AA39" i="90"/>
  <c r="Z39" i="90"/>
  <c r="V39" i="90"/>
  <c r="AI39" i="90" s="1"/>
  <c r="P39" i="90" s="1"/>
  <c r="U39" i="90"/>
  <c r="Q39" i="90"/>
  <c r="AE38" i="90"/>
  <c r="AB38" i="90"/>
  <c r="AA38" i="90"/>
  <c r="Z38" i="90"/>
  <c r="V38" i="90"/>
  <c r="AI38" i="90" s="1"/>
  <c r="P38" i="90" s="1"/>
  <c r="U38" i="90"/>
  <c r="AC38" i="90" s="1"/>
  <c r="AE37" i="90"/>
  <c r="AB37" i="90"/>
  <c r="AA37" i="90"/>
  <c r="Z37" i="90"/>
  <c r="V37" i="90"/>
  <c r="U37" i="90"/>
  <c r="AC37" i="90" s="1"/>
  <c r="AE36" i="90"/>
  <c r="AB36" i="90"/>
  <c r="AA36" i="90"/>
  <c r="Z36" i="90"/>
  <c r="V36" i="90"/>
  <c r="AI36" i="90" s="1"/>
  <c r="P36" i="90" s="1"/>
  <c r="U36" i="90"/>
  <c r="AC36" i="90" s="1"/>
  <c r="Q36" i="90"/>
  <c r="AE35" i="90"/>
  <c r="AB35" i="90"/>
  <c r="AA35" i="90"/>
  <c r="Z35" i="90"/>
  <c r="V35" i="90"/>
  <c r="AI35" i="90" s="1"/>
  <c r="P35" i="90" s="1"/>
  <c r="U35" i="90"/>
  <c r="AC35" i="90" s="1"/>
  <c r="Q35" i="90"/>
  <c r="AE34" i="90"/>
  <c r="AB34" i="90"/>
  <c r="AA34" i="90"/>
  <c r="Z34" i="90"/>
  <c r="V34" i="90"/>
  <c r="AD34" i="90" s="1"/>
  <c r="U34" i="90"/>
  <c r="AC34" i="90" s="1"/>
  <c r="AE33" i="90"/>
  <c r="AB33" i="90"/>
  <c r="AA33" i="90"/>
  <c r="Z33" i="90"/>
  <c r="V33" i="90"/>
  <c r="AD33" i="90" s="1"/>
  <c r="U33" i="90"/>
  <c r="AC33" i="90" s="1"/>
  <c r="AE32" i="90"/>
  <c r="AB32" i="90"/>
  <c r="AA32" i="90"/>
  <c r="Z32" i="90"/>
  <c r="V32" i="90"/>
  <c r="AD32" i="90" s="1"/>
  <c r="U32" i="90"/>
  <c r="AC32" i="90" s="1"/>
  <c r="Q32" i="90"/>
  <c r="AE31" i="90"/>
  <c r="AB31" i="90"/>
  <c r="AA31" i="90"/>
  <c r="Z31" i="90"/>
  <c r="V31" i="90"/>
  <c r="AI31" i="90" s="1"/>
  <c r="P31" i="90" s="1"/>
  <c r="U31" i="90"/>
  <c r="AC31" i="90" s="1"/>
  <c r="Q31" i="90"/>
  <c r="AE30" i="90"/>
  <c r="AB30" i="90"/>
  <c r="AA30" i="90"/>
  <c r="Z30" i="90"/>
  <c r="V30" i="90"/>
  <c r="AI30" i="90" s="1"/>
  <c r="P30" i="90" s="1"/>
  <c r="U30" i="90"/>
  <c r="AC30" i="90" s="1"/>
  <c r="Q30" i="90"/>
  <c r="AE29" i="90"/>
  <c r="AB29" i="90"/>
  <c r="AA29" i="90"/>
  <c r="Z29" i="90"/>
  <c r="V29" i="90"/>
  <c r="AI29" i="90" s="1"/>
  <c r="P29" i="90" s="1"/>
  <c r="U29" i="90"/>
  <c r="AC29" i="90" s="1"/>
  <c r="AC28" i="90"/>
  <c r="AB28" i="90"/>
  <c r="AA28" i="90"/>
  <c r="V28" i="90"/>
  <c r="AD28" i="90" s="1"/>
  <c r="AE27" i="90"/>
  <c r="AB27" i="90"/>
  <c r="AA27" i="90"/>
  <c r="Z27" i="90"/>
  <c r="V27" i="90"/>
  <c r="AD27" i="90" s="1"/>
  <c r="U27" i="90"/>
  <c r="AC27" i="90" s="1"/>
  <c r="AE26" i="90"/>
  <c r="AB26" i="90"/>
  <c r="AA26" i="90"/>
  <c r="Z26" i="90"/>
  <c r="V26" i="90"/>
  <c r="AD26" i="90" s="1"/>
  <c r="U26" i="90"/>
  <c r="AC26" i="90" s="1"/>
  <c r="Q26" i="90"/>
  <c r="AE25" i="90"/>
  <c r="AB25" i="90"/>
  <c r="AA25" i="90"/>
  <c r="Z25" i="90"/>
  <c r="V25" i="90"/>
  <c r="AD25" i="90" s="1"/>
  <c r="U25" i="90"/>
  <c r="AC25" i="90" s="1"/>
  <c r="Q25" i="90"/>
  <c r="Y25" i="90" s="1"/>
  <c r="AE24" i="90"/>
  <c r="AB24" i="90"/>
  <c r="AA24" i="90"/>
  <c r="Z24" i="90"/>
  <c r="V24" i="90"/>
  <c r="AI24" i="90" s="1"/>
  <c r="P24" i="90" s="1"/>
  <c r="U24" i="90"/>
  <c r="AE23" i="90"/>
  <c r="AB23" i="90"/>
  <c r="AA23" i="90"/>
  <c r="Z23" i="90"/>
  <c r="V23" i="90"/>
  <c r="AD23" i="90" s="1"/>
  <c r="U23" i="90"/>
  <c r="AC23" i="90" s="1"/>
  <c r="Q23" i="90"/>
  <c r="AE22" i="90"/>
  <c r="AB22" i="90"/>
  <c r="AA22" i="90"/>
  <c r="Z22" i="90"/>
  <c r="V22" i="90"/>
  <c r="AI22" i="90" s="1"/>
  <c r="P22" i="90" s="1"/>
  <c r="U22" i="90"/>
  <c r="AC22" i="90" s="1"/>
  <c r="AE21" i="90"/>
  <c r="AB21" i="90"/>
  <c r="AA21" i="90"/>
  <c r="Z21" i="90"/>
  <c r="V21" i="90"/>
  <c r="AI21" i="90" s="1"/>
  <c r="P21" i="90" s="1"/>
  <c r="U21" i="90"/>
  <c r="AC21" i="90" s="1"/>
  <c r="AI20" i="90"/>
  <c r="AM19" i="90"/>
  <c r="AE19" i="90"/>
  <c r="AB19" i="90"/>
  <c r="AA19" i="90"/>
  <c r="Z19" i="90"/>
  <c r="V19" i="90"/>
  <c r="AI19" i="90" s="1"/>
  <c r="P19" i="90" s="1"/>
  <c r="U19" i="90"/>
  <c r="AC19" i="90" s="1"/>
  <c r="AF47" i="90" l="1"/>
  <c r="AF61" i="90"/>
  <c r="T119" i="90"/>
  <c r="AI55" i="90"/>
  <c r="P55" i="90" s="1"/>
  <c r="AD35" i="90"/>
  <c r="AF53" i="90"/>
  <c r="AF55" i="90"/>
  <c r="AB106" i="90"/>
  <c r="AF57" i="90"/>
  <c r="AF39" i="90"/>
  <c r="AF36" i="90"/>
  <c r="AI41" i="90"/>
  <c r="P41" i="90" s="1"/>
  <c r="AD41" i="90"/>
  <c r="AD57" i="90"/>
  <c r="AF69" i="90"/>
  <c r="AF72" i="90"/>
  <c r="AF79" i="90"/>
  <c r="AD39" i="90"/>
  <c r="AF40" i="90"/>
  <c r="AF58" i="90"/>
  <c r="AF66" i="90"/>
  <c r="U106" i="90"/>
  <c r="AI67" i="90"/>
  <c r="P67" i="90" s="1"/>
  <c r="AI61" i="90"/>
  <c r="P61" i="90" s="1"/>
  <c r="AF49" i="90"/>
  <c r="AI43" i="90"/>
  <c r="P43" i="90" s="1"/>
  <c r="AF42" i="90"/>
  <c r="AF34" i="90"/>
  <c r="AI34" i="90"/>
  <c r="P34" i="90" s="1"/>
  <c r="AI33" i="90"/>
  <c r="P33" i="90" s="1"/>
  <c r="AD31" i="90"/>
  <c r="AF29" i="90"/>
  <c r="AF31" i="90"/>
  <c r="AF64" i="90"/>
  <c r="AF74" i="90"/>
  <c r="AF81" i="90"/>
  <c r="AF97" i="90"/>
  <c r="AF67" i="90"/>
  <c r="AF24" i="90"/>
  <c r="AF37" i="90"/>
  <c r="AF43" i="90"/>
  <c r="AF48" i="90"/>
  <c r="AF21" i="90"/>
  <c r="AF32" i="90"/>
  <c r="AF33" i="90"/>
  <c r="AF46" i="90"/>
  <c r="AF60" i="90"/>
  <c r="AF65" i="90"/>
  <c r="AF71" i="90"/>
  <c r="AF75" i="90"/>
  <c r="AF77" i="90"/>
  <c r="AF78" i="90"/>
  <c r="AF85" i="90"/>
  <c r="AF86" i="90"/>
  <c r="AF90" i="90"/>
  <c r="AF91" i="90"/>
  <c r="AF92" i="90"/>
  <c r="AF93" i="90"/>
  <c r="AF98" i="90"/>
  <c r="AF23" i="90"/>
  <c r="AF96" i="90"/>
  <c r="AF26" i="90"/>
  <c r="AF27" i="90"/>
  <c r="AF30" i="90"/>
  <c r="AF25" i="90"/>
  <c r="AF38" i="90"/>
  <c r="AF51" i="90"/>
  <c r="AF59" i="90"/>
  <c r="AF63" i="90"/>
  <c r="AF101" i="90"/>
  <c r="AF73" i="90"/>
  <c r="AF80" i="90"/>
  <c r="AF99" i="90"/>
  <c r="AF100" i="90"/>
  <c r="AI101" i="90"/>
  <c r="P101" i="90" s="1"/>
  <c r="AA106" i="90"/>
  <c r="R119" i="90"/>
  <c r="S119" i="90"/>
  <c r="AI86" i="90"/>
  <c r="P86" i="90" s="1"/>
  <c r="AI81" i="90"/>
  <c r="P81" i="90" s="1"/>
  <c r="AI77" i="90"/>
  <c r="P77" i="90" s="1"/>
  <c r="AI68" i="90"/>
  <c r="P68" i="90" s="1"/>
  <c r="AI66" i="90"/>
  <c r="P66" i="90" s="1"/>
  <c r="AI51" i="90"/>
  <c r="P51" i="90" s="1"/>
  <c r="AI50" i="90"/>
  <c r="P50" i="90" s="1"/>
  <c r="AI49" i="90"/>
  <c r="P49" i="90" s="1"/>
  <c r="AI48" i="90"/>
  <c r="P48" i="90" s="1"/>
  <c r="AI42" i="90"/>
  <c r="P42" i="90" s="1"/>
  <c r="AI40" i="90"/>
  <c r="P40" i="90" s="1"/>
  <c r="AF35" i="90"/>
  <c r="AI32" i="90"/>
  <c r="P32" i="90" s="1"/>
  <c r="AF28" i="90"/>
  <c r="AI28" i="90"/>
  <c r="P28" i="90" s="1"/>
  <c r="AI27" i="90"/>
  <c r="P27" i="90" s="1"/>
  <c r="AI26" i="90"/>
  <c r="P26" i="90" s="1"/>
  <c r="AI25" i="90"/>
  <c r="P25" i="90" s="1"/>
  <c r="AB87" i="90"/>
  <c r="AD24" i="90"/>
  <c r="AO19" i="90"/>
  <c r="AI23" i="90"/>
  <c r="P23" i="90" s="1"/>
  <c r="AA87" i="90"/>
  <c r="U87" i="90"/>
  <c r="AD30" i="90"/>
  <c r="AD36" i="90"/>
  <c r="AD53" i="90"/>
  <c r="AD19" i="90"/>
  <c r="AD29" i="90"/>
  <c r="AD22" i="90"/>
  <c r="Z87" i="90"/>
  <c r="AD21" i="90"/>
  <c r="AF22" i="90"/>
  <c r="AI37" i="90"/>
  <c r="P37" i="90" s="1"/>
  <c r="AD37" i="90"/>
  <c r="AD63" i="90"/>
  <c r="AF68" i="90"/>
  <c r="AD69" i="90"/>
  <c r="AD45" i="90"/>
  <c r="AD46" i="90"/>
  <c r="AD58" i="90"/>
  <c r="AD64" i="90"/>
  <c r="AD71" i="90"/>
  <c r="AD78" i="90"/>
  <c r="AD83" i="90"/>
  <c r="AC97" i="90"/>
  <c r="AD100" i="90"/>
  <c r="AD47" i="90"/>
  <c r="AD59" i="90"/>
  <c r="AD65" i="90"/>
  <c r="AD72" i="90"/>
  <c r="AD74" i="90"/>
  <c r="AD79" i="90"/>
  <c r="AD97" i="90"/>
  <c r="AD98" i="90"/>
  <c r="Z106" i="90"/>
  <c r="AD75" i="90"/>
  <c r="AD80" i="90"/>
  <c r="AF19" i="90"/>
  <c r="AB119" i="90" l="1"/>
  <c r="AC106" i="90"/>
  <c r="U119" i="90"/>
  <c r="AF106" i="90"/>
  <c r="AA119" i="90"/>
  <c r="AF87" i="90"/>
  <c r="Z119" i="90"/>
  <c r="AC87" i="90"/>
  <c r="Q34" i="89"/>
  <c r="AC46" i="89"/>
  <c r="AF46" i="89"/>
  <c r="AC119" i="90" l="1"/>
  <c r="AF119" i="90"/>
  <c r="K121" i="90" s="1"/>
  <c r="M122" i="90" s="1"/>
  <c r="Q55" i="89"/>
  <c r="V45" i="89" l="1"/>
  <c r="U45" i="89"/>
  <c r="Q45" i="89"/>
  <c r="V44" i="89"/>
  <c r="U44" i="89"/>
  <c r="Q44" i="89"/>
  <c r="V43" i="89"/>
  <c r="U43" i="89"/>
  <c r="Q43" i="89"/>
  <c r="V42" i="89"/>
  <c r="U42" i="89"/>
  <c r="Q42" i="89"/>
  <c r="V41" i="89"/>
  <c r="U41" i="89"/>
  <c r="Q41" i="89"/>
  <c r="V39" i="89"/>
  <c r="U39" i="89"/>
  <c r="Q39" i="89"/>
  <c r="V38" i="89"/>
  <c r="U38" i="89"/>
  <c r="Q38" i="89"/>
  <c r="V37" i="89"/>
  <c r="U37" i="89"/>
  <c r="Q37" i="89"/>
  <c r="V36" i="89"/>
  <c r="U36" i="89"/>
  <c r="Q36" i="89"/>
  <c r="V35" i="89"/>
  <c r="U35" i="89"/>
  <c r="Q35" i="89"/>
  <c r="V34" i="89"/>
  <c r="U34" i="89"/>
  <c r="V33" i="89"/>
  <c r="U33" i="89"/>
  <c r="Q33" i="89"/>
  <c r="V32" i="89"/>
  <c r="U32" i="89"/>
  <c r="Q32" i="89"/>
  <c r="V31" i="89"/>
  <c r="U31" i="89"/>
  <c r="Q31" i="89"/>
  <c r="V30" i="89"/>
  <c r="U30" i="89"/>
  <c r="Q30" i="89"/>
  <c r="V29" i="89"/>
  <c r="U29" i="89"/>
  <c r="Q29" i="89"/>
  <c r="V28" i="89"/>
  <c r="U28" i="89"/>
  <c r="Q28" i="89"/>
  <c r="V27" i="89"/>
  <c r="U27" i="89"/>
  <c r="Q27" i="89"/>
  <c r="V26" i="89"/>
  <c r="U26" i="89"/>
  <c r="Q26" i="89"/>
  <c r="V25" i="89"/>
  <c r="U25" i="89"/>
  <c r="Q25" i="89"/>
  <c r="V24" i="89"/>
  <c r="Q24" i="89"/>
  <c r="V23" i="89"/>
  <c r="U23" i="89"/>
  <c r="Q23" i="89"/>
  <c r="V22" i="89"/>
  <c r="U22" i="89"/>
  <c r="Q22" i="89"/>
  <c r="V21" i="89"/>
  <c r="U21" i="89"/>
  <c r="Q21" i="89"/>
  <c r="V20" i="89"/>
  <c r="U20" i="89"/>
  <c r="Q20" i="89"/>
  <c r="V19" i="89"/>
  <c r="U19" i="89"/>
  <c r="Q19" i="89"/>
  <c r="V18" i="89"/>
  <c r="U18" i="89"/>
  <c r="Q18" i="89"/>
  <c r="V17" i="89"/>
  <c r="U17" i="89"/>
  <c r="Q17" i="89"/>
  <c r="V15" i="89"/>
  <c r="U15" i="89"/>
  <c r="Q15" i="89"/>
  <c r="T102" i="89" l="1"/>
  <c r="S102" i="89"/>
  <c r="R102" i="89"/>
  <c r="U101" i="89"/>
  <c r="Q101" i="89"/>
  <c r="U100" i="89"/>
  <c r="Q100" i="89"/>
  <c r="AE97" i="89"/>
  <c r="AB97" i="89"/>
  <c r="AA97" i="89"/>
  <c r="Z97" i="89"/>
  <c r="V97" i="89"/>
  <c r="AD97" i="89" s="1"/>
  <c r="U97" i="89"/>
  <c r="AC97" i="89" s="1"/>
  <c r="Q97" i="89"/>
  <c r="Y97" i="89" s="1"/>
  <c r="AE96" i="89"/>
  <c r="AB96" i="89"/>
  <c r="AA96" i="89"/>
  <c r="Z96" i="89"/>
  <c r="V96" i="89"/>
  <c r="AD96" i="89" s="1"/>
  <c r="U96" i="89"/>
  <c r="AC96" i="89" s="1"/>
  <c r="Q96" i="89"/>
  <c r="Y96" i="89" s="1"/>
  <c r="AE95" i="89"/>
  <c r="AB95" i="89"/>
  <c r="AA95" i="89"/>
  <c r="Z95" i="89"/>
  <c r="V95" i="89"/>
  <c r="AI95" i="89" s="1"/>
  <c r="P95" i="89" s="1"/>
  <c r="Q95" i="89"/>
  <c r="Y95" i="89" s="1"/>
  <c r="AE94" i="89"/>
  <c r="AB94" i="89"/>
  <c r="AA94" i="89"/>
  <c r="Z94" i="89"/>
  <c r="V94" i="89"/>
  <c r="U94" i="89"/>
  <c r="Q94" i="89"/>
  <c r="Y94" i="89" s="1"/>
  <c r="AE93" i="89"/>
  <c r="AB93" i="89"/>
  <c r="AA93" i="89"/>
  <c r="Z93" i="89"/>
  <c r="Y93" i="89"/>
  <c r="V93" i="89"/>
  <c r="AI93" i="89" s="1"/>
  <c r="P93" i="89" s="1"/>
  <c r="U93" i="89"/>
  <c r="U102" i="89" s="1"/>
  <c r="Q93" i="89"/>
  <c r="AI92" i="89"/>
  <c r="P92" i="89" s="1"/>
  <c r="AE92" i="89"/>
  <c r="AD92" i="89"/>
  <c r="AB92" i="89"/>
  <c r="AA92" i="89"/>
  <c r="Z92" i="89"/>
  <c r="AF92" i="89" s="1"/>
  <c r="Y92" i="89"/>
  <c r="U92" i="89"/>
  <c r="AC92" i="89" s="1"/>
  <c r="Q92" i="89"/>
  <c r="AI89" i="89"/>
  <c r="AE89" i="89"/>
  <c r="AD89" i="89"/>
  <c r="AC89" i="89"/>
  <c r="AB89" i="89"/>
  <c r="AA89" i="89"/>
  <c r="Z89" i="89"/>
  <c r="AF89" i="89" s="1"/>
  <c r="Y89" i="89"/>
  <c r="AI88" i="89"/>
  <c r="AE88" i="89"/>
  <c r="AD88" i="89"/>
  <c r="AC88" i="89"/>
  <c r="AB88" i="89"/>
  <c r="AA88" i="89"/>
  <c r="Z88" i="89"/>
  <c r="Y88" i="89"/>
  <c r="AI87" i="89"/>
  <c r="AE87" i="89"/>
  <c r="AD87" i="89"/>
  <c r="AC87" i="89"/>
  <c r="AB87" i="89"/>
  <c r="AA87" i="89"/>
  <c r="Z87" i="89"/>
  <c r="Y87" i="89"/>
  <c r="AI86" i="89"/>
  <c r="AE86" i="89"/>
  <c r="AD86" i="89"/>
  <c r="AC86" i="89"/>
  <c r="AB86" i="89"/>
  <c r="AA86" i="89"/>
  <c r="Z86" i="89"/>
  <c r="Y86" i="89"/>
  <c r="T83" i="89"/>
  <c r="S83" i="89"/>
  <c r="R83" i="89"/>
  <c r="AE82" i="89"/>
  <c r="AB82" i="89"/>
  <c r="AA82" i="89"/>
  <c r="Z82" i="89"/>
  <c r="V82" i="89"/>
  <c r="AI82" i="89" s="1"/>
  <c r="P82" i="89" s="1"/>
  <c r="U82" i="89"/>
  <c r="AC82" i="89" s="1"/>
  <c r="Q82" i="89"/>
  <c r="Y82" i="89" s="1"/>
  <c r="AE81" i="89"/>
  <c r="AC81" i="89"/>
  <c r="AB81" i="89"/>
  <c r="AA81" i="89"/>
  <c r="Z81" i="89"/>
  <c r="AF81" i="89" s="1"/>
  <c r="V81" i="89"/>
  <c r="AI81" i="89" s="1"/>
  <c r="P81" i="89" s="1"/>
  <c r="U81" i="89"/>
  <c r="Q81" i="89"/>
  <c r="Y81" i="89" s="1"/>
  <c r="AI80" i="89"/>
  <c r="P80" i="89" s="1"/>
  <c r="AE79" i="89"/>
  <c r="AB79" i="89"/>
  <c r="AA79" i="89"/>
  <c r="Z79" i="89"/>
  <c r="V79" i="89"/>
  <c r="AD79" i="89" s="1"/>
  <c r="U79" i="89"/>
  <c r="AC79" i="89" s="1"/>
  <c r="Q79" i="89"/>
  <c r="Y79" i="89" s="1"/>
  <c r="AI78" i="89"/>
  <c r="P78" i="89" s="1"/>
  <c r="AE77" i="89"/>
  <c r="AB77" i="89"/>
  <c r="AA77" i="89"/>
  <c r="Z77" i="89"/>
  <c r="V77" i="89"/>
  <c r="AI77" i="89" s="1"/>
  <c r="P77" i="89" s="1"/>
  <c r="U77" i="89"/>
  <c r="AC77" i="89" s="1"/>
  <c r="Q77" i="89"/>
  <c r="Y77" i="89" s="1"/>
  <c r="AE76" i="89"/>
  <c r="AB76" i="89"/>
  <c r="AA76" i="89"/>
  <c r="Z76" i="89"/>
  <c r="Y76" i="89"/>
  <c r="V76" i="89"/>
  <c r="AI76" i="89" s="1"/>
  <c r="P76" i="89" s="1"/>
  <c r="U76" i="89"/>
  <c r="AC76" i="89" s="1"/>
  <c r="Q76" i="89"/>
  <c r="AE75" i="89"/>
  <c r="AF75" i="89" s="1"/>
  <c r="AB75" i="89"/>
  <c r="AA75" i="89"/>
  <c r="Z75" i="89"/>
  <c r="Y75" i="89"/>
  <c r="V75" i="89"/>
  <c r="AI75" i="89" s="1"/>
  <c r="P75" i="89" s="1"/>
  <c r="U75" i="89"/>
  <c r="AC75" i="89" s="1"/>
  <c r="Q75" i="89"/>
  <c r="AI74" i="89"/>
  <c r="P74" i="89" s="1"/>
  <c r="AE74" i="89"/>
  <c r="AB74" i="89"/>
  <c r="AA74" i="89"/>
  <c r="Z74" i="89"/>
  <c r="V74" i="89"/>
  <c r="AD74" i="89" s="1"/>
  <c r="U74" i="89"/>
  <c r="AC74" i="89" s="1"/>
  <c r="Q74" i="89"/>
  <c r="Y74" i="89" s="1"/>
  <c r="AE73" i="89"/>
  <c r="AB73" i="89"/>
  <c r="AA73" i="89"/>
  <c r="Z73" i="89"/>
  <c r="V73" i="89"/>
  <c r="AD73" i="89" s="1"/>
  <c r="U73" i="89"/>
  <c r="AC73" i="89" s="1"/>
  <c r="Q73" i="89"/>
  <c r="Y73" i="89" s="1"/>
  <c r="AI72" i="89"/>
  <c r="P72" i="89"/>
  <c r="AE71" i="89"/>
  <c r="AD71" i="89"/>
  <c r="AB71" i="89"/>
  <c r="AA71" i="89"/>
  <c r="Z71" i="89"/>
  <c r="Y71" i="89"/>
  <c r="V71" i="89"/>
  <c r="AI71" i="89" s="1"/>
  <c r="P71" i="89" s="1"/>
  <c r="U71" i="89"/>
  <c r="AC71" i="89" s="1"/>
  <c r="Q71" i="89"/>
  <c r="AE70" i="89"/>
  <c r="AB70" i="89"/>
  <c r="AA70" i="89"/>
  <c r="Z70" i="89"/>
  <c r="Y70" i="89"/>
  <c r="V70" i="89"/>
  <c r="AI70" i="89" s="1"/>
  <c r="P70" i="89" s="1"/>
  <c r="U70" i="89"/>
  <c r="AC70" i="89" s="1"/>
  <c r="Q70" i="89"/>
  <c r="AE69" i="89"/>
  <c r="AB69" i="89"/>
  <c r="AA69" i="89"/>
  <c r="Z69" i="89"/>
  <c r="V69" i="89"/>
  <c r="AI69" i="89" s="1"/>
  <c r="P69" i="89" s="1"/>
  <c r="U69" i="89"/>
  <c r="Q69" i="89"/>
  <c r="Y69" i="89" s="1"/>
  <c r="AE68" i="89"/>
  <c r="AB68" i="89"/>
  <c r="AA68" i="89"/>
  <c r="Z68" i="89"/>
  <c r="V68" i="89"/>
  <c r="AI68" i="89" s="1"/>
  <c r="P68" i="89" s="1"/>
  <c r="U68" i="89"/>
  <c r="AC68" i="89" s="1"/>
  <c r="Q68" i="89"/>
  <c r="Y68" i="89" s="1"/>
  <c r="AE67" i="89"/>
  <c r="AB67" i="89"/>
  <c r="AA67" i="89"/>
  <c r="Z67" i="89"/>
  <c r="V67" i="89"/>
  <c r="AD67" i="89" s="1"/>
  <c r="U67" i="89"/>
  <c r="AC67" i="89" s="1"/>
  <c r="Q67" i="89"/>
  <c r="Y67" i="89" s="1"/>
  <c r="AE66" i="89"/>
  <c r="AF66" i="89" s="1"/>
  <c r="AB66" i="89"/>
  <c r="AA66" i="89"/>
  <c r="AD66" i="89" s="1"/>
  <c r="Y66" i="89"/>
  <c r="V66" i="89"/>
  <c r="AI66" i="89" s="1"/>
  <c r="P66" i="89" s="1"/>
  <c r="U66" i="89"/>
  <c r="AC66" i="89" s="1"/>
  <c r="Q66" i="89"/>
  <c r="AI65" i="89"/>
  <c r="P65" i="89" s="1"/>
  <c r="AE65" i="89"/>
  <c r="AB65" i="89"/>
  <c r="AA65" i="89"/>
  <c r="Z65" i="89"/>
  <c r="AF65" i="89" s="1"/>
  <c r="V65" i="89"/>
  <c r="AD65" i="89" s="1"/>
  <c r="U65" i="89"/>
  <c r="AC65" i="89" s="1"/>
  <c r="Q65" i="89"/>
  <c r="Y65" i="89" s="1"/>
  <c r="AE64" i="89"/>
  <c r="AB64" i="89"/>
  <c r="AA64" i="89"/>
  <c r="Z64" i="89"/>
  <c r="V64" i="89"/>
  <c r="AD64" i="89" s="1"/>
  <c r="U64" i="89"/>
  <c r="AC64" i="89" s="1"/>
  <c r="Q64" i="89"/>
  <c r="Y64" i="89" s="1"/>
  <c r="AE63" i="89"/>
  <c r="AB63" i="89"/>
  <c r="AA63" i="89"/>
  <c r="Z63" i="89"/>
  <c r="V63" i="89"/>
  <c r="AI63" i="89" s="1"/>
  <c r="P63" i="89" s="1"/>
  <c r="U63" i="89"/>
  <c r="AC63" i="89" s="1"/>
  <c r="Q63" i="89"/>
  <c r="Y63" i="89" s="1"/>
  <c r="AE62" i="89"/>
  <c r="AB62" i="89"/>
  <c r="AA62" i="89"/>
  <c r="Z62" i="89"/>
  <c r="Y62" i="89"/>
  <c r="V62" i="89"/>
  <c r="AI62" i="89" s="1"/>
  <c r="P62" i="89" s="1"/>
  <c r="U62" i="89"/>
  <c r="AC62" i="89" s="1"/>
  <c r="Q62" i="89"/>
  <c r="AE61" i="89"/>
  <c r="AB61" i="89"/>
  <c r="AA61" i="89"/>
  <c r="Z61" i="89"/>
  <c r="Y61" i="89"/>
  <c r="V61" i="89"/>
  <c r="AI61" i="89" s="1"/>
  <c r="P61" i="89" s="1"/>
  <c r="U61" i="89"/>
  <c r="AC61" i="89" s="1"/>
  <c r="Q61" i="89"/>
  <c r="AE60" i="89"/>
  <c r="AB60" i="89"/>
  <c r="AA60" i="89"/>
  <c r="Z60" i="89"/>
  <c r="Y60" i="89"/>
  <c r="V60" i="89"/>
  <c r="AD60" i="89" s="1"/>
  <c r="U60" i="89"/>
  <c r="AC60" i="89" s="1"/>
  <c r="Q60" i="89"/>
  <c r="AE59" i="89"/>
  <c r="AB59" i="89"/>
  <c r="AA59" i="89"/>
  <c r="Z59" i="89"/>
  <c r="V59" i="89"/>
  <c r="AD59" i="89" s="1"/>
  <c r="U59" i="89"/>
  <c r="AC59" i="89" s="1"/>
  <c r="Q59" i="89"/>
  <c r="Y59" i="89" s="1"/>
  <c r="AI58" i="89"/>
  <c r="P58" i="89"/>
  <c r="AE57" i="89"/>
  <c r="AB57" i="89"/>
  <c r="AA57" i="89"/>
  <c r="Z57" i="89"/>
  <c r="V57" i="89"/>
  <c r="AI57" i="89" s="1"/>
  <c r="P57" i="89" s="1"/>
  <c r="U57" i="89"/>
  <c r="AC57" i="89" s="1"/>
  <c r="Q57" i="89"/>
  <c r="Y57" i="89" s="1"/>
  <c r="AE56" i="89"/>
  <c r="AF56" i="89" s="1"/>
  <c r="AB56" i="89"/>
  <c r="AA56" i="89"/>
  <c r="Z56" i="89"/>
  <c r="Y56" i="89"/>
  <c r="V56" i="89"/>
  <c r="AI56" i="89" s="1"/>
  <c r="P56" i="89" s="1"/>
  <c r="U56" i="89"/>
  <c r="AC56" i="89" s="1"/>
  <c r="Q56" i="89"/>
  <c r="AE55" i="89"/>
  <c r="AB55" i="89"/>
  <c r="AA55" i="89"/>
  <c r="Z55" i="89"/>
  <c r="V55" i="89"/>
  <c r="AI55" i="89" s="1"/>
  <c r="P55" i="89" s="1"/>
  <c r="U55" i="89"/>
  <c r="AC55" i="89" s="1"/>
  <c r="Y55" i="89"/>
  <c r="AE54" i="89"/>
  <c r="AB54" i="89"/>
  <c r="AA54" i="89"/>
  <c r="Z54" i="89"/>
  <c r="AF54" i="89" s="1"/>
  <c r="V54" i="89"/>
  <c r="AD54" i="89" s="1"/>
  <c r="U54" i="89"/>
  <c r="AC54" i="89" s="1"/>
  <c r="Q54" i="89"/>
  <c r="Y54" i="89" s="1"/>
  <c r="AE53" i="89"/>
  <c r="AB53" i="89"/>
  <c r="AA53" i="89"/>
  <c r="Z53" i="89"/>
  <c r="V53" i="89"/>
  <c r="AD53" i="89" s="1"/>
  <c r="U53" i="89"/>
  <c r="AC53" i="89" s="1"/>
  <c r="Q53" i="89"/>
  <c r="Y53" i="89" s="1"/>
  <c r="AI52" i="89"/>
  <c r="P52" i="89"/>
  <c r="AE51" i="89"/>
  <c r="AB51" i="89"/>
  <c r="AA51" i="89"/>
  <c r="Z51" i="89"/>
  <c r="Y51" i="89"/>
  <c r="V51" i="89"/>
  <c r="AI51" i="89" s="1"/>
  <c r="P51" i="89" s="1"/>
  <c r="U51" i="89"/>
  <c r="AC51" i="89" s="1"/>
  <c r="Q51" i="89"/>
  <c r="AI50" i="89"/>
  <c r="P50" i="89"/>
  <c r="AE49" i="89"/>
  <c r="AB49" i="89"/>
  <c r="AA49" i="89"/>
  <c r="Z49" i="89"/>
  <c r="V49" i="89"/>
  <c r="AD49" i="89" s="1"/>
  <c r="U49" i="89"/>
  <c r="AC49" i="89" s="1"/>
  <c r="Q49" i="89"/>
  <c r="Y49" i="89" s="1"/>
  <c r="AI48" i="89"/>
  <c r="P48" i="89" s="1"/>
  <c r="AE47" i="89"/>
  <c r="AB47" i="89"/>
  <c r="AA47" i="89"/>
  <c r="Z47" i="89"/>
  <c r="Y47" i="89"/>
  <c r="V47" i="89"/>
  <c r="AI47" i="89" s="1"/>
  <c r="P47" i="89" s="1"/>
  <c r="U47" i="89"/>
  <c r="AC47" i="89" s="1"/>
  <c r="AB46" i="89"/>
  <c r="AA46" i="89"/>
  <c r="Y46" i="89"/>
  <c r="V46" i="89"/>
  <c r="AI46" i="89" s="1"/>
  <c r="P46" i="89" s="1"/>
  <c r="U46" i="89"/>
  <c r="Q46" i="89"/>
  <c r="AE45" i="89"/>
  <c r="AB45" i="89"/>
  <c r="AA45" i="89"/>
  <c r="Z45" i="89"/>
  <c r="Y45" i="89"/>
  <c r="AI45" i="89"/>
  <c r="P45" i="89" s="1"/>
  <c r="AC45" i="89"/>
  <c r="AI44" i="89"/>
  <c r="P44" i="89" s="1"/>
  <c r="AE44" i="89"/>
  <c r="AB44" i="89"/>
  <c r="AA44" i="89"/>
  <c r="Z44" i="89"/>
  <c r="Y44" i="89"/>
  <c r="AD44" i="89"/>
  <c r="AC44" i="89"/>
  <c r="AI43" i="89"/>
  <c r="P43" i="89" s="1"/>
  <c r="AE43" i="89"/>
  <c r="AB43" i="89"/>
  <c r="AA43" i="89"/>
  <c r="Z43" i="89"/>
  <c r="AD43" i="89"/>
  <c r="AC43" i="89"/>
  <c r="Y43" i="89"/>
  <c r="AI42" i="89"/>
  <c r="P42" i="89" s="1"/>
  <c r="AE42" i="89"/>
  <c r="AB42" i="89"/>
  <c r="AA42" i="89"/>
  <c r="Z42" i="89"/>
  <c r="AD42" i="89"/>
  <c r="AC42" i="89"/>
  <c r="Y42" i="89"/>
  <c r="AI41" i="89"/>
  <c r="P41" i="89" s="1"/>
  <c r="AB41" i="89"/>
  <c r="AA41" i="89"/>
  <c r="Z41" i="89"/>
  <c r="AF41" i="89" s="1"/>
  <c r="AD41" i="89"/>
  <c r="AC41" i="89"/>
  <c r="Y41" i="89"/>
  <c r="AI40" i="89"/>
  <c r="AE39" i="89"/>
  <c r="AD39" i="89"/>
  <c r="AB39" i="89"/>
  <c r="AA39" i="89"/>
  <c r="Z39" i="89"/>
  <c r="AF39" i="89" s="1"/>
  <c r="Y39" i="89"/>
  <c r="AI39" i="89"/>
  <c r="P39" i="89" s="1"/>
  <c r="AC39" i="89"/>
  <c r="AE38" i="89"/>
  <c r="AB38" i="89"/>
  <c r="AA38" i="89"/>
  <c r="Z38" i="89"/>
  <c r="Y38" i="89"/>
  <c r="AI38" i="89"/>
  <c r="P38" i="89" s="1"/>
  <c r="AC38" i="89"/>
  <c r="AI37" i="89"/>
  <c r="P37" i="89" s="1"/>
  <c r="AB37" i="89"/>
  <c r="AA37" i="89"/>
  <c r="Z37" i="89"/>
  <c r="AD37" i="89" s="1"/>
  <c r="Y37" i="89"/>
  <c r="AC37" i="89"/>
  <c r="AI36" i="89"/>
  <c r="P36" i="89" s="1"/>
  <c r="AE36" i="89"/>
  <c r="AB36" i="89"/>
  <c r="AA36" i="89"/>
  <c r="Z36" i="89"/>
  <c r="Y36" i="89"/>
  <c r="AD36" i="89"/>
  <c r="AC36" i="89"/>
  <c r="AI35" i="89"/>
  <c r="P35" i="89" s="1"/>
  <c r="AE35" i="89"/>
  <c r="AB35" i="89"/>
  <c r="AA35" i="89"/>
  <c r="Z35" i="89"/>
  <c r="Y35" i="89"/>
  <c r="AD35" i="89"/>
  <c r="AI34" i="89"/>
  <c r="P34" i="89" s="1"/>
  <c r="AE34" i="89"/>
  <c r="AB34" i="89"/>
  <c r="AA34" i="89"/>
  <c r="Z34" i="89"/>
  <c r="Y34" i="89"/>
  <c r="AC34" i="89"/>
  <c r="AI33" i="89"/>
  <c r="P33" i="89" s="1"/>
  <c r="AE33" i="89"/>
  <c r="AB33" i="89"/>
  <c r="AA33" i="89"/>
  <c r="Z33" i="89"/>
  <c r="AD33" i="89"/>
  <c r="AC33" i="89"/>
  <c r="Y33" i="89"/>
  <c r="AI32" i="89"/>
  <c r="P32" i="89" s="1"/>
  <c r="AE32" i="89"/>
  <c r="AB32" i="89"/>
  <c r="AA32" i="89"/>
  <c r="Z32" i="89"/>
  <c r="AD32" i="89"/>
  <c r="AC32" i="89"/>
  <c r="Y32" i="89"/>
  <c r="AE31" i="89"/>
  <c r="AD31" i="89"/>
  <c r="AC31" i="89"/>
  <c r="AB31" i="89"/>
  <c r="AA31" i="89"/>
  <c r="Z31" i="89"/>
  <c r="AI31" i="89"/>
  <c r="P31" i="89" s="1"/>
  <c r="Y31" i="89"/>
  <c r="AE30" i="89"/>
  <c r="AD30" i="89"/>
  <c r="AB30" i="89"/>
  <c r="AA30" i="89"/>
  <c r="Z30" i="89"/>
  <c r="Y30" i="89"/>
  <c r="AI30" i="89"/>
  <c r="P30" i="89" s="1"/>
  <c r="AC30" i="89"/>
  <c r="AE29" i="89"/>
  <c r="AB29" i="89"/>
  <c r="AA29" i="89"/>
  <c r="Z29" i="89"/>
  <c r="Y29" i="89"/>
  <c r="AI29" i="89"/>
  <c r="P29" i="89" s="1"/>
  <c r="AC29" i="89"/>
  <c r="AI28" i="89"/>
  <c r="P28" i="89" s="1"/>
  <c r="AE28" i="89"/>
  <c r="AB28" i="89"/>
  <c r="AA28" i="89"/>
  <c r="Z28" i="89"/>
  <c r="Y28" i="89"/>
  <c r="AD28" i="89"/>
  <c r="AC28" i="89"/>
  <c r="AI27" i="89"/>
  <c r="P27" i="89" s="1"/>
  <c r="AE27" i="89"/>
  <c r="AB27" i="89"/>
  <c r="AA27" i="89"/>
  <c r="Z27" i="89"/>
  <c r="AD27" i="89"/>
  <c r="AC27" i="89"/>
  <c r="Y27" i="89"/>
  <c r="AI26" i="89"/>
  <c r="P26" i="89" s="1"/>
  <c r="AE26" i="89"/>
  <c r="AB26" i="89"/>
  <c r="AA26" i="89"/>
  <c r="Z26" i="89"/>
  <c r="AD26" i="89"/>
  <c r="AC26" i="89"/>
  <c r="Y26" i="89"/>
  <c r="AE25" i="89"/>
  <c r="AB25" i="89"/>
  <c r="AA25" i="89"/>
  <c r="Z25" i="89"/>
  <c r="AI25" i="89"/>
  <c r="P25" i="89" s="1"/>
  <c r="AC25" i="89"/>
  <c r="Y25" i="89"/>
  <c r="AE24" i="89"/>
  <c r="AC24" i="89"/>
  <c r="AB24" i="89"/>
  <c r="AA24" i="89"/>
  <c r="Z24" i="89"/>
  <c r="Y24" i="89"/>
  <c r="AI24" i="89"/>
  <c r="P24" i="89" s="1"/>
  <c r="AE23" i="89"/>
  <c r="AB23" i="89"/>
  <c r="AA23" i="89"/>
  <c r="Z23" i="89"/>
  <c r="AF23" i="89" s="1"/>
  <c r="Y23" i="89"/>
  <c r="AI23" i="89"/>
  <c r="P23" i="89" s="1"/>
  <c r="AC23" i="89"/>
  <c r="AE22" i="89"/>
  <c r="AB22" i="89"/>
  <c r="AA22" i="89"/>
  <c r="Z22" i="89"/>
  <c r="Y22" i="89"/>
  <c r="AI22" i="89"/>
  <c r="P22" i="89" s="1"/>
  <c r="AC22" i="89"/>
  <c r="AI21" i="89"/>
  <c r="P21" i="89" s="1"/>
  <c r="AE21" i="89"/>
  <c r="AB21" i="89"/>
  <c r="AA21" i="89"/>
  <c r="Z21" i="89"/>
  <c r="AF21" i="89" s="1"/>
  <c r="Y21" i="89"/>
  <c r="AD21" i="89"/>
  <c r="AC21" i="89"/>
  <c r="AI20" i="89"/>
  <c r="P20" i="89" s="1"/>
  <c r="AE20" i="89"/>
  <c r="AB20" i="89"/>
  <c r="AA20" i="89"/>
  <c r="Z20" i="89"/>
  <c r="AF20" i="89" s="1"/>
  <c r="Y20" i="89"/>
  <c r="AD20" i="89"/>
  <c r="AI19" i="89"/>
  <c r="P19" i="89" s="1"/>
  <c r="AE19" i="89"/>
  <c r="AB19" i="89"/>
  <c r="AA19" i="89"/>
  <c r="Z19" i="89"/>
  <c r="AD19" i="89"/>
  <c r="AC19" i="89"/>
  <c r="Y19" i="89"/>
  <c r="AI18" i="89"/>
  <c r="P18" i="89" s="1"/>
  <c r="AE18" i="89"/>
  <c r="AC18" i="89"/>
  <c r="AB18" i="89"/>
  <c r="AA18" i="89"/>
  <c r="Z18" i="89"/>
  <c r="AD18" i="89"/>
  <c r="Y18" i="89"/>
  <c r="AE17" i="89"/>
  <c r="AC17" i="89"/>
  <c r="AB17" i="89"/>
  <c r="AA17" i="89"/>
  <c r="Z17" i="89"/>
  <c r="AI17" i="89"/>
  <c r="P17" i="89" s="1"/>
  <c r="Y17" i="89"/>
  <c r="AI16" i="89"/>
  <c r="AM15" i="89"/>
  <c r="AI15" i="89"/>
  <c r="P15" i="89" s="1"/>
  <c r="AE15" i="89"/>
  <c r="AB15" i="89"/>
  <c r="AA15" i="89"/>
  <c r="Z15" i="89"/>
  <c r="AF15" i="89" s="1"/>
  <c r="AD15" i="89"/>
  <c r="AC15" i="89"/>
  <c r="Y15" i="89"/>
  <c r="AF24" i="89" l="1"/>
  <c r="AF97" i="89"/>
  <c r="AF17" i="89"/>
  <c r="AF32" i="89"/>
  <c r="AF33" i="89"/>
  <c r="AF86" i="89"/>
  <c r="AF87" i="89"/>
  <c r="AF88" i="89"/>
  <c r="AF95" i="89"/>
  <c r="AF74" i="89"/>
  <c r="AF69" i="89"/>
  <c r="AF71" i="89"/>
  <c r="AF68" i="89"/>
  <c r="AF77" i="89"/>
  <c r="AF79" i="89"/>
  <c r="AF49" i="89"/>
  <c r="AF67" i="89"/>
  <c r="AF18" i="89"/>
  <c r="AF19" i="89"/>
  <c r="AF22" i="89"/>
  <c r="AF26" i="89"/>
  <c r="AF27" i="89"/>
  <c r="AF28" i="89"/>
  <c r="AF64" i="89"/>
  <c r="AF76" i="89"/>
  <c r="AF82" i="89"/>
  <c r="AF25" i="89"/>
  <c r="AF35" i="89"/>
  <c r="AF36" i="89"/>
  <c r="AD46" i="89"/>
  <c r="AF51" i="89"/>
  <c r="AF57" i="89"/>
  <c r="AF63" i="89"/>
  <c r="AB102" i="89"/>
  <c r="AI97" i="89"/>
  <c r="P97" i="89" s="1"/>
  <c r="AF31" i="89"/>
  <c r="AF34" i="89"/>
  <c r="AF42" i="89"/>
  <c r="AF43" i="89"/>
  <c r="AF44" i="89"/>
  <c r="AF45" i="89"/>
  <c r="AF47" i="89"/>
  <c r="AF53" i="89"/>
  <c r="AI53" i="89"/>
  <c r="P53" i="89" s="1"/>
  <c r="AF55" i="89"/>
  <c r="AF59" i="89"/>
  <c r="AF60" i="89"/>
  <c r="AF62" i="89"/>
  <c r="AF73" i="89"/>
  <c r="AI73" i="89"/>
  <c r="P73" i="89" s="1"/>
  <c r="AF30" i="89"/>
  <c r="AF96" i="89"/>
  <c r="AI96" i="89"/>
  <c r="P96" i="89" s="1"/>
  <c r="AF94" i="89"/>
  <c r="AA102" i="89"/>
  <c r="R115" i="89"/>
  <c r="S115" i="89"/>
  <c r="AI79" i="89"/>
  <c r="P79" i="89" s="1"/>
  <c r="AF70" i="89"/>
  <c r="AI67" i="89"/>
  <c r="P67" i="89" s="1"/>
  <c r="AI64" i="89"/>
  <c r="P64" i="89" s="1"/>
  <c r="AD62" i="89"/>
  <c r="AI60" i="89"/>
  <c r="P60" i="89" s="1"/>
  <c r="AI59" i="89"/>
  <c r="P59" i="89" s="1"/>
  <c r="AD57" i="89"/>
  <c r="AI54" i="89"/>
  <c r="P54" i="89" s="1"/>
  <c r="AD51" i="89"/>
  <c r="AI49" i="89"/>
  <c r="P49" i="89" s="1"/>
  <c r="AO15" i="89"/>
  <c r="E117" i="89" s="1"/>
  <c r="U83" i="89"/>
  <c r="AF37" i="89"/>
  <c r="AF38" i="89"/>
  <c r="AA83" i="89"/>
  <c r="AD24" i="89"/>
  <c r="AF29" i="89"/>
  <c r="AD17" i="89"/>
  <c r="AF61" i="89"/>
  <c r="AB83" i="89"/>
  <c r="AD23" i="89"/>
  <c r="AD47" i="89"/>
  <c r="AD76" i="89"/>
  <c r="Z102" i="89"/>
  <c r="AC102" i="89" s="1"/>
  <c r="AI94" i="89"/>
  <c r="P94" i="89" s="1"/>
  <c r="AD94" i="89"/>
  <c r="AD77" i="89"/>
  <c r="AD82" i="89"/>
  <c r="AF93" i="89"/>
  <c r="Z83" i="89"/>
  <c r="Z115" i="89" s="1"/>
  <c r="AD25" i="89"/>
  <c r="AD63" i="89"/>
  <c r="AC93" i="89"/>
  <c r="AD22" i="89"/>
  <c r="AD29" i="89"/>
  <c r="AD38" i="89"/>
  <c r="AD45" i="89"/>
  <c r="AD55" i="89"/>
  <c r="AD61" i="89"/>
  <c r="AD68" i="89"/>
  <c r="AD70" i="89"/>
  <c r="AD75" i="89"/>
  <c r="AD93" i="89"/>
  <c r="T115" i="89"/>
  <c r="AE67" i="86"/>
  <c r="AF102" i="89" l="1"/>
  <c r="AF115" i="89" s="1"/>
  <c r="K117" i="89" s="1"/>
  <c r="M118" i="89" s="1"/>
  <c r="AF83" i="89"/>
  <c r="AA115" i="89"/>
  <c r="U115" i="89"/>
  <c r="AB115" i="89"/>
  <c r="AC83" i="89"/>
  <c r="AC115" i="89" s="1"/>
  <c r="AA38" i="86"/>
  <c r="Z38" i="86"/>
  <c r="Z20" i="86"/>
  <c r="AA20" i="86"/>
  <c r="Q23" i="86" l="1"/>
  <c r="Q80" i="86"/>
  <c r="T104" i="87" l="1"/>
  <c r="S104" i="87"/>
  <c r="R104" i="87"/>
  <c r="U103" i="87"/>
  <c r="Q103" i="87"/>
  <c r="U102" i="87"/>
  <c r="Q102" i="87"/>
  <c r="AD99" i="87"/>
  <c r="AA99" i="87"/>
  <c r="Z99" i="87"/>
  <c r="Y99" i="87"/>
  <c r="AE99" i="87" s="1"/>
  <c r="X99" i="87"/>
  <c r="V99" i="87"/>
  <c r="AH99" i="87" s="1"/>
  <c r="P99" i="87" s="1"/>
  <c r="U99" i="87"/>
  <c r="AB99" i="87" s="1"/>
  <c r="Q99" i="87"/>
  <c r="AD98" i="87"/>
  <c r="AA98" i="87"/>
  <c r="Z98" i="87"/>
  <c r="Y98" i="87"/>
  <c r="AE98" i="87" s="1"/>
  <c r="X98" i="87"/>
  <c r="V98" i="87"/>
  <c r="AH98" i="87" s="1"/>
  <c r="P98" i="87" s="1"/>
  <c r="U98" i="87"/>
  <c r="AB98" i="87" s="1"/>
  <c r="Q98" i="87"/>
  <c r="AH97" i="87"/>
  <c r="P97" i="87" s="1"/>
  <c r="AD97" i="87"/>
  <c r="AE97" i="87" s="1"/>
  <c r="AA97" i="87"/>
  <c r="Z97" i="87"/>
  <c r="Y97" i="87"/>
  <c r="V97" i="87"/>
  <c r="Q97" i="87"/>
  <c r="X97" i="87" s="1"/>
  <c r="AD96" i="87"/>
  <c r="AA96" i="87"/>
  <c r="Z96" i="87"/>
  <c r="Y96" i="87"/>
  <c r="AE96" i="87" s="1"/>
  <c r="V96" i="87"/>
  <c r="AH96" i="87" s="1"/>
  <c r="P96" i="87" s="1"/>
  <c r="U96" i="87"/>
  <c r="Q96" i="87"/>
  <c r="X96" i="87" s="1"/>
  <c r="AD95" i="87"/>
  <c r="AA95" i="87"/>
  <c r="AA104" i="87" s="1"/>
  <c r="Z95" i="87"/>
  <c r="Z104" i="87" s="1"/>
  <c r="Y95" i="87"/>
  <c r="AE95" i="87" s="1"/>
  <c r="X95" i="87"/>
  <c r="V95" i="87"/>
  <c r="AH95" i="87" s="1"/>
  <c r="P95" i="87" s="1"/>
  <c r="U95" i="87"/>
  <c r="U104" i="87" s="1"/>
  <c r="Q95" i="87"/>
  <c r="AH94" i="87"/>
  <c r="AD94" i="87"/>
  <c r="AC94" i="87"/>
  <c r="AA94" i="87"/>
  <c r="Z94" i="87"/>
  <c r="Y94" i="87"/>
  <c r="AE94" i="87" s="1"/>
  <c r="X94" i="87"/>
  <c r="U94" i="87"/>
  <c r="AB94" i="87" s="1"/>
  <c r="Q94" i="87"/>
  <c r="P94" i="87"/>
  <c r="AH91" i="87"/>
  <c r="AD91" i="87"/>
  <c r="AC91" i="87"/>
  <c r="AB91" i="87"/>
  <c r="AA91" i="87"/>
  <c r="Z91" i="87"/>
  <c r="Y91" i="87"/>
  <c r="AE91" i="87" s="1"/>
  <c r="X91" i="87"/>
  <c r="AH90" i="87"/>
  <c r="AD90" i="87"/>
  <c r="AC90" i="87"/>
  <c r="AB90" i="87"/>
  <c r="AA90" i="87"/>
  <c r="Z90" i="87"/>
  <c r="Y90" i="87"/>
  <c r="AE90" i="87" s="1"/>
  <c r="X90" i="87"/>
  <c r="AH89" i="87"/>
  <c r="AD89" i="87"/>
  <c r="AC89" i="87"/>
  <c r="AB89" i="87"/>
  <c r="AA89" i="87"/>
  <c r="Z89" i="87"/>
  <c r="Y89" i="87"/>
  <c r="AE89" i="87" s="1"/>
  <c r="X89" i="87"/>
  <c r="AH88" i="87"/>
  <c r="AD88" i="87"/>
  <c r="AC88" i="87"/>
  <c r="AB88" i="87"/>
  <c r="AA88" i="87"/>
  <c r="Z88" i="87"/>
  <c r="Y88" i="87"/>
  <c r="AE88" i="87" s="1"/>
  <c r="X88" i="87"/>
  <c r="T85" i="87"/>
  <c r="T117" i="87" s="1"/>
  <c r="S85" i="87"/>
  <c r="S117" i="87" s="1"/>
  <c r="R85" i="87"/>
  <c r="U85" i="87" s="1"/>
  <c r="AH84" i="87"/>
  <c r="AD84" i="87"/>
  <c r="AA84" i="87"/>
  <c r="Z84" i="87"/>
  <c r="Y84" i="87"/>
  <c r="AE84" i="87" s="1"/>
  <c r="V84" i="87"/>
  <c r="AC84" i="87" s="1"/>
  <c r="U84" i="87"/>
  <c r="AB84" i="87" s="1"/>
  <c r="Q84" i="87"/>
  <c r="X84" i="87" s="1"/>
  <c r="P84" i="87"/>
  <c r="AE83" i="87"/>
  <c r="AD83" i="87"/>
  <c r="AA83" i="87"/>
  <c r="Z83" i="87"/>
  <c r="Y83" i="87"/>
  <c r="V83" i="87"/>
  <c r="AH83" i="87" s="1"/>
  <c r="P83" i="87" s="1"/>
  <c r="U83" i="87"/>
  <c r="AB83" i="87" s="1"/>
  <c r="Q83" i="87"/>
  <c r="X83" i="87" s="1"/>
  <c r="AH82" i="87"/>
  <c r="P82" i="87"/>
  <c r="AD81" i="87"/>
  <c r="AA81" i="87"/>
  <c r="Z81" i="87"/>
  <c r="Y81" i="87"/>
  <c r="AE81" i="87" s="1"/>
  <c r="X81" i="87"/>
  <c r="V81" i="87"/>
  <c r="AH81" i="87" s="1"/>
  <c r="P81" i="87" s="1"/>
  <c r="U81" i="87"/>
  <c r="AB81" i="87" s="1"/>
  <c r="Q81" i="87"/>
  <c r="AH80" i="87"/>
  <c r="P80" i="87"/>
  <c r="AH79" i="87"/>
  <c r="AD79" i="87"/>
  <c r="AA79" i="87"/>
  <c r="Z79" i="87"/>
  <c r="Y79" i="87"/>
  <c r="AE79" i="87" s="1"/>
  <c r="V79" i="87"/>
  <c r="AC79" i="87" s="1"/>
  <c r="U79" i="87"/>
  <c r="AB79" i="87" s="1"/>
  <c r="Q79" i="87"/>
  <c r="X79" i="87" s="1"/>
  <c r="P79" i="87"/>
  <c r="AD78" i="87"/>
  <c r="AA78" i="87"/>
  <c r="Z78" i="87"/>
  <c r="Y78" i="87"/>
  <c r="AE78" i="87" s="1"/>
  <c r="V78" i="87"/>
  <c r="AC78" i="87" s="1"/>
  <c r="U78" i="87"/>
  <c r="AB78" i="87" s="1"/>
  <c r="Q78" i="87"/>
  <c r="X78" i="87" s="1"/>
  <c r="AD77" i="87"/>
  <c r="AA77" i="87"/>
  <c r="Z77" i="87"/>
  <c r="Y77" i="87"/>
  <c r="AE77" i="87" s="1"/>
  <c r="X77" i="87"/>
  <c r="V77" i="87"/>
  <c r="AH77" i="87" s="1"/>
  <c r="P77" i="87" s="1"/>
  <c r="U77" i="87"/>
  <c r="AB77" i="87" s="1"/>
  <c r="Q77" i="87"/>
  <c r="AD76" i="87"/>
  <c r="AA76" i="87"/>
  <c r="Z76" i="87"/>
  <c r="Y76" i="87"/>
  <c r="AE76" i="87" s="1"/>
  <c r="X76" i="87"/>
  <c r="V76" i="87"/>
  <c r="AH76" i="87" s="1"/>
  <c r="P76" i="87" s="1"/>
  <c r="U76" i="87"/>
  <c r="AB76" i="87" s="1"/>
  <c r="Q76" i="87"/>
  <c r="AH75" i="87"/>
  <c r="AD75" i="87"/>
  <c r="AA75" i="87"/>
  <c r="Z75" i="87"/>
  <c r="Y75" i="87"/>
  <c r="AE75" i="87" s="1"/>
  <c r="X75" i="87"/>
  <c r="V75" i="87"/>
  <c r="AC75" i="87" s="1"/>
  <c r="U75" i="87"/>
  <c r="AB75" i="87" s="1"/>
  <c r="Q75" i="87"/>
  <c r="P75" i="87"/>
  <c r="AH74" i="87"/>
  <c r="P74" i="87"/>
  <c r="AD73" i="87"/>
  <c r="AA73" i="87"/>
  <c r="Z73" i="87"/>
  <c r="Y73" i="87"/>
  <c r="AE73" i="87" s="1"/>
  <c r="V73" i="87"/>
  <c r="AC73" i="87" s="1"/>
  <c r="U73" i="87"/>
  <c r="AB73" i="87" s="1"/>
  <c r="Q73" i="87"/>
  <c r="X73" i="87" s="1"/>
  <c r="AD72" i="87"/>
  <c r="AA72" i="87"/>
  <c r="Z72" i="87"/>
  <c r="Y72" i="87"/>
  <c r="AE72" i="87" s="1"/>
  <c r="V72" i="87"/>
  <c r="AH72" i="87" s="1"/>
  <c r="P72" i="87" s="1"/>
  <c r="U72" i="87"/>
  <c r="AB72" i="87" s="1"/>
  <c r="Q72" i="87"/>
  <c r="X72" i="87" s="1"/>
  <c r="AD71" i="87"/>
  <c r="AA71" i="87"/>
  <c r="Z71" i="87"/>
  <c r="Y71" i="87"/>
  <c r="AE71" i="87" s="1"/>
  <c r="V71" i="87"/>
  <c r="AH71" i="87" s="1"/>
  <c r="P71" i="87" s="1"/>
  <c r="U71" i="87"/>
  <c r="Q71" i="87"/>
  <c r="X71" i="87" s="1"/>
  <c r="AD70" i="87"/>
  <c r="AA70" i="87"/>
  <c r="Z70" i="87"/>
  <c r="Y70" i="87"/>
  <c r="AE70" i="87" s="1"/>
  <c r="V70" i="87"/>
  <c r="AH70" i="87" s="1"/>
  <c r="P70" i="87" s="1"/>
  <c r="U70" i="87"/>
  <c r="AB70" i="87" s="1"/>
  <c r="Q70" i="87"/>
  <c r="X70" i="87" s="1"/>
  <c r="AD69" i="87"/>
  <c r="AA69" i="87"/>
  <c r="Z69" i="87"/>
  <c r="Y69" i="87"/>
  <c r="AE69" i="87" s="1"/>
  <c r="X69" i="87"/>
  <c r="V69" i="87"/>
  <c r="AH69" i="87" s="1"/>
  <c r="P69" i="87" s="1"/>
  <c r="U69" i="87"/>
  <c r="AB69" i="87" s="1"/>
  <c r="Q69" i="87"/>
  <c r="AD68" i="87"/>
  <c r="AE68" i="87" s="1"/>
  <c r="AC68" i="87"/>
  <c r="AA68" i="87"/>
  <c r="Z68" i="87"/>
  <c r="X68" i="87"/>
  <c r="V68" i="87"/>
  <c r="AH68" i="87" s="1"/>
  <c r="P68" i="87" s="1"/>
  <c r="U68" i="87"/>
  <c r="AB68" i="87" s="1"/>
  <c r="Q68" i="87"/>
  <c r="AD67" i="87"/>
  <c r="AA67" i="87"/>
  <c r="Z67" i="87"/>
  <c r="Y67" i="87"/>
  <c r="AE67" i="87" s="1"/>
  <c r="X67" i="87"/>
  <c r="V67" i="87"/>
  <c r="AH67" i="87" s="1"/>
  <c r="P67" i="87" s="1"/>
  <c r="U67" i="87"/>
  <c r="AB67" i="87" s="1"/>
  <c r="Q67" i="87"/>
  <c r="AH66" i="87"/>
  <c r="AD66" i="87"/>
  <c r="AA66" i="87"/>
  <c r="Z66" i="87"/>
  <c r="Y66" i="87"/>
  <c r="AE66" i="87" s="1"/>
  <c r="X66" i="87"/>
  <c r="V66" i="87"/>
  <c r="AC66" i="87" s="1"/>
  <c r="U66" i="87"/>
  <c r="AB66" i="87" s="1"/>
  <c r="Q66" i="87"/>
  <c r="P66" i="87"/>
  <c r="AH65" i="87"/>
  <c r="AD65" i="87"/>
  <c r="AA65" i="87"/>
  <c r="Z65" i="87"/>
  <c r="Y65" i="87"/>
  <c r="AE65" i="87" s="1"/>
  <c r="V65" i="87"/>
  <c r="AC65" i="87" s="1"/>
  <c r="U65" i="87"/>
  <c r="AB65" i="87" s="1"/>
  <c r="Q65" i="87"/>
  <c r="X65" i="87" s="1"/>
  <c r="P65" i="87"/>
  <c r="AH64" i="87"/>
  <c r="P64" i="87" s="1"/>
  <c r="AD64" i="87"/>
  <c r="AA64" i="87"/>
  <c r="Z64" i="87"/>
  <c r="Y64" i="87"/>
  <c r="AE64" i="87" s="1"/>
  <c r="V64" i="87"/>
  <c r="AC64" i="87" s="1"/>
  <c r="U64" i="87"/>
  <c r="AB64" i="87" s="1"/>
  <c r="Q64" i="87"/>
  <c r="X64" i="87" s="1"/>
  <c r="AD63" i="87"/>
  <c r="AA63" i="87"/>
  <c r="Z63" i="87"/>
  <c r="Y63" i="87"/>
  <c r="AE63" i="87" s="1"/>
  <c r="V63" i="87"/>
  <c r="AH63" i="87" s="1"/>
  <c r="P63" i="87" s="1"/>
  <c r="U63" i="87"/>
  <c r="AB63" i="87" s="1"/>
  <c r="Q63" i="87"/>
  <c r="X63" i="87" s="1"/>
  <c r="AD62" i="87"/>
  <c r="AB62" i="87"/>
  <c r="AA62" i="87"/>
  <c r="Z62" i="87"/>
  <c r="Y62" i="87"/>
  <c r="AE62" i="87" s="1"/>
  <c r="X62" i="87"/>
  <c r="V62" i="87"/>
  <c r="AH62" i="87" s="1"/>
  <c r="P62" i="87" s="1"/>
  <c r="U62" i="87"/>
  <c r="Q62" i="87"/>
  <c r="AD61" i="87"/>
  <c r="AA61" i="87"/>
  <c r="Z61" i="87"/>
  <c r="Y61" i="87"/>
  <c r="AE61" i="87" s="1"/>
  <c r="X61" i="87"/>
  <c r="V61" i="87"/>
  <c r="AH61" i="87" s="1"/>
  <c r="P61" i="87" s="1"/>
  <c r="U61" i="87"/>
  <c r="AB61" i="87" s="1"/>
  <c r="Q61" i="87"/>
  <c r="AH60" i="87"/>
  <c r="P60" i="87"/>
  <c r="AH59" i="87"/>
  <c r="P59" i="87" s="1"/>
  <c r="AD59" i="87"/>
  <c r="AA59" i="87"/>
  <c r="Z59" i="87"/>
  <c r="Y59" i="87"/>
  <c r="AE59" i="87" s="1"/>
  <c r="V59" i="87"/>
  <c r="AC59" i="87" s="1"/>
  <c r="U59" i="87"/>
  <c r="AB59" i="87" s="1"/>
  <c r="Q59" i="87"/>
  <c r="X59" i="87" s="1"/>
  <c r="AH58" i="87"/>
  <c r="AD58" i="87"/>
  <c r="AA58" i="87"/>
  <c r="Z58" i="87"/>
  <c r="Y58" i="87"/>
  <c r="AE58" i="87" s="1"/>
  <c r="V58" i="87"/>
  <c r="U58" i="87"/>
  <c r="AB58" i="87" s="1"/>
  <c r="Q58" i="87"/>
  <c r="X58" i="87" s="1"/>
  <c r="P58" i="87"/>
  <c r="AD57" i="87"/>
  <c r="AA57" i="87"/>
  <c r="Z57" i="87"/>
  <c r="Y57" i="87"/>
  <c r="AE57" i="87" s="1"/>
  <c r="V57" i="87"/>
  <c r="AH57" i="87" s="1"/>
  <c r="P57" i="87" s="1"/>
  <c r="U57" i="87"/>
  <c r="AB57" i="87" s="1"/>
  <c r="Q57" i="87"/>
  <c r="X57" i="87" s="1"/>
  <c r="AD56" i="87"/>
  <c r="AA56" i="87"/>
  <c r="Z56" i="87"/>
  <c r="Y56" i="87"/>
  <c r="AE56" i="87" s="1"/>
  <c r="X56" i="87"/>
  <c r="V56" i="87"/>
  <c r="AH56" i="87" s="1"/>
  <c r="P56" i="87" s="1"/>
  <c r="U56" i="87"/>
  <c r="AB56" i="87" s="1"/>
  <c r="Q56" i="87"/>
  <c r="AD55" i="87"/>
  <c r="AA55" i="87"/>
  <c r="Z55" i="87"/>
  <c r="Y55" i="87"/>
  <c r="AE55" i="87" s="1"/>
  <c r="X55" i="87"/>
  <c r="V55" i="87"/>
  <c r="AH55" i="87" s="1"/>
  <c r="P55" i="87" s="1"/>
  <c r="U55" i="87"/>
  <c r="AB55" i="87" s="1"/>
  <c r="Q55" i="87"/>
  <c r="AH54" i="87"/>
  <c r="P54" i="87"/>
  <c r="AH53" i="87"/>
  <c r="P53" i="87" s="1"/>
  <c r="AD53" i="87"/>
  <c r="AA53" i="87"/>
  <c r="Z53" i="87"/>
  <c r="Y53" i="87"/>
  <c r="AE53" i="87" s="1"/>
  <c r="V53" i="87"/>
  <c r="AC53" i="87" s="1"/>
  <c r="U53" i="87"/>
  <c r="AB53" i="87" s="1"/>
  <c r="Q53" i="87"/>
  <c r="X53" i="87" s="1"/>
  <c r="AH52" i="87"/>
  <c r="P52" i="87" s="1"/>
  <c r="AD51" i="87"/>
  <c r="AA51" i="87"/>
  <c r="Z51" i="87"/>
  <c r="Y51" i="87"/>
  <c r="AE51" i="87" s="1"/>
  <c r="X51" i="87"/>
  <c r="V51" i="87"/>
  <c r="AH51" i="87" s="1"/>
  <c r="P51" i="87" s="1"/>
  <c r="U51" i="87"/>
  <c r="AB51" i="87" s="1"/>
  <c r="Q51" i="87"/>
  <c r="AH50" i="87"/>
  <c r="P50" i="87"/>
  <c r="AH49" i="87"/>
  <c r="P49" i="87" s="1"/>
  <c r="AD49" i="87"/>
  <c r="AA49" i="87"/>
  <c r="Z49" i="87"/>
  <c r="Y49" i="87"/>
  <c r="AE49" i="87" s="1"/>
  <c r="V49" i="87"/>
  <c r="AC49" i="87" s="1"/>
  <c r="U49" i="87"/>
  <c r="AB49" i="87" s="1"/>
  <c r="Q49" i="87"/>
  <c r="X49" i="87" s="1"/>
  <c r="AD48" i="87"/>
  <c r="AA48" i="87"/>
  <c r="Z48" i="87"/>
  <c r="Y48" i="87"/>
  <c r="AE48" i="87" s="1"/>
  <c r="V48" i="87"/>
  <c r="AH48" i="87" s="1"/>
  <c r="P48" i="87" s="1"/>
  <c r="U48" i="87"/>
  <c r="AB48" i="87" s="1"/>
  <c r="Q48" i="87"/>
  <c r="X48" i="87" s="1"/>
  <c r="AD47" i="87"/>
  <c r="AA47" i="87"/>
  <c r="Z47" i="87"/>
  <c r="Y47" i="87"/>
  <c r="AE47" i="87" s="1"/>
  <c r="X47" i="87"/>
  <c r="V47" i="87"/>
  <c r="AH47" i="87" s="1"/>
  <c r="P47" i="87" s="1"/>
  <c r="U47" i="87"/>
  <c r="AB47" i="87" s="1"/>
  <c r="Q47" i="87"/>
  <c r="AD46" i="87"/>
  <c r="AC46" i="87"/>
  <c r="AA46" i="87"/>
  <c r="Z46" i="87"/>
  <c r="Y46" i="87"/>
  <c r="AE46" i="87" s="1"/>
  <c r="X46" i="87"/>
  <c r="V46" i="87"/>
  <c r="AH46" i="87" s="1"/>
  <c r="P46" i="87" s="1"/>
  <c r="U46" i="87"/>
  <c r="AB46" i="87" s="1"/>
  <c r="Q46" i="87"/>
  <c r="AH45" i="87"/>
  <c r="AD45" i="87"/>
  <c r="AA45" i="87"/>
  <c r="Z45" i="87"/>
  <c r="Y45" i="87"/>
  <c r="AE45" i="87" s="1"/>
  <c r="X45" i="87"/>
  <c r="V45" i="87"/>
  <c r="AC45" i="87" s="1"/>
  <c r="U45" i="87"/>
  <c r="AB45" i="87" s="1"/>
  <c r="Q45" i="87"/>
  <c r="P45" i="87"/>
  <c r="AH44" i="87"/>
  <c r="AD44" i="87"/>
  <c r="AA44" i="87"/>
  <c r="Z44" i="87"/>
  <c r="Y44" i="87"/>
  <c r="AE44" i="87" s="1"/>
  <c r="V44" i="87"/>
  <c r="AC44" i="87" s="1"/>
  <c r="U44" i="87"/>
  <c r="AB44" i="87" s="1"/>
  <c r="Q44" i="87"/>
  <c r="X44" i="87" s="1"/>
  <c r="P44" i="87"/>
  <c r="AH43" i="87"/>
  <c r="P43" i="87" s="1"/>
  <c r="AD43" i="87"/>
  <c r="AA43" i="87"/>
  <c r="Z43" i="87"/>
  <c r="Y43" i="87"/>
  <c r="AE43" i="87" s="1"/>
  <c r="V43" i="87"/>
  <c r="AC43" i="87" s="1"/>
  <c r="U43" i="87"/>
  <c r="AB43" i="87" s="1"/>
  <c r="Q43" i="87"/>
  <c r="X43" i="87" s="1"/>
  <c r="AH42" i="87"/>
  <c r="AD41" i="87"/>
  <c r="AB41" i="87"/>
  <c r="AA41" i="87"/>
  <c r="Z41" i="87"/>
  <c r="Y41" i="87"/>
  <c r="AE41" i="87" s="1"/>
  <c r="X41" i="87"/>
  <c r="V41" i="87"/>
  <c r="AH41" i="87" s="1"/>
  <c r="P41" i="87" s="1"/>
  <c r="U41" i="87"/>
  <c r="Q41" i="87"/>
  <c r="AD40" i="87"/>
  <c r="AE40" i="87" s="1"/>
  <c r="AA40" i="87"/>
  <c r="Z40" i="87"/>
  <c r="Y40" i="87"/>
  <c r="X40" i="87"/>
  <c r="V40" i="87"/>
  <c r="AH40" i="87" s="1"/>
  <c r="P40" i="87" s="1"/>
  <c r="U40" i="87"/>
  <c r="AB40" i="87" s="1"/>
  <c r="Q40" i="87"/>
  <c r="AD39" i="87"/>
  <c r="AE39" i="87" s="1"/>
  <c r="AA39" i="87"/>
  <c r="Z39" i="87"/>
  <c r="AC39" i="87" s="1"/>
  <c r="X39" i="87"/>
  <c r="V39" i="87"/>
  <c r="AH39" i="87" s="1"/>
  <c r="P39" i="87" s="1"/>
  <c r="U39" i="87"/>
  <c r="AB39" i="87" s="1"/>
  <c r="Q39" i="87"/>
  <c r="AH38" i="87"/>
  <c r="AD38" i="87"/>
  <c r="AA38" i="87"/>
  <c r="Z38" i="87"/>
  <c r="Y38" i="87"/>
  <c r="AE38" i="87" s="1"/>
  <c r="X38" i="87"/>
  <c r="V38" i="87"/>
  <c r="AC38" i="87" s="1"/>
  <c r="U38" i="87"/>
  <c r="AB38" i="87" s="1"/>
  <c r="Q38" i="87"/>
  <c r="P38" i="87"/>
  <c r="AH37" i="87"/>
  <c r="P37" i="87" s="1"/>
  <c r="AE37" i="87"/>
  <c r="AD37" i="87"/>
  <c r="AA37" i="87"/>
  <c r="Z37" i="87"/>
  <c r="Y37" i="87"/>
  <c r="X37" i="87"/>
  <c r="V37" i="87"/>
  <c r="AC37" i="87" s="1"/>
  <c r="U37" i="87"/>
  <c r="Q37" i="87"/>
  <c r="AH36" i="87"/>
  <c r="P36" i="87" s="1"/>
  <c r="AE36" i="87"/>
  <c r="AD36" i="87"/>
  <c r="AA36" i="87"/>
  <c r="Z36" i="87"/>
  <c r="Y36" i="87"/>
  <c r="X36" i="87"/>
  <c r="V36" i="87"/>
  <c r="U36" i="87"/>
  <c r="AB36" i="87" s="1"/>
  <c r="Q36" i="87"/>
  <c r="AH35" i="87"/>
  <c r="AD35" i="87"/>
  <c r="AA35" i="87"/>
  <c r="Z35" i="87"/>
  <c r="Y35" i="87"/>
  <c r="AE35" i="87" s="1"/>
  <c r="V35" i="87"/>
  <c r="AC35" i="87" s="1"/>
  <c r="U35" i="87"/>
  <c r="AB35" i="87" s="1"/>
  <c r="Q35" i="87"/>
  <c r="X35" i="87" s="1"/>
  <c r="P35" i="87"/>
  <c r="AH34" i="87"/>
  <c r="P34" i="87" s="1"/>
  <c r="AD34" i="87"/>
  <c r="AA34" i="87"/>
  <c r="Z34" i="87"/>
  <c r="Y34" i="87"/>
  <c r="AE34" i="87" s="1"/>
  <c r="V34" i="87"/>
  <c r="AC34" i="87" s="1"/>
  <c r="U34" i="87"/>
  <c r="AB34" i="87" s="1"/>
  <c r="Q34" i="87"/>
  <c r="X34" i="87" s="1"/>
  <c r="AD33" i="87"/>
  <c r="AA33" i="87"/>
  <c r="Z33" i="87"/>
  <c r="Y33" i="87"/>
  <c r="AE33" i="87" s="1"/>
  <c r="V33" i="87"/>
  <c r="AH33" i="87" s="1"/>
  <c r="P33" i="87" s="1"/>
  <c r="U33" i="87"/>
  <c r="AB33" i="87" s="1"/>
  <c r="Q33" i="87"/>
  <c r="X33" i="87" s="1"/>
  <c r="AD32" i="87"/>
  <c r="AA32" i="87"/>
  <c r="Z32" i="87"/>
  <c r="Y32" i="87"/>
  <c r="AE32" i="87" s="1"/>
  <c r="X32" i="87"/>
  <c r="V32" i="87"/>
  <c r="AH32" i="87" s="1"/>
  <c r="P32" i="87" s="1"/>
  <c r="U32" i="87"/>
  <c r="AB32" i="87" s="1"/>
  <c r="Q32" i="87"/>
  <c r="AD31" i="87"/>
  <c r="AC31" i="87"/>
  <c r="AA31" i="87"/>
  <c r="Z31" i="87"/>
  <c r="Y31" i="87"/>
  <c r="AE31" i="87" s="1"/>
  <c r="X31" i="87"/>
  <c r="V31" i="87"/>
  <c r="AH31" i="87" s="1"/>
  <c r="P31" i="87" s="1"/>
  <c r="U31" i="87"/>
  <c r="AB31" i="87" s="1"/>
  <c r="Q31" i="87"/>
  <c r="AH30" i="87"/>
  <c r="AD30" i="87"/>
  <c r="AA30" i="87"/>
  <c r="Z30" i="87"/>
  <c r="Y30" i="87"/>
  <c r="AE30" i="87" s="1"/>
  <c r="X30" i="87"/>
  <c r="V30" i="87"/>
  <c r="AC30" i="87" s="1"/>
  <c r="U30" i="87"/>
  <c r="AB30" i="87" s="1"/>
  <c r="Q30" i="87"/>
  <c r="P30" i="87"/>
  <c r="AH29" i="87"/>
  <c r="P29" i="87" s="1"/>
  <c r="AD29" i="87"/>
  <c r="AA29" i="87"/>
  <c r="Z29" i="87"/>
  <c r="Y29" i="87"/>
  <c r="AE29" i="87" s="1"/>
  <c r="V29" i="87"/>
  <c r="AC29" i="87" s="1"/>
  <c r="U29" i="87"/>
  <c r="AB29" i="87" s="1"/>
  <c r="Q29" i="87"/>
  <c r="X29" i="87" s="1"/>
  <c r="AH28" i="87"/>
  <c r="P28" i="87" s="1"/>
  <c r="AD28" i="87"/>
  <c r="AA28" i="87"/>
  <c r="Z28" i="87"/>
  <c r="Y28" i="87"/>
  <c r="AE28" i="87" s="1"/>
  <c r="V28" i="87"/>
  <c r="AC28" i="87" s="1"/>
  <c r="U28" i="87"/>
  <c r="AB28" i="87" s="1"/>
  <c r="Q28" i="87"/>
  <c r="X28" i="87" s="1"/>
  <c r="AD27" i="87"/>
  <c r="AA27" i="87"/>
  <c r="Z27" i="87"/>
  <c r="Y27" i="87"/>
  <c r="AE27" i="87" s="1"/>
  <c r="V27" i="87"/>
  <c r="AH27" i="87" s="1"/>
  <c r="P27" i="87" s="1"/>
  <c r="U27" i="87"/>
  <c r="AB27" i="87" s="1"/>
  <c r="Q27" i="87"/>
  <c r="X27" i="87" s="1"/>
  <c r="AD26" i="87"/>
  <c r="AB26" i="87"/>
  <c r="AA26" i="87"/>
  <c r="Z26" i="87"/>
  <c r="Y26" i="87"/>
  <c r="AE26" i="87" s="1"/>
  <c r="V26" i="87"/>
  <c r="AH26" i="87" s="1"/>
  <c r="P26" i="87" s="1"/>
  <c r="Q26" i="87"/>
  <c r="X26" i="87" s="1"/>
  <c r="AD25" i="87"/>
  <c r="AC25" i="87"/>
  <c r="AA25" i="87"/>
  <c r="Z25" i="87"/>
  <c r="Y25" i="87"/>
  <c r="AE25" i="87" s="1"/>
  <c r="X25" i="87"/>
  <c r="V25" i="87"/>
  <c r="AH25" i="87" s="1"/>
  <c r="P25" i="87" s="1"/>
  <c r="U25" i="87"/>
  <c r="AB25" i="87" s="1"/>
  <c r="Q25" i="87"/>
  <c r="AD24" i="87"/>
  <c r="AA24" i="87"/>
  <c r="Z24" i="87"/>
  <c r="Y24" i="87"/>
  <c r="AE24" i="87" s="1"/>
  <c r="X24" i="87"/>
  <c r="V24" i="87"/>
  <c r="AH24" i="87" s="1"/>
  <c r="P24" i="87" s="1"/>
  <c r="U24" i="87"/>
  <c r="AB24" i="87" s="1"/>
  <c r="Q24" i="87"/>
  <c r="AH23" i="87"/>
  <c r="P23" i="87" s="1"/>
  <c r="AD23" i="87"/>
  <c r="AA23" i="87"/>
  <c r="Z23" i="87"/>
  <c r="Y23" i="87"/>
  <c r="AE23" i="87" s="1"/>
  <c r="X23" i="87"/>
  <c r="V23" i="87"/>
  <c r="AC23" i="87" s="1"/>
  <c r="U23" i="87"/>
  <c r="AB23" i="87" s="1"/>
  <c r="Q23" i="87"/>
  <c r="AH22" i="87"/>
  <c r="P22" i="87" s="1"/>
  <c r="AE22" i="87"/>
  <c r="AD22" i="87"/>
  <c r="AA22" i="87"/>
  <c r="Z22" i="87"/>
  <c r="Y22" i="87"/>
  <c r="X22" i="87"/>
  <c r="V22" i="87"/>
  <c r="AC22" i="87" s="1"/>
  <c r="U22" i="87"/>
  <c r="Q22" i="87"/>
  <c r="AH21" i="87"/>
  <c r="P21" i="87" s="1"/>
  <c r="AD21" i="87"/>
  <c r="AA21" i="87"/>
  <c r="Z21" i="87"/>
  <c r="Y21" i="87"/>
  <c r="AE21" i="87" s="1"/>
  <c r="V21" i="87"/>
  <c r="AC21" i="87" s="1"/>
  <c r="U21" i="87"/>
  <c r="AB21" i="87" s="1"/>
  <c r="Q21" i="87"/>
  <c r="X21" i="87" s="1"/>
  <c r="AH20" i="87"/>
  <c r="P20" i="87" s="1"/>
  <c r="AD20" i="87"/>
  <c r="AA20" i="87"/>
  <c r="Z20" i="87"/>
  <c r="Y20" i="87"/>
  <c r="AE20" i="87" s="1"/>
  <c r="V20" i="87"/>
  <c r="AC20" i="87" s="1"/>
  <c r="U20" i="87"/>
  <c r="AB20" i="87" s="1"/>
  <c r="Q20" i="87"/>
  <c r="X20" i="87" s="1"/>
  <c r="AD19" i="87"/>
  <c r="AA19" i="87"/>
  <c r="Z19" i="87"/>
  <c r="Y19" i="87"/>
  <c r="AE19" i="87" s="1"/>
  <c r="V19" i="87"/>
  <c r="AH19" i="87" s="1"/>
  <c r="P19" i="87" s="1"/>
  <c r="U19" i="87"/>
  <c r="AB19" i="87" s="1"/>
  <c r="Q19" i="87"/>
  <c r="X19" i="87" s="1"/>
  <c r="AE18" i="87"/>
  <c r="AC18" i="87"/>
  <c r="AA18" i="87"/>
  <c r="Z18" i="87"/>
  <c r="Y18" i="87"/>
  <c r="V18" i="87"/>
  <c r="AH18" i="87" s="1"/>
  <c r="P18" i="87" s="1"/>
  <c r="U18" i="87"/>
  <c r="AB18" i="87" s="1"/>
  <c r="Q18" i="87"/>
  <c r="X18" i="87" s="1"/>
  <c r="AN17" i="87"/>
  <c r="E119" i="87" s="1"/>
  <c r="AL17" i="87"/>
  <c r="AH17" i="87"/>
  <c r="P17" i="87" s="1"/>
  <c r="AD17" i="87"/>
  <c r="AA17" i="87"/>
  <c r="AA85" i="87" s="1"/>
  <c r="Z17" i="87"/>
  <c r="Z85" i="87" s="1"/>
  <c r="Z117" i="87" s="1"/>
  <c r="Y17" i="87"/>
  <c r="AE17" i="87" s="1"/>
  <c r="AE85" i="87" s="1"/>
  <c r="X17" i="87"/>
  <c r="V17" i="87"/>
  <c r="AC17" i="87" s="1"/>
  <c r="U17" i="87"/>
  <c r="AB17" i="87" s="1"/>
  <c r="Q17" i="87"/>
  <c r="AA117" i="87" l="1"/>
  <c r="AE104" i="87"/>
  <c r="AE117" i="87"/>
  <c r="K119" i="87" s="1"/>
  <c r="AH73" i="87"/>
  <c r="P73" i="87" s="1"/>
  <c r="AH78" i="87"/>
  <c r="P78" i="87" s="1"/>
  <c r="Y85" i="87"/>
  <c r="Y117" i="87" s="1"/>
  <c r="AC67" i="87"/>
  <c r="AC41" i="87"/>
  <c r="AC47" i="87"/>
  <c r="AC56" i="87"/>
  <c r="AC62" i="87"/>
  <c r="AC69" i="87"/>
  <c r="AC76" i="87"/>
  <c r="AC81" i="87"/>
  <c r="AB95" i="87"/>
  <c r="AC98" i="87"/>
  <c r="R117" i="87"/>
  <c r="U117" i="87" s="1"/>
  <c r="AC24" i="87"/>
  <c r="AC61" i="87"/>
  <c r="AC48" i="87"/>
  <c r="AC57" i="87"/>
  <c r="AC63" i="87"/>
  <c r="AC70" i="87"/>
  <c r="AC72" i="87"/>
  <c r="AC77" i="87"/>
  <c r="AC95" i="87"/>
  <c r="AC96" i="87"/>
  <c r="AC99" i="87"/>
  <c r="Y104" i="87"/>
  <c r="AB104" i="87" s="1"/>
  <c r="AC40" i="87"/>
  <c r="AC51" i="87"/>
  <c r="AC55" i="87"/>
  <c r="AC26" i="87"/>
  <c r="AC32" i="87"/>
  <c r="AC27" i="87"/>
  <c r="AC33" i="87"/>
  <c r="AC19" i="87"/>
  <c r="AB85" i="87" l="1"/>
  <c r="AB117" i="87" s="1"/>
  <c r="AA67" i="86"/>
  <c r="AD67" i="86" s="1"/>
  <c r="AD38" i="86"/>
  <c r="AM16" i="86" l="1"/>
  <c r="V98" i="86" l="1"/>
  <c r="AD98" i="86" s="1"/>
  <c r="V95" i="86"/>
  <c r="V96" i="86"/>
  <c r="V97" i="86"/>
  <c r="V94" i="86"/>
  <c r="U98" i="86"/>
  <c r="AC98" i="86" s="1"/>
  <c r="AE98" i="86"/>
  <c r="Z94" i="86"/>
  <c r="AA94" i="86"/>
  <c r="AB94" i="86"/>
  <c r="Z95" i="86"/>
  <c r="AA95" i="86"/>
  <c r="AB95" i="86"/>
  <c r="Z96" i="86"/>
  <c r="AA96" i="86"/>
  <c r="AB96" i="86"/>
  <c r="Z97" i="86"/>
  <c r="AA97" i="86"/>
  <c r="AB97" i="86"/>
  <c r="Z98" i="86"/>
  <c r="AA98" i="86"/>
  <c r="AB98" i="86"/>
  <c r="AB93" i="86"/>
  <c r="AA93" i="86"/>
  <c r="Z93" i="86"/>
  <c r="AB88" i="86"/>
  <c r="AB89" i="86"/>
  <c r="AB90" i="86"/>
  <c r="AB87" i="86"/>
  <c r="AA88" i="86"/>
  <c r="AA89" i="86"/>
  <c r="AA90" i="86"/>
  <c r="AA87" i="86"/>
  <c r="Z88" i="86"/>
  <c r="Z89" i="86"/>
  <c r="Z90" i="86"/>
  <c r="Z87" i="86"/>
  <c r="AB82" i="86"/>
  <c r="AB83" i="86"/>
  <c r="AB18" i="86"/>
  <c r="AB19" i="86"/>
  <c r="AB20" i="86"/>
  <c r="AB21" i="86"/>
  <c r="AB22" i="86"/>
  <c r="AB23" i="86"/>
  <c r="AB24" i="86"/>
  <c r="AB25" i="86"/>
  <c r="AB26" i="86"/>
  <c r="AB27" i="86"/>
  <c r="AB28" i="86"/>
  <c r="AB29" i="86"/>
  <c r="AB30" i="86"/>
  <c r="AB31" i="86"/>
  <c r="AB32" i="86"/>
  <c r="AB33" i="86"/>
  <c r="AB34" i="86"/>
  <c r="AB35" i="86"/>
  <c r="AB36" i="86"/>
  <c r="AB37" i="86"/>
  <c r="AB38" i="86"/>
  <c r="AB39" i="86"/>
  <c r="AB40" i="86"/>
  <c r="AB42" i="86"/>
  <c r="AB43" i="86"/>
  <c r="AB44" i="86"/>
  <c r="AB45" i="86"/>
  <c r="AB46" i="86"/>
  <c r="AB47" i="86"/>
  <c r="AB48" i="86"/>
  <c r="AB50" i="86"/>
  <c r="AB52" i="86"/>
  <c r="AB54" i="86"/>
  <c r="AB55" i="86"/>
  <c r="AB56" i="86"/>
  <c r="AB57" i="86"/>
  <c r="AB58" i="86"/>
  <c r="AB60" i="86"/>
  <c r="AB61" i="86"/>
  <c r="AB62" i="86"/>
  <c r="AB63" i="86"/>
  <c r="AB64" i="86"/>
  <c r="AB65" i="86"/>
  <c r="AB66" i="86"/>
  <c r="AB67" i="86"/>
  <c r="AB68" i="86"/>
  <c r="AB69" i="86"/>
  <c r="AB70" i="86"/>
  <c r="AB71" i="86"/>
  <c r="AB72" i="86"/>
  <c r="AB74" i="86"/>
  <c r="AB75" i="86"/>
  <c r="AB76" i="86"/>
  <c r="AB77" i="86"/>
  <c r="AB78" i="86"/>
  <c r="AB80" i="86"/>
  <c r="AA18" i="86"/>
  <c r="AA19" i="86"/>
  <c r="AA21" i="86"/>
  <c r="AA22" i="86"/>
  <c r="AA23" i="86"/>
  <c r="AA24" i="86"/>
  <c r="AA25" i="86"/>
  <c r="AA26" i="86"/>
  <c r="AA27" i="86"/>
  <c r="AA28" i="86"/>
  <c r="AA29" i="86"/>
  <c r="AA30" i="86"/>
  <c r="AA31" i="86"/>
  <c r="AA32" i="86"/>
  <c r="AA33" i="86"/>
  <c r="AA34" i="86"/>
  <c r="AA35" i="86"/>
  <c r="AA36" i="86"/>
  <c r="AA37" i="86"/>
  <c r="AA39" i="86"/>
  <c r="AA40" i="86"/>
  <c r="AA42" i="86"/>
  <c r="AA43" i="86"/>
  <c r="AA44" i="86"/>
  <c r="AA45" i="86"/>
  <c r="AA46" i="86"/>
  <c r="AA47" i="86"/>
  <c r="AA48" i="86"/>
  <c r="AA50" i="86"/>
  <c r="AA52" i="86"/>
  <c r="AA54" i="86"/>
  <c r="AA55" i="86"/>
  <c r="AA56" i="86"/>
  <c r="AA57" i="86"/>
  <c r="AA58" i="86"/>
  <c r="AA60" i="86"/>
  <c r="AA61" i="86"/>
  <c r="AA62" i="86"/>
  <c r="AA63" i="86"/>
  <c r="AA64" i="86"/>
  <c r="AA65" i="86"/>
  <c r="AA66" i="86"/>
  <c r="AA68" i="86"/>
  <c r="AA69" i="86"/>
  <c r="AA70" i="86"/>
  <c r="AA71" i="86"/>
  <c r="AA72" i="86"/>
  <c r="AA74" i="86"/>
  <c r="AA75" i="86"/>
  <c r="AA76" i="86"/>
  <c r="AA77" i="86"/>
  <c r="AA78" i="86"/>
  <c r="AA80" i="86"/>
  <c r="AA82" i="86"/>
  <c r="AA83" i="86"/>
  <c r="Z83" i="86"/>
  <c r="Z82" i="86"/>
  <c r="Z80" i="86"/>
  <c r="Z78" i="86"/>
  <c r="Z77" i="86"/>
  <c r="Z76" i="86"/>
  <c r="Z75" i="86"/>
  <c r="Z74" i="86"/>
  <c r="Z72" i="86"/>
  <c r="Z71" i="86"/>
  <c r="Z70" i="86"/>
  <c r="Z69" i="86"/>
  <c r="Z68" i="86"/>
  <c r="Z66" i="86"/>
  <c r="Z65" i="86"/>
  <c r="Z64" i="86"/>
  <c r="Z63" i="86"/>
  <c r="Z62" i="86"/>
  <c r="Z61" i="86"/>
  <c r="Z60" i="86"/>
  <c r="Z58" i="86"/>
  <c r="Z57" i="86"/>
  <c r="Z56" i="86"/>
  <c r="Z55" i="86"/>
  <c r="Z54" i="86"/>
  <c r="Z52" i="86"/>
  <c r="Z50" i="86"/>
  <c r="Z48" i="86"/>
  <c r="Z47" i="86"/>
  <c r="Z46" i="86"/>
  <c r="Z45" i="86"/>
  <c r="Z44" i="86"/>
  <c r="Z43" i="86"/>
  <c r="Z42" i="86"/>
  <c r="Z40" i="86"/>
  <c r="Z39" i="86"/>
  <c r="Z37" i="86"/>
  <c r="Z36" i="86"/>
  <c r="Z35" i="86"/>
  <c r="Z34" i="86"/>
  <c r="Z33" i="86"/>
  <c r="Z32" i="86"/>
  <c r="Z31" i="86"/>
  <c r="Z30" i="86"/>
  <c r="Z29" i="86"/>
  <c r="Z28" i="86"/>
  <c r="Z27" i="86"/>
  <c r="Z26" i="86"/>
  <c r="Z25" i="86"/>
  <c r="Z24" i="86"/>
  <c r="Z23" i="86"/>
  <c r="Z22" i="86"/>
  <c r="Z21" i="86"/>
  <c r="Z19" i="86"/>
  <c r="Z18" i="86"/>
  <c r="AB16" i="86"/>
  <c r="AA16" i="86"/>
  <c r="Z16" i="86"/>
  <c r="AE31" i="86"/>
  <c r="AE69" i="86"/>
  <c r="AE82" i="86"/>
  <c r="Q83" i="86"/>
  <c r="V83" i="86"/>
  <c r="V82" i="86"/>
  <c r="V75" i="86"/>
  <c r="V76" i="86"/>
  <c r="V77" i="86"/>
  <c r="V78" i="86"/>
  <c r="V80" i="86"/>
  <c r="V74" i="86"/>
  <c r="AI98" i="86" l="1"/>
  <c r="P98" i="86" s="1"/>
  <c r="Z103" i="86"/>
  <c r="AB103" i="86"/>
  <c r="AF82" i="86"/>
  <c r="AA103" i="86"/>
  <c r="AF98" i="86"/>
  <c r="Q98" i="86"/>
  <c r="Y98" i="86" s="1"/>
  <c r="Q94" i="86"/>
  <c r="Q78" i="86"/>
  <c r="Q68" i="86"/>
  <c r="V61" i="86" l="1"/>
  <c r="V62" i="86"/>
  <c r="V63" i="86"/>
  <c r="V64" i="86"/>
  <c r="V65" i="86"/>
  <c r="V66" i="86"/>
  <c r="V67" i="86"/>
  <c r="V68" i="86"/>
  <c r="V69" i="86"/>
  <c r="V70" i="86"/>
  <c r="V71" i="86"/>
  <c r="V72" i="86"/>
  <c r="V60" i="86"/>
  <c r="V55" i="86"/>
  <c r="V56" i="86"/>
  <c r="V57" i="86"/>
  <c r="V58" i="86"/>
  <c r="V54" i="86"/>
  <c r="V52" i="86"/>
  <c r="V50" i="86"/>
  <c r="Q63" i="86"/>
  <c r="Q58" i="86" l="1"/>
  <c r="Q55" i="86" l="1"/>
  <c r="Q54" i="86"/>
  <c r="Q46" i="86" l="1"/>
  <c r="Q45" i="86"/>
  <c r="V42" i="86"/>
  <c r="V43" i="86"/>
  <c r="V44" i="86"/>
  <c r="V45" i="86"/>
  <c r="V46" i="86"/>
  <c r="V47" i="86"/>
  <c r="V48" i="86"/>
  <c r="Q38" i="86" l="1"/>
  <c r="V20" i="86"/>
  <c r="V21" i="86"/>
  <c r="V22" i="86"/>
  <c r="V23" i="86"/>
  <c r="V24" i="86"/>
  <c r="V25" i="86"/>
  <c r="V26" i="86"/>
  <c r="V27" i="86"/>
  <c r="V28" i="86"/>
  <c r="V29" i="86"/>
  <c r="V30" i="86"/>
  <c r="V31" i="86"/>
  <c r="V32" i="86"/>
  <c r="V33" i="86"/>
  <c r="V34" i="86"/>
  <c r="V35" i="86"/>
  <c r="V36" i="86"/>
  <c r="V37" i="86"/>
  <c r="V38" i="86"/>
  <c r="V39" i="86"/>
  <c r="V40" i="86"/>
  <c r="Q34" i="86"/>
  <c r="Q32" i="86"/>
  <c r="Q27" i="86"/>
  <c r="Q24" i="86"/>
  <c r="Q21" i="86"/>
  <c r="Q19" i="86"/>
  <c r="V18" i="86" l="1"/>
  <c r="V19" i="86"/>
  <c r="V16" i="86"/>
  <c r="T103" i="86" l="1"/>
  <c r="S103" i="86"/>
  <c r="R103" i="86"/>
  <c r="U102" i="86"/>
  <c r="Q102" i="86"/>
  <c r="U101" i="86"/>
  <c r="Q101" i="86"/>
  <c r="AI97" i="86"/>
  <c r="P97" i="86" s="1"/>
  <c r="AE97" i="86"/>
  <c r="AD97" i="86"/>
  <c r="U97" i="86"/>
  <c r="AC97" i="86" s="1"/>
  <c r="Q97" i="86"/>
  <c r="Y97" i="86" s="1"/>
  <c r="AI96" i="86"/>
  <c r="P96" i="86" s="1"/>
  <c r="AE96" i="86"/>
  <c r="Q96" i="86"/>
  <c r="Y96" i="86" s="1"/>
  <c r="AI95" i="86"/>
  <c r="P95" i="86" s="1"/>
  <c r="AE95" i="86"/>
  <c r="AD95" i="86"/>
  <c r="U95" i="86"/>
  <c r="Q95" i="86"/>
  <c r="Y95" i="86" s="1"/>
  <c r="AI94" i="86"/>
  <c r="P94" i="86" s="1"/>
  <c r="AE94" i="86"/>
  <c r="AF94" i="86" s="1"/>
  <c r="AD94" i="86"/>
  <c r="U94" i="86"/>
  <c r="AC94" i="86" s="1"/>
  <c r="Y94" i="86"/>
  <c r="AI93" i="86"/>
  <c r="P93" i="86" s="1"/>
  <c r="AE93" i="86"/>
  <c r="AD93" i="86"/>
  <c r="Y93" i="86"/>
  <c r="U93" i="86"/>
  <c r="AC93" i="86" s="1"/>
  <c r="Q93" i="86"/>
  <c r="AI90" i="86"/>
  <c r="AE90" i="86"/>
  <c r="AD90" i="86"/>
  <c r="AC90" i="86"/>
  <c r="Y90" i="86"/>
  <c r="AI89" i="86"/>
  <c r="AE89" i="86"/>
  <c r="AD89" i="86"/>
  <c r="AC89" i="86"/>
  <c r="Y89" i="86"/>
  <c r="AI88" i="86"/>
  <c r="AE88" i="86"/>
  <c r="AF88" i="86" s="1"/>
  <c r="AD88" i="86"/>
  <c r="AC88" i="86"/>
  <c r="Y88" i="86"/>
  <c r="AI87" i="86"/>
  <c r="AE87" i="86"/>
  <c r="AD87" i="86"/>
  <c r="AC87" i="86"/>
  <c r="Y87" i="86"/>
  <c r="T84" i="86"/>
  <c r="S84" i="86"/>
  <c r="S116" i="86" s="1"/>
  <c r="R84" i="86"/>
  <c r="AI83" i="86"/>
  <c r="P83" i="86" s="1"/>
  <c r="AE83" i="86"/>
  <c r="AF83" i="86" s="1"/>
  <c r="AD83" i="86"/>
  <c r="U83" i="86"/>
  <c r="AC83" i="86" s="1"/>
  <c r="Y83" i="86"/>
  <c r="AI82" i="86"/>
  <c r="P82" i="86" s="1"/>
  <c r="U82" i="86"/>
  <c r="AC82" i="86" s="1"/>
  <c r="Q82" i="86"/>
  <c r="Y82" i="86" s="1"/>
  <c r="AI81" i="86"/>
  <c r="P81" i="86" s="1"/>
  <c r="AI80" i="86"/>
  <c r="P80" i="86" s="1"/>
  <c r="AE80" i="86"/>
  <c r="AF80" i="86" s="1"/>
  <c r="AD80" i="86"/>
  <c r="U80" i="86"/>
  <c r="AC80" i="86" s="1"/>
  <c r="Y80" i="86"/>
  <c r="AI79" i="86"/>
  <c r="P79" i="86" s="1"/>
  <c r="AI78" i="86"/>
  <c r="P78" i="86" s="1"/>
  <c r="AE78" i="86"/>
  <c r="AF78" i="86" s="1"/>
  <c r="AD78" i="86"/>
  <c r="U78" i="86"/>
  <c r="AC78" i="86" s="1"/>
  <c r="Y78" i="86"/>
  <c r="AI77" i="86"/>
  <c r="P77" i="86" s="1"/>
  <c r="AE77" i="86"/>
  <c r="AF77" i="86" s="1"/>
  <c r="AD77" i="86"/>
  <c r="U77" i="86"/>
  <c r="AC77" i="86" s="1"/>
  <c r="Q77" i="86"/>
  <c r="Y77" i="86" s="1"/>
  <c r="AI76" i="86"/>
  <c r="P76" i="86" s="1"/>
  <c r="AE76" i="86"/>
  <c r="AF76" i="86" s="1"/>
  <c r="AD76" i="86"/>
  <c r="U76" i="86"/>
  <c r="AC76" i="86" s="1"/>
  <c r="Q76" i="86"/>
  <c r="Y76" i="86" s="1"/>
  <c r="AI75" i="86"/>
  <c r="P75" i="86" s="1"/>
  <c r="AE75" i="86"/>
  <c r="AF75" i="86" s="1"/>
  <c r="AD75" i="86"/>
  <c r="U75" i="86"/>
  <c r="AC75" i="86" s="1"/>
  <c r="Q75" i="86"/>
  <c r="Y75" i="86" s="1"/>
  <c r="AI74" i="86"/>
  <c r="P74" i="86" s="1"/>
  <c r="AE74" i="86"/>
  <c r="AF74" i="86" s="1"/>
  <c r="AD74" i="86"/>
  <c r="U74" i="86"/>
  <c r="AC74" i="86" s="1"/>
  <c r="Q74" i="86"/>
  <c r="Y74" i="86" s="1"/>
  <c r="AI73" i="86"/>
  <c r="P73" i="86" s="1"/>
  <c r="AI72" i="86"/>
  <c r="P72" i="86" s="1"/>
  <c r="AE72" i="86"/>
  <c r="AD72" i="86"/>
  <c r="U72" i="86"/>
  <c r="AC72" i="86" s="1"/>
  <c r="Q72" i="86"/>
  <c r="Y72" i="86" s="1"/>
  <c r="AI71" i="86"/>
  <c r="P71" i="86" s="1"/>
  <c r="AE71" i="86"/>
  <c r="AD71" i="86"/>
  <c r="U71" i="86"/>
  <c r="AC71" i="86" s="1"/>
  <c r="Q71" i="86"/>
  <c r="Y71" i="86" s="1"/>
  <c r="AI70" i="86"/>
  <c r="P70" i="86" s="1"/>
  <c r="AE70" i="86"/>
  <c r="U70" i="86"/>
  <c r="Q70" i="86"/>
  <c r="Y70" i="86" s="1"/>
  <c r="AI69" i="86"/>
  <c r="P69" i="86" s="1"/>
  <c r="AD69" i="86"/>
  <c r="U69" i="86"/>
  <c r="AC69" i="86" s="1"/>
  <c r="Q69" i="86"/>
  <c r="Y69" i="86" s="1"/>
  <c r="AI68" i="86"/>
  <c r="P68" i="86" s="1"/>
  <c r="AE68" i="86"/>
  <c r="AD68" i="86"/>
  <c r="U68" i="86"/>
  <c r="AC68" i="86" s="1"/>
  <c r="Y68" i="86"/>
  <c r="AI67" i="86"/>
  <c r="P67" i="86" s="1"/>
  <c r="AF67" i="86"/>
  <c r="U67" i="86"/>
  <c r="AC67" i="86" s="1"/>
  <c r="Q67" i="86"/>
  <c r="Y67" i="86" s="1"/>
  <c r="AI66" i="86"/>
  <c r="P66" i="86" s="1"/>
  <c r="AE66" i="86"/>
  <c r="AF66" i="86" s="1"/>
  <c r="AD66" i="86"/>
  <c r="U66" i="86"/>
  <c r="AC66" i="86" s="1"/>
  <c r="Q66" i="86"/>
  <c r="Y66" i="86" s="1"/>
  <c r="AI65" i="86"/>
  <c r="P65" i="86" s="1"/>
  <c r="AE65" i="86"/>
  <c r="AD65" i="86"/>
  <c r="U65" i="86"/>
  <c r="AC65" i="86" s="1"/>
  <c r="Q65" i="86"/>
  <c r="Y65" i="86" s="1"/>
  <c r="AI64" i="86"/>
  <c r="P64" i="86" s="1"/>
  <c r="AE64" i="86"/>
  <c r="AD64" i="86"/>
  <c r="U64" i="86"/>
  <c r="AC64" i="86" s="1"/>
  <c r="Q64" i="86"/>
  <c r="Y64" i="86" s="1"/>
  <c r="AI63" i="86"/>
  <c r="P63" i="86" s="1"/>
  <c r="AE63" i="86"/>
  <c r="AD63" i="86"/>
  <c r="U63" i="86"/>
  <c r="AC63" i="86" s="1"/>
  <c r="Y63" i="86"/>
  <c r="AI62" i="86"/>
  <c r="P62" i="86" s="1"/>
  <c r="AE62" i="86"/>
  <c r="AD62" i="86"/>
  <c r="U62" i="86"/>
  <c r="AC62" i="86" s="1"/>
  <c r="Q62" i="86"/>
  <c r="Y62" i="86" s="1"/>
  <c r="AI61" i="86"/>
  <c r="P61" i="86" s="1"/>
  <c r="AE61" i="86"/>
  <c r="AF61" i="86" s="1"/>
  <c r="AD61" i="86"/>
  <c r="U61" i="86"/>
  <c r="AC61" i="86" s="1"/>
  <c r="Q61" i="86"/>
  <c r="Y61" i="86" s="1"/>
  <c r="AI60" i="86"/>
  <c r="P60" i="86" s="1"/>
  <c r="AE60" i="86"/>
  <c r="AD60" i="86"/>
  <c r="U60" i="86"/>
  <c r="AC60" i="86" s="1"/>
  <c r="Q60" i="86"/>
  <c r="Y60" i="86" s="1"/>
  <c r="AI59" i="86"/>
  <c r="P59" i="86" s="1"/>
  <c r="AI58" i="86"/>
  <c r="P58" i="86" s="1"/>
  <c r="AE58" i="86"/>
  <c r="AF58" i="86" s="1"/>
  <c r="AD58" i="86"/>
  <c r="U58" i="86"/>
  <c r="AC58" i="86" s="1"/>
  <c r="Y58" i="86"/>
  <c r="AI57" i="86"/>
  <c r="P57" i="86" s="1"/>
  <c r="AE57" i="86"/>
  <c r="U57" i="86"/>
  <c r="AC57" i="86" s="1"/>
  <c r="Q57" i="86"/>
  <c r="Y57" i="86" s="1"/>
  <c r="AI56" i="86"/>
  <c r="P56" i="86" s="1"/>
  <c r="AE56" i="86"/>
  <c r="AD56" i="86"/>
  <c r="U56" i="86"/>
  <c r="AC56" i="86" s="1"/>
  <c r="Q56" i="86"/>
  <c r="Y56" i="86" s="1"/>
  <c r="AI55" i="86"/>
  <c r="P55" i="86" s="1"/>
  <c r="AE55" i="86"/>
  <c r="AD55" i="86"/>
  <c r="U55" i="86"/>
  <c r="AC55" i="86" s="1"/>
  <c r="Y55" i="86"/>
  <c r="AI54" i="86"/>
  <c r="P54" i="86" s="1"/>
  <c r="AE54" i="86"/>
  <c r="AD54" i="86"/>
  <c r="U54" i="86"/>
  <c r="AC54" i="86" s="1"/>
  <c r="Y54" i="86"/>
  <c r="AI53" i="86"/>
  <c r="P53" i="86" s="1"/>
  <c r="AI52" i="86"/>
  <c r="P52" i="86" s="1"/>
  <c r="AE52" i="86"/>
  <c r="AF52" i="86" s="1"/>
  <c r="AD52" i="86"/>
  <c r="U52" i="86"/>
  <c r="AC52" i="86" s="1"/>
  <c r="Q52" i="86"/>
  <c r="Y52" i="86" s="1"/>
  <c r="AI51" i="86"/>
  <c r="P51" i="86" s="1"/>
  <c r="AI50" i="86"/>
  <c r="P50" i="86" s="1"/>
  <c r="AE50" i="86"/>
  <c r="AD50" i="86"/>
  <c r="U50" i="86"/>
  <c r="AC50" i="86" s="1"/>
  <c r="Q50" i="86"/>
  <c r="Y50" i="86" s="1"/>
  <c r="AI49" i="86"/>
  <c r="P49" i="86" s="1"/>
  <c r="AI48" i="86"/>
  <c r="P48" i="86" s="1"/>
  <c r="AE48" i="86"/>
  <c r="AD48" i="86"/>
  <c r="U48" i="86"/>
  <c r="AC48" i="86" s="1"/>
  <c r="Y48" i="86"/>
  <c r="AI47" i="86"/>
  <c r="P47" i="86" s="1"/>
  <c r="AE47" i="86"/>
  <c r="AF47" i="86" s="1"/>
  <c r="AD47" i="86"/>
  <c r="U47" i="86"/>
  <c r="AC47" i="86" s="1"/>
  <c r="Q47" i="86"/>
  <c r="Y47" i="86" s="1"/>
  <c r="AI46" i="86"/>
  <c r="P46" i="86" s="1"/>
  <c r="AE46" i="86"/>
  <c r="AD46" i="86"/>
  <c r="U46" i="86"/>
  <c r="AC46" i="86" s="1"/>
  <c r="Y46" i="86"/>
  <c r="AI45" i="86"/>
  <c r="P45" i="86" s="1"/>
  <c r="AE45" i="86"/>
  <c r="AD45" i="86"/>
  <c r="U45" i="86"/>
  <c r="AC45" i="86" s="1"/>
  <c r="Y45" i="86"/>
  <c r="AI44" i="86"/>
  <c r="P44" i="86" s="1"/>
  <c r="AE44" i="86"/>
  <c r="AF44" i="86" s="1"/>
  <c r="AD44" i="86"/>
  <c r="U44" i="86"/>
  <c r="AC44" i="86" s="1"/>
  <c r="Q44" i="86"/>
  <c r="Y44" i="86" s="1"/>
  <c r="AI43" i="86"/>
  <c r="P43" i="86" s="1"/>
  <c r="AE43" i="86"/>
  <c r="AD43" i="86"/>
  <c r="U43" i="86"/>
  <c r="AC43" i="86" s="1"/>
  <c r="Q43" i="86"/>
  <c r="Y43" i="86" s="1"/>
  <c r="AI42" i="86"/>
  <c r="P42" i="86" s="1"/>
  <c r="AD42" i="86"/>
  <c r="U42" i="86"/>
  <c r="AC42" i="86" s="1"/>
  <c r="Q42" i="86"/>
  <c r="Y42" i="86" s="1"/>
  <c r="AI41" i="86"/>
  <c r="AI40" i="86"/>
  <c r="P40" i="86" s="1"/>
  <c r="AE40" i="86"/>
  <c r="AD40" i="86"/>
  <c r="U40" i="86"/>
  <c r="AC40" i="86" s="1"/>
  <c r="Q40" i="86"/>
  <c r="Y40" i="86" s="1"/>
  <c r="AI39" i="86"/>
  <c r="P39" i="86" s="1"/>
  <c r="AE39" i="86"/>
  <c r="AD39" i="86"/>
  <c r="U39" i="86"/>
  <c r="AC39" i="86" s="1"/>
  <c r="Q39" i="86"/>
  <c r="Y39" i="86" s="1"/>
  <c r="AI38" i="86"/>
  <c r="P38" i="86" s="1"/>
  <c r="AF38" i="86"/>
  <c r="U38" i="86"/>
  <c r="AC38" i="86" s="1"/>
  <c r="Y38" i="86"/>
  <c r="AI37" i="86"/>
  <c r="P37" i="86" s="1"/>
  <c r="AE37" i="86"/>
  <c r="AD37" i="86"/>
  <c r="U37" i="86"/>
  <c r="AC37" i="86" s="1"/>
  <c r="Q37" i="86"/>
  <c r="Y37" i="86" s="1"/>
  <c r="AI36" i="86"/>
  <c r="P36" i="86" s="1"/>
  <c r="AE36" i="86"/>
  <c r="AD36" i="86"/>
  <c r="U36" i="86"/>
  <c r="Q36" i="86"/>
  <c r="Y36" i="86" s="1"/>
  <c r="AI35" i="86"/>
  <c r="P35" i="86" s="1"/>
  <c r="AE35" i="86"/>
  <c r="U35" i="86"/>
  <c r="AC35" i="86" s="1"/>
  <c r="Q35" i="86"/>
  <c r="Y35" i="86" s="1"/>
  <c r="AI34" i="86"/>
  <c r="P34" i="86" s="1"/>
  <c r="AE34" i="86"/>
  <c r="AD34" i="86"/>
  <c r="U34" i="86"/>
  <c r="AC34" i="86" s="1"/>
  <c r="Y34" i="86"/>
  <c r="AI33" i="86"/>
  <c r="P33" i="86" s="1"/>
  <c r="AE33" i="86"/>
  <c r="AD33" i="86"/>
  <c r="U33" i="86"/>
  <c r="AC33" i="86" s="1"/>
  <c r="Q33" i="86"/>
  <c r="Y33" i="86" s="1"/>
  <c r="AI32" i="86"/>
  <c r="P32" i="86" s="1"/>
  <c r="AE32" i="86"/>
  <c r="AF32" i="86" s="1"/>
  <c r="AD32" i="86"/>
  <c r="U32" i="86"/>
  <c r="AC32" i="86" s="1"/>
  <c r="Y32" i="86"/>
  <c r="AI31" i="86"/>
  <c r="P31" i="86" s="1"/>
  <c r="AF31" i="86"/>
  <c r="AD31" i="86"/>
  <c r="U31" i="86"/>
  <c r="AC31" i="86" s="1"/>
  <c r="Q31" i="86"/>
  <c r="Y31" i="86" s="1"/>
  <c r="AI30" i="86"/>
  <c r="P30" i="86" s="1"/>
  <c r="AE30" i="86"/>
  <c r="AF30" i="86" s="1"/>
  <c r="AD30" i="86"/>
  <c r="U30" i="86"/>
  <c r="AC30" i="86" s="1"/>
  <c r="Q30" i="86"/>
  <c r="Y30" i="86" s="1"/>
  <c r="AI29" i="86"/>
  <c r="P29" i="86" s="1"/>
  <c r="AE29" i="86"/>
  <c r="AD29" i="86"/>
  <c r="U29" i="86"/>
  <c r="AC29" i="86" s="1"/>
  <c r="Q29" i="86"/>
  <c r="Y29" i="86" s="1"/>
  <c r="AI28" i="86"/>
  <c r="P28" i="86" s="1"/>
  <c r="AE28" i="86"/>
  <c r="AF28" i="86" s="1"/>
  <c r="AD28" i="86"/>
  <c r="U28" i="86"/>
  <c r="AC28" i="86" s="1"/>
  <c r="Q28" i="86"/>
  <c r="Y28" i="86" s="1"/>
  <c r="AI27" i="86"/>
  <c r="P27" i="86" s="1"/>
  <c r="AE27" i="86"/>
  <c r="AF27" i="86" s="1"/>
  <c r="AD27" i="86"/>
  <c r="U27" i="86"/>
  <c r="AC27" i="86" s="1"/>
  <c r="Y27" i="86"/>
  <c r="AI26" i="86"/>
  <c r="P26" i="86" s="1"/>
  <c r="AE26" i="86"/>
  <c r="AD26" i="86"/>
  <c r="U26" i="86"/>
  <c r="AC26" i="86" s="1"/>
  <c r="Q26" i="86"/>
  <c r="Y26" i="86" s="1"/>
  <c r="AI25" i="86"/>
  <c r="P25" i="86" s="1"/>
  <c r="AE25" i="86"/>
  <c r="AF25" i="86" s="1"/>
  <c r="AD25" i="86"/>
  <c r="AC25" i="86"/>
  <c r="Q25" i="86"/>
  <c r="Y25" i="86" s="1"/>
  <c r="AI24" i="86"/>
  <c r="P24" i="86" s="1"/>
  <c r="AE24" i="86"/>
  <c r="AF24" i="86" s="1"/>
  <c r="AD24" i="86"/>
  <c r="U24" i="86"/>
  <c r="AC24" i="86" s="1"/>
  <c r="Y24" i="86"/>
  <c r="AI23" i="86"/>
  <c r="P23" i="86" s="1"/>
  <c r="AE23" i="86"/>
  <c r="AF23" i="86" s="1"/>
  <c r="AD23" i="86"/>
  <c r="U23" i="86"/>
  <c r="AC23" i="86" s="1"/>
  <c r="Y23" i="86"/>
  <c r="AI22" i="86"/>
  <c r="P22" i="86" s="1"/>
  <c r="AE22" i="86"/>
  <c r="AF22" i="86" s="1"/>
  <c r="AD22" i="86"/>
  <c r="U22" i="86"/>
  <c r="AC22" i="86" s="1"/>
  <c r="Q22" i="86"/>
  <c r="Y22" i="86" s="1"/>
  <c r="AI21" i="86"/>
  <c r="P21" i="86" s="1"/>
  <c r="AE21" i="86"/>
  <c r="AF21" i="86" s="1"/>
  <c r="AD21" i="86"/>
  <c r="U21" i="86"/>
  <c r="Y21" i="86"/>
  <c r="AI20" i="86"/>
  <c r="P20" i="86" s="1"/>
  <c r="AE20" i="86"/>
  <c r="AF20" i="86" s="1"/>
  <c r="AD20" i="86"/>
  <c r="U20" i="86"/>
  <c r="AC20" i="86" s="1"/>
  <c r="Q20" i="86"/>
  <c r="Y20" i="86" s="1"/>
  <c r="AI19" i="86"/>
  <c r="P19" i="86" s="1"/>
  <c r="AE19" i="86"/>
  <c r="AF19" i="86" s="1"/>
  <c r="AD19" i="86"/>
  <c r="U19" i="86"/>
  <c r="AC19" i="86" s="1"/>
  <c r="Y19" i="86"/>
  <c r="AI18" i="86"/>
  <c r="P18" i="86" s="1"/>
  <c r="AE18" i="86"/>
  <c r="AF18" i="86" s="1"/>
  <c r="AD18" i="86"/>
  <c r="U18" i="86"/>
  <c r="AC18" i="86" s="1"/>
  <c r="Q18" i="86"/>
  <c r="Y18" i="86" s="1"/>
  <c r="AI17" i="86"/>
  <c r="AI16" i="86"/>
  <c r="P16" i="86" s="1"/>
  <c r="AE16" i="86"/>
  <c r="AF16" i="86" s="1"/>
  <c r="AD16" i="86"/>
  <c r="U16" i="86"/>
  <c r="AC16" i="86" s="1"/>
  <c r="Q16" i="86"/>
  <c r="Y16" i="86" s="1"/>
  <c r="AO16" i="86" l="1"/>
  <c r="E118" i="86" s="1"/>
  <c r="U103" i="86"/>
  <c r="R116" i="86"/>
  <c r="AF89" i="86"/>
  <c r="AF55" i="86"/>
  <c r="AF36" i="86"/>
  <c r="AF93" i="86"/>
  <c r="AF95" i="86"/>
  <c r="AF34" i="86"/>
  <c r="AF46" i="86"/>
  <c r="AF60" i="86"/>
  <c r="AF65" i="86"/>
  <c r="AF54" i="86"/>
  <c r="AF57" i="86"/>
  <c r="AF42" i="86"/>
  <c r="AF50" i="86"/>
  <c r="AF64" i="86"/>
  <c r="AF48" i="86"/>
  <c r="AF69" i="86"/>
  <c r="AF63" i="86"/>
  <c r="AF37" i="86"/>
  <c r="AF87" i="86"/>
  <c r="AF90" i="86"/>
  <c r="AB84" i="86"/>
  <c r="AF35" i="86"/>
  <c r="AF40" i="86"/>
  <c r="AF45" i="86"/>
  <c r="AF68" i="86"/>
  <c r="AA84" i="86"/>
  <c r="AA116" i="86" s="1"/>
  <c r="AF29" i="86"/>
  <c r="AF39" i="86"/>
  <c r="AF56" i="86"/>
  <c r="AF70" i="86"/>
  <c r="AF72" i="86"/>
  <c r="AF96" i="86"/>
  <c r="U84" i="86"/>
  <c r="AF97" i="86"/>
  <c r="Z84" i="86"/>
  <c r="AF33" i="86"/>
  <c r="AF62" i="86"/>
  <c r="AF71" i="86"/>
  <c r="AF26" i="86"/>
  <c r="AF43" i="86"/>
  <c r="T116" i="86"/>
  <c r="AC103" i="86"/>
  <c r="AH55" i="85"/>
  <c r="P55" i="85" s="1"/>
  <c r="AB116" i="86" l="1"/>
  <c r="U116" i="86"/>
  <c r="AF103" i="86"/>
  <c r="AC84" i="86"/>
  <c r="AC116" i="86" s="1"/>
  <c r="AF84" i="86"/>
  <c r="Z116" i="86"/>
  <c r="X42" i="85"/>
  <c r="Y42" i="85"/>
  <c r="AE42" i="85" s="1"/>
  <c r="Z42" i="85"/>
  <c r="AA42" i="85"/>
  <c r="AB42" i="85"/>
  <c r="AC42" i="85"/>
  <c r="X91" i="85"/>
  <c r="Y91" i="85"/>
  <c r="Z91" i="85"/>
  <c r="AA91" i="85"/>
  <c r="AB91" i="85"/>
  <c r="AC91" i="85"/>
  <c r="AD91" i="85"/>
  <c r="X92" i="85"/>
  <c r="Y92" i="85"/>
  <c r="Z92" i="85"/>
  <c r="AA92" i="85"/>
  <c r="AB92" i="85"/>
  <c r="AC92" i="85"/>
  <c r="AD92" i="85"/>
  <c r="X89" i="85"/>
  <c r="Y89" i="85"/>
  <c r="Z89" i="85"/>
  <c r="AA89" i="85"/>
  <c r="AB89" i="85"/>
  <c r="AC89" i="85"/>
  <c r="AD89" i="85"/>
  <c r="X90" i="85"/>
  <c r="Y90" i="85"/>
  <c r="Z90" i="85"/>
  <c r="AA90" i="85"/>
  <c r="AB90" i="85"/>
  <c r="AC90" i="85"/>
  <c r="AD90" i="85"/>
  <c r="AD96" i="85"/>
  <c r="AD97" i="85"/>
  <c r="AD98" i="85"/>
  <c r="AD99" i="85"/>
  <c r="AD95" i="85"/>
  <c r="AD50" i="85"/>
  <c r="AD51" i="85"/>
  <c r="AD52" i="85"/>
  <c r="AD53" i="85"/>
  <c r="AD54" i="85"/>
  <c r="AD55" i="85"/>
  <c r="AD56" i="85"/>
  <c r="AD57" i="85"/>
  <c r="AD58" i="85"/>
  <c r="AD59" i="85"/>
  <c r="AD60" i="85"/>
  <c r="AD61" i="85"/>
  <c r="AD62" i="85"/>
  <c r="AD63" i="85"/>
  <c r="AD64" i="85"/>
  <c r="AD65" i="85"/>
  <c r="AD66" i="85"/>
  <c r="AD67" i="85"/>
  <c r="AD68" i="85"/>
  <c r="AD69" i="85"/>
  <c r="AD70" i="85"/>
  <c r="AD71" i="85"/>
  <c r="AD72" i="85"/>
  <c r="AD73" i="85"/>
  <c r="AD74" i="85"/>
  <c r="AD75" i="85"/>
  <c r="AD76" i="85"/>
  <c r="AD77" i="85"/>
  <c r="AD78" i="85"/>
  <c r="AD79" i="85"/>
  <c r="AD80" i="85"/>
  <c r="AD81" i="85"/>
  <c r="AD82" i="85"/>
  <c r="AD83" i="85"/>
  <c r="AD84" i="85"/>
  <c r="AD85" i="85"/>
  <c r="AD42" i="85"/>
  <c r="AD43" i="85"/>
  <c r="AD44" i="85"/>
  <c r="AD45" i="85"/>
  <c r="AD46" i="85"/>
  <c r="AD47" i="85"/>
  <c r="AD48" i="85"/>
  <c r="AD49" i="85"/>
  <c r="AD41" i="85"/>
  <c r="AD17" i="85"/>
  <c r="AD18" i="85"/>
  <c r="AD19" i="85"/>
  <c r="AD20" i="85"/>
  <c r="AD21" i="85"/>
  <c r="AD22" i="85"/>
  <c r="AD23" i="85"/>
  <c r="AD24" i="85"/>
  <c r="AD25" i="85"/>
  <c r="AD26" i="85"/>
  <c r="AD27" i="85"/>
  <c r="AD28" i="85"/>
  <c r="AD29" i="85"/>
  <c r="AD30" i="85"/>
  <c r="AD31" i="85"/>
  <c r="AD32" i="85"/>
  <c r="AD33" i="85"/>
  <c r="AD34" i="85"/>
  <c r="AD35" i="85"/>
  <c r="AD36" i="85"/>
  <c r="AD37" i="85"/>
  <c r="AD38" i="85"/>
  <c r="AD39" i="85"/>
  <c r="AD40" i="85"/>
  <c r="AD16" i="85"/>
  <c r="AF116" i="86" l="1"/>
  <c r="K118" i="86" s="1"/>
  <c r="AE91" i="85"/>
  <c r="AE92" i="85"/>
  <c r="AE89" i="85"/>
  <c r="AE90" i="85"/>
  <c r="Y96" i="85" l="1"/>
  <c r="Y97" i="85"/>
  <c r="Y98" i="85"/>
  <c r="Y99" i="85"/>
  <c r="Y95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3" i="85"/>
  <c r="Y34" i="85"/>
  <c r="Y35" i="85"/>
  <c r="Y36" i="85"/>
  <c r="Y37" i="85"/>
  <c r="Y38" i="85"/>
  <c r="Y39" i="85"/>
  <c r="Y40" i="85"/>
  <c r="Y41" i="85"/>
  <c r="Y43" i="85"/>
  <c r="Y44" i="85"/>
  <c r="Y45" i="85"/>
  <c r="Y46" i="85"/>
  <c r="Y47" i="85"/>
  <c r="Y48" i="85"/>
  <c r="Y49" i="85"/>
  <c r="Y50" i="85"/>
  <c r="Y51" i="85"/>
  <c r="Y52" i="85"/>
  <c r="Y53" i="85"/>
  <c r="Y54" i="85"/>
  <c r="Y55" i="85"/>
  <c r="Y56" i="85"/>
  <c r="Y57" i="85"/>
  <c r="Y58" i="85"/>
  <c r="Y59" i="85"/>
  <c r="Y60" i="85"/>
  <c r="Y61" i="85"/>
  <c r="Y62" i="85"/>
  <c r="Y63" i="85"/>
  <c r="Y64" i="85"/>
  <c r="Y65" i="85"/>
  <c r="Y66" i="85"/>
  <c r="Y67" i="85"/>
  <c r="Y68" i="85"/>
  <c r="Y69" i="85"/>
  <c r="Y70" i="85"/>
  <c r="Y71" i="85"/>
  <c r="Y72" i="85"/>
  <c r="Y73" i="85"/>
  <c r="Y74" i="85"/>
  <c r="Y75" i="85"/>
  <c r="Y76" i="85"/>
  <c r="Y77" i="85"/>
  <c r="Y78" i="85"/>
  <c r="Y79" i="85"/>
  <c r="Y80" i="85"/>
  <c r="Y81" i="85"/>
  <c r="Y82" i="85"/>
  <c r="AE82" i="85" s="1"/>
  <c r="Y83" i="85"/>
  <c r="Y84" i="85"/>
  <c r="Y85" i="85"/>
  <c r="Y16" i="85"/>
  <c r="AE84" i="85"/>
  <c r="Y104" i="85" l="1"/>
  <c r="AE49" i="85"/>
  <c r="AC49" i="85"/>
  <c r="U49" i="85"/>
  <c r="AB49" i="85" s="1"/>
  <c r="AA49" i="85"/>
  <c r="Z49" i="85"/>
  <c r="AE67" i="85" l="1"/>
  <c r="Z67" i="85"/>
  <c r="AA67" i="85"/>
  <c r="AC67" i="85"/>
  <c r="AH17" i="85"/>
  <c r="P17" i="85" s="1"/>
  <c r="AH18" i="85"/>
  <c r="P18" i="85" s="1"/>
  <c r="AH19" i="85"/>
  <c r="P19" i="85" s="1"/>
  <c r="AH20" i="85"/>
  <c r="P20" i="85" s="1"/>
  <c r="AH21" i="85"/>
  <c r="P21" i="85" s="1"/>
  <c r="AH22" i="85"/>
  <c r="P22" i="85" s="1"/>
  <c r="AH23" i="85"/>
  <c r="P23" i="85" s="1"/>
  <c r="AH24" i="85"/>
  <c r="P24" i="85" s="1"/>
  <c r="AH25" i="85"/>
  <c r="P25" i="85" s="1"/>
  <c r="AH26" i="85"/>
  <c r="P26" i="85" s="1"/>
  <c r="AH27" i="85"/>
  <c r="P27" i="85" s="1"/>
  <c r="AH28" i="85"/>
  <c r="P28" i="85" s="1"/>
  <c r="AH29" i="85"/>
  <c r="P29" i="85" s="1"/>
  <c r="AH30" i="85"/>
  <c r="P30" i="85" s="1"/>
  <c r="AH31" i="85"/>
  <c r="P31" i="85" s="1"/>
  <c r="AH32" i="85"/>
  <c r="P32" i="85" s="1"/>
  <c r="AH33" i="85"/>
  <c r="P33" i="85" s="1"/>
  <c r="AH34" i="85"/>
  <c r="P34" i="85" s="1"/>
  <c r="AH35" i="85"/>
  <c r="P35" i="85" s="1"/>
  <c r="AH36" i="85"/>
  <c r="P36" i="85" s="1"/>
  <c r="AH37" i="85"/>
  <c r="P37" i="85" s="1"/>
  <c r="AH38" i="85"/>
  <c r="P38" i="85" s="1"/>
  <c r="AH39" i="85"/>
  <c r="P39" i="85" s="1"/>
  <c r="AH40" i="85"/>
  <c r="P40" i="85" s="1"/>
  <c r="AH41" i="85"/>
  <c r="P41" i="85" s="1"/>
  <c r="AH42" i="85"/>
  <c r="AH43" i="85"/>
  <c r="P43" i="85" s="1"/>
  <c r="AH44" i="85"/>
  <c r="P44" i="85" s="1"/>
  <c r="AH45" i="85"/>
  <c r="P45" i="85" s="1"/>
  <c r="AH46" i="85"/>
  <c r="P46" i="85" s="1"/>
  <c r="AH47" i="85"/>
  <c r="P47" i="85" s="1"/>
  <c r="AH48" i="85"/>
  <c r="P48" i="85" s="1"/>
  <c r="AH49" i="85"/>
  <c r="P49" i="85" s="1"/>
  <c r="AH50" i="85"/>
  <c r="P50" i="85" s="1"/>
  <c r="AH51" i="85"/>
  <c r="P51" i="85" s="1"/>
  <c r="AH52" i="85"/>
  <c r="P52" i="85" s="1"/>
  <c r="AH53" i="85"/>
  <c r="P53" i="85" s="1"/>
  <c r="AH54" i="85"/>
  <c r="P54" i="85" s="1"/>
  <c r="AH56" i="85"/>
  <c r="P56" i="85" s="1"/>
  <c r="AH57" i="85"/>
  <c r="P57" i="85" s="1"/>
  <c r="AH58" i="85"/>
  <c r="P58" i="85" s="1"/>
  <c r="AH59" i="85"/>
  <c r="P59" i="85" s="1"/>
  <c r="AH60" i="85"/>
  <c r="P60" i="85" s="1"/>
  <c r="AH61" i="85"/>
  <c r="P61" i="85" s="1"/>
  <c r="AH62" i="85"/>
  <c r="P62" i="85" s="1"/>
  <c r="AH63" i="85"/>
  <c r="P63" i="85" s="1"/>
  <c r="AH64" i="85"/>
  <c r="P64" i="85" s="1"/>
  <c r="AH65" i="85"/>
  <c r="P65" i="85" s="1"/>
  <c r="AH66" i="85"/>
  <c r="P66" i="85" s="1"/>
  <c r="AH67" i="85"/>
  <c r="P67" i="85" s="1"/>
  <c r="AH68" i="85"/>
  <c r="P68" i="85" s="1"/>
  <c r="AH69" i="85"/>
  <c r="P69" i="85" s="1"/>
  <c r="AH70" i="85"/>
  <c r="P70" i="85" s="1"/>
  <c r="AH71" i="85"/>
  <c r="P71" i="85" s="1"/>
  <c r="AH72" i="85"/>
  <c r="P72" i="85" s="1"/>
  <c r="AH73" i="85"/>
  <c r="P73" i="85" s="1"/>
  <c r="AH74" i="85"/>
  <c r="P74" i="85" s="1"/>
  <c r="AH75" i="85"/>
  <c r="P75" i="85" s="1"/>
  <c r="AH76" i="85"/>
  <c r="P76" i="85" s="1"/>
  <c r="AH77" i="85"/>
  <c r="P77" i="85" s="1"/>
  <c r="AH78" i="85"/>
  <c r="P78" i="85" s="1"/>
  <c r="AH79" i="85"/>
  <c r="P79" i="85" s="1"/>
  <c r="AH80" i="85"/>
  <c r="P80" i="85" s="1"/>
  <c r="AH81" i="85"/>
  <c r="P81" i="85" s="1"/>
  <c r="AH82" i="85"/>
  <c r="P82" i="85" s="1"/>
  <c r="AH83" i="85"/>
  <c r="P83" i="85" s="1"/>
  <c r="AH84" i="85"/>
  <c r="P84" i="85" s="1"/>
  <c r="AH85" i="85"/>
  <c r="P85" i="85" s="1"/>
  <c r="AH86" i="85"/>
  <c r="AH89" i="85"/>
  <c r="AH90" i="85"/>
  <c r="AH91" i="85"/>
  <c r="AH92" i="85"/>
  <c r="AH95" i="85"/>
  <c r="AH96" i="85"/>
  <c r="AH97" i="85"/>
  <c r="AH98" i="85"/>
  <c r="AH99" i="85"/>
  <c r="AH16" i="85"/>
  <c r="U103" i="85" l="1"/>
  <c r="Q103" i="85"/>
  <c r="U102" i="85"/>
  <c r="Q102" i="85"/>
  <c r="Q100" i="85"/>
  <c r="Q83" i="85"/>
  <c r="Q84" i="85"/>
  <c r="Q85" i="85"/>
  <c r="Q82" i="85"/>
  <c r="Q81" i="85"/>
  <c r="Q78" i="85"/>
  <c r="Q67" i="85"/>
  <c r="Q63" i="85"/>
  <c r="Q58" i="85"/>
  <c r="Q60" i="85"/>
  <c r="Q55" i="85"/>
  <c r="Q54" i="85"/>
  <c r="Q53" i="85"/>
  <c r="Q52" i="85"/>
  <c r="Q51" i="85"/>
  <c r="Q49" i="85"/>
  <c r="X49" i="85" s="1"/>
  <c r="Q45" i="85"/>
  <c r="Q36" i="85"/>
  <c r="Q39" i="85"/>
  <c r="Q37" i="85"/>
  <c r="Q38" i="85"/>
  <c r="Q35" i="85"/>
  <c r="Q34" i="85"/>
  <c r="Q33" i="85"/>
  <c r="Q32" i="85"/>
  <c r="Q31" i="85"/>
  <c r="Q30" i="85"/>
  <c r="Q25" i="85"/>
  <c r="Q22" i="85"/>
  <c r="Q21" i="85"/>
  <c r="Q20" i="85"/>
  <c r="Q18" i="85"/>
  <c r="Q16" i="85"/>
  <c r="X95" i="85" l="1"/>
  <c r="U95" i="85"/>
  <c r="Q95" i="85" l="1"/>
  <c r="AB95" i="85"/>
  <c r="Z95" i="85"/>
  <c r="AA95" i="85"/>
  <c r="AC95" i="85"/>
  <c r="AE95" i="85"/>
  <c r="Q98" i="85" l="1"/>
  <c r="Q80" i="85"/>
  <c r="Q75" i="85"/>
  <c r="Q73" i="85"/>
  <c r="Q65" i="85"/>
  <c r="Q64" i="85"/>
  <c r="Q50" i="85"/>
  <c r="Q46" i="85"/>
  <c r="Q47" i="85"/>
  <c r="Q48" i="85"/>
  <c r="Q29" i="85"/>
  <c r="Q28" i="85"/>
  <c r="Q23" i="85"/>
  <c r="Q19" i="85"/>
  <c r="Q17" i="85"/>
  <c r="Q24" i="85"/>
  <c r="X24" i="85" s="1"/>
  <c r="Q26" i="85"/>
  <c r="Q27" i="85"/>
  <c r="Q40" i="85"/>
  <c r="Q41" i="85"/>
  <c r="Q43" i="85"/>
  <c r="Q44" i="85"/>
  <c r="Q56" i="85"/>
  <c r="Q57" i="85"/>
  <c r="Q59" i="85"/>
  <c r="Q61" i="85"/>
  <c r="X61" i="85" s="1"/>
  <c r="Q62" i="85"/>
  <c r="Q66" i="85"/>
  <c r="Q68" i="85"/>
  <c r="Q69" i="85"/>
  <c r="Q70" i="85"/>
  <c r="Q71" i="85"/>
  <c r="Q72" i="85"/>
  <c r="Q74" i="85"/>
  <c r="Q76" i="85"/>
  <c r="Q77" i="85"/>
  <c r="Q79" i="85"/>
  <c r="U67" i="85" l="1"/>
  <c r="AB67" i="85" s="1"/>
  <c r="AA84" i="85"/>
  <c r="Z84" i="85"/>
  <c r="U84" i="85"/>
  <c r="AB84" i="85" s="1"/>
  <c r="X84" i="85"/>
  <c r="T104" i="85" l="1"/>
  <c r="S104" i="85"/>
  <c r="R104" i="85"/>
  <c r="AA99" i="85"/>
  <c r="Z99" i="85"/>
  <c r="AE99" i="85"/>
  <c r="AC99" i="85"/>
  <c r="U99" i="85"/>
  <c r="AB99" i="85" s="1"/>
  <c r="Q99" i="85"/>
  <c r="X99" i="85" s="1"/>
  <c r="AA98" i="85"/>
  <c r="Z98" i="85"/>
  <c r="AE98" i="85"/>
  <c r="X98" i="85"/>
  <c r="AA97" i="85"/>
  <c r="Z97" i="85"/>
  <c r="AE97" i="85"/>
  <c r="AC97" i="85"/>
  <c r="U97" i="85"/>
  <c r="Q97" i="85"/>
  <c r="X97" i="85" s="1"/>
  <c r="AA96" i="85"/>
  <c r="Z96" i="85"/>
  <c r="AE96" i="85"/>
  <c r="AC96" i="85"/>
  <c r="U96" i="85"/>
  <c r="AB96" i="85" s="1"/>
  <c r="Q96" i="85"/>
  <c r="X96" i="85" s="1"/>
  <c r="T93" i="85"/>
  <c r="S93" i="85"/>
  <c r="R93" i="85"/>
  <c r="AA62" i="85"/>
  <c r="Z62" i="85"/>
  <c r="AE62" i="85"/>
  <c r="AC62" i="85"/>
  <c r="U62" i="85"/>
  <c r="AB62" i="85" s="1"/>
  <c r="X62" i="85"/>
  <c r="T86" i="85"/>
  <c r="S86" i="85"/>
  <c r="R86" i="85"/>
  <c r="AA85" i="85"/>
  <c r="Z85" i="85"/>
  <c r="AE85" i="85"/>
  <c r="AC85" i="85"/>
  <c r="U85" i="85"/>
  <c r="AB85" i="85" s="1"/>
  <c r="X85" i="85"/>
  <c r="AA82" i="85"/>
  <c r="Z82" i="85"/>
  <c r="AC82" i="85"/>
  <c r="U82" i="85"/>
  <c r="AB82" i="85" s="1"/>
  <c r="X82" i="85"/>
  <c r="AA81" i="85"/>
  <c r="Z81" i="85"/>
  <c r="AE81" i="85"/>
  <c r="AC81" i="85"/>
  <c r="U81" i="85"/>
  <c r="AB81" i="85" s="1"/>
  <c r="X81" i="85"/>
  <c r="AA80" i="85"/>
  <c r="Z80" i="85"/>
  <c r="AE80" i="85"/>
  <c r="AC80" i="85"/>
  <c r="U80" i="85"/>
  <c r="AB80" i="85" s="1"/>
  <c r="X80" i="85"/>
  <c r="AA79" i="85"/>
  <c r="Z79" i="85"/>
  <c r="AC79" i="85"/>
  <c r="U79" i="85"/>
  <c r="AB79" i="85" s="1"/>
  <c r="X79" i="85"/>
  <c r="AA78" i="85"/>
  <c r="Z78" i="85"/>
  <c r="AE78" i="85"/>
  <c r="AC78" i="85"/>
  <c r="U78" i="85"/>
  <c r="AB78" i="85" s="1"/>
  <c r="X78" i="85"/>
  <c r="AA77" i="85"/>
  <c r="Z77" i="85"/>
  <c r="AE77" i="85"/>
  <c r="AC77" i="85"/>
  <c r="U77" i="85"/>
  <c r="AB77" i="85" s="1"/>
  <c r="X77" i="85"/>
  <c r="AA76" i="85"/>
  <c r="Z76" i="85"/>
  <c r="AE76" i="85"/>
  <c r="AC76" i="85"/>
  <c r="U76" i="85"/>
  <c r="AB76" i="85" s="1"/>
  <c r="X76" i="85"/>
  <c r="AC75" i="85"/>
  <c r="AA75" i="85"/>
  <c r="Z75" i="85"/>
  <c r="AE75" i="85"/>
  <c r="U75" i="85"/>
  <c r="AB75" i="85" s="1"/>
  <c r="AA74" i="85"/>
  <c r="Z74" i="85"/>
  <c r="AE74" i="85"/>
  <c r="AC74" i="85"/>
  <c r="U74" i="85"/>
  <c r="AB74" i="85" s="1"/>
  <c r="X74" i="85"/>
  <c r="AA73" i="85"/>
  <c r="Z73" i="85"/>
  <c r="AE73" i="85"/>
  <c r="AC73" i="85"/>
  <c r="U73" i="85"/>
  <c r="AB73" i="85" s="1"/>
  <c r="X73" i="85"/>
  <c r="AA72" i="85"/>
  <c r="Z72" i="85"/>
  <c r="AE72" i="85"/>
  <c r="U72" i="85"/>
  <c r="X72" i="85"/>
  <c r="AA71" i="85"/>
  <c r="Z71" i="85"/>
  <c r="AE71" i="85"/>
  <c r="AC71" i="85"/>
  <c r="U71" i="85"/>
  <c r="AB71" i="85" s="1"/>
  <c r="X71" i="85"/>
  <c r="AC70" i="85"/>
  <c r="AA70" i="85"/>
  <c r="Z70" i="85"/>
  <c r="AE70" i="85"/>
  <c r="U70" i="85"/>
  <c r="AB70" i="85" s="1"/>
  <c r="X70" i="85"/>
  <c r="AA69" i="85"/>
  <c r="Z69" i="85"/>
  <c r="AE69" i="85"/>
  <c r="AC69" i="85"/>
  <c r="U69" i="85"/>
  <c r="AB69" i="85" s="1"/>
  <c r="X69" i="85"/>
  <c r="AA68" i="85"/>
  <c r="Z68" i="85"/>
  <c r="AE68" i="85"/>
  <c r="AC68" i="85"/>
  <c r="U68" i="85"/>
  <c r="AB68" i="85" s="1"/>
  <c r="X68" i="85"/>
  <c r="X67" i="85"/>
  <c r="AA66" i="85"/>
  <c r="Z66" i="85"/>
  <c r="AE66" i="85"/>
  <c r="AC66" i="85"/>
  <c r="U66" i="85"/>
  <c r="AB66" i="85" s="1"/>
  <c r="X66" i="85"/>
  <c r="AA65" i="85"/>
  <c r="Z65" i="85"/>
  <c r="AE65" i="85"/>
  <c r="AC65" i="85"/>
  <c r="U65" i="85"/>
  <c r="AB65" i="85" s="1"/>
  <c r="X65" i="85"/>
  <c r="AA64" i="85"/>
  <c r="Z64" i="85"/>
  <c r="AE64" i="85"/>
  <c r="AC64" i="85"/>
  <c r="U64" i="85"/>
  <c r="AB64" i="85" s="1"/>
  <c r="X64" i="85"/>
  <c r="AA63" i="85"/>
  <c r="Z63" i="85"/>
  <c r="AE63" i="85"/>
  <c r="AC63" i="85"/>
  <c r="U63" i="85"/>
  <c r="AB63" i="85" s="1"/>
  <c r="X63" i="85"/>
  <c r="AA61" i="85"/>
  <c r="Z61" i="85"/>
  <c r="AE61" i="85"/>
  <c r="U61" i="85"/>
  <c r="AC60" i="85"/>
  <c r="AA60" i="85"/>
  <c r="Z60" i="85"/>
  <c r="AE60" i="85"/>
  <c r="U60" i="85"/>
  <c r="AB60" i="85" s="1"/>
  <c r="X60" i="85"/>
  <c r="AA59" i="85"/>
  <c r="Z59" i="85"/>
  <c r="AE59" i="85"/>
  <c r="U59" i="85"/>
  <c r="AB59" i="85" s="1"/>
  <c r="X59" i="85"/>
  <c r="AA58" i="85"/>
  <c r="Z58" i="85"/>
  <c r="AE58" i="85"/>
  <c r="AC58" i="85"/>
  <c r="U58" i="85"/>
  <c r="AB58" i="85" s="1"/>
  <c r="X58" i="85"/>
  <c r="AA57" i="85"/>
  <c r="Z57" i="85"/>
  <c r="AE57" i="85"/>
  <c r="AC57" i="85"/>
  <c r="U57" i="85"/>
  <c r="AB57" i="85" s="1"/>
  <c r="X57" i="85"/>
  <c r="AA56" i="85"/>
  <c r="Z56" i="85"/>
  <c r="AE56" i="85"/>
  <c r="AC56" i="85"/>
  <c r="U56" i="85"/>
  <c r="AB56" i="85" s="1"/>
  <c r="X56" i="85"/>
  <c r="AC55" i="85"/>
  <c r="AA55" i="85"/>
  <c r="Z55" i="85"/>
  <c r="AE55" i="85"/>
  <c r="X55" i="85"/>
  <c r="U55" i="85"/>
  <c r="AB55" i="85" s="1"/>
  <c r="AC54" i="85"/>
  <c r="AA54" i="85"/>
  <c r="Z54" i="85"/>
  <c r="AE54" i="85"/>
  <c r="X54" i="85"/>
  <c r="U54" i="85"/>
  <c r="AB54" i="85" s="1"/>
  <c r="AA53" i="85"/>
  <c r="Z53" i="85"/>
  <c r="AE53" i="85"/>
  <c r="AC53" i="85"/>
  <c r="U53" i="85"/>
  <c r="AB53" i="85" s="1"/>
  <c r="X53" i="85"/>
  <c r="AC52" i="85"/>
  <c r="AA52" i="85"/>
  <c r="Z52" i="85"/>
  <c r="AE52" i="85"/>
  <c r="X52" i="85"/>
  <c r="U52" i="85"/>
  <c r="AB52" i="85" s="1"/>
  <c r="AA51" i="85"/>
  <c r="Z51" i="85"/>
  <c r="AE51" i="85"/>
  <c r="AC51" i="85"/>
  <c r="U51" i="85"/>
  <c r="AB51" i="85" s="1"/>
  <c r="X51" i="85"/>
  <c r="AC50" i="85"/>
  <c r="AA50" i="85"/>
  <c r="Z50" i="85"/>
  <c r="AE50" i="85"/>
  <c r="X50" i="85"/>
  <c r="U50" i="85"/>
  <c r="AB50" i="85" s="1"/>
  <c r="AA48" i="85"/>
  <c r="Z48" i="85"/>
  <c r="AE48" i="85"/>
  <c r="AC48" i="85"/>
  <c r="U48" i="85"/>
  <c r="AB48" i="85" s="1"/>
  <c r="X48" i="85"/>
  <c r="AA47" i="85"/>
  <c r="Z47" i="85"/>
  <c r="AE47" i="85"/>
  <c r="AC47" i="85"/>
  <c r="U47" i="85"/>
  <c r="AB47" i="85" s="1"/>
  <c r="X47" i="85"/>
  <c r="AA46" i="85"/>
  <c r="Z46" i="85"/>
  <c r="AE46" i="85"/>
  <c r="AC46" i="85"/>
  <c r="U46" i="85"/>
  <c r="AB46" i="85" s="1"/>
  <c r="X46" i="85"/>
  <c r="AA45" i="85"/>
  <c r="Z45" i="85"/>
  <c r="AE45" i="85"/>
  <c r="AC45" i="85"/>
  <c r="U45" i="85"/>
  <c r="AB45" i="85" s="1"/>
  <c r="X45" i="85"/>
  <c r="AA44" i="85"/>
  <c r="Z44" i="85"/>
  <c r="AE44" i="85"/>
  <c r="AC44" i="85"/>
  <c r="U44" i="85"/>
  <c r="AB44" i="85" s="1"/>
  <c r="X44" i="85"/>
  <c r="AA43" i="85"/>
  <c r="Z43" i="85"/>
  <c r="AE43" i="85"/>
  <c r="AC43" i="85"/>
  <c r="U43" i="85"/>
  <c r="AB43" i="85" s="1"/>
  <c r="X43" i="85"/>
  <c r="AA41" i="85"/>
  <c r="Z41" i="85"/>
  <c r="AE41" i="85"/>
  <c r="AC41" i="85"/>
  <c r="U41" i="85"/>
  <c r="AB41" i="85" s="1"/>
  <c r="X41" i="85"/>
  <c r="AA40" i="85"/>
  <c r="Z40" i="85"/>
  <c r="AE40" i="85"/>
  <c r="AC40" i="85"/>
  <c r="U40" i="85"/>
  <c r="AB40" i="85" s="1"/>
  <c r="X40" i="85"/>
  <c r="AA39" i="85"/>
  <c r="Z39" i="85"/>
  <c r="AE39" i="85"/>
  <c r="AC39" i="85"/>
  <c r="U39" i="85"/>
  <c r="AB39" i="85" s="1"/>
  <c r="X39" i="85"/>
  <c r="AA38" i="85"/>
  <c r="Z38" i="85"/>
  <c r="AE38" i="85"/>
  <c r="AC38" i="85"/>
  <c r="U38" i="85"/>
  <c r="AB38" i="85" s="1"/>
  <c r="X38" i="85"/>
  <c r="AA37" i="85"/>
  <c r="Z37" i="85"/>
  <c r="AE37" i="85"/>
  <c r="AC37" i="85"/>
  <c r="U37" i="85"/>
  <c r="X37" i="85"/>
  <c r="AA36" i="85"/>
  <c r="Z36" i="85"/>
  <c r="AE36" i="85"/>
  <c r="U36" i="85"/>
  <c r="AB36" i="85" s="1"/>
  <c r="X36" i="85"/>
  <c r="AA35" i="85"/>
  <c r="Z35" i="85"/>
  <c r="AE35" i="85"/>
  <c r="AC35" i="85"/>
  <c r="U35" i="85"/>
  <c r="AB35" i="85" s="1"/>
  <c r="X35" i="85"/>
  <c r="AA34" i="85"/>
  <c r="Z34" i="85"/>
  <c r="AE34" i="85"/>
  <c r="AC34" i="85"/>
  <c r="U34" i="85"/>
  <c r="AB34" i="85" s="1"/>
  <c r="X34" i="85"/>
  <c r="AA33" i="85"/>
  <c r="Z33" i="85"/>
  <c r="AE33" i="85"/>
  <c r="AC33" i="85"/>
  <c r="U33" i="85"/>
  <c r="AB33" i="85" s="1"/>
  <c r="X33" i="85"/>
  <c r="AA32" i="85"/>
  <c r="Z32" i="85"/>
  <c r="AE32" i="85"/>
  <c r="AC32" i="85"/>
  <c r="U32" i="85"/>
  <c r="AB32" i="85" s="1"/>
  <c r="X32" i="85"/>
  <c r="AA31" i="85"/>
  <c r="Z31" i="85"/>
  <c r="AE31" i="85"/>
  <c r="AC31" i="85"/>
  <c r="U31" i="85"/>
  <c r="AB31" i="85" s="1"/>
  <c r="X31" i="85"/>
  <c r="AA30" i="85"/>
  <c r="Z30" i="85"/>
  <c r="AE30" i="85"/>
  <c r="AC30" i="85"/>
  <c r="U30" i="85"/>
  <c r="AB30" i="85" s="1"/>
  <c r="X30" i="85"/>
  <c r="AA29" i="85"/>
  <c r="Z29" i="85"/>
  <c r="AE29" i="85"/>
  <c r="AC29" i="85"/>
  <c r="U29" i="85"/>
  <c r="AB29" i="85" s="1"/>
  <c r="X29" i="85"/>
  <c r="AA28" i="85"/>
  <c r="Z28" i="85"/>
  <c r="AE28" i="85"/>
  <c r="AC28" i="85"/>
  <c r="U28" i="85"/>
  <c r="AB28" i="85" s="1"/>
  <c r="X28" i="85"/>
  <c r="AC27" i="85"/>
  <c r="AA27" i="85"/>
  <c r="Z27" i="85"/>
  <c r="AE27" i="85"/>
  <c r="X27" i="85"/>
  <c r="U27" i="85"/>
  <c r="AB27" i="85" s="1"/>
  <c r="AA26" i="85"/>
  <c r="Z26" i="85"/>
  <c r="AE26" i="85"/>
  <c r="AC26" i="85"/>
  <c r="U26" i="85"/>
  <c r="AB26" i="85" s="1"/>
  <c r="X26" i="85"/>
  <c r="AB25" i="85"/>
  <c r="AA25" i="85"/>
  <c r="Z25" i="85"/>
  <c r="AE25" i="85"/>
  <c r="AC25" i="85"/>
  <c r="X25" i="85"/>
  <c r="AA24" i="85"/>
  <c r="Z24" i="85"/>
  <c r="AE24" i="85"/>
  <c r="AC24" i="85"/>
  <c r="U24" i="85"/>
  <c r="AB24" i="85" s="1"/>
  <c r="AA23" i="85"/>
  <c r="Z23" i="85"/>
  <c r="AE23" i="85"/>
  <c r="AC23" i="85"/>
  <c r="U23" i="85"/>
  <c r="AB23" i="85" s="1"/>
  <c r="X23" i="85"/>
  <c r="AA22" i="85"/>
  <c r="Z22" i="85"/>
  <c r="AE22" i="85"/>
  <c r="AC22" i="85"/>
  <c r="U22" i="85"/>
  <c r="AB22" i="85" s="1"/>
  <c r="X22" i="85"/>
  <c r="AA21" i="85"/>
  <c r="Z21" i="85"/>
  <c r="AE21" i="85"/>
  <c r="AC21" i="85"/>
  <c r="U21" i="85"/>
  <c r="X21" i="85"/>
  <c r="AA20" i="85"/>
  <c r="Z20" i="85"/>
  <c r="AE20" i="85"/>
  <c r="AC20" i="85"/>
  <c r="U20" i="85"/>
  <c r="AB20" i="85" s="1"/>
  <c r="X20" i="85"/>
  <c r="AA19" i="85"/>
  <c r="Z19" i="85"/>
  <c r="AE19" i="85"/>
  <c r="AC19" i="85"/>
  <c r="U19" i="85"/>
  <c r="AB19" i="85" s="1"/>
  <c r="X19" i="85"/>
  <c r="AA18" i="85"/>
  <c r="Z18" i="85"/>
  <c r="AE18" i="85"/>
  <c r="AC18" i="85"/>
  <c r="U18" i="85"/>
  <c r="AB18" i="85" s="1"/>
  <c r="X18" i="85"/>
  <c r="AA17" i="85"/>
  <c r="Z17" i="85"/>
  <c r="AE17" i="85"/>
  <c r="X17" i="85"/>
  <c r="AC17" i="85"/>
  <c r="U17" i="85"/>
  <c r="AB17" i="85" s="1"/>
  <c r="AA16" i="85"/>
  <c r="Z16" i="85"/>
  <c r="AC16" i="85"/>
  <c r="U16" i="85"/>
  <c r="AB16" i="85" s="1"/>
  <c r="X16" i="85"/>
  <c r="Z93" i="85" l="1"/>
  <c r="T117" i="85"/>
  <c r="S117" i="85"/>
  <c r="R117" i="85"/>
  <c r="AE104" i="85"/>
  <c r="AA104" i="85"/>
  <c r="AB104" i="85" s="1"/>
  <c r="Y93" i="85"/>
  <c r="AE93" i="85"/>
  <c r="Z104" i="85"/>
  <c r="AA86" i="85"/>
  <c r="Y86" i="85"/>
  <c r="Z86" i="85"/>
  <c r="U86" i="85"/>
  <c r="U104" i="85"/>
  <c r="Q15" i="83"/>
  <c r="U117" i="85" l="1"/>
  <c r="Z117" i="85"/>
  <c r="AB86" i="85"/>
  <c r="AB117" i="85" s="1"/>
  <c r="AA93" i="85"/>
  <c r="AA117" i="85" s="1"/>
  <c r="Y117" i="85"/>
  <c r="V79" i="83"/>
  <c r="Q94" i="83"/>
  <c r="Q79" i="83"/>
  <c r="Q67" i="83"/>
  <c r="Q58" i="83"/>
  <c r="Q41" i="83"/>
  <c r="Q42" i="83"/>
  <c r="T98" i="83" l="1"/>
  <c r="S98" i="83"/>
  <c r="R98" i="83"/>
  <c r="AA95" i="83"/>
  <c r="Z95" i="83"/>
  <c r="Y95" i="83"/>
  <c r="AE95" i="83" s="1"/>
  <c r="V95" i="83"/>
  <c r="AC95" i="83" s="1"/>
  <c r="U95" i="83"/>
  <c r="AB95" i="83" s="1"/>
  <c r="Q95" i="83"/>
  <c r="X95" i="83" s="1"/>
  <c r="AA94" i="83"/>
  <c r="Z94" i="83"/>
  <c r="Y94" i="83"/>
  <c r="AE94" i="83" s="1"/>
  <c r="V94" i="83"/>
  <c r="X94" i="83"/>
  <c r="AA93" i="83"/>
  <c r="Z93" i="83"/>
  <c r="Y93" i="83"/>
  <c r="AE93" i="83" s="1"/>
  <c r="V93" i="83"/>
  <c r="AC93" i="83" s="1"/>
  <c r="U93" i="83"/>
  <c r="Q93" i="83"/>
  <c r="X93" i="83" s="1"/>
  <c r="AA92" i="83"/>
  <c r="Z92" i="83"/>
  <c r="Y92" i="83"/>
  <c r="AE92" i="83" s="1"/>
  <c r="V92" i="83"/>
  <c r="AC92" i="83" s="1"/>
  <c r="U92" i="83"/>
  <c r="AB92" i="83" s="1"/>
  <c r="Q92" i="83"/>
  <c r="X92" i="83" s="1"/>
  <c r="T90" i="83"/>
  <c r="S90" i="83"/>
  <c r="R90" i="83"/>
  <c r="AE87" i="83"/>
  <c r="Q87" i="83"/>
  <c r="AA86" i="83"/>
  <c r="Z86" i="83"/>
  <c r="Y86" i="83"/>
  <c r="AE86" i="83" s="1"/>
  <c r="X86" i="83"/>
  <c r="V86" i="83"/>
  <c r="AC86" i="83" s="1"/>
  <c r="U86" i="83"/>
  <c r="AB86" i="83" s="1"/>
  <c r="Q86" i="83"/>
  <c r="AC85" i="83"/>
  <c r="AA85" i="83"/>
  <c r="Z85" i="83"/>
  <c r="Y85" i="83"/>
  <c r="V85" i="83"/>
  <c r="U85" i="83"/>
  <c r="AB85" i="83" s="1"/>
  <c r="Q85" i="83"/>
  <c r="X85" i="83" s="1"/>
  <c r="AA84" i="83"/>
  <c r="Z84" i="83"/>
  <c r="Y84" i="83"/>
  <c r="AE84" i="83" s="1"/>
  <c r="X84" i="83"/>
  <c r="V84" i="83"/>
  <c r="AC84" i="83" s="1"/>
  <c r="U84" i="83"/>
  <c r="AB84" i="83" s="1"/>
  <c r="Q84" i="83"/>
  <c r="T81" i="83"/>
  <c r="S81" i="83"/>
  <c r="R81" i="83"/>
  <c r="AA80" i="83"/>
  <c r="Z80" i="83"/>
  <c r="Y80" i="83"/>
  <c r="AE80" i="83" s="1"/>
  <c r="V80" i="83"/>
  <c r="AC80" i="83" s="1"/>
  <c r="U80" i="83"/>
  <c r="AB80" i="83" s="1"/>
  <c r="Q80" i="83"/>
  <c r="X80" i="83" s="1"/>
  <c r="AA79" i="83"/>
  <c r="Z79" i="83"/>
  <c r="Y79" i="83"/>
  <c r="X79" i="83"/>
  <c r="AC79" i="83"/>
  <c r="U79" i="83"/>
  <c r="AB79" i="83" s="1"/>
  <c r="AA78" i="83"/>
  <c r="Z78" i="83"/>
  <c r="Y78" i="83"/>
  <c r="AE78" i="83" s="1"/>
  <c r="V78" i="83"/>
  <c r="AC78" i="83" s="1"/>
  <c r="U78" i="83"/>
  <c r="AB78" i="83" s="1"/>
  <c r="Q78" i="83"/>
  <c r="X78" i="83" s="1"/>
  <c r="AA77" i="83"/>
  <c r="Z77" i="83"/>
  <c r="Y77" i="83"/>
  <c r="AE77" i="83" s="1"/>
  <c r="V77" i="83"/>
  <c r="AC77" i="83" s="1"/>
  <c r="U77" i="83"/>
  <c r="AB77" i="83" s="1"/>
  <c r="Q77" i="83"/>
  <c r="X77" i="83" s="1"/>
  <c r="AA76" i="83"/>
  <c r="Z76" i="83"/>
  <c r="Y76" i="83"/>
  <c r="V76" i="83"/>
  <c r="AC76" i="83" s="1"/>
  <c r="U76" i="83"/>
  <c r="AB76" i="83" s="1"/>
  <c r="Q76" i="83"/>
  <c r="X76" i="83" s="1"/>
  <c r="AA75" i="83"/>
  <c r="Z75" i="83"/>
  <c r="Y75" i="83"/>
  <c r="AE75" i="83" s="1"/>
  <c r="V75" i="83"/>
  <c r="AC75" i="83" s="1"/>
  <c r="U75" i="83"/>
  <c r="AB75" i="83" s="1"/>
  <c r="Q75" i="83"/>
  <c r="X75" i="83" s="1"/>
  <c r="AA74" i="83"/>
  <c r="Z74" i="83"/>
  <c r="Y74" i="83"/>
  <c r="AE74" i="83" s="1"/>
  <c r="X74" i="83"/>
  <c r="V74" i="83"/>
  <c r="AC74" i="83" s="1"/>
  <c r="U74" i="83"/>
  <c r="AB74" i="83" s="1"/>
  <c r="Q74" i="83"/>
  <c r="AA73" i="83"/>
  <c r="Z73" i="83"/>
  <c r="Y73" i="83"/>
  <c r="AE73" i="83" s="1"/>
  <c r="V73" i="83"/>
  <c r="AC73" i="83" s="1"/>
  <c r="U73" i="83"/>
  <c r="AB73" i="83" s="1"/>
  <c r="Q73" i="83"/>
  <c r="X73" i="83" s="1"/>
  <c r="AC72" i="83"/>
  <c r="AA72" i="83"/>
  <c r="Z72" i="83"/>
  <c r="Y72" i="83"/>
  <c r="AE72" i="83" s="1"/>
  <c r="U72" i="83"/>
  <c r="AB72" i="83" s="1"/>
  <c r="Q72" i="83"/>
  <c r="AA71" i="83"/>
  <c r="Z71" i="83"/>
  <c r="Y71" i="83"/>
  <c r="AE71" i="83" s="1"/>
  <c r="V71" i="83"/>
  <c r="AC71" i="83" s="1"/>
  <c r="U71" i="83"/>
  <c r="AB71" i="83" s="1"/>
  <c r="Q71" i="83"/>
  <c r="X71" i="83" s="1"/>
  <c r="AA70" i="83"/>
  <c r="Z70" i="83"/>
  <c r="Y70" i="83"/>
  <c r="AE70" i="83" s="1"/>
  <c r="V70" i="83"/>
  <c r="AC70" i="83" s="1"/>
  <c r="U70" i="83"/>
  <c r="AB70" i="83" s="1"/>
  <c r="Q70" i="83"/>
  <c r="X70" i="83" s="1"/>
  <c r="AA69" i="83"/>
  <c r="Z69" i="83"/>
  <c r="Y69" i="83"/>
  <c r="AE69" i="83" s="1"/>
  <c r="V69" i="83"/>
  <c r="U69" i="83"/>
  <c r="Q69" i="83"/>
  <c r="X69" i="83" s="1"/>
  <c r="AA68" i="83"/>
  <c r="Z68" i="83"/>
  <c r="Y68" i="83"/>
  <c r="AE68" i="83" s="1"/>
  <c r="V68" i="83"/>
  <c r="AC68" i="83" s="1"/>
  <c r="U68" i="83"/>
  <c r="AB68" i="83" s="1"/>
  <c r="Q68" i="83"/>
  <c r="X68" i="83" s="1"/>
  <c r="AC67" i="83"/>
  <c r="AA67" i="83"/>
  <c r="Z67" i="83"/>
  <c r="Y67" i="83"/>
  <c r="AE67" i="83" s="1"/>
  <c r="X67" i="83"/>
  <c r="U67" i="83"/>
  <c r="AB67" i="83" s="1"/>
  <c r="AA66" i="83"/>
  <c r="Z66" i="83"/>
  <c r="Y66" i="83"/>
  <c r="AE66" i="83" s="1"/>
  <c r="V66" i="83"/>
  <c r="AC66" i="83" s="1"/>
  <c r="U66" i="83"/>
  <c r="AB66" i="83" s="1"/>
  <c r="Q66" i="83"/>
  <c r="X66" i="83" s="1"/>
  <c r="AA65" i="83"/>
  <c r="Z65" i="83"/>
  <c r="Y65" i="83"/>
  <c r="AE65" i="83" s="1"/>
  <c r="V65" i="83"/>
  <c r="AC65" i="83" s="1"/>
  <c r="U65" i="83"/>
  <c r="AB65" i="83" s="1"/>
  <c r="Q65" i="83"/>
  <c r="X65" i="83" s="1"/>
  <c r="V64" i="83"/>
  <c r="Q64" i="83"/>
  <c r="X64" i="83" s="1"/>
  <c r="AA63" i="83"/>
  <c r="Z63" i="83"/>
  <c r="Y63" i="83"/>
  <c r="AE63" i="83" s="1"/>
  <c r="V63" i="83"/>
  <c r="AC63" i="83" s="1"/>
  <c r="U63" i="83"/>
  <c r="AB63" i="83" s="1"/>
  <c r="Q63" i="83"/>
  <c r="X63" i="83" s="1"/>
  <c r="AA62" i="83"/>
  <c r="Z62" i="83"/>
  <c r="Y62" i="83"/>
  <c r="AE62" i="83" s="1"/>
  <c r="V62" i="83"/>
  <c r="AC62" i="83" s="1"/>
  <c r="U62" i="83"/>
  <c r="AB62" i="83" s="1"/>
  <c r="Q62" i="83"/>
  <c r="X62" i="83" s="1"/>
  <c r="AA61" i="83"/>
  <c r="Z61" i="83"/>
  <c r="Y61" i="83"/>
  <c r="AE61" i="83" s="1"/>
  <c r="V61" i="83"/>
  <c r="AC61" i="83" s="1"/>
  <c r="U61" i="83"/>
  <c r="AB61" i="83" s="1"/>
  <c r="Q61" i="83"/>
  <c r="X61" i="83" s="1"/>
  <c r="AC60" i="83"/>
  <c r="AA60" i="83"/>
  <c r="Z60" i="83"/>
  <c r="Y60" i="83"/>
  <c r="AE60" i="83" s="1"/>
  <c r="X60" i="83"/>
  <c r="U60" i="83"/>
  <c r="AB60" i="83" s="1"/>
  <c r="Q60" i="83"/>
  <c r="AA59" i="83"/>
  <c r="Z59" i="83"/>
  <c r="Y59" i="83"/>
  <c r="AE59" i="83" s="1"/>
  <c r="V59" i="83"/>
  <c r="AC59" i="83" s="1"/>
  <c r="U59" i="83"/>
  <c r="AB59" i="83" s="1"/>
  <c r="Q59" i="83"/>
  <c r="X59" i="83" s="1"/>
  <c r="AA58" i="83"/>
  <c r="Z58" i="83"/>
  <c r="Y58" i="83"/>
  <c r="AE58" i="83" s="1"/>
  <c r="X58" i="83"/>
  <c r="U58" i="83"/>
  <c r="AE57" i="83"/>
  <c r="AC57" i="83"/>
  <c r="AA57" i="83"/>
  <c r="Z57" i="83"/>
  <c r="Y57" i="83"/>
  <c r="X57" i="83"/>
  <c r="U57" i="83"/>
  <c r="AB57" i="83" s="1"/>
  <c r="Q57" i="83"/>
  <c r="AA56" i="83"/>
  <c r="Z56" i="83"/>
  <c r="Y56" i="83"/>
  <c r="AE56" i="83" s="1"/>
  <c r="V56" i="83"/>
  <c r="U56" i="83"/>
  <c r="AB56" i="83" s="1"/>
  <c r="Q56" i="83"/>
  <c r="X56" i="83" s="1"/>
  <c r="AA55" i="83"/>
  <c r="Z55" i="83"/>
  <c r="Y55" i="83"/>
  <c r="AE55" i="83" s="1"/>
  <c r="V55" i="83"/>
  <c r="AC55" i="83" s="1"/>
  <c r="U55" i="83"/>
  <c r="AB55" i="83" s="1"/>
  <c r="Q55" i="83"/>
  <c r="X55" i="83" s="1"/>
  <c r="AA54" i="83"/>
  <c r="Z54" i="83"/>
  <c r="Y54" i="83"/>
  <c r="AE54" i="83" s="1"/>
  <c r="V54" i="83"/>
  <c r="AC54" i="83" s="1"/>
  <c r="U54" i="83"/>
  <c r="AB54" i="83" s="1"/>
  <c r="Q54" i="83"/>
  <c r="X54" i="83" s="1"/>
  <c r="AA53" i="83"/>
  <c r="Z53" i="83"/>
  <c r="Y53" i="83"/>
  <c r="AE53" i="83" s="1"/>
  <c r="V53" i="83"/>
  <c r="AC53" i="83" s="1"/>
  <c r="U53" i="83"/>
  <c r="AB53" i="83" s="1"/>
  <c r="Q53" i="83"/>
  <c r="X53" i="83" s="1"/>
  <c r="AA52" i="83"/>
  <c r="Z52" i="83"/>
  <c r="Y52" i="83"/>
  <c r="AE52" i="83" s="1"/>
  <c r="AC52" i="83"/>
  <c r="U52" i="83"/>
  <c r="AB52" i="83" s="1"/>
  <c r="Q52" i="83"/>
  <c r="X52" i="83" s="1"/>
  <c r="AC51" i="83"/>
  <c r="AA51" i="83"/>
  <c r="Z51" i="83"/>
  <c r="Y51" i="83"/>
  <c r="AE51" i="83" s="1"/>
  <c r="X51" i="83"/>
  <c r="U51" i="83"/>
  <c r="AB51" i="83" s="1"/>
  <c r="Q51" i="83"/>
  <c r="AA50" i="83"/>
  <c r="Z50" i="83"/>
  <c r="Y50" i="83"/>
  <c r="AE50" i="83" s="1"/>
  <c r="V50" i="83"/>
  <c r="AC50" i="83" s="1"/>
  <c r="U50" i="83"/>
  <c r="AB50" i="83" s="1"/>
  <c r="Q50" i="83"/>
  <c r="X50" i="83" s="1"/>
  <c r="AC49" i="83"/>
  <c r="AA49" i="83"/>
  <c r="Z49" i="83"/>
  <c r="Y49" i="83"/>
  <c r="AE49" i="83" s="1"/>
  <c r="X49" i="83"/>
  <c r="U49" i="83"/>
  <c r="AB49" i="83" s="1"/>
  <c r="Q49" i="83"/>
  <c r="AB48" i="83"/>
  <c r="AA48" i="83"/>
  <c r="Z48" i="83"/>
  <c r="Y48" i="83"/>
  <c r="AE48" i="83" s="1"/>
  <c r="V48" i="83"/>
  <c r="AC48" i="83" s="1"/>
  <c r="U48" i="83"/>
  <c r="Q48" i="83"/>
  <c r="X48" i="83" s="1"/>
  <c r="AC47" i="83"/>
  <c r="AA47" i="83"/>
  <c r="Z47" i="83"/>
  <c r="Y47" i="83"/>
  <c r="AE47" i="83" s="1"/>
  <c r="X47" i="83"/>
  <c r="U47" i="83"/>
  <c r="AB47" i="83" s="1"/>
  <c r="Q47" i="83"/>
  <c r="AB46" i="83"/>
  <c r="AA46" i="83"/>
  <c r="Z46" i="83"/>
  <c r="Y46" i="83"/>
  <c r="AE46" i="83" s="1"/>
  <c r="V46" i="83"/>
  <c r="AC46" i="83" s="1"/>
  <c r="U46" i="83"/>
  <c r="Q46" i="83"/>
  <c r="X46" i="83" s="1"/>
  <c r="AA45" i="83"/>
  <c r="Z45" i="83"/>
  <c r="Y45" i="83"/>
  <c r="AE45" i="83" s="1"/>
  <c r="V45" i="83"/>
  <c r="AC45" i="83" s="1"/>
  <c r="U45" i="83"/>
  <c r="AB45" i="83" s="1"/>
  <c r="Q45" i="83"/>
  <c r="X45" i="83" s="1"/>
  <c r="AA44" i="83"/>
  <c r="Z44" i="83"/>
  <c r="Y44" i="83"/>
  <c r="AE44" i="83" s="1"/>
  <c r="V44" i="83"/>
  <c r="AC44" i="83" s="1"/>
  <c r="U44" i="83"/>
  <c r="AB44" i="83" s="1"/>
  <c r="Q44" i="83"/>
  <c r="X44" i="83" s="1"/>
  <c r="AA43" i="83"/>
  <c r="Z43" i="83"/>
  <c r="Y43" i="83"/>
  <c r="AE43" i="83" s="1"/>
  <c r="V43" i="83"/>
  <c r="AC43" i="83" s="1"/>
  <c r="U43" i="83"/>
  <c r="AB43" i="83" s="1"/>
  <c r="Q43" i="83"/>
  <c r="X43" i="83" s="1"/>
  <c r="AA42" i="83"/>
  <c r="Z42" i="83"/>
  <c r="Y42" i="83"/>
  <c r="AE42" i="83" s="1"/>
  <c r="X42" i="83"/>
  <c r="V42" i="83"/>
  <c r="AC42" i="83" s="1"/>
  <c r="U42" i="83"/>
  <c r="AB42" i="83" s="1"/>
  <c r="AA41" i="83"/>
  <c r="Z41" i="83"/>
  <c r="Y41" i="83"/>
  <c r="AE41" i="83" s="1"/>
  <c r="V41" i="83"/>
  <c r="AC41" i="83" s="1"/>
  <c r="U41" i="83"/>
  <c r="AB41" i="83" s="1"/>
  <c r="X41" i="83"/>
  <c r="AA40" i="83"/>
  <c r="Z40" i="83"/>
  <c r="Y40" i="83"/>
  <c r="AE40" i="83" s="1"/>
  <c r="X40" i="83"/>
  <c r="V40" i="83"/>
  <c r="AC40" i="83" s="1"/>
  <c r="U40" i="83"/>
  <c r="AB40" i="83" s="1"/>
  <c r="Q40" i="83"/>
  <c r="AA39" i="83"/>
  <c r="Z39" i="83"/>
  <c r="Y39" i="83"/>
  <c r="AE39" i="83" s="1"/>
  <c r="V39" i="83"/>
  <c r="AC39" i="83" s="1"/>
  <c r="U39" i="83"/>
  <c r="AB39" i="83" s="1"/>
  <c r="Q39" i="83"/>
  <c r="X39" i="83" s="1"/>
  <c r="AA38" i="83"/>
  <c r="Z38" i="83"/>
  <c r="Y38" i="83"/>
  <c r="AE38" i="83" s="1"/>
  <c r="V38" i="83"/>
  <c r="AC38" i="83" s="1"/>
  <c r="U38" i="83"/>
  <c r="AB38" i="83" s="1"/>
  <c r="Q38" i="83"/>
  <c r="X38" i="83" s="1"/>
  <c r="AA37" i="83"/>
  <c r="Z37" i="83"/>
  <c r="Y37" i="83"/>
  <c r="AE37" i="83" s="1"/>
  <c r="V37" i="83"/>
  <c r="AC37" i="83" s="1"/>
  <c r="U37" i="83"/>
  <c r="AB37" i="83" s="1"/>
  <c r="Q37" i="83"/>
  <c r="X37" i="83" s="1"/>
  <c r="AA36" i="83"/>
  <c r="Z36" i="83"/>
  <c r="Y36" i="83"/>
  <c r="AE36" i="83" s="1"/>
  <c r="V36" i="83"/>
  <c r="AC36" i="83" s="1"/>
  <c r="U36" i="83"/>
  <c r="Q36" i="83"/>
  <c r="X36" i="83" s="1"/>
  <c r="AA35" i="83"/>
  <c r="Z35" i="83"/>
  <c r="Y35" i="83"/>
  <c r="AE35" i="83" s="1"/>
  <c r="V35" i="83"/>
  <c r="U35" i="83"/>
  <c r="AB35" i="83" s="1"/>
  <c r="Q35" i="83"/>
  <c r="X35" i="83" s="1"/>
  <c r="AA34" i="83"/>
  <c r="Z34" i="83"/>
  <c r="Y34" i="83"/>
  <c r="AE34" i="83" s="1"/>
  <c r="V34" i="83"/>
  <c r="AC34" i="83" s="1"/>
  <c r="U34" i="83"/>
  <c r="AB34" i="83" s="1"/>
  <c r="Q34" i="83"/>
  <c r="X34" i="83" s="1"/>
  <c r="AA33" i="83"/>
  <c r="Z33" i="83"/>
  <c r="Y33" i="83"/>
  <c r="AE33" i="83" s="1"/>
  <c r="X33" i="83"/>
  <c r="V33" i="83"/>
  <c r="AC33" i="83" s="1"/>
  <c r="U33" i="83"/>
  <c r="AB33" i="83" s="1"/>
  <c r="Q33" i="83"/>
  <c r="AA32" i="83"/>
  <c r="Z32" i="83"/>
  <c r="Y32" i="83"/>
  <c r="AE32" i="83" s="1"/>
  <c r="V32" i="83"/>
  <c r="AC32" i="83" s="1"/>
  <c r="U32" i="83"/>
  <c r="AB32" i="83" s="1"/>
  <c r="Q32" i="83"/>
  <c r="X32" i="83" s="1"/>
  <c r="AA31" i="83"/>
  <c r="Z31" i="83"/>
  <c r="Y31" i="83"/>
  <c r="AE31" i="83" s="1"/>
  <c r="V31" i="83"/>
  <c r="AC31" i="83" s="1"/>
  <c r="U31" i="83"/>
  <c r="AB31" i="83" s="1"/>
  <c r="Q31" i="83"/>
  <c r="X31" i="83" s="1"/>
  <c r="AA30" i="83"/>
  <c r="Z30" i="83"/>
  <c r="Y30" i="83"/>
  <c r="AE30" i="83" s="1"/>
  <c r="V30" i="83"/>
  <c r="AC30" i="83" s="1"/>
  <c r="U30" i="83"/>
  <c r="AB30" i="83" s="1"/>
  <c r="Q30" i="83"/>
  <c r="X30" i="83" s="1"/>
  <c r="AA29" i="83"/>
  <c r="Z29" i="83"/>
  <c r="Y29" i="83"/>
  <c r="AE29" i="83" s="1"/>
  <c r="V29" i="83"/>
  <c r="AC29" i="83" s="1"/>
  <c r="U29" i="83"/>
  <c r="AB29" i="83" s="1"/>
  <c r="Q29" i="83"/>
  <c r="X29" i="83" s="1"/>
  <c r="AA28" i="83"/>
  <c r="Z28" i="83"/>
  <c r="Y28" i="83"/>
  <c r="AE28" i="83" s="1"/>
  <c r="V28" i="83"/>
  <c r="AC28" i="83" s="1"/>
  <c r="U28" i="83"/>
  <c r="AB28" i="83" s="1"/>
  <c r="Q28" i="83"/>
  <c r="X28" i="83" s="1"/>
  <c r="AA27" i="83"/>
  <c r="Z27" i="83"/>
  <c r="Y27" i="83"/>
  <c r="AE27" i="83" s="1"/>
  <c r="V27" i="83"/>
  <c r="AC27" i="83" s="1"/>
  <c r="U27" i="83"/>
  <c r="AB27" i="83" s="1"/>
  <c r="Q27" i="83"/>
  <c r="X27" i="83" s="1"/>
  <c r="AC26" i="83"/>
  <c r="AA26" i="83"/>
  <c r="Z26" i="83"/>
  <c r="Y26" i="83"/>
  <c r="AE26" i="83" s="1"/>
  <c r="X26" i="83"/>
  <c r="U26" i="83"/>
  <c r="AB26" i="83" s="1"/>
  <c r="Q26" i="83"/>
  <c r="AA25" i="83"/>
  <c r="Z25" i="83"/>
  <c r="Y25" i="83"/>
  <c r="AE25" i="83" s="1"/>
  <c r="V25" i="83"/>
  <c r="AC25" i="83" s="1"/>
  <c r="U25" i="83"/>
  <c r="AB25" i="83" s="1"/>
  <c r="Q25" i="83"/>
  <c r="X25" i="83" s="1"/>
  <c r="AB24" i="83"/>
  <c r="AA24" i="83"/>
  <c r="Z24" i="83"/>
  <c r="Y24" i="83"/>
  <c r="AE24" i="83" s="1"/>
  <c r="X24" i="83"/>
  <c r="V24" i="83"/>
  <c r="AC24" i="83" s="1"/>
  <c r="Q24" i="83"/>
  <c r="AA23" i="83"/>
  <c r="Z23" i="83"/>
  <c r="Y23" i="83"/>
  <c r="AE23" i="83" s="1"/>
  <c r="V23" i="83"/>
  <c r="AC23" i="83" s="1"/>
  <c r="U23" i="83"/>
  <c r="AB23" i="83" s="1"/>
  <c r="Q23" i="83"/>
  <c r="X23" i="83" s="1"/>
  <c r="AA22" i="83"/>
  <c r="Z22" i="83"/>
  <c r="Y22" i="83"/>
  <c r="AE22" i="83" s="1"/>
  <c r="V22" i="83"/>
  <c r="AC22" i="83" s="1"/>
  <c r="U22" i="83"/>
  <c r="AB22" i="83" s="1"/>
  <c r="Q22" i="83"/>
  <c r="X22" i="83" s="1"/>
  <c r="AA21" i="83"/>
  <c r="Z21" i="83"/>
  <c r="Y21" i="83"/>
  <c r="AE21" i="83" s="1"/>
  <c r="V21" i="83"/>
  <c r="AC21" i="83" s="1"/>
  <c r="U21" i="83"/>
  <c r="AB21" i="83" s="1"/>
  <c r="Q21" i="83"/>
  <c r="X21" i="83" s="1"/>
  <c r="AA20" i="83"/>
  <c r="Z20" i="83"/>
  <c r="Y20" i="83"/>
  <c r="AE20" i="83" s="1"/>
  <c r="V20" i="83"/>
  <c r="AC20" i="83" s="1"/>
  <c r="U20" i="83"/>
  <c r="Q20" i="83"/>
  <c r="X20" i="83" s="1"/>
  <c r="AA19" i="83"/>
  <c r="Z19" i="83"/>
  <c r="Y19" i="83"/>
  <c r="AE19" i="83" s="1"/>
  <c r="V19" i="83"/>
  <c r="AC19" i="83" s="1"/>
  <c r="U19" i="83"/>
  <c r="AB19" i="83" s="1"/>
  <c r="Q19" i="83"/>
  <c r="X19" i="83" s="1"/>
  <c r="AA18" i="83"/>
  <c r="Z18" i="83"/>
  <c r="Y18" i="83"/>
  <c r="AE18" i="83" s="1"/>
  <c r="V18" i="83"/>
  <c r="AC18" i="83" s="1"/>
  <c r="U18" i="83"/>
  <c r="AB18" i="83" s="1"/>
  <c r="Q18" i="83"/>
  <c r="X18" i="83" s="1"/>
  <c r="AA17" i="83"/>
  <c r="Z17" i="83"/>
  <c r="Y17" i="83"/>
  <c r="AE17" i="83" s="1"/>
  <c r="V17" i="83"/>
  <c r="AC17" i="83" s="1"/>
  <c r="U17" i="83"/>
  <c r="AB17" i="83" s="1"/>
  <c r="Q17" i="83"/>
  <c r="X17" i="83" s="1"/>
  <c r="AA16" i="83"/>
  <c r="Z16" i="83"/>
  <c r="Y16" i="83"/>
  <c r="AE16" i="83" s="1"/>
  <c r="V16" i="83"/>
  <c r="AC16" i="83" s="1"/>
  <c r="U16" i="83"/>
  <c r="AB16" i="83" s="1"/>
  <c r="Q16" i="83"/>
  <c r="X16" i="83" s="1"/>
  <c r="AA15" i="83"/>
  <c r="Z15" i="83"/>
  <c r="Y15" i="83"/>
  <c r="V15" i="83"/>
  <c r="AC15" i="83" s="1"/>
  <c r="U15" i="83"/>
  <c r="AB15" i="83" s="1"/>
  <c r="X15" i="83"/>
  <c r="S117" i="83" l="1"/>
  <c r="Z90" i="83"/>
  <c r="AA98" i="83"/>
  <c r="AB98" i="83" s="1"/>
  <c r="AA81" i="83"/>
  <c r="AA90" i="83" s="1"/>
  <c r="R117" i="83"/>
  <c r="Z98" i="83"/>
  <c r="U98" i="83"/>
  <c r="U81" i="83"/>
  <c r="AE85" i="83"/>
  <c r="AE90" i="83" s="1"/>
  <c r="Y90" i="83"/>
  <c r="Y81" i="83"/>
  <c r="Y117" i="83" s="1"/>
  <c r="AE15" i="83"/>
  <c r="AE81" i="83" s="1"/>
  <c r="T117" i="83"/>
  <c r="AE98" i="83"/>
  <c r="Z81" i="83"/>
  <c r="Q92" i="82"/>
  <c r="Q75" i="82"/>
  <c r="Q69" i="82"/>
  <c r="Q65" i="82"/>
  <c r="AA117" i="83" l="1"/>
  <c r="U117" i="83"/>
  <c r="Z117" i="83"/>
  <c r="AB81" i="83"/>
  <c r="AB117" i="83" s="1"/>
  <c r="AE117" i="83"/>
  <c r="K119" i="83" s="1"/>
  <c r="Q63" i="82"/>
  <c r="Q64" i="82"/>
  <c r="X64" i="82" s="1"/>
  <c r="Q54" i="82"/>
  <c r="Q52" i="82"/>
  <c r="Q41" i="82"/>
  <c r="Q40" i="82"/>
  <c r="Q37" i="82"/>
  <c r="Q36" i="82"/>
  <c r="Q32" i="82"/>
  <c r="Q31" i="82"/>
  <c r="Q30" i="82"/>
  <c r="Q17" i="82"/>
  <c r="V35" i="82"/>
  <c r="V36" i="82"/>
  <c r="V37" i="82"/>
  <c r="V38" i="82"/>
  <c r="V39" i="82"/>
  <c r="V40" i="82"/>
  <c r="V41" i="82"/>
  <c r="V42" i="82"/>
  <c r="V43" i="82"/>
  <c r="V44" i="82"/>
  <c r="V45" i="82"/>
  <c r="V46" i="82"/>
  <c r="V48" i="82"/>
  <c r="V50" i="82"/>
  <c r="V52" i="82"/>
  <c r="V53" i="82"/>
  <c r="V54" i="82"/>
  <c r="V55" i="82"/>
  <c r="V56" i="82"/>
  <c r="V59" i="82"/>
  <c r="V61" i="82"/>
  <c r="V62" i="82"/>
  <c r="V63" i="82"/>
  <c r="V64" i="82"/>
  <c r="V65" i="82"/>
  <c r="V66" i="82"/>
  <c r="V68" i="82"/>
  <c r="V69" i="82"/>
  <c r="V70" i="82"/>
  <c r="V71" i="82"/>
  <c r="V73" i="82"/>
  <c r="V74" i="82"/>
  <c r="V75" i="82"/>
  <c r="V76" i="82"/>
  <c r="V77" i="82"/>
  <c r="V78" i="82"/>
  <c r="V79" i="82"/>
  <c r="V80" i="82"/>
  <c r="V16" i="82"/>
  <c r="V17" i="82"/>
  <c r="V18" i="82"/>
  <c r="V19" i="82"/>
  <c r="V20" i="82"/>
  <c r="V21" i="82"/>
  <c r="V22" i="82"/>
  <c r="V23" i="82"/>
  <c r="V24" i="82"/>
  <c r="V25" i="82"/>
  <c r="V27" i="82"/>
  <c r="V28" i="82"/>
  <c r="V29" i="82"/>
  <c r="V30" i="82"/>
  <c r="V31" i="82"/>
  <c r="V32" i="82"/>
  <c r="V33" i="82"/>
  <c r="V34" i="82"/>
  <c r="V15" i="82"/>
  <c r="Q85" i="82"/>
  <c r="X85" i="82" s="1"/>
  <c r="U85" i="82"/>
  <c r="AB85" i="82" s="1"/>
  <c r="V85" i="82"/>
  <c r="AC85" i="82" s="1"/>
  <c r="Y85" i="82"/>
  <c r="AE85" i="82" s="1"/>
  <c r="Z85" i="82"/>
  <c r="AA85" i="82"/>
  <c r="T98" i="82" l="1"/>
  <c r="S98" i="82"/>
  <c r="R98" i="82"/>
  <c r="AA95" i="82"/>
  <c r="Z95" i="82"/>
  <c r="Y95" i="82"/>
  <c r="AE95" i="82" s="1"/>
  <c r="V95" i="82"/>
  <c r="AC95" i="82" s="1"/>
  <c r="U95" i="82"/>
  <c r="AB95" i="82" s="1"/>
  <c r="Q95" i="82"/>
  <c r="X95" i="82" s="1"/>
  <c r="AA94" i="82"/>
  <c r="Z94" i="82"/>
  <c r="Y94" i="82"/>
  <c r="AE94" i="82" s="1"/>
  <c r="V94" i="82"/>
  <c r="Q94" i="82"/>
  <c r="X94" i="82" s="1"/>
  <c r="AA93" i="82"/>
  <c r="Z93" i="82"/>
  <c r="Y93" i="82"/>
  <c r="AE93" i="82" s="1"/>
  <c r="V93" i="82"/>
  <c r="AC93" i="82" s="1"/>
  <c r="U93" i="82"/>
  <c r="Q93" i="82"/>
  <c r="X93" i="82" s="1"/>
  <c r="AA92" i="82"/>
  <c r="Z92" i="82"/>
  <c r="Y92" i="82"/>
  <c r="AE92" i="82" s="1"/>
  <c r="X92" i="82"/>
  <c r="V92" i="82"/>
  <c r="AC92" i="82" s="1"/>
  <c r="U92" i="82"/>
  <c r="AB92" i="82" s="1"/>
  <c r="T90" i="82"/>
  <c r="S90" i="82"/>
  <c r="R90" i="82"/>
  <c r="AE87" i="82"/>
  <c r="Q87" i="82"/>
  <c r="AA86" i="82"/>
  <c r="Z86" i="82"/>
  <c r="Y86" i="82"/>
  <c r="AE86" i="82" s="1"/>
  <c r="V86" i="82"/>
  <c r="AC86" i="82" s="1"/>
  <c r="U86" i="82"/>
  <c r="AB86" i="82" s="1"/>
  <c r="Q86" i="82"/>
  <c r="X86" i="82" s="1"/>
  <c r="AA84" i="82"/>
  <c r="Z84" i="82"/>
  <c r="Y84" i="82"/>
  <c r="X84" i="82"/>
  <c r="V84" i="82"/>
  <c r="AC84" i="82" s="1"/>
  <c r="U84" i="82"/>
  <c r="AB84" i="82" s="1"/>
  <c r="Q84" i="82"/>
  <c r="T81" i="82"/>
  <c r="S81" i="82"/>
  <c r="R81" i="82"/>
  <c r="AA80" i="82"/>
  <c r="Z80" i="82"/>
  <c r="Y80" i="82"/>
  <c r="AE80" i="82" s="1"/>
  <c r="AC80" i="82"/>
  <c r="U80" i="82"/>
  <c r="AB80" i="82" s="1"/>
  <c r="Q80" i="82"/>
  <c r="X80" i="82" s="1"/>
  <c r="AA79" i="82"/>
  <c r="Z79" i="82"/>
  <c r="Y79" i="82"/>
  <c r="AC79" i="82"/>
  <c r="U79" i="82"/>
  <c r="AB79" i="82" s="1"/>
  <c r="Q79" i="82"/>
  <c r="X79" i="82" s="1"/>
  <c r="AA78" i="82"/>
  <c r="Z78" i="82"/>
  <c r="Y78" i="82"/>
  <c r="AE78" i="82" s="1"/>
  <c r="AC78" i="82"/>
  <c r="U78" i="82"/>
  <c r="AB78" i="82" s="1"/>
  <c r="Q78" i="82"/>
  <c r="X78" i="82" s="1"/>
  <c r="AA77" i="82"/>
  <c r="Z77" i="82"/>
  <c r="Y77" i="82"/>
  <c r="AE77" i="82" s="1"/>
  <c r="AC77" i="82"/>
  <c r="U77" i="82"/>
  <c r="AB77" i="82" s="1"/>
  <c r="Q77" i="82"/>
  <c r="X77" i="82" s="1"/>
  <c r="AA76" i="82"/>
  <c r="Z76" i="82"/>
  <c r="Y76" i="82"/>
  <c r="AC76" i="82"/>
  <c r="U76" i="82"/>
  <c r="AB76" i="82" s="1"/>
  <c r="Q76" i="82"/>
  <c r="X76" i="82" s="1"/>
  <c r="AA75" i="82"/>
  <c r="Z75" i="82"/>
  <c r="Y75" i="82"/>
  <c r="AE75" i="82" s="1"/>
  <c r="AC75" i="82"/>
  <c r="U75" i="82"/>
  <c r="AB75" i="82" s="1"/>
  <c r="X75" i="82"/>
  <c r="AA74" i="82"/>
  <c r="Z74" i="82"/>
  <c r="Y74" i="82"/>
  <c r="AE74" i="82" s="1"/>
  <c r="AC74" i="82"/>
  <c r="U74" i="82"/>
  <c r="AB74" i="82" s="1"/>
  <c r="Q74" i="82"/>
  <c r="X74" i="82" s="1"/>
  <c r="AA73" i="82"/>
  <c r="Z73" i="82"/>
  <c r="Y73" i="82"/>
  <c r="AE73" i="82" s="1"/>
  <c r="AC73" i="82"/>
  <c r="U73" i="82"/>
  <c r="AB73" i="82" s="1"/>
  <c r="Q73" i="82"/>
  <c r="X73" i="82" s="1"/>
  <c r="AA72" i="82"/>
  <c r="Z72" i="82"/>
  <c r="Y72" i="82"/>
  <c r="AE72" i="82" s="1"/>
  <c r="AC72" i="82"/>
  <c r="U72" i="82"/>
  <c r="AB72" i="82" s="1"/>
  <c r="Q72" i="82"/>
  <c r="AA71" i="82"/>
  <c r="Z71" i="82"/>
  <c r="Y71" i="82"/>
  <c r="AE71" i="82" s="1"/>
  <c r="AC71" i="82"/>
  <c r="U71" i="82"/>
  <c r="AB71" i="82" s="1"/>
  <c r="Q71" i="82"/>
  <c r="X71" i="82" s="1"/>
  <c r="AA70" i="82"/>
  <c r="Z70" i="82"/>
  <c r="Y70" i="82"/>
  <c r="AE70" i="82" s="1"/>
  <c r="AC70" i="82"/>
  <c r="U70" i="82"/>
  <c r="AB70" i="82" s="1"/>
  <c r="Q70" i="82"/>
  <c r="X70" i="82" s="1"/>
  <c r="AA69" i="82"/>
  <c r="Z69" i="82"/>
  <c r="Y69" i="82"/>
  <c r="AE69" i="82" s="1"/>
  <c r="U69" i="82"/>
  <c r="X69" i="82"/>
  <c r="AA68" i="82"/>
  <c r="Z68" i="82"/>
  <c r="Y68" i="82"/>
  <c r="AE68" i="82" s="1"/>
  <c r="AC68" i="82"/>
  <c r="U68" i="82"/>
  <c r="AB68" i="82" s="1"/>
  <c r="Q68" i="82"/>
  <c r="X68" i="82" s="1"/>
  <c r="AA67" i="82"/>
  <c r="Z67" i="82"/>
  <c r="Y67" i="82"/>
  <c r="AE67" i="82" s="1"/>
  <c r="AC67" i="82"/>
  <c r="U67" i="82"/>
  <c r="AB67" i="82" s="1"/>
  <c r="Q67" i="82"/>
  <c r="X67" i="82" s="1"/>
  <c r="AA66" i="82"/>
  <c r="Z66" i="82"/>
  <c r="Y66" i="82"/>
  <c r="AE66" i="82" s="1"/>
  <c r="AC66" i="82"/>
  <c r="U66" i="82"/>
  <c r="AB66" i="82" s="1"/>
  <c r="Q66" i="82"/>
  <c r="X66" i="82" s="1"/>
  <c r="AA65" i="82"/>
  <c r="Z65" i="82"/>
  <c r="Y65" i="82"/>
  <c r="AE65" i="82" s="1"/>
  <c r="AC65" i="82"/>
  <c r="U65" i="82"/>
  <c r="AB65" i="82" s="1"/>
  <c r="X65" i="82"/>
  <c r="AA63" i="82"/>
  <c r="Z63" i="82"/>
  <c r="Y63" i="82"/>
  <c r="AE63" i="82" s="1"/>
  <c r="AC63" i="82"/>
  <c r="U63" i="82"/>
  <c r="AB63" i="82" s="1"/>
  <c r="X63" i="82"/>
  <c r="AA62" i="82"/>
  <c r="Z62" i="82"/>
  <c r="Y62" i="82"/>
  <c r="AE62" i="82" s="1"/>
  <c r="AC62" i="82"/>
  <c r="U62" i="82"/>
  <c r="AB62" i="82" s="1"/>
  <c r="Q62" i="82"/>
  <c r="X62" i="82" s="1"/>
  <c r="AA61" i="82"/>
  <c r="Z61" i="82"/>
  <c r="Y61" i="82"/>
  <c r="AE61" i="82" s="1"/>
  <c r="AC61" i="82"/>
  <c r="U61" i="82"/>
  <c r="AB61" i="82" s="1"/>
  <c r="Q61" i="82"/>
  <c r="X61" i="82" s="1"/>
  <c r="AA60" i="82"/>
  <c r="Z60" i="82"/>
  <c r="Y60" i="82"/>
  <c r="AE60" i="82" s="1"/>
  <c r="X60" i="82"/>
  <c r="AC60" i="82"/>
  <c r="U60" i="82"/>
  <c r="AB60" i="82" s="1"/>
  <c r="Q60" i="82"/>
  <c r="AA59" i="82"/>
  <c r="Z59" i="82"/>
  <c r="Y59" i="82"/>
  <c r="AE59" i="82" s="1"/>
  <c r="AC59" i="82"/>
  <c r="U59" i="82"/>
  <c r="AB59" i="82" s="1"/>
  <c r="Q59" i="82"/>
  <c r="X59" i="82" s="1"/>
  <c r="AA58" i="82"/>
  <c r="Z58" i="82"/>
  <c r="Y58" i="82"/>
  <c r="AE58" i="82" s="1"/>
  <c r="U58" i="82"/>
  <c r="Q58" i="82"/>
  <c r="X58" i="82" s="1"/>
  <c r="AA57" i="82"/>
  <c r="Z57" i="82"/>
  <c r="Y57" i="82"/>
  <c r="AE57" i="82" s="1"/>
  <c r="AC57" i="82"/>
  <c r="U57" i="82"/>
  <c r="AB57" i="82" s="1"/>
  <c r="Q57" i="82"/>
  <c r="X57" i="82" s="1"/>
  <c r="AA56" i="82"/>
  <c r="Z56" i="82"/>
  <c r="Y56" i="82"/>
  <c r="AE56" i="82" s="1"/>
  <c r="U56" i="82"/>
  <c r="AB56" i="82" s="1"/>
  <c r="Q56" i="82"/>
  <c r="X56" i="82" s="1"/>
  <c r="AA55" i="82"/>
  <c r="Z55" i="82"/>
  <c r="Y55" i="82"/>
  <c r="AE55" i="82" s="1"/>
  <c r="AC55" i="82"/>
  <c r="U55" i="82"/>
  <c r="AB55" i="82" s="1"/>
  <c r="Q55" i="82"/>
  <c r="X55" i="82" s="1"/>
  <c r="AA54" i="82"/>
  <c r="Z54" i="82"/>
  <c r="Y54" i="82"/>
  <c r="AE54" i="82" s="1"/>
  <c r="AC54" i="82"/>
  <c r="U54" i="82"/>
  <c r="AB54" i="82" s="1"/>
  <c r="X54" i="82"/>
  <c r="AA53" i="82"/>
  <c r="Z53" i="82"/>
  <c r="Y53" i="82"/>
  <c r="AE53" i="82" s="1"/>
  <c r="AC53" i="82"/>
  <c r="U53" i="82"/>
  <c r="AB53" i="82" s="1"/>
  <c r="Q53" i="82"/>
  <c r="X53" i="82" s="1"/>
  <c r="AA52" i="82"/>
  <c r="Z52" i="82"/>
  <c r="Y52" i="82"/>
  <c r="AE52" i="82" s="1"/>
  <c r="AC52" i="82"/>
  <c r="U52" i="82"/>
  <c r="AB52" i="82" s="1"/>
  <c r="X52" i="82"/>
  <c r="AA51" i="82"/>
  <c r="Z51" i="82"/>
  <c r="Y51" i="82"/>
  <c r="AE51" i="82" s="1"/>
  <c r="X51" i="82"/>
  <c r="AC51" i="82"/>
  <c r="U51" i="82"/>
  <c r="AB51" i="82" s="1"/>
  <c r="Q51" i="82"/>
  <c r="AA50" i="82"/>
  <c r="Z50" i="82"/>
  <c r="Y50" i="82"/>
  <c r="AE50" i="82" s="1"/>
  <c r="AC50" i="82"/>
  <c r="U50" i="82"/>
  <c r="AB50" i="82" s="1"/>
  <c r="Q50" i="82"/>
  <c r="X50" i="82" s="1"/>
  <c r="AA49" i="82"/>
  <c r="Z49" i="82"/>
  <c r="Y49" i="82"/>
  <c r="AE49" i="82" s="1"/>
  <c r="X49" i="82"/>
  <c r="AC49" i="82"/>
  <c r="U49" i="82"/>
  <c r="AB49" i="82" s="1"/>
  <c r="Q49" i="82"/>
  <c r="AA48" i="82"/>
  <c r="Z48" i="82"/>
  <c r="Y48" i="82"/>
  <c r="AE48" i="82" s="1"/>
  <c r="AC48" i="82"/>
  <c r="U48" i="82"/>
  <c r="AB48" i="82" s="1"/>
  <c r="Q48" i="82"/>
  <c r="X48" i="82" s="1"/>
  <c r="AA47" i="82"/>
  <c r="Z47" i="82"/>
  <c r="Y47" i="82"/>
  <c r="AE47" i="82" s="1"/>
  <c r="X47" i="82"/>
  <c r="AC47" i="82"/>
  <c r="U47" i="82"/>
  <c r="AB47" i="82" s="1"/>
  <c r="Q47" i="82"/>
  <c r="AA46" i="82"/>
  <c r="Z46" i="82"/>
  <c r="Y46" i="82"/>
  <c r="AE46" i="82" s="1"/>
  <c r="AC46" i="82"/>
  <c r="U46" i="82"/>
  <c r="AB46" i="82" s="1"/>
  <c r="Q46" i="82"/>
  <c r="X46" i="82" s="1"/>
  <c r="AA45" i="82"/>
  <c r="Z45" i="82"/>
  <c r="Y45" i="82"/>
  <c r="AE45" i="82" s="1"/>
  <c r="AC45" i="82"/>
  <c r="U45" i="82"/>
  <c r="AB45" i="82" s="1"/>
  <c r="Q45" i="82"/>
  <c r="X45" i="82" s="1"/>
  <c r="AA44" i="82"/>
  <c r="Z44" i="82"/>
  <c r="Y44" i="82"/>
  <c r="AE44" i="82" s="1"/>
  <c r="AC44" i="82"/>
  <c r="U44" i="82"/>
  <c r="AB44" i="82" s="1"/>
  <c r="Q44" i="82"/>
  <c r="X44" i="82" s="1"/>
  <c r="AA43" i="82"/>
  <c r="Z43" i="82"/>
  <c r="Y43" i="82"/>
  <c r="AE43" i="82" s="1"/>
  <c r="AC43" i="82"/>
  <c r="U43" i="82"/>
  <c r="AB43" i="82" s="1"/>
  <c r="Q43" i="82"/>
  <c r="X43" i="82" s="1"/>
  <c r="AA42" i="82"/>
  <c r="Z42" i="82"/>
  <c r="Y42" i="82"/>
  <c r="AE42" i="82" s="1"/>
  <c r="AC42" i="82"/>
  <c r="U42" i="82"/>
  <c r="AB42" i="82" s="1"/>
  <c r="Q42" i="82"/>
  <c r="X42" i="82" s="1"/>
  <c r="AA41" i="82"/>
  <c r="Z41" i="82"/>
  <c r="Y41" i="82"/>
  <c r="AE41" i="82" s="1"/>
  <c r="AC41" i="82"/>
  <c r="U41" i="82"/>
  <c r="AB41" i="82" s="1"/>
  <c r="X41" i="82"/>
  <c r="AA40" i="82"/>
  <c r="Z40" i="82"/>
  <c r="Y40" i="82"/>
  <c r="AE40" i="82" s="1"/>
  <c r="AC40" i="82"/>
  <c r="U40" i="82"/>
  <c r="AB40" i="82" s="1"/>
  <c r="X40" i="82"/>
  <c r="AA39" i="82"/>
  <c r="Z39" i="82"/>
  <c r="Y39" i="82"/>
  <c r="AE39" i="82" s="1"/>
  <c r="AC39" i="82"/>
  <c r="U39" i="82"/>
  <c r="AB39" i="82" s="1"/>
  <c r="Q39" i="82"/>
  <c r="X39" i="82" s="1"/>
  <c r="AA38" i="82"/>
  <c r="Z38" i="82"/>
  <c r="Y38" i="82"/>
  <c r="AE38" i="82" s="1"/>
  <c r="AC38" i="82"/>
  <c r="U38" i="82"/>
  <c r="AB38" i="82" s="1"/>
  <c r="Q38" i="82"/>
  <c r="X38" i="82" s="1"/>
  <c r="AA37" i="82"/>
  <c r="Z37" i="82"/>
  <c r="Y37" i="82"/>
  <c r="AE37" i="82" s="1"/>
  <c r="AC37" i="82"/>
  <c r="U37" i="82"/>
  <c r="AB37" i="82" s="1"/>
  <c r="X37" i="82"/>
  <c r="AA36" i="82"/>
  <c r="Z36" i="82"/>
  <c r="Y36" i="82"/>
  <c r="AE36" i="82" s="1"/>
  <c r="AC36" i="82"/>
  <c r="U36" i="82"/>
  <c r="X36" i="82"/>
  <c r="AA35" i="82"/>
  <c r="Z35" i="82"/>
  <c r="Y35" i="82"/>
  <c r="AE35" i="82" s="1"/>
  <c r="U35" i="82"/>
  <c r="AB35" i="82" s="1"/>
  <c r="Q35" i="82"/>
  <c r="X35" i="82" s="1"/>
  <c r="AA34" i="82"/>
  <c r="Z34" i="82"/>
  <c r="Y34" i="82"/>
  <c r="AE34" i="82" s="1"/>
  <c r="AC34" i="82"/>
  <c r="U34" i="82"/>
  <c r="AB34" i="82" s="1"/>
  <c r="Q34" i="82"/>
  <c r="X34" i="82" s="1"/>
  <c r="AA33" i="82"/>
  <c r="Z33" i="82"/>
  <c r="Y33" i="82"/>
  <c r="AE33" i="82" s="1"/>
  <c r="AC33" i="82"/>
  <c r="U33" i="82"/>
  <c r="AB33" i="82" s="1"/>
  <c r="Q33" i="82"/>
  <c r="X33" i="82" s="1"/>
  <c r="AA32" i="82"/>
  <c r="Z32" i="82"/>
  <c r="Y32" i="82"/>
  <c r="AE32" i="82" s="1"/>
  <c r="AC32" i="82"/>
  <c r="U32" i="82"/>
  <c r="AB32" i="82" s="1"/>
  <c r="X32" i="82"/>
  <c r="AA31" i="82"/>
  <c r="Z31" i="82"/>
  <c r="Y31" i="82"/>
  <c r="AE31" i="82" s="1"/>
  <c r="AC31" i="82"/>
  <c r="U31" i="82"/>
  <c r="AB31" i="82" s="1"/>
  <c r="X31" i="82"/>
  <c r="AA30" i="82"/>
  <c r="Z30" i="82"/>
  <c r="Y30" i="82"/>
  <c r="AE30" i="82" s="1"/>
  <c r="AC30" i="82"/>
  <c r="U30" i="82"/>
  <c r="AB30" i="82" s="1"/>
  <c r="X30" i="82"/>
  <c r="AA29" i="82"/>
  <c r="Z29" i="82"/>
  <c r="Y29" i="82"/>
  <c r="AE29" i="82" s="1"/>
  <c r="AC29" i="82"/>
  <c r="U29" i="82"/>
  <c r="AB29" i="82" s="1"/>
  <c r="Q29" i="82"/>
  <c r="X29" i="82" s="1"/>
  <c r="AA28" i="82"/>
  <c r="Z28" i="82"/>
  <c r="Y28" i="82"/>
  <c r="AE28" i="82" s="1"/>
  <c r="AC28" i="82"/>
  <c r="U28" i="82"/>
  <c r="AB28" i="82" s="1"/>
  <c r="Q28" i="82"/>
  <c r="X28" i="82" s="1"/>
  <c r="AA27" i="82"/>
  <c r="Z27" i="82"/>
  <c r="Y27" i="82"/>
  <c r="AE27" i="82" s="1"/>
  <c r="AC27" i="82"/>
  <c r="U27" i="82"/>
  <c r="AB27" i="82" s="1"/>
  <c r="Q27" i="82"/>
  <c r="X27" i="82" s="1"/>
  <c r="AA26" i="82"/>
  <c r="Z26" i="82"/>
  <c r="Y26" i="82"/>
  <c r="AE26" i="82" s="1"/>
  <c r="X26" i="82"/>
  <c r="AC26" i="82"/>
  <c r="U26" i="82"/>
  <c r="AB26" i="82" s="1"/>
  <c r="Q26" i="82"/>
  <c r="AA25" i="82"/>
  <c r="Z25" i="82"/>
  <c r="Y25" i="82"/>
  <c r="AE25" i="82" s="1"/>
  <c r="AC25" i="82"/>
  <c r="U25" i="82"/>
  <c r="AB25" i="82" s="1"/>
  <c r="Q25" i="82"/>
  <c r="X25" i="82" s="1"/>
  <c r="AA24" i="82"/>
  <c r="Z24" i="82"/>
  <c r="Y24" i="82"/>
  <c r="AE24" i="82" s="1"/>
  <c r="AC24" i="82"/>
  <c r="U24" i="82"/>
  <c r="AB24" i="82" s="1"/>
  <c r="Q24" i="82"/>
  <c r="X24" i="82" s="1"/>
  <c r="AA23" i="82"/>
  <c r="Z23" i="82"/>
  <c r="Y23" i="82"/>
  <c r="AE23" i="82" s="1"/>
  <c r="AC23" i="82"/>
  <c r="U23" i="82"/>
  <c r="AB23" i="82" s="1"/>
  <c r="Q23" i="82"/>
  <c r="X23" i="82" s="1"/>
  <c r="AA22" i="82"/>
  <c r="Z22" i="82"/>
  <c r="Y22" i="82"/>
  <c r="AE22" i="82" s="1"/>
  <c r="AC22" i="82"/>
  <c r="U22" i="82"/>
  <c r="AB22" i="82" s="1"/>
  <c r="Q22" i="82"/>
  <c r="X22" i="82" s="1"/>
  <c r="AA21" i="82"/>
  <c r="Z21" i="82"/>
  <c r="Y21" i="82"/>
  <c r="AE21" i="82" s="1"/>
  <c r="AC21" i="82"/>
  <c r="U21" i="82"/>
  <c r="AB21" i="82" s="1"/>
  <c r="Q21" i="82"/>
  <c r="X21" i="82" s="1"/>
  <c r="AA20" i="82"/>
  <c r="Z20" i="82"/>
  <c r="Y20" i="82"/>
  <c r="AE20" i="82" s="1"/>
  <c r="AC20" i="82"/>
  <c r="U20" i="82"/>
  <c r="Q20" i="82"/>
  <c r="X20" i="82" s="1"/>
  <c r="AA19" i="82"/>
  <c r="Z19" i="82"/>
  <c r="Y19" i="82"/>
  <c r="AE19" i="82" s="1"/>
  <c r="AC19" i="82"/>
  <c r="U19" i="82"/>
  <c r="AB19" i="82" s="1"/>
  <c r="Q19" i="82"/>
  <c r="X19" i="82" s="1"/>
  <c r="AA18" i="82"/>
  <c r="Z18" i="82"/>
  <c r="Y18" i="82"/>
  <c r="AE18" i="82" s="1"/>
  <c r="AC18" i="82"/>
  <c r="U18" i="82"/>
  <c r="AB18" i="82" s="1"/>
  <c r="Q18" i="82"/>
  <c r="X18" i="82" s="1"/>
  <c r="AA17" i="82"/>
  <c r="Z17" i="82"/>
  <c r="Y17" i="82"/>
  <c r="AE17" i="82" s="1"/>
  <c r="AC17" i="82"/>
  <c r="U17" i="82"/>
  <c r="AB17" i="82" s="1"/>
  <c r="X17" i="82"/>
  <c r="AA16" i="82"/>
  <c r="Z16" i="82"/>
  <c r="Y16" i="82"/>
  <c r="AE16" i="82" s="1"/>
  <c r="AC16" i="82"/>
  <c r="U16" i="82"/>
  <c r="AB16" i="82" s="1"/>
  <c r="Q16" i="82"/>
  <c r="X16" i="82" s="1"/>
  <c r="AA15" i="82"/>
  <c r="Z15" i="82"/>
  <c r="Y15" i="82"/>
  <c r="AC15" i="82"/>
  <c r="U15" i="82"/>
  <c r="AB15" i="82" s="1"/>
  <c r="Q15" i="82"/>
  <c r="X15" i="82" s="1"/>
  <c r="Z90" i="82" l="1"/>
  <c r="AA98" i="82"/>
  <c r="AB98" i="82" s="1"/>
  <c r="T117" i="82"/>
  <c r="R117" i="82"/>
  <c r="Z98" i="82"/>
  <c r="AA81" i="82"/>
  <c r="AA90" i="82" s="1"/>
  <c r="S117" i="82"/>
  <c r="Z81" i="82"/>
  <c r="AE98" i="82"/>
  <c r="U98" i="82"/>
  <c r="Y90" i="82"/>
  <c r="Y81" i="82"/>
  <c r="U81" i="82"/>
  <c r="AE15" i="82"/>
  <c r="AE81" i="82" s="1"/>
  <c r="AE84" i="82"/>
  <c r="AE90" i="82" s="1"/>
  <c r="V78" i="81"/>
  <c r="AC78" i="81" s="1"/>
  <c r="U78" i="81"/>
  <c r="AB78" i="81" s="1"/>
  <c r="Z78" i="81"/>
  <c r="AA78" i="81"/>
  <c r="Z75" i="81"/>
  <c r="AA75" i="81"/>
  <c r="AB75" i="81"/>
  <c r="V75" i="81"/>
  <c r="AC75" i="81" s="1"/>
  <c r="U75" i="81"/>
  <c r="Y16" i="81"/>
  <c r="Y17" i="81"/>
  <c r="Y18" i="81"/>
  <c r="Y19" i="81"/>
  <c r="Y20" i="81"/>
  <c r="Y21" i="81"/>
  <c r="Y22" i="81"/>
  <c r="Y23" i="81"/>
  <c r="Y24" i="81"/>
  <c r="Y25" i="81"/>
  <c r="Y26" i="81"/>
  <c r="Y27" i="81"/>
  <c r="Y28" i="81"/>
  <c r="Y29" i="81"/>
  <c r="Y30" i="81"/>
  <c r="Y31" i="81"/>
  <c r="Y32" i="81"/>
  <c r="Y33" i="81"/>
  <c r="Y34" i="81"/>
  <c r="Y35" i="81"/>
  <c r="Y36" i="81"/>
  <c r="Y37" i="81"/>
  <c r="Y38" i="81"/>
  <c r="Y39" i="81"/>
  <c r="Y40" i="81"/>
  <c r="Y41" i="81"/>
  <c r="Y42" i="81"/>
  <c r="Y43" i="81"/>
  <c r="Y44" i="81"/>
  <c r="Y45" i="81"/>
  <c r="Y46" i="81"/>
  <c r="Y47" i="81"/>
  <c r="Y48" i="81"/>
  <c r="Y49" i="81"/>
  <c r="Y50" i="81"/>
  <c r="Y51" i="81"/>
  <c r="Y52" i="81"/>
  <c r="Y53" i="81"/>
  <c r="Y54" i="81"/>
  <c r="Y55" i="81"/>
  <c r="Y56" i="81"/>
  <c r="Y57" i="81"/>
  <c r="Y58" i="81"/>
  <c r="Y59" i="81"/>
  <c r="Y60" i="81"/>
  <c r="Y61" i="81"/>
  <c r="Y62" i="81"/>
  <c r="Y63" i="81"/>
  <c r="Y64" i="81"/>
  <c r="Y65" i="81"/>
  <c r="Y66" i="81"/>
  <c r="Y67" i="81"/>
  <c r="Y68" i="81"/>
  <c r="Y69" i="81"/>
  <c r="Y70" i="81"/>
  <c r="Y71" i="81"/>
  <c r="Y72" i="81"/>
  <c r="Y73" i="81"/>
  <c r="Y74" i="81"/>
  <c r="Y75" i="81"/>
  <c r="Y76" i="81"/>
  <c r="Y77" i="81"/>
  <c r="Y78" i="81"/>
  <c r="Y79" i="81"/>
  <c r="Y15" i="81"/>
  <c r="Y80" i="81" l="1"/>
  <c r="U117" i="82"/>
  <c r="Z117" i="82"/>
  <c r="AA117" i="82"/>
  <c r="Y117" i="82"/>
  <c r="AB81" i="82"/>
  <c r="AE117" i="82"/>
  <c r="K119" i="82" s="1"/>
  <c r="Q84" i="81"/>
  <c r="Q85" i="81"/>
  <c r="Q74" i="81"/>
  <c r="AB117" i="82" l="1"/>
  <c r="Q78" i="81"/>
  <c r="X78" i="81" s="1"/>
  <c r="Q77" i="81"/>
  <c r="Q75" i="81"/>
  <c r="X75" i="81" s="1"/>
  <c r="Q66" i="81"/>
  <c r="Q65" i="81"/>
  <c r="Q57" i="81"/>
  <c r="Q48" i="81"/>
  <c r="Q45" i="81"/>
  <c r="Q39" i="81"/>
  <c r="Q36" i="81"/>
  <c r="Q29" i="81"/>
  <c r="Q25" i="81"/>
  <c r="AA85" i="81" l="1"/>
  <c r="Z85" i="81"/>
  <c r="Y85" i="81"/>
  <c r="AE85" i="81" s="1"/>
  <c r="V85" i="81"/>
  <c r="AC85" i="81" s="1"/>
  <c r="U85" i="81"/>
  <c r="AB85" i="81" s="1"/>
  <c r="X85" i="81"/>
  <c r="AA84" i="81"/>
  <c r="Z84" i="81"/>
  <c r="Y84" i="81"/>
  <c r="AE84" i="81" s="1"/>
  <c r="X84" i="81"/>
  <c r="V84" i="81"/>
  <c r="AC84" i="81" s="1"/>
  <c r="U84" i="81"/>
  <c r="AB84" i="81" s="1"/>
  <c r="AA77" i="81"/>
  <c r="Z77" i="81"/>
  <c r="AE77" i="81"/>
  <c r="X77" i="81"/>
  <c r="V77" i="81"/>
  <c r="AC77" i="81" s="1"/>
  <c r="U77" i="81"/>
  <c r="AB77" i="81" s="1"/>
  <c r="T98" i="81"/>
  <c r="S98" i="81"/>
  <c r="R98" i="81"/>
  <c r="AA95" i="81"/>
  <c r="Z95" i="81"/>
  <c r="Y95" i="81"/>
  <c r="AE95" i="81" s="1"/>
  <c r="V95" i="81"/>
  <c r="AC95" i="81" s="1"/>
  <c r="U95" i="81"/>
  <c r="AB95" i="81" s="1"/>
  <c r="Q95" i="81"/>
  <c r="X95" i="81" s="1"/>
  <c r="AA94" i="81"/>
  <c r="Z94" i="81"/>
  <c r="Y94" i="81"/>
  <c r="AE94" i="81" s="1"/>
  <c r="V94" i="81"/>
  <c r="Q94" i="81"/>
  <c r="X94" i="81" s="1"/>
  <c r="AA93" i="81"/>
  <c r="Z93" i="81"/>
  <c r="Y93" i="81"/>
  <c r="AE93" i="81" s="1"/>
  <c r="V93" i="81"/>
  <c r="AC93" i="81" s="1"/>
  <c r="U93" i="81"/>
  <c r="Q93" i="81"/>
  <c r="X93" i="81" s="1"/>
  <c r="AA92" i="81"/>
  <c r="Z92" i="81"/>
  <c r="Y92" i="81"/>
  <c r="V92" i="81"/>
  <c r="AC92" i="81" s="1"/>
  <c r="U92" i="81"/>
  <c r="Q92" i="81"/>
  <c r="X92" i="81" s="1"/>
  <c r="T90" i="81"/>
  <c r="S90" i="81"/>
  <c r="R90" i="81"/>
  <c r="AE87" i="81"/>
  <c r="Q87" i="81"/>
  <c r="AA86" i="81"/>
  <c r="Z86" i="81"/>
  <c r="Y86" i="81"/>
  <c r="AE86" i="81" s="1"/>
  <c r="V86" i="81"/>
  <c r="AC86" i="81" s="1"/>
  <c r="U86" i="81"/>
  <c r="AB86" i="81" s="1"/>
  <c r="Q86" i="81"/>
  <c r="X86" i="81" s="1"/>
  <c r="AA83" i="81"/>
  <c r="Z83" i="81"/>
  <c r="Y83" i="81"/>
  <c r="V83" i="81"/>
  <c r="AC83" i="81" s="1"/>
  <c r="U83" i="81"/>
  <c r="AB83" i="81" s="1"/>
  <c r="Q83" i="81"/>
  <c r="X83" i="81" s="1"/>
  <c r="T80" i="81"/>
  <c r="S80" i="81"/>
  <c r="R80" i="81"/>
  <c r="AA79" i="81"/>
  <c r="Z79" i="81"/>
  <c r="AE79" i="81"/>
  <c r="V79" i="81"/>
  <c r="AC79" i="81" s="1"/>
  <c r="U79" i="81"/>
  <c r="AB79" i="81" s="1"/>
  <c r="Q79" i="81"/>
  <c r="X79" i="81" s="1"/>
  <c r="AA76" i="81"/>
  <c r="Z76" i="81"/>
  <c r="AE76" i="81"/>
  <c r="V76" i="81"/>
  <c r="AC76" i="81" s="1"/>
  <c r="U76" i="81"/>
  <c r="AB76" i="81" s="1"/>
  <c r="Q76" i="81"/>
  <c r="X76" i="81" s="1"/>
  <c r="AA74" i="81"/>
  <c r="Z74" i="81"/>
  <c r="AE74" i="81"/>
  <c r="V74" i="81"/>
  <c r="AC74" i="81" s="1"/>
  <c r="U74" i="81"/>
  <c r="AB74" i="81" s="1"/>
  <c r="X74" i="81"/>
  <c r="AA73" i="81"/>
  <c r="Z73" i="81"/>
  <c r="AE73" i="81"/>
  <c r="V73" i="81"/>
  <c r="AC73" i="81" s="1"/>
  <c r="U73" i="81"/>
  <c r="AB73" i="81" s="1"/>
  <c r="Q73" i="81"/>
  <c r="X73" i="81" s="1"/>
  <c r="AA72" i="81"/>
  <c r="Z72" i="81"/>
  <c r="AE72" i="81"/>
  <c r="V72" i="81"/>
  <c r="AC72" i="81" s="1"/>
  <c r="U72" i="81"/>
  <c r="AB72" i="81" s="1"/>
  <c r="Q72" i="81"/>
  <c r="X72" i="81" s="1"/>
  <c r="AA71" i="81"/>
  <c r="Z71" i="81"/>
  <c r="AE71" i="81"/>
  <c r="V71" i="81"/>
  <c r="AC71" i="81" s="1"/>
  <c r="U71" i="81"/>
  <c r="AB71" i="81" s="1"/>
  <c r="Q71" i="81"/>
  <c r="AA70" i="81"/>
  <c r="Z70" i="81"/>
  <c r="AE70" i="81"/>
  <c r="V70" i="81"/>
  <c r="AC70" i="81" s="1"/>
  <c r="U70" i="81"/>
  <c r="AB70" i="81" s="1"/>
  <c r="Q70" i="81"/>
  <c r="X70" i="81" s="1"/>
  <c r="AA69" i="81"/>
  <c r="Z69" i="81"/>
  <c r="AE69" i="81"/>
  <c r="V69" i="81"/>
  <c r="AC69" i="81" s="1"/>
  <c r="U69" i="81"/>
  <c r="AB69" i="81" s="1"/>
  <c r="Q69" i="81"/>
  <c r="X69" i="81" s="1"/>
  <c r="AA68" i="81"/>
  <c r="Z68" i="81"/>
  <c r="AE68" i="81"/>
  <c r="V68" i="81"/>
  <c r="U68" i="81"/>
  <c r="Q68" i="81"/>
  <c r="X68" i="81" s="1"/>
  <c r="AA67" i="81"/>
  <c r="Z67" i="81"/>
  <c r="AE67" i="81"/>
  <c r="V67" i="81"/>
  <c r="AC67" i="81" s="1"/>
  <c r="U67" i="81"/>
  <c r="AB67" i="81" s="1"/>
  <c r="Q67" i="81"/>
  <c r="X67" i="81" s="1"/>
  <c r="AA66" i="81"/>
  <c r="Z66" i="81"/>
  <c r="AE66" i="81"/>
  <c r="V66" i="81"/>
  <c r="AC66" i="81" s="1"/>
  <c r="U66" i="81"/>
  <c r="AB66" i="81" s="1"/>
  <c r="X66" i="81"/>
  <c r="AA65" i="81"/>
  <c r="Z65" i="81"/>
  <c r="AE65" i="81"/>
  <c r="V65" i="81"/>
  <c r="AC65" i="81" s="1"/>
  <c r="U65" i="81"/>
  <c r="AB65" i="81" s="1"/>
  <c r="X65" i="81"/>
  <c r="AA64" i="81"/>
  <c r="Z64" i="81"/>
  <c r="AE64" i="81"/>
  <c r="V64" i="81"/>
  <c r="AC64" i="81" s="1"/>
  <c r="U64" i="81"/>
  <c r="AB64" i="81" s="1"/>
  <c r="Q64" i="81"/>
  <c r="X64" i="81" s="1"/>
  <c r="AA63" i="81"/>
  <c r="Z63" i="81"/>
  <c r="AE63" i="81"/>
  <c r="V63" i="81"/>
  <c r="AC63" i="81" s="1"/>
  <c r="U63" i="81"/>
  <c r="AB63" i="81" s="1"/>
  <c r="Q63" i="81"/>
  <c r="X63" i="81" s="1"/>
  <c r="AA62" i="81"/>
  <c r="Z62" i="81"/>
  <c r="AE62" i="81"/>
  <c r="V62" i="81"/>
  <c r="AC62" i="81" s="1"/>
  <c r="U62" i="81"/>
  <c r="AB62" i="81" s="1"/>
  <c r="Q62" i="81"/>
  <c r="X62" i="81" s="1"/>
  <c r="AA61" i="81"/>
  <c r="Z61" i="81"/>
  <c r="AE61" i="81"/>
  <c r="V61" i="81"/>
  <c r="AC61" i="81" s="1"/>
  <c r="U61" i="81"/>
  <c r="AB61" i="81" s="1"/>
  <c r="Q61" i="81"/>
  <c r="X61" i="81" s="1"/>
  <c r="AA60" i="81"/>
  <c r="Z60" i="81"/>
  <c r="AE60" i="81"/>
  <c r="X60" i="81"/>
  <c r="V60" i="81"/>
  <c r="AC60" i="81" s="1"/>
  <c r="U60" i="81"/>
  <c r="AB60" i="81" s="1"/>
  <c r="Q60" i="81"/>
  <c r="AA59" i="81"/>
  <c r="Z59" i="81"/>
  <c r="AE59" i="81"/>
  <c r="V59" i="81"/>
  <c r="AC59" i="81" s="1"/>
  <c r="U59" i="81"/>
  <c r="AB59" i="81" s="1"/>
  <c r="Q59" i="81"/>
  <c r="X59" i="81" s="1"/>
  <c r="AA58" i="81"/>
  <c r="Z58" i="81"/>
  <c r="AE58" i="81"/>
  <c r="V58" i="81"/>
  <c r="U58" i="81"/>
  <c r="Q58" i="81"/>
  <c r="X58" i="81" s="1"/>
  <c r="AA57" i="81"/>
  <c r="Z57" i="81"/>
  <c r="AE57" i="81"/>
  <c r="V57" i="81"/>
  <c r="AC57" i="81" s="1"/>
  <c r="U57" i="81"/>
  <c r="AB57" i="81" s="1"/>
  <c r="X57" i="81"/>
  <c r="AA56" i="81"/>
  <c r="Z56" i="81"/>
  <c r="AE56" i="81"/>
  <c r="V56" i="81"/>
  <c r="U56" i="81"/>
  <c r="AB56" i="81" s="1"/>
  <c r="Q56" i="81"/>
  <c r="X56" i="81" s="1"/>
  <c r="AA55" i="81"/>
  <c r="Z55" i="81"/>
  <c r="AE55" i="81"/>
  <c r="V55" i="81"/>
  <c r="AC55" i="81" s="1"/>
  <c r="U55" i="81"/>
  <c r="AB55" i="81" s="1"/>
  <c r="Q55" i="81"/>
  <c r="X55" i="81" s="1"/>
  <c r="AA54" i="81"/>
  <c r="Z54" i="81"/>
  <c r="AE54" i="81"/>
  <c r="V54" i="81"/>
  <c r="AC54" i="81" s="1"/>
  <c r="U54" i="81"/>
  <c r="AB54" i="81" s="1"/>
  <c r="Q54" i="81"/>
  <c r="X54" i="81" s="1"/>
  <c r="AA53" i="81"/>
  <c r="Z53" i="81"/>
  <c r="AE53" i="81"/>
  <c r="V53" i="81"/>
  <c r="AC53" i="81" s="1"/>
  <c r="U53" i="81"/>
  <c r="AB53" i="81" s="1"/>
  <c r="Q53" i="81"/>
  <c r="X53" i="81" s="1"/>
  <c r="AE52" i="81"/>
  <c r="AA52" i="81"/>
  <c r="Z52" i="81"/>
  <c r="X52" i="81"/>
  <c r="V52" i="81"/>
  <c r="AC52" i="81" s="1"/>
  <c r="U52" i="81"/>
  <c r="AB52" i="81" s="1"/>
  <c r="Q52" i="81"/>
  <c r="AA51" i="81"/>
  <c r="Z51" i="81"/>
  <c r="AE51" i="81"/>
  <c r="V51" i="81"/>
  <c r="AC51" i="81" s="1"/>
  <c r="U51" i="81"/>
  <c r="AB51" i="81" s="1"/>
  <c r="Q51" i="81"/>
  <c r="X51" i="81" s="1"/>
  <c r="AA50" i="81"/>
  <c r="Z50" i="81"/>
  <c r="AE50" i="81"/>
  <c r="V50" i="81"/>
  <c r="AC50" i="81" s="1"/>
  <c r="U50" i="81"/>
  <c r="AB50" i="81" s="1"/>
  <c r="Q50" i="81"/>
  <c r="X50" i="81" s="1"/>
  <c r="AA49" i="81"/>
  <c r="Z49" i="81"/>
  <c r="AE49" i="81"/>
  <c r="X49" i="81"/>
  <c r="V49" i="81"/>
  <c r="AC49" i="81" s="1"/>
  <c r="U49" i="81"/>
  <c r="AB49" i="81" s="1"/>
  <c r="Q49" i="81"/>
  <c r="AA48" i="81"/>
  <c r="Z48" i="81"/>
  <c r="AE48" i="81"/>
  <c r="V48" i="81"/>
  <c r="AC48" i="81" s="1"/>
  <c r="U48" i="81"/>
  <c r="AB48" i="81" s="1"/>
  <c r="X48" i="81"/>
  <c r="AA47" i="81"/>
  <c r="Z47" i="81"/>
  <c r="AE47" i="81"/>
  <c r="X47" i="81"/>
  <c r="V47" i="81"/>
  <c r="AC47" i="81" s="1"/>
  <c r="U47" i="81"/>
  <c r="AB47" i="81" s="1"/>
  <c r="Q47" i="81"/>
  <c r="AA46" i="81"/>
  <c r="Z46" i="81"/>
  <c r="AE46" i="81"/>
  <c r="V46" i="81"/>
  <c r="AC46" i="81" s="1"/>
  <c r="U46" i="81"/>
  <c r="AB46" i="81" s="1"/>
  <c r="Q46" i="81"/>
  <c r="X46" i="81" s="1"/>
  <c r="AA45" i="81"/>
  <c r="Z45" i="81"/>
  <c r="AE45" i="81"/>
  <c r="V45" i="81"/>
  <c r="AC45" i="81" s="1"/>
  <c r="U45" i="81"/>
  <c r="AB45" i="81" s="1"/>
  <c r="X45" i="81"/>
  <c r="AA44" i="81"/>
  <c r="Z44" i="81"/>
  <c r="AE44" i="81"/>
  <c r="V44" i="81"/>
  <c r="AC44" i="81" s="1"/>
  <c r="U44" i="81"/>
  <c r="AB44" i="81" s="1"/>
  <c r="Q44" i="81"/>
  <c r="X44" i="81" s="1"/>
  <c r="AA43" i="81"/>
  <c r="Z43" i="81"/>
  <c r="AE43" i="81"/>
  <c r="V43" i="81"/>
  <c r="AC43" i="81" s="1"/>
  <c r="U43" i="81"/>
  <c r="AB43" i="81" s="1"/>
  <c r="Q43" i="81"/>
  <c r="X43" i="81" s="1"/>
  <c r="AA42" i="81"/>
  <c r="Z42" i="81"/>
  <c r="AE42" i="81"/>
  <c r="X42" i="81"/>
  <c r="V42" i="81"/>
  <c r="AC42" i="81" s="1"/>
  <c r="U42" i="81"/>
  <c r="AB42" i="81" s="1"/>
  <c r="Q42" i="81"/>
  <c r="AA41" i="81"/>
  <c r="Z41" i="81"/>
  <c r="AE41" i="81"/>
  <c r="V41" i="81"/>
  <c r="AC41" i="81" s="1"/>
  <c r="U41" i="81"/>
  <c r="AB41" i="81" s="1"/>
  <c r="Q41" i="81"/>
  <c r="X41" i="81" s="1"/>
  <c r="AA40" i="81"/>
  <c r="Z40" i="81"/>
  <c r="AE40" i="81"/>
  <c r="V40" i="81"/>
  <c r="AC40" i="81" s="1"/>
  <c r="U40" i="81"/>
  <c r="AB40" i="81" s="1"/>
  <c r="Q40" i="81"/>
  <c r="X40" i="81" s="1"/>
  <c r="AA39" i="81"/>
  <c r="Z39" i="81"/>
  <c r="AE39" i="81"/>
  <c r="V39" i="81"/>
  <c r="AC39" i="81" s="1"/>
  <c r="U39" i="81"/>
  <c r="AB39" i="81" s="1"/>
  <c r="X39" i="81"/>
  <c r="AA38" i="81"/>
  <c r="Z38" i="81"/>
  <c r="AE38" i="81"/>
  <c r="V38" i="81"/>
  <c r="AC38" i="81" s="1"/>
  <c r="U38" i="81"/>
  <c r="AB38" i="81" s="1"/>
  <c r="Q38" i="81"/>
  <c r="X38" i="81" s="1"/>
  <c r="AA37" i="81"/>
  <c r="Z37" i="81"/>
  <c r="AE37" i="81"/>
  <c r="V37" i="81"/>
  <c r="AC37" i="81" s="1"/>
  <c r="U37" i="81"/>
  <c r="AB37" i="81" s="1"/>
  <c r="Q37" i="81"/>
  <c r="X37" i="81" s="1"/>
  <c r="AA36" i="81"/>
  <c r="Z36" i="81"/>
  <c r="AE36" i="81"/>
  <c r="V36" i="81"/>
  <c r="AC36" i="81" s="1"/>
  <c r="U36" i="81"/>
  <c r="X36" i="81"/>
  <c r="AA35" i="81"/>
  <c r="Z35" i="81"/>
  <c r="AE35" i="81"/>
  <c r="V35" i="81"/>
  <c r="U35" i="81"/>
  <c r="AB35" i="81" s="1"/>
  <c r="Q35" i="81"/>
  <c r="X35" i="81" s="1"/>
  <c r="AA34" i="81"/>
  <c r="Z34" i="81"/>
  <c r="AE34" i="81"/>
  <c r="V34" i="81"/>
  <c r="AC34" i="81" s="1"/>
  <c r="U34" i="81"/>
  <c r="AB34" i="81" s="1"/>
  <c r="Q34" i="81"/>
  <c r="X34" i="81" s="1"/>
  <c r="AA33" i="81"/>
  <c r="Z33" i="81"/>
  <c r="AE33" i="81"/>
  <c r="V33" i="81"/>
  <c r="AC33" i="81" s="1"/>
  <c r="U33" i="81"/>
  <c r="AB33" i="81" s="1"/>
  <c r="Q33" i="81"/>
  <c r="X33" i="81" s="1"/>
  <c r="AA32" i="81"/>
  <c r="Z32" i="81"/>
  <c r="AE32" i="81"/>
  <c r="V32" i="81"/>
  <c r="AC32" i="81" s="1"/>
  <c r="U32" i="81"/>
  <c r="AB32" i="81" s="1"/>
  <c r="Q32" i="81"/>
  <c r="X32" i="81" s="1"/>
  <c r="AA31" i="81"/>
  <c r="Z31" i="81"/>
  <c r="AE31" i="81"/>
  <c r="V31" i="81"/>
  <c r="AC31" i="81" s="1"/>
  <c r="U31" i="81"/>
  <c r="AB31" i="81" s="1"/>
  <c r="Q31" i="81"/>
  <c r="X31" i="81" s="1"/>
  <c r="AA30" i="81"/>
  <c r="Z30" i="81"/>
  <c r="AE30" i="81"/>
  <c r="V30" i="81"/>
  <c r="AC30" i="81" s="1"/>
  <c r="U30" i="81"/>
  <c r="AB30" i="81" s="1"/>
  <c r="Q30" i="81"/>
  <c r="X30" i="81" s="1"/>
  <c r="AA29" i="81"/>
  <c r="Z29" i="81"/>
  <c r="AE29" i="81"/>
  <c r="V29" i="81"/>
  <c r="AC29" i="81" s="1"/>
  <c r="U29" i="81"/>
  <c r="AB29" i="81" s="1"/>
  <c r="X29" i="81"/>
  <c r="AA28" i="81"/>
  <c r="Z28" i="81"/>
  <c r="AE28" i="81"/>
  <c r="V28" i="81"/>
  <c r="AC28" i="81" s="1"/>
  <c r="U28" i="81"/>
  <c r="AB28" i="81" s="1"/>
  <c r="Q28" i="81"/>
  <c r="X28" i="81" s="1"/>
  <c r="AA27" i="81"/>
  <c r="Z27" i="81"/>
  <c r="AE27" i="81"/>
  <c r="V27" i="81"/>
  <c r="AC27" i="81" s="1"/>
  <c r="U27" i="81"/>
  <c r="AB27" i="81" s="1"/>
  <c r="Q27" i="81"/>
  <c r="X27" i="81" s="1"/>
  <c r="AA26" i="81"/>
  <c r="Z26" i="81"/>
  <c r="AE26" i="81"/>
  <c r="X26" i="81"/>
  <c r="V26" i="81"/>
  <c r="AC26" i="81" s="1"/>
  <c r="U26" i="81"/>
  <c r="AB26" i="81" s="1"/>
  <c r="Q26" i="81"/>
  <c r="AA25" i="81"/>
  <c r="Z25" i="81"/>
  <c r="AE25" i="81"/>
  <c r="V25" i="81"/>
  <c r="AC25" i="81" s="1"/>
  <c r="U25" i="81"/>
  <c r="AB25" i="81" s="1"/>
  <c r="X25" i="81"/>
  <c r="AA24" i="81"/>
  <c r="Z24" i="81"/>
  <c r="AE24" i="81"/>
  <c r="V24" i="81"/>
  <c r="AC24" i="81" s="1"/>
  <c r="U24" i="81"/>
  <c r="AB24" i="81" s="1"/>
  <c r="Q24" i="81"/>
  <c r="X24" i="81" s="1"/>
  <c r="AA23" i="81"/>
  <c r="Z23" i="81"/>
  <c r="AE23" i="81"/>
  <c r="V23" i="81"/>
  <c r="AC23" i="81" s="1"/>
  <c r="U23" i="81"/>
  <c r="AB23" i="81" s="1"/>
  <c r="Q23" i="81"/>
  <c r="X23" i="81" s="1"/>
  <c r="AA22" i="81"/>
  <c r="Z22" i="81"/>
  <c r="AE22" i="81"/>
  <c r="V22" i="81"/>
  <c r="AC22" i="81" s="1"/>
  <c r="U22" i="81"/>
  <c r="AB22" i="81" s="1"/>
  <c r="Q22" i="81"/>
  <c r="X22" i="81" s="1"/>
  <c r="AA21" i="81"/>
  <c r="Z21" i="81"/>
  <c r="AE21" i="81"/>
  <c r="V21" i="81"/>
  <c r="AC21" i="81" s="1"/>
  <c r="U21" i="81"/>
  <c r="AB21" i="81" s="1"/>
  <c r="Q21" i="81"/>
  <c r="X21" i="81" s="1"/>
  <c r="AA20" i="81"/>
  <c r="Z20" i="81"/>
  <c r="AE20" i="81"/>
  <c r="V20" i="81"/>
  <c r="AC20" i="81" s="1"/>
  <c r="U20" i="81"/>
  <c r="Q20" i="81"/>
  <c r="X20" i="81" s="1"/>
  <c r="AA19" i="81"/>
  <c r="Z19" i="81"/>
  <c r="AE19" i="81"/>
  <c r="V19" i="81"/>
  <c r="AC19" i="81" s="1"/>
  <c r="U19" i="81"/>
  <c r="AB19" i="81" s="1"/>
  <c r="Q19" i="81"/>
  <c r="X19" i="81" s="1"/>
  <c r="AA18" i="81"/>
  <c r="Z18" i="81"/>
  <c r="AE18" i="81"/>
  <c r="V18" i="81"/>
  <c r="AC18" i="81" s="1"/>
  <c r="U18" i="81"/>
  <c r="AB18" i="81" s="1"/>
  <c r="Q18" i="81"/>
  <c r="X18" i="81" s="1"/>
  <c r="AA17" i="81"/>
  <c r="Z17" i="81"/>
  <c r="AE17" i="81"/>
  <c r="V17" i="81"/>
  <c r="AC17" i="81" s="1"/>
  <c r="U17" i="81"/>
  <c r="AB17" i="81" s="1"/>
  <c r="Q17" i="81"/>
  <c r="X17" i="81" s="1"/>
  <c r="AA16" i="81"/>
  <c r="Z16" i="81"/>
  <c r="AE16" i="81"/>
  <c r="V16" i="81"/>
  <c r="AC16" i="81" s="1"/>
  <c r="U16" i="81"/>
  <c r="AB16" i="81" s="1"/>
  <c r="Q16" i="81"/>
  <c r="X16" i="81" s="1"/>
  <c r="AA15" i="81"/>
  <c r="Z15" i="81"/>
  <c r="AE15" i="81"/>
  <c r="V15" i="81"/>
  <c r="AC15" i="81" s="1"/>
  <c r="U15" i="81"/>
  <c r="AB15" i="81" s="1"/>
  <c r="Q15" i="81"/>
  <c r="X15" i="81" s="1"/>
  <c r="Y90" i="81" l="1"/>
  <c r="Y117" i="81" s="1"/>
  <c r="U98" i="81"/>
  <c r="AA98" i="81"/>
  <c r="S117" i="81"/>
  <c r="R117" i="81"/>
  <c r="T117" i="81"/>
  <c r="U90" i="81"/>
  <c r="AE92" i="81"/>
  <c r="AE98" i="81" s="1"/>
  <c r="Z90" i="81"/>
  <c r="Z98" i="81"/>
  <c r="AE80" i="81"/>
  <c r="Z80" i="81"/>
  <c r="AA80" i="81"/>
  <c r="AA90" i="81" s="1"/>
  <c r="AE83" i="81"/>
  <c r="AE90" i="81" s="1"/>
  <c r="U80" i="81"/>
  <c r="AB92" i="81"/>
  <c r="Q20" i="80"/>
  <c r="V94" i="80"/>
  <c r="V95" i="80"/>
  <c r="AA85" i="80"/>
  <c r="Z85" i="80"/>
  <c r="Y85" i="80"/>
  <c r="AE85" i="80" s="1"/>
  <c r="V85" i="80"/>
  <c r="AC85" i="80" s="1"/>
  <c r="U85" i="80"/>
  <c r="AB85" i="80" s="1"/>
  <c r="V77" i="80"/>
  <c r="U77" i="80"/>
  <c r="Q55" i="80"/>
  <c r="AB98" i="81" l="1"/>
  <c r="U117" i="81"/>
  <c r="AB90" i="81"/>
  <c r="Z117" i="81"/>
  <c r="AE117" i="81"/>
  <c r="K119" i="81" s="1"/>
  <c r="AA117" i="81"/>
  <c r="AB80" i="81"/>
  <c r="Q51" i="80"/>
  <c r="V32" i="80"/>
  <c r="AB117" i="81" l="1"/>
  <c r="Z15" i="80"/>
  <c r="AA15" i="80"/>
  <c r="Q70" i="80" l="1"/>
  <c r="Q31" i="80"/>
  <c r="Q30" i="80"/>
  <c r="T98" i="80" l="1"/>
  <c r="S98" i="80"/>
  <c r="R98" i="80"/>
  <c r="AC95" i="80"/>
  <c r="AA95" i="80"/>
  <c r="Z95" i="80"/>
  <c r="Y95" i="80"/>
  <c r="AE95" i="80" s="1"/>
  <c r="U95" i="80"/>
  <c r="AB95" i="80" s="1"/>
  <c r="Q95" i="80"/>
  <c r="X95" i="80" s="1"/>
  <c r="AA94" i="80"/>
  <c r="Z94" i="80"/>
  <c r="Y94" i="80"/>
  <c r="AE94" i="80" s="1"/>
  <c r="Q94" i="80"/>
  <c r="X94" i="80" s="1"/>
  <c r="AA93" i="80"/>
  <c r="Z93" i="80"/>
  <c r="Y93" i="80"/>
  <c r="AE93" i="80" s="1"/>
  <c r="X93" i="80"/>
  <c r="V93" i="80"/>
  <c r="AC93" i="80" s="1"/>
  <c r="U93" i="80"/>
  <c r="Q93" i="80"/>
  <c r="AA92" i="80"/>
  <c r="Z92" i="80"/>
  <c r="Y92" i="80"/>
  <c r="AE92" i="80" s="1"/>
  <c r="V92" i="80"/>
  <c r="AC92" i="80" s="1"/>
  <c r="U92" i="80"/>
  <c r="AB92" i="80" s="1"/>
  <c r="Q92" i="80"/>
  <c r="X92" i="80" s="1"/>
  <c r="T90" i="80"/>
  <c r="S90" i="80"/>
  <c r="R90" i="80"/>
  <c r="AE87" i="80"/>
  <c r="Q87" i="80"/>
  <c r="Q86" i="80"/>
  <c r="Q85" i="80"/>
  <c r="X85" i="80" s="1"/>
  <c r="Q84" i="80"/>
  <c r="AA83" i="80"/>
  <c r="Z83" i="80"/>
  <c r="Y83" i="80"/>
  <c r="AE83" i="80" s="1"/>
  <c r="V83" i="80"/>
  <c r="AC83" i="80" s="1"/>
  <c r="U83" i="80"/>
  <c r="AB83" i="80" s="1"/>
  <c r="Q83" i="80"/>
  <c r="X83" i="80" s="1"/>
  <c r="AA82" i="80"/>
  <c r="Z82" i="80"/>
  <c r="Y82" i="80"/>
  <c r="V82" i="80"/>
  <c r="AC82" i="80" s="1"/>
  <c r="U82" i="80"/>
  <c r="AB82" i="80" s="1"/>
  <c r="Q82" i="80"/>
  <c r="X82" i="80" s="1"/>
  <c r="T79" i="80"/>
  <c r="S79" i="80"/>
  <c r="R79" i="80"/>
  <c r="AA78" i="80"/>
  <c r="Z78" i="80"/>
  <c r="Y78" i="80"/>
  <c r="AE78" i="80" s="1"/>
  <c r="V78" i="80"/>
  <c r="AC78" i="80" s="1"/>
  <c r="U78" i="80"/>
  <c r="AB78" i="80" s="1"/>
  <c r="Q78" i="80"/>
  <c r="X78" i="80" s="1"/>
  <c r="AA77" i="80"/>
  <c r="Z77" i="80"/>
  <c r="Y77" i="80"/>
  <c r="AE77" i="80" s="1"/>
  <c r="AC77" i="80"/>
  <c r="AB77" i="80"/>
  <c r="Q77" i="80"/>
  <c r="X77" i="80" s="1"/>
  <c r="AA76" i="80"/>
  <c r="Z76" i="80"/>
  <c r="Y76" i="80"/>
  <c r="AE76" i="80" s="1"/>
  <c r="V76" i="80"/>
  <c r="AC76" i="80" s="1"/>
  <c r="U76" i="80"/>
  <c r="AB76" i="80" s="1"/>
  <c r="Q76" i="80"/>
  <c r="X76" i="80" s="1"/>
  <c r="AA75" i="80"/>
  <c r="Z75" i="80"/>
  <c r="Y75" i="80"/>
  <c r="AE75" i="80" s="1"/>
  <c r="V75" i="80"/>
  <c r="AC75" i="80" s="1"/>
  <c r="U75" i="80"/>
  <c r="AB75" i="80" s="1"/>
  <c r="Q75" i="80"/>
  <c r="X75" i="80" s="1"/>
  <c r="AA74" i="80"/>
  <c r="Z74" i="80"/>
  <c r="Y74" i="80"/>
  <c r="AE74" i="80" s="1"/>
  <c r="V74" i="80"/>
  <c r="AC74" i="80" s="1"/>
  <c r="U74" i="80"/>
  <c r="AB74" i="80" s="1"/>
  <c r="Q74" i="80"/>
  <c r="X74" i="80" s="1"/>
  <c r="AA73" i="80"/>
  <c r="Z73" i="80"/>
  <c r="Y73" i="80"/>
  <c r="AE73" i="80" s="1"/>
  <c r="V73" i="80"/>
  <c r="AC73" i="80" s="1"/>
  <c r="U73" i="80"/>
  <c r="AB73" i="80" s="1"/>
  <c r="Q73" i="80"/>
  <c r="X73" i="80" s="1"/>
  <c r="AA72" i="80"/>
  <c r="Z72" i="80"/>
  <c r="Y72" i="80"/>
  <c r="AE72" i="80" s="1"/>
  <c r="V72" i="80"/>
  <c r="AC72" i="80" s="1"/>
  <c r="U72" i="80"/>
  <c r="AB72" i="80" s="1"/>
  <c r="Q72" i="80"/>
  <c r="X72" i="80" s="1"/>
  <c r="AA71" i="80"/>
  <c r="Z71" i="80"/>
  <c r="Y71" i="80"/>
  <c r="AE71" i="80" s="1"/>
  <c r="V71" i="80"/>
  <c r="AC71" i="80" s="1"/>
  <c r="U71" i="80"/>
  <c r="AB71" i="80" s="1"/>
  <c r="Q71" i="80"/>
  <c r="X71" i="80" s="1"/>
  <c r="AA70" i="80"/>
  <c r="Z70" i="80"/>
  <c r="Y70" i="80"/>
  <c r="AE70" i="80" s="1"/>
  <c r="V70" i="80"/>
  <c r="U70" i="80"/>
  <c r="X70" i="80"/>
  <c r="AA69" i="80"/>
  <c r="Z69" i="80"/>
  <c r="Y69" i="80"/>
  <c r="AE69" i="80" s="1"/>
  <c r="V69" i="80"/>
  <c r="AC69" i="80" s="1"/>
  <c r="U69" i="80"/>
  <c r="AB69" i="80" s="1"/>
  <c r="Q69" i="80"/>
  <c r="X69" i="80" s="1"/>
  <c r="AA68" i="80"/>
  <c r="Z68" i="80"/>
  <c r="Y68" i="80"/>
  <c r="AE68" i="80" s="1"/>
  <c r="X68" i="80"/>
  <c r="V68" i="80"/>
  <c r="AC68" i="80" s="1"/>
  <c r="U68" i="80"/>
  <c r="AB68" i="80" s="1"/>
  <c r="Q68" i="80"/>
  <c r="AA67" i="80"/>
  <c r="Z67" i="80"/>
  <c r="Y67" i="80"/>
  <c r="AE67" i="80" s="1"/>
  <c r="V67" i="80"/>
  <c r="AC67" i="80" s="1"/>
  <c r="U67" i="80"/>
  <c r="AB67" i="80" s="1"/>
  <c r="Q67" i="80"/>
  <c r="X67" i="80" s="1"/>
  <c r="AA66" i="80"/>
  <c r="Z66" i="80"/>
  <c r="Y66" i="80"/>
  <c r="AE66" i="80" s="1"/>
  <c r="V66" i="80"/>
  <c r="AC66" i="80" s="1"/>
  <c r="U66" i="80"/>
  <c r="AB66" i="80" s="1"/>
  <c r="Q66" i="80"/>
  <c r="X66" i="80" s="1"/>
  <c r="AE65" i="80"/>
  <c r="AA65" i="80"/>
  <c r="Z65" i="80"/>
  <c r="Y65" i="80"/>
  <c r="V65" i="80"/>
  <c r="AC65" i="80" s="1"/>
  <c r="U65" i="80"/>
  <c r="AB65" i="80" s="1"/>
  <c r="Q65" i="80"/>
  <c r="X65" i="80" s="1"/>
  <c r="AA64" i="80"/>
  <c r="Z64" i="80"/>
  <c r="Y64" i="80"/>
  <c r="AE64" i="80" s="1"/>
  <c r="X64" i="80"/>
  <c r="V64" i="80"/>
  <c r="AC64" i="80" s="1"/>
  <c r="U64" i="80"/>
  <c r="AB64" i="80" s="1"/>
  <c r="Q64" i="80"/>
  <c r="AA63" i="80"/>
  <c r="Z63" i="80"/>
  <c r="Y63" i="80"/>
  <c r="AE63" i="80" s="1"/>
  <c r="V63" i="80"/>
  <c r="AC63" i="80" s="1"/>
  <c r="U63" i="80"/>
  <c r="AB63" i="80" s="1"/>
  <c r="Q63" i="80"/>
  <c r="X63" i="80" s="1"/>
  <c r="AA62" i="80"/>
  <c r="Z62" i="80"/>
  <c r="Y62" i="80"/>
  <c r="AE62" i="80" s="1"/>
  <c r="X62" i="80"/>
  <c r="V62" i="80"/>
  <c r="AC62" i="80" s="1"/>
  <c r="U62" i="80"/>
  <c r="AB62" i="80" s="1"/>
  <c r="Q62" i="80"/>
  <c r="AA61" i="80"/>
  <c r="Z61" i="80"/>
  <c r="Y61" i="80"/>
  <c r="AE61" i="80" s="1"/>
  <c r="V61" i="80"/>
  <c r="AC61" i="80" s="1"/>
  <c r="U61" i="80"/>
  <c r="AB61" i="80" s="1"/>
  <c r="Q61" i="80"/>
  <c r="X61" i="80" s="1"/>
  <c r="AA60" i="80"/>
  <c r="Z60" i="80"/>
  <c r="Y60" i="80"/>
  <c r="AE60" i="80" s="1"/>
  <c r="V60" i="80"/>
  <c r="AC60" i="80" s="1"/>
  <c r="U60" i="80"/>
  <c r="AB60" i="80" s="1"/>
  <c r="Q60" i="80"/>
  <c r="X60" i="80" s="1"/>
  <c r="AE59" i="80"/>
  <c r="AA59" i="80"/>
  <c r="Z59" i="80"/>
  <c r="Y59" i="80"/>
  <c r="X59" i="80"/>
  <c r="V59" i="80"/>
  <c r="AC59" i="80" s="1"/>
  <c r="U59" i="80"/>
  <c r="AB59" i="80" s="1"/>
  <c r="Q59" i="80"/>
  <c r="AA58" i="80"/>
  <c r="Z58" i="80"/>
  <c r="Y58" i="80"/>
  <c r="AE58" i="80" s="1"/>
  <c r="V58" i="80"/>
  <c r="U58" i="80"/>
  <c r="Q58" i="80"/>
  <c r="X58" i="80" s="1"/>
  <c r="AA57" i="80"/>
  <c r="Z57" i="80"/>
  <c r="Y57" i="80"/>
  <c r="AE57" i="80" s="1"/>
  <c r="V57" i="80"/>
  <c r="AC57" i="80" s="1"/>
  <c r="U57" i="80"/>
  <c r="AB57" i="80" s="1"/>
  <c r="Q57" i="80"/>
  <c r="X57" i="80" s="1"/>
  <c r="AA56" i="80"/>
  <c r="Z56" i="80"/>
  <c r="Y56" i="80"/>
  <c r="AE56" i="80" s="1"/>
  <c r="V56" i="80"/>
  <c r="U56" i="80"/>
  <c r="AB56" i="80" s="1"/>
  <c r="Q56" i="80"/>
  <c r="X56" i="80" s="1"/>
  <c r="AA55" i="80"/>
  <c r="Z55" i="80"/>
  <c r="Y55" i="80"/>
  <c r="AE55" i="80" s="1"/>
  <c r="V55" i="80"/>
  <c r="AC55" i="80" s="1"/>
  <c r="U55" i="80"/>
  <c r="AB55" i="80" s="1"/>
  <c r="X55" i="80"/>
  <c r="AA54" i="80"/>
  <c r="Z54" i="80"/>
  <c r="Y54" i="80"/>
  <c r="AE54" i="80" s="1"/>
  <c r="V54" i="80"/>
  <c r="AC54" i="80" s="1"/>
  <c r="U54" i="80"/>
  <c r="AB54" i="80" s="1"/>
  <c r="Q54" i="80"/>
  <c r="X54" i="80" s="1"/>
  <c r="AA53" i="80"/>
  <c r="Z53" i="80"/>
  <c r="Y53" i="80"/>
  <c r="AE53" i="80" s="1"/>
  <c r="V53" i="80"/>
  <c r="AC53" i="80" s="1"/>
  <c r="U53" i="80"/>
  <c r="AB53" i="80" s="1"/>
  <c r="Q53" i="80"/>
  <c r="X53" i="80" s="1"/>
  <c r="AA52" i="80"/>
  <c r="Z52" i="80"/>
  <c r="Y52" i="80"/>
  <c r="AE52" i="80" s="1"/>
  <c r="V52" i="80"/>
  <c r="AC52" i="80" s="1"/>
  <c r="U52" i="80"/>
  <c r="AB52" i="80" s="1"/>
  <c r="Q52" i="80"/>
  <c r="X52" i="80" s="1"/>
  <c r="AA51" i="80"/>
  <c r="Z51" i="80"/>
  <c r="Y51" i="80"/>
  <c r="AE51" i="80" s="1"/>
  <c r="X51" i="80"/>
  <c r="V51" i="80"/>
  <c r="AC51" i="80" s="1"/>
  <c r="U51" i="80"/>
  <c r="AB51" i="80" s="1"/>
  <c r="AA50" i="80"/>
  <c r="Z50" i="80"/>
  <c r="Y50" i="80"/>
  <c r="AE50" i="80" s="1"/>
  <c r="V50" i="80"/>
  <c r="AC50" i="80" s="1"/>
  <c r="U50" i="80"/>
  <c r="AB50" i="80" s="1"/>
  <c r="Q50" i="80"/>
  <c r="X50" i="80" s="1"/>
  <c r="AA49" i="80"/>
  <c r="Z49" i="80"/>
  <c r="Y49" i="80"/>
  <c r="AE49" i="80" s="1"/>
  <c r="X49" i="80"/>
  <c r="V49" i="80"/>
  <c r="AC49" i="80" s="1"/>
  <c r="U49" i="80"/>
  <c r="AB49" i="80" s="1"/>
  <c r="Q49" i="80"/>
  <c r="AA48" i="80"/>
  <c r="Z48" i="80"/>
  <c r="Y48" i="80"/>
  <c r="AE48" i="80" s="1"/>
  <c r="V48" i="80"/>
  <c r="AC48" i="80" s="1"/>
  <c r="U48" i="80"/>
  <c r="AB48" i="80" s="1"/>
  <c r="Q48" i="80"/>
  <c r="X48" i="80" s="1"/>
  <c r="AA47" i="80"/>
  <c r="Z47" i="80"/>
  <c r="Y47" i="80"/>
  <c r="AE47" i="80" s="1"/>
  <c r="X47" i="80"/>
  <c r="V47" i="80"/>
  <c r="AC47" i="80" s="1"/>
  <c r="U47" i="80"/>
  <c r="AB47" i="80" s="1"/>
  <c r="Q47" i="80"/>
  <c r="AA46" i="80"/>
  <c r="Z46" i="80"/>
  <c r="Y46" i="80"/>
  <c r="AE46" i="80" s="1"/>
  <c r="V46" i="80"/>
  <c r="AC46" i="80" s="1"/>
  <c r="U46" i="80"/>
  <c r="AB46" i="80" s="1"/>
  <c r="Q46" i="80"/>
  <c r="X46" i="80" s="1"/>
  <c r="AA45" i="80"/>
  <c r="Z45" i="80"/>
  <c r="Y45" i="80"/>
  <c r="AE45" i="80" s="1"/>
  <c r="V45" i="80"/>
  <c r="AC45" i="80" s="1"/>
  <c r="U45" i="80"/>
  <c r="AB45" i="80" s="1"/>
  <c r="Q45" i="80"/>
  <c r="X45" i="80" s="1"/>
  <c r="AA44" i="80"/>
  <c r="Z44" i="80"/>
  <c r="Y44" i="80"/>
  <c r="AE44" i="80" s="1"/>
  <c r="V44" i="80"/>
  <c r="AC44" i="80" s="1"/>
  <c r="U44" i="80"/>
  <c r="AB44" i="80" s="1"/>
  <c r="Q44" i="80"/>
  <c r="X44" i="80" s="1"/>
  <c r="AA43" i="80"/>
  <c r="Z43" i="80"/>
  <c r="Y43" i="80"/>
  <c r="AE43" i="80" s="1"/>
  <c r="V43" i="80"/>
  <c r="AC43" i="80" s="1"/>
  <c r="U43" i="80"/>
  <c r="AB43" i="80" s="1"/>
  <c r="Q43" i="80"/>
  <c r="X43" i="80" s="1"/>
  <c r="AA42" i="80"/>
  <c r="Z42" i="80"/>
  <c r="Y42" i="80"/>
  <c r="AE42" i="80" s="1"/>
  <c r="V42" i="80"/>
  <c r="AC42" i="80" s="1"/>
  <c r="U42" i="80"/>
  <c r="AB42" i="80" s="1"/>
  <c r="Q42" i="80"/>
  <c r="X42" i="80" s="1"/>
  <c r="AA41" i="80"/>
  <c r="Z41" i="80"/>
  <c r="Y41" i="80"/>
  <c r="AE41" i="80" s="1"/>
  <c r="V41" i="80"/>
  <c r="AC41" i="80" s="1"/>
  <c r="U41" i="80"/>
  <c r="AB41" i="80" s="1"/>
  <c r="Q41" i="80"/>
  <c r="X41" i="80" s="1"/>
  <c r="AA40" i="80"/>
  <c r="Z40" i="80"/>
  <c r="Y40" i="80"/>
  <c r="AE40" i="80" s="1"/>
  <c r="V40" i="80"/>
  <c r="AC40" i="80" s="1"/>
  <c r="U40" i="80"/>
  <c r="AB40" i="80" s="1"/>
  <c r="Q40" i="80"/>
  <c r="X40" i="80" s="1"/>
  <c r="AA39" i="80"/>
  <c r="Z39" i="80"/>
  <c r="Y39" i="80"/>
  <c r="AE39" i="80" s="1"/>
  <c r="X39" i="80"/>
  <c r="V39" i="80"/>
  <c r="AC39" i="80" s="1"/>
  <c r="U39" i="80"/>
  <c r="AB39" i="80" s="1"/>
  <c r="Q39" i="80"/>
  <c r="AA38" i="80"/>
  <c r="Z38" i="80"/>
  <c r="Y38" i="80"/>
  <c r="AE38" i="80" s="1"/>
  <c r="V38" i="80"/>
  <c r="AC38" i="80" s="1"/>
  <c r="U38" i="80"/>
  <c r="AB38" i="80" s="1"/>
  <c r="Q38" i="80"/>
  <c r="X38" i="80" s="1"/>
  <c r="AA37" i="80"/>
  <c r="Z37" i="80"/>
  <c r="Y37" i="80"/>
  <c r="AE37" i="80" s="1"/>
  <c r="V37" i="80"/>
  <c r="AC37" i="80" s="1"/>
  <c r="U37" i="80"/>
  <c r="AB37" i="80" s="1"/>
  <c r="Q37" i="80"/>
  <c r="X37" i="80" s="1"/>
  <c r="AA36" i="80"/>
  <c r="Z36" i="80"/>
  <c r="Y36" i="80"/>
  <c r="AE36" i="80" s="1"/>
  <c r="V36" i="80"/>
  <c r="AC36" i="80" s="1"/>
  <c r="U36" i="80"/>
  <c r="Q36" i="80"/>
  <c r="X36" i="80" s="1"/>
  <c r="AA35" i="80"/>
  <c r="Z35" i="80"/>
  <c r="Y35" i="80"/>
  <c r="AE35" i="80" s="1"/>
  <c r="V35" i="80"/>
  <c r="U35" i="80"/>
  <c r="AB35" i="80" s="1"/>
  <c r="Q35" i="80"/>
  <c r="X35" i="80" s="1"/>
  <c r="AA34" i="80"/>
  <c r="Z34" i="80"/>
  <c r="Y34" i="80"/>
  <c r="AE34" i="80" s="1"/>
  <c r="X34" i="80"/>
  <c r="V34" i="80"/>
  <c r="AC34" i="80" s="1"/>
  <c r="U34" i="80"/>
  <c r="AB34" i="80" s="1"/>
  <c r="Q34" i="80"/>
  <c r="AA33" i="80"/>
  <c r="Z33" i="80"/>
  <c r="Y33" i="80"/>
  <c r="AE33" i="80" s="1"/>
  <c r="V33" i="80"/>
  <c r="AC33" i="80" s="1"/>
  <c r="U33" i="80"/>
  <c r="AB33" i="80" s="1"/>
  <c r="Q33" i="80"/>
  <c r="X33" i="80" s="1"/>
  <c r="AA32" i="80"/>
  <c r="Z32" i="80"/>
  <c r="Y32" i="80"/>
  <c r="AE32" i="80" s="1"/>
  <c r="AC32" i="80"/>
  <c r="U32" i="80"/>
  <c r="AB32" i="80" s="1"/>
  <c r="Q32" i="80"/>
  <c r="X32" i="80" s="1"/>
  <c r="AA31" i="80"/>
  <c r="Z31" i="80"/>
  <c r="Y31" i="80"/>
  <c r="AE31" i="80" s="1"/>
  <c r="X31" i="80"/>
  <c r="V31" i="80"/>
  <c r="AC31" i="80" s="1"/>
  <c r="U31" i="80"/>
  <c r="AB31" i="80" s="1"/>
  <c r="AA30" i="80"/>
  <c r="Z30" i="80"/>
  <c r="Y30" i="80"/>
  <c r="AE30" i="80" s="1"/>
  <c r="X30" i="80"/>
  <c r="V30" i="80"/>
  <c r="AC30" i="80" s="1"/>
  <c r="U30" i="80"/>
  <c r="AB30" i="80" s="1"/>
  <c r="AA29" i="80"/>
  <c r="Z29" i="80"/>
  <c r="Y29" i="80"/>
  <c r="AE29" i="80" s="1"/>
  <c r="X29" i="80"/>
  <c r="V29" i="80"/>
  <c r="AC29" i="80" s="1"/>
  <c r="U29" i="80"/>
  <c r="AB29" i="80" s="1"/>
  <c r="Q29" i="80"/>
  <c r="AA28" i="80"/>
  <c r="Z28" i="80"/>
  <c r="Y28" i="80"/>
  <c r="AE28" i="80" s="1"/>
  <c r="V28" i="80"/>
  <c r="AC28" i="80" s="1"/>
  <c r="U28" i="80"/>
  <c r="AB28" i="80" s="1"/>
  <c r="Q28" i="80"/>
  <c r="X28" i="80" s="1"/>
  <c r="AA27" i="80"/>
  <c r="Z27" i="80"/>
  <c r="Y27" i="80"/>
  <c r="AE27" i="80" s="1"/>
  <c r="V27" i="80"/>
  <c r="AC27" i="80" s="1"/>
  <c r="U27" i="80"/>
  <c r="AB27" i="80" s="1"/>
  <c r="Q27" i="80"/>
  <c r="X27" i="80" s="1"/>
  <c r="AA26" i="80"/>
  <c r="Z26" i="80"/>
  <c r="Y26" i="80"/>
  <c r="AE26" i="80" s="1"/>
  <c r="X26" i="80"/>
  <c r="V26" i="80"/>
  <c r="AC26" i="80" s="1"/>
  <c r="U26" i="80"/>
  <c r="AB26" i="80" s="1"/>
  <c r="Q26" i="80"/>
  <c r="AA25" i="80"/>
  <c r="Z25" i="80"/>
  <c r="Y25" i="80"/>
  <c r="AE25" i="80" s="1"/>
  <c r="V25" i="80"/>
  <c r="AC25" i="80" s="1"/>
  <c r="U25" i="80"/>
  <c r="AB25" i="80" s="1"/>
  <c r="Q25" i="80"/>
  <c r="X25" i="80" s="1"/>
  <c r="AE24" i="80"/>
  <c r="AA24" i="80"/>
  <c r="Z24" i="80"/>
  <c r="Y24" i="80"/>
  <c r="V24" i="80"/>
  <c r="AC24" i="80" s="1"/>
  <c r="U24" i="80"/>
  <c r="AB24" i="80" s="1"/>
  <c r="Q24" i="80"/>
  <c r="X24" i="80" s="1"/>
  <c r="AA23" i="80"/>
  <c r="Z23" i="80"/>
  <c r="Y23" i="80"/>
  <c r="AE23" i="80" s="1"/>
  <c r="V23" i="80"/>
  <c r="AC23" i="80" s="1"/>
  <c r="U23" i="80"/>
  <c r="AB23" i="80" s="1"/>
  <c r="Q23" i="80"/>
  <c r="X23" i="80" s="1"/>
  <c r="AA22" i="80"/>
  <c r="Z22" i="80"/>
  <c r="Y22" i="80"/>
  <c r="AE22" i="80" s="1"/>
  <c r="V22" i="80"/>
  <c r="AC22" i="80" s="1"/>
  <c r="U22" i="80"/>
  <c r="AB22" i="80" s="1"/>
  <c r="Q22" i="80"/>
  <c r="X22" i="80" s="1"/>
  <c r="AA21" i="80"/>
  <c r="Z21" i="80"/>
  <c r="Y21" i="80"/>
  <c r="AE21" i="80" s="1"/>
  <c r="V21" i="80"/>
  <c r="AC21" i="80" s="1"/>
  <c r="U21" i="80"/>
  <c r="AB21" i="80" s="1"/>
  <c r="Q21" i="80"/>
  <c r="X21" i="80" s="1"/>
  <c r="AA20" i="80"/>
  <c r="Z20" i="80"/>
  <c r="Y20" i="80"/>
  <c r="AE20" i="80" s="1"/>
  <c r="X20" i="80"/>
  <c r="V20" i="80"/>
  <c r="AC20" i="80" s="1"/>
  <c r="U20" i="80"/>
  <c r="AA19" i="80"/>
  <c r="Z19" i="80"/>
  <c r="Y19" i="80"/>
  <c r="AE19" i="80" s="1"/>
  <c r="V19" i="80"/>
  <c r="AC19" i="80" s="1"/>
  <c r="U19" i="80"/>
  <c r="AB19" i="80" s="1"/>
  <c r="Q19" i="80"/>
  <c r="X19" i="80" s="1"/>
  <c r="AA18" i="80"/>
  <c r="Z18" i="80"/>
  <c r="Y18" i="80"/>
  <c r="AE18" i="80" s="1"/>
  <c r="V18" i="80"/>
  <c r="AC18" i="80" s="1"/>
  <c r="U18" i="80"/>
  <c r="AB18" i="80" s="1"/>
  <c r="Q18" i="80"/>
  <c r="X18" i="80" s="1"/>
  <c r="AA17" i="80"/>
  <c r="Z17" i="80"/>
  <c r="Y17" i="80"/>
  <c r="AE17" i="80" s="1"/>
  <c r="V17" i="80"/>
  <c r="AC17" i="80" s="1"/>
  <c r="U17" i="80"/>
  <c r="AB17" i="80" s="1"/>
  <c r="Q17" i="80"/>
  <c r="X17" i="80" s="1"/>
  <c r="AA16" i="80"/>
  <c r="Z16" i="80"/>
  <c r="Y16" i="80"/>
  <c r="AE16" i="80" s="1"/>
  <c r="X16" i="80"/>
  <c r="V16" i="80"/>
  <c r="AC16" i="80" s="1"/>
  <c r="U16" i="80"/>
  <c r="AB16" i="80" s="1"/>
  <c r="Q16" i="80"/>
  <c r="Y15" i="80"/>
  <c r="V15" i="80"/>
  <c r="AC15" i="80" s="1"/>
  <c r="U15" i="80"/>
  <c r="AB15" i="80" s="1"/>
  <c r="Q15" i="80"/>
  <c r="X15" i="80" s="1"/>
  <c r="AA98" i="80" l="1"/>
  <c r="Z98" i="80"/>
  <c r="AE98" i="80"/>
  <c r="S117" i="80"/>
  <c r="R117" i="80"/>
  <c r="Y90" i="80"/>
  <c r="Z90" i="80"/>
  <c r="Y79" i="80"/>
  <c r="AA79" i="80"/>
  <c r="AA90" i="80" s="1"/>
  <c r="T117" i="80"/>
  <c r="U79" i="80"/>
  <c r="AE15" i="80"/>
  <c r="AE79" i="80" s="1"/>
  <c r="Z79" i="80"/>
  <c r="U90" i="80"/>
  <c r="U98" i="80"/>
  <c r="AE82" i="80"/>
  <c r="AE90" i="80" s="1"/>
  <c r="Y98" i="80"/>
  <c r="AB98" i="80" s="1"/>
  <c r="Q60" i="79"/>
  <c r="U117" i="80" l="1"/>
  <c r="Z117" i="80"/>
  <c r="AB90" i="80"/>
  <c r="AB79" i="80"/>
  <c r="AA117" i="80"/>
  <c r="AE117" i="80"/>
  <c r="K119" i="80" s="1"/>
  <c r="Y117" i="80"/>
  <c r="Y93" i="79"/>
  <c r="Y94" i="79"/>
  <c r="Y95" i="79"/>
  <c r="Y92" i="79"/>
  <c r="Y16" i="79"/>
  <c r="Y17" i="79"/>
  <c r="Y18" i="79"/>
  <c r="Y19" i="79"/>
  <c r="Y20" i="79"/>
  <c r="Y21" i="79"/>
  <c r="Y22" i="79"/>
  <c r="Y23" i="79"/>
  <c r="Y24" i="79"/>
  <c r="Y25" i="79"/>
  <c r="Y26" i="79"/>
  <c r="Y27" i="79"/>
  <c r="Y28" i="79"/>
  <c r="Y29" i="79"/>
  <c r="Y30" i="79"/>
  <c r="Y31" i="79"/>
  <c r="Y32" i="79"/>
  <c r="Y33" i="79"/>
  <c r="Y34" i="79"/>
  <c r="Y35" i="79"/>
  <c r="Y36" i="79"/>
  <c r="Y37" i="79"/>
  <c r="Y38" i="79"/>
  <c r="Y39" i="79"/>
  <c r="Y40" i="79"/>
  <c r="Y41" i="79"/>
  <c r="Y42" i="79"/>
  <c r="Y43" i="79"/>
  <c r="Y44" i="79"/>
  <c r="Y45" i="79"/>
  <c r="Y46" i="79"/>
  <c r="Y47" i="79"/>
  <c r="Y48" i="79"/>
  <c r="Y49" i="79"/>
  <c r="Y50" i="79"/>
  <c r="Y51" i="79"/>
  <c r="Y52" i="79"/>
  <c r="Y53" i="79"/>
  <c r="Y54" i="79"/>
  <c r="Y55" i="79"/>
  <c r="Y56" i="79"/>
  <c r="Y57" i="79"/>
  <c r="Y58" i="79"/>
  <c r="Y59" i="79"/>
  <c r="Y60" i="79"/>
  <c r="Y61" i="79"/>
  <c r="Y62" i="79"/>
  <c r="Y63" i="79"/>
  <c r="Y64" i="79"/>
  <c r="Y65" i="79"/>
  <c r="Y66" i="79"/>
  <c r="Y67" i="79"/>
  <c r="Y68" i="79"/>
  <c r="Y69" i="79"/>
  <c r="Y70" i="79"/>
  <c r="Y71" i="79"/>
  <c r="Y72" i="79"/>
  <c r="Y73" i="79"/>
  <c r="Y74" i="79"/>
  <c r="Y75" i="79"/>
  <c r="Y76" i="79"/>
  <c r="Y77" i="79"/>
  <c r="Y78" i="79"/>
  <c r="Y15" i="79"/>
  <c r="AB117" i="80" l="1"/>
  <c r="Y98" i="79"/>
  <c r="T98" i="79"/>
  <c r="S98" i="79"/>
  <c r="R98" i="79"/>
  <c r="AE95" i="79"/>
  <c r="AA95" i="79"/>
  <c r="Z95" i="79"/>
  <c r="V95" i="79"/>
  <c r="AC95" i="79" s="1"/>
  <c r="U95" i="79"/>
  <c r="AB95" i="79" s="1"/>
  <c r="Q95" i="79"/>
  <c r="X95" i="79" s="1"/>
  <c r="AE94" i="79"/>
  <c r="AA94" i="79"/>
  <c r="Z94" i="79"/>
  <c r="Q94" i="79"/>
  <c r="X94" i="79" s="1"/>
  <c r="AA93" i="79"/>
  <c r="Z93" i="79"/>
  <c r="AE93" i="79"/>
  <c r="V93" i="79"/>
  <c r="AC93" i="79" s="1"/>
  <c r="U93" i="79"/>
  <c r="Q93" i="79"/>
  <c r="X93" i="79" s="1"/>
  <c r="AA92" i="79"/>
  <c r="Z92" i="79"/>
  <c r="AE92" i="79"/>
  <c r="V92" i="79"/>
  <c r="AC92" i="79" s="1"/>
  <c r="U92" i="79"/>
  <c r="AB92" i="79" s="1"/>
  <c r="Q92" i="79"/>
  <c r="X92" i="79" s="1"/>
  <c r="T90" i="79"/>
  <c r="S90" i="79"/>
  <c r="R90" i="79"/>
  <c r="AE87" i="79"/>
  <c r="Q87" i="79"/>
  <c r="Q86" i="79"/>
  <c r="Q85" i="79"/>
  <c r="Q84" i="79"/>
  <c r="AA83" i="79"/>
  <c r="Z83" i="79"/>
  <c r="Y83" i="79"/>
  <c r="AE83" i="79" s="1"/>
  <c r="V83" i="79"/>
  <c r="AC83" i="79" s="1"/>
  <c r="U83" i="79"/>
  <c r="AB83" i="79" s="1"/>
  <c r="Q83" i="79"/>
  <c r="X83" i="79" s="1"/>
  <c r="AA82" i="79"/>
  <c r="Z82" i="79"/>
  <c r="Y82" i="79"/>
  <c r="V82" i="79"/>
  <c r="AC82" i="79" s="1"/>
  <c r="U82" i="79"/>
  <c r="AB82" i="79" s="1"/>
  <c r="Q82" i="79"/>
  <c r="X82" i="79" s="1"/>
  <c r="T79" i="79"/>
  <c r="S79" i="79"/>
  <c r="R79" i="79"/>
  <c r="AE78" i="79"/>
  <c r="AA78" i="79"/>
  <c r="Z78" i="79"/>
  <c r="V78" i="79"/>
  <c r="AC78" i="79" s="1"/>
  <c r="U78" i="79"/>
  <c r="AB78" i="79" s="1"/>
  <c r="Q78" i="79"/>
  <c r="X78" i="79" s="1"/>
  <c r="AA77" i="79"/>
  <c r="Z77" i="79"/>
  <c r="AE77" i="79"/>
  <c r="V77" i="79"/>
  <c r="AC77" i="79" s="1"/>
  <c r="U77" i="79"/>
  <c r="AB77" i="79" s="1"/>
  <c r="Q77" i="79"/>
  <c r="X77" i="79" s="1"/>
  <c r="AA76" i="79"/>
  <c r="Z76" i="79"/>
  <c r="AE76" i="79"/>
  <c r="V76" i="79"/>
  <c r="AC76" i="79" s="1"/>
  <c r="U76" i="79"/>
  <c r="AB76" i="79" s="1"/>
  <c r="Q76" i="79"/>
  <c r="X76" i="79" s="1"/>
  <c r="AA75" i="79"/>
  <c r="Z75" i="79"/>
  <c r="AE75" i="79"/>
  <c r="V75" i="79"/>
  <c r="AC75" i="79" s="1"/>
  <c r="U75" i="79"/>
  <c r="AB75" i="79" s="1"/>
  <c r="Q75" i="79"/>
  <c r="X75" i="79" s="1"/>
  <c r="AA74" i="79"/>
  <c r="Z74" i="79"/>
  <c r="AE74" i="79"/>
  <c r="V74" i="79"/>
  <c r="AC74" i="79" s="1"/>
  <c r="U74" i="79"/>
  <c r="AB74" i="79" s="1"/>
  <c r="Q74" i="79"/>
  <c r="X74" i="79" s="1"/>
  <c r="AA73" i="79"/>
  <c r="Z73" i="79"/>
  <c r="AE73" i="79"/>
  <c r="V73" i="79"/>
  <c r="AC73" i="79" s="1"/>
  <c r="U73" i="79"/>
  <c r="AB73" i="79" s="1"/>
  <c r="Q73" i="79"/>
  <c r="X73" i="79" s="1"/>
  <c r="AA72" i="79"/>
  <c r="Z72" i="79"/>
  <c r="AE72" i="79"/>
  <c r="V72" i="79"/>
  <c r="AC72" i="79" s="1"/>
  <c r="U72" i="79"/>
  <c r="AB72" i="79" s="1"/>
  <c r="Q72" i="79"/>
  <c r="X72" i="79" s="1"/>
  <c r="AA71" i="79"/>
  <c r="Z71" i="79"/>
  <c r="AE71" i="79"/>
  <c r="V71" i="79"/>
  <c r="AC71" i="79" s="1"/>
  <c r="U71" i="79"/>
  <c r="AB71" i="79" s="1"/>
  <c r="Q71" i="79"/>
  <c r="X71" i="79" s="1"/>
  <c r="AE70" i="79"/>
  <c r="AA70" i="79"/>
  <c r="Z70" i="79"/>
  <c r="V70" i="79"/>
  <c r="U70" i="79"/>
  <c r="Q70" i="79"/>
  <c r="X70" i="79" s="1"/>
  <c r="AA69" i="79"/>
  <c r="Z69" i="79"/>
  <c r="AE69" i="79"/>
  <c r="V69" i="79"/>
  <c r="AC69" i="79" s="1"/>
  <c r="U69" i="79"/>
  <c r="AB69" i="79" s="1"/>
  <c r="Q69" i="79"/>
  <c r="X69" i="79" s="1"/>
  <c r="AA68" i="79"/>
  <c r="Z68" i="79"/>
  <c r="AE68" i="79"/>
  <c r="V68" i="79"/>
  <c r="AC68" i="79" s="1"/>
  <c r="U68" i="79"/>
  <c r="AB68" i="79" s="1"/>
  <c r="Q68" i="79"/>
  <c r="X68" i="79" s="1"/>
  <c r="AA67" i="79"/>
  <c r="Z67" i="79"/>
  <c r="AE67" i="79"/>
  <c r="V67" i="79"/>
  <c r="AC67" i="79" s="1"/>
  <c r="U67" i="79"/>
  <c r="AB67" i="79" s="1"/>
  <c r="Q67" i="79"/>
  <c r="X67" i="79" s="1"/>
  <c r="AA66" i="79"/>
  <c r="Z66" i="79"/>
  <c r="AE66" i="79"/>
  <c r="V66" i="79"/>
  <c r="AC66" i="79" s="1"/>
  <c r="U66" i="79"/>
  <c r="AB66" i="79" s="1"/>
  <c r="Q66" i="79"/>
  <c r="X66" i="79" s="1"/>
  <c r="AA65" i="79"/>
  <c r="Z65" i="79"/>
  <c r="AE65" i="79"/>
  <c r="V65" i="79"/>
  <c r="AC65" i="79" s="1"/>
  <c r="U65" i="79"/>
  <c r="AB65" i="79" s="1"/>
  <c r="Q65" i="79"/>
  <c r="X65" i="79" s="1"/>
  <c r="AA64" i="79"/>
  <c r="Z64" i="79"/>
  <c r="AE64" i="79"/>
  <c r="V64" i="79"/>
  <c r="AC64" i="79" s="1"/>
  <c r="U64" i="79"/>
  <c r="AB64" i="79" s="1"/>
  <c r="Q64" i="79"/>
  <c r="X64" i="79" s="1"/>
  <c r="AA63" i="79"/>
  <c r="Z63" i="79"/>
  <c r="AE63" i="79"/>
  <c r="V63" i="79"/>
  <c r="AC63" i="79" s="1"/>
  <c r="U63" i="79"/>
  <c r="AB63" i="79" s="1"/>
  <c r="Q63" i="79"/>
  <c r="X63" i="79" s="1"/>
  <c r="AA62" i="79"/>
  <c r="Z62" i="79"/>
  <c r="AE62" i="79"/>
  <c r="V62" i="79"/>
  <c r="AC62" i="79" s="1"/>
  <c r="U62" i="79"/>
  <c r="AB62" i="79" s="1"/>
  <c r="Q62" i="79"/>
  <c r="X62" i="79" s="1"/>
  <c r="AA61" i="79"/>
  <c r="Z61" i="79"/>
  <c r="AE61" i="79"/>
  <c r="V61" i="79"/>
  <c r="AC61" i="79" s="1"/>
  <c r="U61" i="79"/>
  <c r="AB61" i="79" s="1"/>
  <c r="Q61" i="79"/>
  <c r="X61" i="79" s="1"/>
  <c r="AA60" i="79"/>
  <c r="Z60" i="79"/>
  <c r="AE60" i="79"/>
  <c r="X60" i="79"/>
  <c r="V60" i="79"/>
  <c r="AC60" i="79" s="1"/>
  <c r="U60" i="79"/>
  <c r="AB60" i="79" s="1"/>
  <c r="AA59" i="79"/>
  <c r="Z59" i="79"/>
  <c r="AE59" i="79"/>
  <c r="X59" i="79"/>
  <c r="V59" i="79"/>
  <c r="AC59" i="79" s="1"/>
  <c r="U59" i="79"/>
  <c r="AB59" i="79" s="1"/>
  <c r="Q59" i="79"/>
  <c r="AA58" i="79"/>
  <c r="Z58" i="79"/>
  <c r="AE58" i="79"/>
  <c r="V58" i="79"/>
  <c r="U58" i="79"/>
  <c r="Q58" i="79"/>
  <c r="X58" i="79" s="1"/>
  <c r="AA57" i="79"/>
  <c r="Z57" i="79"/>
  <c r="AE57" i="79"/>
  <c r="V57" i="79"/>
  <c r="AC57" i="79" s="1"/>
  <c r="U57" i="79"/>
  <c r="AB57" i="79" s="1"/>
  <c r="Q57" i="79"/>
  <c r="X57" i="79" s="1"/>
  <c r="AA56" i="79"/>
  <c r="Z56" i="79"/>
  <c r="AE56" i="79"/>
  <c r="V56" i="79"/>
  <c r="U56" i="79"/>
  <c r="AB56" i="79" s="1"/>
  <c r="Q56" i="79"/>
  <c r="X56" i="79" s="1"/>
  <c r="AE55" i="79"/>
  <c r="AA55" i="79"/>
  <c r="Z55" i="79"/>
  <c r="V55" i="79"/>
  <c r="AC55" i="79" s="1"/>
  <c r="U55" i="79"/>
  <c r="AB55" i="79" s="1"/>
  <c r="Q55" i="79"/>
  <c r="X55" i="79" s="1"/>
  <c r="AA54" i="79"/>
  <c r="Z54" i="79"/>
  <c r="AE54" i="79"/>
  <c r="V54" i="79"/>
  <c r="AC54" i="79" s="1"/>
  <c r="U54" i="79"/>
  <c r="AB54" i="79" s="1"/>
  <c r="Q54" i="79"/>
  <c r="X54" i="79" s="1"/>
  <c r="AE53" i="79"/>
  <c r="AA53" i="79"/>
  <c r="Z53" i="79"/>
  <c r="V53" i="79"/>
  <c r="AC53" i="79" s="1"/>
  <c r="U53" i="79"/>
  <c r="AB53" i="79" s="1"/>
  <c r="Q53" i="79"/>
  <c r="X53" i="79" s="1"/>
  <c r="AA52" i="79"/>
  <c r="Z52" i="79"/>
  <c r="AE52" i="79"/>
  <c r="V52" i="79"/>
  <c r="AC52" i="79" s="1"/>
  <c r="U52" i="79"/>
  <c r="AB52" i="79" s="1"/>
  <c r="Q52" i="79"/>
  <c r="X52" i="79" s="1"/>
  <c r="AE51" i="79"/>
  <c r="AA51" i="79"/>
  <c r="Z51" i="79"/>
  <c r="V51" i="79"/>
  <c r="AC51" i="79" s="1"/>
  <c r="U51" i="79"/>
  <c r="AB51" i="79" s="1"/>
  <c r="Q51" i="79"/>
  <c r="X51" i="79" s="1"/>
  <c r="AA50" i="79"/>
  <c r="Z50" i="79"/>
  <c r="AE50" i="79"/>
  <c r="V50" i="79"/>
  <c r="AC50" i="79" s="1"/>
  <c r="U50" i="79"/>
  <c r="AB50" i="79" s="1"/>
  <c r="Q50" i="79"/>
  <c r="X50" i="79" s="1"/>
  <c r="AA49" i="79"/>
  <c r="Z49" i="79"/>
  <c r="AE49" i="79"/>
  <c r="X49" i="79"/>
  <c r="V49" i="79"/>
  <c r="AC49" i="79" s="1"/>
  <c r="U49" i="79"/>
  <c r="AB49" i="79" s="1"/>
  <c r="Q49" i="79"/>
  <c r="AA48" i="79"/>
  <c r="Z48" i="79"/>
  <c r="AE48" i="79"/>
  <c r="V48" i="79"/>
  <c r="AC48" i="79" s="1"/>
  <c r="U48" i="79"/>
  <c r="AB48" i="79" s="1"/>
  <c r="Q48" i="79"/>
  <c r="X48" i="79" s="1"/>
  <c r="AE47" i="79"/>
  <c r="AA47" i="79"/>
  <c r="Z47" i="79"/>
  <c r="X47" i="79"/>
  <c r="V47" i="79"/>
  <c r="AC47" i="79" s="1"/>
  <c r="U47" i="79"/>
  <c r="AB47" i="79" s="1"/>
  <c r="Q47" i="79"/>
  <c r="AA46" i="79"/>
  <c r="Z46" i="79"/>
  <c r="AE46" i="79"/>
  <c r="V46" i="79"/>
  <c r="AC46" i="79" s="1"/>
  <c r="U46" i="79"/>
  <c r="AB46" i="79" s="1"/>
  <c r="Q46" i="79"/>
  <c r="X46" i="79" s="1"/>
  <c r="AE45" i="79"/>
  <c r="AA45" i="79"/>
  <c r="Z45" i="79"/>
  <c r="V45" i="79"/>
  <c r="AC45" i="79" s="1"/>
  <c r="U45" i="79"/>
  <c r="AB45" i="79" s="1"/>
  <c r="Q45" i="79"/>
  <c r="X45" i="79" s="1"/>
  <c r="AA44" i="79"/>
  <c r="Z44" i="79"/>
  <c r="AE44" i="79"/>
  <c r="V44" i="79"/>
  <c r="AC44" i="79" s="1"/>
  <c r="U44" i="79"/>
  <c r="AB44" i="79" s="1"/>
  <c r="Q44" i="79"/>
  <c r="X44" i="79" s="1"/>
  <c r="AE43" i="79"/>
  <c r="AA43" i="79"/>
  <c r="Z43" i="79"/>
  <c r="V43" i="79"/>
  <c r="AC43" i="79" s="1"/>
  <c r="U43" i="79"/>
  <c r="AB43" i="79" s="1"/>
  <c r="Q43" i="79"/>
  <c r="X43" i="79" s="1"/>
  <c r="AA42" i="79"/>
  <c r="Z42" i="79"/>
  <c r="AE42" i="79"/>
  <c r="V42" i="79"/>
  <c r="AC42" i="79" s="1"/>
  <c r="U42" i="79"/>
  <c r="AB42" i="79" s="1"/>
  <c r="Q42" i="79"/>
  <c r="X42" i="79" s="1"/>
  <c r="AE41" i="79"/>
  <c r="AA41" i="79"/>
  <c r="Z41" i="79"/>
  <c r="V41" i="79"/>
  <c r="AC41" i="79" s="1"/>
  <c r="U41" i="79"/>
  <c r="AB41" i="79" s="1"/>
  <c r="Q41" i="79"/>
  <c r="X41" i="79" s="1"/>
  <c r="AA40" i="79"/>
  <c r="Z40" i="79"/>
  <c r="AE40" i="79"/>
  <c r="V40" i="79"/>
  <c r="AC40" i="79" s="1"/>
  <c r="U40" i="79"/>
  <c r="AB40" i="79" s="1"/>
  <c r="Q40" i="79"/>
  <c r="X40" i="79" s="1"/>
  <c r="AE39" i="79"/>
  <c r="AA39" i="79"/>
  <c r="Z39" i="79"/>
  <c r="V39" i="79"/>
  <c r="AC39" i="79" s="1"/>
  <c r="U39" i="79"/>
  <c r="AB39" i="79" s="1"/>
  <c r="Q39" i="79"/>
  <c r="X39" i="79" s="1"/>
  <c r="AA38" i="79"/>
  <c r="Z38" i="79"/>
  <c r="AE38" i="79"/>
  <c r="V38" i="79"/>
  <c r="AC38" i="79" s="1"/>
  <c r="U38" i="79"/>
  <c r="AB38" i="79" s="1"/>
  <c r="Q38" i="79"/>
  <c r="X38" i="79" s="1"/>
  <c r="AE37" i="79"/>
  <c r="AA37" i="79"/>
  <c r="Z37" i="79"/>
  <c r="V37" i="79"/>
  <c r="AC37" i="79" s="1"/>
  <c r="U37" i="79"/>
  <c r="AB37" i="79" s="1"/>
  <c r="Q37" i="79"/>
  <c r="X37" i="79" s="1"/>
  <c r="AA36" i="79"/>
  <c r="Z36" i="79"/>
  <c r="AE36" i="79"/>
  <c r="V36" i="79"/>
  <c r="AC36" i="79" s="1"/>
  <c r="U36" i="79"/>
  <c r="Q36" i="79"/>
  <c r="X36" i="79" s="1"/>
  <c r="AA35" i="79"/>
  <c r="Z35" i="79"/>
  <c r="AE35" i="79"/>
  <c r="V35" i="79"/>
  <c r="U35" i="79"/>
  <c r="AB35" i="79" s="1"/>
  <c r="Q35" i="79"/>
  <c r="X35" i="79" s="1"/>
  <c r="AE34" i="79"/>
  <c r="AA34" i="79"/>
  <c r="Z34" i="79"/>
  <c r="V34" i="79"/>
  <c r="AC34" i="79" s="1"/>
  <c r="U34" i="79"/>
  <c r="AB34" i="79" s="1"/>
  <c r="Q34" i="79"/>
  <c r="X34" i="79" s="1"/>
  <c r="AA33" i="79"/>
  <c r="Z33" i="79"/>
  <c r="AE33" i="79"/>
  <c r="V33" i="79"/>
  <c r="AC33" i="79" s="1"/>
  <c r="U33" i="79"/>
  <c r="AB33" i="79" s="1"/>
  <c r="Q33" i="79"/>
  <c r="X33" i="79" s="1"/>
  <c r="AE32" i="79"/>
  <c r="AA32" i="79"/>
  <c r="Z32" i="79"/>
  <c r="V32" i="79"/>
  <c r="AC32" i="79" s="1"/>
  <c r="U32" i="79"/>
  <c r="AB32" i="79" s="1"/>
  <c r="Q32" i="79"/>
  <c r="X32" i="79" s="1"/>
  <c r="AA31" i="79"/>
  <c r="Z31" i="79"/>
  <c r="AE31" i="79"/>
  <c r="X31" i="79"/>
  <c r="V31" i="79"/>
  <c r="AC31" i="79" s="1"/>
  <c r="U31" i="79"/>
  <c r="AB31" i="79" s="1"/>
  <c r="AA30" i="79"/>
  <c r="Z30" i="79"/>
  <c r="AE30" i="79"/>
  <c r="V30" i="79"/>
  <c r="AC30" i="79" s="1"/>
  <c r="U30" i="79"/>
  <c r="AB30" i="79" s="1"/>
  <c r="Q30" i="79"/>
  <c r="X30" i="79" s="1"/>
  <c r="AA29" i="79"/>
  <c r="Z29" i="79"/>
  <c r="AE29" i="79"/>
  <c r="V29" i="79"/>
  <c r="AC29" i="79" s="1"/>
  <c r="U29" i="79"/>
  <c r="AB29" i="79" s="1"/>
  <c r="Q29" i="79"/>
  <c r="X29" i="79" s="1"/>
  <c r="AA28" i="79"/>
  <c r="Z28" i="79"/>
  <c r="AE28" i="79"/>
  <c r="V28" i="79"/>
  <c r="AC28" i="79" s="1"/>
  <c r="U28" i="79"/>
  <c r="AB28" i="79" s="1"/>
  <c r="Q28" i="79"/>
  <c r="X28" i="79" s="1"/>
  <c r="AA27" i="79"/>
  <c r="Z27" i="79"/>
  <c r="AE27" i="79"/>
  <c r="V27" i="79"/>
  <c r="AC27" i="79" s="1"/>
  <c r="U27" i="79"/>
  <c r="AB27" i="79" s="1"/>
  <c r="Q27" i="79"/>
  <c r="X27" i="79" s="1"/>
  <c r="AA26" i="79"/>
  <c r="Z26" i="79"/>
  <c r="AE26" i="79"/>
  <c r="X26" i="79"/>
  <c r="V26" i="79"/>
  <c r="AC26" i="79" s="1"/>
  <c r="U26" i="79"/>
  <c r="AB26" i="79" s="1"/>
  <c r="Q26" i="79"/>
  <c r="AA25" i="79"/>
  <c r="Z25" i="79"/>
  <c r="AE25" i="79"/>
  <c r="V25" i="79"/>
  <c r="AC25" i="79" s="1"/>
  <c r="U25" i="79"/>
  <c r="AB25" i="79" s="1"/>
  <c r="Q25" i="79"/>
  <c r="X25" i="79" s="1"/>
  <c r="AA24" i="79"/>
  <c r="Z24" i="79"/>
  <c r="AE24" i="79"/>
  <c r="V24" i="79"/>
  <c r="AC24" i="79" s="1"/>
  <c r="U24" i="79"/>
  <c r="AB24" i="79" s="1"/>
  <c r="Q24" i="79"/>
  <c r="X24" i="79" s="1"/>
  <c r="AA23" i="79"/>
  <c r="Z23" i="79"/>
  <c r="AE23" i="79"/>
  <c r="V23" i="79"/>
  <c r="AC23" i="79" s="1"/>
  <c r="U23" i="79"/>
  <c r="AB23" i="79" s="1"/>
  <c r="Q23" i="79"/>
  <c r="X23" i="79" s="1"/>
  <c r="AA22" i="79"/>
  <c r="Z22" i="79"/>
  <c r="AE22" i="79"/>
  <c r="V22" i="79"/>
  <c r="AC22" i="79" s="1"/>
  <c r="U22" i="79"/>
  <c r="AB22" i="79" s="1"/>
  <c r="Q22" i="79"/>
  <c r="X22" i="79" s="1"/>
  <c r="AA21" i="79"/>
  <c r="Z21" i="79"/>
  <c r="AE21" i="79"/>
  <c r="V21" i="79"/>
  <c r="AC21" i="79" s="1"/>
  <c r="U21" i="79"/>
  <c r="AB21" i="79" s="1"/>
  <c r="Q21" i="79"/>
  <c r="X21" i="79" s="1"/>
  <c r="AA20" i="79"/>
  <c r="Z20" i="79"/>
  <c r="AE20" i="79"/>
  <c r="X20" i="79"/>
  <c r="V20" i="79"/>
  <c r="AC20" i="79" s="1"/>
  <c r="U20" i="79"/>
  <c r="AA19" i="79"/>
  <c r="Z19" i="79"/>
  <c r="AE19" i="79"/>
  <c r="V19" i="79"/>
  <c r="AC19" i="79" s="1"/>
  <c r="U19" i="79"/>
  <c r="AB19" i="79" s="1"/>
  <c r="Q19" i="79"/>
  <c r="X19" i="79" s="1"/>
  <c r="AA18" i="79"/>
  <c r="Z18" i="79"/>
  <c r="AE18" i="79"/>
  <c r="V18" i="79"/>
  <c r="AC18" i="79" s="1"/>
  <c r="U18" i="79"/>
  <c r="AB18" i="79" s="1"/>
  <c r="Q18" i="79"/>
  <c r="X18" i="79" s="1"/>
  <c r="AA17" i="79"/>
  <c r="Z17" i="79"/>
  <c r="AE17" i="79"/>
  <c r="V17" i="79"/>
  <c r="AC17" i="79" s="1"/>
  <c r="U17" i="79"/>
  <c r="AB17" i="79" s="1"/>
  <c r="Q17" i="79"/>
  <c r="X17" i="79" s="1"/>
  <c r="AA16" i="79"/>
  <c r="Z16" i="79"/>
  <c r="AE16" i="79"/>
  <c r="V16" i="79"/>
  <c r="AC16" i="79" s="1"/>
  <c r="U16" i="79"/>
  <c r="AB16" i="79" s="1"/>
  <c r="Q16" i="79"/>
  <c r="X16" i="79" s="1"/>
  <c r="Z15" i="79"/>
  <c r="V15" i="79"/>
  <c r="AC15" i="79" s="1"/>
  <c r="U15" i="79"/>
  <c r="AB15" i="79" s="1"/>
  <c r="Q15" i="79"/>
  <c r="X15" i="79" s="1"/>
  <c r="S117" i="79" l="1"/>
  <c r="U79" i="79"/>
  <c r="Y90" i="79"/>
  <c r="U90" i="79"/>
  <c r="AA98" i="79"/>
  <c r="AB98" i="79" s="1"/>
  <c r="Z90" i="79"/>
  <c r="T117" i="79"/>
  <c r="Z98" i="79"/>
  <c r="R117" i="79"/>
  <c r="U98" i="79"/>
  <c r="Y79" i="79"/>
  <c r="Y117" i="79" s="1"/>
  <c r="AE98" i="79"/>
  <c r="AA79" i="79"/>
  <c r="AA90" i="79" s="1"/>
  <c r="Z79" i="79"/>
  <c r="AE15" i="79"/>
  <c r="AE79" i="79" s="1"/>
  <c r="AE82" i="79"/>
  <c r="AE90" i="79" s="1"/>
  <c r="T90" i="78"/>
  <c r="S90" i="78"/>
  <c r="R90" i="78"/>
  <c r="AC83" i="78"/>
  <c r="AA83" i="78"/>
  <c r="Z83" i="78"/>
  <c r="Y83" i="78"/>
  <c r="AE83" i="78" s="1"/>
  <c r="V83" i="78"/>
  <c r="U83" i="78"/>
  <c r="AB83" i="78" s="1"/>
  <c r="AB90" i="79" l="1"/>
  <c r="U117" i="79"/>
  <c r="Z117" i="79"/>
  <c r="AE117" i="79"/>
  <c r="K119" i="79" s="1"/>
  <c r="AB79" i="79"/>
  <c r="AA117" i="79"/>
  <c r="Q85" i="78"/>
  <c r="Q83" i="78"/>
  <c r="X83" i="78" s="1"/>
  <c r="AA82" i="78"/>
  <c r="Z82" i="78"/>
  <c r="Z90" i="78" s="1"/>
  <c r="Y82" i="78"/>
  <c r="Y90" i="78" s="1"/>
  <c r="X82" i="78"/>
  <c r="V82" i="78"/>
  <c r="AC82" i="78" s="1"/>
  <c r="U82" i="78"/>
  <c r="AB82" i="78" s="1"/>
  <c r="Q82" i="78"/>
  <c r="AE82" i="78" l="1"/>
  <c r="AB117" i="79"/>
  <c r="Q66" i="78"/>
  <c r="Q34" i="78" l="1"/>
  <c r="X31" i="78"/>
  <c r="T98" i="78"/>
  <c r="S98" i="78"/>
  <c r="R98" i="78"/>
  <c r="AA95" i="78"/>
  <c r="Z95" i="78"/>
  <c r="Y95" i="78"/>
  <c r="AE95" i="78" s="1"/>
  <c r="V95" i="78"/>
  <c r="AC95" i="78" s="1"/>
  <c r="U95" i="78"/>
  <c r="AB95" i="78" s="1"/>
  <c r="Q95" i="78"/>
  <c r="X95" i="78" s="1"/>
  <c r="AA94" i="78"/>
  <c r="Z94" i="78"/>
  <c r="Y94" i="78"/>
  <c r="AE94" i="78" s="1"/>
  <c r="Q94" i="78"/>
  <c r="X94" i="78" s="1"/>
  <c r="AA93" i="78"/>
  <c r="Z93" i="78"/>
  <c r="Y93" i="78"/>
  <c r="V93" i="78"/>
  <c r="AC93" i="78" s="1"/>
  <c r="U93" i="78"/>
  <c r="Q93" i="78"/>
  <c r="X93" i="78" s="1"/>
  <c r="AA92" i="78"/>
  <c r="Z92" i="78"/>
  <c r="Y92" i="78"/>
  <c r="AE92" i="78" s="1"/>
  <c r="V92" i="78"/>
  <c r="AC92" i="78" s="1"/>
  <c r="U92" i="78"/>
  <c r="AB92" i="78" s="1"/>
  <c r="Q92" i="78"/>
  <c r="X92" i="78" s="1"/>
  <c r="U90" i="78"/>
  <c r="AE87" i="78"/>
  <c r="AE90" i="78" s="1"/>
  <c r="Q87" i="78"/>
  <c r="Q86" i="78"/>
  <c r="Q84" i="78"/>
  <c r="T79" i="78"/>
  <c r="T117" i="78" s="1"/>
  <c r="S79" i="78"/>
  <c r="S117" i="78" s="1"/>
  <c r="R79" i="78"/>
  <c r="R117" i="78" s="1"/>
  <c r="AA78" i="78"/>
  <c r="Z78" i="78"/>
  <c r="Y78" i="78"/>
  <c r="AE78" i="78" s="1"/>
  <c r="V78" i="78"/>
  <c r="AC78" i="78" s="1"/>
  <c r="U78" i="78"/>
  <c r="AB78" i="78" s="1"/>
  <c r="Q78" i="78"/>
  <c r="X78" i="78" s="1"/>
  <c r="AA77" i="78"/>
  <c r="Z77" i="78"/>
  <c r="Y77" i="78"/>
  <c r="AE77" i="78" s="1"/>
  <c r="V77" i="78"/>
  <c r="AC77" i="78" s="1"/>
  <c r="U77" i="78"/>
  <c r="AB77" i="78" s="1"/>
  <c r="Q77" i="78"/>
  <c r="X77" i="78" s="1"/>
  <c r="AA76" i="78"/>
  <c r="Z76" i="78"/>
  <c r="Y76" i="78"/>
  <c r="AE76" i="78" s="1"/>
  <c r="V76" i="78"/>
  <c r="AC76" i="78" s="1"/>
  <c r="U76" i="78"/>
  <c r="AB76" i="78" s="1"/>
  <c r="Q76" i="78"/>
  <c r="X76" i="78" s="1"/>
  <c r="AA75" i="78"/>
  <c r="Z75" i="78"/>
  <c r="Y75" i="78"/>
  <c r="AE75" i="78" s="1"/>
  <c r="V75" i="78"/>
  <c r="AC75" i="78" s="1"/>
  <c r="U75" i="78"/>
  <c r="AB75" i="78" s="1"/>
  <c r="Q75" i="78"/>
  <c r="X75" i="78" s="1"/>
  <c r="AA74" i="78"/>
  <c r="Z74" i="78"/>
  <c r="Y74" i="78"/>
  <c r="AE74" i="78" s="1"/>
  <c r="V74" i="78"/>
  <c r="AC74" i="78" s="1"/>
  <c r="U74" i="78"/>
  <c r="AB74" i="78" s="1"/>
  <c r="Q74" i="78"/>
  <c r="X74" i="78" s="1"/>
  <c r="AA73" i="78"/>
  <c r="Z73" i="78"/>
  <c r="Y73" i="78"/>
  <c r="AE73" i="78" s="1"/>
  <c r="V73" i="78"/>
  <c r="AC73" i="78" s="1"/>
  <c r="U73" i="78"/>
  <c r="AB73" i="78" s="1"/>
  <c r="Q73" i="78"/>
  <c r="X73" i="78" s="1"/>
  <c r="AA72" i="78"/>
  <c r="Z72" i="78"/>
  <c r="Y72" i="78"/>
  <c r="AE72" i="78" s="1"/>
  <c r="V72" i="78"/>
  <c r="AC72" i="78" s="1"/>
  <c r="U72" i="78"/>
  <c r="AB72" i="78" s="1"/>
  <c r="Q72" i="78"/>
  <c r="X72" i="78" s="1"/>
  <c r="AA71" i="78"/>
  <c r="Z71" i="78"/>
  <c r="Y71" i="78"/>
  <c r="AE71" i="78" s="1"/>
  <c r="V71" i="78"/>
  <c r="AC71" i="78" s="1"/>
  <c r="U71" i="78"/>
  <c r="AB71" i="78" s="1"/>
  <c r="Q71" i="78"/>
  <c r="X71" i="78" s="1"/>
  <c r="AA70" i="78"/>
  <c r="Z70" i="78"/>
  <c r="Y70" i="78"/>
  <c r="AE70" i="78" s="1"/>
  <c r="V70" i="78"/>
  <c r="U70" i="78"/>
  <c r="Q70" i="78"/>
  <c r="X70" i="78" s="1"/>
  <c r="AA69" i="78"/>
  <c r="Z69" i="78"/>
  <c r="Y69" i="78"/>
  <c r="AE69" i="78" s="1"/>
  <c r="X69" i="78"/>
  <c r="V69" i="78"/>
  <c r="AC69" i="78" s="1"/>
  <c r="U69" i="78"/>
  <c r="AB69" i="78" s="1"/>
  <c r="Q69" i="78"/>
  <c r="AA68" i="78"/>
  <c r="Z68" i="78"/>
  <c r="Y68" i="78"/>
  <c r="AE68" i="78" s="1"/>
  <c r="V68" i="78"/>
  <c r="AC68" i="78" s="1"/>
  <c r="U68" i="78"/>
  <c r="AB68" i="78" s="1"/>
  <c r="Q68" i="78"/>
  <c r="X68" i="78" s="1"/>
  <c r="AA67" i="78"/>
  <c r="Z67" i="78"/>
  <c r="Y67" i="78"/>
  <c r="AE67" i="78" s="1"/>
  <c r="X67" i="78"/>
  <c r="V67" i="78"/>
  <c r="AC67" i="78" s="1"/>
  <c r="U67" i="78"/>
  <c r="AB67" i="78" s="1"/>
  <c r="Q67" i="78"/>
  <c r="AA66" i="78"/>
  <c r="Z66" i="78"/>
  <c r="Y66" i="78"/>
  <c r="AE66" i="78" s="1"/>
  <c r="X66" i="78"/>
  <c r="V66" i="78"/>
  <c r="AC66" i="78" s="1"/>
  <c r="U66" i="78"/>
  <c r="AB66" i="78" s="1"/>
  <c r="AA65" i="78"/>
  <c r="Z65" i="78"/>
  <c r="Y65" i="78"/>
  <c r="AE65" i="78" s="1"/>
  <c r="V65" i="78"/>
  <c r="AC65" i="78" s="1"/>
  <c r="U65" i="78"/>
  <c r="AB65" i="78" s="1"/>
  <c r="Q65" i="78"/>
  <c r="X65" i="78" s="1"/>
  <c r="AA64" i="78"/>
  <c r="Z64" i="78"/>
  <c r="Y64" i="78"/>
  <c r="AE64" i="78" s="1"/>
  <c r="V64" i="78"/>
  <c r="AC64" i="78" s="1"/>
  <c r="U64" i="78"/>
  <c r="AB64" i="78" s="1"/>
  <c r="Q64" i="78"/>
  <c r="X64" i="78" s="1"/>
  <c r="AA63" i="78"/>
  <c r="Z63" i="78"/>
  <c r="Y63" i="78"/>
  <c r="AE63" i="78" s="1"/>
  <c r="V63" i="78"/>
  <c r="AC63" i="78" s="1"/>
  <c r="U63" i="78"/>
  <c r="AB63" i="78" s="1"/>
  <c r="Q63" i="78"/>
  <c r="X63" i="78" s="1"/>
  <c r="AA62" i="78"/>
  <c r="Z62" i="78"/>
  <c r="Y62" i="78"/>
  <c r="AE62" i="78" s="1"/>
  <c r="V62" i="78"/>
  <c r="AC62" i="78" s="1"/>
  <c r="U62" i="78"/>
  <c r="AB62" i="78" s="1"/>
  <c r="Q62" i="78"/>
  <c r="X62" i="78" s="1"/>
  <c r="AA61" i="78"/>
  <c r="Z61" i="78"/>
  <c r="Y61" i="78"/>
  <c r="AE61" i="78" s="1"/>
  <c r="V61" i="78"/>
  <c r="AC61" i="78" s="1"/>
  <c r="U61" i="78"/>
  <c r="AB61" i="78" s="1"/>
  <c r="Q61" i="78"/>
  <c r="X61" i="78" s="1"/>
  <c r="AA60" i="78"/>
  <c r="Z60" i="78"/>
  <c r="Y60" i="78"/>
  <c r="AE60" i="78" s="1"/>
  <c r="V60" i="78"/>
  <c r="AC60" i="78" s="1"/>
  <c r="U60" i="78"/>
  <c r="AB60" i="78" s="1"/>
  <c r="Q60" i="78"/>
  <c r="X60" i="78" s="1"/>
  <c r="AA59" i="78"/>
  <c r="Z59" i="78"/>
  <c r="Y59" i="78"/>
  <c r="AE59" i="78" s="1"/>
  <c r="X59" i="78"/>
  <c r="V59" i="78"/>
  <c r="AC59" i="78" s="1"/>
  <c r="U59" i="78"/>
  <c r="AB59" i="78" s="1"/>
  <c r="Q59" i="78"/>
  <c r="AA58" i="78"/>
  <c r="Z58" i="78"/>
  <c r="Y58" i="78"/>
  <c r="AE58" i="78" s="1"/>
  <c r="V58" i="78"/>
  <c r="U58" i="78"/>
  <c r="Q58" i="78"/>
  <c r="X58" i="78" s="1"/>
  <c r="AA57" i="78"/>
  <c r="Z57" i="78"/>
  <c r="Y57" i="78"/>
  <c r="AE57" i="78" s="1"/>
  <c r="V57" i="78"/>
  <c r="AC57" i="78" s="1"/>
  <c r="U57" i="78"/>
  <c r="AB57" i="78" s="1"/>
  <c r="Q57" i="78"/>
  <c r="X57" i="78" s="1"/>
  <c r="AA56" i="78"/>
  <c r="Z56" i="78"/>
  <c r="Y56" i="78"/>
  <c r="AE56" i="78" s="1"/>
  <c r="V56" i="78"/>
  <c r="U56" i="78"/>
  <c r="AB56" i="78" s="1"/>
  <c r="Q56" i="78"/>
  <c r="X56" i="78" s="1"/>
  <c r="AB55" i="78"/>
  <c r="AA55" i="78"/>
  <c r="Z55" i="78"/>
  <c r="Y55" i="78"/>
  <c r="AE55" i="78" s="1"/>
  <c r="V55" i="78"/>
  <c r="AC55" i="78" s="1"/>
  <c r="U55" i="78"/>
  <c r="Q55" i="78"/>
  <c r="X55" i="78" s="1"/>
  <c r="AA54" i="78"/>
  <c r="Z54" i="78"/>
  <c r="Y54" i="78"/>
  <c r="AE54" i="78" s="1"/>
  <c r="V54" i="78"/>
  <c r="AC54" i="78" s="1"/>
  <c r="U54" i="78"/>
  <c r="AB54" i="78" s="1"/>
  <c r="Q54" i="78"/>
  <c r="X54" i="78" s="1"/>
  <c r="AA53" i="78"/>
  <c r="Z53" i="78"/>
  <c r="Y53" i="78"/>
  <c r="AE53" i="78" s="1"/>
  <c r="V53" i="78"/>
  <c r="AC53" i="78" s="1"/>
  <c r="U53" i="78"/>
  <c r="AB53" i="78" s="1"/>
  <c r="Q53" i="78"/>
  <c r="X53" i="78" s="1"/>
  <c r="AA52" i="78"/>
  <c r="Z52" i="78"/>
  <c r="Y52" i="78"/>
  <c r="AE52" i="78" s="1"/>
  <c r="V52" i="78"/>
  <c r="AC52" i="78" s="1"/>
  <c r="U52" i="78"/>
  <c r="AB52" i="78" s="1"/>
  <c r="Q52" i="78"/>
  <c r="X52" i="78" s="1"/>
  <c r="AA51" i="78"/>
  <c r="Z51" i="78"/>
  <c r="Y51" i="78"/>
  <c r="AE51" i="78" s="1"/>
  <c r="V51" i="78"/>
  <c r="AC51" i="78" s="1"/>
  <c r="U51" i="78"/>
  <c r="AB51" i="78" s="1"/>
  <c r="Q51" i="78"/>
  <c r="X51" i="78" s="1"/>
  <c r="AA50" i="78"/>
  <c r="Z50" i="78"/>
  <c r="Y50" i="78"/>
  <c r="AE50" i="78" s="1"/>
  <c r="V50" i="78"/>
  <c r="AC50" i="78" s="1"/>
  <c r="U50" i="78"/>
  <c r="AB50" i="78" s="1"/>
  <c r="Q50" i="78"/>
  <c r="X50" i="78" s="1"/>
  <c r="AA49" i="78"/>
  <c r="Z49" i="78"/>
  <c r="Y49" i="78"/>
  <c r="AE49" i="78" s="1"/>
  <c r="X49" i="78"/>
  <c r="V49" i="78"/>
  <c r="AC49" i="78" s="1"/>
  <c r="U49" i="78"/>
  <c r="AB49" i="78" s="1"/>
  <c r="Q49" i="78"/>
  <c r="AA48" i="78"/>
  <c r="Z48" i="78"/>
  <c r="Y48" i="78"/>
  <c r="AE48" i="78" s="1"/>
  <c r="V48" i="78"/>
  <c r="AC48" i="78" s="1"/>
  <c r="U48" i="78"/>
  <c r="AB48" i="78" s="1"/>
  <c r="Q48" i="78"/>
  <c r="X48" i="78" s="1"/>
  <c r="AA47" i="78"/>
  <c r="Z47" i="78"/>
  <c r="Y47" i="78"/>
  <c r="AE47" i="78" s="1"/>
  <c r="X47" i="78"/>
  <c r="V47" i="78"/>
  <c r="AC47" i="78" s="1"/>
  <c r="U47" i="78"/>
  <c r="AB47" i="78" s="1"/>
  <c r="Q47" i="78"/>
  <c r="AA46" i="78"/>
  <c r="Z46" i="78"/>
  <c r="Y46" i="78"/>
  <c r="AE46" i="78" s="1"/>
  <c r="V46" i="78"/>
  <c r="AC46" i="78" s="1"/>
  <c r="U46" i="78"/>
  <c r="AB46" i="78" s="1"/>
  <c r="Q46" i="78"/>
  <c r="X46" i="78" s="1"/>
  <c r="AA45" i="78"/>
  <c r="Z45" i="78"/>
  <c r="Y45" i="78"/>
  <c r="AE45" i="78" s="1"/>
  <c r="V45" i="78"/>
  <c r="AC45" i="78" s="1"/>
  <c r="U45" i="78"/>
  <c r="AB45" i="78" s="1"/>
  <c r="Q45" i="78"/>
  <c r="X45" i="78" s="1"/>
  <c r="AA44" i="78"/>
  <c r="Z44" i="78"/>
  <c r="Y44" i="78"/>
  <c r="AE44" i="78" s="1"/>
  <c r="V44" i="78"/>
  <c r="AC44" i="78" s="1"/>
  <c r="U44" i="78"/>
  <c r="AB44" i="78" s="1"/>
  <c r="Q44" i="78"/>
  <c r="X44" i="78" s="1"/>
  <c r="AA43" i="78"/>
  <c r="Z43" i="78"/>
  <c r="Y43" i="78"/>
  <c r="AE43" i="78" s="1"/>
  <c r="V43" i="78"/>
  <c r="AC43" i="78" s="1"/>
  <c r="U43" i="78"/>
  <c r="AB43" i="78" s="1"/>
  <c r="Q43" i="78"/>
  <c r="X43" i="78" s="1"/>
  <c r="AA42" i="78"/>
  <c r="Z42" i="78"/>
  <c r="Y42" i="78"/>
  <c r="AE42" i="78" s="1"/>
  <c r="V42" i="78"/>
  <c r="AC42" i="78" s="1"/>
  <c r="U42" i="78"/>
  <c r="AB42" i="78" s="1"/>
  <c r="Q42" i="78"/>
  <c r="X42" i="78" s="1"/>
  <c r="AA41" i="78"/>
  <c r="Z41" i="78"/>
  <c r="Y41" i="78"/>
  <c r="AE41" i="78" s="1"/>
  <c r="V41" i="78"/>
  <c r="AC41" i="78" s="1"/>
  <c r="U41" i="78"/>
  <c r="AB41" i="78" s="1"/>
  <c r="Q41" i="78"/>
  <c r="X41" i="78" s="1"/>
  <c r="AA40" i="78"/>
  <c r="Z40" i="78"/>
  <c r="Y40" i="78"/>
  <c r="AE40" i="78" s="1"/>
  <c r="V40" i="78"/>
  <c r="AC40" i="78" s="1"/>
  <c r="U40" i="78"/>
  <c r="AB40" i="78" s="1"/>
  <c r="Q40" i="78"/>
  <c r="X40" i="78" s="1"/>
  <c r="AA39" i="78"/>
  <c r="Z39" i="78"/>
  <c r="Y39" i="78"/>
  <c r="AE39" i="78" s="1"/>
  <c r="V39" i="78"/>
  <c r="AC39" i="78" s="1"/>
  <c r="U39" i="78"/>
  <c r="AB39" i="78" s="1"/>
  <c r="Q39" i="78"/>
  <c r="X39" i="78" s="1"/>
  <c r="AA38" i="78"/>
  <c r="Z38" i="78"/>
  <c r="Y38" i="78"/>
  <c r="AE38" i="78" s="1"/>
  <c r="V38" i="78"/>
  <c r="AC38" i="78" s="1"/>
  <c r="U38" i="78"/>
  <c r="AB38" i="78" s="1"/>
  <c r="Q38" i="78"/>
  <c r="X38" i="78" s="1"/>
  <c r="AA37" i="78"/>
  <c r="Z37" i="78"/>
  <c r="Y37" i="78"/>
  <c r="AE37" i="78" s="1"/>
  <c r="V37" i="78"/>
  <c r="AC37" i="78" s="1"/>
  <c r="U37" i="78"/>
  <c r="AB37" i="78" s="1"/>
  <c r="Q37" i="78"/>
  <c r="X37" i="78" s="1"/>
  <c r="AA36" i="78"/>
  <c r="Z36" i="78"/>
  <c r="Y36" i="78"/>
  <c r="AE36" i="78" s="1"/>
  <c r="V36" i="78"/>
  <c r="AC36" i="78" s="1"/>
  <c r="U36" i="78"/>
  <c r="Q36" i="78"/>
  <c r="X36" i="78" s="1"/>
  <c r="AA35" i="78"/>
  <c r="Z35" i="78"/>
  <c r="Y35" i="78"/>
  <c r="AE35" i="78" s="1"/>
  <c r="V35" i="78"/>
  <c r="U35" i="78"/>
  <c r="AB35" i="78" s="1"/>
  <c r="Q35" i="78"/>
  <c r="X35" i="78" s="1"/>
  <c r="AA34" i="78"/>
  <c r="Z34" i="78"/>
  <c r="Y34" i="78"/>
  <c r="AE34" i="78" s="1"/>
  <c r="V34" i="78"/>
  <c r="AC34" i="78" s="1"/>
  <c r="U34" i="78"/>
  <c r="AB34" i="78" s="1"/>
  <c r="X34" i="78"/>
  <c r="AA33" i="78"/>
  <c r="Z33" i="78"/>
  <c r="Y33" i="78"/>
  <c r="AE33" i="78" s="1"/>
  <c r="V33" i="78"/>
  <c r="AC33" i="78" s="1"/>
  <c r="U33" i="78"/>
  <c r="AB33" i="78" s="1"/>
  <c r="Q33" i="78"/>
  <c r="X33" i="78" s="1"/>
  <c r="AA32" i="78"/>
  <c r="Z32" i="78"/>
  <c r="Y32" i="78"/>
  <c r="AE32" i="78" s="1"/>
  <c r="V32" i="78"/>
  <c r="AC32" i="78" s="1"/>
  <c r="U32" i="78"/>
  <c r="AB32" i="78" s="1"/>
  <c r="Q32" i="78"/>
  <c r="X32" i="78" s="1"/>
  <c r="AA31" i="78"/>
  <c r="Z31" i="78"/>
  <c r="Y31" i="78"/>
  <c r="AE31" i="78" s="1"/>
  <c r="V31" i="78"/>
  <c r="AC31" i="78" s="1"/>
  <c r="U31" i="78"/>
  <c r="AB31" i="78" s="1"/>
  <c r="AA30" i="78"/>
  <c r="Z30" i="78"/>
  <c r="Y30" i="78"/>
  <c r="AE30" i="78" s="1"/>
  <c r="V30" i="78"/>
  <c r="AC30" i="78" s="1"/>
  <c r="U30" i="78"/>
  <c r="AB30" i="78" s="1"/>
  <c r="Q30" i="78"/>
  <c r="X30" i="78" s="1"/>
  <c r="AA29" i="78"/>
  <c r="Z29" i="78"/>
  <c r="Y29" i="78"/>
  <c r="AE29" i="78" s="1"/>
  <c r="V29" i="78"/>
  <c r="AC29" i="78" s="1"/>
  <c r="U29" i="78"/>
  <c r="AB29" i="78" s="1"/>
  <c r="Q29" i="78"/>
  <c r="X29" i="78" s="1"/>
  <c r="AA28" i="78"/>
  <c r="Z28" i="78"/>
  <c r="Y28" i="78"/>
  <c r="AE28" i="78" s="1"/>
  <c r="V28" i="78"/>
  <c r="AC28" i="78" s="1"/>
  <c r="U28" i="78"/>
  <c r="AB28" i="78" s="1"/>
  <c r="Q28" i="78"/>
  <c r="X28" i="78" s="1"/>
  <c r="AA27" i="78"/>
  <c r="Z27" i="78"/>
  <c r="Y27" i="78"/>
  <c r="AE27" i="78" s="1"/>
  <c r="V27" i="78"/>
  <c r="AC27" i="78" s="1"/>
  <c r="U27" i="78"/>
  <c r="AB27" i="78" s="1"/>
  <c r="Q27" i="78"/>
  <c r="X27" i="78" s="1"/>
  <c r="AA26" i="78"/>
  <c r="Z26" i="78"/>
  <c r="Y26" i="78"/>
  <c r="AE26" i="78" s="1"/>
  <c r="X26" i="78"/>
  <c r="V26" i="78"/>
  <c r="AC26" i="78" s="1"/>
  <c r="U26" i="78"/>
  <c r="AB26" i="78" s="1"/>
  <c r="Q26" i="78"/>
  <c r="AA25" i="78"/>
  <c r="Z25" i="78"/>
  <c r="Y25" i="78"/>
  <c r="AE25" i="78" s="1"/>
  <c r="V25" i="78"/>
  <c r="AC25" i="78" s="1"/>
  <c r="U25" i="78"/>
  <c r="AB25" i="78" s="1"/>
  <c r="Q25" i="78"/>
  <c r="X25" i="78" s="1"/>
  <c r="AA24" i="78"/>
  <c r="Z24" i="78"/>
  <c r="Y24" i="78"/>
  <c r="AE24" i="78" s="1"/>
  <c r="V24" i="78"/>
  <c r="AC24" i="78" s="1"/>
  <c r="U24" i="78"/>
  <c r="AB24" i="78" s="1"/>
  <c r="Q24" i="78"/>
  <c r="X24" i="78" s="1"/>
  <c r="AA23" i="78"/>
  <c r="Z23" i="78"/>
  <c r="Y23" i="78"/>
  <c r="AE23" i="78" s="1"/>
  <c r="V23" i="78"/>
  <c r="AC23" i="78" s="1"/>
  <c r="U23" i="78"/>
  <c r="AB23" i="78" s="1"/>
  <c r="Q23" i="78"/>
  <c r="X23" i="78" s="1"/>
  <c r="AE22" i="78"/>
  <c r="AA22" i="78"/>
  <c r="Z22" i="78"/>
  <c r="Y22" i="78"/>
  <c r="V22" i="78"/>
  <c r="AC22" i="78" s="1"/>
  <c r="U22" i="78"/>
  <c r="AB22" i="78" s="1"/>
  <c r="Q22" i="78"/>
  <c r="X22" i="78" s="1"/>
  <c r="AA21" i="78"/>
  <c r="Z21" i="78"/>
  <c r="Y21" i="78"/>
  <c r="AE21" i="78" s="1"/>
  <c r="V21" i="78"/>
  <c r="AC21" i="78" s="1"/>
  <c r="U21" i="78"/>
  <c r="AB21" i="78" s="1"/>
  <c r="Q21" i="78"/>
  <c r="X21" i="78" s="1"/>
  <c r="AA20" i="78"/>
  <c r="Z20" i="78"/>
  <c r="Y20" i="78"/>
  <c r="AE20" i="78" s="1"/>
  <c r="X20" i="78"/>
  <c r="V20" i="78"/>
  <c r="AC20" i="78" s="1"/>
  <c r="U20" i="78"/>
  <c r="AA19" i="78"/>
  <c r="Z19" i="78"/>
  <c r="Y19" i="78"/>
  <c r="AE19" i="78" s="1"/>
  <c r="V19" i="78"/>
  <c r="AC19" i="78" s="1"/>
  <c r="U19" i="78"/>
  <c r="AB19" i="78" s="1"/>
  <c r="Q19" i="78"/>
  <c r="X19" i="78" s="1"/>
  <c r="AA18" i="78"/>
  <c r="Z18" i="78"/>
  <c r="Y18" i="78"/>
  <c r="AE18" i="78" s="1"/>
  <c r="V18" i="78"/>
  <c r="AC18" i="78" s="1"/>
  <c r="U18" i="78"/>
  <c r="AB18" i="78" s="1"/>
  <c r="Q18" i="78"/>
  <c r="X18" i="78" s="1"/>
  <c r="AA17" i="78"/>
  <c r="Z17" i="78"/>
  <c r="Y17" i="78"/>
  <c r="AE17" i="78" s="1"/>
  <c r="X17" i="78"/>
  <c r="V17" i="78"/>
  <c r="AC17" i="78" s="1"/>
  <c r="U17" i="78"/>
  <c r="AB17" i="78" s="1"/>
  <c r="Q17" i="78"/>
  <c r="AA16" i="78"/>
  <c r="Z16" i="78"/>
  <c r="Y16" i="78"/>
  <c r="AE16" i="78" s="1"/>
  <c r="X16" i="78"/>
  <c r="V16" i="78"/>
  <c r="AC16" i="78" s="1"/>
  <c r="U16" i="78"/>
  <c r="AB16" i="78" s="1"/>
  <c r="Q16" i="78"/>
  <c r="Z15" i="78"/>
  <c r="Y15" i="78"/>
  <c r="V15" i="78"/>
  <c r="AC15" i="78" s="1"/>
  <c r="U15" i="78"/>
  <c r="AB15" i="78" s="1"/>
  <c r="Q15" i="78"/>
  <c r="X15" i="78" s="1"/>
  <c r="AA98" i="78" l="1"/>
  <c r="U117" i="78"/>
  <c r="Z98" i="78"/>
  <c r="Y98" i="78"/>
  <c r="Z79" i="78"/>
  <c r="AA79" i="78"/>
  <c r="AA90" i="78" s="1"/>
  <c r="AB90" i="78" s="1"/>
  <c r="Y79" i="78"/>
  <c r="AE15" i="78"/>
  <c r="AE79" i="78" s="1"/>
  <c r="U79" i="78"/>
  <c r="AE93" i="78"/>
  <c r="AE98" i="78" s="1"/>
  <c r="U98" i="78"/>
  <c r="AB98" i="78" l="1"/>
  <c r="AE117" i="78"/>
  <c r="K119" i="78" s="1"/>
  <c r="Z117" i="78"/>
  <c r="Y117" i="78"/>
  <c r="AB79" i="78"/>
  <c r="AB117" i="78" s="1"/>
  <c r="AA117" i="78"/>
  <c r="T95" i="77"/>
  <c r="S95" i="77"/>
  <c r="R95" i="77"/>
  <c r="AA92" i="77"/>
  <c r="Z92" i="77"/>
  <c r="Y92" i="77"/>
  <c r="AE92" i="77" s="1"/>
  <c r="V92" i="77"/>
  <c r="AC92" i="77" s="1"/>
  <c r="U92" i="77"/>
  <c r="AB92" i="77" s="1"/>
  <c r="Q92" i="77"/>
  <c r="X92" i="77" s="1"/>
  <c r="AA91" i="77"/>
  <c r="Z91" i="77"/>
  <c r="Y91" i="77"/>
  <c r="AE91" i="77" s="1"/>
  <c r="Q91" i="77"/>
  <c r="X91" i="77" s="1"/>
  <c r="AA90" i="77"/>
  <c r="Z90" i="77"/>
  <c r="Y90" i="77"/>
  <c r="AE90" i="77" s="1"/>
  <c r="V90" i="77"/>
  <c r="AC90" i="77" s="1"/>
  <c r="U90" i="77"/>
  <c r="Q90" i="77"/>
  <c r="X90" i="77" s="1"/>
  <c r="AA89" i="77"/>
  <c r="Z89" i="77"/>
  <c r="Y89" i="77"/>
  <c r="AE89" i="77" s="1"/>
  <c r="X89" i="77"/>
  <c r="V89" i="77"/>
  <c r="AC89" i="77" s="1"/>
  <c r="U89" i="77"/>
  <c r="AB89" i="77" s="1"/>
  <c r="Q89" i="77"/>
  <c r="T87" i="77"/>
  <c r="S87" i="77"/>
  <c r="R87" i="77"/>
  <c r="AE84" i="77"/>
  <c r="Q84" i="77"/>
  <c r="AE83" i="77"/>
  <c r="AA83" i="77"/>
  <c r="Z83" i="77"/>
  <c r="Z87" i="77" s="1"/>
  <c r="Y83" i="77"/>
  <c r="V83" i="77"/>
  <c r="AC83" i="77" s="1"/>
  <c r="U83" i="77"/>
  <c r="AB83" i="77" s="1"/>
  <c r="Q83" i="77"/>
  <c r="X83" i="77" s="1"/>
  <c r="Q82" i="77"/>
  <c r="T79" i="77"/>
  <c r="R79" i="77"/>
  <c r="AA78" i="77"/>
  <c r="Z78" i="77"/>
  <c r="Y78" i="77"/>
  <c r="AE78" i="77" s="1"/>
  <c r="X78" i="77"/>
  <c r="V78" i="77"/>
  <c r="AC78" i="77" s="1"/>
  <c r="U78" i="77"/>
  <c r="AB78" i="77" s="1"/>
  <c r="Q78" i="77"/>
  <c r="AA77" i="77"/>
  <c r="Z77" i="77"/>
  <c r="Y77" i="77"/>
  <c r="AE77" i="77" s="1"/>
  <c r="X77" i="77"/>
  <c r="V77" i="77"/>
  <c r="AC77" i="77" s="1"/>
  <c r="U77" i="77"/>
  <c r="AB77" i="77" s="1"/>
  <c r="Q77" i="77"/>
  <c r="AA76" i="77"/>
  <c r="Z76" i="77"/>
  <c r="Y76" i="77"/>
  <c r="AE76" i="77" s="1"/>
  <c r="V76" i="77"/>
  <c r="AC76" i="77" s="1"/>
  <c r="U76" i="77"/>
  <c r="AB76" i="77" s="1"/>
  <c r="Q76" i="77"/>
  <c r="X76" i="77" s="1"/>
  <c r="AA75" i="77"/>
  <c r="Z75" i="77"/>
  <c r="Y75" i="77"/>
  <c r="AE75" i="77" s="1"/>
  <c r="V75" i="77"/>
  <c r="AC75" i="77" s="1"/>
  <c r="U75" i="77"/>
  <c r="AB75" i="77" s="1"/>
  <c r="Q75" i="77"/>
  <c r="X75" i="77" s="1"/>
  <c r="AA74" i="77"/>
  <c r="Z74" i="77"/>
  <c r="Y74" i="77"/>
  <c r="AE74" i="77" s="1"/>
  <c r="V74" i="77"/>
  <c r="AC74" i="77" s="1"/>
  <c r="U74" i="77"/>
  <c r="AB74" i="77" s="1"/>
  <c r="Q74" i="77"/>
  <c r="X74" i="77" s="1"/>
  <c r="AA73" i="77"/>
  <c r="Z73" i="77"/>
  <c r="Y73" i="77"/>
  <c r="AE73" i="77" s="1"/>
  <c r="X73" i="77"/>
  <c r="V73" i="77"/>
  <c r="AC73" i="77" s="1"/>
  <c r="U73" i="77"/>
  <c r="AB73" i="77" s="1"/>
  <c r="Q73" i="77"/>
  <c r="AA72" i="77"/>
  <c r="Z72" i="77"/>
  <c r="Y72" i="77"/>
  <c r="AE72" i="77" s="1"/>
  <c r="V72" i="77"/>
  <c r="AC72" i="77" s="1"/>
  <c r="U72" i="77"/>
  <c r="AB72" i="77" s="1"/>
  <c r="Q72" i="77"/>
  <c r="X72" i="77" s="1"/>
  <c r="AA71" i="77"/>
  <c r="Z71" i="77"/>
  <c r="Y71" i="77"/>
  <c r="AE71" i="77" s="1"/>
  <c r="V71" i="77"/>
  <c r="AC71" i="77" s="1"/>
  <c r="U71" i="77"/>
  <c r="AB71" i="77" s="1"/>
  <c r="Q71" i="77"/>
  <c r="X71" i="77" s="1"/>
  <c r="AA70" i="77"/>
  <c r="Z70" i="77"/>
  <c r="Y70" i="77"/>
  <c r="AE70" i="77" s="1"/>
  <c r="V70" i="77"/>
  <c r="U70" i="77"/>
  <c r="Q70" i="77"/>
  <c r="X70" i="77" s="1"/>
  <c r="AA69" i="77"/>
  <c r="Z69" i="77"/>
  <c r="Y69" i="77"/>
  <c r="AE69" i="77" s="1"/>
  <c r="V69" i="77"/>
  <c r="AC69" i="77" s="1"/>
  <c r="U69" i="77"/>
  <c r="AB69" i="77" s="1"/>
  <c r="Q69" i="77"/>
  <c r="X69" i="77" s="1"/>
  <c r="AA68" i="77"/>
  <c r="Z68" i="77"/>
  <c r="Y68" i="77"/>
  <c r="AE68" i="77" s="1"/>
  <c r="V68" i="77"/>
  <c r="AC68" i="77" s="1"/>
  <c r="U68" i="77"/>
  <c r="AB68" i="77" s="1"/>
  <c r="Q68" i="77"/>
  <c r="X68" i="77" s="1"/>
  <c r="AA67" i="77"/>
  <c r="Z67" i="77"/>
  <c r="Y67" i="77"/>
  <c r="AE67" i="77" s="1"/>
  <c r="V67" i="77"/>
  <c r="AC67" i="77" s="1"/>
  <c r="U67" i="77"/>
  <c r="AB67" i="77" s="1"/>
  <c r="Q67" i="77"/>
  <c r="X67" i="77" s="1"/>
  <c r="AA66" i="77"/>
  <c r="Z66" i="77"/>
  <c r="Y66" i="77"/>
  <c r="AE66" i="77" s="1"/>
  <c r="X66" i="77"/>
  <c r="V66" i="77"/>
  <c r="AC66" i="77" s="1"/>
  <c r="U66" i="77"/>
  <c r="AB66" i="77" s="1"/>
  <c r="AA65" i="77"/>
  <c r="Z65" i="77"/>
  <c r="Y65" i="77"/>
  <c r="AE65" i="77" s="1"/>
  <c r="V65" i="77"/>
  <c r="AC65" i="77" s="1"/>
  <c r="U65" i="77"/>
  <c r="AB65" i="77" s="1"/>
  <c r="Q65" i="77"/>
  <c r="X65" i="77" s="1"/>
  <c r="AA64" i="77"/>
  <c r="Z64" i="77"/>
  <c r="Y64" i="77"/>
  <c r="AE64" i="77" s="1"/>
  <c r="V64" i="77"/>
  <c r="AC64" i="77" s="1"/>
  <c r="U64" i="77"/>
  <c r="AB64" i="77" s="1"/>
  <c r="Q64" i="77"/>
  <c r="X64" i="77" s="1"/>
  <c r="AA63" i="77"/>
  <c r="Z63" i="77"/>
  <c r="Y63" i="77"/>
  <c r="AE63" i="77" s="1"/>
  <c r="V63" i="77"/>
  <c r="AC63" i="77" s="1"/>
  <c r="U63" i="77"/>
  <c r="AB63" i="77" s="1"/>
  <c r="Q63" i="77"/>
  <c r="X63" i="77" s="1"/>
  <c r="AA62" i="77"/>
  <c r="Z62" i="77"/>
  <c r="Y62" i="77"/>
  <c r="AE62" i="77" s="1"/>
  <c r="V62" i="77"/>
  <c r="AC62" i="77" s="1"/>
  <c r="U62" i="77"/>
  <c r="AB62" i="77" s="1"/>
  <c r="Q62" i="77"/>
  <c r="X62" i="77" s="1"/>
  <c r="AA61" i="77"/>
  <c r="Y61" i="77"/>
  <c r="AE61" i="77" s="1"/>
  <c r="U61" i="77"/>
  <c r="AB61" i="77" s="1"/>
  <c r="Q61" i="77"/>
  <c r="AA60" i="77"/>
  <c r="Z60" i="77"/>
  <c r="Y60" i="77"/>
  <c r="AE60" i="77" s="1"/>
  <c r="V60" i="77"/>
  <c r="AC60" i="77" s="1"/>
  <c r="U60" i="77"/>
  <c r="AB60" i="77" s="1"/>
  <c r="Q60" i="77"/>
  <c r="X60" i="77" s="1"/>
  <c r="AA59" i="77"/>
  <c r="Z59" i="77"/>
  <c r="Y59" i="77"/>
  <c r="AE59" i="77" s="1"/>
  <c r="X59" i="77"/>
  <c r="V59" i="77"/>
  <c r="AC59" i="77" s="1"/>
  <c r="U59" i="77"/>
  <c r="AB59" i="77" s="1"/>
  <c r="Q59" i="77"/>
  <c r="AE58" i="77"/>
  <c r="AA58" i="77"/>
  <c r="Z58" i="77"/>
  <c r="Y58" i="77"/>
  <c r="V58" i="77"/>
  <c r="U58" i="77"/>
  <c r="Q58" i="77"/>
  <c r="X58" i="77" s="1"/>
  <c r="AA57" i="77"/>
  <c r="Z57" i="77"/>
  <c r="Y57" i="77"/>
  <c r="AE57" i="77" s="1"/>
  <c r="V57" i="77"/>
  <c r="AC57" i="77" s="1"/>
  <c r="U57" i="77"/>
  <c r="AB57" i="77" s="1"/>
  <c r="Q57" i="77"/>
  <c r="X57" i="77" s="1"/>
  <c r="AA56" i="77"/>
  <c r="Z56" i="77"/>
  <c r="Y56" i="77"/>
  <c r="AE56" i="77" s="1"/>
  <c r="V56" i="77"/>
  <c r="U56" i="77"/>
  <c r="AB56" i="77" s="1"/>
  <c r="Q56" i="77"/>
  <c r="X56" i="77" s="1"/>
  <c r="AA55" i="77"/>
  <c r="Z55" i="77"/>
  <c r="Y55" i="77"/>
  <c r="AE55" i="77" s="1"/>
  <c r="V55" i="77"/>
  <c r="AC55" i="77" s="1"/>
  <c r="U55" i="77"/>
  <c r="AB55" i="77" s="1"/>
  <c r="Q55" i="77"/>
  <c r="X55" i="77" s="1"/>
  <c r="AA54" i="77"/>
  <c r="Z54" i="77"/>
  <c r="Y54" i="77"/>
  <c r="AE54" i="77" s="1"/>
  <c r="V54" i="77"/>
  <c r="AC54" i="77" s="1"/>
  <c r="U54" i="77"/>
  <c r="AB54" i="77" s="1"/>
  <c r="Q54" i="77"/>
  <c r="X54" i="77" s="1"/>
  <c r="AA53" i="77"/>
  <c r="Z53" i="77"/>
  <c r="Y53" i="77"/>
  <c r="AE53" i="77" s="1"/>
  <c r="V53" i="77"/>
  <c r="AC53" i="77" s="1"/>
  <c r="U53" i="77"/>
  <c r="AB53" i="77" s="1"/>
  <c r="Q53" i="77"/>
  <c r="X53" i="77" s="1"/>
  <c r="AA52" i="77"/>
  <c r="Z52" i="77"/>
  <c r="Y52" i="77"/>
  <c r="AE52" i="77" s="1"/>
  <c r="V52" i="77"/>
  <c r="AC52" i="77" s="1"/>
  <c r="U52" i="77"/>
  <c r="AB52" i="77" s="1"/>
  <c r="Q52" i="77"/>
  <c r="X52" i="77" s="1"/>
  <c r="AA51" i="77"/>
  <c r="Z51" i="77"/>
  <c r="Y51" i="77"/>
  <c r="AE51" i="77" s="1"/>
  <c r="V51" i="77"/>
  <c r="AC51" i="77" s="1"/>
  <c r="U51" i="77"/>
  <c r="AB51" i="77" s="1"/>
  <c r="Q51" i="77"/>
  <c r="X51" i="77" s="1"/>
  <c r="AA50" i="77"/>
  <c r="Z50" i="77"/>
  <c r="Y50" i="77"/>
  <c r="AE50" i="77" s="1"/>
  <c r="V50" i="77"/>
  <c r="AC50" i="77" s="1"/>
  <c r="U50" i="77"/>
  <c r="AB50" i="77" s="1"/>
  <c r="Q50" i="77"/>
  <c r="X50" i="77" s="1"/>
  <c r="AA49" i="77"/>
  <c r="Z49" i="77"/>
  <c r="Y49" i="77"/>
  <c r="AE49" i="77" s="1"/>
  <c r="X49" i="77"/>
  <c r="V49" i="77"/>
  <c r="AC49" i="77" s="1"/>
  <c r="U49" i="77"/>
  <c r="AB49" i="77" s="1"/>
  <c r="Q49" i="77"/>
  <c r="AA48" i="77"/>
  <c r="Z48" i="77"/>
  <c r="Y48" i="77"/>
  <c r="AE48" i="77" s="1"/>
  <c r="V48" i="77"/>
  <c r="AC48" i="77" s="1"/>
  <c r="U48" i="77"/>
  <c r="AB48" i="77" s="1"/>
  <c r="Q48" i="77"/>
  <c r="X48" i="77" s="1"/>
  <c r="AA47" i="77"/>
  <c r="Z47" i="77"/>
  <c r="Y47" i="77"/>
  <c r="AE47" i="77" s="1"/>
  <c r="X47" i="77"/>
  <c r="V47" i="77"/>
  <c r="AC47" i="77" s="1"/>
  <c r="U47" i="77"/>
  <c r="AB47" i="77" s="1"/>
  <c r="Q47" i="77"/>
  <c r="AA46" i="77"/>
  <c r="Z46" i="77"/>
  <c r="Y46" i="77"/>
  <c r="AE46" i="77" s="1"/>
  <c r="V46" i="77"/>
  <c r="AC46" i="77" s="1"/>
  <c r="U46" i="77"/>
  <c r="AB46" i="77" s="1"/>
  <c r="Q46" i="77"/>
  <c r="X46" i="77" s="1"/>
  <c r="AA45" i="77"/>
  <c r="Z45" i="77"/>
  <c r="Y45" i="77"/>
  <c r="AE45" i="77" s="1"/>
  <c r="V45" i="77"/>
  <c r="AC45" i="77" s="1"/>
  <c r="U45" i="77"/>
  <c r="AB45" i="77" s="1"/>
  <c r="Q45" i="77"/>
  <c r="X45" i="77" s="1"/>
  <c r="AA44" i="77"/>
  <c r="Z44" i="77"/>
  <c r="Y44" i="77"/>
  <c r="AE44" i="77" s="1"/>
  <c r="V44" i="77"/>
  <c r="AC44" i="77" s="1"/>
  <c r="U44" i="77"/>
  <c r="AB44" i="77" s="1"/>
  <c r="Q44" i="77"/>
  <c r="X44" i="77" s="1"/>
  <c r="AA43" i="77"/>
  <c r="Z43" i="77"/>
  <c r="Y43" i="77"/>
  <c r="AE43" i="77" s="1"/>
  <c r="V43" i="77"/>
  <c r="AC43" i="77" s="1"/>
  <c r="U43" i="77"/>
  <c r="AB43" i="77" s="1"/>
  <c r="Q43" i="77"/>
  <c r="X43" i="77" s="1"/>
  <c r="AA42" i="77"/>
  <c r="Z42" i="77"/>
  <c r="Y42" i="77"/>
  <c r="AE42" i="77" s="1"/>
  <c r="V42" i="77"/>
  <c r="AC42" i="77" s="1"/>
  <c r="U42" i="77"/>
  <c r="AB42" i="77" s="1"/>
  <c r="Q42" i="77"/>
  <c r="X42" i="77" s="1"/>
  <c r="AA41" i="77"/>
  <c r="Z41" i="77"/>
  <c r="Y41" i="77"/>
  <c r="AE41" i="77" s="1"/>
  <c r="V41" i="77"/>
  <c r="AC41" i="77" s="1"/>
  <c r="U41" i="77"/>
  <c r="AB41" i="77" s="1"/>
  <c r="Q41" i="77"/>
  <c r="X41" i="77" s="1"/>
  <c r="AA40" i="77"/>
  <c r="Z40" i="77"/>
  <c r="Y40" i="77"/>
  <c r="AE40" i="77" s="1"/>
  <c r="V40" i="77"/>
  <c r="AC40" i="77" s="1"/>
  <c r="U40" i="77"/>
  <c r="AB40" i="77" s="1"/>
  <c r="Q40" i="77"/>
  <c r="X40" i="77" s="1"/>
  <c r="AA39" i="77"/>
  <c r="Z39" i="77"/>
  <c r="Y39" i="77"/>
  <c r="AE39" i="77" s="1"/>
  <c r="V39" i="77"/>
  <c r="AC39" i="77" s="1"/>
  <c r="U39" i="77"/>
  <c r="AB39" i="77" s="1"/>
  <c r="Q39" i="77"/>
  <c r="X39" i="77" s="1"/>
  <c r="AA38" i="77"/>
  <c r="Z38" i="77"/>
  <c r="Y38" i="77"/>
  <c r="AE38" i="77" s="1"/>
  <c r="V38" i="77"/>
  <c r="AC38" i="77" s="1"/>
  <c r="U38" i="77"/>
  <c r="AB38" i="77" s="1"/>
  <c r="Q38" i="77"/>
  <c r="X38" i="77" s="1"/>
  <c r="AA37" i="77"/>
  <c r="Z37" i="77"/>
  <c r="Y37" i="77"/>
  <c r="AE37" i="77" s="1"/>
  <c r="V37" i="77"/>
  <c r="AC37" i="77" s="1"/>
  <c r="U37" i="77"/>
  <c r="AB37" i="77" s="1"/>
  <c r="Q37" i="77"/>
  <c r="X37" i="77" s="1"/>
  <c r="AA36" i="77"/>
  <c r="Z36" i="77"/>
  <c r="Y36" i="77"/>
  <c r="AE36" i="77" s="1"/>
  <c r="V36" i="77"/>
  <c r="AC36" i="77" s="1"/>
  <c r="U36" i="77"/>
  <c r="Q36" i="77"/>
  <c r="X36" i="77" s="1"/>
  <c r="AA35" i="77"/>
  <c r="Z35" i="77"/>
  <c r="Y35" i="77"/>
  <c r="AE35" i="77" s="1"/>
  <c r="V35" i="77"/>
  <c r="U35" i="77"/>
  <c r="AB35" i="77" s="1"/>
  <c r="Q35" i="77"/>
  <c r="X35" i="77" s="1"/>
  <c r="AA34" i="77"/>
  <c r="Z34" i="77"/>
  <c r="Y34" i="77"/>
  <c r="AE34" i="77" s="1"/>
  <c r="V34" i="77"/>
  <c r="AC34" i="77" s="1"/>
  <c r="U34" i="77"/>
  <c r="AB34" i="77" s="1"/>
  <c r="Q34" i="77"/>
  <c r="X34" i="77" s="1"/>
  <c r="AA33" i="77"/>
  <c r="Z33" i="77"/>
  <c r="Y33" i="77"/>
  <c r="AE33" i="77" s="1"/>
  <c r="V33" i="77"/>
  <c r="AC33" i="77" s="1"/>
  <c r="U33" i="77"/>
  <c r="AB33" i="77" s="1"/>
  <c r="Q33" i="77"/>
  <c r="X33" i="77" s="1"/>
  <c r="AA32" i="77"/>
  <c r="Z32" i="77"/>
  <c r="Y32" i="77"/>
  <c r="AE32" i="77" s="1"/>
  <c r="V32" i="77"/>
  <c r="AC32" i="77" s="1"/>
  <c r="U32" i="77"/>
  <c r="AB32" i="77" s="1"/>
  <c r="Q32" i="77"/>
  <c r="X32" i="77" s="1"/>
  <c r="AA31" i="77"/>
  <c r="Z31" i="77"/>
  <c r="Y31" i="77"/>
  <c r="AE31" i="77" s="1"/>
  <c r="V31" i="77"/>
  <c r="AC31" i="77" s="1"/>
  <c r="U31" i="77"/>
  <c r="AB31" i="77" s="1"/>
  <c r="Q31" i="77"/>
  <c r="X31" i="77" s="1"/>
  <c r="AA30" i="77"/>
  <c r="Z30" i="77"/>
  <c r="Y30" i="77"/>
  <c r="AE30" i="77" s="1"/>
  <c r="V30" i="77"/>
  <c r="AC30" i="77" s="1"/>
  <c r="U30" i="77"/>
  <c r="AB30" i="77" s="1"/>
  <c r="Q30" i="77"/>
  <c r="X30" i="77" s="1"/>
  <c r="AA29" i="77"/>
  <c r="Z29" i="77"/>
  <c r="Y29" i="77"/>
  <c r="AE29" i="77" s="1"/>
  <c r="V29" i="77"/>
  <c r="AC29" i="77" s="1"/>
  <c r="U29" i="77"/>
  <c r="AB29" i="77" s="1"/>
  <c r="Q29" i="77"/>
  <c r="X29" i="77" s="1"/>
  <c r="AA28" i="77"/>
  <c r="Z28" i="77"/>
  <c r="Y28" i="77"/>
  <c r="AE28" i="77" s="1"/>
  <c r="V28" i="77"/>
  <c r="AC28" i="77" s="1"/>
  <c r="U28" i="77"/>
  <c r="AB28" i="77" s="1"/>
  <c r="Q28" i="77"/>
  <c r="X28" i="77" s="1"/>
  <c r="AA27" i="77"/>
  <c r="Z27" i="77"/>
  <c r="Y27" i="77"/>
  <c r="AE27" i="77" s="1"/>
  <c r="V27" i="77"/>
  <c r="AC27" i="77" s="1"/>
  <c r="U27" i="77"/>
  <c r="AB27" i="77" s="1"/>
  <c r="Q27" i="77"/>
  <c r="X27" i="77" s="1"/>
  <c r="AA26" i="77"/>
  <c r="Z26" i="77"/>
  <c r="Y26" i="77"/>
  <c r="AE26" i="77" s="1"/>
  <c r="X26" i="77"/>
  <c r="V26" i="77"/>
  <c r="AC26" i="77" s="1"/>
  <c r="U26" i="77"/>
  <c r="AB26" i="77" s="1"/>
  <c r="Q26" i="77"/>
  <c r="AC25" i="77"/>
  <c r="AA25" i="77"/>
  <c r="Z25" i="77"/>
  <c r="Y25" i="77"/>
  <c r="AE25" i="77" s="1"/>
  <c r="V25" i="77"/>
  <c r="U25" i="77"/>
  <c r="AB25" i="77" s="1"/>
  <c r="Q25" i="77"/>
  <c r="X25" i="77" s="1"/>
  <c r="AA24" i="77"/>
  <c r="Z24" i="77"/>
  <c r="Y24" i="77"/>
  <c r="AE24" i="77" s="1"/>
  <c r="V24" i="77"/>
  <c r="AC24" i="77" s="1"/>
  <c r="U24" i="77"/>
  <c r="AB24" i="77" s="1"/>
  <c r="Q24" i="77"/>
  <c r="X24" i="77" s="1"/>
  <c r="AA23" i="77"/>
  <c r="Z23" i="77"/>
  <c r="Y23" i="77"/>
  <c r="AE23" i="77" s="1"/>
  <c r="V23" i="77"/>
  <c r="AC23" i="77" s="1"/>
  <c r="U23" i="77"/>
  <c r="AB23" i="77" s="1"/>
  <c r="Q23" i="77"/>
  <c r="X23" i="77" s="1"/>
  <c r="AA22" i="77"/>
  <c r="Z22" i="77"/>
  <c r="Y22" i="77"/>
  <c r="AE22" i="77" s="1"/>
  <c r="V22" i="77"/>
  <c r="AC22" i="77" s="1"/>
  <c r="U22" i="77"/>
  <c r="AB22" i="77" s="1"/>
  <c r="Q22" i="77"/>
  <c r="X22" i="77" s="1"/>
  <c r="AA21" i="77"/>
  <c r="Z21" i="77"/>
  <c r="Y21" i="77"/>
  <c r="AE21" i="77" s="1"/>
  <c r="V21" i="77"/>
  <c r="AC21" i="77" s="1"/>
  <c r="U21" i="77"/>
  <c r="AB21" i="77" s="1"/>
  <c r="Q21" i="77"/>
  <c r="X21" i="77" s="1"/>
  <c r="AA20" i="77"/>
  <c r="Z20" i="77"/>
  <c r="Y20" i="77"/>
  <c r="AE20" i="77" s="1"/>
  <c r="X20" i="77"/>
  <c r="V20" i="77"/>
  <c r="AC20" i="77" s="1"/>
  <c r="U20" i="77"/>
  <c r="AA19" i="77"/>
  <c r="Z19" i="77"/>
  <c r="Y19" i="77"/>
  <c r="AE19" i="77" s="1"/>
  <c r="V19" i="77"/>
  <c r="AC19" i="77" s="1"/>
  <c r="U19" i="77"/>
  <c r="AB19" i="77" s="1"/>
  <c r="Q19" i="77"/>
  <c r="X19" i="77" s="1"/>
  <c r="AA18" i="77"/>
  <c r="Z18" i="77"/>
  <c r="Y18" i="77"/>
  <c r="AE18" i="77" s="1"/>
  <c r="V18" i="77"/>
  <c r="AC18" i="77" s="1"/>
  <c r="U18" i="77"/>
  <c r="AB18" i="77" s="1"/>
  <c r="Q18" i="77"/>
  <c r="X18" i="77" s="1"/>
  <c r="AA17" i="77"/>
  <c r="Z17" i="77"/>
  <c r="Y17" i="77"/>
  <c r="AE17" i="77" s="1"/>
  <c r="V17" i="77"/>
  <c r="AC17" i="77" s="1"/>
  <c r="U17" i="77"/>
  <c r="AB17" i="77" s="1"/>
  <c r="Q17" i="77"/>
  <c r="X17" i="77" s="1"/>
  <c r="AA16" i="77"/>
  <c r="Z16" i="77"/>
  <c r="Y16" i="77"/>
  <c r="AE16" i="77" s="1"/>
  <c r="V16" i="77"/>
  <c r="AC16" i="77" s="1"/>
  <c r="U16" i="77"/>
  <c r="AB16" i="77" s="1"/>
  <c r="Q16" i="77"/>
  <c r="X16" i="77" s="1"/>
  <c r="Z15" i="77"/>
  <c r="Y15" i="77"/>
  <c r="V15" i="77"/>
  <c r="AC15" i="77" s="1"/>
  <c r="U15" i="77"/>
  <c r="AB15" i="77" s="1"/>
  <c r="Q15" i="77"/>
  <c r="X15" i="77" s="1"/>
  <c r="AA95" i="77" l="1"/>
  <c r="AE95" i="77"/>
  <c r="Z95" i="77"/>
  <c r="U95" i="77"/>
  <c r="Y95" i="77"/>
  <c r="T114" i="77"/>
  <c r="U87" i="77"/>
  <c r="AA87" i="77"/>
  <c r="AE87" i="77"/>
  <c r="U79" i="77"/>
  <c r="R114" i="77"/>
  <c r="AE15" i="77"/>
  <c r="AE79" i="77" s="1"/>
  <c r="Y79" i="77"/>
  <c r="AA79" i="77"/>
  <c r="X61" i="77"/>
  <c r="S79" i="77"/>
  <c r="S114" i="77" s="1"/>
  <c r="V61" i="77"/>
  <c r="AC61" i="77" s="1"/>
  <c r="Z61" i="77"/>
  <c r="Z79" i="77" s="1"/>
  <c r="Y87" i="77"/>
  <c r="Q51" i="76"/>
  <c r="Q92" i="76"/>
  <c r="Z114" i="77" l="1"/>
  <c r="AE114" i="77"/>
  <c r="K116" i="77" s="1"/>
  <c r="AB87" i="77"/>
  <c r="U114" i="77"/>
  <c r="AA114" i="77"/>
  <c r="AB79" i="77"/>
  <c r="Y114" i="77"/>
  <c r="Q78" i="76"/>
  <c r="Q77" i="76"/>
  <c r="X77" i="76" s="1"/>
  <c r="AA77" i="76"/>
  <c r="Z77" i="76"/>
  <c r="Y77" i="76"/>
  <c r="AE77" i="76" s="1"/>
  <c r="V77" i="76"/>
  <c r="AC77" i="76" s="1"/>
  <c r="U77" i="76"/>
  <c r="AB77" i="76" s="1"/>
  <c r="AB114" i="77" l="1"/>
  <c r="Q70" i="76"/>
  <c r="Q62" i="76"/>
  <c r="S61" i="76"/>
  <c r="Q58" i="76" l="1"/>
  <c r="Q45" i="76" l="1"/>
  <c r="Q15" i="76" l="1"/>
  <c r="T95" i="76"/>
  <c r="S95" i="76"/>
  <c r="R95" i="76"/>
  <c r="AA92" i="76"/>
  <c r="Z92" i="76"/>
  <c r="Y92" i="76"/>
  <c r="AE92" i="76" s="1"/>
  <c r="V92" i="76"/>
  <c r="AC92" i="76" s="1"/>
  <c r="U92" i="76"/>
  <c r="AB92" i="76" s="1"/>
  <c r="X92" i="76"/>
  <c r="AA91" i="76"/>
  <c r="Z91" i="76"/>
  <c r="Y91" i="76"/>
  <c r="AE91" i="76" s="1"/>
  <c r="Q91" i="76"/>
  <c r="X91" i="76" s="1"/>
  <c r="AA90" i="76"/>
  <c r="Z90" i="76"/>
  <c r="Y90" i="76"/>
  <c r="AE90" i="76" s="1"/>
  <c r="V90" i="76"/>
  <c r="AC90" i="76" s="1"/>
  <c r="U90" i="76"/>
  <c r="Q90" i="76"/>
  <c r="X90" i="76" s="1"/>
  <c r="AA89" i="76"/>
  <c r="Z89" i="76"/>
  <c r="Y89" i="76"/>
  <c r="V89" i="76"/>
  <c r="AC89" i="76" s="1"/>
  <c r="U89" i="76"/>
  <c r="AB89" i="76" s="1"/>
  <c r="Q89" i="76"/>
  <c r="X89" i="76" s="1"/>
  <c r="T87" i="76"/>
  <c r="S87" i="76"/>
  <c r="R87" i="76"/>
  <c r="AB84" i="76"/>
  <c r="AA84" i="76"/>
  <c r="Z84" i="76"/>
  <c r="Z87" i="76" s="1"/>
  <c r="Y84" i="76"/>
  <c r="AE84" i="76" s="1"/>
  <c r="V84" i="76"/>
  <c r="AC84" i="76" s="1"/>
  <c r="Q84" i="76"/>
  <c r="AA83" i="76"/>
  <c r="Z83" i="76"/>
  <c r="Y83" i="76"/>
  <c r="AE83" i="76" s="1"/>
  <c r="V83" i="76"/>
  <c r="AC83" i="76" s="1"/>
  <c r="U83" i="76"/>
  <c r="AB83" i="76" s="1"/>
  <c r="Q83" i="76"/>
  <c r="X83" i="76" s="1"/>
  <c r="AA82" i="76"/>
  <c r="Z82" i="76"/>
  <c r="Y82" i="76"/>
  <c r="V82" i="76"/>
  <c r="AC82" i="76" s="1"/>
  <c r="U82" i="76"/>
  <c r="AB82" i="76" s="1"/>
  <c r="Q82" i="76"/>
  <c r="X82" i="76" s="1"/>
  <c r="T79" i="76"/>
  <c r="S79" i="76"/>
  <c r="R79" i="76"/>
  <c r="AA78" i="76"/>
  <c r="Z78" i="76"/>
  <c r="Y78" i="76"/>
  <c r="AE78" i="76" s="1"/>
  <c r="X78" i="76"/>
  <c r="V78" i="76"/>
  <c r="AC78" i="76" s="1"/>
  <c r="U78" i="76"/>
  <c r="AB78" i="76" s="1"/>
  <c r="AA76" i="76"/>
  <c r="Z76" i="76"/>
  <c r="Y76" i="76"/>
  <c r="AE76" i="76" s="1"/>
  <c r="V76" i="76"/>
  <c r="AC76" i="76" s="1"/>
  <c r="U76" i="76"/>
  <c r="AB76" i="76" s="1"/>
  <c r="Q76" i="76"/>
  <c r="X76" i="76" s="1"/>
  <c r="AA75" i="76"/>
  <c r="Z75" i="76"/>
  <c r="Y75" i="76"/>
  <c r="AE75" i="76" s="1"/>
  <c r="V75" i="76"/>
  <c r="AC75" i="76" s="1"/>
  <c r="U75" i="76"/>
  <c r="AB75" i="76" s="1"/>
  <c r="Q75" i="76"/>
  <c r="X75" i="76" s="1"/>
  <c r="AA74" i="76"/>
  <c r="Z74" i="76"/>
  <c r="Y74" i="76"/>
  <c r="AE74" i="76" s="1"/>
  <c r="V74" i="76"/>
  <c r="AC74" i="76" s="1"/>
  <c r="U74" i="76"/>
  <c r="AB74" i="76" s="1"/>
  <c r="Q74" i="76"/>
  <c r="X74" i="76" s="1"/>
  <c r="AA73" i="76"/>
  <c r="Z73" i="76"/>
  <c r="Y73" i="76"/>
  <c r="AE73" i="76" s="1"/>
  <c r="V73" i="76"/>
  <c r="AC73" i="76" s="1"/>
  <c r="U73" i="76"/>
  <c r="AB73" i="76" s="1"/>
  <c r="Q73" i="76"/>
  <c r="X73" i="76" s="1"/>
  <c r="AA72" i="76"/>
  <c r="Z72" i="76"/>
  <c r="Y72" i="76"/>
  <c r="AE72" i="76" s="1"/>
  <c r="V72" i="76"/>
  <c r="AC72" i="76" s="1"/>
  <c r="U72" i="76"/>
  <c r="AB72" i="76" s="1"/>
  <c r="Q72" i="76"/>
  <c r="X72" i="76" s="1"/>
  <c r="AA71" i="76"/>
  <c r="Z71" i="76"/>
  <c r="Y71" i="76"/>
  <c r="AE71" i="76" s="1"/>
  <c r="V71" i="76"/>
  <c r="AC71" i="76" s="1"/>
  <c r="U71" i="76"/>
  <c r="AB71" i="76" s="1"/>
  <c r="Q71" i="76"/>
  <c r="X71" i="76" s="1"/>
  <c r="AA70" i="76"/>
  <c r="Z70" i="76"/>
  <c r="Y70" i="76"/>
  <c r="AE70" i="76" s="1"/>
  <c r="V70" i="76"/>
  <c r="U70" i="76"/>
  <c r="X70" i="76"/>
  <c r="AA69" i="76"/>
  <c r="Z69" i="76"/>
  <c r="Y69" i="76"/>
  <c r="AE69" i="76" s="1"/>
  <c r="V69" i="76"/>
  <c r="AC69" i="76" s="1"/>
  <c r="U69" i="76"/>
  <c r="AB69" i="76" s="1"/>
  <c r="Q69" i="76"/>
  <c r="X69" i="76" s="1"/>
  <c r="AA68" i="76"/>
  <c r="Z68" i="76"/>
  <c r="Y68" i="76"/>
  <c r="AE68" i="76" s="1"/>
  <c r="V68" i="76"/>
  <c r="AC68" i="76" s="1"/>
  <c r="U68" i="76"/>
  <c r="AB68" i="76" s="1"/>
  <c r="Q68" i="76"/>
  <c r="X68" i="76" s="1"/>
  <c r="AA67" i="76"/>
  <c r="Z67" i="76"/>
  <c r="Y67" i="76"/>
  <c r="AE67" i="76" s="1"/>
  <c r="V67" i="76"/>
  <c r="AC67" i="76" s="1"/>
  <c r="U67" i="76"/>
  <c r="AB67" i="76" s="1"/>
  <c r="Q67" i="76"/>
  <c r="X67" i="76" s="1"/>
  <c r="AA66" i="76"/>
  <c r="Z66" i="76"/>
  <c r="Y66" i="76"/>
  <c r="AE66" i="76" s="1"/>
  <c r="X66" i="76"/>
  <c r="V66" i="76"/>
  <c r="AC66" i="76" s="1"/>
  <c r="U66" i="76"/>
  <c r="AB66" i="76" s="1"/>
  <c r="AA65" i="76"/>
  <c r="Z65" i="76"/>
  <c r="Y65" i="76"/>
  <c r="AE65" i="76" s="1"/>
  <c r="V65" i="76"/>
  <c r="AC65" i="76" s="1"/>
  <c r="U65" i="76"/>
  <c r="AB65" i="76" s="1"/>
  <c r="Q65" i="76"/>
  <c r="X65" i="76" s="1"/>
  <c r="AE64" i="76"/>
  <c r="AA64" i="76"/>
  <c r="Z64" i="76"/>
  <c r="Y64" i="76"/>
  <c r="V64" i="76"/>
  <c r="AC64" i="76" s="1"/>
  <c r="U64" i="76"/>
  <c r="AB64" i="76" s="1"/>
  <c r="Q64" i="76"/>
  <c r="X64" i="76" s="1"/>
  <c r="AA63" i="76"/>
  <c r="Z63" i="76"/>
  <c r="Y63" i="76"/>
  <c r="AE63" i="76" s="1"/>
  <c r="V63" i="76"/>
  <c r="AC63" i="76" s="1"/>
  <c r="U63" i="76"/>
  <c r="AB63" i="76" s="1"/>
  <c r="Q63" i="76"/>
  <c r="X63" i="76" s="1"/>
  <c r="AA62" i="76"/>
  <c r="Z62" i="76"/>
  <c r="Y62" i="76"/>
  <c r="AE62" i="76" s="1"/>
  <c r="V62" i="76"/>
  <c r="AC62" i="76" s="1"/>
  <c r="U62" i="76"/>
  <c r="AB62" i="76" s="1"/>
  <c r="X62" i="76"/>
  <c r="AA61" i="76"/>
  <c r="Z61" i="76"/>
  <c r="Y61" i="76"/>
  <c r="AE61" i="76" s="1"/>
  <c r="V61" i="76"/>
  <c r="AC61" i="76" s="1"/>
  <c r="U61" i="76"/>
  <c r="AB61" i="76" s="1"/>
  <c r="Q61" i="76"/>
  <c r="X61" i="76" s="1"/>
  <c r="AA60" i="76"/>
  <c r="Z60" i="76"/>
  <c r="Y60" i="76"/>
  <c r="AE60" i="76" s="1"/>
  <c r="V60" i="76"/>
  <c r="AC60" i="76" s="1"/>
  <c r="U60" i="76"/>
  <c r="AB60" i="76" s="1"/>
  <c r="Q60" i="76"/>
  <c r="X60" i="76" s="1"/>
  <c r="AA59" i="76"/>
  <c r="Z59" i="76"/>
  <c r="Y59" i="76"/>
  <c r="AE59" i="76" s="1"/>
  <c r="V59" i="76"/>
  <c r="AC59" i="76" s="1"/>
  <c r="U59" i="76"/>
  <c r="AB59" i="76" s="1"/>
  <c r="Q59" i="76"/>
  <c r="X59" i="76" s="1"/>
  <c r="AA58" i="76"/>
  <c r="Z58" i="76"/>
  <c r="Y58" i="76"/>
  <c r="AE58" i="76" s="1"/>
  <c r="X58" i="76"/>
  <c r="V58" i="76"/>
  <c r="U58" i="76"/>
  <c r="AA57" i="76"/>
  <c r="Z57" i="76"/>
  <c r="Y57" i="76"/>
  <c r="AE57" i="76" s="1"/>
  <c r="V57" i="76"/>
  <c r="AC57" i="76" s="1"/>
  <c r="U57" i="76"/>
  <c r="AB57" i="76" s="1"/>
  <c r="Q57" i="76"/>
  <c r="X57" i="76" s="1"/>
  <c r="AA56" i="76"/>
  <c r="Z56" i="76"/>
  <c r="Y56" i="76"/>
  <c r="AE56" i="76" s="1"/>
  <c r="V56" i="76"/>
  <c r="U56" i="76"/>
  <c r="AB56" i="76" s="1"/>
  <c r="Q56" i="76"/>
  <c r="X56" i="76" s="1"/>
  <c r="AA55" i="76"/>
  <c r="Z55" i="76"/>
  <c r="Y55" i="76"/>
  <c r="AE55" i="76" s="1"/>
  <c r="V55" i="76"/>
  <c r="AC55" i="76" s="1"/>
  <c r="U55" i="76"/>
  <c r="AB55" i="76" s="1"/>
  <c r="Q55" i="76"/>
  <c r="X55" i="76" s="1"/>
  <c r="AA54" i="76"/>
  <c r="Z54" i="76"/>
  <c r="Y54" i="76"/>
  <c r="AE54" i="76" s="1"/>
  <c r="V54" i="76"/>
  <c r="AC54" i="76" s="1"/>
  <c r="U54" i="76"/>
  <c r="AB54" i="76" s="1"/>
  <c r="Q54" i="76"/>
  <c r="X54" i="76" s="1"/>
  <c r="AA53" i="76"/>
  <c r="Z53" i="76"/>
  <c r="Y53" i="76"/>
  <c r="AE53" i="76" s="1"/>
  <c r="V53" i="76"/>
  <c r="AC53" i="76" s="1"/>
  <c r="U53" i="76"/>
  <c r="AB53" i="76" s="1"/>
  <c r="Q53" i="76"/>
  <c r="X53" i="76" s="1"/>
  <c r="AA52" i="76"/>
  <c r="Z52" i="76"/>
  <c r="Y52" i="76"/>
  <c r="AE52" i="76" s="1"/>
  <c r="V52" i="76"/>
  <c r="AC52" i="76" s="1"/>
  <c r="U52" i="76"/>
  <c r="AB52" i="76" s="1"/>
  <c r="Q52" i="76"/>
  <c r="X52" i="76" s="1"/>
  <c r="AA51" i="76"/>
  <c r="Z51" i="76"/>
  <c r="Y51" i="76"/>
  <c r="AE51" i="76" s="1"/>
  <c r="V51" i="76"/>
  <c r="AC51" i="76" s="1"/>
  <c r="U51" i="76"/>
  <c r="AB51" i="76" s="1"/>
  <c r="X51" i="76"/>
  <c r="AB50" i="76"/>
  <c r="AA50" i="76"/>
  <c r="Z50" i="76"/>
  <c r="Y50" i="76"/>
  <c r="AE50" i="76" s="1"/>
  <c r="V50" i="76"/>
  <c r="AC50" i="76" s="1"/>
  <c r="U50" i="76"/>
  <c r="Q50" i="76"/>
  <c r="X50" i="76" s="1"/>
  <c r="AA49" i="76"/>
  <c r="Z49" i="76"/>
  <c r="Y49" i="76"/>
  <c r="AE49" i="76" s="1"/>
  <c r="X49" i="76"/>
  <c r="V49" i="76"/>
  <c r="AC49" i="76" s="1"/>
  <c r="U49" i="76"/>
  <c r="AB49" i="76" s="1"/>
  <c r="Q49" i="76"/>
  <c r="AA48" i="76"/>
  <c r="Z48" i="76"/>
  <c r="Y48" i="76"/>
  <c r="AE48" i="76" s="1"/>
  <c r="V48" i="76"/>
  <c r="AC48" i="76" s="1"/>
  <c r="U48" i="76"/>
  <c r="AB48" i="76" s="1"/>
  <c r="Q48" i="76"/>
  <c r="X48" i="76" s="1"/>
  <c r="AA47" i="76"/>
  <c r="Z47" i="76"/>
  <c r="Y47" i="76"/>
  <c r="AE47" i="76" s="1"/>
  <c r="X47" i="76"/>
  <c r="V47" i="76"/>
  <c r="AC47" i="76" s="1"/>
  <c r="U47" i="76"/>
  <c r="AB47" i="76" s="1"/>
  <c r="Q47" i="76"/>
  <c r="AA46" i="76"/>
  <c r="Z46" i="76"/>
  <c r="Y46" i="76"/>
  <c r="AE46" i="76" s="1"/>
  <c r="V46" i="76"/>
  <c r="AC46" i="76" s="1"/>
  <c r="U46" i="76"/>
  <c r="AB46" i="76" s="1"/>
  <c r="Q46" i="76"/>
  <c r="X46" i="76" s="1"/>
  <c r="AA45" i="76"/>
  <c r="Z45" i="76"/>
  <c r="Y45" i="76"/>
  <c r="AE45" i="76" s="1"/>
  <c r="V45" i="76"/>
  <c r="AC45" i="76" s="1"/>
  <c r="U45" i="76"/>
  <c r="AB45" i="76" s="1"/>
  <c r="X45" i="76"/>
  <c r="AA44" i="76"/>
  <c r="Z44" i="76"/>
  <c r="Y44" i="76"/>
  <c r="AE44" i="76" s="1"/>
  <c r="V44" i="76"/>
  <c r="AC44" i="76" s="1"/>
  <c r="U44" i="76"/>
  <c r="AB44" i="76" s="1"/>
  <c r="Q44" i="76"/>
  <c r="X44" i="76" s="1"/>
  <c r="AA43" i="76"/>
  <c r="Z43" i="76"/>
  <c r="Y43" i="76"/>
  <c r="AE43" i="76" s="1"/>
  <c r="V43" i="76"/>
  <c r="AC43" i="76" s="1"/>
  <c r="U43" i="76"/>
  <c r="AB43" i="76" s="1"/>
  <c r="Q43" i="76"/>
  <c r="X43" i="76" s="1"/>
  <c r="AA42" i="76"/>
  <c r="Z42" i="76"/>
  <c r="Y42" i="76"/>
  <c r="AE42" i="76" s="1"/>
  <c r="V42" i="76"/>
  <c r="AC42" i="76" s="1"/>
  <c r="U42" i="76"/>
  <c r="AB42" i="76" s="1"/>
  <c r="Q42" i="76"/>
  <c r="X42" i="76" s="1"/>
  <c r="AA41" i="76"/>
  <c r="Z41" i="76"/>
  <c r="Y41" i="76"/>
  <c r="AE41" i="76" s="1"/>
  <c r="V41" i="76"/>
  <c r="AC41" i="76" s="1"/>
  <c r="U41" i="76"/>
  <c r="AB41" i="76" s="1"/>
  <c r="Q41" i="76"/>
  <c r="X41" i="76" s="1"/>
  <c r="AA40" i="76"/>
  <c r="Z40" i="76"/>
  <c r="Y40" i="76"/>
  <c r="AE40" i="76" s="1"/>
  <c r="V40" i="76"/>
  <c r="AC40" i="76" s="1"/>
  <c r="U40" i="76"/>
  <c r="AB40" i="76" s="1"/>
  <c r="Q40" i="76"/>
  <c r="X40" i="76" s="1"/>
  <c r="AA39" i="76"/>
  <c r="Z39" i="76"/>
  <c r="Y39" i="76"/>
  <c r="AE39" i="76" s="1"/>
  <c r="V39" i="76"/>
  <c r="AC39" i="76" s="1"/>
  <c r="U39" i="76"/>
  <c r="AB39" i="76" s="1"/>
  <c r="Q39" i="76"/>
  <c r="X39" i="76" s="1"/>
  <c r="AA38" i="76"/>
  <c r="Z38" i="76"/>
  <c r="Y38" i="76"/>
  <c r="AE38" i="76" s="1"/>
  <c r="V38" i="76"/>
  <c r="AC38" i="76" s="1"/>
  <c r="U38" i="76"/>
  <c r="AB38" i="76" s="1"/>
  <c r="Q38" i="76"/>
  <c r="X38" i="76" s="1"/>
  <c r="AA37" i="76"/>
  <c r="Z37" i="76"/>
  <c r="Y37" i="76"/>
  <c r="AE37" i="76" s="1"/>
  <c r="V37" i="76"/>
  <c r="AC37" i="76" s="1"/>
  <c r="U37" i="76"/>
  <c r="AB37" i="76" s="1"/>
  <c r="Q37" i="76"/>
  <c r="X37" i="76" s="1"/>
  <c r="AA36" i="76"/>
  <c r="Z36" i="76"/>
  <c r="Y36" i="76"/>
  <c r="AE36" i="76" s="1"/>
  <c r="V36" i="76"/>
  <c r="AC36" i="76" s="1"/>
  <c r="U36" i="76"/>
  <c r="Q36" i="76"/>
  <c r="X36" i="76" s="1"/>
  <c r="AA35" i="76"/>
  <c r="Z35" i="76"/>
  <c r="Y35" i="76"/>
  <c r="AE35" i="76" s="1"/>
  <c r="V35" i="76"/>
  <c r="U35" i="76"/>
  <c r="AB35" i="76" s="1"/>
  <c r="Q35" i="76"/>
  <c r="X35" i="76" s="1"/>
  <c r="AA34" i="76"/>
  <c r="Z34" i="76"/>
  <c r="Y34" i="76"/>
  <c r="AE34" i="76" s="1"/>
  <c r="V34" i="76"/>
  <c r="AC34" i="76" s="1"/>
  <c r="U34" i="76"/>
  <c r="AB34" i="76" s="1"/>
  <c r="Q34" i="76"/>
  <c r="X34" i="76" s="1"/>
  <c r="AA33" i="76"/>
  <c r="Z33" i="76"/>
  <c r="Y33" i="76"/>
  <c r="AE33" i="76" s="1"/>
  <c r="V33" i="76"/>
  <c r="AC33" i="76" s="1"/>
  <c r="U33" i="76"/>
  <c r="AB33" i="76" s="1"/>
  <c r="Q33" i="76"/>
  <c r="X33" i="76" s="1"/>
  <c r="AA32" i="76"/>
  <c r="Z32" i="76"/>
  <c r="Y32" i="76"/>
  <c r="AE32" i="76" s="1"/>
  <c r="V32" i="76"/>
  <c r="AC32" i="76" s="1"/>
  <c r="U32" i="76"/>
  <c r="AB32" i="76" s="1"/>
  <c r="Q32" i="76"/>
  <c r="X32" i="76" s="1"/>
  <c r="AA31" i="76"/>
  <c r="Z31" i="76"/>
  <c r="Y31" i="76"/>
  <c r="AE31" i="76" s="1"/>
  <c r="V31" i="76"/>
  <c r="AC31" i="76" s="1"/>
  <c r="U31" i="76"/>
  <c r="AB31" i="76" s="1"/>
  <c r="Q31" i="76"/>
  <c r="X31" i="76" s="1"/>
  <c r="AA30" i="76"/>
  <c r="Z30" i="76"/>
  <c r="Y30" i="76"/>
  <c r="AE30" i="76" s="1"/>
  <c r="V30" i="76"/>
  <c r="AC30" i="76" s="1"/>
  <c r="U30" i="76"/>
  <c r="AB30" i="76" s="1"/>
  <c r="Q30" i="76"/>
  <c r="X30" i="76" s="1"/>
  <c r="AA29" i="76"/>
  <c r="Z29" i="76"/>
  <c r="Y29" i="76"/>
  <c r="AE29" i="76" s="1"/>
  <c r="V29" i="76"/>
  <c r="AC29" i="76" s="1"/>
  <c r="U29" i="76"/>
  <c r="AB29" i="76" s="1"/>
  <c r="Q29" i="76"/>
  <c r="X29" i="76" s="1"/>
  <c r="AA28" i="76"/>
  <c r="Z28" i="76"/>
  <c r="Y28" i="76"/>
  <c r="AE28" i="76" s="1"/>
  <c r="V28" i="76"/>
  <c r="AC28" i="76" s="1"/>
  <c r="U28" i="76"/>
  <c r="AB28" i="76" s="1"/>
  <c r="Q28" i="76"/>
  <c r="X28" i="76" s="1"/>
  <c r="AA27" i="76"/>
  <c r="Z27" i="76"/>
  <c r="Y27" i="76"/>
  <c r="AE27" i="76" s="1"/>
  <c r="V27" i="76"/>
  <c r="AC27" i="76" s="1"/>
  <c r="U27" i="76"/>
  <c r="AB27" i="76" s="1"/>
  <c r="Q27" i="76"/>
  <c r="X27" i="76" s="1"/>
  <c r="AC26" i="76"/>
  <c r="AA26" i="76"/>
  <c r="Z26" i="76"/>
  <c r="Y26" i="76"/>
  <c r="AE26" i="76" s="1"/>
  <c r="X26" i="76"/>
  <c r="V26" i="76"/>
  <c r="U26" i="76"/>
  <c r="AB26" i="76" s="1"/>
  <c r="Q26" i="76"/>
  <c r="AA25" i="76"/>
  <c r="Z25" i="76"/>
  <c r="Y25" i="76"/>
  <c r="AE25" i="76" s="1"/>
  <c r="V25" i="76"/>
  <c r="AC25" i="76" s="1"/>
  <c r="U25" i="76"/>
  <c r="AB25" i="76" s="1"/>
  <c r="Q25" i="76"/>
  <c r="X25" i="76" s="1"/>
  <c r="AA24" i="76"/>
  <c r="Z24" i="76"/>
  <c r="Y24" i="76"/>
  <c r="AE24" i="76" s="1"/>
  <c r="V24" i="76"/>
  <c r="AC24" i="76" s="1"/>
  <c r="U24" i="76"/>
  <c r="AB24" i="76" s="1"/>
  <c r="Q24" i="76"/>
  <c r="X24" i="76" s="1"/>
  <c r="AA23" i="76"/>
  <c r="Z23" i="76"/>
  <c r="Y23" i="76"/>
  <c r="AE23" i="76" s="1"/>
  <c r="V23" i="76"/>
  <c r="AC23" i="76" s="1"/>
  <c r="U23" i="76"/>
  <c r="AB23" i="76" s="1"/>
  <c r="Q23" i="76"/>
  <c r="X23" i="76" s="1"/>
  <c r="AA22" i="76"/>
  <c r="Z22" i="76"/>
  <c r="Y22" i="76"/>
  <c r="AE22" i="76" s="1"/>
  <c r="V22" i="76"/>
  <c r="AC22" i="76" s="1"/>
  <c r="U22" i="76"/>
  <c r="AB22" i="76" s="1"/>
  <c r="Q22" i="76"/>
  <c r="X22" i="76" s="1"/>
  <c r="AA21" i="76"/>
  <c r="Z21" i="76"/>
  <c r="Y21" i="76"/>
  <c r="AE21" i="76" s="1"/>
  <c r="V21" i="76"/>
  <c r="AC21" i="76" s="1"/>
  <c r="U21" i="76"/>
  <c r="AB21" i="76" s="1"/>
  <c r="Q21" i="76"/>
  <c r="X21" i="76" s="1"/>
  <c r="AA20" i="76"/>
  <c r="Z20" i="76"/>
  <c r="Y20" i="76"/>
  <c r="AE20" i="76" s="1"/>
  <c r="X20" i="76"/>
  <c r="V20" i="76"/>
  <c r="AC20" i="76" s="1"/>
  <c r="U20" i="76"/>
  <c r="AA19" i="76"/>
  <c r="Z19" i="76"/>
  <c r="Y19" i="76"/>
  <c r="AE19" i="76" s="1"/>
  <c r="V19" i="76"/>
  <c r="AC19" i="76" s="1"/>
  <c r="U19" i="76"/>
  <c r="AB19" i="76" s="1"/>
  <c r="Q19" i="76"/>
  <c r="X19" i="76" s="1"/>
  <c r="AA18" i="76"/>
  <c r="Z18" i="76"/>
  <c r="Y18" i="76"/>
  <c r="AE18" i="76" s="1"/>
  <c r="V18" i="76"/>
  <c r="AC18" i="76" s="1"/>
  <c r="U18" i="76"/>
  <c r="AB18" i="76" s="1"/>
  <c r="Q18" i="76"/>
  <c r="X18" i="76" s="1"/>
  <c r="AA17" i="76"/>
  <c r="Z17" i="76"/>
  <c r="Y17" i="76"/>
  <c r="AE17" i="76" s="1"/>
  <c r="V17" i="76"/>
  <c r="AC17" i="76" s="1"/>
  <c r="U17" i="76"/>
  <c r="AB17" i="76" s="1"/>
  <c r="Q17" i="76"/>
  <c r="X17" i="76" s="1"/>
  <c r="AA16" i="76"/>
  <c r="Z16" i="76"/>
  <c r="Y16" i="76"/>
  <c r="AE16" i="76" s="1"/>
  <c r="V16" i="76"/>
  <c r="AC16" i="76" s="1"/>
  <c r="U16" i="76"/>
  <c r="AB16" i="76" s="1"/>
  <c r="Q16" i="76"/>
  <c r="X16" i="76" s="1"/>
  <c r="AA15" i="76"/>
  <c r="Z15" i="76"/>
  <c r="Y15" i="76"/>
  <c r="X15" i="76"/>
  <c r="V15" i="76"/>
  <c r="AC15" i="76" s="1"/>
  <c r="U15" i="76"/>
  <c r="AB15" i="76" s="1"/>
  <c r="Z95" i="76" l="1"/>
  <c r="AA95" i="76"/>
  <c r="S114" i="76"/>
  <c r="AA87" i="76"/>
  <c r="R114" i="76"/>
  <c r="Y87" i="76"/>
  <c r="U87" i="76"/>
  <c r="Y95" i="76"/>
  <c r="AE89" i="76"/>
  <c r="AE95" i="76" s="1"/>
  <c r="T114" i="76"/>
  <c r="Z79" i="76"/>
  <c r="Z114" i="76" s="1"/>
  <c r="U79" i="76"/>
  <c r="AA79" i="76"/>
  <c r="Y79" i="76"/>
  <c r="AE15" i="76"/>
  <c r="AE79" i="76" s="1"/>
  <c r="AE82" i="76"/>
  <c r="AE87" i="76" s="1"/>
  <c r="U95" i="76"/>
  <c r="Q29" i="75"/>
  <c r="U114" i="76" l="1"/>
  <c r="AB87" i="76"/>
  <c r="Y114" i="76"/>
  <c r="AE114" i="76"/>
  <c r="K116" i="76" s="1"/>
  <c r="AB79" i="76"/>
  <c r="AB114" i="76" s="1"/>
  <c r="AA114" i="76"/>
  <c r="Y84" i="75"/>
  <c r="AB84" i="75"/>
  <c r="AA84" i="75"/>
  <c r="V84" i="75"/>
  <c r="Q76" i="75" l="1"/>
  <c r="Q31" i="75" l="1"/>
  <c r="T95" i="75" l="1"/>
  <c r="S95" i="75"/>
  <c r="R95" i="75"/>
  <c r="AA92" i="75"/>
  <c r="Z92" i="75"/>
  <c r="Y92" i="75"/>
  <c r="AE92" i="75" s="1"/>
  <c r="V92" i="75"/>
  <c r="AC92" i="75" s="1"/>
  <c r="U92" i="75"/>
  <c r="AB92" i="75" s="1"/>
  <c r="Q92" i="75"/>
  <c r="X92" i="75" s="1"/>
  <c r="AA91" i="75"/>
  <c r="Z91" i="75"/>
  <c r="Y91" i="75"/>
  <c r="AE91" i="75" s="1"/>
  <c r="Q91" i="75"/>
  <c r="X91" i="75" s="1"/>
  <c r="AA90" i="75"/>
  <c r="Z90" i="75"/>
  <c r="Y90" i="75"/>
  <c r="V90" i="75"/>
  <c r="AC90" i="75" s="1"/>
  <c r="U90" i="75"/>
  <c r="Q90" i="75"/>
  <c r="X90" i="75" s="1"/>
  <c r="AA89" i="75"/>
  <c r="Z89" i="75"/>
  <c r="Y89" i="75"/>
  <c r="AE89" i="75" s="1"/>
  <c r="X89" i="75"/>
  <c r="V89" i="75"/>
  <c r="AC89" i="75" s="1"/>
  <c r="U89" i="75"/>
  <c r="AB89" i="75" s="1"/>
  <c r="Q89" i="75"/>
  <c r="T87" i="75"/>
  <c r="S87" i="75"/>
  <c r="R87" i="75"/>
  <c r="AE84" i="75"/>
  <c r="AC84" i="75"/>
  <c r="Z84" i="75"/>
  <c r="Q84" i="75"/>
  <c r="AA83" i="75"/>
  <c r="Z83" i="75"/>
  <c r="Y83" i="75"/>
  <c r="AE83" i="75" s="1"/>
  <c r="V83" i="75"/>
  <c r="AC83" i="75" s="1"/>
  <c r="U83" i="75"/>
  <c r="AB83" i="75" s="1"/>
  <c r="Q83" i="75"/>
  <c r="X83" i="75" s="1"/>
  <c r="AA82" i="75"/>
  <c r="Z82" i="75"/>
  <c r="Y82" i="75"/>
  <c r="AE82" i="75" s="1"/>
  <c r="V82" i="75"/>
  <c r="AC82" i="75" s="1"/>
  <c r="U82" i="75"/>
  <c r="AB82" i="75" s="1"/>
  <c r="Q82" i="75"/>
  <c r="X82" i="75" s="1"/>
  <c r="AA81" i="75"/>
  <c r="Z81" i="75"/>
  <c r="Y81" i="75"/>
  <c r="V81" i="75"/>
  <c r="AC81" i="75" s="1"/>
  <c r="U81" i="75"/>
  <c r="AB81" i="75" s="1"/>
  <c r="Q81" i="75"/>
  <c r="X81" i="75" s="1"/>
  <c r="T78" i="75"/>
  <c r="S78" i="75"/>
  <c r="R78" i="75"/>
  <c r="AA77" i="75"/>
  <c r="Z77" i="75"/>
  <c r="Y77" i="75"/>
  <c r="AE77" i="75" s="1"/>
  <c r="V77" i="75"/>
  <c r="AC77" i="75" s="1"/>
  <c r="U77" i="75"/>
  <c r="AB77" i="75" s="1"/>
  <c r="Q77" i="75"/>
  <c r="X77" i="75" s="1"/>
  <c r="AA76" i="75"/>
  <c r="Z76" i="75"/>
  <c r="Y76" i="75"/>
  <c r="AE76" i="75" s="1"/>
  <c r="X76" i="75"/>
  <c r="V76" i="75"/>
  <c r="AC76" i="75" s="1"/>
  <c r="U76" i="75"/>
  <c r="AB76" i="75" s="1"/>
  <c r="AA75" i="75"/>
  <c r="Z75" i="75"/>
  <c r="Y75" i="75"/>
  <c r="AE75" i="75" s="1"/>
  <c r="V75" i="75"/>
  <c r="AC75" i="75" s="1"/>
  <c r="U75" i="75"/>
  <c r="AB75" i="75" s="1"/>
  <c r="Q75" i="75"/>
  <c r="X75" i="75" s="1"/>
  <c r="AA74" i="75"/>
  <c r="Z74" i="75"/>
  <c r="Y74" i="75"/>
  <c r="AE74" i="75" s="1"/>
  <c r="X74" i="75"/>
  <c r="V74" i="75"/>
  <c r="AC74" i="75" s="1"/>
  <c r="U74" i="75"/>
  <c r="AB74" i="75" s="1"/>
  <c r="Q74" i="75"/>
  <c r="AA73" i="75"/>
  <c r="Z73" i="75"/>
  <c r="Y73" i="75"/>
  <c r="AE73" i="75" s="1"/>
  <c r="V73" i="75"/>
  <c r="AC73" i="75" s="1"/>
  <c r="U73" i="75"/>
  <c r="AB73" i="75" s="1"/>
  <c r="Q73" i="75"/>
  <c r="X73" i="75" s="1"/>
  <c r="AA72" i="75"/>
  <c r="Z72" i="75"/>
  <c r="Y72" i="75"/>
  <c r="AE72" i="75" s="1"/>
  <c r="V72" i="75"/>
  <c r="AC72" i="75" s="1"/>
  <c r="U72" i="75"/>
  <c r="AB72" i="75" s="1"/>
  <c r="Q72" i="75"/>
  <c r="X72" i="75" s="1"/>
  <c r="AC71" i="75"/>
  <c r="AA71" i="75"/>
  <c r="Z71" i="75"/>
  <c r="Y71" i="75"/>
  <c r="AE71" i="75" s="1"/>
  <c r="V71" i="75"/>
  <c r="U71" i="75"/>
  <c r="AB71" i="75" s="1"/>
  <c r="Q71" i="75"/>
  <c r="X71" i="75" s="1"/>
  <c r="AA70" i="75"/>
  <c r="Z70" i="75"/>
  <c r="Y70" i="75"/>
  <c r="AE70" i="75" s="1"/>
  <c r="X70" i="75"/>
  <c r="V70" i="75"/>
  <c r="U70" i="75"/>
  <c r="Q70" i="75"/>
  <c r="AA69" i="75"/>
  <c r="Z69" i="75"/>
  <c r="Y69" i="75"/>
  <c r="AE69" i="75" s="1"/>
  <c r="X69" i="75"/>
  <c r="V69" i="75"/>
  <c r="AC69" i="75" s="1"/>
  <c r="U69" i="75"/>
  <c r="AB69" i="75" s="1"/>
  <c r="Q69" i="75"/>
  <c r="AA68" i="75"/>
  <c r="Z68" i="75"/>
  <c r="Y68" i="75"/>
  <c r="AE68" i="75" s="1"/>
  <c r="V68" i="75"/>
  <c r="AC68" i="75" s="1"/>
  <c r="U68" i="75"/>
  <c r="AB68" i="75" s="1"/>
  <c r="Q68" i="75"/>
  <c r="X68" i="75" s="1"/>
  <c r="AA67" i="75"/>
  <c r="Z67" i="75"/>
  <c r="Y67" i="75"/>
  <c r="AE67" i="75" s="1"/>
  <c r="V67" i="75"/>
  <c r="AC67" i="75" s="1"/>
  <c r="U67" i="75"/>
  <c r="AB67" i="75" s="1"/>
  <c r="Q67" i="75"/>
  <c r="X67" i="75" s="1"/>
  <c r="AA66" i="75"/>
  <c r="Z66" i="75"/>
  <c r="Y66" i="75"/>
  <c r="AE66" i="75" s="1"/>
  <c r="X66" i="75"/>
  <c r="V66" i="75"/>
  <c r="AC66" i="75" s="1"/>
  <c r="U66" i="75"/>
  <c r="AB66" i="75" s="1"/>
  <c r="AA65" i="75"/>
  <c r="Z65" i="75"/>
  <c r="Y65" i="75"/>
  <c r="AE65" i="75" s="1"/>
  <c r="V65" i="75"/>
  <c r="AC65" i="75" s="1"/>
  <c r="U65" i="75"/>
  <c r="AB65" i="75" s="1"/>
  <c r="Q65" i="75"/>
  <c r="X65" i="75" s="1"/>
  <c r="AB64" i="75"/>
  <c r="AA64" i="75"/>
  <c r="Z64" i="75"/>
  <c r="Y64" i="75"/>
  <c r="AE64" i="75" s="1"/>
  <c r="V64" i="75"/>
  <c r="AC64" i="75" s="1"/>
  <c r="U64" i="75"/>
  <c r="Q64" i="75"/>
  <c r="X64" i="75" s="1"/>
  <c r="AA63" i="75"/>
  <c r="Z63" i="75"/>
  <c r="Y63" i="75"/>
  <c r="AE63" i="75" s="1"/>
  <c r="V63" i="75"/>
  <c r="AC63" i="75" s="1"/>
  <c r="U63" i="75"/>
  <c r="AB63" i="75" s="1"/>
  <c r="Q63" i="75"/>
  <c r="X63" i="75" s="1"/>
  <c r="AA62" i="75"/>
  <c r="Z62" i="75"/>
  <c r="Y62" i="75"/>
  <c r="AE62" i="75" s="1"/>
  <c r="X62" i="75"/>
  <c r="V62" i="75"/>
  <c r="AC62" i="75" s="1"/>
  <c r="U62" i="75"/>
  <c r="AB62" i="75" s="1"/>
  <c r="Q62" i="75"/>
  <c r="AA61" i="75"/>
  <c r="Z61" i="75"/>
  <c r="Y61" i="75"/>
  <c r="AE61" i="75" s="1"/>
  <c r="X61" i="75"/>
  <c r="V61" i="75"/>
  <c r="AC61" i="75" s="1"/>
  <c r="U61" i="75"/>
  <c r="AB61" i="75" s="1"/>
  <c r="Q61" i="75"/>
  <c r="AA60" i="75"/>
  <c r="Z60" i="75"/>
  <c r="Y60" i="75"/>
  <c r="AE60" i="75" s="1"/>
  <c r="V60" i="75"/>
  <c r="AC60" i="75" s="1"/>
  <c r="U60" i="75"/>
  <c r="AB60" i="75" s="1"/>
  <c r="Q60" i="75"/>
  <c r="X60" i="75" s="1"/>
  <c r="AA59" i="75"/>
  <c r="Z59" i="75"/>
  <c r="Y59" i="75"/>
  <c r="AE59" i="75" s="1"/>
  <c r="V59" i="75"/>
  <c r="AC59" i="75" s="1"/>
  <c r="U59" i="75"/>
  <c r="AB59" i="75" s="1"/>
  <c r="Q59" i="75"/>
  <c r="X59" i="75" s="1"/>
  <c r="AA58" i="75"/>
  <c r="Z58" i="75"/>
  <c r="Y58" i="75"/>
  <c r="AE58" i="75" s="1"/>
  <c r="X58" i="75"/>
  <c r="V58" i="75"/>
  <c r="U58" i="75"/>
  <c r="Q58" i="75"/>
  <c r="AA57" i="75"/>
  <c r="Z57" i="75"/>
  <c r="Y57" i="75"/>
  <c r="AE57" i="75" s="1"/>
  <c r="V57" i="75"/>
  <c r="AC57" i="75" s="1"/>
  <c r="U57" i="75"/>
  <c r="AB57" i="75" s="1"/>
  <c r="Q57" i="75"/>
  <c r="X57" i="75" s="1"/>
  <c r="AA56" i="75"/>
  <c r="Z56" i="75"/>
  <c r="Y56" i="75"/>
  <c r="AE56" i="75" s="1"/>
  <c r="V56" i="75"/>
  <c r="U56" i="75"/>
  <c r="AB56" i="75" s="1"/>
  <c r="Q56" i="75"/>
  <c r="X56" i="75" s="1"/>
  <c r="AA55" i="75"/>
  <c r="Z55" i="75"/>
  <c r="Y55" i="75"/>
  <c r="AE55" i="75" s="1"/>
  <c r="V55" i="75"/>
  <c r="AC55" i="75" s="1"/>
  <c r="U55" i="75"/>
  <c r="AB55" i="75" s="1"/>
  <c r="Q55" i="75"/>
  <c r="X55" i="75" s="1"/>
  <c r="AA54" i="75"/>
  <c r="Z54" i="75"/>
  <c r="Y54" i="75"/>
  <c r="AE54" i="75" s="1"/>
  <c r="X54" i="75"/>
  <c r="V54" i="75"/>
  <c r="AC54" i="75" s="1"/>
  <c r="U54" i="75"/>
  <c r="AB54" i="75" s="1"/>
  <c r="Q54" i="75"/>
  <c r="AA53" i="75"/>
  <c r="Z53" i="75"/>
  <c r="Y53" i="75"/>
  <c r="AE53" i="75" s="1"/>
  <c r="X53" i="75"/>
  <c r="V53" i="75"/>
  <c r="AC53" i="75" s="1"/>
  <c r="U53" i="75"/>
  <c r="AB53" i="75" s="1"/>
  <c r="Q53" i="75"/>
  <c r="AA52" i="75"/>
  <c r="Z52" i="75"/>
  <c r="Y52" i="75"/>
  <c r="AE52" i="75" s="1"/>
  <c r="V52" i="75"/>
  <c r="AC52" i="75" s="1"/>
  <c r="U52" i="75"/>
  <c r="AB52" i="75" s="1"/>
  <c r="Q52" i="75"/>
  <c r="X52" i="75" s="1"/>
  <c r="AA51" i="75"/>
  <c r="Z51" i="75"/>
  <c r="Y51" i="75"/>
  <c r="AE51" i="75" s="1"/>
  <c r="V51" i="75"/>
  <c r="AC51" i="75" s="1"/>
  <c r="U51" i="75"/>
  <c r="AB51" i="75" s="1"/>
  <c r="Q51" i="75"/>
  <c r="X51" i="75" s="1"/>
  <c r="AA50" i="75"/>
  <c r="Z50" i="75"/>
  <c r="Y50" i="75"/>
  <c r="AE50" i="75" s="1"/>
  <c r="V50" i="75"/>
  <c r="AC50" i="75" s="1"/>
  <c r="U50" i="75"/>
  <c r="AB50" i="75" s="1"/>
  <c r="Q50" i="75"/>
  <c r="X50" i="75" s="1"/>
  <c r="AA49" i="75"/>
  <c r="Z49" i="75"/>
  <c r="Y49" i="75"/>
  <c r="AE49" i="75" s="1"/>
  <c r="X49" i="75"/>
  <c r="V49" i="75"/>
  <c r="AC49" i="75" s="1"/>
  <c r="U49" i="75"/>
  <c r="AB49" i="75" s="1"/>
  <c r="Q49" i="75"/>
  <c r="AA48" i="75"/>
  <c r="Z48" i="75"/>
  <c r="Y48" i="75"/>
  <c r="AE48" i="75" s="1"/>
  <c r="V48" i="75"/>
  <c r="AC48" i="75" s="1"/>
  <c r="U48" i="75"/>
  <c r="AB48" i="75" s="1"/>
  <c r="Q48" i="75"/>
  <c r="X48" i="75" s="1"/>
  <c r="AA47" i="75"/>
  <c r="Z47" i="75"/>
  <c r="Y47" i="75"/>
  <c r="AE47" i="75" s="1"/>
  <c r="X47" i="75"/>
  <c r="V47" i="75"/>
  <c r="AC47" i="75" s="1"/>
  <c r="U47" i="75"/>
  <c r="AB47" i="75" s="1"/>
  <c r="Q47" i="75"/>
  <c r="AC46" i="75"/>
  <c r="AA46" i="75"/>
  <c r="Z46" i="75"/>
  <c r="Y46" i="75"/>
  <c r="AE46" i="75" s="1"/>
  <c r="V46" i="75"/>
  <c r="U46" i="75"/>
  <c r="AB46" i="75" s="1"/>
  <c r="Q46" i="75"/>
  <c r="X46" i="75" s="1"/>
  <c r="AA45" i="75"/>
  <c r="Z45" i="75"/>
  <c r="Y45" i="75"/>
  <c r="AE45" i="75" s="1"/>
  <c r="V45" i="75"/>
  <c r="AC45" i="75" s="1"/>
  <c r="U45" i="75"/>
  <c r="AB45" i="75" s="1"/>
  <c r="Q45" i="75"/>
  <c r="X45" i="75" s="1"/>
  <c r="AA44" i="75"/>
  <c r="Z44" i="75"/>
  <c r="Y44" i="75"/>
  <c r="AE44" i="75" s="1"/>
  <c r="V44" i="75"/>
  <c r="AC44" i="75" s="1"/>
  <c r="U44" i="75"/>
  <c r="AB44" i="75" s="1"/>
  <c r="Q44" i="75"/>
  <c r="X44" i="75" s="1"/>
  <c r="AA43" i="75"/>
  <c r="Z43" i="75"/>
  <c r="Y43" i="75"/>
  <c r="AE43" i="75" s="1"/>
  <c r="X43" i="75"/>
  <c r="V43" i="75"/>
  <c r="AC43" i="75" s="1"/>
  <c r="U43" i="75"/>
  <c r="AB43" i="75" s="1"/>
  <c r="Q43" i="75"/>
  <c r="AA42" i="75"/>
  <c r="Z42" i="75"/>
  <c r="Y42" i="75"/>
  <c r="AE42" i="75" s="1"/>
  <c r="V42" i="75"/>
  <c r="AC42" i="75" s="1"/>
  <c r="U42" i="75"/>
  <c r="AB42" i="75" s="1"/>
  <c r="Q42" i="75"/>
  <c r="X42" i="75" s="1"/>
  <c r="AA41" i="75"/>
  <c r="Z41" i="75"/>
  <c r="Y41" i="75"/>
  <c r="AE41" i="75" s="1"/>
  <c r="V41" i="75"/>
  <c r="AC41" i="75" s="1"/>
  <c r="U41" i="75"/>
  <c r="AB41" i="75" s="1"/>
  <c r="Q41" i="75"/>
  <c r="X41" i="75" s="1"/>
  <c r="AA40" i="75"/>
  <c r="Z40" i="75"/>
  <c r="Y40" i="75"/>
  <c r="AE40" i="75" s="1"/>
  <c r="V40" i="75"/>
  <c r="AC40" i="75" s="1"/>
  <c r="U40" i="75"/>
  <c r="AB40" i="75" s="1"/>
  <c r="Q40" i="75"/>
  <c r="X40" i="75" s="1"/>
  <c r="AA39" i="75"/>
  <c r="Z39" i="75"/>
  <c r="Y39" i="75"/>
  <c r="AE39" i="75" s="1"/>
  <c r="V39" i="75"/>
  <c r="AC39" i="75" s="1"/>
  <c r="U39" i="75"/>
  <c r="AB39" i="75" s="1"/>
  <c r="Q39" i="75"/>
  <c r="X39" i="75" s="1"/>
  <c r="AA38" i="75"/>
  <c r="Z38" i="75"/>
  <c r="Y38" i="75"/>
  <c r="AE38" i="75" s="1"/>
  <c r="V38" i="75"/>
  <c r="AC38" i="75" s="1"/>
  <c r="U38" i="75"/>
  <c r="AB38" i="75" s="1"/>
  <c r="Q38" i="75"/>
  <c r="X38" i="75" s="1"/>
  <c r="AA37" i="75"/>
  <c r="Z37" i="75"/>
  <c r="Y37" i="75"/>
  <c r="AE37" i="75" s="1"/>
  <c r="V37" i="75"/>
  <c r="AC37" i="75" s="1"/>
  <c r="U37" i="75"/>
  <c r="AB37" i="75" s="1"/>
  <c r="Q37" i="75"/>
  <c r="X37" i="75" s="1"/>
  <c r="AA36" i="75"/>
  <c r="Z36" i="75"/>
  <c r="Y36" i="75"/>
  <c r="AE36" i="75" s="1"/>
  <c r="V36" i="75"/>
  <c r="AC36" i="75" s="1"/>
  <c r="U36" i="75"/>
  <c r="Q36" i="75"/>
  <c r="X36" i="75" s="1"/>
  <c r="AA35" i="75"/>
  <c r="Z35" i="75"/>
  <c r="Y35" i="75"/>
  <c r="AE35" i="75" s="1"/>
  <c r="V35" i="75"/>
  <c r="U35" i="75"/>
  <c r="AB35" i="75" s="1"/>
  <c r="Q35" i="75"/>
  <c r="X35" i="75" s="1"/>
  <c r="AA34" i="75"/>
  <c r="Z34" i="75"/>
  <c r="Y34" i="75"/>
  <c r="AE34" i="75" s="1"/>
  <c r="V34" i="75"/>
  <c r="AC34" i="75" s="1"/>
  <c r="U34" i="75"/>
  <c r="AB34" i="75" s="1"/>
  <c r="Q34" i="75"/>
  <c r="X34" i="75" s="1"/>
  <c r="AA33" i="75"/>
  <c r="Z33" i="75"/>
  <c r="Y33" i="75"/>
  <c r="AE33" i="75" s="1"/>
  <c r="X33" i="75"/>
  <c r="V33" i="75"/>
  <c r="AC33" i="75" s="1"/>
  <c r="U33" i="75"/>
  <c r="AB33" i="75" s="1"/>
  <c r="Q33" i="75"/>
  <c r="AA32" i="75"/>
  <c r="Z32" i="75"/>
  <c r="Y32" i="75"/>
  <c r="AE32" i="75" s="1"/>
  <c r="X32" i="75"/>
  <c r="V32" i="75"/>
  <c r="AC32" i="75" s="1"/>
  <c r="U32" i="75"/>
  <c r="AB32" i="75" s="1"/>
  <c r="Q32" i="75"/>
  <c r="AA31" i="75"/>
  <c r="Z31" i="75"/>
  <c r="Y31" i="75"/>
  <c r="AE31" i="75" s="1"/>
  <c r="V31" i="75"/>
  <c r="AC31" i="75" s="1"/>
  <c r="U31" i="75"/>
  <c r="AB31" i="75" s="1"/>
  <c r="X31" i="75"/>
  <c r="AA30" i="75"/>
  <c r="Z30" i="75"/>
  <c r="Y30" i="75"/>
  <c r="AE30" i="75" s="1"/>
  <c r="V30" i="75"/>
  <c r="AC30" i="75" s="1"/>
  <c r="U30" i="75"/>
  <c r="AB30" i="75" s="1"/>
  <c r="Q30" i="75"/>
  <c r="X30" i="75" s="1"/>
  <c r="AA29" i="75"/>
  <c r="Z29" i="75"/>
  <c r="Y29" i="75"/>
  <c r="AE29" i="75" s="1"/>
  <c r="X29" i="75"/>
  <c r="V29" i="75"/>
  <c r="AC29" i="75" s="1"/>
  <c r="U29" i="75"/>
  <c r="AB29" i="75" s="1"/>
  <c r="AA28" i="75"/>
  <c r="Z28" i="75"/>
  <c r="Y28" i="75"/>
  <c r="AE28" i="75" s="1"/>
  <c r="V28" i="75"/>
  <c r="AC28" i="75" s="1"/>
  <c r="U28" i="75"/>
  <c r="AB28" i="75" s="1"/>
  <c r="Q28" i="75"/>
  <c r="X28" i="75" s="1"/>
  <c r="AA27" i="75"/>
  <c r="Z27" i="75"/>
  <c r="Y27" i="75"/>
  <c r="AE27" i="75" s="1"/>
  <c r="V27" i="75"/>
  <c r="AC27" i="75" s="1"/>
  <c r="U27" i="75"/>
  <c r="AB27" i="75" s="1"/>
  <c r="Q27" i="75"/>
  <c r="X27" i="75" s="1"/>
  <c r="AA26" i="75"/>
  <c r="Z26" i="75"/>
  <c r="Y26" i="75"/>
  <c r="AE26" i="75" s="1"/>
  <c r="X26" i="75"/>
  <c r="V26" i="75"/>
  <c r="AC26" i="75" s="1"/>
  <c r="U26" i="75"/>
  <c r="AB26" i="75" s="1"/>
  <c r="Q26" i="75"/>
  <c r="AA25" i="75"/>
  <c r="Z25" i="75"/>
  <c r="Y25" i="75"/>
  <c r="AE25" i="75" s="1"/>
  <c r="V25" i="75"/>
  <c r="AC25" i="75" s="1"/>
  <c r="U25" i="75"/>
  <c r="AB25" i="75" s="1"/>
  <c r="Q25" i="75"/>
  <c r="X25" i="75" s="1"/>
  <c r="AA24" i="75"/>
  <c r="Z24" i="75"/>
  <c r="Y24" i="75"/>
  <c r="AE24" i="75" s="1"/>
  <c r="V24" i="75"/>
  <c r="AC24" i="75" s="1"/>
  <c r="U24" i="75"/>
  <c r="AB24" i="75" s="1"/>
  <c r="Q24" i="75"/>
  <c r="X24" i="75" s="1"/>
  <c r="AA23" i="75"/>
  <c r="Z23" i="75"/>
  <c r="Y23" i="75"/>
  <c r="AE23" i="75" s="1"/>
  <c r="V23" i="75"/>
  <c r="AC23" i="75" s="1"/>
  <c r="U23" i="75"/>
  <c r="AB23" i="75" s="1"/>
  <c r="Q23" i="75"/>
  <c r="X23" i="75" s="1"/>
  <c r="AA22" i="75"/>
  <c r="Z22" i="75"/>
  <c r="Y22" i="75"/>
  <c r="AE22" i="75" s="1"/>
  <c r="X22" i="75"/>
  <c r="V22" i="75"/>
  <c r="AC22" i="75" s="1"/>
  <c r="U22" i="75"/>
  <c r="AB22" i="75" s="1"/>
  <c r="Q22" i="75"/>
  <c r="AA21" i="75"/>
  <c r="Z21" i="75"/>
  <c r="Y21" i="75"/>
  <c r="AE21" i="75" s="1"/>
  <c r="V21" i="75"/>
  <c r="AC21" i="75" s="1"/>
  <c r="U21" i="75"/>
  <c r="AB21" i="75" s="1"/>
  <c r="Q21" i="75"/>
  <c r="X21" i="75" s="1"/>
  <c r="AA20" i="75"/>
  <c r="Z20" i="75"/>
  <c r="Y20" i="75"/>
  <c r="AE20" i="75" s="1"/>
  <c r="X20" i="75"/>
  <c r="V20" i="75"/>
  <c r="AC20" i="75" s="1"/>
  <c r="U20" i="75"/>
  <c r="AA19" i="75"/>
  <c r="Z19" i="75"/>
  <c r="Y19" i="75"/>
  <c r="AE19" i="75" s="1"/>
  <c r="V19" i="75"/>
  <c r="AC19" i="75" s="1"/>
  <c r="U19" i="75"/>
  <c r="AB19" i="75" s="1"/>
  <c r="Q19" i="75"/>
  <c r="X19" i="75" s="1"/>
  <c r="AA18" i="75"/>
  <c r="Z18" i="75"/>
  <c r="Y18" i="75"/>
  <c r="AE18" i="75" s="1"/>
  <c r="V18" i="75"/>
  <c r="AC18" i="75" s="1"/>
  <c r="U18" i="75"/>
  <c r="AB18" i="75" s="1"/>
  <c r="Q18" i="75"/>
  <c r="X18" i="75" s="1"/>
  <c r="AA17" i="75"/>
  <c r="Z17" i="75"/>
  <c r="Y17" i="75"/>
  <c r="AE17" i="75" s="1"/>
  <c r="V17" i="75"/>
  <c r="AC17" i="75" s="1"/>
  <c r="U17" i="75"/>
  <c r="AB17" i="75" s="1"/>
  <c r="Q17" i="75"/>
  <c r="X17" i="75" s="1"/>
  <c r="AC16" i="75"/>
  <c r="AA16" i="75"/>
  <c r="Z16" i="75"/>
  <c r="Y16" i="75"/>
  <c r="AE16" i="75" s="1"/>
  <c r="X16" i="75"/>
  <c r="V16" i="75"/>
  <c r="U16" i="75"/>
  <c r="AB16" i="75" s="1"/>
  <c r="Q16" i="75"/>
  <c r="AA15" i="75"/>
  <c r="Z15" i="75"/>
  <c r="Y15" i="75"/>
  <c r="AE15" i="75" s="1"/>
  <c r="X15" i="75"/>
  <c r="V15" i="75"/>
  <c r="AC15" i="75" s="1"/>
  <c r="U15" i="75"/>
  <c r="AB15" i="75" s="1"/>
  <c r="AA95" i="75" l="1"/>
  <c r="Z95" i="75"/>
  <c r="Y95" i="75"/>
  <c r="S114" i="75"/>
  <c r="R114" i="75"/>
  <c r="AA87" i="75"/>
  <c r="Z87" i="75"/>
  <c r="U87" i="75"/>
  <c r="U78" i="75"/>
  <c r="Z78" i="75"/>
  <c r="T114" i="75"/>
  <c r="AA78" i="75"/>
  <c r="AE81" i="75"/>
  <c r="AE87" i="75" s="1"/>
  <c r="Y87" i="75"/>
  <c r="Y78" i="75"/>
  <c r="AE78" i="75"/>
  <c r="AE90" i="75"/>
  <c r="AE95" i="75" s="1"/>
  <c r="U95" i="75"/>
  <c r="U61" i="74"/>
  <c r="Q56" i="74"/>
  <c r="Y35" i="74"/>
  <c r="Z35" i="74"/>
  <c r="AA35" i="74"/>
  <c r="AB87" i="75" l="1"/>
  <c r="U114" i="75"/>
  <c r="Z114" i="75"/>
  <c r="AE114" i="75"/>
  <c r="K116" i="75" s="1"/>
  <c r="AB78" i="75"/>
  <c r="AB114" i="75" s="1"/>
  <c r="AA114" i="75"/>
  <c r="Y114" i="75"/>
  <c r="T95" i="74"/>
  <c r="S95" i="74"/>
  <c r="R95" i="74"/>
  <c r="AA92" i="74"/>
  <c r="Z92" i="74"/>
  <c r="Y92" i="74"/>
  <c r="AE92" i="74" s="1"/>
  <c r="V92" i="74"/>
  <c r="AC92" i="74" s="1"/>
  <c r="U92" i="74"/>
  <c r="AB92" i="74" s="1"/>
  <c r="Q92" i="74"/>
  <c r="X92" i="74" s="1"/>
  <c r="AA91" i="74"/>
  <c r="Z91" i="74"/>
  <c r="Y91" i="74"/>
  <c r="AE91" i="74" s="1"/>
  <c r="Q91" i="74"/>
  <c r="X91" i="74" s="1"/>
  <c r="AA90" i="74"/>
  <c r="Z90" i="74"/>
  <c r="Y90" i="74"/>
  <c r="V90" i="74"/>
  <c r="AC90" i="74" s="1"/>
  <c r="U90" i="74"/>
  <c r="Q90" i="74"/>
  <c r="X90" i="74" s="1"/>
  <c r="AA89" i="74"/>
  <c r="Z89" i="74"/>
  <c r="Y89" i="74"/>
  <c r="AE89" i="74" s="1"/>
  <c r="V89" i="74"/>
  <c r="AC89" i="74" s="1"/>
  <c r="U89" i="74"/>
  <c r="AB89" i="74" s="1"/>
  <c r="Q89" i="74"/>
  <c r="X89" i="74" s="1"/>
  <c r="T87" i="74"/>
  <c r="S87" i="74"/>
  <c r="R87" i="74"/>
  <c r="AE84" i="74"/>
  <c r="AA84" i="74"/>
  <c r="Z84" i="74"/>
  <c r="AC84" i="74"/>
  <c r="AB84" i="74"/>
  <c r="Q84" i="74"/>
  <c r="AA83" i="74"/>
  <c r="Z83" i="74"/>
  <c r="Y83" i="74"/>
  <c r="AE83" i="74" s="1"/>
  <c r="V83" i="74"/>
  <c r="AC83" i="74" s="1"/>
  <c r="U83" i="74"/>
  <c r="AB83" i="74" s="1"/>
  <c r="Q83" i="74"/>
  <c r="X83" i="74" s="1"/>
  <c r="AA82" i="74"/>
  <c r="Z82" i="74"/>
  <c r="Y82" i="74"/>
  <c r="AE82" i="74" s="1"/>
  <c r="V82" i="74"/>
  <c r="AC82" i="74" s="1"/>
  <c r="U82" i="74"/>
  <c r="AB82" i="74" s="1"/>
  <c r="Q82" i="74"/>
  <c r="X82" i="74" s="1"/>
  <c r="AA81" i="74"/>
  <c r="Z81" i="74"/>
  <c r="Y81" i="74"/>
  <c r="V81" i="74"/>
  <c r="AC81" i="74" s="1"/>
  <c r="U81" i="74"/>
  <c r="AB81" i="74" s="1"/>
  <c r="Q81" i="74"/>
  <c r="X81" i="74" s="1"/>
  <c r="T78" i="74"/>
  <c r="S78" i="74"/>
  <c r="R78" i="74"/>
  <c r="AB77" i="74"/>
  <c r="AA77" i="74"/>
  <c r="Z77" i="74"/>
  <c r="Y77" i="74"/>
  <c r="AE77" i="74" s="1"/>
  <c r="V77" i="74"/>
  <c r="AC77" i="74" s="1"/>
  <c r="U77" i="74"/>
  <c r="Q77" i="74"/>
  <c r="X77" i="74" s="1"/>
  <c r="AE76" i="74"/>
  <c r="AA76" i="74"/>
  <c r="Z76" i="74"/>
  <c r="Y76" i="74"/>
  <c r="V76" i="74"/>
  <c r="AC76" i="74" s="1"/>
  <c r="U76" i="74"/>
  <c r="AB76" i="74" s="1"/>
  <c r="Q76" i="74"/>
  <c r="X76" i="74" s="1"/>
  <c r="AA75" i="74"/>
  <c r="Z75" i="74"/>
  <c r="Y75" i="74"/>
  <c r="AE75" i="74" s="1"/>
  <c r="V75" i="74"/>
  <c r="AC75" i="74" s="1"/>
  <c r="U75" i="74"/>
  <c r="AB75" i="74" s="1"/>
  <c r="Q75" i="74"/>
  <c r="X75" i="74" s="1"/>
  <c r="AA74" i="74"/>
  <c r="Z74" i="74"/>
  <c r="Y74" i="74"/>
  <c r="AE74" i="74" s="1"/>
  <c r="V74" i="74"/>
  <c r="AC74" i="74" s="1"/>
  <c r="U74" i="74"/>
  <c r="AB74" i="74" s="1"/>
  <c r="Q74" i="74"/>
  <c r="X74" i="74" s="1"/>
  <c r="AA73" i="74"/>
  <c r="Z73" i="74"/>
  <c r="Y73" i="74"/>
  <c r="AE73" i="74" s="1"/>
  <c r="V73" i="74"/>
  <c r="AC73" i="74" s="1"/>
  <c r="U73" i="74"/>
  <c r="AB73" i="74" s="1"/>
  <c r="Q73" i="74"/>
  <c r="X73" i="74" s="1"/>
  <c r="AA72" i="74"/>
  <c r="Z72" i="74"/>
  <c r="Y72" i="74"/>
  <c r="AE72" i="74" s="1"/>
  <c r="V72" i="74"/>
  <c r="AC72" i="74" s="1"/>
  <c r="U72" i="74"/>
  <c r="AB72" i="74" s="1"/>
  <c r="Q72" i="74"/>
  <c r="X72" i="74" s="1"/>
  <c r="AA71" i="74"/>
  <c r="Z71" i="74"/>
  <c r="Y71" i="74"/>
  <c r="AE71" i="74" s="1"/>
  <c r="V71" i="74"/>
  <c r="AC71" i="74" s="1"/>
  <c r="U71" i="74"/>
  <c r="AB71" i="74" s="1"/>
  <c r="Q71" i="74"/>
  <c r="X71" i="74" s="1"/>
  <c r="AE70" i="74"/>
  <c r="AA70" i="74"/>
  <c r="Z70" i="74"/>
  <c r="Y70" i="74"/>
  <c r="V70" i="74"/>
  <c r="U70" i="74"/>
  <c r="Q70" i="74"/>
  <c r="X70" i="74" s="1"/>
  <c r="AA69" i="74"/>
  <c r="Z69" i="74"/>
  <c r="Y69" i="74"/>
  <c r="AE69" i="74" s="1"/>
  <c r="V69" i="74"/>
  <c r="AC69" i="74" s="1"/>
  <c r="U69" i="74"/>
  <c r="AB69" i="74" s="1"/>
  <c r="Q69" i="74"/>
  <c r="X69" i="74" s="1"/>
  <c r="AA68" i="74"/>
  <c r="Z68" i="74"/>
  <c r="Y68" i="74"/>
  <c r="AE68" i="74" s="1"/>
  <c r="V68" i="74"/>
  <c r="AC68" i="74" s="1"/>
  <c r="U68" i="74"/>
  <c r="AB68" i="74" s="1"/>
  <c r="Q68" i="74"/>
  <c r="X68" i="74" s="1"/>
  <c r="AA67" i="74"/>
  <c r="Z67" i="74"/>
  <c r="Y67" i="74"/>
  <c r="AE67" i="74" s="1"/>
  <c r="V67" i="74"/>
  <c r="AC67" i="74" s="1"/>
  <c r="U67" i="74"/>
  <c r="AB67" i="74" s="1"/>
  <c r="Q67" i="74"/>
  <c r="X67" i="74" s="1"/>
  <c r="AA66" i="74"/>
  <c r="Z66" i="74"/>
  <c r="Y66" i="74"/>
  <c r="AE66" i="74" s="1"/>
  <c r="X66" i="74"/>
  <c r="V66" i="74"/>
  <c r="AC66" i="74" s="1"/>
  <c r="U66" i="74"/>
  <c r="AB66" i="74" s="1"/>
  <c r="AA65" i="74"/>
  <c r="Z65" i="74"/>
  <c r="Y65" i="74"/>
  <c r="AE65" i="74" s="1"/>
  <c r="V65" i="74"/>
  <c r="AC65" i="74" s="1"/>
  <c r="U65" i="74"/>
  <c r="AB65" i="74" s="1"/>
  <c r="Q65" i="74"/>
  <c r="X65" i="74" s="1"/>
  <c r="AA64" i="74"/>
  <c r="Z64" i="74"/>
  <c r="Y64" i="74"/>
  <c r="AE64" i="74" s="1"/>
  <c r="V64" i="74"/>
  <c r="AC64" i="74" s="1"/>
  <c r="U64" i="74"/>
  <c r="AB64" i="74" s="1"/>
  <c r="Q64" i="74"/>
  <c r="X64" i="74" s="1"/>
  <c r="AA63" i="74"/>
  <c r="Z63" i="74"/>
  <c r="Y63" i="74"/>
  <c r="AE63" i="74" s="1"/>
  <c r="V63" i="74"/>
  <c r="AC63" i="74" s="1"/>
  <c r="U63" i="74"/>
  <c r="AB63" i="74" s="1"/>
  <c r="Q63" i="74"/>
  <c r="X63" i="74" s="1"/>
  <c r="AA62" i="74"/>
  <c r="Z62" i="74"/>
  <c r="Y62" i="74"/>
  <c r="AE62" i="74" s="1"/>
  <c r="X62" i="74"/>
  <c r="V62" i="74"/>
  <c r="AC62" i="74" s="1"/>
  <c r="U62" i="74"/>
  <c r="AB62" i="74" s="1"/>
  <c r="Q62" i="74"/>
  <c r="AA61" i="74"/>
  <c r="Z61" i="74"/>
  <c r="Y61" i="74"/>
  <c r="AE61" i="74" s="1"/>
  <c r="X61" i="74"/>
  <c r="V61" i="74"/>
  <c r="AC61" i="74" s="1"/>
  <c r="AB61" i="74"/>
  <c r="Q61" i="74"/>
  <c r="AE60" i="74"/>
  <c r="AA60" i="74"/>
  <c r="Z60" i="74"/>
  <c r="Y60" i="74"/>
  <c r="V60" i="74"/>
  <c r="AC60" i="74" s="1"/>
  <c r="U60" i="74"/>
  <c r="AB60" i="74" s="1"/>
  <c r="Q60" i="74"/>
  <c r="X60" i="74" s="1"/>
  <c r="AA59" i="74"/>
  <c r="Z59" i="74"/>
  <c r="Y59" i="74"/>
  <c r="AE59" i="74" s="1"/>
  <c r="V59" i="74"/>
  <c r="AC59" i="74" s="1"/>
  <c r="U59" i="74"/>
  <c r="AB59" i="74" s="1"/>
  <c r="Q59" i="74"/>
  <c r="X59" i="74" s="1"/>
  <c r="AA58" i="74"/>
  <c r="Z58" i="74"/>
  <c r="Y58" i="74"/>
  <c r="AE58" i="74" s="1"/>
  <c r="X58" i="74"/>
  <c r="V58" i="74"/>
  <c r="U58" i="74"/>
  <c r="Q58" i="74"/>
  <c r="AA57" i="74"/>
  <c r="Z57" i="74"/>
  <c r="Y57" i="74"/>
  <c r="AE57" i="74" s="1"/>
  <c r="V57" i="74"/>
  <c r="AC57" i="74" s="1"/>
  <c r="U57" i="74"/>
  <c r="AB57" i="74" s="1"/>
  <c r="Q57" i="74"/>
  <c r="X57" i="74" s="1"/>
  <c r="AA56" i="74"/>
  <c r="Z56" i="74"/>
  <c r="Y56" i="74"/>
  <c r="AE56" i="74" s="1"/>
  <c r="X56" i="74"/>
  <c r="V56" i="74"/>
  <c r="U56" i="74"/>
  <c r="AB56" i="74" s="1"/>
  <c r="AA55" i="74"/>
  <c r="Z55" i="74"/>
  <c r="Y55" i="74"/>
  <c r="AE55" i="74" s="1"/>
  <c r="V55" i="74"/>
  <c r="AC55" i="74" s="1"/>
  <c r="U55" i="74"/>
  <c r="AB55" i="74" s="1"/>
  <c r="Q55" i="74"/>
  <c r="X55" i="74" s="1"/>
  <c r="AA54" i="74"/>
  <c r="Z54" i="74"/>
  <c r="Y54" i="74"/>
  <c r="AE54" i="74" s="1"/>
  <c r="V54" i="74"/>
  <c r="AC54" i="74" s="1"/>
  <c r="U54" i="74"/>
  <c r="AB54" i="74" s="1"/>
  <c r="Q54" i="74"/>
  <c r="X54" i="74" s="1"/>
  <c r="AA53" i="74"/>
  <c r="Z53" i="74"/>
  <c r="Y53" i="74"/>
  <c r="AE53" i="74" s="1"/>
  <c r="V53" i="74"/>
  <c r="AC53" i="74" s="1"/>
  <c r="U53" i="74"/>
  <c r="AB53" i="74" s="1"/>
  <c r="Q53" i="74"/>
  <c r="X53" i="74" s="1"/>
  <c r="AA52" i="74"/>
  <c r="Z52" i="74"/>
  <c r="Y52" i="74"/>
  <c r="AE52" i="74" s="1"/>
  <c r="X52" i="74"/>
  <c r="V52" i="74"/>
  <c r="AC52" i="74" s="1"/>
  <c r="U52" i="74"/>
  <c r="AB52" i="74" s="1"/>
  <c r="Q52" i="74"/>
  <c r="AA51" i="74"/>
  <c r="Z51" i="74"/>
  <c r="Y51" i="74"/>
  <c r="AE51" i="74" s="1"/>
  <c r="V51" i="74"/>
  <c r="AC51" i="74" s="1"/>
  <c r="U51" i="74"/>
  <c r="AB51" i="74" s="1"/>
  <c r="Q51" i="74"/>
  <c r="X51" i="74" s="1"/>
  <c r="AA50" i="74"/>
  <c r="Z50" i="74"/>
  <c r="Y50" i="74"/>
  <c r="AE50" i="74" s="1"/>
  <c r="V50" i="74"/>
  <c r="AC50" i="74" s="1"/>
  <c r="U50" i="74"/>
  <c r="AB50" i="74" s="1"/>
  <c r="Q50" i="74"/>
  <c r="X50" i="74" s="1"/>
  <c r="AA49" i="74"/>
  <c r="Z49" i="74"/>
  <c r="Y49" i="74"/>
  <c r="AE49" i="74" s="1"/>
  <c r="X49" i="74"/>
  <c r="V49" i="74"/>
  <c r="AC49" i="74" s="1"/>
  <c r="U49" i="74"/>
  <c r="AB49" i="74" s="1"/>
  <c r="Q49" i="74"/>
  <c r="AA48" i="74"/>
  <c r="Z48" i="74"/>
  <c r="Y48" i="74"/>
  <c r="AE48" i="74" s="1"/>
  <c r="V48" i="74"/>
  <c r="AC48" i="74" s="1"/>
  <c r="U48" i="74"/>
  <c r="AB48" i="74" s="1"/>
  <c r="Q48" i="74"/>
  <c r="X48" i="74" s="1"/>
  <c r="AA47" i="74"/>
  <c r="Z47" i="74"/>
  <c r="Y47" i="74"/>
  <c r="AE47" i="74" s="1"/>
  <c r="X47" i="74"/>
  <c r="V47" i="74"/>
  <c r="AC47" i="74" s="1"/>
  <c r="U47" i="74"/>
  <c r="AB47" i="74" s="1"/>
  <c r="Q47" i="74"/>
  <c r="AA46" i="74"/>
  <c r="Z46" i="74"/>
  <c r="Y46" i="74"/>
  <c r="AE46" i="74" s="1"/>
  <c r="V46" i="74"/>
  <c r="AC46" i="74" s="1"/>
  <c r="U46" i="74"/>
  <c r="AB46" i="74" s="1"/>
  <c r="Q46" i="74"/>
  <c r="X46" i="74" s="1"/>
  <c r="AA45" i="74"/>
  <c r="Z45" i="74"/>
  <c r="Y45" i="74"/>
  <c r="AE45" i="74" s="1"/>
  <c r="V45" i="74"/>
  <c r="AC45" i="74" s="1"/>
  <c r="U45" i="74"/>
  <c r="AB45" i="74" s="1"/>
  <c r="Q45" i="74"/>
  <c r="X45" i="74" s="1"/>
  <c r="AA44" i="74"/>
  <c r="Z44" i="74"/>
  <c r="Y44" i="74"/>
  <c r="AE44" i="74" s="1"/>
  <c r="V44" i="74"/>
  <c r="AC44" i="74" s="1"/>
  <c r="U44" i="74"/>
  <c r="AB44" i="74" s="1"/>
  <c r="Q44" i="74"/>
  <c r="X44" i="74" s="1"/>
  <c r="AA43" i="74"/>
  <c r="Z43" i="74"/>
  <c r="Y43" i="74"/>
  <c r="AE43" i="74" s="1"/>
  <c r="V43" i="74"/>
  <c r="AC43" i="74" s="1"/>
  <c r="U43" i="74"/>
  <c r="AB43" i="74" s="1"/>
  <c r="Q43" i="74"/>
  <c r="X43" i="74" s="1"/>
  <c r="AA42" i="74"/>
  <c r="Z42" i="74"/>
  <c r="Y42" i="74"/>
  <c r="AE42" i="74" s="1"/>
  <c r="V42" i="74"/>
  <c r="AC42" i="74" s="1"/>
  <c r="U42" i="74"/>
  <c r="AB42" i="74" s="1"/>
  <c r="Q42" i="74"/>
  <c r="X42" i="74" s="1"/>
  <c r="AA41" i="74"/>
  <c r="Z41" i="74"/>
  <c r="Y41" i="74"/>
  <c r="AE41" i="74" s="1"/>
  <c r="X41" i="74"/>
  <c r="V41" i="74"/>
  <c r="AC41" i="74" s="1"/>
  <c r="U41" i="74"/>
  <c r="AB41" i="74" s="1"/>
  <c r="Q41" i="74"/>
  <c r="AA40" i="74"/>
  <c r="Z40" i="74"/>
  <c r="Y40" i="74"/>
  <c r="AE40" i="74" s="1"/>
  <c r="V40" i="74"/>
  <c r="AC40" i="74" s="1"/>
  <c r="U40" i="74"/>
  <c r="AB40" i="74" s="1"/>
  <c r="Q40" i="74"/>
  <c r="X40" i="74" s="1"/>
  <c r="AA39" i="74"/>
  <c r="Z39" i="74"/>
  <c r="Y39" i="74"/>
  <c r="AE39" i="74" s="1"/>
  <c r="V39" i="74"/>
  <c r="AC39" i="74" s="1"/>
  <c r="U39" i="74"/>
  <c r="AB39" i="74" s="1"/>
  <c r="Q39" i="74"/>
  <c r="X39" i="74" s="1"/>
  <c r="AA38" i="74"/>
  <c r="Z38" i="74"/>
  <c r="Y38" i="74"/>
  <c r="AE38" i="74" s="1"/>
  <c r="V38" i="74"/>
  <c r="AC38" i="74" s="1"/>
  <c r="U38" i="74"/>
  <c r="AB38" i="74" s="1"/>
  <c r="Q38" i="74"/>
  <c r="X38" i="74" s="1"/>
  <c r="AA37" i="74"/>
  <c r="Z37" i="74"/>
  <c r="Y37" i="74"/>
  <c r="AE37" i="74" s="1"/>
  <c r="V37" i="74"/>
  <c r="AC37" i="74" s="1"/>
  <c r="U37" i="74"/>
  <c r="AB37" i="74" s="1"/>
  <c r="Q37" i="74"/>
  <c r="X37" i="74" s="1"/>
  <c r="AA36" i="74"/>
  <c r="Z36" i="74"/>
  <c r="Y36" i="74"/>
  <c r="AE36" i="74" s="1"/>
  <c r="V36" i="74"/>
  <c r="AC36" i="74" s="1"/>
  <c r="U36" i="74"/>
  <c r="Q36" i="74"/>
  <c r="X36" i="74" s="1"/>
  <c r="AE35" i="74"/>
  <c r="V35" i="74"/>
  <c r="U35" i="74"/>
  <c r="AB35" i="74" s="1"/>
  <c r="Q35" i="74"/>
  <c r="X35" i="74" s="1"/>
  <c r="AA34" i="74"/>
  <c r="Z34" i="74"/>
  <c r="Y34" i="74"/>
  <c r="AE34" i="74" s="1"/>
  <c r="V34" i="74"/>
  <c r="AC34" i="74" s="1"/>
  <c r="U34" i="74"/>
  <c r="AB34" i="74" s="1"/>
  <c r="Q34" i="74"/>
  <c r="X34" i="74" s="1"/>
  <c r="AA33" i="74"/>
  <c r="Z33" i="74"/>
  <c r="Y33" i="74"/>
  <c r="AE33" i="74" s="1"/>
  <c r="X33" i="74"/>
  <c r="V33" i="74"/>
  <c r="AC33" i="74" s="1"/>
  <c r="U33" i="74"/>
  <c r="AB33" i="74" s="1"/>
  <c r="Q33" i="74"/>
  <c r="AA32" i="74"/>
  <c r="Z32" i="74"/>
  <c r="Y32" i="74"/>
  <c r="AE32" i="74" s="1"/>
  <c r="V32" i="74"/>
  <c r="AC32" i="74" s="1"/>
  <c r="U32" i="74"/>
  <c r="AB32" i="74" s="1"/>
  <c r="Q32" i="74"/>
  <c r="X32" i="74" s="1"/>
  <c r="AA31" i="74"/>
  <c r="Z31" i="74"/>
  <c r="Y31" i="74"/>
  <c r="AE31" i="74" s="1"/>
  <c r="V31" i="74"/>
  <c r="AC31" i="74" s="1"/>
  <c r="U31" i="74"/>
  <c r="AB31" i="74" s="1"/>
  <c r="Q31" i="74"/>
  <c r="X31" i="74" s="1"/>
  <c r="AA30" i="74"/>
  <c r="Z30" i="74"/>
  <c r="Y30" i="74"/>
  <c r="AE30" i="74" s="1"/>
  <c r="V30" i="74"/>
  <c r="AC30" i="74" s="1"/>
  <c r="U30" i="74"/>
  <c r="AB30" i="74" s="1"/>
  <c r="Q30" i="74"/>
  <c r="X30" i="74" s="1"/>
  <c r="AA29" i="74"/>
  <c r="Z29" i="74"/>
  <c r="Y29" i="74"/>
  <c r="AE29" i="74" s="1"/>
  <c r="V29" i="74"/>
  <c r="AC29" i="74" s="1"/>
  <c r="U29" i="74"/>
  <c r="AB29" i="74" s="1"/>
  <c r="Q29" i="74"/>
  <c r="X29" i="74" s="1"/>
  <c r="AA28" i="74"/>
  <c r="Z28" i="74"/>
  <c r="Y28" i="74"/>
  <c r="AE28" i="74" s="1"/>
  <c r="V28" i="74"/>
  <c r="AC28" i="74" s="1"/>
  <c r="U28" i="74"/>
  <c r="AB28" i="74" s="1"/>
  <c r="Q28" i="74"/>
  <c r="X28" i="74" s="1"/>
  <c r="AA27" i="74"/>
  <c r="Z27" i="74"/>
  <c r="Y27" i="74"/>
  <c r="AE27" i="74" s="1"/>
  <c r="X27" i="74"/>
  <c r="V27" i="74"/>
  <c r="AC27" i="74" s="1"/>
  <c r="U27" i="74"/>
  <c r="AB27" i="74" s="1"/>
  <c r="Q27" i="74"/>
  <c r="AC26" i="74"/>
  <c r="AA26" i="74"/>
  <c r="Z26" i="74"/>
  <c r="Y26" i="74"/>
  <c r="AE26" i="74" s="1"/>
  <c r="X26" i="74"/>
  <c r="V26" i="74"/>
  <c r="U26" i="74"/>
  <c r="AB26" i="74" s="1"/>
  <c r="Q26" i="74"/>
  <c r="AA25" i="74"/>
  <c r="Z25" i="74"/>
  <c r="Y25" i="74"/>
  <c r="AE25" i="74" s="1"/>
  <c r="V25" i="74"/>
  <c r="AC25" i="74" s="1"/>
  <c r="U25" i="74"/>
  <c r="AB25" i="74" s="1"/>
  <c r="Q25" i="74"/>
  <c r="X25" i="74" s="1"/>
  <c r="AA24" i="74"/>
  <c r="Z24" i="74"/>
  <c r="Y24" i="74"/>
  <c r="AE24" i="74" s="1"/>
  <c r="V24" i="74"/>
  <c r="AC24" i="74" s="1"/>
  <c r="U24" i="74"/>
  <c r="AB24" i="74" s="1"/>
  <c r="Q24" i="74"/>
  <c r="X24" i="74" s="1"/>
  <c r="AA23" i="74"/>
  <c r="Z23" i="74"/>
  <c r="Y23" i="74"/>
  <c r="AE23" i="74" s="1"/>
  <c r="V23" i="74"/>
  <c r="AC23" i="74" s="1"/>
  <c r="U23" i="74"/>
  <c r="AB23" i="74" s="1"/>
  <c r="Q23" i="74"/>
  <c r="X23" i="74" s="1"/>
  <c r="AA22" i="74"/>
  <c r="Z22" i="74"/>
  <c r="Y22" i="74"/>
  <c r="AE22" i="74" s="1"/>
  <c r="V22" i="74"/>
  <c r="AC22" i="74" s="1"/>
  <c r="U22" i="74"/>
  <c r="AB22" i="74" s="1"/>
  <c r="Q22" i="74"/>
  <c r="X22" i="74" s="1"/>
  <c r="AA21" i="74"/>
  <c r="Z21" i="74"/>
  <c r="Y21" i="74"/>
  <c r="AE21" i="74" s="1"/>
  <c r="V21" i="74"/>
  <c r="AC21" i="74" s="1"/>
  <c r="U21" i="74"/>
  <c r="AB21" i="74" s="1"/>
  <c r="Q21" i="74"/>
  <c r="X21" i="74" s="1"/>
  <c r="AA20" i="74"/>
  <c r="Z20" i="74"/>
  <c r="Y20" i="74"/>
  <c r="AE20" i="74" s="1"/>
  <c r="X20" i="74"/>
  <c r="V20" i="74"/>
  <c r="AC20" i="74" s="1"/>
  <c r="U20" i="74"/>
  <c r="AA19" i="74"/>
  <c r="Z19" i="74"/>
  <c r="Y19" i="74"/>
  <c r="AE19" i="74" s="1"/>
  <c r="V19" i="74"/>
  <c r="AC19" i="74" s="1"/>
  <c r="U19" i="74"/>
  <c r="AB19" i="74" s="1"/>
  <c r="Q19" i="74"/>
  <c r="X19" i="74" s="1"/>
  <c r="AA18" i="74"/>
  <c r="Z18" i="74"/>
  <c r="Y18" i="74"/>
  <c r="AE18" i="74" s="1"/>
  <c r="X18" i="74"/>
  <c r="V18" i="74"/>
  <c r="AC18" i="74" s="1"/>
  <c r="U18" i="74"/>
  <c r="AB18" i="74" s="1"/>
  <c r="Q18" i="74"/>
  <c r="AA17" i="74"/>
  <c r="Z17" i="74"/>
  <c r="Y17" i="74"/>
  <c r="AE17" i="74" s="1"/>
  <c r="V17" i="74"/>
  <c r="AC17" i="74" s="1"/>
  <c r="U17" i="74"/>
  <c r="AB17" i="74" s="1"/>
  <c r="Q17" i="74"/>
  <c r="X17" i="74" s="1"/>
  <c r="AA16" i="74"/>
  <c r="Z16" i="74"/>
  <c r="Y16" i="74"/>
  <c r="AE16" i="74" s="1"/>
  <c r="V16" i="74"/>
  <c r="AC16" i="74" s="1"/>
  <c r="U16" i="74"/>
  <c r="AB16" i="74" s="1"/>
  <c r="Q16" i="74"/>
  <c r="X16" i="74" s="1"/>
  <c r="AA15" i="74"/>
  <c r="Z15" i="74"/>
  <c r="Y15" i="74"/>
  <c r="V15" i="74"/>
  <c r="AC15" i="74" s="1"/>
  <c r="U15" i="74"/>
  <c r="AB15" i="74" s="1"/>
  <c r="X15" i="74"/>
  <c r="T114" i="74" l="1"/>
  <c r="AA95" i="74"/>
  <c r="Z87" i="74"/>
  <c r="R114" i="74"/>
  <c r="U114" i="74" s="1"/>
  <c r="Z95" i="74"/>
  <c r="S114" i="74"/>
  <c r="Y95" i="74"/>
  <c r="AA87" i="74"/>
  <c r="U87" i="74"/>
  <c r="Y87" i="74"/>
  <c r="AA78" i="74"/>
  <c r="Y78" i="74"/>
  <c r="Z78" i="74"/>
  <c r="U78" i="74"/>
  <c r="AE81" i="74"/>
  <c r="AE87" i="74" s="1"/>
  <c r="AE15" i="74"/>
  <c r="AE78" i="74" s="1"/>
  <c r="AE90" i="74"/>
  <c r="AE95" i="74" s="1"/>
  <c r="U95" i="74"/>
  <c r="Q35" i="73"/>
  <c r="Q92" i="73"/>
  <c r="AB87" i="74" l="1"/>
  <c r="Y114" i="74"/>
  <c r="Z114" i="74"/>
  <c r="AA114" i="74"/>
  <c r="AB78" i="74"/>
  <c r="AE114" i="74"/>
  <c r="K116" i="74" s="1"/>
  <c r="Q15" i="73"/>
  <c r="X15" i="73" s="1"/>
  <c r="U15" i="73"/>
  <c r="V15" i="73"/>
  <c r="Y15" i="73"/>
  <c r="Z15" i="73"/>
  <c r="AB114" i="74" l="1"/>
  <c r="AA82" i="73"/>
  <c r="Z82" i="73"/>
  <c r="Y82" i="73"/>
  <c r="T95" i="73" l="1"/>
  <c r="S95" i="73"/>
  <c r="R95" i="73"/>
  <c r="AA92" i="73"/>
  <c r="Z92" i="73"/>
  <c r="Y92" i="73"/>
  <c r="AE92" i="73" s="1"/>
  <c r="V92" i="73"/>
  <c r="AC92" i="73" s="1"/>
  <c r="U92" i="73"/>
  <c r="AB92" i="73" s="1"/>
  <c r="X92" i="73"/>
  <c r="AA91" i="73"/>
  <c r="Z91" i="73"/>
  <c r="Y91" i="73"/>
  <c r="AE91" i="73" s="1"/>
  <c r="Q91" i="73"/>
  <c r="X91" i="73" s="1"/>
  <c r="AA90" i="73"/>
  <c r="Z90" i="73"/>
  <c r="Y90" i="73"/>
  <c r="AE90" i="73" s="1"/>
  <c r="V90" i="73"/>
  <c r="AC90" i="73" s="1"/>
  <c r="U90" i="73"/>
  <c r="Q90" i="73"/>
  <c r="X90" i="73" s="1"/>
  <c r="AA89" i="73"/>
  <c r="AA95" i="73" s="1"/>
  <c r="Z89" i="73"/>
  <c r="Y89" i="73"/>
  <c r="V89" i="73"/>
  <c r="AC89" i="73" s="1"/>
  <c r="U89" i="73"/>
  <c r="AB89" i="73" s="1"/>
  <c r="Q89" i="73"/>
  <c r="X89" i="73" s="1"/>
  <c r="T87" i="73"/>
  <c r="S87" i="73"/>
  <c r="R87" i="73"/>
  <c r="AE84" i="73"/>
  <c r="AA84" i="73"/>
  <c r="Z84" i="73"/>
  <c r="V84" i="73"/>
  <c r="AC84" i="73" s="1"/>
  <c r="U84" i="73"/>
  <c r="AB84" i="73" s="1"/>
  <c r="Q84" i="73"/>
  <c r="X84" i="73" s="1"/>
  <c r="AA83" i="73"/>
  <c r="Z83" i="73"/>
  <c r="Y83" i="73"/>
  <c r="AE83" i="73" s="1"/>
  <c r="V83" i="73"/>
  <c r="AC83" i="73" s="1"/>
  <c r="U83" i="73"/>
  <c r="AB83" i="73" s="1"/>
  <c r="Q83" i="73"/>
  <c r="X83" i="73" s="1"/>
  <c r="AE82" i="73"/>
  <c r="V82" i="73"/>
  <c r="AC82" i="73" s="1"/>
  <c r="U82" i="73"/>
  <c r="AB82" i="73" s="1"/>
  <c r="Q82" i="73"/>
  <c r="X82" i="73" s="1"/>
  <c r="AA81" i="73"/>
  <c r="Z81" i="73"/>
  <c r="Y81" i="73"/>
  <c r="AE81" i="73" s="1"/>
  <c r="X81" i="73"/>
  <c r="V81" i="73"/>
  <c r="AC81" i="73" s="1"/>
  <c r="U81" i="73"/>
  <c r="AB81" i="73" s="1"/>
  <c r="Q81" i="73"/>
  <c r="T78" i="73"/>
  <c r="S78" i="73"/>
  <c r="R78" i="73"/>
  <c r="AA77" i="73"/>
  <c r="Z77" i="73"/>
  <c r="Y77" i="73"/>
  <c r="AE77" i="73" s="1"/>
  <c r="V77" i="73"/>
  <c r="AC77" i="73" s="1"/>
  <c r="U77" i="73"/>
  <c r="AB77" i="73" s="1"/>
  <c r="Q77" i="73"/>
  <c r="X77" i="73" s="1"/>
  <c r="AA76" i="73"/>
  <c r="Z76" i="73"/>
  <c r="Y76" i="73"/>
  <c r="AE76" i="73" s="1"/>
  <c r="V76" i="73"/>
  <c r="AC76" i="73" s="1"/>
  <c r="U76" i="73"/>
  <c r="AB76" i="73" s="1"/>
  <c r="Q76" i="73"/>
  <c r="X76" i="73" s="1"/>
  <c r="AA75" i="73"/>
  <c r="Z75" i="73"/>
  <c r="Y75" i="73"/>
  <c r="AE75" i="73" s="1"/>
  <c r="V75" i="73"/>
  <c r="AC75" i="73" s="1"/>
  <c r="U75" i="73"/>
  <c r="AB75" i="73" s="1"/>
  <c r="Q75" i="73"/>
  <c r="X75" i="73" s="1"/>
  <c r="AA74" i="73"/>
  <c r="Z74" i="73"/>
  <c r="Y74" i="73"/>
  <c r="AE74" i="73" s="1"/>
  <c r="V74" i="73"/>
  <c r="AC74" i="73" s="1"/>
  <c r="U74" i="73"/>
  <c r="AB74" i="73" s="1"/>
  <c r="Q74" i="73"/>
  <c r="X74" i="73" s="1"/>
  <c r="AA73" i="73"/>
  <c r="Z73" i="73"/>
  <c r="Y73" i="73"/>
  <c r="AE73" i="73" s="1"/>
  <c r="V73" i="73"/>
  <c r="AC73" i="73" s="1"/>
  <c r="U73" i="73"/>
  <c r="AB73" i="73" s="1"/>
  <c r="Q73" i="73"/>
  <c r="X73" i="73" s="1"/>
  <c r="AA72" i="73"/>
  <c r="Z72" i="73"/>
  <c r="Y72" i="73"/>
  <c r="AE72" i="73" s="1"/>
  <c r="V72" i="73"/>
  <c r="AC72" i="73" s="1"/>
  <c r="U72" i="73"/>
  <c r="AB72" i="73" s="1"/>
  <c r="Q72" i="73"/>
  <c r="X72" i="73" s="1"/>
  <c r="AA71" i="73"/>
  <c r="Z71" i="73"/>
  <c r="Y71" i="73"/>
  <c r="AE71" i="73" s="1"/>
  <c r="V71" i="73"/>
  <c r="AC71" i="73" s="1"/>
  <c r="U71" i="73"/>
  <c r="AB71" i="73" s="1"/>
  <c r="Q71" i="73"/>
  <c r="X71" i="73" s="1"/>
  <c r="AA70" i="73"/>
  <c r="Z70" i="73"/>
  <c r="Y70" i="73"/>
  <c r="AE70" i="73" s="1"/>
  <c r="V70" i="73"/>
  <c r="U70" i="73"/>
  <c r="Q70" i="73"/>
  <c r="X70" i="73" s="1"/>
  <c r="AA69" i="73"/>
  <c r="Z69" i="73"/>
  <c r="Y69" i="73"/>
  <c r="AE69" i="73" s="1"/>
  <c r="V69" i="73"/>
  <c r="AC69" i="73" s="1"/>
  <c r="U69" i="73"/>
  <c r="AB69" i="73" s="1"/>
  <c r="Q69" i="73"/>
  <c r="X69" i="73" s="1"/>
  <c r="AA68" i="73"/>
  <c r="Z68" i="73"/>
  <c r="Y68" i="73"/>
  <c r="AE68" i="73" s="1"/>
  <c r="V68" i="73"/>
  <c r="AC68" i="73" s="1"/>
  <c r="U68" i="73"/>
  <c r="AB68" i="73" s="1"/>
  <c r="Q68" i="73"/>
  <c r="X68" i="73" s="1"/>
  <c r="AA67" i="73"/>
  <c r="Z67" i="73"/>
  <c r="Y67" i="73"/>
  <c r="AE67" i="73" s="1"/>
  <c r="X67" i="73"/>
  <c r="V67" i="73"/>
  <c r="AC67" i="73" s="1"/>
  <c r="U67" i="73"/>
  <c r="AB67" i="73" s="1"/>
  <c r="Q67" i="73"/>
  <c r="AA66" i="73"/>
  <c r="Z66" i="73"/>
  <c r="Y66" i="73"/>
  <c r="AE66" i="73" s="1"/>
  <c r="X66" i="73"/>
  <c r="V66" i="73"/>
  <c r="AC66" i="73" s="1"/>
  <c r="U66" i="73"/>
  <c r="AB66" i="73" s="1"/>
  <c r="AA65" i="73"/>
  <c r="Z65" i="73"/>
  <c r="Y65" i="73"/>
  <c r="AE65" i="73" s="1"/>
  <c r="V65" i="73"/>
  <c r="AC65" i="73" s="1"/>
  <c r="U65" i="73"/>
  <c r="AB65" i="73" s="1"/>
  <c r="Q65" i="73"/>
  <c r="X65" i="73" s="1"/>
  <c r="AA64" i="73"/>
  <c r="Z64" i="73"/>
  <c r="Y64" i="73"/>
  <c r="AE64" i="73" s="1"/>
  <c r="V64" i="73"/>
  <c r="AC64" i="73" s="1"/>
  <c r="U64" i="73"/>
  <c r="AB64" i="73" s="1"/>
  <c r="Q64" i="73"/>
  <c r="X64" i="73" s="1"/>
  <c r="AA63" i="73"/>
  <c r="Z63" i="73"/>
  <c r="Y63" i="73"/>
  <c r="AE63" i="73" s="1"/>
  <c r="X63" i="73"/>
  <c r="V63" i="73"/>
  <c r="AC63" i="73" s="1"/>
  <c r="U63" i="73"/>
  <c r="AB63" i="73" s="1"/>
  <c r="Q63" i="73"/>
  <c r="AA62" i="73"/>
  <c r="Z62" i="73"/>
  <c r="Y62" i="73"/>
  <c r="AE62" i="73" s="1"/>
  <c r="V62" i="73"/>
  <c r="AC62" i="73" s="1"/>
  <c r="U62" i="73"/>
  <c r="AB62" i="73" s="1"/>
  <c r="Q62" i="73"/>
  <c r="X62" i="73" s="1"/>
  <c r="AA61" i="73"/>
  <c r="Z61" i="73"/>
  <c r="Y61" i="73"/>
  <c r="AE61" i="73" s="1"/>
  <c r="V61" i="73"/>
  <c r="AC61" i="73" s="1"/>
  <c r="U61" i="73"/>
  <c r="AB61" i="73" s="1"/>
  <c r="Q61" i="73"/>
  <c r="X61" i="73" s="1"/>
  <c r="AA60" i="73"/>
  <c r="Z60" i="73"/>
  <c r="Y60" i="73"/>
  <c r="AE60" i="73" s="1"/>
  <c r="V60" i="73"/>
  <c r="AC60" i="73" s="1"/>
  <c r="U60" i="73"/>
  <c r="AB60" i="73" s="1"/>
  <c r="Q60" i="73"/>
  <c r="X60" i="73" s="1"/>
  <c r="AE59" i="73"/>
  <c r="AA59" i="73"/>
  <c r="Z59" i="73"/>
  <c r="Y59" i="73"/>
  <c r="V59" i="73"/>
  <c r="AC59" i="73" s="1"/>
  <c r="U59" i="73"/>
  <c r="AB59" i="73" s="1"/>
  <c r="Q59" i="73"/>
  <c r="X59" i="73" s="1"/>
  <c r="AE58" i="73"/>
  <c r="AA58" i="73"/>
  <c r="Z58" i="73"/>
  <c r="Y58" i="73"/>
  <c r="X58" i="73"/>
  <c r="V58" i="73"/>
  <c r="U58" i="73"/>
  <c r="Q58" i="73"/>
  <c r="AA57" i="73"/>
  <c r="Z57" i="73"/>
  <c r="Y57" i="73"/>
  <c r="AE57" i="73" s="1"/>
  <c r="V57" i="73"/>
  <c r="AC57" i="73" s="1"/>
  <c r="U57" i="73"/>
  <c r="AB57" i="73" s="1"/>
  <c r="Q57" i="73"/>
  <c r="X57" i="73" s="1"/>
  <c r="AA56" i="73"/>
  <c r="Z56" i="73"/>
  <c r="Y56" i="73"/>
  <c r="AE56" i="73" s="1"/>
  <c r="X56" i="73"/>
  <c r="V56" i="73"/>
  <c r="U56" i="73"/>
  <c r="Q56" i="73"/>
  <c r="AE55" i="73"/>
  <c r="AA55" i="73"/>
  <c r="Z55" i="73"/>
  <c r="Y55" i="73"/>
  <c r="V55" i="73"/>
  <c r="AC55" i="73" s="1"/>
  <c r="U55" i="73"/>
  <c r="AB55" i="73" s="1"/>
  <c r="Q55" i="73"/>
  <c r="X55" i="73" s="1"/>
  <c r="AA54" i="73"/>
  <c r="Z54" i="73"/>
  <c r="Y54" i="73"/>
  <c r="AE54" i="73" s="1"/>
  <c r="V54" i="73"/>
  <c r="AC54" i="73" s="1"/>
  <c r="U54" i="73"/>
  <c r="AB54" i="73" s="1"/>
  <c r="Q54" i="73"/>
  <c r="X54" i="73" s="1"/>
  <c r="AA53" i="73"/>
  <c r="Z53" i="73"/>
  <c r="Y53" i="73"/>
  <c r="AE53" i="73" s="1"/>
  <c r="V53" i="73"/>
  <c r="AC53" i="73" s="1"/>
  <c r="U53" i="73"/>
  <c r="AB53" i="73" s="1"/>
  <c r="Q53" i="73"/>
  <c r="X53" i="73" s="1"/>
  <c r="AA52" i="73"/>
  <c r="Z52" i="73"/>
  <c r="Y52" i="73"/>
  <c r="AE52" i="73" s="1"/>
  <c r="V52" i="73"/>
  <c r="AC52" i="73" s="1"/>
  <c r="U52" i="73"/>
  <c r="AB52" i="73" s="1"/>
  <c r="Q52" i="73"/>
  <c r="X52" i="73" s="1"/>
  <c r="AA51" i="73"/>
  <c r="Z51" i="73"/>
  <c r="Y51" i="73"/>
  <c r="AE51" i="73" s="1"/>
  <c r="V51" i="73"/>
  <c r="AC51" i="73" s="1"/>
  <c r="U51" i="73"/>
  <c r="AB51" i="73" s="1"/>
  <c r="Q51" i="73"/>
  <c r="X51" i="73" s="1"/>
  <c r="AA50" i="73"/>
  <c r="Z50" i="73"/>
  <c r="Y50" i="73"/>
  <c r="AE50" i="73" s="1"/>
  <c r="V50" i="73"/>
  <c r="AC50" i="73" s="1"/>
  <c r="U50" i="73"/>
  <c r="AB50" i="73" s="1"/>
  <c r="Q50" i="73"/>
  <c r="X50" i="73" s="1"/>
  <c r="AA49" i="73"/>
  <c r="Z49" i="73"/>
  <c r="Y49" i="73"/>
  <c r="AE49" i="73" s="1"/>
  <c r="X49" i="73"/>
  <c r="V49" i="73"/>
  <c r="AC49" i="73" s="1"/>
  <c r="U49" i="73"/>
  <c r="AB49" i="73" s="1"/>
  <c r="Q49" i="73"/>
  <c r="AA48" i="73"/>
  <c r="Z48" i="73"/>
  <c r="Y48" i="73"/>
  <c r="AE48" i="73" s="1"/>
  <c r="V48" i="73"/>
  <c r="AC48" i="73" s="1"/>
  <c r="U48" i="73"/>
  <c r="AB48" i="73" s="1"/>
  <c r="Q48" i="73"/>
  <c r="X48" i="73" s="1"/>
  <c r="AA47" i="73"/>
  <c r="Z47" i="73"/>
  <c r="Y47" i="73"/>
  <c r="AE47" i="73" s="1"/>
  <c r="X47" i="73"/>
  <c r="V47" i="73"/>
  <c r="AC47" i="73" s="1"/>
  <c r="U47" i="73"/>
  <c r="AB47" i="73" s="1"/>
  <c r="Q47" i="73"/>
  <c r="AA46" i="73"/>
  <c r="Z46" i="73"/>
  <c r="Y46" i="73"/>
  <c r="AE46" i="73" s="1"/>
  <c r="V46" i="73"/>
  <c r="AC46" i="73" s="1"/>
  <c r="U46" i="73"/>
  <c r="AB46" i="73" s="1"/>
  <c r="Q46" i="73"/>
  <c r="X46" i="73" s="1"/>
  <c r="AA45" i="73"/>
  <c r="Z45" i="73"/>
  <c r="Y45" i="73"/>
  <c r="AE45" i="73" s="1"/>
  <c r="V45" i="73"/>
  <c r="AC45" i="73" s="1"/>
  <c r="U45" i="73"/>
  <c r="AB45" i="73" s="1"/>
  <c r="Q45" i="73"/>
  <c r="X45" i="73" s="1"/>
  <c r="AA44" i="73"/>
  <c r="Z44" i="73"/>
  <c r="Y44" i="73"/>
  <c r="AE44" i="73" s="1"/>
  <c r="V44" i="73"/>
  <c r="AC44" i="73" s="1"/>
  <c r="U44" i="73"/>
  <c r="AB44" i="73" s="1"/>
  <c r="Q44" i="73"/>
  <c r="X44" i="73" s="1"/>
  <c r="AA43" i="73"/>
  <c r="Z43" i="73"/>
  <c r="Y43" i="73"/>
  <c r="AE43" i="73" s="1"/>
  <c r="V43" i="73"/>
  <c r="AC43" i="73" s="1"/>
  <c r="U43" i="73"/>
  <c r="AB43" i="73" s="1"/>
  <c r="Q43" i="73"/>
  <c r="X43" i="73" s="1"/>
  <c r="AB42" i="73"/>
  <c r="AA42" i="73"/>
  <c r="Z42" i="73"/>
  <c r="Y42" i="73"/>
  <c r="AE42" i="73" s="1"/>
  <c r="V42" i="73"/>
  <c r="AC42" i="73" s="1"/>
  <c r="U42" i="73"/>
  <c r="Q42" i="73"/>
  <c r="X42" i="73" s="1"/>
  <c r="AA41" i="73"/>
  <c r="Z41" i="73"/>
  <c r="Y41" i="73"/>
  <c r="AE41" i="73" s="1"/>
  <c r="V41" i="73"/>
  <c r="AC41" i="73" s="1"/>
  <c r="U41" i="73"/>
  <c r="AB41" i="73" s="1"/>
  <c r="Q41" i="73"/>
  <c r="X41" i="73" s="1"/>
  <c r="AC40" i="73"/>
  <c r="AA40" i="73"/>
  <c r="Z40" i="73"/>
  <c r="Y40" i="73"/>
  <c r="AE40" i="73" s="1"/>
  <c r="V40" i="73"/>
  <c r="U40" i="73"/>
  <c r="AB40" i="73" s="1"/>
  <c r="Q40" i="73"/>
  <c r="X40" i="73" s="1"/>
  <c r="AA39" i="73"/>
  <c r="Z39" i="73"/>
  <c r="Y39" i="73"/>
  <c r="AE39" i="73" s="1"/>
  <c r="V39" i="73"/>
  <c r="AC39" i="73" s="1"/>
  <c r="U39" i="73"/>
  <c r="AB39" i="73" s="1"/>
  <c r="Q39" i="73"/>
  <c r="X39" i="73" s="1"/>
  <c r="AA38" i="73"/>
  <c r="Z38" i="73"/>
  <c r="Y38" i="73"/>
  <c r="AE38" i="73" s="1"/>
  <c r="X38" i="73"/>
  <c r="V38" i="73"/>
  <c r="AC38" i="73" s="1"/>
  <c r="U38" i="73"/>
  <c r="AB38" i="73" s="1"/>
  <c r="Q38" i="73"/>
  <c r="AA37" i="73"/>
  <c r="Z37" i="73"/>
  <c r="Y37" i="73"/>
  <c r="AE37" i="73" s="1"/>
  <c r="V37" i="73"/>
  <c r="AC37" i="73" s="1"/>
  <c r="U37" i="73"/>
  <c r="AB37" i="73" s="1"/>
  <c r="Q37" i="73"/>
  <c r="X37" i="73" s="1"/>
  <c r="AA36" i="73"/>
  <c r="Z36" i="73"/>
  <c r="Y36" i="73"/>
  <c r="AE36" i="73" s="1"/>
  <c r="V36" i="73"/>
  <c r="AC36" i="73" s="1"/>
  <c r="U36" i="73"/>
  <c r="Q36" i="73"/>
  <c r="X36" i="73" s="1"/>
  <c r="AE35" i="73"/>
  <c r="X35" i="73"/>
  <c r="V35" i="73"/>
  <c r="U35" i="73"/>
  <c r="AB35" i="73" s="1"/>
  <c r="AA34" i="73"/>
  <c r="Z34" i="73"/>
  <c r="Y34" i="73"/>
  <c r="AE34" i="73" s="1"/>
  <c r="V34" i="73"/>
  <c r="AC34" i="73" s="1"/>
  <c r="U34" i="73"/>
  <c r="AB34" i="73" s="1"/>
  <c r="Q34" i="73"/>
  <c r="X34" i="73" s="1"/>
  <c r="AA33" i="73"/>
  <c r="Z33" i="73"/>
  <c r="Y33" i="73"/>
  <c r="AE33" i="73" s="1"/>
  <c r="V33" i="73"/>
  <c r="AC33" i="73" s="1"/>
  <c r="U33" i="73"/>
  <c r="AB33" i="73" s="1"/>
  <c r="Q33" i="73"/>
  <c r="X33" i="73" s="1"/>
  <c r="AA32" i="73"/>
  <c r="Z32" i="73"/>
  <c r="Y32" i="73"/>
  <c r="AE32" i="73" s="1"/>
  <c r="V32" i="73"/>
  <c r="AC32" i="73" s="1"/>
  <c r="U32" i="73"/>
  <c r="AB32" i="73" s="1"/>
  <c r="Q32" i="73"/>
  <c r="X32" i="73" s="1"/>
  <c r="AA31" i="73"/>
  <c r="Z31" i="73"/>
  <c r="Y31" i="73"/>
  <c r="AE31" i="73" s="1"/>
  <c r="V31" i="73"/>
  <c r="AC31" i="73" s="1"/>
  <c r="U31" i="73"/>
  <c r="AB31" i="73" s="1"/>
  <c r="Q31" i="73"/>
  <c r="X31" i="73" s="1"/>
  <c r="AA30" i="73"/>
  <c r="Z30" i="73"/>
  <c r="Y30" i="73"/>
  <c r="AE30" i="73" s="1"/>
  <c r="V30" i="73"/>
  <c r="AC30" i="73" s="1"/>
  <c r="U30" i="73"/>
  <c r="AB30" i="73" s="1"/>
  <c r="Q30" i="73"/>
  <c r="X30" i="73" s="1"/>
  <c r="AA29" i="73"/>
  <c r="Z29" i="73"/>
  <c r="Y29" i="73"/>
  <c r="AE29" i="73" s="1"/>
  <c r="V29" i="73"/>
  <c r="AC29" i="73" s="1"/>
  <c r="U29" i="73"/>
  <c r="AB29" i="73" s="1"/>
  <c r="Q29" i="73"/>
  <c r="X29" i="73" s="1"/>
  <c r="AA28" i="73"/>
  <c r="Z28" i="73"/>
  <c r="Y28" i="73"/>
  <c r="AE28" i="73" s="1"/>
  <c r="X28" i="73"/>
  <c r="V28" i="73"/>
  <c r="AC28" i="73" s="1"/>
  <c r="U28" i="73"/>
  <c r="AB28" i="73" s="1"/>
  <c r="Q28" i="73"/>
  <c r="AA27" i="73"/>
  <c r="Z27" i="73"/>
  <c r="Y27" i="73"/>
  <c r="AE27" i="73" s="1"/>
  <c r="X27" i="73"/>
  <c r="V27" i="73"/>
  <c r="AC27" i="73" s="1"/>
  <c r="U27" i="73"/>
  <c r="AB27" i="73" s="1"/>
  <c r="Q27" i="73"/>
  <c r="AE26" i="73"/>
  <c r="AA26" i="73"/>
  <c r="Z26" i="73"/>
  <c r="Y26" i="73"/>
  <c r="X26" i="73"/>
  <c r="V26" i="73"/>
  <c r="AC26" i="73" s="1"/>
  <c r="U26" i="73"/>
  <c r="AB26" i="73" s="1"/>
  <c r="Q26" i="73"/>
  <c r="AA25" i="73"/>
  <c r="Z25" i="73"/>
  <c r="Y25" i="73"/>
  <c r="AE25" i="73" s="1"/>
  <c r="V25" i="73"/>
  <c r="AC25" i="73" s="1"/>
  <c r="U25" i="73"/>
  <c r="AB25" i="73" s="1"/>
  <c r="Q25" i="73"/>
  <c r="X25" i="73" s="1"/>
  <c r="AA24" i="73"/>
  <c r="Z24" i="73"/>
  <c r="Y24" i="73"/>
  <c r="AE24" i="73" s="1"/>
  <c r="V24" i="73"/>
  <c r="AC24" i="73" s="1"/>
  <c r="U24" i="73"/>
  <c r="AB24" i="73" s="1"/>
  <c r="Q24" i="73"/>
  <c r="X24" i="73" s="1"/>
  <c r="AA23" i="73"/>
  <c r="Z23" i="73"/>
  <c r="Y23" i="73"/>
  <c r="AE23" i="73" s="1"/>
  <c r="X23" i="73"/>
  <c r="V23" i="73"/>
  <c r="AC23" i="73" s="1"/>
  <c r="U23" i="73"/>
  <c r="AB23" i="73" s="1"/>
  <c r="Q23" i="73"/>
  <c r="AA22" i="73"/>
  <c r="Z22" i="73"/>
  <c r="Y22" i="73"/>
  <c r="AE22" i="73" s="1"/>
  <c r="X22" i="73"/>
  <c r="V22" i="73"/>
  <c r="AC22" i="73" s="1"/>
  <c r="U22" i="73"/>
  <c r="AB22" i="73" s="1"/>
  <c r="Q22" i="73"/>
  <c r="AA21" i="73"/>
  <c r="Z21" i="73"/>
  <c r="Y21" i="73"/>
  <c r="AE21" i="73" s="1"/>
  <c r="V21" i="73"/>
  <c r="AC21" i="73" s="1"/>
  <c r="U21" i="73"/>
  <c r="AB21" i="73" s="1"/>
  <c r="Q21" i="73"/>
  <c r="X21" i="73" s="1"/>
  <c r="AA20" i="73"/>
  <c r="Z20" i="73"/>
  <c r="Y20" i="73"/>
  <c r="AE20" i="73" s="1"/>
  <c r="X20" i="73"/>
  <c r="V20" i="73"/>
  <c r="AC20" i="73" s="1"/>
  <c r="U20" i="73"/>
  <c r="AA19" i="73"/>
  <c r="Z19" i="73"/>
  <c r="Y19" i="73"/>
  <c r="AE19" i="73" s="1"/>
  <c r="V19" i="73"/>
  <c r="AC19" i="73" s="1"/>
  <c r="U19" i="73"/>
  <c r="AB19" i="73" s="1"/>
  <c r="Q19" i="73"/>
  <c r="X19" i="73" s="1"/>
  <c r="AA18" i="73"/>
  <c r="Z18" i="73"/>
  <c r="Y18" i="73"/>
  <c r="AE18" i="73" s="1"/>
  <c r="V18" i="73"/>
  <c r="AC18" i="73" s="1"/>
  <c r="U18" i="73"/>
  <c r="AB18" i="73" s="1"/>
  <c r="Q18" i="73"/>
  <c r="X18" i="73" s="1"/>
  <c r="AA17" i="73"/>
  <c r="Z17" i="73"/>
  <c r="Y17" i="73"/>
  <c r="AE17" i="73" s="1"/>
  <c r="V17" i="73"/>
  <c r="AC17" i="73" s="1"/>
  <c r="U17" i="73"/>
  <c r="AB17" i="73" s="1"/>
  <c r="Q17" i="73"/>
  <c r="X17" i="73" s="1"/>
  <c r="AC16" i="73"/>
  <c r="AA16" i="73"/>
  <c r="Z16" i="73"/>
  <c r="Y16" i="73"/>
  <c r="V16" i="73"/>
  <c r="U16" i="73"/>
  <c r="AB16" i="73" s="1"/>
  <c r="Q16" i="73"/>
  <c r="X16" i="73" s="1"/>
  <c r="AE15" i="73"/>
  <c r="AA15" i="73"/>
  <c r="AC15" i="73"/>
  <c r="AB15" i="73"/>
  <c r="S114" i="73" l="1"/>
  <c r="T114" i="73"/>
  <c r="U114" i="73" s="1"/>
  <c r="AA87" i="73"/>
  <c r="Y95" i="73"/>
  <c r="Z95" i="73"/>
  <c r="AE89" i="73"/>
  <c r="AE95" i="73" s="1"/>
  <c r="R114" i="73"/>
  <c r="Z87" i="73"/>
  <c r="Y87" i="73"/>
  <c r="AB87" i="73" s="1"/>
  <c r="AE87" i="73"/>
  <c r="U87" i="73"/>
  <c r="AA78" i="73"/>
  <c r="AA114" i="73" s="1"/>
  <c r="U78" i="73"/>
  <c r="Z78" i="73"/>
  <c r="Y78" i="73"/>
  <c r="AE16" i="73"/>
  <c r="AE78" i="73" s="1"/>
  <c r="U95" i="73"/>
  <c r="AA90" i="72"/>
  <c r="AA91" i="72"/>
  <c r="AA92" i="72"/>
  <c r="AA89" i="72"/>
  <c r="Z90" i="72"/>
  <c r="Z91" i="72"/>
  <c r="Z92" i="72"/>
  <c r="Z89" i="72"/>
  <c r="Q18" i="72"/>
  <c r="X18" i="72" s="1"/>
  <c r="X20" i="72"/>
  <c r="X26" i="72"/>
  <c r="X35" i="72"/>
  <c r="X47" i="72"/>
  <c r="X49" i="72"/>
  <c r="X56" i="72"/>
  <c r="X58" i="72"/>
  <c r="X66" i="72"/>
  <c r="X16" i="72"/>
  <c r="V76" i="72"/>
  <c r="V77" i="72"/>
  <c r="V16" i="72"/>
  <c r="V17" i="72"/>
  <c r="V18" i="72"/>
  <c r="V19" i="72"/>
  <c r="V20" i="72"/>
  <c r="V21" i="72"/>
  <c r="V22" i="72"/>
  <c r="V23" i="72"/>
  <c r="V24" i="72"/>
  <c r="V25" i="72"/>
  <c r="V26" i="72"/>
  <c r="V27" i="72"/>
  <c r="V28" i="72"/>
  <c r="V29" i="72"/>
  <c r="V30" i="72"/>
  <c r="V31" i="72"/>
  <c r="V32" i="72"/>
  <c r="V33" i="72"/>
  <c r="V34" i="72"/>
  <c r="V35" i="72"/>
  <c r="V36" i="72"/>
  <c r="V37" i="72"/>
  <c r="V38" i="72"/>
  <c r="V39" i="72"/>
  <c r="V40" i="72"/>
  <c r="V41" i="72"/>
  <c r="V42" i="72"/>
  <c r="V43" i="72"/>
  <c r="V44" i="72"/>
  <c r="V45" i="72"/>
  <c r="V46" i="72"/>
  <c r="V47" i="72"/>
  <c r="V48" i="72"/>
  <c r="V49" i="72"/>
  <c r="V50" i="72"/>
  <c r="V51" i="72"/>
  <c r="V52" i="72"/>
  <c r="V53" i="72"/>
  <c r="V54" i="72"/>
  <c r="V55" i="72"/>
  <c r="V56" i="72"/>
  <c r="V57" i="72"/>
  <c r="V58" i="72"/>
  <c r="V59" i="72"/>
  <c r="V60" i="72"/>
  <c r="V61" i="72"/>
  <c r="V62" i="72"/>
  <c r="V63" i="72"/>
  <c r="V64" i="72"/>
  <c r="V65" i="72"/>
  <c r="V66" i="72"/>
  <c r="V67" i="72"/>
  <c r="V68" i="72"/>
  <c r="V69" i="72"/>
  <c r="V70" i="72"/>
  <c r="V71" i="72"/>
  <c r="V72" i="72"/>
  <c r="V73" i="72"/>
  <c r="V74" i="72"/>
  <c r="V75" i="72"/>
  <c r="V15" i="72"/>
  <c r="U36" i="72"/>
  <c r="U37" i="72"/>
  <c r="U38" i="72"/>
  <c r="U39" i="72"/>
  <c r="U40" i="72"/>
  <c r="U41" i="72"/>
  <c r="U42" i="72"/>
  <c r="U43" i="72"/>
  <c r="U44" i="72"/>
  <c r="U45" i="72"/>
  <c r="U46" i="72"/>
  <c r="U47" i="72"/>
  <c r="U48" i="72"/>
  <c r="U49" i="72"/>
  <c r="U50" i="72"/>
  <c r="U51" i="72"/>
  <c r="U52" i="72"/>
  <c r="U53" i="72"/>
  <c r="U54" i="72"/>
  <c r="U55" i="72"/>
  <c r="U56" i="72"/>
  <c r="U57" i="72"/>
  <c r="U58" i="72"/>
  <c r="U59" i="72"/>
  <c r="U60" i="72"/>
  <c r="U61" i="72"/>
  <c r="U62" i="72"/>
  <c r="U63" i="72"/>
  <c r="U64" i="72"/>
  <c r="U65" i="72"/>
  <c r="U66" i="72"/>
  <c r="U67" i="72"/>
  <c r="U68" i="72"/>
  <c r="U69" i="72"/>
  <c r="U70" i="72"/>
  <c r="U71" i="72"/>
  <c r="U72" i="72"/>
  <c r="U73" i="72"/>
  <c r="U74" i="72"/>
  <c r="U75" i="72"/>
  <c r="U76" i="72"/>
  <c r="U77" i="72"/>
  <c r="U15" i="72"/>
  <c r="U16" i="72"/>
  <c r="U17" i="72"/>
  <c r="U18" i="72"/>
  <c r="U19" i="72"/>
  <c r="U20" i="72"/>
  <c r="U21" i="72"/>
  <c r="U22" i="72"/>
  <c r="U23" i="72"/>
  <c r="U24" i="72"/>
  <c r="U25" i="72"/>
  <c r="U26" i="72"/>
  <c r="U27" i="72"/>
  <c r="U28" i="72"/>
  <c r="U29" i="72"/>
  <c r="U30" i="72"/>
  <c r="U31" i="72"/>
  <c r="U32" i="72"/>
  <c r="U33" i="72"/>
  <c r="U34" i="72"/>
  <c r="Y114" i="73" l="1"/>
  <c r="Z114" i="73"/>
  <c r="AE114" i="73"/>
  <c r="K116" i="73" s="1"/>
  <c r="AB78" i="73"/>
  <c r="AB114" i="73" s="1"/>
  <c r="Y83" i="72"/>
  <c r="Z83" i="72"/>
  <c r="Z84" i="72"/>
  <c r="AA83" i="72"/>
  <c r="Q90" i="72" l="1"/>
  <c r="Q89" i="72"/>
  <c r="Q33" i="72"/>
  <c r="X33" i="72" s="1"/>
  <c r="T95" i="72" l="1"/>
  <c r="S95" i="72"/>
  <c r="R95" i="72"/>
  <c r="Y92" i="72"/>
  <c r="AE92" i="72" s="1"/>
  <c r="V92" i="72"/>
  <c r="AC92" i="72" s="1"/>
  <c r="U92" i="72"/>
  <c r="AB92" i="72" s="1"/>
  <c r="Q92" i="72"/>
  <c r="X92" i="72" s="1"/>
  <c r="Y91" i="72"/>
  <c r="AE91" i="72" s="1"/>
  <c r="Q91" i="72"/>
  <c r="X91" i="72" s="1"/>
  <c r="Y90" i="72"/>
  <c r="V90" i="72"/>
  <c r="AC90" i="72" s="1"/>
  <c r="U90" i="72"/>
  <c r="X90" i="72"/>
  <c r="AA95" i="72"/>
  <c r="Y89" i="72"/>
  <c r="AE89" i="72" s="1"/>
  <c r="X89" i="72"/>
  <c r="V89" i="72"/>
  <c r="AC89" i="72" s="1"/>
  <c r="U89" i="72"/>
  <c r="AB89" i="72" s="1"/>
  <c r="T87" i="72"/>
  <c r="S87" i="72"/>
  <c r="R87" i="72"/>
  <c r="AE84" i="72"/>
  <c r="AA84" i="72"/>
  <c r="V84" i="72"/>
  <c r="AC84" i="72" s="1"/>
  <c r="U84" i="72"/>
  <c r="AB84" i="72" s="1"/>
  <c r="Q84" i="72"/>
  <c r="X84" i="72" s="1"/>
  <c r="AE83" i="72"/>
  <c r="V83" i="72"/>
  <c r="AC83" i="72" s="1"/>
  <c r="U83" i="72"/>
  <c r="AB83" i="72" s="1"/>
  <c r="Q83" i="72"/>
  <c r="X83" i="72" s="1"/>
  <c r="AE82" i="72"/>
  <c r="V82" i="72"/>
  <c r="AC82" i="72" s="1"/>
  <c r="U82" i="72"/>
  <c r="AB82" i="72" s="1"/>
  <c r="Q82" i="72"/>
  <c r="X82" i="72" s="1"/>
  <c r="AA81" i="72"/>
  <c r="Z81" i="72"/>
  <c r="Z87" i="72" s="1"/>
  <c r="Y81" i="72"/>
  <c r="AE81" i="72" s="1"/>
  <c r="V81" i="72"/>
  <c r="AC81" i="72" s="1"/>
  <c r="U81" i="72"/>
  <c r="AB81" i="72" s="1"/>
  <c r="Q81" i="72"/>
  <c r="X81" i="72" s="1"/>
  <c r="T78" i="72"/>
  <c r="S78" i="72"/>
  <c r="R78" i="72"/>
  <c r="AA77" i="72"/>
  <c r="Z77" i="72"/>
  <c r="Y77" i="72"/>
  <c r="AE77" i="72" s="1"/>
  <c r="AC77" i="72"/>
  <c r="AB77" i="72"/>
  <c r="Q77" i="72"/>
  <c r="X77" i="72" s="1"/>
  <c r="AA76" i="72"/>
  <c r="Z76" i="72"/>
  <c r="Y76" i="72"/>
  <c r="AE76" i="72" s="1"/>
  <c r="AC76" i="72"/>
  <c r="AB76" i="72"/>
  <c r="Q76" i="72"/>
  <c r="X76" i="72" s="1"/>
  <c r="AA75" i="72"/>
  <c r="Z75" i="72"/>
  <c r="Y75" i="72"/>
  <c r="AE75" i="72" s="1"/>
  <c r="AC75" i="72"/>
  <c r="AB75" i="72"/>
  <c r="Q75" i="72"/>
  <c r="X75" i="72" s="1"/>
  <c r="AA74" i="72"/>
  <c r="Z74" i="72"/>
  <c r="Y74" i="72"/>
  <c r="AE74" i="72" s="1"/>
  <c r="AC74" i="72"/>
  <c r="AB74" i="72"/>
  <c r="Q74" i="72"/>
  <c r="X74" i="72" s="1"/>
  <c r="AC73" i="72"/>
  <c r="AA73" i="72"/>
  <c r="Z73" i="72"/>
  <c r="Y73" i="72"/>
  <c r="AE73" i="72" s="1"/>
  <c r="AB73" i="72"/>
  <c r="Q73" i="72"/>
  <c r="X73" i="72" s="1"/>
  <c r="AA72" i="72"/>
  <c r="Z72" i="72"/>
  <c r="Y72" i="72"/>
  <c r="AE72" i="72" s="1"/>
  <c r="AC72" i="72"/>
  <c r="AB72" i="72"/>
  <c r="Q72" i="72"/>
  <c r="X72" i="72" s="1"/>
  <c r="AA71" i="72"/>
  <c r="Z71" i="72"/>
  <c r="Y71" i="72"/>
  <c r="AE71" i="72" s="1"/>
  <c r="AC71" i="72"/>
  <c r="AB71" i="72"/>
  <c r="Q71" i="72"/>
  <c r="X71" i="72" s="1"/>
  <c r="AA70" i="72"/>
  <c r="Z70" i="72"/>
  <c r="Y70" i="72"/>
  <c r="AE70" i="72" s="1"/>
  <c r="Q70" i="72"/>
  <c r="X70" i="72" s="1"/>
  <c r="AC69" i="72"/>
  <c r="AB69" i="72"/>
  <c r="AA69" i="72"/>
  <c r="Z69" i="72"/>
  <c r="Y69" i="72"/>
  <c r="AE69" i="72" s="1"/>
  <c r="Q69" i="72"/>
  <c r="X69" i="72" s="1"/>
  <c r="AE68" i="72"/>
  <c r="AA68" i="72"/>
  <c r="Z68" i="72"/>
  <c r="Y68" i="72"/>
  <c r="AC68" i="72"/>
  <c r="AB68" i="72"/>
  <c r="Q68" i="72"/>
  <c r="X68" i="72" s="1"/>
  <c r="AA67" i="72"/>
  <c r="Z67" i="72"/>
  <c r="Y67" i="72"/>
  <c r="AE67" i="72" s="1"/>
  <c r="AC67" i="72"/>
  <c r="AB67" i="72"/>
  <c r="Q67" i="72"/>
  <c r="X67" i="72" s="1"/>
  <c r="AA66" i="72"/>
  <c r="Z66" i="72"/>
  <c r="Y66" i="72"/>
  <c r="AE66" i="72" s="1"/>
  <c r="AC66" i="72"/>
  <c r="AB66" i="72"/>
  <c r="AA65" i="72"/>
  <c r="Z65" i="72"/>
  <c r="Y65" i="72"/>
  <c r="AE65" i="72" s="1"/>
  <c r="AC65" i="72"/>
  <c r="AB65" i="72"/>
  <c r="Q65" i="72"/>
  <c r="X65" i="72" s="1"/>
  <c r="AA64" i="72"/>
  <c r="Z64" i="72"/>
  <c r="Y64" i="72"/>
  <c r="AE64" i="72" s="1"/>
  <c r="AC64" i="72"/>
  <c r="AB64" i="72"/>
  <c r="Q64" i="72"/>
  <c r="X64" i="72" s="1"/>
  <c r="AA63" i="72"/>
  <c r="Z63" i="72"/>
  <c r="Y63" i="72"/>
  <c r="AE63" i="72" s="1"/>
  <c r="AC63" i="72"/>
  <c r="AB63" i="72"/>
  <c r="Q63" i="72"/>
  <c r="X63" i="72" s="1"/>
  <c r="AA62" i="72"/>
  <c r="Z62" i="72"/>
  <c r="Y62" i="72"/>
  <c r="AE62" i="72" s="1"/>
  <c r="AC62" i="72"/>
  <c r="AB62" i="72"/>
  <c r="Q62" i="72"/>
  <c r="X62" i="72" s="1"/>
  <c r="AA61" i="72"/>
  <c r="Z61" i="72"/>
  <c r="Y61" i="72"/>
  <c r="AE61" i="72" s="1"/>
  <c r="AC61" i="72"/>
  <c r="AB61" i="72"/>
  <c r="Q61" i="72"/>
  <c r="X61" i="72" s="1"/>
  <c r="AA60" i="72"/>
  <c r="Z60" i="72"/>
  <c r="Y60" i="72"/>
  <c r="AE60" i="72" s="1"/>
  <c r="AC60" i="72"/>
  <c r="AB60" i="72"/>
  <c r="Q60" i="72"/>
  <c r="X60" i="72" s="1"/>
  <c r="AE59" i="72"/>
  <c r="AA59" i="72"/>
  <c r="Z59" i="72"/>
  <c r="Y59" i="72"/>
  <c r="AC59" i="72"/>
  <c r="AB59" i="72"/>
  <c r="Q59" i="72"/>
  <c r="X59" i="72" s="1"/>
  <c r="AA58" i="72"/>
  <c r="Z58" i="72"/>
  <c r="Y58" i="72"/>
  <c r="AE58" i="72" s="1"/>
  <c r="Q58" i="72"/>
  <c r="AA57" i="72"/>
  <c r="Z57" i="72"/>
  <c r="Y57" i="72"/>
  <c r="AE57" i="72" s="1"/>
  <c r="AC57" i="72"/>
  <c r="AB57" i="72"/>
  <c r="Q57" i="72"/>
  <c r="X57" i="72" s="1"/>
  <c r="AE56" i="72"/>
  <c r="AA56" i="72"/>
  <c r="Z56" i="72"/>
  <c r="Y56" i="72"/>
  <c r="Q56" i="72"/>
  <c r="AA55" i="72"/>
  <c r="Z55" i="72"/>
  <c r="Y55" i="72"/>
  <c r="AE55" i="72" s="1"/>
  <c r="AC55" i="72"/>
  <c r="AB55" i="72"/>
  <c r="Q55" i="72"/>
  <c r="X55" i="72" s="1"/>
  <c r="AA54" i="72"/>
  <c r="Z54" i="72"/>
  <c r="Y54" i="72"/>
  <c r="AE54" i="72" s="1"/>
  <c r="AC54" i="72"/>
  <c r="AB54" i="72"/>
  <c r="Q54" i="72"/>
  <c r="X54" i="72" s="1"/>
  <c r="AA53" i="72"/>
  <c r="Z53" i="72"/>
  <c r="Y53" i="72"/>
  <c r="AE53" i="72" s="1"/>
  <c r="AC53" i="72"/>
  <c r="AB53" i="72"/>
  <c r="Q53" i="72"/>
  <c r="X53" i="72" s="1"/>
  <c r="AA52" i="72"/>
  <c r="Z52" i="72"/>
  <c r="Y52" i="72"/>
  <c r="AE52" i="72" s="1"/>
  <c r="AC52" i="72"/>
  <c r="AB52" i="72"/>
  <c r="Q52" i="72"/>
  <c r="X52" i="72" s="1"/>
  <c r="AA51" i="72"/>
  <c r="Z51" i="72"/>
  <c r="Y51" i="72"/>
  <c r="AE51" i="72" s="1"/>
  <c r="AC51" i="72"/>
  <c r="AB51" i="72"/>
  <c r="Q51" i="72"/>
  <c r="X51" i="72" s="1"/>
  <c r="AA50" i="72"/>
  <c r="Z50" i="72"/>
  <c r="Y50" i="72"/>
  <c r="AE50" i="72" s="1"/>
  <c r="AC50" i="72"/>
  <c r="AB50" i="72"/>
  <c r="Q50" i="72"/>
  <c r="X50" i="72" s="1"/>
  <c r="AC49" i="72"/>
  <c r="AB49" i="72"/>
  <c r="AA49" i="72"/>
  <c r="Z49" i="72"/>
  <c r="Y49" i="72"/>
  <c r="AE49" i="72" s="1"/>
  <c r="Q49" i="72"/>
  <c r="AA48" i="72"/>
  <c r="Z48" i="72"/>
  <c r="Y48" i="72"/>
  <c r="AE48" i="72" s="1"/>
  <c r="AC48" i="72"/>
  <c r="AB48" i="72"/>
  <c r="Q48" i="72"/>
  <c r="X48" i="72" s="1"/>
  <c r="AC47" i="72"/>
  <c r="AB47" i="72"/>
  <c r="AA47" i="72"/>
  <c r="Z47" i="72"/>
  <c r="Y47" i="72"/>
  <c r="AE47" i="72" s="1"/>
  <c r="Q47" i="72"/>
  <c r="AA46" i="72"/>
  <c r="Z46" i="72"/>
  <c r="Y46" i="72"/>
  <c r="AE46" i="72" s="1"/>
  <c r="AC46" i="72"/>
  <c r="AB46" i="72"/>
  <c r="Q46" i="72"/>
  <c r="X46" i="72" s="1"/>
  <c r="AA45" i="72"/>
  <c r="Z45" i="72"/>
  <c r="Y45" i="72"/>
  <c r="AE45" i="72" s="1"/>
  <c r="AC45" i="72"/>
  <c r="AB45" i="72"/>
  <c r="Q45" i="72"/>
  <c r="X45" i="72" s="1"/>
  <c r="AA44" i="72"/>
  <c r="Z44" i="72"/>
  <c r="Y44" i="72"/>
  <c r="AE44" i="72" s="1"/>
  <c r="AC44" i="72"/>
  <c r="AB44" i="72"/>
  <c r="Q44" i="72"/>
  <c r="X44" i="72" s="1"/>
  <c r="AA43" i="72"/>
  <c r="Z43" i="72"/>
  <c r="Y43" i="72"/>
  <c r="AE43" i="72" s="1"/>
  <c r="AC43" i="72"/>
  <c r="AB43" i="72"/>
  <c r="Q43" i="72"/>
  <c r="X43" i="72" s="1"/>
  <c r="AA42" i="72"/>
  <c r="Z42" i="72"/>
  <c r="Y42" i="72"/>
  <c r="AE42" i="72" s="1"/>
  <c r="AC42" i="72"/>
  <c r="AB42" i="72"/>
  <c r="Q42" i="72"/>
  <c r="X42" i="72" s="1"/>
  <c r="AA41" i="72"/>
  <c r="Z41" i="72"/>
  <c r="Y41" i="72"/>
  <c r="AE41" i="72" s="1"/>
  <c r="AC41" i="72"/>
  <c r="AB41" i="72"/>
  <c r="Q41" i="72"/>
  <c r="X41" i="72" s="1"/>
  <c r="AA40" i="72"/>
  <c r="Z40" i="72"/>
  <c r="Y40" i="72"/>
  <c r="AE40" i="72" s="1"/>
  <c r="AC40" i="72"/>
  <c r="AB40" i="72"/>
  <c r="Q40" i="72"/>
  <c r="X40" i="72" s="1"/>
  <c r="AA39" i="72"/>
  <c r="Z39" i="72"/>
  <c r="Y39" i="72"/>
  <c r="AE39" i="72" s="1"/>
  <c r="AC39" i="72"/>
  <c r="AB39" i="72"/>
  <c r="Q39" i="72"/>
  <c r="X39" i="72" s="1"/>
  <c r="AA38" i="72"/>
  <c r="Z38" i="72"/>
  <c r="Y38" i="72"/>
  <c r="AE38" i="72" s="1"/>
  <c r="AC38" i="72"/>
  <c r="AB38" i="72"/>
  <c r="Q38" i="72"/>
  <c r="X38" i="72" s="1"/>
  <c r="AA37" i="72"/>
  <c r="Z37" i="72"/>
  <c r="Y37" i="72"/>
  <c r="AE37" i="72" s="1"/>
  <c r="AC37" i="72"/>
  <c r="AB37" i="72"/>
  <c r="Q37" i="72"/>
  <c r="X37" i="72" s="1"/>
  <c r="AA36" i="72"/>
  <c r="Z36" i="72"/>
  <c r="Y36" i="72"/>
  <c r="AE36" i="72" s="1"/>
  <c r="AC36" i="72"/>
  <c r="Q36" i="72"/>
  <c r="X36" i="72" s="1"/>
  <c r="AE35" i="72"/>
  <c r="AC35" i="72"/>
  <c r="AA35" i="72"/>
  <c r="Z35" i="72"/>
  <c r="Y35" i="72"/>
  <c r="U35" i="72"/>
  <c r="AB35" i="72" s="1"/>
  <c r="Q35" i="72"/>
  <c r="AA34" i="72"/>
  <c r="Z34" i="72"/>
  <c r="Y34" i="72"/>
  <c r="AE34" i="72" s="1"/>
  <c r="AC34" i="72"/>
  <c r="AB34" i="72"/>
  <c r="Q34" i="72"/>
  <c r="X34" i="72" s="1"/>
  <c r="AB33" i="72"/>
  <c r="AA33" i="72"/>
  <c r="Z33" i="72"/>
  <c r="Y33" i="72"/>
  <c r="AE33" i="72" s="1"/>
  <c r="AC33" i="72"/>
  <c r="AA32" i="72"/>
  <c r="Z32" i="72"/>
  <c r="Y32" i="72"/>
  <c r="AE32" i="72" s="1"/>
  <c r="AC32" i="72"/>
  <c r="Q32" i="72"/>
  <c r="X32" i="72" s="1"/>
  <c r="AA31" i="72"/>
  <c r="Z31" i="72"/>
  <c r="Y31" i="72"/>
  <c r="AE31" i="72" s="1"/>
  <c r="AC31" i="72"/>
  <c r="AB31" i="72"/>
  <c r="Q31" i="72"/>
  <c r="X31" i="72" s="1"/>
  <c r="AA30" i="72"/>
  <c r="Z30" i="72"/>
  <c r="Y30" i="72"/>
  <c r="AE30" i="72" s="1"/>
  <c r="AC30" i="72"/>
  <c r="AB30" i="72"/>
  <c r="Q30" i="72"/>
  <c r="X30" i="72" s="1"/>
  <c r="AA29" i="72"/>
  <c r="Z29" i="72"/>
  <c r="Y29" i="72"/>
  <c r="AE29" i="72" s="1"/>
  <c r="AC29" i="72"/>
  <c r="AB29" i="72"/>
  <c r="Q29" i="72"/>
  <c r="X29" i="72" s="1"/>
  <c r="AB28" i="72"/>
  <c r="AA28" i="72"/>
  <c r="Z28" i="72"/>
  <c r="Y28" i="72"/>
  <c r="AE28" i="72" s="1"/>
  <c r="AC28" i="72"/>
  <c r="Q28" i="72"/>
  <c r="X28" i="72" s="1"/>
  <c r="AA27" i="72"/>
  <c r="Z27" i="72"/>
  <c r="Y27" i="72"/>
  <c r="AE27" i="72" s="1"/>
  <c r="AC27" i="72"/>
  <c r="AB27" i="72"/>
  <c r="Q27" i="72"/>
  <c r="X27" i="72" s="1"/>
  <c r="AA26" i="72"/>
  <c r="Z26" i="72"/>
  <c r="Y26" i="72"/>
  <c r="AE26" i="72" s="1"/>
  <c r="AC26" i="72"/>
  <c r="AB26" i="72"/>
  <c r="Q26" i="72"/>
  <c r="AA25" i="72"/>
  <c r="Z25" i="72"/>
  <c r="Y25" i="72"/>
  <c r="AE25" i="72" s="1"/>
  <c r="AC25" i="72"/>
  <c r="AB25" i="72"/>
  <c r="Q25" i="72"/>
  <c r="X25" i="72" s="1"/>
  <c r="AA24" i="72"/>
  <c r="Z24" i="72"/>
  <c r="Y24" i="72"/>
  <c r="AE24" i="72" s="1"/>
  <c r="AC24" i="72"/>
  <c r="AB24" i="72"/>
  <c r="Q24" i="72"/>
  <c r="X24" i="72" s="1"/>
  <c r="AA23" i="72"/>
  <c r="Z23" i="72"/>
  <c r="Y23" i="72"/>
  <c r="AE23" i="72" s="1"/>
  <c r="AC23" i="72"/>
  <c r="AB23" i="72"/>
  <c r="Q23" i="72"/>
  <c r="X23" i="72" s="1"/>
  <c r="AA22" i="72"/>
  <c r="Z22" i="72"/>
  <c r="Y22" i="72"/>
  <c r="AE22" i="72" s="1"/>
  <c r="AC22" i="72"/>
  <c r="AB22" i="72"/>
  <c r="Q22" i="72"/>
  <c r="X22" i="72" s="1"/>
  <c r="AA21" i="72"/>
  <c r="Z21" i="72"/>
  <c r="Y21" i="72"/>
  <c r="AE21" i="72" s="1"/>
  <c r="AC21" i="72"/>
  <c r="AB21" i="72"/>
  <c r="Q21" i="72"/>
  <c r="X21" i="72" s="1"/>
  <c r="AA20" i="72"/>
  <c r="Z20" i="72"/>
  <c r="Y20" i="72"/>
  <c r="AE20" i="72" s="1"/>
  <c r="AC20" i="72"/>
  <c r="AA19" i="72"/>
  <c r="Z19" i="72"/>
  <c r="Y19" i="72"/>
  <c r="AE19" i="72" s="1"/>
  <c r="AC19" i="72"/>
  <c r="AB19" i="72"/>
  <c r="Q19" i="72"/>
  <c r="X19" i="72" s="1"/>
  <c r="AA18" i="72"/>
  <c r="Z18" i="72"/>
  <c r="Y18" i="72"/>
  <c r="AE18" i="72" s="1"/>
  <c r="AC18" i="72"/>
  <c r="AB18" i="72"/>
  <c r="AA17" i="72"/>
  <c r="Z17" i="72"/>
  <c r="Y17" i="72"/>
  <c r="AE17" i="72" s="1"/>
  <c r="AC17" i="72"/>
  <c r="AB17" i="72"/>
  <c r="Q17" i="72"/>
  <c r="X17" i="72" s="1"/>
  <c r="AB16" i="72"/>
  <c r="AA16" i="72"/>
  <c r="Z16" i="72"/>
  <c r="Y16" i="72"/>
  <c r="AE16" i="72" s="1"/>
  <c r="AC16" i="72"/>
  <c r="Q16" i="72"/>
  <c r="AA15" i="72"/>
  <c r="Z15" i="72"/>
  <c r="Y15" i="72"/>
  <c r="AE15" i="72" s="1"/>
  <c r="AC15" i="72"/>
  <c r="AB15" i="72"/>
  <c r="Q15" i="72"/>
  <c r="X15" i="72" s="1"/>
  <c r="U87" i="72" l="1"/>
  <c r="Z95" i="72"/>
  <c r="Y95" i="72"/>
  <c r="AA87" i="72"/>
  <c r="S114" i="72"/>
  <c r="R114" i="72"/>
  <c r="Z78" i="72"/>
  <c r="U78" i="72"/>
  <c r="T114" i="72"/>
  <c r="AE87" i="72"/>
  <c r="AE78" i="72"/>
  <c r="AA78" i="72"/>
  <c r="Y78" i="72"/>
  <c r="AE90" i="72"/>
  <c r="AE95" i="72" s="1"/>
  <c r="U95" i="72"/>
  <c r="Y87" i="72"/>
  <c r="AB87" i="72" l="1"/>
  <c r="Z114" i="72"/>
  <c r="U114" i="72"/>
  <c r="AE114" i="72"/>
  <c r="K116" i="72" s="1"/>
  <c r="Y114" i="72"/>
  <c r="AA114" i="72"/>
  <c r="AB78" i="72"/>
  <c r="V15" i="71"/>
  <c r="AB114" i="72" l="1"/>
  <c r="AA16" i="71"/>
  <c r="AA17" i="71"/>
  <c r="AA18" i="71"/>
  <c r="AA19" i="71"/>
  <c r="AA20" i="71"/>
  <c r="AA21" i="71"/>
  <c r="AA22" i="71"/>
  <c r="AA23" i="71"/>
  <c r="AA24" i="71"/>
  <c r="AA25" i="71"/>
  <c r="AA26" i="71"/>
  <c r="AA27" i="71"/>
  <c r="AA28" i="71"/>
  <c r="AA29" i="71"/>
  <c r="AA30" i="71"/>
  <c r="AA31" i="71"/>
  <c r="AA32" i="71"/>
  <c r="AA33" i="71"/>
  <c r="AA34" i="71"/>
  <c r="AA35" i="71"/>
  <c r="AA36" i="71"/>
  <c r="AA37" i="71"/>
  <c r="AA38" i="71"/>
  <c r="AA39" i="71"/>
  <c r="AA40" i="71"/>
  <c r="AA41" i="71"/>
  <c r="AA42" i="71"/>
  <c r="AA43" i="71"/>
  <c r="AA44" i="71"/>
  <c r="AA45" i="71"/>
  <c r="AA46" i="71"/>
  <c r="AA47" i="71"/>
  <c r="AA48" i="71"/>
  <c r="AA49" i="71"/>
  <c r="AA50" i="71"/>
  <c r="AA51" i="71"/>
  <c r="AA52" i="71"/>
  <c r="AA53" i="71"/>
  <c r="AA54" i="71"/>
  <c r="AA55" i="71"/>
  <c r="AA56" i="71"/>
  <c r="AA57" i="71"/>
  <c r="AA58" i="71"/>
  <c r="AA59" i="71"/>
  <c r="AA60" i="71"/>
  <c r="AA61" i="71"/>
  <c r="AA62" i="71"/>
  <c r="AA63" i="71"/>
  <c r="AA64" i="71"/>
  <c r="AA65" i="71"/>
  <c r="AA66" i="71"/>
  <c r="AA67" i="71"/>
  <c r="AA68" i="71"/>
  <c r="AA69" i="71"/>
  <c r="AA70" i="71"/>
  <c r="AA71" i="71"/>
  <c r="AA72" i="71"/>
  <c r="AA73" i="71"/>
  <c r="AA74" i="71"/>
  <c r="AA75" i="71"/>
  <c r="AA76" i="71"/>
  <c r="AA77" i="71"/>
  <c r="AA15" i="71"/>
  <c r="AA84" i="71"/>
  <c r="AA82" i="71"/>
  <c r="AA83" i="71"/>
  <c r="AA81" i="71"/>
  <c r="Z82" i="71"/>
  <c r="Z83" i="71"/>
  <c r="Z84" i="71"/>
  <c r="Z81" i="71"/>
  <c r="Y90" i="71" l="1"/>
  <c r="Y91" i="71"/>
  <c r="Y92" i="71"/>
  <c r="Y89" i="71"/>
  <c r="Y82" i="71"/>
  <c r="Y83" i="71"/>
  <c r="Y84" i="71"/>
  <c r="Y81" i="71"/>
  <c r="Z16" i="71"/>
  <c r="Z17" i="71"/>
  <c r="Z18" i="71"/>
  <c r="Z19" i="71"/>
  <c r="Z20" i="71"/>
  <c r="Z21" i="71"/>
  <c r="Z22" i="71"/>
  <c r="Z23" i="71"/>
  <c r="Z24" i="71"/>
  <c r="Z25" i="71"/>
  <c r="Z26" i="71"/>
  <c r="Z27" i="71"/>
  <c r="Z28" i="71"/>
  <c r="Z29" i="71"/>
  <c r="Z30" i="71"/>
  <c r="Z31" i="71"/>
  <c r="Z32" i="71"/>
  <c r="Z33" i="71"/>
  <c r="Z34" i="71"/>
  <c r="Z35" i="71"/>
  <c r="Z36" i="71"/>
  <c r="Z37" i="71"/>
  <c r="Z38" i="71"/>
  <c r="Z39" i="71"/>
  <c r="Z40" i="71"/>
  <c r="Z41" i="71"/>
  <c r="Z42" i="71"/>
  <c r="Z43" i="71"/>
  <c r="Z44" i="71"/>
  <c r="Z45" i="71"/>
  <c r="Z46" i="71"/>
  <c r="Z47" i="71"/>
  <c r="Z48" i="71"/>
  <c r="Z49" i="71"/>
  <c r="Z50" i="71"/>
  <c r="Z51" i="71"/>
  <c r="Z52" i="71"/>
  <c r="Z53" i="71"/>
  <c r="Z54" i="71"/>
  <c r="Z55" i="71"/>
  <c r="Z56" i="71"/>
  <c r="Z57" i="71"/>
  <c r="Z58" i="71"/>
  <c r="Z59" i="71"/>
  <c r="Z60" i="71"/>
  <c r="Z61" i="71"/>
  <c r="Z62" i="71"/>
  <c r="Z63" i="71"/>
  <c r="Z64" i="71"/>
  <c r="Z65" i="71"/>
  <c r="Z66" i="71"/>
  <c r="Z67" i="71"/>
  <c r="Z68" i="71"/>
  <c r="Z69" i="71"/>
  <c r="Z70" i="71"/>
  <c r="Z71" i="71"/>
  <c r="Z72" i="71"/>
  <c r="Z73" i="71"/>
  <c r="Z74" i="71"/>
  <c r="Z75" i="71"/>
  <c r="Z76" i="71"/>
  <c r="Z77" i="71"/>
  <c r="Z15" i="71"/>
  <c r="Y16" i="71"/>
  <c r="Y17" i="71"/>
  <c r="Y18" i="71"/>
  <c r="Y19" i="71"/>
  <c r="Y20" i="71"/>
  <c r="Y21" i="71"/>
  <c r="Y22" i="71"/>
  <c r="Y23" i="71"/>
  <c r="Y24" i="71"/>
  <c r="Y25" i="71"/>
  <c r="Y26" i="71"/>
  <c r="Y27" i="71"/>
  <c r="Y28" i="71"/>
  <c r="Y29" i="71"/>
  <c r="Y30" i="71"/>
  <c r="Y31" i="71"/>
  <c r="Y32" i="71"/>
  <c r="Y33" i="71"/>
  <c r="Y34" i="71"/>
  <c r="Y35" i="71"/>
  <c r="Y36" i="71"/>
  <c r="Y37" i="71"/>
  <c r="Y38" i="71"/>
  <c r="Y39" i="71"/>
  <c r="Y40" i="71"/>
  <c r="Y41" i="71"/>
  <c r="Y42" i="71"/>
  <c r="Y43" i="71"/>
  <c r="Y44" i="71"/>
  <c r="Y45" i="71"/>
  <c r="Y46" i="71"/>
  <c r="Y47" i="71"/>
  <c r="Y48" i="71"/>
  <c r="Y49" i="71"/>
  <c r="Y50" i="71"/>
  <c r="Y51" i="71"/>
  <c r="Y52" i="71"/>
  <c r="Y53" i="71"/>
  <c r="Y54" i="71"/>
  <c r="Y55" i="71"/>
  <c r="Y56" i="71"/>
  <c r="Y57" i="71"/>
  <c r="Y58" i="71"/>
  <c r="Y59" i="71"/>
  <c r="Y60" i="71"/>
  <c r="Y61" i="71"/>
  <c r="Y62" i="71"/>
  <c r="Y63" i="71"/>
  <c r="Y64" i="71"/>
  <c r="Y65" i="71"/>
  <c r="Y66" i="71"/>
  <c r="Y67" i="71"/>
  <c r="Y68" i="71"/>
  <c r="Y69" i="71"/>
  <c r="Y70" i="71"/>
  <c r="Y71" i="71"/>
  <c r="Y72" i="71"/>
  <c r="Y73" i="71"/>
  <c r="Y74" i="71"/>
  <c r="Y75" i="71"/>
  <c r="Y76" i="71"/>
  <c r="Y77" i="71"/>
  <c r="Y15" i="71"/>
  <c r="Q91" i="71" l="1"/>
  <c r="V24" i="71" l="1"/>
  <c r="Q18" i="71" l="1"/>
  <c r="T95" i="71" l="1"/>
  <c r="S95" i="71"/>
  <c r="R95" i="71"/>
  <c r="AA92" i="71"/>
  <c r="Z92" i="71"/>
  <c r="AE92" i="71"/>
  <c r="V92" i="71"/>
  <c r="AC92" i="71" s="1"/>
  <c r="U92" i="71"/>
  <c r="AB92" i="71" s="1"/>
  <c r="Q92" i="71"/>
  <c r="X92" i="71" s="1"/>
  <c r="AA91" i="71"/>
  <c r="Z91" i="71"/>
  <c r="AE91" i="71"/>
  <c r="X91" i="71"/>
  <c r="AA90" i="71"/>
  <c r="Z90" i="71"/>
  <c r="V90" i="71"/>
  <c r="AC90" i="71" s="1"/>
  <c r="U90" i="71"/>
  <c r="Q90" i="71"/>
  <c r="X90" i="71" s="1"/>
  <c r="AA89" i="71"/>
  <c r="Z89" i="71"/>
  <c r="AE89" i="71"/>
  <c r="V89" i="71"/>
  <c r="AC89" i="71" s="1"/>
  <c r="U89" i="71"/>
  <c r="AB89" i="71" s="1"/>
  <c r="Q89" i="71"/>
  <c r="X89" i="71" s="1"/>
  <c r="T87" i="71"/>
  <c r="S87" i="71"/>
  <c r="R87" i="71"/>
  <c r="AE84" i="71"/>
  <c r="V84" i="71"/>
  <c r="AC84" i="71" s="1"/>
  <c r="U84" i="71"/>
  <c r="AB84" i="71" s="1"/>
  <c r="Q84" i="71"/>
  <c r="X84" i="71" s="1"/>
  <c r="AE83" i="71"/>
  <c r="V83" i="71"/>
  <c r="AC83" i="71" s="1"/>
  <c r="U83" i="71"/>
  <c r="AB83" i="71" s="1"/>
  <c r="Q83" i="71"/>
  <c r="X83" i="71" s="1"/>
  <c r="AE82" i="71"/>
  <c r="V82" i="71"/>
  <c r="AC82" i="71" s="1"/>
  <c r="U82" i="71"/>
  <c r="AB82" i="71" s="1"/>
  <c r="Q82" i="71"/>
  <c r="X82" i="71" s="1"/>
  <c r="AE81" i="71"/>
  <c r="V81" i="71"/>
  <c r="AC81" i="71" s="1"/>
  <c r="U81" i="71"/>
  <c r="AB81" i="71" s="1"/>
  <c r="Q81" i="71"/>
  <c r="X81" i="71" s="1"/>
  <c r="T78" i="71"/>
  <c r="R78" i="71"/>
  <c r="AE77" i="71"/>
  <c r="X77" i="71"/>
  <c r="V77" i="71"/>
  <c r="AC77" i="71" s="1"/>
  <c r="U77" i="71"/>
  <c r="AB77" i="71" s="1"/>
  <c r="Q77" i="71"/>
  <c r="AE76" i="71"/>
  <c r="V76" i="71"/>
  <c r="AC76" i="71" s="1"/>
  <c r="U76" i="71"/>
  <c r="AB76" i="71" s="1"/>
  <c r="Q76" i="71"/>
  <c r="X76" i="71" s="1"/>
  <c r="AE75" i="71"/>
  <c r="V75" i="71"/>
  <c r="AC75" i="71" s="1"/>
  <c r="U75" i="71"/>
  <c r="AB75" i="71" s="1"/>
  <c r="Q75" i="71"/>
  <c r="X75" i="71" s="1"/>
  <c r="AE74" i="71"/>
  <c r="V74" i="71"/>
  <c r="AC74" i="71" s="1"/>
  <c r="U74" i="71"/>
  <c r="AB74" i="71" s="1"/>
  <c r="Q74" i="71"/>
  <c r="X74" i="71" s="1"/>
  <c r="AE73" i="71"/>
  <c r="V73" i="71"/>
  <c r="AC73" i="71" s="1"/>
  <c r="U73" i="71"/>
  <c r="AB73" i="71" s="1"/>
  <c r="Q73" i="71"/>
  <c r="X73" i="71" s="1"/>
  <c r="AE72" i="71"/>
  <c r="V72" i="71"/>
  <c r="AC72" i="71" s="1"/>
  <c r="U72" i="71"/>
  <c r="AB72" i="71" s="1"/>
  <c r="Q72" i="71"/>
  <c r="X72" i="71" s="1"/>
  <c r="AE71" i="71"/>
  <c r="V71" i="71"/>
  <c r="AC71" i="71" s="1"/>
  <c r="U71" i="71"/>
  <c r="AB71" i="71" s="1"/>
  <c r="Q71" i="71"/>
  <c r="X71" i="71" s="1"/>
  <c r="AE70" i="71"/>
  <c r="U70" i="71"/>
  <c r="Q70" i="71"/>
  <c r="X70" i="71" s="1"/>
  <c r="AE69" i="71"/>
  <c r="V69" i="71"/>
  <c r="AC69" i="71" s="1"/>
  <c r="U69" i="71"/>
  <c r="AB69" i="71" s="1"/>
  <c r="Q69" i="71"/>
  <c r="X69" i="71" s="1"/>
  <c r="AE68" i="71"/>
  <c r="V68" i="71"/>
  <c r="AC68" i="71" s="1"/>
  <c r="U68" i="71"/>
  <c r="AB68" i="71" s="1"/>
  <c r="Q68" i="71"/>
  <c r="X68" i="71" s="1"/>
  <c r="AE67" i="71"/>
  <c r="V67" i="71"/>
  <c r="AC67" i="71" s="1"/>
  <c r="U67" i="71"/>
  <c r="AB67" i="71" s="1"/>
  <c r="Q67" i="71"/>
  <c r="X67" i="71" s="1"/>
  <c r="AE66" i="71"/>
  <c r="X66" i="71"/>
  <c r="V66" i="71"/>
  <c r="AC66" i="71" s="1"/>
  <c r="U66" i="71"/>
  <c r="AB66" i="71" s="1"/>
  <c r="AE65" i="71"/>
  <c r="V65" i="71"/>
  <c r="AC65" i="71" s="1"/>
  <c r="U65" i="71"/>
  <c r="AB65" i="71" s="1"/>
  <c r="Q65" i="71"/>
  <c r="X65" i="71" s="1"/>
  <c r="AE64" i="71"/>
  <c r="V64" i="71"/>
  <c r="AC64" i="71" s="1"/>
  <c r="U64" i="71"/>
  <c r="AB64" i="71" s="1"/>
  <c r="Q64" i="71"/>
  <c r="X64" i="71" s="1"/>
  <c r="AE63" i="71"/>
  <c r="V63" i="71"/>
  <c r="AC63" i="71" s="1"/>
  <c r="U63" i="71"/>
  <c r="AB63" i="71" s="1"/>
  <c r="Q63" i="71"/>
  <c r="X63" i="71" s="1"/>
  <c r="AE62" i="71"/>
  <c r="V62" i="71"/>
  <c r="AC62" i="71" s="1"/>
  <c r="U62" i="71"/>
  <c r="AB62" i="71" s="1"/>
  <c r="Q62" i="71"/>
  <c r="X62" i="71" s="1"/>
  <c r="AE61" i="71"/>
  <c r="X61" i="71"/>
  <c r="V61" i="71"/>
  <c r="AC61" i="71" s="1"/>
  <c r="U61" i="71"/>
  <c r="AB61" i="71" s="1"/>
  <c r="Q61" i="71"/>
  <c r="AE60" i="71"/>
  <c r="V60" i="71"/>
  <c r="AC60" i="71" s="1"/>
  <c r="U60" i="71"/>
  <c r="AB60" i="71" s="1"/>
  <c r="Q60" i="71"/>
  <c r="X60" i="71" s="1"/>
  <c r="AE59" i="71"/>
  <c r="V59" i="71"/>
  <c r="AC59" i="71" s="1"/>
  <c r="U59" i="71"/>
  <c r="AB59" i="71" s="1"/>
  <c r="Q59" i="71"/>
  <c r="X59" i="71" s="1"/>
  <c r="AE58" i="71"/>
  <c r="U58" i="71"/>
  <c r="Q58" i="71"/>
  <c r="AE57" i="71"/>
  <c r="X57" i="71"/>
  <c r="V57" i="71"/>
  <c r="AC57" i="71" s="1"/>
  <c r="U57" i="71"/>
  <c r="AB57" i="71" s="1"/>
  <c r="Q57" i="71"/>
  <c r="AE56" i="71"/>
  <c r="Q56" i="71"/>
  <c r="AE55" i="71"/>
  <c r="V55" i="71"/>
  <c r="AC55" i="71" s="1"/>
  <c r="U55" i="71"/>
  <c r="AB55" i="71" s="1"/>
  <c r="Q55" i="71"/>
  <c r="X55" i="71" s="1"/>
  <c r="AE54" i="71"/>
  <c r="V54" i="71"/>
  <c r="AC54" i="71" s="1"/>
  <c r="U54" i="71"/>
  <c r="AB54" i="71" s="1"/>
  <c r="Q54" i="71"/>
  <c r="X54" i="71" s="1"/>
  <c r="AE53" i="71"/>
  <c r="V53" i="71"/>
  <c r="AC53" i="71" s="1"/>
  <c r="U53" i="71"/>
  <c r="AB53" i="71" s="1"/>
  <c r="Q53" i="71"/>
  <c r="X53" i="71" s="1"/>
  <c r="AE52" i="71"/>
  <c r="V52" i="71"/>
  <c r="AC52" i="71" s="1"/>
  <c r="U52" i="71"/>
  <c r="AB52" i="71" s="1"/>
  <c r="Q52" i="71"/>
  <c r="X52" i="71" s="1"/>
  <c r="AE51" i="71"/>
  <c r="V51" i="71"/>
  <c r="AC51" i="71" s="1"/>
  <c r="U51" i="71"/>
  <c r="AB51" i="71" s="1"/>
  <c r="Q51" i="71"/>
  <c r="X51" i="71" s="1"/>
  <c r="AE50" i="71"/>
  <c r="V50" i="71"/>
  <c r="AC50" i="71" s="1"/>
  <c r="U50" i="71"/>
  <c r="AB50" i="71" s="1"/>
  <c r="Q50" i="71"/>
  <c r="X50" i="71" s="1"/>
  <c r="AE49" i="71"/>
  <c r="AC49" i="71"/>
  <c r="AB49" i="71"/>
  <c r="Q49" i="71"/>
  <c r="AE48" i="71"/>
  <c r="V48" i="71"/>
  <c r="AC48" i="71" s="1"/>
  <c r="U48" i="71"/>
  <c r="AB48" i="71" s="1"/>
  <c r="Q48" i="71"/>
  <c r="X48" i="71" s="1"/>
  <c r="AC47" i="71"/>
  <c r="AB47" i="71"/>
  <c r="AE47" i="71"/>
  <c r="Q47" i="71"/>
  <c r="AE46" i="71"/>
  <c r="V46" i="71"/>
  <c r="AC46" i="71" s="1"/>
  <c r="U46" i="71"/>
  <c r="AB46" i="71" s="1"/>
  <c r="Q46" i="71"/>
  <c r="X46" i="71" s="1"/>
  <c r="AE45" i="71"/>
  <c r="V45" i="71"/>
  <c r="AC45" i="71" s="1"/>
  <c r="U45" i="71"/>
  <c r="AB45" i="71" s="1"/>
  <c r="Q45" i="71"/>
  <c r="X45" i="71" s="1"/>
  <c r="AE44" i="71"/>
  <c r="V44" i="71"/>
  <c r="AC44" i="71" s="1"/>
  <c r="U44" i="71"/>
  <c r="AB44" i="71" s="1"/>
  <c r="Q44" i="71"/>
  <c r="X44" i="71" s="1"/>
  <c r="AE43" i="71"/>
  <c r="V43" i="71"/>
  <c r="AC43" i="71" s="1"/>
  <c r="U43" i="71"/>
  <c r="AB43" i="71" s="1"/>
  <c r="Q43" i="71"/>
  <c r="X43" i="71" s="1"/>
  <c r="AE42" i="71"/>
  <c r="V42" i="71"/>
  <c r="AC42" i="71" s="1"/>
  <c r="U42" i="71"/>
  <c r="AB42" i="71" s="1"/>
  <c r="Q42" i="71"/>
  <c r="X42" i="71" s="1"/>
  <c r="AE41" i="71"/>
  <c r="X41" i="71"/>
  <c r="V41" i="71"/>
  <c r="AC41" i="71" s="1"/>
  <c r="U41" i="71"/>
  <c r="AB41" i="71" s="1"/>
  <c r="Q41" i="71"/>
  <c r="AE40" i="71"/>
  <c r="V40" i="71"/>
  <c r="AC40" i="71" s="1"/>
  <c r="U40" i="71"/>
  <c r="AB40" i="71" s="1"/>
  <c r="Q40" i="71"/>
  <c r="X40" i="71" s="1"/>
  <c r="AE39" i="71"/>
  <c r="V39" i="71"/>
  <c r="AC39" i="71" s="1"/>
  <c r="U39" i="71"/>
  <c r="AB39" i="71" s="1"/>
  <c r="Q39" i="71"/>
  <c r="X39" i="71" s="1"/>
  <c r="AE38" i="71"/>
  <c r="V38" i="71"/>
  <c r="AC38" i="71" s="1"/>
  <c r="U38" i="71"/>
  <c r="AB38" i="71" s="1"/>
  <c r="Q38" i="71"/>
  <c r="X38" i="71" s="1"/>
  <c r="AE37" i="71"/>
  <c r="V37" i="71"/>
  <c r="AC37" i="71" s="1"/>
  <c r="U37" i="71"/>
  <c r="AB37" i="71" s="1"/>
  <c r="Q37" i="71"/>
  <c r="X37" i="71" s="1"/>
  <c r="AE36" i="71"/>
  <c r="V36" i="71"/>
  <c r="AC36" i="71" s="1"/>
  <c r="U36" i="71"/>
  <c r="Q36" i="71"/>
  <c r="X36" i="71" s="1"/>
  <c r="AC35" i="71"/>
  <c r="AE35" i="71"/>
  <c r="U35" i="71"/>
  <c r="AB35" i="71" s="1"/>
  <c r="Q35" i="71"/>
  <c r="AE34" i="71"/>
  <c r="V34" i="71"/>
  <c r="AC34" i="71" s="1"/>
  <c r="U34" i="71"/>
  <c r="AB34" i="71" s="1"/>
  <c r="Q34" i="71"/>
  <c r="AE33" i="71"/>
  <c r="V33" i="71"/>
  <c r="AC33" i="71" s="1"/>
  <c r="U33" i="71"/>
  <c r="AB33" i="71" s="1"/>
  <c r="Q33" i="71"/>
  <c r="X33" i="71" s="1"/>
  <c r="AE32" i="71"/>
  <c r="V32" i="71"/>
  <c r="AC32" i="71" s="1"/>
  <c r="U32" i="71"/>
  <c r="Q32" i="71"/>
  <c r="X32" i="71" s="1"/>
  <c r="AE31" i="71"/>
  <c r="V31" i="71"/>
  <c r="AC31" i="71" s="1"/>
  <c r="U31" i="71"/>
  <c r="AB31" i="71" s="1"/>
  <c r="Q31" i="71"/>
  <c r="X31" i="71" s="1"/>
  <c r="AE30" i="71"/>
  <c r="V30" i="71"/>
  <c r="AC30" i="71" s="1"/>
  <c r="U30" i="71"/>
  <c r="AB30" i="71" s="1"/>
  <c r="Q30" i="71"/>
  <c r="X30" i="71" s="1"/>
  <c r="AE29" i="71"/>
  <c r="V29" i="71"/>
  <c r="AC29" i="71" s="1"/>
  <c r="U29" i="71"/>
  <c r="AB29" i="71" s="1"/>
  <c r="Q29" i="71"/>
  <c r="X29" i="71" s="1"/>
  <c r="AE28" i="71"/>
  <c r="V28" i="71"/>
  <c r="AC28" i="71" s="1"/>
  <c r="U28" i="71"/>
  <c r="AB28" i="71" s="1"/>
  <c r="Q28" i="71"/>
  <c r="X28" i="71" s="1"/>
  <c r="AE27" i="71"/>
  <c r="V27" i="71"/>
  <c r="AC27" i="71" s="1"/>
  <c r="U27" i="71"/>
  <c r="AB27" i="71" s="1"/>
  <c r="Q27" i="71"/>
  <c r="X27" i="71" s="1"/>
  <c r="AE26" i="71"/>
  <c r="V26" i="71"/>
  <c r="AC26" i="71" s="1"/>
  <c r="U26" i="71"/>
  <c r="AB26" i="71" s="1"/>
  <c r="Q26" i="71"/>
  <c r="X26" i="71" s="1"/>
  <c r="AE25" i="71"/>
  <c r="V25" i="71"/>
  <c r="AC25" i="71" s="1"/>
  <c r="U25" i="71"/>
  <c r="AB25" i="71" s="1"/>
  <c r="Q25" i="71"/>
  <c r="X25" i="71" s="1"/>
  <c r="AC24" i="71"/>
  <c r="AE24" i="71"/>
  <c r="U24" i="71"/>
  <c r="AB24" i="71" s="1"/>
  <c r="Q24" i="71"/>
  <c r="X24" i="71" s="1"/>
  <c r="AE23" i="71"/>
  <c r="V23" i="71"/>
  <c r="AC23" i="71" s="1"/>
  <c r="U23" i="71"/>
  <c r="AB23" i="71" s="1"/>
  <c r="Q23" i="71"/>
  <c r="X23" i="71" s="1"/>
  <c r="AE22" i="71"/>
  <c r="V22" i="71"/>
  <c r="AC22" i="71" s="1"/>
  <c r="U22" i="71"/>
  <c r="AB22" i="71" s="1"/>
  <c r="Q22" i="71"/>
  <c r="X22" i="71" s="1"/>
  <c r="AE21" i="71"/>
  <c r="V21" i="71"/>
  <c r="AC21" i="71" s="1"/>
  <c r="U21" i="71"/>
  <c r="AB21" i="71" s="1"/>
  <c r="Q21" i="71"/>
  <c r="X21" i="71" s="1"/>
  <c r="AE20" i="71"/>
  <c r="X20" i="71"/>
  <c r="V20" i="71"/>
  <c r="AC20" i="71" s="1"/>
  <c r="U20" i="71"/>
  <c r="AE19" i="71"/>
  <c r="V19" i="71"/>
  <c r="AC19" i="71" s="1"/>
  <c r="U19" i="71"/>
  <c r="AB19" i="71" s="1"/>
  <c r="Q19" i="71"/>
  <c r="X19" i="71" s="1"/>
  <c r="AE18" i="71"/>
  <c r="V18" i="71"/>
  <c r="AC18" i="71" s="1"/>
  <c r="U18" i="71"/>
  <c r="AB18" i="71" s="1"/>
  <c r="X18" i="71"/>
  <c r="AE17" i="71"/>
  <c r="V17" i="71"/>
  <c r="AC17" i="71" s="1"/>
  <c r="U17" i="71"/>
  <c r="AB17" i="71" s="1"/>
  <c r="Q17" i="71"/>
  <c r="X17" i="71" s="1"/>
  <c r="AE16" i="71"/>
  <c r="V16" i="71"/>
  <c r="AC16" i="71" s="1"/>
  <c r="U16" i="71"/>
  <c r="AB16" i="71" s="1"/>
  <c r="Q16" i="71"/>
  <c r="X16" i="71" s="1"/>
  <c r="AE15" i="71"/>
  <c r="U15" i="71"/>
  <c r="AB15" i="71" s="1"/>
  <c r="Q15" i="71"/>
  <c r="Y95" i="71" l="1"/>
  <c r="Z87" i="71"/>
  <c r="U87" i="71"/>
  <c r="R114" i="71"/>
  <c r="U78" i="71"/>
  <c r="T114" i="71"/>
  <c r="U114" i="71" s="1"/>
  <c r="AA87" i="71"/>
  <c r="Z95" i="71"/>
  <c r="AA95" i="71"/>
  <c r="AE78" i="71"/>
  <c r="AE87" i="71"/>
  <c r="AE90" i="71"/>
  <c r="AE95" i="71" s="1"/>
  <c r="U95" i="71"/>
  <c r="AA78" i="71"/>
  <c r="Y78" i="71"/>
  <c r="Y87" i="71"/>
  <c r="AC82" i="70"/>
  <c r="AB82" i="70"/>
  <c r="AA82" i="70"/>
  <c r="AG82" i="70" s="1"/>
  <c r="X82" i="70"/>
  <c r="AE82" i="70" s="1"/>
  <c r="W82" i="70"/>
  <c r="AD82" i="70" s="1"/>
  <c r="S82" i="70"/>
  <c r="Z82" i="70" s="1"/>
  <c r="AC83" i="70"/>
  <c r="AC84" i="70"/>
  <c r="AC81" i="70"/>
  <c r="AC16" i="70"/>
  <c r="AC17" i="70"/>
  <c r="AC18" i="70"/>
  <c r="AC19" i="70"/>
  <c r="AC20" i="70"/>
  <c r="AC21" i="70"/>
  <c r="AC22" i="70"/>
  <c r="AC23" i="70"/>
  <c r="AC24" i="70"/>
  <c r="AC25" i="70"/>
  <c r="AC26" i="70"/>
  <c r="AC27" i="70"/>
  <c r="AC28" i="70"/>
  <c r="AC29" i="70"/>
  <c r="AC30" i="70"/>
  <c r="AC31" i="70"/>
  <c r="AC32" i="70"/>
  <c r="AC33" i="70"/>
  <c r="AC34" i="70"/>
  <c r="AC35" i="70"/>
  <c r="AC36" i="70"/>
  <c r="AC37" i="70"/>
  <c r="AC38" i="70"/>
  <c r="AC39" i="70"/>
  <c r="AC40" i="70"/>
  <c r="AC41" i="70"/>
  <c r="AC42" i="70"/>
  <c r="AC43" i="70"/>
  <c r="AC44" i="70"/>
  <c r="AC45" i="70"/>
  <c r="AC46" i="70"/>
  <c r="AC47" i="70"/>
  <c r="AC48" i="70"/>
  <c r="AC49" i="70"/>
  <c r="AC50" i="70"/>
  <c r="AC51" i="70"/>
  <c r="AC52" i="70"/>
  <c r="AC53" i="70"/>
  <c r="AC54" i="70"/>
  <c r="AC55" i="70"/>
  <c r="AC56" i="70"/>
  <c r="AC57" i="70"/>
  <c r="AC58" i="70"/>
  <c r="AC59" i="70"/>
  <c r="AC60" i="70"/>
  <c r="AC61" i="70"/>
  <c r="AC62" i="70"/>
  <c r="AC63" i="70"/>
  <c r="AC64" i="70"/>
  <c r="AC65" i="70"/>
  <c r="AC66" i="70"/>
  <c r="AC67" i="70"/>
  <c r="AC68" i="70"/>
  <c r="AC69" i="70"/>
  <c r="AC70" i="70"/>
  <c r="AC71" i="70"/>
  <c r="AC72" i="70"/>
  <c r="AC73" i="70"/>
  <c r="AC74" i="70"/>
  <c r="AC75" i="70"/>
  <c r="AC76" i="70"/>
  <c r="AC77" i="70"/>
  <c r="AC15" i="70"/>
  <c r="AB92" i="70"/>
  <c r="AB90" i="70"/>
  <c r="AB91" i="70"/>
  <c r="AB89" i="70"/>
  <c r="AB83" i="70"/>
  <c r="AB84" i="70"/>
  <c r="AB81" i="70"/>
  <c r="AB16" i="70"/>
  <c r="AB17" i="70"/>
  <c r="AB18" i="70"/>
  <c r="AB19" i="70"/>
  <c r="AB20" i="70"/>
  <c r="AB21" i="70"/>
  <c r="AB22" i="70"/>
  <c r="AB23" i="70"/>
  <c r="AB24" i="70"/>
  <c r="AB25" i="70"/>
  <c r="AB26" i="70"/>
  <c r="AB27" i="70"/>
  <c r="AB28" i="70"/>
  <c r="AB29" i="70"/>
  <c r="AB30" i="70"/>
  <c r="AB31" i="70"/>
  <c r="AB32" i="70"/>
  <c r="AB33" i="70"/>
  <c r="AB34" i="70"/>
  <c r="AB35" i="70"/>
  <c r="AB36" i="70"/>
  <c r="AB37" i="70"/>
  <c r="AB38" i="70"/>
  <c r="AB39" i="70"/>
  <c r="AB40" i="70"/>
  <c r="AB41" i="70"/>
  <c r="AB42" i="70"/>
  <c r="AB43" i="70"/>
  <c r="AB44" i="70"/>
  <c r="AB45" i="70"/>
  <c r="AB46" i="70"/>
  <c r="AB47" i="70"/>
  <c r="AB48" i="70"/>
  <c r="AB49" i="70"/>
  <c r="AB50" i="70"/>
  <c r="AB51" i="70"/>
  <c r="AB52" i="70"/>
  <c r="AB53" i="70"/>
  <c r="AB54" i="70"/>
  <c r="AB55" i="70"/>
  <c r="AB56" i="70"/>
  <c r="AB57" i="70"/>
  <c r="AB58" i="70"/>
  <c r="AB59" i="70"/>
  <c r="AB60" i="70"/>
  <c r="AB61" i="70"/>
  <c r="AB62" i="70"/>
  <c r="AB63" i="70"/>
  <c r="AB64" i="70"/>
  <c r="AB65" i="70"/>
  <c r="AB66" i="70"/>
  <c r="AB67" i="70"/>
  <c r="AB68" i="70"/>
  <c r="AB69" i="70"/>
  <c r="AB70" i="70"/>
  <c r="AB71" i="70"/>
  <c r="AB72" i="70"/>
  <c r="AB73" i="70"/>
  <c r="AB74" i="70"/>
  <c r="AB75" i="70"/>
  <c r="AB76" i="70"/>
  <c r="AB77" i="70"/>
  <c r="AB15" i="70"/>
  <c r="AA90" i="70"/>
  <c r="AA91" i="70"/>
  <c r="AA92" i="70"/>
  <c r="AA89" i="70"/>
  <c r="AA16" i="70"/>
  <c r="AA17" i="70"/>
  <c r="AA18" i="70"/>
  <c r="AA19" i="70"/>
  <c r="AA20" i="70"/>
  <c r="AA21" i="70"/>
  <c r="AA22" i="70"/>
  <c r="AA23" i="70"/>
  <c r="AA24" i="70"/>
  <c r="AA25" i="70"/>
  <c r="AA26" i="70"/>
  <c r="AA27" i="70"/>
  <c r="AA28" i="70"/>
  <c r="AA29" i="70"/>
  <c r="AA30" i="70"/>
  <c r="AA31" i="70"/>
  <c r="AA32" i="70"/>
  <c r="AA33" i="70"/>
  <c r="AA34" i="70"/>
  <c r="AA35" i="70"/>
  <c r="AA36" i="70"/>
  <c r="AA37" i="70"/>
  <c r="AA38" i="70"/>
  <c r="AA39" i="70"/>
  <c r="AA40" i="70"/>
  <c r="AA41" i="70"/>
  <c r="AA42" i="70"/>
  <c r="AA43" i="70"/>
  <c r="AA44" i="70"/>
  <c r="AA45" i="70"/>
  <c r="AA46" i="70"/>
  <c r="AA47" i="70"/>
  <c r="AA48" i="70"/>
  <c r="AA49" i="70"/>
  <c r="AA50" i="70"/>
  <c r="AA51" i="70"/>
  <c r="AA52" i="70"/>
  <c r="AA53" i="70"/>
  <c r="AA54" i="70"/>
  <c r="AA55" i="70"/>
  <c r="AA56" i="70"/>
  <c r="AA57" i="70"/>
  <c r="AA58" i="70"/>
  <c r="AA59" i="70"/>
  <c r="AA60" i="70"/>
  <c r="AA61" i="70"/>
  <c r="AA62" i="70"/>
  <c r="AA63" i="70"/>
  <c r="AA64" i="70"/>
  <c r="AA65" i="70"/>
  <c r="AA66" i="70"/>
  <c r="AA67" i="70"/>
  <c r="AA68" i="70"/>
  <c r="AA69" i="70"/>
  <c r="AA70" i="70"/>
  <c r="AA71" i="70"/>
  <c r="AA72" i="70"/>
  <c r="AA73" i="70"/>
  <c r="AA74" i="70"/>
  <c r="AA75" i="70"/>
  <c r="AA76" i="70"/>
  <c r="AA77" i="70"/>
  <c r="AA15" i="70"/>
  <c r="AA83" i="70"/>
  <c r="AA84" i="70"/>
  <c r="AA81" i="70"/>
  <c r="AB87" i="71" l="1"/>
  <c r="Y114" i="71"/>
  <c r="AB78" i="71"/>
  <c r="AA114" i="71"/>
  <c r="AE114" i="71"/>
  <c r="K116" i="71" s="1"/>
  <c r="S91" i="70"/>
  <c r="Z91" i="70" s="1"/>
  <c r="AB114" i="71" l="1"/>
  <c r="AG83" i="70"/>
  <c r="X83" i="70"/>
  <c r="AE83" i="70" s="1"/>
  <c r="W83" i="70"/>
  <c r="AD83" i="70" s="1"/>
  <c r="S83" i="70"/>
  <c r="Z83" i="70" s="1"/>
  <c r="S69" i="70"/>
  <c r="W55" i="70"/>
  <c r="W27" i="70" l="1"/>
  <c r="V95" i="70" l="1"/>
  <c r="U95" i="70"/>
  <c r="T95" i="70"/>
  <c r="AG92" i="70"/>
  <c r="AC92" i="70"/>
  <c r="X92" i="70"/>
  <c r="AE92" i="70" s="1"/>
  <c r="W92" i="70"/>
  <c r="AD92" i="70" s="1"/>
  <c r="S92" i="70"/>
  <c r="Z92" i="70" s="1"/>
  <c r="AC91" i="70"/>
  <c r="AG91" i="70"/>
  <c r="AC90" i="70"/>
  <c r="AG90" i="70"/>
  <c r="X90" i="70"/>
  <c r="AE90" i="70" s="1"/>
  <c r="W90" i="70"/>
  <c r="S90" i="70"/>
  <c r="Z90" i="70" s="1"/>
  <c r="AC89" i="70"/>
  <c r="AB95" i="70"/>
  <c r="X89" i="70"/>
  <c r="AE89" i="70" s="1"/>
  <c r="W89" i="70"/>
  <c r="AD89" i="70" s="1"/>
  <c r="S89" i="70"/>
  <c r="Z89" i="70" s="1"/>
  <c r="V87" i="70"/>
  <c r="U87" i="70"/>
  <c r="T87" i="70"/>
  <c r="AG84" i="70"/>
  <c r="X84" i="70"/>
  <c r="AE84" i="70" s="1"/>
  <c r="W84" i="70"/>
  <c r="AD84" i="70" s="1"/>
  <c r="S84" i="70"/>
  <c r="Z84" i="70" s="1"/>
  <c r="AC87" i="70"/>
  <c r="AA87" i="70"/>
  <c r="X81" i="70"/>
  <c r="AE81" i="70" s="1"/>
  <c r="W81" i="70"/>
  <c r="AD81" i="70" s="1"/>
  <c r="S81" i="70"/>
  <c r="Z81" i="70" s="1"/>
  <c r="V78" i="70"/>
  <c r="U78" i="70"/>
  <c r="T78" i="70"/>
  <c r="AG77" i="70"/>
  <c r="X77" i="70"/>
  <c r="AE77" i="70" s="1"/>
  <c r="W77" i="70"/>
  <c r="AD77" i="70" s="1"/>
  <c r="S77" i="70"/>
  <c r="Z77" i="70" s="1"/>
  <c r="AG76" i="70"/>
  <c r="X76" i="70"/>
  <c r="AE76" i="70" s="1"/>
  <c r="W76" i="70"/>
  <c r="AD76" i="70" s="1"/>
  <c r="S76" i="70"/>
  <c r="Z76" i="70" s="1"/>
  <c r="AG75" i="70"/>
  <c r="X75" i="70"/>
  <c r="AE75" i="70" s="1"/>
  <c r="W75" i="70"/>
  <c r="AD75" i="70" s="1"/>
  <c r="S75" i="70"/>
  <c r="Z75" i="70" s="1"/>
  <c r="AG74" i="70"/>
  <c r="X74" i="70"/>
  <c r="AE74" i="70" s="1"/>
  <c r="W74" i="70"/>
  <c r="AD74" i="70" s="1"/>
  <c r="S74" i="70"/>
  <c r="Z74" i="70" s="1"/>
  <c r="AG73" i="70"/>
  <c r="X73" i="70"/>
  <c r="AE73" i="70" s="1"/>
  <c r="W73" i="70"/>
  <c r="AD73" i="70" s="1"/>
  <c r="S73" i="70"/>
  <c r="Z73" i="70" s="1"/>
  <c r="AG72" i="70"/>
  <c r="X72" i="70"/>
  <c r="AE72" i="70" s="1"/>
  <c r="W72" i="70"/>
  <c r="AD72" i="70" s="1"/>
  <c r="S72" i="70"/>
  <c r="Z72" i="70" s="1"/>
  <c r="AG71" i="70"/>
  <c r="X71" i="70"/>
  <c r="AE71" i="70" s="1"/>
  <c r="W71" i="70"/>
  <c r="AD71" i="70" s="1"/>
  <c r="S71" i="70"/>
  <c r="Z71" i="70" s="1"/>
  <c r="AG70" i="70"/>
  <c r="W70" i="70"/>
  <c r="S70" i="70"/>
  <c r="Z70" i="70" s="1"/>
  <c r="AG69" i="70"/>
  <c r="Z69" i="70"/>
  <c r="X69" i="70"/>
  <c r="AE69" i="70" s="1"/>
  <c r="W69" i="70"/>
  <c r="AD69" i="70" s="1"/>
  <c r="AG68" i="70"/>
  <c r="X68" i="70"/>
  <c r="AE68" i="70" s="1"/>
  <c r="W68" i="70"/>
  <c r="AD68" i="70" s="1"/>
  <c r="S68" i="70"/>
  <c r="Z68" i="70" s="1"/>
  <c r="AG67" i="70"/>
  <c r="X67" i="70"/>
  <c r="AE67" i="70" s="1"/>
  <c r="W67" i="70"/>
  <c r="AD67" i="70" s="1"/>
  <c r="S67" i="70"/>
  <c r="Z67" i="70" s="1"/>
  <c r="AG66" i="70"/>
  <c r="X66" i="70"/>
  <c r="AE66" i="70" s="1"/>
  <c r="W66" i="70"/>
  <c r="AD66" i="70" s="1"/>
  <c r="Z66" i="70"/>
  <c r="AG65" i="70"/>
  <c r="X65" i="70"/>
  <c r="AE65" i="70" s="1"/>
  <c r="W65" i="70"/>
  <c r="AD65" i="70" s="1"/>
  <c r="S65" i="70"/>
  <c r="Z65" i="70" s="1"/>
  <c r="AG64" i="70"/>
  <c r="X64" i="70"/>
  <c r="AE64" i="70" s="1"/>
  <c r="W64" i="70"/>
  <c r="AD64" i="70" s="1"/>
  <c r="S64" i="70"/>
  <c r="Z64" i="70" s="1"/>
  <c r="AG63" i="70"/>
  <c r="X63" i="70"/>
  <c r="AE63" i="70" s="1"/>
  <c r="W63" i="70"/>
  <c r="AD63" i="70" s="1"/>
  <c r="S63" i="70"/>
  <c r="Z63" i="70" s="1"/>
  <c r="AG62" i="70"/>
  <c r="X62" i="70"/>
  <c r="AE62" i="70" s="1"/>
  <c r="W62" i="70"/>
  <c r="AD62" i="70" s="1"/>
  <c r="S62" i="70"/>
  <c r="Z62" i="70" s="1"/>
  <c r="AG61" i="70"/>
  <c r="X61" i="70"/>
  <c r="AE61" i="70" s="1"/>
  <c r="W61" i="70"/>
  <c r="AD61" i="70" s="1"/>
  <c r="S61" i="70"/>
  <c r="Z61" i="70" s="1"/>
  <c r="AG60" i="70"/>
  <c r="X60" i="70"/>
  <c r="AE60" i="70" s="1"/>
  <c r="W60" i="70"/>
  <c r="AD60" i="70" s="1"/>
  <c r="S60" i="70"/>
  <c r="Z60" i="70" s="1"/>
  <c r="AG59" i="70"/>
  <c r="X59" i="70"/>
  <c r="AE59" i="70" s="1"/>
  <c r="W59" i="70"/>
  <c r="AD59" i="70" s="1"/>
  <c r="S59" i="70"/>
  <c r="Z59" i="70" s="1"/>
  <c r="AG58" i="70"/>
  <c r="W58" i="70"/>
  <c r="S58" i="70"/>
  <c r="AG57" i="70"/>
  <c r="X57" i="70"/>
  <c r="AE57" i="70" s="1"/>
  <c r="W57" i="70"/>
  <c r="AD57" i="70" s="1"/>
  <c r="S57" i="70"/>
  <c r="Z57" i="70" s="1"/>
  <c r="AG56" i="70"/>
  <c r="S56" i="70"/>
  <c r="AD55" i="70"/>
  <c r="AG55" i="70"/>
  <c r="X55" i="70"/>
  <c r="AE55" i="70" s="1"/>
  <c r="S55" i="70"/>
  <c r="Z55" i="70" s="1"/>
  <c r="AG54" i="70"/>
  <c r="X54" i="70"/>
  <c r="AE54" i="70" s="1"/>
  <c r="W54" i="70"/>
  <c r="AD54" i="70" s="1"/>
  <c r="S54" i="70"/>
  <c r="Z54" i="70" s="1"/>
  <c r="AG53" i="70"/>
  <c r="X53" i="70"/>
  <c r="AE53" i="70" s="1"/>
  <c r="W53" i="70"/>
  <c r="AD53" i="70" s="1"/>
  <c r="S53" i="70"/>
  <c r="Z53" i="70" s="1"/>
  <c r="AG52" i="70"/>
  <c r="X52" i="70"/>
  <c r="AE52" i="70" s="1"/>
  <c r="W52" i="70"/>
  <c r="AD52" i="70" s="1"/>
  <c r="S52" i="70"/>
  <c r="Z52" i="70" s="1"/>
  <c r="AG51" i="70"/>
  <c r="X51" i="70"/>
  <c r="AE51" i="70" s="1"/>
  <c r="W51" i="70"/>
  <c r="AD51" i="70" s="1"/>
  <c r="S51" i="70"/>
  <c r="Z51" i="70" s="1"/>
  <c r="AG50" i="70"/>
  <c r="X50" i="70"/>
  <c r="AE50" i="70" s="1"/>
  <c r="W50" i="70"/>
  <c r="AD50" i="70" s="1"/>
  <c r="S50" i="70"/>
  <c r="Z50" i="70" s="1"/>
  <c r="AE49" i="70"/>
  <c r="AD49" i="70"/>
  <c r="AG49" i="70"/>
  <c r="S49" i="70"/>
  <c r="AG48" i="70"/>
  <c r="X48" i="70"/>
  <c r="AE48" i="70" s="1"/>
  <c r="W48" i="70"/>
  <c r="AD48" i="70" s="1"/>
  <c r="S48" i="70"/>
  <c r="Z48" i="70" s="1"/>
  <c r="AE47" i="70"/>
  <c r="AD47" i="70"/>
  <c r="AG47" i="70"/>
  <c r="S47" i="70"/>
  <c r="AD46" i="70"/>
  <c r="AG46" i="70"/>
  <c r="Z46" i="70"/>
  <c r="X46" i="70"/>
  <c r="AE46" i="70" s="1"/>
  <c r="W46" i="70"/>
  <c r="S46" i="70"/>
  <c r="AG45" i="70"/>
  <c r="X45" i="70"/>
  <c r="AE45" i="70" s="1"/>
  <c r="W45" i="70"/>
  <c r="AD45" i="70" s="1"/>
  <c r="S45" i="70"/>
  <c r="Z45" i="70" s="1"/>
  <c r="AG44" i="70"/>
  <c r="X44" i="70"/>
  <c r="AE44" i="70" s="1"/>
  <c r="W44" i="70"/>
  <c r="AD44" i="70" s="1"/>
  <c r="S44" i="70"/>
  <c r="Z44" i="70" s="1"/>
  <c r="AG43" i="70"/>
  <c r="X43" i="70"/>
  <c r="AE43" i="70" s="1"/>
  <c r="W43" i="70"/>
  <c r="AD43" i="70" s="1"/>
  <c r="S43" i="70"/>
  <c r="Z43" i="70" s="1"/>
  <c r="AG42" i="70"/>
  <c r="X42" i="70"/>
  <c r="AE42" i="70" s="1"/>
  <c r="W42" i="70"/>
  <c r="AD42" i="70" s="1"/>
  <c r="S42" i="70"/>
  <c r="Z42" i="70" s="1"/>
  <c r="AG41" i="70"/>
  <c r="X41" i="70"/>
  <c r="AE41" i="70" s="1"/>
  <c r="W41" i="70"/>
  <c r="AD41" i="70" s="1"/>
  <c r="S41" i="70"/>
  <c r="Z41" i="70" s="1"/>
  <c r="AG40" i="70"/>
  <c r="X40" i="70"/>
  <c r="AE40" i="70" s="1"/>
  <c r="W40" i="70"/>
  <c r="AD40" i="70" s="1"/>
  <c r="S40" i="70"/>
  <c r="Z40" i="70" s="1"/>
  <c r="AG39" i="70"/>
  <c r="X39" i="70"/>
  <c r="AE39" i="70" s="1"/>
  <c r="W39" i="70"/>
  <c r="AD39" i="70" s="1"/>
  <c r="S39" i="70"/>
  <c r="Z39" i="70" s="1"/>
  <c r="AG38" i="70"/>
  <c r="X38" i="70"/>
  <c r="AE38" i="70" s="1"/>
  <c r="W38" i="70"/>
  <c r="AD38" i="70" s="1"/>
  <c r="S38" i="70"/>
  <c r="Z38" i="70" s="1"/>
  <c r="AG37" i="70"/>
  <c r="X37" i="70"/>
  <c r="AE37" i="70" s="1"/>
  <c r="W37" i="70"/>
  <c r="AD37" i="70" s="1"/>
  <c r="S37" i="70"/>
  <c r="Z37" i="70" s="1"/>
  <c r="AG36" i="70"/>
  <c r="X36" i="70"/>
  <c r="AE36" i="70" s="1"/>
  <c r="W36" i="70"/>
  <c r="S36" i="70"/>
  <c r="Z36" i="70" s="1"/>
  <c r="AE35" i="70"/>
  <c r="AG35" i="70"/>
  <c r="W35" i="70"/>
  <c r="AD35" i="70" s="1"/>
  <c r="S35" i="70"/>
  <c r="AG34" i="70"/>
  <c r="X34" i="70"/>
  <c r="AE34" i="70" s="1"/>
  <c r="W34" i="70"/>
  <c r="AD34" i="70" s="1"/>
  <c r="S34" i="70"/>
  <c r="Z34" i="70" s="1"/>
  <c r="AG33" i="70"/>
  <c r="Z33" i="70"/>
  <c r="X33" i="70"/>
  <c r="AE33" i="70" s="1"/>
  <c r="W33" i="70"/>
  <c r="AD33" i="70" s="1"/>
  <c r="S33" i="70"/>
  <c r="AG32" i="70"/>
  <c r="X32" i="70"/>
  <c r="AE32" i="70" s="1"/>
  <c r="W32" i="70"/>
  <c r="S32" i="70"/>
  <c r="Z32" i="70" s="1"/>
  <c r="AG31" i="70"/>
  <c r="X31" i="70"/>
  <c r="AE31" i="70" s="1"/>
  <c r="W31" i="70"/>
  <c r="AD31" i="70" s="1"/>
  <c r="S31" i="70"/>
  <c r="Z31" i="70" s="1"/>
  <c r="AG30" i="70"/>
  <c r="X30" i="70"/>
  <c r="AE30" i="70" s="1"/>
  <c r="W30" i="70"/>
  <c r="AD30" i="70" s="1"/>
  <c r="S30" i="70"/>
  <c r="Z30" i="70" s="1"/>
  <c r="AG29" i="70"/>
  <c r="X29" i="70"/>
  <c r="AE29" i="70" s="1"/>
  <c r="W29" i="70"/>
  <c r="AD29" i="70" s="1"/>
  <c r="S29" i="70"/>
  <c r="Z29" i="70" s="1"/>
  <c r="AG28" i="70"/>
  <c r="X28" i="70"/>
  <c r="AE28" i="70" s="1"/>
  <c r="W28" i="70"/>
  <c r="AD28" i="70" s="1"/>
  <c r="S28" i="70"/>
  <c r="Z28" i="70" s="1"/>
  <c r="AD27" i="70"/>
  <c r="AG27" i="70"/>
  <c r="X27" i="70"/>
  <c r="AE27" i="70" s="1"/>
  <c r="S27" i="70"/>
  <c r="Z27" i="70" s="1"/>
  <c r="AG26" i="70"/>
  <c r="X26" i="70"/>
  <c r="AE26" i="70" s="1"/>
  <c r="W26" i="70"/>
  <c r="AD26" i="70" s="1"/>
  <c r="S26" i="70"/>
  <c r="Z26" i="70" s="1"/>
  <c r="AG25" i="70"/>
  <c r="X25" i="70"/>
  <c r="AE25" i="70" s="1"/>
  <c r="W25" i="70"/>
  <c r="AD25" i="70" s="1"/>
  <c r="S25" i="70"/>
  <c r="Z25" i="70" s="1"/>
  <c r="AE24" i="70"/>
  <c r="AG24" i="70"/>
  <c r="W24" i="70"/>
  <c r="AD24" i="70" s="1"/>
  <c r="S24" i="70"/>
  <c r="AG23" i="70"/>
  <c r="X23" i="70"/>
  <c r="AE23" i="70" s="1"/>
  <c r="W23" i="70"/>
  <c r="AD23" i="70" s="1"/>
  <c r="S23" i="70"/>
  <c r="Z23" i="70" s="1"/>
  <c r="AG22" i="70"/>
  <c r="X22" i="70"/>
  <c r="AE22" i="70" s="1"/>
  <c r="W22" i="70"/>
  <c r="AD22" i="70" s="1"/>
  <c r="S22" i="70"/>
  <c r="Z22" i="70" s="1"/>
  <c r="AG21" i="70"/>
  <c r="X21" i="70"/>
  <c r="AE21" i="70" s="1"/>
  <c r="W21" i="70"/>
  <c r="AD21" i="70" s="1"/>
  <c r="S21" i="70"/>
  <c r="Z21" i="70" s="1"/>
  <c r="AG20" i="70"/>
  <c r="Z20" i="70"/>
  <c r="X20" i="70"/>
  <c r="AE20" i="70" s="1"/>
  <c r="W20" i="70"/>
  <c r="AG19" i="70"/>
  <c r="X19" i="70"/>
  <c r="AE19" i="70" s="1"/>
  <c r="W19" i="70"/>
  <c r="AD19" i="70" s="1"/>
  <c r="S19" i="70"/>
  <c r="Z19" i="70" s="1"/>
  <c r="AG18" i="70"/>
  <c r="X18" i="70"/>
  <c r="AE18" i="70" s="1"/>
  <c r="W18" i="70"/>
  <c r="AD18" i="70" s="1"/>
  <c r="S18" i="70"/>
  <c r="Z18" i="70" s="1"/>
  <c r="AG17" i="70"/>
  <c r="X17" i="70"/>
  <c r="AE17" i="70" s="1"/>
  <c r="W17" i="70"/>
  <c r="AD17" i="70" s="1"/>
  <c r="S17" i="70"/>
  <c r="Z17" i="70" s="1"/>
  <c r="AG16" i="70"/>
  <c r="X16" i="70"/>
  <c r="AE16" i="70" s="1"/>
  <c r="W16" i="70"/>
  <c r="AD16" i="70" s="1"/>
  <c r="S16" i="70"/>
  <c r="Z16" i="70" s="1"/>
  <c r="X15" i="70"/>
  <c r="AE15" i="70" s="1"/>
  <c r="W15" i="70"/>
  <c r="AD15" i="70" s="1"/>
  <c r="S15" i="70"/>
  <c r="Z15" i="70" s="1"/>
  <c r="AC95" i="70" l="1"/>
  <c r="AA95" i="70"/>
  <c r="V114" i="70"/>
  <c r="AB87" i="70"/>
  <c r="U114" i="70"/>
  <c r="AD87" i="70"/>
  <c r="W87" i="70"/>
  <c r="AG81" i="70"/>
  <c r="AG87" i="70" s="1"/>
  <c r="AA78" i="70"/>
  <c r="AC78" i="70"/>
  <c r="AB78" i="70"/>
  <c r="W78" i="70"/>
  <c r="T114" i="70"/>
  <c r="AG15" i="70"/>
  <c r="AG78" i="70" s="1"/>
  <c r="W95" i="70"/>
  <c r="AG89" i="70"/>
  <c r="AG95" i="70" s="1"/>
  <c r="AB114" i="70" l="1"/>
  <c r="AA114" i="70"/>
  <c r="W114" i="70"/>
  <c r="AG114" i="70"/>
  <c r="M116" i="70" s="1"/>
  <c r="AD78" i="70"/>
  <c r="AD114" i="70" s="1"/>
  <c r="AC114" i="70"/>
  <c r="Q56" i="69"/>
  <c r="T84" i="69"/>
  <c r="U84" i="69" s="1"/>
  <c r="S84" i="69"/>
  <c r="R84" i="69"/>
  <c r="AA83" i="69" l="1"/>
  <c r="Z83" i="69"/>
  <c r="Y83" i="69"/>
  <c r="AE83" i="69" s="1"/>
  <c r="V83" i="69"/>
  <c r="AC83" i="69" s="1"/>
  <c r="U83" i="69"/>
  <c r="AB83" i="69" s="1"/>
  <c r="Q83" i="69"/>
  <c r="X83" i="69" s="1"/>
  <c r="AA81" i="69"/>
  <c r="Z81" i="69"/>
  <c r="Z84" i="69" s="1"/>
  <c r="Y81" i="69"/>
  <c r="V81" i="69"/>
  <c r="AC81" i="69" s="1"/>
  <c r="U81" i="69"/>
  <c r="AB81" i="69" s="1"/>
  <c r="AA84" i="69" l="1"/>
  <c r="AE81" i="69"/>
  <c r="AE84" i="69" s="1"/>
  <c r="Y84" i="69"/>
  <c r="AB84" i="69" s="1"/>
  <c r="V49" i="69"/>
  <c r="U49" i="69"/>
  <c r="T93" i="69" l="1"/>
  <c r="S93" i="69"/>
  <c r="R93" i="69"/>
  <c r="AA90" i="69"/>
  <c r="Z90" i="69"/>
  <c r="Y90" i="69"/>
  <c r="AE90" i="69" s="1"/>
  <c r="X90" i="69"/>
  <c r="V90" i="69"/>
  <c r="AC90" i="69" s="1"/>
  <c r="U90" i="69"/>
  <c r="AB90" i="69" s="1"/>
  <c r="Q90" i="69"/>
  <c r="AA89" i="69"/>
  <c r="Z89" i="69"/>
  <c r="Y89" i="69"/>
  <c r="AE89" i="69" s="1"/>
  <c r="V89" i="69"/>
  <c r="AC89" i="69" s="1"/>
  <c r="Q89" i="69"/>
  <c r="X89" i="69" s="1"/>
  <c r="AA88" i="69"/>
  <c r="Z88" i="69"/>
  <c r="Y88" i="69"/>
  <c r="AE88" i="69" s="1"/>
  <c r="V88" i="69"/>
  <c r="AC88" i="69" s="1"/>
  <c r="U88" i="69"/>
  <c r="Q88" i="69"/>
  <c r="X88" i="69" s="1"/>
  <c r="AA87" i="69"/>
  <c r="AA93" i="69" s="1"/>
  <c r="Z87" i="69"/>
  <c r="Y87" i="69"/>
  <c r="AE87" i="69" s="1"/>
  <c r="V87" i="69"/>
  <c r="AC87" i="69" s="1"/>
  <c r="U87" i="69"/>
  <c r="Q87" i="69"/>
  <c r="X87" i="69" s="1"/>
  <c r="Q81" i="69"/>
  <c r="X81" i="69" s="1"/>
  <c r="T78" i="69"/>
  <c r="S78" i="69"/>
  <c r="S112" i="69" s="1"/>
  <c r="R78" i="69"/>
  <c r="AA77" i="69"/>
  <c r="Z77" i="69"/>
  <c r="Y77" i="69"/>
  <c r="AE77" i="69" s="1"/>
  <c r="V77" i="69"/>
  <c r="AC77" i="69" s="1"/>
  <c r="U77" i="69"/>
  <c r="AB77" i="69" s="1"/>
  <c r="Q77" i="69"/>
  <c r="X77" i="69" s="1"/>
  <c r="AA76" i="69"/>
  <c r="Z76" i="69"/>
  <c r="Y76" i="69"/>
  <c r="AE76" i="69" s="1"/>
  <c r="V76" i="69"/>
  <c r="AC76" i="69" s="1"/>
  <c r="U76" i="69"/>
  <c r="AB76" i="69" s="1"/>
  <c r="Q76" i="69"/>
  <c r="X76" i="69" s="1"/>
  <c r="AA75" i="69"/>
  <c r="Z75" i="69"/>
  <c r="Y75" i="69"/>
  <c r="AE75" i="69" s="1"/>
  <c r="V75" i="69"/>
  <c r="AC75" i="69" s="1"/>
  <c r="U75" i="69"/>
  <c r="AB75" i="69" s="1"/>
  <c r="Q75" i="69"/>
  <c r="X75" i="69" s="1"/>
  <c r="AA74" i="69"/>
  <c r="Z74" i="69"/>
  <c r="Y74" i="69"/>
  <c r="AE74" i="69" s="1"/>
  <c r="X74" i="69"/>
  <c r="V74" i="69"/>
  <c r="AC74" i="69" s="1"/>
  <c r="U74" i="69"/>
  <c r="AB74" i="69" s="1"/>
  <c r="Q74" i="69"/>
  <c r="AA73" i="69"/>
  <c r="Z73" i="69"/>
  <c r="Y73" i="69"/>
  <c r="AE73" i="69" s="1"/>
  <c r="V73" i="69"/>
  <c r="AC73" i="69" s="1"/>
  <c r="U73" i="69"/>
  <c r="AB73" i="69" s="1"/>
  <c r="Q73" i="69"/>
  <c r="X73" i="69" s="1"/>
  <c r="AA72" i="69"/>
  <c r="Z72" i="69"/>
  <c r="Y72" i="69"/>
  <c r="AE72" i="69" s="1"/>
  <c r="X72" i="69"/>
  <c r="V72" i="69"/>
  <c r="AC72" i="69" s="1"/>
  <c r="U72" i="69"/>
  <c r="AB72" i="69" s="1"/>
  <c r="Q72" i="69"/>
  <c r="AA71" i="69"/>
  <c r="Z71" i="69"/>
  <c r="Y71" i="69"/>
  <c r="AE71" i="69" s="1"/>
  <c r="V71" i="69"/>
  <c r="AC71" i="69" s="1"/>
  <c r="U71" i="69"/>
  <c r="AB71" i="69" s="1"/>
  <c r="Q71" i="69"/>
  <c r="X71" i="69" s="1"/>
  <c r="AA70" i="69"/>
  <c r="Z70" i="69"/>
  <c r="Y70" i="69"/>
  <c r="AE70" i="69" s="1"/>
  <c r="V70" i="69"/>
  <c r="AC70" i="69" s="1"/>
  <c r="U70" i="69"/>
  <c r="AB70" i="69" s="1"/>
  <c r="Q70" i="69"/>
  <c r="X70" i="69" s="1"/>
  <c r="AA69" i="69"/>
  <c r="Z69" i="69"/>
  <c r="Y69" i="69"/>
  <c r="AE69" i="69" s="1"/>
  <c r="U69" i="69"/>
  <c r="Q69" i="69"/>
  <c r="X69" i="69" s="1"/>
  <c r="AA68" i="69"/>
  <c r="Z68" i="69"/>
  <c r="Y68" i="69"/>
  <c r="AE68" i="69" s="1"/>
  <c r="X68" i="69"/>
  <c r="V68" i="69"/>
  <c r="AC68" i="69" s="1"/>
  <c r="U68" i="69"/>
  <c r="AB68" i="69" s="1"/>
  <c r="Q68" i="69"/>
  <c r="AA67" i="69"/>
  <c r="Z67" i="69"/>
  <c r="Y67" i="69"/>
  <c r="AE67" i="69" s="1"/>
  <c r="V67" i="69"/>
  <c r="AC67" i="69" s="1"/>
  <c r="U67" i="69"/>
  <c r="AB67" i="69" s="1"/>
  <c r="Q67" i="69"/>
  <c r="X67" i="69" s="1"/>
  <c r="AA66" i="69"/>
  <c r="Z66" i="69"/>
  <c r="Y66" i="69"/>
  <c r="AE66" i="69" s="1"/>
  <c r="V66" i="69"/>
  <c r="AC66" i="69" s="1"/>
  <c r="U66" i="69"/>
  <c r="AB66" i="69" s="1"/>
  <c r="Q66" i="69"/>
  <c r="X66" i="69" s="1"/>
  <c r="AE65" i="69"/>
  <c r="AA65" i="69"/>
  <c r="Z65" i="69"/>
  <c r="Y65" i="69"/>
  <c r="X65" i="69"/>
  <c r="V65" i="69"/>
  <c r="AC65" i="69" s="1"/>
  <c r="U65" i="69"/>
  <c r="AB65" i="69" s="1"/>
  <c r="Q65" i="69"/>
  <c r="AA64" i="69"/>
  <c r="Z64" i="69"/>
  <c r="Y64" i="69"/>
  <c r="AE64" i="69" s="1"/>
  <c r="X64" i="69"/>
  <c r="V64" i="69"/>
  <c r="AC64" i="69" s="1"/>
  <c r="U64" i="69"/>
  <c r="AB64" i="69" s="1"/>
  <c r="Q64" i="69"/>
  <c r="AA63" i="69"/>
  <c r="Z63" i="69"/>
  <c r="Y63" i="69"/>
  <c r="AE63" i="69" s="1"/>
  <c r="V63" i="69"/>
  <c r="AC63" i="69" s="1"/>
  <c r="U63" i="69"/>
  <c r="AB63" i="69" s="1"/>
  <c r="Q63" i="69"/>
  <c r="X63" i="69" s="1"/>
  <c r="AA62" i="69"/>
  <c r="Z62" i="69"/>
  <c r="Y62" i="69"/>
  <c r="AE62" i="69" s="1"/>
  <c r="V62" i="69"/>
  <c r="AC62" i="69" s="1"/>
  <c r="U62" i="69"/>
  <c r="AB62" i="69" s="1"/>
  <c r="Q62" i="69"/>
  <c r="X62" i="69" s="1"/>
  <c r="AE61" i="69"/>
  <c r="AA61" i="69"/>
  <c r="Z61" i="69"/>
  <c r="Y61" i="69"/>
  <c r="V61" i="69"/>
  <c r="AC61" i="69" s="1"/>
  <c r="U61" i="69"/>
  <c r="AB61" i="69" s="1"/>
  <c r="Q61" i="69"/>
  <c r="X61" i="69" s="1"/>
  <c r="AA60" i="69"/>
  <c r="Z60" i="69"/>
  <c r="Y60" i="69"/>
  <c r="AE60" i="69" s="1"/>
  <c r="V60" i="69"/>
  <c r="AC60" i="69" s="1"/>
  <c r="U60" i="69"/>
  <c r="AB60" i="69" s="1"/>
  <c r="Q60" i="69"/>
  <c r="X60" i="69" s="1"/>
  <c r="AA59" i="69"/>
  <c r="Z59" i="69"/>
  <c r="Y59" i="69"/>
  <c r="AE59" i="69" s="1"/>
  <c r="V59" i="69"/>
  <c r="AC59" i="69" s="1"/>
  <c r="U59" i="69"/>
  <c r="AB59" i="69" s="1"/>
  <c r="Q59" i="69"/>
  <c r="X59" i="69" s="1"/>
  <c r="AA58" i="69"/>
  <c r="Z58" i="69"/>
  <c r="Y58" i="69"/>
  <c r="AE58" i="69" s="1"/>
  <c r="V58" i="69"/>
  <c r="AC58" i="69" s="1"/>
  <c r="U58" i="69"/>
  <c r="AB58" i="69" s="1"/>
  <c r="Q58" i="69"/>
  <c r="X58" i="69" s="1"/>
  <c r="AE57" i="69"/>
  <c r="V57" i="69"/>
  <c r="U57" i="69"/>
  <c r="Q57" i="69"/>
  <c r="X57" i="69" s="1"/>
  <c r="AA56" i="69"/>
  <c r="Z56" i="69"/>
  <c r="Y56" i="69"/>
  <c r="AE56" i="69" s="1"/>
  <c r="V56" i="69"/>
  <c r="AC56" i="69" s="1"/>
  <c r="U56" i="69"/>
  <c r="AB56" i="69" s="1"/>
  <c r="X56" i="69"/>
  <c r="AE55" i="69"/>
  <c r="V55" i="69"/>
  <c r="U55" i="69"/>
  <c r="Q55" i="69"/>
  <c r="X55" i="69" s="1"/>
  <c r="AB54" i="69"/>
  <c r="AA54" i="69"/>
  <c r="Z54" i="69"/>
  <c r="Y54" i="69"/>
  <c r="AE54" i="69" s="1"/>
  <c r="V54" i="69"/>
  <c r="AC54" i="69" s="1"/>
  <c r="Q54" i="69"/>
  <c r="X54" i="69" s="1"/>
  <c r="AA53" i="69"/>
  <c r="Z53" i="69"/>
  <c r="Y53" i="69"/>
  <c r="AE53" i="69" s="1"/>
  <c r="V53" i="69"/>
  <c r="AC53" i="69" s="1"/>
  <c r="U53" i="69"/>
  <c r="AB53" i="69" s="1"/>
  <c r="Q53" i="69"/>
  <c r="X53" i="69" s="1"/>
  <c r="AA52" i="69"/>
  <c r="Z52" i="69"/>
  <c r="Y52" i="69"/>
  <c r="AE52" i="69" s="1"/>
  <c r="V52" i="69"/>
  <c r="AC52" i="69" s="1"/>
  <c r="U52" i="69"/>
  <c r="AB52" i="69" s="1"/>
  <c r="Q52" i="69"/>
  <c r="X52" i="69" s="1"/>
  <c r="AA51" i="69"/>
  <c r="Z51" i="69"/>
  <c r="Y51" i="69"/>
  <c r="AE51" i="69" s="1"/>
  <c r="V51" i="69"/>
  <c r="AC51" i="69" s="1"/>
  <c r="U51" i="69"/>
  <c r="AB51" i="69" s="1"/>
  <c r="Q51" i="69"/>
  <c r="X51" i="69" s="1"/>
  <c r="AA50" i="69"/>
  <c r="Z50" i="69"/>
  <c r="Y50" i="69"/>
  <c r="AE50" i="69" s="1"/>
  <c r="V50" i="69"/>
  <c r="AC50" i="69" s="1"/>
  <c r="U50" i="69"/>
  <c r="AB50" i="69" s="1"/>
  <c r="Q50" i="69"/>
  <c r="X50" i="69" s="1"/>
  <c r="AC49" i="69"/>
  <c r="AB49" i="69"/>
  <c r="AA49" i="69"/>
  <c r="Z49" i="69"/>
  <c r="Y49" i="69"/>
  <c r="AE49" i="69" s="1"/>
  <c r="Q49" i="69"/>
  <c r="X49" i="69" s="1"/>
  <c r="AC48" i="69"/>
  <c r="AB48" i="69"/>
  <c r="AA48" i="69"/>
  <c r="Z48" i="69"/>
  <c r="Y48" i="69"/>
  <c r="AE48" i="69" s="1"/>
  <c r="Q48" i="69"/>
  <c r="AA47" i="69"/>
  <c r="Z47" i="69"/>
  <c r="Y47" i="69"/>
  <c r="AE47" i="69" s="1"/>
  <c r="V47" i="69"/>
  <c r="AC47" i="69" s="1"/>
  <c r="U47" i="69"/>
  <c r="AB47" i="69" s="1"/>
  <c r="Q47" i="69"/>
  <c r="X47" i="69" s="1"/>
  <c r="AC46" i="69"/>
  <c r="AB46" i="69"/>
  <c r="AA46" i="69"/>
  <c r="Z46" i="69"/>
  <c r="Y46" i="69"/>
  <c r="AE46" i="69" s="1"/>
  <c r="Q46" i="69"/>
  <c r="AA45" i="69"/>
  <c r="Z45" i="69"/>
  <c r="Y45" i="69"/>
  <c r="AE45" i="69" s="1"/>
  <c r="V45" i="69"/>
  <c r="AC45" i="69" s="1"/>
  <c r="U45" i="69"/>
  <c r="AB45" i="69" s="1"/>
  <c r="Q45" i="69"/>
  <c r="X45" i="69" s="1"/>
  <c r="AE44" i="69"/>
  <c r="AA44" i="69"/>
  <c r="Z44" i="69"/>
  <c r="Y44" i="69"/>
  <c r="X44" i="69"/>
  <c r="V44" i="69"/>
  <c r="AC44" i="69" s="1"/>
  <c r="U44" i="69"/>
  <c r="AB44" i="69" s="1"/>
  <c r="Q44" i="69"/>
  <c r="AA43" i="69"/>
  <c r="Z43" i="69"/>
  <c r="Y43" i="69"/>
  <c r="AE43" i="69" s="1"/>
  <c r="V43" i="69"/>
  <c r="AC43" i="69" s="1"/>
  <c r="U43" i="69"/>
  <c r="AB43" i="69" s="1"/>
  <c r="Q43" i="69"/>
  <c r="X43" i="69" s="1"/>
  <c r="AA42" i="69"/>
  <c r="Z42" i="69"/>
  <c r="Y42" i="69"/>
  <c r="AE42" i="69" s="1"/>
  <c r="V42" i="69"/>
  <c r="AC42" i="69" s="1"/>
  <c r="U42" i="69"/>
  <c r="AB42" i="69" s="1"/>
  <c r="Q42" i="69"/>
  <c r="X42" i="69" s="1"/>
  <c r="AA41" i="69"/>
  <c r="Z41" i="69"/>
  <c r="Y41" i="69"/>
  <c r="AE41" i="69" s="1"/>
  <c r="V41" i="69"/>
  <c r="AC41" i="69" s="1"/>
  <c r="U41" i="69"/>
  <c r="AB41" i="69" s="1"/>
  <c r="Q41" i="69"/>
  <c r="X41" i="69" s="1"/>
  <c r="AA40" i="69"/>
  <c r="Z40" i="69"/>
  <c r="Y40" i="69"/>
  <c r="AE40" i="69" s="1"/>
  <c r="V40" i="69"/>
  <c r="AC40" i="69" s="1"/>
  <c r="U40" i="69"/>
  <c r="AB40" i="69" s="1"/>
  <c r="Q40" i="69"/>
  <c r="X40" i="69" s="1"/>
  <c r="AA39" i="69"/>
  <c r="Z39" i="69"/>
  <c r="Y39" i="69"/>
  <c r="AE39" i="69" s="1"/>
  <c r="V39" i="69"/>
  <c r="AC39" i="69" s="1"/>
  <c r="U39" i="69"/>
  <c r="AB39" i="69" s="1"/>
  <c r="Q39" i="69"/>
  <c r="X39" i="69" s="1"/>
  <c r="AA38" i="69"/>
  <c r="Z38" i="69"/>
  <c r="Y38" i="69"/>
  <c r="AE38" i="69" s="1"/>
  <c r="V38" i="69"/>
  <c r="AC38" i="69" s="1"/>
  <c r="U38" i="69"/>
  <c r="AB38" i="69" s="1"/>
  <c r="Q38" i="69"/>
  <c r="X38" i="69" s="1"/>
  <c r="AA37" i="69"/>
  <c r="Z37" i="69"/>
  <c r="Y37" i="69"/>
  <c r="AE37" i="69" s="1"/>
  <c r="V37" i="69"/>
  <c r="AC37" i="69" s="1"/>
  <c r="U37" i="69"/>
  <c r="AB37" i="69" s="1"/>
  <c r="Q37" i="69"/>
  <c r="X37" i="69" s="1"/>
  <c r="AA36" i="69"/>
  <c r="Z36" i="69"/>
  <c r="Y36" i="69"/>
  <c r="AE36" i="69" s="1"/>
  <c r="V36" i="69"/>
  <c r="AC36" i="69" s="1"/>
  <c r="U36" i="69"/>
  <c r="AB36" i="69" s="1"/>
  <c r="Q36" i="69"/>
  <c r="X36" i="69" s="1"/>
  <c r="AA35" i="69"/>
  <c r="Z35" i="69"/>
  <c r="Y35" i="69"/>
  <c r="AE35" i="69" s="1"/>
  <c r="V35" i="69"/>
  <c r="AC35" i="69" s="1"/>
  <c r="U35" i="69"/>
  <c r="Q35" i="69"/>
  <c r="X35" i="69" s="1"/>
  <c r="AC34" i="69"/>
  <c r="AA34" i="69"/>
  <c r="Z34" i="69"/>
  <c r="Y34" i="69"/>
  <c r="AE34" i="69" s="1"/>
  <c r="U34" i="69"/>
  <c r="AB34" i="69" s="1"/>
  <c r="Q34" i="69"/>
  <c r="AA33" i="69"/>
  <c r="Z33" i="69"/>
  <c r="Y33" i="69"/>
  <c r="AE33" i="69" s="1"/>
  <c r="V33" i="69"/>
  <c r="AC33" i="69" s="1"/>
  <c r="U33" i="69"/>
  <c r="AB33" i="69" s="1"/>
  <c r="Q33" i="69"/>
  <c r="X33" i="69" s="1"/>
  <c r="AA32" i="69"/>
  <c r="Z32" i="69"/>
  <c r="Y32" i="69"/>
  <c r="AE32" i="69" s="1"/>
  <c r="V32" i="69"/>
  <c r="AC32" i="69" s="1"/>
  <c r="U32" i="69"/>
  <c r="AB32" i="69" s="1"/>
  <c r="Q32" i="69"/>
  <c r="X32" i="69" s="1"/>
  <c r="AA31" i="69"/>
  <c r="Z31" i="69"/>
  <c r="Y31" i="69"/>
  <c r="AE31" i="69" s="1"/>
  <c r="X31" i="69"/>
  <c r="V31" i="69"/>
  <c r="AC31" i="69" s="1"/>
  <c r="U31" i="69"/>
  <c r="Q31" i="69"/>
  <c r="AA30" i="69"/>
  <c r="Z30" i="69"/>
  <c r="Y30" i="69"/>
  <c r="AE30" i="69" s="1"/>
  <c r="V30" i="69"/>
  <c r="AC30" i="69" s="1"/>
  <c r="U30" i="69"/>
  <c r="AB30" i="69" s="1"/>
  <c r="Q30" i="69"/>
  <c r="X30" i="69" s="1"/>
  <c r="AA29" i="69"/>
  <c r="Z29" i="69"/>
  <c r="Y29" i="69"/>
  <c r="AE29" i="69" s="1"/>
  <c r="V29" i="69"/>
  <c r="AC29" i="69" s="1"/>
  <c r="U29" i="69"/>
  <c r="AB29" i="69" s="1"/>
  <c r="Q29" i="69"/>
  <c r="X29" i="69" s="1"/>
  <c r="AA28" i="69"/>
  <c r="Z28" i="69"/>
  <c r="Y28" i="69"/>
  <c r="AE28" i="69" s="1"/>
  <c r="V28" i="69"/>
  <c r="AC28" i="69" s="1"/>
  <c r="U28" i="69"/>
  <c r="AB28" i="69" s="1"/>
  <c r="Q28" i="69"/>
  <c r="X28" i="69" s="1"/>
  <c r="AA27" i="69"/>
  <c r="Z27" i="69"/>
  <c r="Y27" i="69"/>
  <c r="AE27" i="69" s="1"/>
  <c r="X27" i="69"/>
  <c r="V27" i="69"/>
  <c r="AC27" i="69" s="1"/>
  <c r="U27" i="69"/>
  <c r="AB27" i="69" s="1"/>
  <c r="Q27" i="69"/>
  <c r="AA26" i="69"/>
  <c r="Z26" i="69"/>
  <c r="Y26" i="69"/>
  <c r="AE26" i="69" s="1"/>
  <c r="V26" i="69"/>
  <c r="AC26" i="69" s="1"/>
  <c r="AB26" i="69"/>
  <c r="Q26" i="69"/>
  <c r="X26" i="69" s="1"/>
  <c r="AA25" i="69"/>
  <c r="Z25" i="69"/>
  <c r="Y25" i="69"/>
  <c r="AE25" i="69" s="1"/>
  <c r="X25" i="69"/>
  <c r="V25" i="69"/>
  <c r="AC25" i="69" s="1"/>
  <c r="U25" i="69"/>
  <c r="AB25" i="69" s="1"/>
  <c r="Q25" i="69"/>
  <c r="AA24" i="69"/>
  <c r="Z24" i="69"/>
  <c r="Y24" i="69"/>
  <c r="AE24" i="69" s="1"/>
  <c r="V24" i="69"/>
  <c r="AC24" i="69" s="1"/>
  <c r="U24" i="69"/>
  <c r="AB24" i="69" s="1"/>
  <c r="Q24" i="69"/>
  <c r="X24" i="69" s="1"/>
  <c r="AC23" i="69"/>
  <c r="AA23" i="69"/>
  <c r="Z23" i="69"/>
  <c r="Y23" i="69"/>
  <c r="AE23" i="69" s="1"/>
  <c r="U23" i="69"/>
  <c r="AB23" i="69" s="1"/>
  <c r="Q23" i="69"/>
  <c r="AA22" i="69"/>
  <c r="Z22" i="69"/>
  <c r="Y22" i="69"/>
  <c r="AE22" i="69" s="1"/>
  <c r="V22" i="69"/>
  <c r="AC22" i="69" s="1"/>
  <c r="U22" i="69"/>
  <c r="AB22" i="69" s="1"/>
  <c r="Q22" i="69"/>
  <c r="X22" i="69" s="1"/>
  <c r="AE21" i="69"/>
  <c r="AA21" i="69"/>
  <c r="Z21" i="69"/>
  <c r="Y21" i="69"/>
  <c r="V21" i="69"/>
  <c r="AC21" i="69" s="1"/>
  <c r="U21" i="69"/>
  <c r="AB21" i="69" s="1"/>
  <c r="Q21" i="69"/>
  <c r="X21" i="69" s="1"/>
  <c r="AA20" i="69"/>
  <c r="Z20" i="69"/>
  <c r="Y20" i="69"/>
  <c r="AE20" i="69" s="1"/>
  <c r="V20" i="69"/>
  <c r="AC20" i="69" s="1"/>
  <c r="U20" i="69"/>
  <c r="AB20" i="69" s="1"/>
  <c r="Q20" i="69"/>
  <c r="X20" i="69" s="1"/>
  <c r="AA19" i="69"/>
  <c r="Z19" i="69"/>
  <c r="Y19" i="69"/>
  <c r="AE19" i="69" s="1"/>
  <c r="V19" i="69"/>
  <c r="AC19" i="69" s="1"/>
  <c r="U19" i="69"/>
  <c r="Q19" i="69"/>
  <c r="X19" i="69" s="1"/>
  <c r="AA18" i="69"/>
  <c r="Z18" i="69"/>
  <c r="Y18" i="69"/>
  <c r="AE18" i="69" s="1"/>
  <c r="X18" i="69"/>
  <c r="V18" i="69"/>
  <c r="AC18" i="69" s="1"/>
  <c r="U18" i="69"/>
  <c r="AB18" i="69" s="1"/>
  <c r="Q18" i="69"/>
  <c r="AA17" i="69"/>
  <c r="Z17" i="69"/>
  <c r="Y17" i="69"/>
  <c r="AE17" i="69" s="1"/>
  <c r="V17" i="69"/>
  <c r="AC17" i="69" s="1"/>
  <c r="U17" i="69"/>
  <c r="AB17" i="69" s="1"/>
  <c r="Q17" i="69"/>
  <c r="X17" i="69" s="1"/>
  <c r="AA16" i="69"/>
  <c r="Z16" i="69"/>
  <c r="Y16" i="69"/>
  <c r="AE16" i="69" s="1"/>
  <c r="V16" i="69"/>
  <c r="AC16" i="69" s="1"/>
  <c r="U16" i="69"/>
  <c r="AB16" i="69" s="1"/>
  <c r="Q16" i="69"/>
  <c r="X16" i="69" s="1"/>
  <c r="AA15" i="69"/>
  <c r="Z15" i="69"/>
  <c r="Y15" i="69"/>
  <c r="AE15" i="69" s="1"/>
  <c r="V15" i="69"/>
  <c r="AC15" i="69" s="1"/>
  <c r="U15" i="69"/>
  <c r="AB15" i="69" s="1"/>
  <c r="Q15" i="69"/>
  <c r="X15" i="69" s="1"/>
  <c r="AA14" i="69"/>
  <c r="Z14" i="69"/>
  <c r="Y14" i="69"/>
  <c r="V14" i="69"/>
  <c r="AC14" i="69" s="1"/>
  <c r="U14" i="69"/>
  <c r="AB14" i="69" s="1"/>
  <c r="Q14" i="69"/>
  <c r="X14" i="69" s="1"/>
  <c r="T112" i="69" l="1"/>
  <c r="R112" i="69"/>
  <c r="U93" i="69"/>
  <c r="Y93" i="69"/>
  <c r="Z93" i="69"/>
  <c r="AE93" i="69"/>
  <c r="Z78" i="69"/>
  <c r="Y78" i="69"/>
  <c r="Y112" i="69" s="1"/>
  <c r="AA78" i="69"/>
  <c r="AA112" i="69" s="1"/>
  <c r="U78" i="69"/>
  <c r="AE14" i="69"/>
  <c r="AE78" i="69" s="1"/>
  <c r="AE112" i="69" s="1"/>
  <c r="AB87" i="69"/>
  <c r="Q82" i="68"/>
  <c r="Q69" i="68"/>
  <c r="Q63" i="68"/>
  <c r="Z112" i="69" l="1"/>
  <c r="K114" i="69"/>
  <c r="U112" i="69"/>
  <c r="AB78" i="69"/>
  <c r="AB112" i="69" s="1"/>
  <c r="U42" i="68"/>
  <c r="AC41" i="68"/>
  <c r="AA41" i="68"/>
  <c r="Z41" i="68"/>
  <c r="Y41" i="68"/>
  <c r="V41" i="68"/>
  <c r="U41" i="68"/>
  <c r="AB41" i="68" s="1"/>
  <c r="T93" i="68" l="1"/>
  <c r="S93" i="68"/>
  <c r="R93" i="68"/>
  <c r="AA90" i="68"/>
  <c r="Z90" i="68"/>
  <c r="Y90" i="68"/>
  <c r="AE90" i="68" s="1"/>
  <c r="V90" i="68"/>
  <c r="AC90" i="68" s="1"/>
  <c r="U90" i="68"/>
  <c r="AB90" i="68" s="1"/>
  <c r="Q90" i="68"/>
  <c r="X90" i="68" s="1"/>
  <c r="AA89" i="68"/>
  <c r="Z89" i="68"/>
  <c r="Y89" i="68"/>
  <c r="AE89" i="68" s="1"/>
  <c r="V89" i="68"/>
  <c r="AC89" i="68" s="1"/>
  <c r="Q89" i="68"/>
  <c r="X89" i="68" s="1"/>
  <c r="AA88" i="68"/>
  <c r="Z88" i="68"/>
  <c r="Y88" i="68"/>
  <c r="AE88" i="68" s="1"/>
  <c r="V88" i="68"/>
  <c r="AC88" i="68" s="1"/>
  <c r="U88" i="68"/>
  <c r="Q88" i="68"/>
  <c r="X88" i="68" s="1"/>
  <c r="AB87" i="68"/>
  <c r="AA87" i="68"/>
  <c r="Z87" i="68"/>
  <c r="Z93" i="68" s="1"/>
  <c r="Y87" i="68"/>
  <c r="V87" i="68"/>
  <c r="AC87" i="68" s="1"/>
  <c r="U87" i="68"/>
  <c r="Q87" i="68"/>
  <c r="X87" i="68" s="1"/>
  <c r="T79" i="68"/>
  <c r="S79" i="68"/>
  <c r="R79" i="68"/>
  <c r="AC78" i="68"/>
  <c r="AB78" i="68"/>
  <c r="AA78" i="68"/>
  <c r="Z78" i="68"/>
  <c r="Y78" i="68"/>
  <c r="AE78" i="68" s="1"/>
  <c r="AA77" i="68"/>
  <c r="Z77" i="68"/>
  <c r="Y77" i="68"/>
  <c r="AE77" i="68" s="1"/>
  <c r="V77" i="68"/>
  <c r="AC77" i="68" s="1"/>
  <c r="U77" i="68"/>
  <c r="AB77" i="68" s="1"/>
  <c r="Q77" i="68"/>
  <c r="X77" i="68" s="1"/>
  <c r="AA76" i="68"/>
  <c r="Z76" i="68"/>
  <c r="Y76" i="68"/>
  <c r="AE76" i="68" s="1"/>
  <c r="V76" i="68"/>
  <c r="AC76" i="68" s="1"/>
  <c r="U76" i="68"/>
  <c r="AB76" i="68" s="1"/>
  <c r="Q76" i="68"/>
  <c r="X76" i="68" s="1"/>
  <c r="AA75" i="68"/>
  <c r="Z75" i="68"/>
  <c r="Y75" i="68"/>
  <c r="AE75" i="68" s="1"/>
  <c r="V75" i="68"/>
  <c r="AC75" i="68" s="1"/>
  <c r="U75" i="68"/>
  <c r="AB75" i="68" s="1"/>
  <c r="Q75" i="68"/>
  <c r="X75" i="68" s="1"/>
  <c r="AA74" i="68"/>
  <c r="Z74" i="68"/>
  <c r="Y74" i="68"/>
  <c r="AE74" i="68" s="1"/>
  <c r="V74" i="68"/>
  <c r="AC74" i="68" s="1"/>
  <c r="U74" i="68"/>
  <c r="AB74" i="68" s="1"/>
  <c r="Q74" i="68"/>
  <c r="X74" i="68" s="1"/>
  <c r="AA73" i="68"/>
  <c r="Z73" i="68"/>
  <c r="Y73" i="68"/>
  <c r="AE73" i="68" s="1"/>
  <c r="V73" i="68"/>
  <c r="AC73" i="68" s="1"/>
  <c r="U73" i="68"/>
  <c r="AB73" i="68" s="1"/>
  <c r="Q73" i="68"/>
  <c r="X73" i="68" s="1"/>
  <c r="AA72" i="68"/>
  <c r="Z72" i="68"/>
  <c r="Y72" i="68"/>
  <c r="AE72" i="68" s="1"/>
  <c r="V72" i="68"/>
  <c r="AC72" i="68" s="1"/>
  <c r="U72" i="68"/>
  <c r="AB72" i="68" s="1"/>
  <c r="Q72" i="68"/>
  <c r="X72" i="68" s="1"/>
  <c r="AA71" i="68"/>
  <c r="Z71" i="68"/>
  <c r="Y71" i="68"/>
  <c r="AE71" i="68" s="1"/>
  <c r="V71" i="68"/>
  <c r="AC71" i="68" s="1"/>
  <c r="U71" i="68"/>
  <c r="AB71" i="68" s="1"/>
  <c r="Q71" i="68"/>
  <c r="X71" i="68" s="1"/>
  <c r="AA70" i="68"/>
  <c r="Z70" i="68"/>
  <c r="Y70" i="68"/>
  <c r="AE70" i="68" s="1"/>
  <c r="V70" i="68"/>
  <c r="AC70" i="68" s="1"/>
  <c r="U70" i="68"/>
  <c r="AB70" i="68" s="1"/>
  <c r="Q70" i="68"/>
  <c r="X70" i="68" s="1"/>
  <c r="AA69" i="68"/>
  <c r="Z69" i="68"/>
  <c r="Y69" i="68"/>
  <c r="AE69" i="68" s="1"/>
  <c r="U69" i="68"/>
  <c r="X69" i="68"/>
  <c r="AA68" i="68"/>
  <c r="Z68" i="68"/>
  <c r="Y68" i="68"/>
  <c r="AE68" i="68" s="1"/>
  <c r="V68" i="68"/>
  <c r="AC68" i="68" s="1"/>
  <c r="U68" i="68"/>
  <c r="AB68" i="68" s="1"/>
  <c r="Q68" i="68"/>
  <c r="X68" i="68" s="1"/>
  <c r="AA67" i="68"/>
  <c r="Z67" i="68"/>
  <c r="Y67" i="68"/>
  <c r="AE67" i="68" s="1"/>
  <c r="V67" i="68"/>
  <c r="AC67" i="68" s="1"/>
  <c r="U67" i="68"/>
  <c r="AB67" i="68" s="1"/>
  <c r="Q67" i="68"/>
  <c r="X67" i="68" s="1"/>
  <c r="AA66" i="68"/>
  <c r="Z66" i="68"/>
  <c r="Y66" i="68"/>
  <c r="AE66" i="68" s="1"/>
  <c r="V66" i="68"/>
  <c r="AC66" i="68" s="1"/>
  <c r="U66" i="68"/>
  <c r="AB66" i="68" s="1"/>
  <c r="Q66" i="68"/>
  <c r="X66" i="68" s="1"/>
  <c r="AA65" i="68"/>
  <c r="Z65" i="68"/>
  <c r="Y65" i="68"/>
  <c r="AE65" i="68" s="1"/>
  <c r="V65" i="68"/>
  <c r="AC65" i="68" s="1"/>
  <c r="U65" i="68"/>
  <c r="AB65" i="68" s="1"/>
  <c r="Q65" i="68"/>
  <c r="X65" i="68" s="1"/>
  <c r="AA64" i="68"/>
  <c r="Z64" i="68"/>
  <c r="Y64" i="68"/>
  <c r="AE64" i="68" s="1"/>
  <c r="V64" i="68"/>
  <c r="AC64" i="68" s="1"/>
  <c r="U64" i="68"/>
  <c r="AB64" i="68" s="1"/>
  <c r="Q64" i="68"/>
  <c r="X64" i="68" s="1"/>
  <c r="AA63" i="68"/>
  <c r="Z63" i="68"/>
  <c r="Y63" i="68"/>
  <c r="AE63" i="68" s="1"/>
  <c r="V63" i="68"/>
  <c r="AC63" i="68" s="1"/>
  <c r="U63" i="68"/>
  <c r="AB63" i="68" s="1"/>
  <c r="X63" i="68"/>
  <c r="AA62" i="68"/>
  <c r="Z62" i="68"/>
  <c r="Y62" i="68"/>
  <c r="AE62" i="68" s="1"/>
  <c r="V62" i="68"/>
  <c r="AC62" i="68" s="1"/>
  <c r="U62" i="68"/>
  <c r="AB62" i="68" s="1"/>
  <c r="Q62" i="68"/>
  <c r="X62" i="68" s="1"/>
  <c r="AA61" i="68"/>
  <c r="Z61" i="68"/>
  <c r="Y61" i="68"/>
  <c r="AE61" i="68" s="1"/>
  <c r="V61" i="68"/>
  <c r="AC61" i="68" s="1"/>
  <c r="U61" i="68"/>
  <c r="AB61" i="68" s="1"/>
  <c r="Q61" i="68"/>
  <c r="X61" i="68" s="1"/>
  <c r="AA60" i="68"/>
  <c r="Z60" i="68"/>
  <c r="Y60" i="68"/>
  <c r="AE60" i="68" s="1"/>
  <c r="V60" i="68"/>
  <c r="AC60" i="68" s="1"/>
  <c r="U60" i="68"/>
  <c r="AB60" i="68" s="1"/>
  <c r="Q60" i="68"/>
  <c r="X60" i="68" s="1"/>
  <c r="AA59" i="68"/>
  <c r="Z59" i="68"/>
  <c r="Y59" i="68"/>
  <c r="AE59" i="68" s="1"/>
  <c r="V59" i="68"/>
  <c r="AC59" i="68" s="1"/>
  <c r="U59" i="68"/>
  <c r="AB59" i="68" s="1"/>
  <c r="Q59" i="68"/>
  <c r="X59" i="68" s="1"/>
  <c r="AA58" i="68"/>
  <c r="Z58" i="68"/>
  <c r="Y58" i="68"/>
  <c r="AE58" i="68" s="1"/>
  <c r="V58" i="68"/>
  <c r="AC58" i="68" s="1"/>
  <c r="U58" i="68"/>
  <c r="AB58" i="68" s="1"/>
  <c r="Q58" i="68"/>
  <c r="X58" i="68" s="1"/>
  <c r="AA57" i="68"/>
  <c r="Z57" i="68"/>
  <c r="Y57" i="68"/>
  <c r="AE57" i="68" s="1"/>
  <c r="V57" i="68"/>
  <c r="AC57" i="68" s="1"/>
  <c r="U57" i="68"/>
  <c r="AB57" i="68" s="1"/>
  <c r="Q57" i="68"/>
  <c r="X57" i="68" s="1"/>
  <c r="AA56" i="68"/>
  <c r="Z56" i="68"/>
  <c r="Y56" i="68"/>
  <c r="AE56" i="68" s="1"/>
  <c r="V56" i="68"/>
  <c r="AC56" i="68" s="1"/>
  <c r="U56" i="68"/>
  <c r="AB56" i="68" s="1"/>
  <c r="Q56" i="68"/>
  <c r="X56" i="68" s="1"/>
  <c r="AE55" i="68"/>
  <c r="V55" i="68"/>
  <c r="U55" i="68"/>
  <c r="Q55" i="68"/>
  <c r="X55" i="68" s="1"/>
  <c r="AA54" i="68"/>
  <c r="Z54" i="68"/>
  <c r="Y54" i="68"/>
  <c r="AE54" i="68" s="1"/>
  <c r="V54" i="68"/>
  <c r="AC54" i="68" s="1"/>
  <c r="U54" i="68"/>
  <c r="AB54" i="68" s="1"/>
  <c r="Q54" i="68"/>
  <c r="X54" i="68" s="1"/>
  <c r="AA53" i="68"/>
  <c r="Z53" i="68"/>
  <c r="Y53" i="68"/>
  <c r="AE53" i="68" s="1"/>
  <c r="V53" i="68"/>
  <c r="AC53" i="68" s="1"/>
  <c r="U53" i="68"/>
  <c r="AB53" i="68" s="1"/>
  <c r="Q53" i="68"/>
  <c r="X53" i="68" s="1"/>
  <c r="AA52" i="68"/>
  <c r="Z52" i="68"/>
  <c r="Y52" i="68"/>
  <c r="AE52" i="68" s="1"/>
  <c r="V52" i="68"/>
  <c r="AC52" i="68" s="1"/>
  <c r="U52" i="68"/>
  <c r="AB52" i="68" s="1"/>
  <c r="Q52" i="68"/>
  <c r="X52" i="68" s="1"/>
  <c r="AA51" i="68"/>
  <c r="Z51" i="68"/>
  <c r="Y51" i="68"/>
  <c r="AE51" i="68" s="1"/>
  <c r="V51" i="68"/>
  <c r="AC51" i="68" s="1"/>
  <c r="U51" i="68"/>
  <c r="AB51" i="68" s="1"/>
  <c r="Q51" i="68"/>
  <c r="X51" i="68" s="1"/>
  <c r="AA50" i="68"/>
  <c r="Z50" i="68"/>
  <c r="Y50" i="68"/>
  <c r="AE50" i="68" s="1"/>
  <c r="V50" i="68"/>
  <c r="AC50" i="68" s="1"/>
  <c r="U50" i="68"/>
  <c r="AB50" i="68" s="1"/>
  <c r="Q50" i="68"/>
  <c r="X50" i="68" s="1"/>
  <c r="AC49" i="68"/>
  <c r="AB49" i="68"/>
  <c r="AA49" i="68"/>
  <c r="Z49" i="68"/>
  <c r="Y49" i="68"/>
  <c r="AE49" i="68" s="1"/>
  <c r="Q49" i="68"/>
  <c r="AA48" i="68"/>
  <c r="Z48" i="68"/>
  <c r="Y48" i="68"/>
  <c r="AE48" i="68" s="1"/>
  <c r="AC48" i="68"/>
  <c r="AB48" i="68"/>
  <c r="Q48" i="68"/>
  <c r="AA47" i="68"/>
  <c r="Z47" i="68"/>
  <c r="Y47" i="68"/>
  <c r="AE47" i="68" s="1"/>
  <c r="V47" i="68"/>
  <c r="AC47" i="68" s="1"/>
  <c r="U47" i="68"/>
  <c r="AB47" i="68" s="1"/>
  <c r="Q47" i="68"/>
  <c r="X47" i="68" s="1"/>
  <c r="AC46" i="68"/>
  <c r="AB46" i="68"/>
  <c r="AA46" i="68"/>
  <c r="Z46" i="68"/>
  <c r="Y46" i="68"/>
  <c r="AE46" i="68" s="1"/>
  <c r="Q46" i="68"/>
  <c r="AA45" i="68"/>
  <c r="Z45" i="68"/>
  <c r="Y45" i="68"/>
  <c r="AE45" i="68" s="1"/>
  <c r="V45" i="68"/>
  <c r="AC45" i="68" s="1"/>
  <c r="U45" i="68"/>
  <c r="AB45" i="68" s="1"/>
  <c r="Q45" i="68"/>
  <c r="X45" i="68" s="1"/>
  <c r="AA44" i="68"/>
  <c r="Z44" i="68"/>
  <c r="Y44" i="68"/>
  <c r="AE44" i="68" s="1"/>
  <c r="V44" i="68"/>
  <c r="AC44" i="68" s="1"/>
  <c r="U44" i="68"/>
  <c r="AB44" i="68" s="1"/>
  <c r="Q44" i="68"/>
  <c r="X44" i="68" s="1"/>
  <c r="AA43" i="68"/>
  <c r="Z43" i="68"/>
  <c r="Y43" i="68"/>
  <c r="AE43" i="68" s="1"/>
  <c r="V43" i="68"/>
  <c r="AC43" i="68" s="1"/>
  <c r="U43" i="68"/>
  <c r="AB43" i="68" s="1"/>
  <c r="Q43" i="68"/>
  <c r="X43" i="68" s="1"/>
  <c r="AB42" i="68"/>
  <c r="AA42" i="68"/>
  <c r="Z42" i="68"/>
  <c r="Y42" i="68"/>
  <c r="AE42" i="68" s="1"/>
  <c r="V42" i="68"/>
  <c r="AC42" i="68" s="1"/>
  <c r="Q42" i="68"/>
  <c r="X42" i="68" s="1"/>
  <c r="AE41" i="68"/>
  <c r="Q41" i="68"/>
  <c r="X41" i="68" s="1"/>
  <c r="AA40" i="68"/>
  <c r="Z40" i="68"/>
  <c r="Y40" i="68"/>
  <c r="AE40" i="68" s="1"/>
  <c r="V40" i="68"/>
  <c r="AC40" i="68" s="1"/>
  <c r="U40" i="68"/>
  <c r="AB40" i="68" s="1"/>
  <c r="Q40" i="68"/>
  <c r="X40" i="68" s="1"/>
  <c r="AA39" i="68"/>
  <c r="Z39" i="68"/>
  <c r="Y39" i="68"/>
  <c r="AE39" i="68" s="1"/>
  <c r="V39" i="68"/>
  <c r="AC39" i="68" s="1"/>
  <c r="U39" i="68"/>
  <c r="AB39" i="68" s="1"/>
  <c r="Q39" i="68"/>
  <c r="X39" i="68" s="1"/>
  <c r="AC38" i="68"/>
  <c r="AA38" i="68"/>
  <c r="Z38" i="68"/>
  <c r="Y38" i="68"/>
  <c r="AE38" i="68" s="1"/>
  <c r="V38" i="68"/>
  <c r="U38" i="68"/>
  <c r="AB38" i="68" s="1"/>
  <c r="Q38" i="68"/>
  <c r="X38" i="68" s="1"/>
  <c r="AA37" i="68"/>
  <c r="Z37" i="68"/>
  <c r="Y37" i="68"/>
  <c r="AE37" i="68" s="1"/>
  <c r="V37" i="68"/>
  <c r="AC37" i="68" s="1"/>
  <c r="U37" i="68"/>
  <c r="AB37" i="68" s="1"/>
  <c r="Q37" i="68"/>
  <c r="X37" i="68" s="1"/>
  <c r="AA36" i="68"/>
  <c r="Z36" i="68"/>
  <c r="Y36" i="68"/>
  <c r="AE36" i="68" s="1"/>
  <c r="V36" i="68"/>
  <c r="AC36" i="68" s="1"/>
  <c r="U36" i="68"/>
  <c r="AB36" i="68" s="1"/>
  <c r="Q36" i="68"/>
  <c r="X36" i="68" s="1"/>
  <c r="AA35" i="68"/>
  <c r="Z35" i="68"/>
  <c r="Y35" i="68"/>
  <c r="AE35" i="68" s="1"/>
  <c r="V35" i="68"/>
  <c r="AC35" i="68" s="1"/>
  <c r="U35" i="68"/>
  <c r="Q35" i="68"/>
  <c r="X35" i="68" s="1"/>
  <c r="AC34" i="68"/>
  <c r="AA34" i="68"/>
  <c r="Z34" i="68"/>
  <c r="Y34" i="68"/>
  <c r="AE34" i="68" s="1"/>
  <c r="U34" i="68"/>
  <c r="AB34" i="68" s="1"/>
  <c r="Q34" i="68"/>
  <c r="AA33" i="68"/>
  <c r="Z33" i="68"/>
  <c r="Y33" i="68"/>
  <c r="AE33" i="68" s="1"/>
  <c r="V33" i="68"/>
  <c r="AC33" i="68" s="1"/>
  <c r="U33" i="68"/>
  <c r="AB33" i="68" s="1"/>
  <c r="Q33" i="68"/>
  <c r="X33" i="68" s="1"/>
  <c r="AA32" i="68"/>
  <c r="Z32" i="68"/>
  <c r="Y32" i="68"/>
  <c r="AE32" i="68" s="1"/>
  <c r="V32" i="68"/>
  <c r="AC32" i="68" s="1"/>
  <c r="U32" i="68"/>
  <c r="AB32" i="68" s="1"/>
  <c r="Q32" i="68"/>
  <c r="X32" i="68" s="1"/>
  <c r="AA31" i="68"/>
  <c r="Z31" i="68"/>
  <c r="Y31" i="68"/>
  <c r="AE31" i="68" s="1"/>
  <c r="V31" i="68"/>
  <c r="AC31" i="68" s="1"/>
  <c r="U31" i="68"/>
  <c r="Q31" i="68"/>
  <c r="X31" i="68" s="1"/>
  <c r="AA30" i="68"/>
  <c r="Z30" i="68"/>
  <c r="Y30" i="68"/>
  <c r="AE30" i="68" s="1"/>
  <c r="V30" i="68"/>
  <c r="AC30" i="68" s="1"/>
  <c r="U30" i="68"/>
  <c r="AB30" i="68" s="1"/>
  <c r="Q30" i="68"/>
  <c r="X30" i="68" s="1"/>
  <c r="AA29" i="68"/>
  <c r="Z29" i="68"/>
  <c r="Y29" i="68"/>
  <c r="AE29" i="68" s="1"/>
  <c r="V29" i="68"/>
  <c r="AC29" i="68" s="1"/>
  <c r="U29" i="68"/>
  <c r="AB29" i="68" s="1"/>
  <c r="Q29" i="68"/>
  <c r="X29" i="68" s="1"/>
  <c r="AA28" i="68"/>
  <c r="Z28" i="68"/>
  <c r="Y28" i="68"/>
  <c r="AE28" i="68" s="1"/>
  <c r="V28" i="68"/>
  <c r="AC28" i="68" s="1"/>
  <c r="U28" i="68"/>
  <c r="AB28" i="68" s="1"/>
  <c r="Q28" i="68"/>
  <c r="X28" i="68" s="1"/>
  <c r="AA27" i="68"/>
  <c r="Z27" i="68"/>
  <c r="Y27" i="68"/>
  <c r="AE27" i="68" s="1"/>
  <c r="V27" i="68"/>
  <c r="AC27" i="68" s="1"/>
  <c r="U27" i="68"/>
  <c r="AB27" i="68" s="1"/>
  <c r="Q27" i="68"/>
  <c r="X27" i="68" s="1"/>
  <c r="AA26" i="68"/>
  <c r="Z26" i="68"/>
  <c r="Y26" i="68"/>
  <c r="AE26" i="68" s="1"/>
  <c r="X26" i="68"/>
  <c r="V26" i="68"/>
  <c r="AC26" i="68" s="1"/>
  <c r="U26" i="68"/>
  <c r="AB26" i="68" s="1"/>
  <c r="Q26" i="68"/>
  <c r="AA25" i="68"/>
  <c r="Z25" i="68"/>
  <c r="Y25" i="68"/>
  <c r="AE25" i="68" s="1"/>
  <c r="V25" i="68"/>
  <c r="AC25" i="68" s="1"/>
  <c r="U25" i="68"/>
  <c r="AB25" i="68" s="1"/>
  <c r="Q25" i="68"/>
  <c r="X25" i="68" s="1"/>
  <c r="AB24" i="68"/>
  <c r="AA24" i="68"/>
  <c r="Z24" i="68"/>
  <c r="Y24" i="68"/>
  <c r="AE24" i="68" s="1"/>
  <c r="V24" i="68"/>
  <c r="AC24" i="68" s="1"/>
  <c r="U24" i="68"/>
  <c r="Q24" i="68"/>
  <c r="X24" i="68" s="1"/>
  <c r="AC23" i="68"/>
  <c r="AA23" i="68"/>
  <c r="Z23" i="68"/>
  <c r="Y23" i="68"/>
  <c r="AE23" i="68" s="1"/>
  <c r="U23" i="68"/>
  <c r="AB23" i="68" s="1"/>
  <c r="Q23" i="68"/>
  <c r="AA22" i="68"/>
  <c r="Z22" i="68"/>
  <c r="Y22" i="68"/>
  <c r="AE22" i="68" s="1"/>
  <c r="V22" i="68"/>
  <c r="AC22" i="68" s="1"/>
  <c r="U22" i="68"/>
  <c r="AB22" i="68" s="1"/>
  <c r="Q22" i="68"/>
  <c r="X22" i="68" s="1"/>
  <c r="AA21" i="68"/>
  <c r="Z21" i="68"/>
  <c r="Y21" i="68"/>
  <c r="AE21" i="68" s="1"/>
  <c r="V21" i="68"/>
  <c r="AC21" i="68" s="1"/>
  <c r="U21" i="68"/>
  <c r="AB21" i="68" s="1"/>
  <c r="Q21" i="68"/>
  <c r="X21" i="68" s="1"/>
  <c r="AA20" i="68"/>
  <c r="Z20" i="68"/>
  <c r="Y20" i="68"/>
  <c r="AE20" i="68" s="1"/>
  <c r="V20" i="68"/>
  <c r="AC20" i="68" s="1"/>
  <c r="U20" i="68"/>
  <c r="AB20" i="68" s="1"/>
  <c r="Q20" i="68"/>
  <c r="X20" i="68" s="1"/>
  <c r="AA19" i="68"/>
  <c r="Z19" i="68"/>
  <c r="Y19" i="68"/>
  <c r="AE19" i="68" s="1"/>
  <c r="V19" i="68"/>
  <c r="AC19" i="68" s="1"/>
  <c r="U19" i="68"/>
  <c r="Q19" i="68"/>
  <c r="X19" i="68" s="1"/>
  <c r="AA18" i="68"/>
  <c r="Z18" i="68"/>
  <c r="Y18" i="68"/>
  <c r="AE18" i="68" s="1"/>
  <c r="V18" i="68"/>
  <c r="AC18" i="68" s="1"/>
  <c r="U18" i="68"/>
  <c r="AB18" i="68" s="1"/>
  <c r="Q18" i="68"/>
  <c r="X18" i="68" s="1"/>
  <c r="AA17" i="68"/>
  <c r="Z17" i="68"/>
  <c r="Y17" i="68"/>
  <c r="AE17" i="68" s="1"/>
  <c r="V17" i="68"/>
  <c r="AC17" i="68" s="1"/>
  <c r="U17" i="68"/>
  <c r="AB17" i="68" s="1"/>
  <c r="Q17" i="68"/>
  <c r="X17" i="68" s="1"/>
  <c r="AA16" i="68"/>
  <c r="Z16" i="68"/>
  <c r="Y16" i="68"/>
  <c r="AE16" i="68" s="1"/>
  <c r="V16" i="68"/>
  <c r="AC16" i="68" s="1"/>
  <c r="U16" i="68"/>
  <c r="AB16" i="68" s="1"/>
  <c r="Q16" i="68"/>
  <c r="X16" i="68" s="1"/>
  <c r="AE15" i="68"/>
  <c r="AA15" i="68"/>
  <c r="Z15" i="68"/>
  <c r="Y15" i="68"/>
  <c r="V15" i="68"/>
  <c r="AC15" i="68" s="1"/>
  <c r="U15" i="68"/>
  <c r="AB15" i="68" s="1"/>
  <c r="Q15" i="68"/>
  <c r="X15" i="68" s="1"/>
  <c r="AC14" i="68"/>
  <c r="AA14" i="68"/>
  <c r="Z14" i="68"/>
  <c r="Y14" i="68"/>
  <c r="V14" i="68"/>
  <c r="U14" i="68"/>
  <c r="AB14" i="68" s="1"/>
  <c r="Q14" i="68"/>
  <c r="X14" i="68" s="1"/>
  <c r="U93" i="68" l="1"/>
  <c r="AA93" i="68"/>
  <c r="Y93" i="68"/>
  <c r="S112" i="68"/>
  <c r="R112" i="68"/>
  <c r="T112" i="68"/>
  <c r="U112" i="68" s="1"/>
  <c r="U79" i="68"/>
  <c r="Y79" i="68"/>
  <c r="Z79" i="68"/>
  <c r="Z112" i="68" s="1"/>
  <c r="AE14" i="68"/>
  <c r="AE79" i="68" s="1"/>
  <c r="AA79" i="68"/>
  <c r="AE87" i="68"/>
  <c r="AE93" i="68" s="1"/>
  <c r="AB41" i="63"/>
  <c r="Y112" i="68" l="1"/>
  <c r="AE112" i="68"/>
  <c r="K114" i="68" s="1"/>
  <c r="AB79" i="68"/>
  <c r="AB112" i="68" s="1"/>
  <c r="AA112" i="68"/>
  <c r="T93" i="67"/>
  <c r="S93" i="67"/>
  <c r="R93" i="67"/>
  <c r="AA90" i="67"/>
  <c r="Z90" i="67"/>
  <c r="Y90" i="67"/>
  <c r="AE90" i="67" s="1"/>
  <c r="V90" i="67"/>
  <c r="AC90" i="67" s="1"/>
  <c r="U90" i="67"/>
  <c r="AB90" i="67" s="1"/>
  <c r="Q90" i="67"/>
  <c r="X90" i="67" s="1"/>
  <c r="AA89" i="67"/>
  <c r="Z89" i="67"/>
  <c r="Y89" i="67"/>
  <c r="AE89" i="67" s="1"/>
  <c r="V89" i="67"/>
  <c r="AC89" i="67" s="1"/>
  <c r="Q89" i="67"/>
  <c r="X89" i="67" s="1"/>
  <c r="AA88" i="67"/>
  <c r="Z88" i="67"/>
  <c r="Z93" i="67" s="1"/>
  <c r="Y88" i="67"/>
  <c r="AE88" i="67" s="1"/>
  <c r="V88" i="67"/>
  <c r="AC88" i="67" s="1"/>
  <c r="U88" i="67"/>
  <c r="Q88" i="67"/>
  <c r="X88" i="67" s="1"/>
  <c r="AB87" i="67"/>
  <c r="AA87" i="67"/>
  <c r="Z87" i="67"/>
  <c r="Y87" i="67"/>
  <c r="V87" i="67"/>
  <c r="AC87" i="67" s="1"/>
  <c r="U87" i="67"/>
  <c r="Q87" i="67"/>
  <c r="X87" i="67" s="1"/>
  <c r="T79" i="67"/>
  <c r="S79" i="67"/>
  <c r="R79" i="67"/>
  <c r="R111" i="67" s="1"/>
  <c r="AC78" i="67"/>
  <c r="AB78" i="67"/>
  <c r="AA78" i="67"/>
  <c r="Z78" i="67"/>
  <c r="Y78" i="67"/>
  <c r="AE78" i="67" s="1"/>
  <c r="AB77" i="67"/>
  <c r="AA77" i="67"/>
  <c r="Z77" i="67"/>
  <c r="Y77" i="67"/>
  <c r="AE77" i="67" s="1"/>
  <c r="V77" i="67"/>
  <c r="AC77" i="67" s="1"/>
  <c r="U77" i="67"/>
  <c r="Q77" i="67"/>
  <c r="X77" i="67" s="1"/>
  <c r="AA76" i="67"/>
  <c r="Z76" i="67"/>
  <c r="Y76" i="67"/>
  <c r="AE76" i="67" s="1"/>
  <c r="V76" i="67"/>
  <c r="AC76" i="67" s="1"/>
  <c r="U76" i="67"/>
  <c r="AB76" i="67" s="1"/>
  <c r="Q76" i="67"/>
  <c r="X76" i="67" s="1"/>
  <c r="AA75" i="67"/>
  <c r="Z75" i="67"/>
  <c r="Y75" i="67"/>
  <c r="AE75" i="67" s="1"/>
  <c r="V75" i="67"/>
  <c r="AC75" i="67" s="1"/>
  <c r="U75" i="67"/>
  <c r="AB75" i="67" s="1"/>
  <c r="Q75" i="67"/>
  <c r="X75" i="67" s="1"/>
  <c r="AA74" i="67"/>
  <c r="Z74" i="67"/>
  <c r="Y74" i="67"/>
  <c r="AE74" i="67" s="1"/>
  <c r="V74" i="67"/>
  <c r="AC74" i="67" s="1"/>
  <c r="U74" i="67"/>
  <c r="AB74" i="67" s="1"/>
  <c r="Q74" i="67"/>
  <c r="X74" i="67" s="1"/>
  <c r="AA73" i="67"/>
  <c r="Z73" i="67"/>
  <c r="Y73" i="67"/>
  <c r="AE73" i="67" s="1"/>
  <c r="X73" i="67"/>
  <c r="V73" i="67"/>
  <c r="AC73" i="67" s="1"/>
  <c r="U73" i="67"/>
  <c r="AB73" i="67" s="1"/>
  <c r="Q73" i="67"/>
  <c r="AA72" i="67"/>
  <c r="Z72" i="67"/>
  <c r="Y72" i="67"/>
  <c r="AE72" i="67" s="1"/>
  <c r="V72" i="67"/>
  <c r="AC72" i="67" s="1"/>
  <c r="U72" i="67"/>
  <c r="AB72" i="67" s="1"/>
  <c r="Q72" i="67"/>
  <c r="X72" i="67" s="1"/>
  <c r="AA71" i="67"/>
  <c r="Z71" i="67"/>
  <c r="Y71" i="67"/>
  <c r="AE71" i="67" s="1"/>
  <c r="V71" i="67"/>
  <c r="AC71" i="67" s="1"/>
  <c r="U71" i="67"/>
  <c r="AB71" i="67" s="1"/>
  <c r="Q71" i="67"/>
  <c r="X71" i="67" s="1"/>
  <c r="AA70" i="67"/>
  <c r="Z70" i="67"/>
  <c r="Y70" i="67"/>
  <c r="AE70" i="67" s="1"/>
  <c r="V70" i="67"/>
  <c r="AC70" i="67" s="1"/>
  <c r="U70" i="67"/>
  <c r="AB70" i="67" s="1"/>
  <c r="Q70" i="67"/>
  <c r="X70" i="67" s="1"/>
  <c r="AA69" i="67"/>
  <c r="Z69" i="67"/>
  <c r="Y69" i="67"/>
  <c r="AE69" i="67" s="1"/>
  <c r="V69" i="67"/>
  <c r="U69" i="67"/>
  <c r="Q69" i="67"/>
  <c r="X69" i="67" s="1"/>
  <c r="AA68" i="67"/>
  <c r="Z68" i="67"/>
  <c r="Y68" i="67"/>
  <c r="AE68" i="67" s="1"/>
  <c r="X68" i="67"/>
  <c r="V68" i="67"/>
  <c r="AC68" i="67" s="1"/>
  <c r="U68" i="67"/>
  <c r="AB68" i="67" s="1"/>
  <c r="Q68" i="67"/>
  <c r="AA67" i="67"/>
  <c r="Z67" i="67"/>
  <c r="Y67" i="67"/>
  <c r="AE67" i="67" s="1"/>
  <c r="X67" i="67"/>
  <c r="V67" i="67"/>
  <c r="AC67" i="67" s="1"/>
  <c r="U67" i="67"/>
  <c r="AB67" i="67" s="1"/>
  <c r="Q67" i="67"/>
  <c r="AA66" i="67"/>
  <c r="Z66" i="67"/>
  <c r="Y66" i="67"/>
  <c r="AE66" i="67" s="1"/>
  <c r="X66" i="67"/>
  <c r="V66" i="67"/>
  <c r="AC66" i="67" s="1"/>
  <c r="U66" i="67"/>
  <c r="AB66" i="67" s="1"/>
  <c r="Q66" i="67"/>
  <c r="AA65" i="67"/>
  <c r="Z65" i="67"/>
  <c r="Y65" i="67"/>
  <c r="AE65" i="67" s="1"/>
  <c r="V65" i="67"/>
  <c r="AC65" i="67" s="1"/>
  <c r="U65" i="67"/>
  <c r="AB65" i="67" s="1"/>
  <c r="Q65" i="67"/>
  <c r="X65" i="67" s="1"/>
  <c r="AA64" i="67"/>
  <c r="Z64" i="67"/>
  <c r="Y64" i="67"/>
  <c r="AE64" i="67" s="1"/>
  <c r="V64" i="67"/>
  <c r="AC64" i="67" s="1"/>
  <c r="U64" i="67"/>
  <c r="AB64" i="67" s="1"/>
  <c r="Q64" i="67"/>
  <c r="X64" i="67" s="1"/>
  <c r="AA63" i="67"/>
  <c r="Z63" i="67"/>
  <c r="Y63" i="67"/>
  <c r="AE63" i="67" s="1"/>
  <c r="X63" i="67"/>
  <c r="V63" i="67"/>
  <c r="AC63" i="67" s="1"/>
  <c r="U63" i="67"/>
  <c r="AB63" i="67" s="1"/>
  <c r="Q63" i="67"/>
  <c r="AA62" i="67"/>
  <c r="Z62" i="67"/>
  <c r="Y62" i="67"/>
  <c r="AE62" i="67" s="1"/>
  <c r="V62" i="67"/>
  <c r="AC62" i="67" s="1"/>
  <c r="U62" i="67"/>
  <c r="AB62" i="67" s="1"/>
  <c r="Q62" i="67"/>
  <c r="X62" i="67" s="1"/>
  <c r="AA61" i="67"/>
  <c r="Z61" i="67"/>
  <c r="Y61" i="67"/>
  <c r="AE61" i="67" s="1"/>
  <c r="V61" i="67"/>
  <c r="AC61" i="67" s="1"/>
  <c r="U61" i="67"/>
  <c r="AB61" i="67" s="1"/>
  <c r="Q61" i="67"/>
  <c r="X61" i="67" s="1"/>
  <c r="AC60" i="67"/>
  <c r="AA60" i="67"/>
  <c r="Z60" i="67"/>
  <c r="Y60" i="67"/>
  <c r="AE60" i="67" s="1"/>
  <c r="V60" i="67"/>
  <c r="U60" i="67"/>
  <c r="AB60" i="67" s="1"/>
  <c r="Q60" i="67"/>
  <c r="X60" i="67" s="1"/>
  <c r="AA59" i="67"/>
  <c r="Z59" i="67"/>
  <c r="Y59" i="67"/>
  <c r="AE59" i="67" s="1"/>
  <c r="V59" i="67"/>
  <c r="AC59" i="67" s="1"/>
  <c r="U59" i="67"/>
  <c r="AB59" i="67" s="1"/>
  <c r="Q59" i="67"/>
  <c r="X59" i="67" s="1"/>
  <c r="AA58" i="67"/>
  <c r="Z58" i="67"/>
  <c r="Y58" i="67"/>
  <c r="AE58" i="67" s="1"/>
  <c r="V58" i="67"/>
  <c r="AC58" i="67" s="1"/>
  <c r="U58" i="67"/>
  <c r="AB58" i="67" s="1"/>
  <c r="Q58" i="67"/>
  <c r="X58" i="67" s="1"/>
  <c r="AE57" i="67"/>
  <c r="AA57" i="67"/>
  <c r="Z57" i="67"/>
  <c r="Y57" i="67"/>
  <c r="X57" i="67"/>
  <c r="V57" i="67"/>
  <c r="AC57" i="67" s="1"/>
  <c r="U57" i="67"/>
  <c r="AB57" i="67" s="1"/>
  <c r="Q57" i="67"/>
  <c r="AA56" i="67"/>
  <c r="Z56" i="67"/>
  <c r="Y56" i="67"/>
  <c r="AE56" i="67" s="1"/>
  <c r="V56" i="67"/>
  <c r="AC56" i="67" s="1"/>
  <c r="U56" i="67"/>
  <c r="AB56" i="67" s="1"/>
  <c r="Q56" i="67"/>
  <c r="X56" i="67" s="1"/>
  <c r="AA55" i="67"/>
  <c r="Z55" i="67"/>
  <c r="Y55" i="67"/>
  <c r="AE55" i="67" s="1"/>
  <c r="V55" i="67"/>
  <c r="AC55" i="67" s="1"/>
  <c r="U55" i="67"/>
  <c r="AB55" i="67" s="1"/>
  <c r="Q55" i="67"/>
  <c r="X55" i="67" s="1"/>
  <c r="AA54" i="67"/>
  <c r="Z54" i="67"/>
  <c r="Y54" i="67"/>
  <c r="AE54" i="67" s="1"/>
  <c r="V54" i="67"/>
  <c r="AC54" i="67" s="1"/>
  <c r="U54" i="67"/>
  <c r="AB54" i="67" s="1"/>
  <c r="Q54" i="67"/>
  <c r="X54" i="67" s="1"/>
  <c r="AE53" i="67"/>
  <c r="AA53" i="67"/>
  <c r="Z53" i="67"/>
  <c r="Y53" i="67"/>
  <c r="V53" i="67"/>
  <c r="AC53" i="67" s="1"/>
  <c r="U53" i="67"/>
  <c r="AB53" i="67" s="1"/>
  <c r="Q53" i="67"/>
  <c r="X53" i="67" s="1"/>
  <c r="AB52" i="67"/>
  <c r="AA52" i="67"/>
  <c r="Z52" i="67"/>
  <c r="Y52" i="67"/>
  <c r="AE52" i="67" s="1"/>
  <c r="V52" i="67"/>
  <c r="AC52" i="67" s="1"/>
  <c r="U52" i="67"/>
  <c r="Q52" i="67"/>
  <c r="X52" i="67" s="1"/>
  <c r="AA51" i="67"/>
  <c r="Z51" i="67"/>
  <c r="Y51" i="67"/>
  <c r="AE51" i="67" s="1"/>
  <c r="V51" i="67"/>
  <c r="AC51" i="67" s="1"/>
  <c r="U51" i="67"/>
  <c r="AB51" i="67" s="1"/>
  <c r="Q51" i="67"/>
  <c r="X51" i="67" s="1"/>
  <c r="AA50" i="67"/>
  <c r="Z50" i="67"/>
  <c r="Y50" i="67"/>
  <c r="AE50" i="67" s="1"/>
  <c r="V50" i="67"/>
  <c r="AC50" i="67" s="1"/>
  <c r="U50" i="67"/>
  <c r="AB50" i="67" s="1"/>
  <c r="Q50" i="67"/>
  <c r="X50" i="67" s="1"/>
  <c r="AA49" i="67"/>
  <c r="Z49" i="67"/>
  <c r="Y49" i="67"/>
  <c r="AE49" i="67" s="1"/>
  <c r="V49" i="67"/>
  <c r="AC49" i="67" s="1"/>
  <c r="U49" i="67"/>
  <c r="AB49" i="67" s="1"/>
  <c r="Q49" i="67"/>
  <c r="X49" i="67" s="1"/>
  <c r="AA48" i="67"/>
  <c r="Z48" i="67"/>
  <c r="Y48" i="67"/>
  <c r="AE48" i="67" s="1"/>
  <c r="V48" i="67"/>
  <c r="AC48" i="67" s="1"/>
  <c r="U48" i="67"/>
  <c r="AB48" i="67" s="1"/>
  <c r="Q48" i="67"/>
  <c r="X48" i="67" s="1"/>
  <c r="AA47" i="67"/>
  <c r="Z47" i="67"/>
  <c r="Y47" i="67"/>
  <c r="AE47" i="67" s="1"/>
  <c r="V47" i="67"/>
  <c r="AC47" i="67" s="1"/>
  <c r="U47" i="67"/>
  <c r="AB47" i="67" s="1"/>
  <c r="Q47" i="67"/>
  <c r="X47" i="67" s="1"/>
  <c r="AC46" i="67"/>
  <c r="AB46" i="67"/>
  <c r="AA46" i="67"/>
  <c r="Z46" i="67"/>
  <c r="Y46" i="67"/>
  <c r="AE46" i="67" s="1"/>
  <c r="Q46" i="67"/>
  <c r="AB45" i="67"/>
  <c r="AA45" i="67"/>
  <c r="Z45" i="67"/>
  <c r="Y45" i="67"/>
  <c r="AE45" i="67" s="1"/>
  <c r="V45" i="67"/>
  <c r="AC45" i="67" s="1"/>
  <c r="U45" i="67"/>
  <c r="Q45" i="67"/>
  <c r="X45" i="67" s="1"/>
  <c r="AA44" i="67"/>
  <c r="Z44" i="67"/>
  <c r="Y44" i="67"/>
  <c r="AE44" i="67" s="1"/>
  <c r="V44" i="67"/>
  <c r="AC44" i="67" s="1"/>
  <c r="U44" i="67"/>
  <c r="AB44" i="67" s="1"/>
  <c r="Q44" i="67"/>
  <c r="X44" i="67" s="1"/>
  <c r="AA43" i="67"/>
  <c r="Z43" i="67"/>
  <c r="Y43" i="67"/>
  <c r="AE43" i="67" s="1"/>
  <c r="V43" i="67"/>
  <c r="AC43" i="67" s="1"/>
  <c r="U43" i="67"/>
  <c r="AB43" i="67" s="1"/>
  <c r="Q43" i="67"/>
  <c r="X43" i="67" s="1"/>
  <c r="AC42" i="67"/>
  <c r="AB42" i="67"/>
  <c r="AA42" i="67"/>
  <c r="Z42" i="67"/>
  <c r="Y42" i="67"/>
  <c r="AE42" i="67" s="1"/>
  <c r="AA41" i="67"/>
  <c r="Z41" i="67"/>
  <c r="Y41" i="67"/>
  <c r="AE41" i="67" s="1"/>
  <c r="V41" i="67"/>
  <c r="AC41" i="67" s="1"/>
  <c r="U41" i="67"/>
  <c r="AB41" i="67" s="1"/>
  <c r="Q41" i="67"/>
  <c r="X41" i="67" s="1"/>
  <c r="AA40" i="67"/>
  <c r="Z40" i="67"/>
  <c r="Y40" i="67"/>
  <c r="AE40" i="67" s="1"/>
  <c r="V40" i="67"/>
  <c r="AC40" i="67" s="1"/>
  <c r="U40" i="67"/>
  <c r="AB40" i="67" s="1"/>
  <c r="Q40" i="67"/>
  <c r="X40" i="67" s="1"/>
  <c r="AA39" i="67"/>
  <c r="Z39" i="67"/>
  <c r="Y39" i="67"/>
  <c r="AE39" i="67" s="1"/>
  <c r="V39" i="67"/>
  <c r="AC39" i="67" s="1"/>
  <c r="U39" i="67"/>
  <c r="AB39" i="67" s="1"/>
  <c r="Q39" i="67"/>
  <c r="X39" i="67" s="1"/>
  <c r="AA38" i="67"/>
  <c r="Z38" i="67"/>
  <c r="Y38" i="67"/>
  <c r="AE38" i="67" s="1"/>
  <c r="V38" i="67"/>
  <c r="AC38" i="67" s="1"/>
  <c r="U38" i="67"/>
  <c r="AB38" i="67" s="1"/>
  <c r="Q38" i="67"/>
  <c r="X38" i="67" s="1"/>
  <c r="AB37" i="67"/>
  <c r="AA37" i="67"/>
  <c r="Z37" i="67"/>
  <c r="Y37" i="67"/>
  <c r="AE37" i="67" s="1"/>
  <c r="V37" i="67"/>
  <c r="AC37" i="67" s="1"/>
  <c r="U37" i="67"/>
  <c r="Q37" i="67"/>
  <c r="X37" i="67" s="1"/>
  <c r="AA36" i="67"/>
  <c r="Z36" i="67"/>
  <c r="Y36" i="67"/>
  <c r="AE36" i="67" s="1"/>
  <c r="V36" i="67"/>
  <c r="AC36" i="67" s="1"/>
  <c r="U36" i="67"/>
  <c r="AB36" i="67" s="1"/>
  <c r="Q36" i="67"/>
  <c r="X36" i="67" s="1"/>
  <c r="AA35" i="67"/>
  <c r="Z35" i="67"/>
  <c r="Y35" i="67"/>
  <c r="AE35" i="67" s="1"/>
  <c r="V35" i="67"/>
  <c r="U35" i="67"/>
  <c r="Q35" i="67"/>
  <c r="X35" i="67" s="1"/>
  <c r="AA34" i="67"/>
  <c r="Z34" i="67"/>
  <c r="Y34" i="67"/>
  <c r="AE34" i="67" s="1"/>
  <c r="V34" i="67"/>
  <c r="U34" i="67"/>
  <c r="AB34" i="67" s="1"/>
  <c r="Q34" i="67"/>
  <c r="AA33" i="67"/>
  <c r="Z33" i="67"/>
  <c r="Y33" i="67"/>
  <c r="AE33" i="67" s="1"/>
  <c r="V33" i="67"/>
  <c r="AC33" i="67" s="1"/>
  <c r="U33" i="67"/>
  <c r="AB33" i="67" s="1"/>
  <c r="Q33" i="67"/>
  <c r="X33" i="67" s="1"/>
  <c r="AA32" i="67"/>
  <c r="Z32" i="67"/>
  <c r="Y32" i="67"/>
  <c r="AE32" i="67" s="1"/>
  <c r="V32" i="67"/>
  <c r="AC32" i="67" s="1"/>
  <c r="U32" i="67"/>
  <c r="AB32" i="67" s="1"/>
  <c r="Q32" i="67"/>
  <c r="X32" i="67" s="1"/>
  <c r="AA31" i="67"/>
  <c r="Z31" i="67"/>
  <c r="Y31" i="67"/>
  <c r="AE31" i="67" s="1"/>
  <c r="X31" i="67"/>
  <c r="V31" i="67"/>
  <c r="AC31" i="67" s="1"/>
  <c r="U31" i="67"/>
  <c r="Q31" i="67"/>
  <c r="AB30" i="67"/>
  <c r="AA30" i="67"/>
  <c r="Z30" i="67"/>
  <c r="Y30" i="67"/>
  <c r="AE30" i="67" s="1"/>
  <c r="V30" i="67"/>
  <c r="AC30" i="67" s="1"/>
  <c r="U30" i="67"/>
  <c r="Q30" i="67"/>
  <c r="X30" i="67" s="1"/>
  <c r="AE29" i="67"/>
  <c r="AA29" i="67"/>
  <c r="Z29" i="67"/>
  <c r="Y29" i="67"/>
  <c r="V29" i="67"/>
  <c r="AC29" i="67" s="1"/>
  <c r="U29" i="67"/>
  <c r="AB29" i="67" s="1"/>
  <c r="Q29" i="67"/>
  <c r="X29" i="67" s="1"/>
  <c r="AA28" i="67"/>
  <c r="Z28" i="67"/>
  <c r="Y28" i="67"/>
  <c r="AE28" i="67" s="1"/>
  <c r="V28" i="67"/>
  <c r="AC28" i="67" s="1"/>
  <c r="U28" i="67"/>
  <c r="AB28" i="67" s="1"/>
  <c r="Q28" i="67"/>
  <c r="X28" i="67" s="1"/>
  <c r="AA27" i="67"/>
  <c r="Z27" i="67"/>
  <c r="Y27" i="67"/>
  <c r="AE27" i="67" s="1"/>
  <c r="V27" i="67"/>
  <c r="AC27" i="67" s="1"/>
  <c r="U27" i="67"/>
  <c r="AB27" i="67" s="1"/>
  <c r="Q27" i="67"/>
  <c r="X27" i="67" s="1"/>
  <c r="AA26" i="67"/>
  <c r="Z26" i="67"/>
  <c r="Y26" i="67"/>
  <c r="AE26" i="67" s="1"/>
  <c r="X26" i="67"/>
  <c r="V26" i="67"/>
  <c r="AC26" i="67" s="1"/>
  <c r="U26" i="67"/>
  <c r="AB26" i="67" s="1"/>
  <c r="Q26" i="67"/>
  <c r="AA25" i="67"/>
  <c r="Z25" i="67"/>
  <c r="Y25" i="67"/>
  <c r="AE25" i="67" s="1"/>
  <c r="V25" i="67"/>
  <c r="AC25" i="67" s="1"/>
  <c r="U25" i="67"/>
  <c r="AB25" i="67" s="1"/>
  <c r="Q25" i="67"/>
  <c r="X25" i="67" s="1"/>
  <c r="AA24" i="67"/>
  <c r="Z24" i="67"/>
  <c r="Y24" i="67"/>
  <c r="AE24" i="67" s="1"/>
  <c r="V24" i="67"/>
  <c r="AC24" i="67" s="1"/>
  <c r="U24" i="67"/>
  <c r="AB24" i="67" s="1"/>
  <c r="Q24" i="67"/>
  <c r="X24" i="67" s="1"/>
  <c r="AC23" i="67"/>
  <c r="AA23" i="67"/>
  <c r="Z23" i="67"/>
  <c r="Y23" i="67"/>
  <c r="AE23" i="67" s="1"/>
  <c r="U23" i="67"/>
  <c r="AB23" i="67" s="1"/>
  <c r="Q23" i="67"/>
  <c r="AA22" i="67"/>
  <c r="Z22" i="67"/>
  <c r="Y22" i="67"/>
  <c r="AE22" i="67" s="1"/>
  <c r="V22" i="67"/>
  <c r="AC22" i="67" s="1"/>
  <c r="U22" i="67"/>
  <c r="AB22" i="67" s="1"/>
  <c r="Q22" i="67"/>
  <c r="X22" i="67" s="1"/>
  <c r="AA21" i="67"/>
  <c r="Z21" i="67"/>
  <c r="Y21" i="67"/>
  <c r="AE21" i="67" s="1"/>
  <c r="V21" i="67"/>
  <c r="AC21" i="67" s="1"/>
  <c r="U21" i="67"/>
  <c r="AB21" i="67" s="1"/>
  <c r="Q21" i="67"/>
  <c r="X21" i="67" s="1"/>
  <c r="AE20" i="67"/>
  <c r="AA20" i="67"/>
  <c r="Z20" i="67"/>
  <c r="Y20" i="67"/>
  <c r="X20" i="67"/>
  <c r="V20" i="67"/>
  <c r="AC20" i="67" s="1"/>
  <c r="U20" i="67"/>
  <c r="AB20" i="67" s="1"/>
  <c r="Q20" i="67"/>
  <c r="AA19" i="67"/>
  <c r="Z19" i="67"/>
  <c r="Y19" i="67"/>
  <c r="AE19" i="67" s="1"/>
  <c r="V19" i="67"/>
  <c r="AC19" i="67" s="1"/>
  <c r="U19" i="67"/>
  <c r="Q19" i="67"/>
  <c r="X19" i="67" s="1"/>
  <c r="AA18" i="67"/>
  <c r="Z18" i="67"/>
  <c r="Y18" i="67"/>
  <c r="AE18" i="67" s="1"/>
  <c r="V18" i="67"/>
  <c r="AC18" i="67" s="1"/>
  <c r="U18" i="67"/>
  <c r="AB18" i="67" s="1"/>
  <c r="Q18" i="67"/>
  <c r="X18" i="67" s="1"/>
  <c r="AB17" i="67"/>
  <c r="AA17" i="67"/>
  <c r="Z17" i="67"/>
  <c r="Y17" i="67"/>
  <c r="AE17" i="67" s="1"/>
  <c r="V17" i="67"/>
  <c r="AC17" i="67" s="1"/>
  <c r="U17" i="67"/>
  <c r="Q17" i="67"/>
  <c r="X17" i="67" s="1"/>
  <c r="AA16" i="67"/>
  <c r="Z16" i="67"/>
  <c r="Y16" i="67"/>
  <c r="AE16" i="67" s="1"/>
  <c r="V16" i="67"/>
  <c r="AC16" i="67" s="1"/>
  <c r="U16" i="67"/>
  <c r="AB16" i="67" s="1"/>
  <c r="Q16" i="67"/>
  <c r="X16" i="67" s="1"/>
  <c r="AA15" i="67"/>
  <c r="Z15" i="67"/>
  <c r="Y15" i="67"/>
  <c r="AE15" i="67" s="1"/>
  <c r="V15" i="67"/>
  <c r="AC15" i="67" s="1"/>
  <c r="U15" i="67"/>
  <c r="AB15" i="67" s="1"/>
  <c r="Q15" i="67"/>
  <c r="X15" i="67" s="1"/>
  <c r="AA14" i="67"/>
  <c r="Z14" i="67"/>
  <c r="Y14" i="67"/>
  <c r="V14" i="67"/>
  <c r="AC14" i="67" s="1"/>
  <c r="U14" i="67"/>
  <c r="AB14" i="67" s="1"/>
  <c r="Q14" i="67"/>
  <c r="X14" i="67" s="1"/>
  <c r="T111" i="67" l="1"/>
  <c r="U111" i="67" s="1"/>
  <c r="AA93" i="67"/>
  <c r="S111" i="67"/>
  <c r="U79" i="67"/>
  <c r="U93" i="67"/>
  <c r="Y79" i="67"/>
  <c r="AE14" i="67"/>
  <c r="AE79" i="67" s="1"/>
  <c r="Z79" i="67"/>
  <c r="Z111" i="67" s="1"/>
  <c r="Y93" i="67"/>
  <c r="AA79" i="67"/>
  <c r="AE87" i="67"/>
  <c r="AE93" i="67" s="1"/>
  <c r="Y111" i="67" l="1"/>
  <c r="AE111" i="67"/>
  <c r="AA111" i="67"/>
  <c r="AB79" i="67"/>
  <c r="AB111" i="67" s="1"/>
  <c r="K113" i="67" l="1"/>
  <c r="V42" i="63"/>
  <c r="Q42" i="63"/>
  <c r="X42" i="63" s="1"/>
  <c r="AC34" i="63"/>
  <c r="U23" i="63" l="1"/>
  <c r="U88" i="63" l="1"/>
  <c r="T91" i="66"/>
  <c r="S91" i="66"/>
  <c r="R91" i="66"/>
  <c r="AE88" i="66"/>
  <c r="AA88" i="66"/>
  <c r="Z88" i="66"/>
  <c r="Y88" i="66"/>
  <c r="V88" i="66"/>
  <c r="AC88" i="66" s="1"/>
  <c r="U88" i="66"/>
  <c r="AB88" i="66" s="1"/>
  <c r="Q88" i="66"/>
  <c r="X88" i="66" s="1"/>
  <c r="AA87" i="66"/>
  <c r="Z87" i="66"/>
  <c r="Y87" i="66"/>
  <c r="AE87" i="66" s="1"/>
  <c r="V87" i="66"/>
  <c r="AC87" i="66" s="1"/>
  <c r="Q87" i="66"/>
  <c r="X87" i="66" s="1"/>
  <c r="AA86" i="66"/>
  <c r="Z86" i="66"/>
  <c r="Y86" i="66"/>
  <c r="AE86" i="66" s="1"/>
  <c r="V86" i="66"/>
  <c r="AC86" i="66" s="1"/>
  <c r="Q86" i="66"/>
  <c r="X86" i="66" s="1"/>
  <c r="AA85" i="66"/>
  <c r="Z85" i="66"/>
  <c r="Y85" i="66"/>
  <c r="AE85" i="66" s="1"/>
  <c r="V85" i="66"/>
  <c r="AC85" i="66" s="1"/>
  <c r="U85" i="66"/>
  <c r="AB85" i="66" s="1"/>
  <c r="Q85" i="66"/>
  <c r="X85" i="66" s="1"/>
  <c r="T79" i="66"/>
  <c r="S79" i="66"/>
  <c r="R79" i="66"/>
  <c r="R109" i="66" s="1"/>
  <c r="AC78" i="66"/>
  <c r="AB78" i="66"/>
  <c r="AA78" i="66"/>
  <c r="Z78" i="66"/>
  <c r="Y78" i="66"/>
  <c r="AE78" i="66" s="1"/>
  <c r="Q78" i="66"/>
  <c r="AA77" i="66"/>
  <c r="Z77" i="66"/>
  <c r="Y77" i="66"/>
  <c r="AE77" i="66" s="1"/>
  <c r="V77" i="66"/>
  <c r="AC77" i="66" s="1"/>
  <c r="U77" i="66"/>
  <c r="AB77" i="66" s="1"/>
  <c r="Q77" i="66"/>
  <c r="X77" i="66" s="1"/>
  <c r="AA76" i="66"/>
  <c r="Z76" i="66"/>
  <c r="Y76" i="66"/>
  <c r="AE76" i="66" s="1"/>
  <c r="V76" i="66"/>
  <c r="AC76" i="66" s="1"/>
  <c r="U76" i="66"/>
  <c r="AB76" i="66" s="1"/>
  <c r="Q76" i="66"/>
  <c r="X76" i="66" s="1"/>
  <c r="AA75" i="66"/>
  <c r="Z75" i="66"/>
  <c r="Y75" i="66"/>
  <c r="AE75" i="66" s="1"/>
  <c r="V75" i="66"/>
  <c r="AC75" i="66" s="1"/>
  <c r="U75" i="66"/>
  <c r="AB75" i="66" s="1"/>
  <c r="Q75" i="66"/>
  <c r="X75" i="66" s="1"/>
  <c r="AA74" i="66"/>
  <c r="Z74" i="66"/>
  <c r="Y74" i="66"/>
  <c r="AE74" i="66" s="1"/>
  <c r="V74" i="66"/>
  <c r="AC74" i="66" s="1"/>
  <c r="U74" i="66"/>
  <c r="AB74" i="66" s="1"/>
  <c r="Q74" i="66"/>
  <c r="X74" i="66" s="1"/>
  <c r="AA73" i="66"/>
  <c r="Z73" i="66"/>
  <c r="Y73" i="66"/>
  <c r="AE73" i="66" s="1"/>
  <c r="V73" i="66"/>
  <c r="AC73" i="66" s="1"/>
  <c r="U73" i="66"/>
  <c r="AB73" i="66" s="1"/>
  <c r="Q73" i="66"/>
  <c r="X73" i="66" s="1"/>
  <c r="AA72" i="66"/>
  <c r="Z72" i="66"/>
  <c r="Y72" i="66"/>
  <c r="AE72" i="66" s="1"/>
  <c r="V72" i="66"/>
  <c r="AC72" i="66" s="1"/>
  <c r="U72" i="66"/>
  <c r="AB72" i="66" s="1"/>
  <c r="Q72" i="66"/>
  <c r="X72" i="66" s="1"/>
  <c r="AC71" i="66"/>
  <c r="AA71" i="66"/>
  <c r="Z71" i="66"/>
  <c r="Y71" i="66"/>
  <c r="AE71" i="66" s="1"/>
  <c r="V71" i="66"/>
  <c r="U71" i="66"/>
  <c r="AB71" i="66" s="1"/>
  <c r="Q71" i="66"/>
  <c r="X71" i="66" s="1"/>
  <c r="AB70" i="66"/>
  <c r="AA70" i="66"/>
  <c r="Z70" i="66"/>
  <c r="Y70" i="66"/>
  <c r="AE70" i="66" s="1"/>
  <c r="V70" i="66"/>
  <c r="AC70" i="66" s="1"/>
  <c r="U70" i="66"/>
  <c r="Q70" i="66"/>
  <c r="X70" i="66" s="1"/>
  <c r="AA69" i="66"/>
  <c r="Z69" i="66"/>
  <c r="Y69" i="66"/>
  <c r="AE69" i="66" s="1"/>
  <c r="V69" i="66"/>
  <c r="U69" i="66"/>
  <c r="Q69" i="66"/>
  <c r="X69" i="66" s="1"/>
  <c r="AA68" i="66"/>
  <c r="Z68" i="66"/>
  <c r="Y68" i="66"/>
  <c r="AE68" i="66" s="1"/>
  <c r="V68" i="66"/>
  <c r="AC68" i="66" s="1"/>
  <c r="U68" i="66"/>
  <c r="AB68" i="66" s="1"/>
  <c r="Q68" i="66"/>
  <c r="X68" i="66" s="1"/>
  <c r="AA67" i="66"/>
  <c r="Z67" i="66"/>
  <c r="Y67" i="66"/>
  <c r="AE67" i="66" s="1"/>
  <c r="V67" i="66"/>
  <c r="AC67" i="66" s="1"/>
  <c r="U67" i="66"/>
  <c r="AB67" i="66" s="1"/>
  <c r="Q67" i="66"/>
  <c r="X67" i="66" s="1"/>
  <c r="AA66" i="66"/>
  <c r="Z66" i="66"/>
  <c r="Y66" i="66"/>
  <c r="AE66" i="66" s="1"/>
  <c r="V66" i="66"/>
  <c r="AC66" i="66" s="1"/>
  <c r="U66" i="66"/>
  <c r="AB66" i="66" s="1"/>
  <c r="Q66" i="66"/>
  <c r="X66" i="66" s="1"/>
  <c r="AA65" i="66"/>
  <c r="Z65" i="66"/>
  <c r="Y65" i="66"/>
  <c r="AE65" i="66" s="1"/>
  <c r="V65" i="66"/>
  <c r="AC65" i="66" s="1"/>
  <c r="U65" i="66"/>
  <c r="AB65" i="66" s="1"/>
  <c r="Q65" i="66"/>
  <c r="X65" i="66" s="1"/>
  <c r="AA64" i="66"/>
  <c r="Z64" i="66"/>
  <c r="Y64" i="66"/>
  <c r="AE64" i="66" s="1"/>
  <c r="V64" i="66"/>
  <c r="AC64" i="66" s="1"/>
  <c r="U64" i="66"/>
  <c r="AB64" i="66" s="1"/>
  <c r="Q64" i="66"/>
  <c r="X64" i="66" s="1"/>
  <c r="AA63" i="66"/>
  <c r="Z63" i="66"/>
  <c r="Y63" i="66"/>
  <c r="AE63" i="66" s="1"/>
  <c r="V63" i="66"/>
  <c r="AC63" i="66" s="1"/>
  <c r="U63" i="66"/>
  <c r="AB63" i="66" s="1"/>
  <c r="Q63" i="66"/>
  <c r="X63" i="66" s="1"/>
  <c r="AA62" i="66"/>
  <c r="Z62" i="66"/>
  <c r="Y62" i="66"/>
  <c r="AE62" i="66" s="1"/>
  <c r="V62" i="66"/>
  <c r="AC62" i="66" s="1"/>
  <c r="U62" i="66"/>
  <c r="AB62" i="66" s="1"/>
  <c r="Q62" i="66"/>
  <c r="X62" i="66" s="1"/>
  <c r="AA61" i="66"/>
  <c r="Z61" i="66"/>
  <c r="Y61" i="66"/>
  <c r="AE61" i="66" s="1"/>
  <c r="V61" i="66"/>
  <c r="AC61" i="66" s="1"/>
  <c r="U61" i="66"/>
  <c r="AB61" i="66" s="1"/>
  <c r="Q61" i="66"/>
  <c r="X61" i="66" s="1"/>
  <c r="AA60" i="66"/>
  <c r="Z60" i="66"/>
  <c r="Y60" i="66"/>
  <c r="AE60" i="66" s="1"/>
  <c r="V60" i="66"/>
  <c r="AC60" i="66" s="1"/>
  <c r="U60" i="66"/>
  <c r="AB60" i="66" s="1"/>
  <c r="Q60" i="66"/>
  <c r="X60" i="66" s="1"/>
  <c r="AB59" i="66"/>
  <c r="AA59" i="66"/>
  <c r="Z59" i="66"/>
  <c r="Y59" i="66"/>
  <c r="AE59" i="66" s="1"/>
  <c r="V59" i="66"/>
  <c r="AC59" i="66" s="1"/>
  <c r="U59" i="66"/>
  <c r="Q59" i="66"/>
  <c r="X59" i="66" s="1"/>
  <c r="AA58" i="66"/>
  <c r="Z58" i="66"/>
  <c r="Y58" i="66"/>
  <c r="AE58" i="66" s="1"/>
  <c r="V58" i="66"/>
  <c r="AC58" i="66" s="1"/>
  <c r="U58" i="66"/>
  <c r="AB58" i="66" s="1"/>
  <c r="Q58" i="66"/>
  <c r="X58" i="66" s="1"/>
  <c r="AB57" i="66"/>
  <c r="AA57" i="66"/>
  <c r="Z57" i="66"/>
  <c r="Y57" i="66"/>
  <c r="AE57" i="66" s="1"/>
  <c r="V57" i="66"/>
  <c r="AC57" i="66" s="1"/>
  <c r="U57" i="66"/>
  <c r="Q57" i="66"/>
  <c r="X57" i="66" s="1"/>
  <c r="AA56" i="66"/>
  <c r="Z56" i="66"/>
  <c r="Y56" i="66"/>
  <c r="AE56" i="66" s="1"/>
  <c r="V56" i="66"/>
  <c r="AC56" i="66" s="1"/>
  <c r="U56" i="66"/>
  <c r="AB56" i="66" s="1"/>
  <c r="Q56" i="66"/>
  <c r="X56" i="66" s="1"/>
  <c r="AA55" i="66"/>
  <c r="Z55" i="66"/>
  <c r="Y55" i="66"/>
  <c r="AE55" i="66" s="1"/>
  <c r="V55" i="66"/>
  <c r="AC55" i="66" s="1"/>
  <c r="U55" i="66"/>
  <c r="AB55" i="66" s="1"/>
  <c r="Q55" i="66"/>
  <c r="X55" i="66" s="1"/>
  <c r="AA54" i="66"/>
  <c r="Z54" i="66"/>
  <c r="Y54" i="66"/>
  <c r="AE54" i="66" s="1"/>
  <c r="V54" i="66"/>
  <c r="AC54" i="66" s="1"/>
  <c r="U54" i="66"/>
  <c r="AB54" i="66" s="1"/>
  <c r="Q54" i="66"/>
  <c r="X54" i="66" s="1"/>
  <c r="AA53" i="66"/>
  <c r="Z53" i="66"/>
  <c r="Y53" i="66"/>
  <c r="AE53" i="66" s="1"/>
  <c r="V53" i="66"/>
  <c r="AC53" i="66" s="1"/>
  <c r="U53" i="66"/>
  <c r="AB53" i="66" s="1"/>
  <c r="Q53" i="66"/>
  <c r="X53" i="66" s="1"/>
  <c r="AA52" i="66"/>
  <c r="Z52" i="66"/>
  <c r="Y52" i="66"/>
  <c r="AE52" i="66" s="1"/>
  <c r="V52" i="66"/>
  <c r="AC52" i="66" s="1"/>
  <c r="U52" i="66"/>
  <c r="AB52" i="66" s="1"/>
  <c r="Q52" i="66"/>
  <c r="X52" i="66" s="1"/>
  <c r="AA51" i="66"/>
  <c r="Z51" i="66"/>
  <c r="Y51" i="66"/>
  <c r="AE51" i="66" s="1"/>
  <c r="V51" i="66"/>
  <c r="AC51" i="66" s="1"/>
  <c r="U51" i="66"/>
  <c r="AB51" i="66" s="1"/>
  <c r="Q51" i="66"/>
  <c r="X51" i="66" s="1"/>
  <c r="AA50" i="66"/>
  <c r="Z50" i="66"/>
  <c r="Y50" i="66"/>
  <c r="AE50" i="66" s="1"/>
  <c r="V50" i="66"/>
  <c r="AC50" i="66" s="1"/>
  <c r="U50" i="66"/>
  <c r="AB50" i="66" s="1"/>
  <c r="Q50" i="66"/>
  <c r="X50" i="66" s="1"/>
  <c r="AA49" i="66"/>
  <c r="Z49" i="66"/>
  <c r="Y49" i="66"/>
  <c r="AE49" i="66" s="1"/>
  <c r="V49" i="66"/>
  <c r="AC49" i="66" s="1"/>
  <c r="U49" i="66"/>
  <c r="AB49" i="66" s="1"/>
  <c r="Q49" i="66"/>
  <c r="X49" i="66" s="1"/>
  <c r="AA48" i="66"/>
  <c r="Z48" i="66"/>
  <c r="Y48" i="66"/>
  <c r="AE48" i="66" s="1"/>
  <c r="V48" i="66"/>
  <c r="AC48" i="66" s="1"/>
  <c r="U48" i="66"/>
  <c r="AB48" i="66" s="1"/>
  <c r="Q48" i="66"/>
  <c r="X48" i="66" s="1"/>
  <c r="AA47" i="66"/>
  <c r="Z47" i="66"/>
  <c r="Y47" i="66"/>
  <c r="AE47" i="66" s="1"/>
  <c r="V47" i="66"/>
  <c r="AC47" i="66" s="1"/>
  <c r="U47" i="66"/>
  <c r="AB47" i="66" s="1"/>
  <c r="Q47" i="66"/>
  <c r="X47" i="66" s="1"/>
  <c r="AC46" i="66"/>
  <c r="AB46" i="66"/>
  <c r="AA46" i="66"/>
  <c r="Z46" i="66"/>
  <c r="Y46" i="66"/>
  <c r="AE46" i="66" s="1"/>
  <c r="Q46" i="66"/>
  <c r="AB45" i="66"/>
  <c r="AA45" i="66"/>
  <c r="Z45" i="66"/>
  <c r="Y45" i="66"/>
  <c r="AE45" i="66" s="1"/>
  <c r="V45" i="66"/>
  <c r="AC45" i="66" s="1"/>
  <c r="U45" i="66"/>
  <c r="Q45" i="66"/>
  <c r="X45" i="66" s="1"/>
  <c r="AA44" i="66"/>
  <c r="Z44" i="66"/>
  <c r="Y44" i="66"/>
  <c r="AE44" i="66" s="1"/>
  <c r="V44" i="66"/>
  <c r="AC44" i="66" s="1"/>
  <c r="U44" i="66"/>
  <c r="AB44" i="66" s="1"/>
  <c r="Q44" i="66"/>
  <c r="X44" i="66" s="1"/>
  <c r="AC43" i="66"/>
  <c r="AA43" i="66"/>
  <c r="Z43" i="66"/>
  <c r="Y43" i="66"/>
  <c r="AE43" i="66" s="1"/>
  <c r="V43" i="66"/>
  <c r="U43" i="66"/>
  <c r="AB43" i="66" s="1"/>
  <c r="Q43" i="66"/>
  <c r="X43" i="66" s="1"/>
  <c r="AC42" i="66"/>
  <c r="AB42" i="66"/>
  <c r="AA42" i="66"/>
  <c r="Z42" i="66"/>
  <c r="Y42" i="66"/>
  <c r="AE42" i="66" s="1"/>
  <c r="AA41" i="66"/>
  <c r="Z41" i="66"/>
  <c r="Y41" i="66"/>
  <c r="AE41" i="66" s="1"/>
  <c r="V41" i="66"/>
  <c r="AC41" i="66" s="1"/>
  <c r="U41" i="66"/>
  <c r="AB41" i="66" s="1"/>
  <c r="Q41" i="66"/>
  <c r="X41" i="66" s="1"/>
  <c r="AB40" i="66"/>
  <c r="AA40" i="66"/>
  <c r="Z40" i="66"/>
  <c r="Y40" i="66"/>
  <c r="AE40" i="66" s="1"/>
  <c r="V40" i="66"/>
  <c r="AC40" i="66" s="1"/>
  <c r="U40" i="66"/>
  <c r="Q40" i="66"/>
  <c r="X40" i="66" s="1"/>
  <c r="AE39" i="66"/>
  <c r="AA39" i="66"/>
  <c r="Z39" i="66"/>
  <c r="Y39" i="66"/>
  <c r="V39" i="66"/>
  <c r="AC39" i="66" s="1"/>
  <c r="U39" i="66"/>
  <c r="AB39" i="66" s="1"/>
  <c r="Q39" i="66"/>
  <c r="X39" i="66" s="1"/>
  <c r="AB38" i="66"/>
  <c r="AA38" i="66"/>
  <c r="Z38" i="66"/>
  <c r="Y38" i="66"/>
  <c r="AE38" i="66" s="1"/>
  <c r="V38" i="66"/>
  <c r="AC38" i="66" s="1"/>
  <c r="U38" i="66"/>
  <c r="Q38" i="66"/>
  <c r="X38" i="66" s="1"/>
  <c r="AC37" i="66"/>
  <c r="AA37" i="66"/>
  <c r="Z37" i="66"/>
  <c r="Y37" i="66"/>
  <c r="AE37" i="66" s="1"/>
  <c r="V37" i="66"/>
  <c r="U37" i="66"/>
  <c r="AB37" i="66" s="1"/>
  <c r="Q37" i="66"/>
  <c r="X37" i="66" s="1"/>
  <c r="AE36" i="66"/>
  <c r="AA36" i="66"/>
  <c r="Z36" i="66"/>
  <c r="Y36" i="66"/>
  <c r="V36" i="66"/>
  <c r="AC36" i="66" s="1"/>
  <c r="U36" i="66"/>
  <c r="AB36" i="66" s="1"/>
  <c r="Q36" i="66"/>
  <c r="X36" i="66" s="1"/>
  <c r="AE35" i="66"/>
  <c r="AA35" i="66"/>
  <c r="Z35" i="66"/>
  <c r="Y35" i="66"/>
  <c r="V35" i="66"/>
  <c r="U35" i="66"/>
  <c r="Q35" i="66"/>
  <c r="X35" i="66" s="1"/>
  <c r="AA34" i="66"/>
  <c r="Z34" i="66"/>
  <c r="Y34" i="66"/>
  <c r="AE34" i="66" s="1"/>
  <c r="V34" i="66"/>
  <c r="U34" i="66"/>
  <c r="AB34" i="66" s="1"/>
  <c r="Q34" i="66"/>
  <c r="AA33" i="66"/>
  <c r="Z33" i="66"/>
  <c r="Y33" i="66"/>
  <c r="AE33" i="66" s="1"/>
  <c r="V33" i="66"/>
  <c r="AC33" i="66" s="1"/>
  <c r="U33" i="66"/>
  <c r="AB33" i="66" s="1"/>
  <c r="Q33" i="66"/>
  <c r="X33" i="66" s="1"/>
  <c r="AA32" i="66"/>
  <c r="Z32" i="66"/>
  <c r="Y32" i="66"/>
  <c r="AE32" i="66" s="1"/>
  <c r="V32" i="66"/>
  <c r="AC32" i="66" s="1"/>
  <c r="U32" i="66"/>
  <c r="AB32" i="66" s="1"/>
  <c r="Q32" i="66"/>
  <c r="X32" i="66" s="1"/>
  <c r="AA31" i="66"/>
  <c r="Z31" i="66"/>
  <c r="Y31" i="66"/>
  <c r="AE31" i="66" s="1"/>
  <c r="V31" i="66"/>
  <c r="AC31" i="66" s="1"/>
  <c r="U31" i="66"/>
  <c r="Q31" i="66"/>
  <c r="X31" i="66" s="1"/>
  <c r="AA30" i="66"/>
  <c r="Z30" i="66"/>
  <c r="Y30" i="66"/>
  <c r="AE30" i="66" s="1"/>
  <c r="V30" i="66"/>
  <c r="AC30" i="66" s="1"/>
  <c r="U30" i="66"/>
  <c r="AB30" i="66" s="1"/>
  <c r="Q30" i="66"/>
  <c r="X30" i="66" s="1"/>
  <c r="AA29" i="66"/>
  <c r="Z29" i="66"/>
  <c r="Y29" i="66"/>
  <c r="AE29" i="66" s="1"/>
  <c r="V29" i="66"/>
  <c r="AC29" i="66" s="1"/>
  <c r="U29" i="66"/>
  <c r="AB29" i="66" s="1"/>
  <c r="Q29" i="66"/>
  <c r="X29" i="66" s="1"/>
  <c r="AA28" i="66"/>
  <c r="Z28" i="66"/>
  <c r="Y28" i="66"/>
  <c r="AE28" i="66" s="1"/>
  <c r="V28" i="66"/>
  <c r="AC28" i="66" s="1"/>
  <c r="U28" i="66"/>
  <c r="AB28" i="66" s="1"/>
  <c r="Q28" i="66"/>
  <c r="X28" i="66" s="1"/>
  <c r="AA27" i="66"/>
  <c r="Z27" i="66"/>
  <c r="Y27" i="66"/>
  <c r="AE27" i="66" s="1"/>
  <c r="V27" i="66"/>
  <c r="AC27" i="66" s="1"/>
  <c r="U27" i="66"/>
  <c r="AB27" i="66" s="1"/>
  <c r="Q27" i="66"/>
  <c r="X27" i="66" s="1"/>
  <c r="AA26" i="66"/>
  <c r="Z26" i="66"/>
  <c r="Y26" i="66"/>
  <c r="AE26" i="66" s="1"/>
  <c r="V26" i="66"/>
  <c r="AC26" i="66" s="1"/>
  <c r="U26" i="66"/>
  <c r="AB26" i="66" s="1"/>
  <c r="Q26" i="66"/>
  <c r="X26" i="66" s="1"/>
  <c r="AC25" i="66"/>
  <c r="AA25" i="66"/>
  <c r="Z25" i="66"/>
  <c r="Y25" i="66"/>
  <c r="AE25" i="66" s="1"/>
  <c r="V25" i="66"/>
  <c r="U25" i="66"/>
  <c r="AB25" i="66" s="1"/>
  <c r="Q25" i="66"/>
  <c r="X25" i="66" s="1"/>
  <c r="AA24" i="66"/>
  <c r="Z24" i="66"/>
  <c r="Y24" i="66"/>
  <c r="AE24" i="66" s="1"/>
  <c r="V24" i="66"/>
  <c r="AC24" i="66" s="1"/>
  <c r="U24" i="66"/>
  <c r="AB24" i="66" s="1"/>
  <c r="Q24" i="66"/>
  <c r="X24" i="66" s="1"/>
  <c r="AA23" i="66"/>
  <c r="Z23" i="66"/>
  <c r="Y23" i="66"/>
  <c r="AE23" i="66" s="1"/>
  <c r="V23" i="66"/>
  <c r="AC23" i="66" s="1"/>
  <c r="U23" i="66"/>
  <c r="AB23" i="66" s="1"/>
  <c r="Q23" i="66"/>
  <c r="AA22" i="66"/>
  <c r="Z22" i="66"/>
  <c r="Y22" i="66"/>
  <c r="AE22" i="66" s="1"/>
  <c r="V22" i="66"/>
  <c r="AC22" i="66" s="1"/>
  <c r="U22" i="66"/>
  <c r="AB22" i="66" s="1"/>
  <c r="Q22" i="66"/>
  <c r="AA21" i="66"/>
  <c r="Z21" i="66"/>
  <c r="Y21" i="66"/>
  <c r="AE21" i="66" s="1"/>
  <c r="V21" i="66"/>
  <c r="AC21" i="66" s="1"/>
  <c r="U21" i="66"/>
  <c r="AB21" i="66" s="1"/>
  <c r="Q21" i="66"/>
  <c r="X21" i="66" s="1"/>
  <c r="AA20" i="66"/>
  <c r="Z20" i="66"/>
  <c r="Y20" i="66"/>
  <c r="AE20" i="66" s="1"/>
  <c r="V20" i="66"/>
  <c r="AC20" i="66" s="1"/>
  <c r="U20" i="66"/>
  <c r="AB20" i="66" s="1"/>
  <c r="Q20" i="66"/>
  <c r="X20" i="66" s="1"/>
  <c r="AA19" i="66"/>
  <c r="Z19" i="66"/>
  <c r="Y19" i="66"/>
  <c r="AE19" i="66" s="1"/>
  <c r="V19" i="66"/>
  <c r="AC19" i="66" s="1"/>
  <c r="U19" i="66"/>
  <c r="Q19" i="66"/>
  <c r="X19" i="66" s="1"/>
  <c r="AA18" i="66"/>
  <c r="Z18" i="66"/>
  <c r="Y18" i="66"/>
  <c r="AE18" i="66" s="1"/>
  <c r="V18" i="66"/>
  <c r="AC18" i="66" s="1"/>
  <c r="U18" i="66"/>
  <c r="AB18" i="66" s="1"/>
  <c r="Q18" i="66"/>
  <c r="X18" i="66" s="1"/>
  <c r="AA17" i="66"/>
  <c r="Z17" i="66"/>
  <c r="Y17" i="66"/>
  <c r="AE17" i="66" s="1"/>
  <c r="X17" i="66"/>
  <c r="V17" i="66"/>
  <c r="AC17" i="66" s="1"/>
  <c r="U17" i="66"/>
  <c r="AB17" i="66" s="1"/>
  <c r="Q17" i="66"/>
  <c r="AA16" i="66"/>
  <c r="Z16" i="66"/>
  <c r="Y16" i="66"/>
  <c r="AE16" i="66" s="1"/>
  <c r="X16" i="66"/>
  <c r="V16" i="66"/>
  <c r="AC16" i="66" s="1"/>
  <c r="U16" i="66"/>
  <c r="AB16" i="66" s="1"/>
  <c r="Q16" i="66"/>
  <c r="AA15" i="66"/>
  <c r="Z15" i="66"/>
  <c r="Y15" i="66"/>
  <c r="AE15" i="66" s="1"/>
  <c r="V15" i="66"/>
  <c r="AC15" i="66" s="1"/>
  <c r="U15" i="66"/>
  <c r="AB15" i="66" s="1"/>
  <c r="Q15" i="66"/>
  <c r="X15" i="66" s="1"/>
  <c r="AB14" i="66"/>
  <c r="AA14" i="66"/>
  <c r="Z14" i="66"/>
  <c r="Y14" i="66"/>
  <c r="AE14" i="66" s="1"/>
  <c r="V14" i="66"/>
  <c r="AC14" i="66" s="1"/>
  <c r="U14" i="66"/>
  <c r="Q14" i="66"/>
  <c r="X14" i="66" s="1"/>
  <c r="S109" i="66" l="1"/>
  <c r="AA91" i="66"/>
  <c r="T109" i="66"/>
  <c r="U109" i="66" s="1"/>
  <c r="AA79" i="66"/>
  <c r="Z91" i="66"/>
  <c r="AA109" i="66"/>
  <c r="Y79" i="66"/>
  <c r="AE79" i="66"/>
  <c r="AE91" i="66"/>
  <c r="Z79" i="66"/>
  <c r="U79" i="66"/>
  <c r="U91" i="66"/>
  <c r="Y91" i="66"/>
  <c r="Q48" i="63"/>
  <c r="Q75" i="63"/>
  <c r="Q57" i="63"/>
  <c r="Q37" i="63"/>
  <c r="Q28" i="63"/>
  <c r="Z109" i="66" l="1"/>
  <c r="AE109" i="66"/>
  <c r="K111" i="66" s="1"/>
  <c r="Y109" i="66"/>
  <c r="AB79" i="66"/>
  <c r="AB109" i="66" s="1"/>
  <c r="U48" i="63"/>
  <c r="V48" i="63"/>
  <c r="V14" i="63"/>
  <c r="T91" i="65"/>
  <c r="S91" i="65"/>
  <c r="R91" i="65"/>
  <c r="AC88" i="65"/>
  <c r="AA88" i="65"/>
  <c r="Z88" i="65"/>
  <c r="Y88" i="65"/>
  <c r="AE88" i="65" s="1"/>
  <c r="V88" i="65"/>
  <c r="U88" i="65"/>
  <c r="AB88" i="65" s="1"/>
  <c r="Q88" i="65"/>
  <c r="X88" i="65" s="1"/>
  <c r="AA87" i="65"/>
  <c r="Z87" i="65"/>
  <c r="Y87" i="65"/>
  <c r="AE87" i="65" s="1"/>
  <c r="V87" i="65"/>
  <c r="AC87" i="65" s="1"/>
  <c r="Q87" i="65"/>
  <c r="AA86" i="65"/>
  <c r="Z86" i="65"/>
  <c r="Y86" i="65"/>
  <c r="V86" i="65"/>
  <c r="AC86" i="65" s="1"/>
  <c r="Q86" i="65"/>
  <c r="X86" i="65" s="1"/>
  <c r="AA85" i="65"/>
  <c r="Z85" i="65"/>
  <c r="Z91" i="65" s="1"/>
  <c r="Y85" i="65"/>
  <c r="AE85" i="65" s="1"/>
  <c r="V85" i="65"/>
  <c r="AC85" i="65" s="1"/>
  <c r="U85" i="65"/>
  <c r="AB85" i="65" s="1"/>
  <c r="Q85" i="65"/>
  <c r="X85" i="65" s="1"/>
  <c r="T79" i="65"/>
  <c r="T109" i="65" s="1"/>
  <c r="U109" i="65" s="1"/>
  <c r="S79" i="65"/>
  <c r="S109" i="65" s="1"/>
  <c r="R79" i="65"/>
  <c r="R109" i="65" s="1"/>
  <c r="AC78" i="65"/>
  <c r="AB78" i="65"/>
  <c r="AA78" i="65"/>
  <c r="Z78" i="65"/>
  <c r="Y78" i="65"/>
  <c r="AE78" i="65" s="1"/>
  <c r="Q78" i="65"/>
  <c r="AA77" i="65"/>
  <c r="Z77" i="65"/>
  <c r="Y77" i="65"/>
  <c r="AE77" i="65" s="1"/>
  <c r="V77" i="65"/>
  <c r="AC77" i="65" s="1"/>
  <c r="U77" i="65"/>
  <c r="AB77" i="65" s="1"/>
  <c r="Q77" i="65"/>
  <c r="X77" i="65" s="1"/>
  <c r="AA76" i="65"/>
  <c r="Z76" i="65"/>
  <c r="Y76" i="65"/>
  <c r="AE76" i="65" s="1"/>
  <c r="V76" i="65"/>
  <c r="AC76" i="65" s="1"/>
  <c r="U76" i="65"/>
  <c r="AB76" i="65" s="1"/>
  <c r="Q76" i="65"/>
  <c r="X76" i="65" s="1"/>
  <c r="AA75" i="65"/>
  <c r="Z75" i="65"/>
  <c r="Y75" i="65"/>
  <c r="AE75" i="65" s="1"/>
  <c r="V75" i="65"/>
  <c r="AC75" i="65" s="1"/>
  <c r="U75" i="65"/>
  <c r="AB75" i="65" s="1"/>
  <c r="Q75" i="65"/>
  <c r="X75" i="65" s="1"/>
  <c r="AA74" i="65"/>
  <c r="Z74" i="65"/>
  <c r="Y74" i="65"/>
  <c r="AE74" i="65" s="1"/>
  <c r="V74" i="65"/>
  <c r="AC74" i="65" s="1"/>
  <c r="U74" i="65"/>
  <c r="AB74" i="65" s="1"/>
  <c r="Q74" i="65"/>
  <c r="X74" i="65" s="1"/>
  <c r="AB73" i="65"/>
  <c r="AA73" i="65"/>
  <c r="Z73" i="65"/>
  <c r="Y73" i="65"/>
  <c r="AE73" i="65" s="1"/>
  <c r="V73" i="65"/>
  <c r="AC73" i="65" s="1"/>
  <c r="U73" i="65"/>
  <c r="Q73" i="65"/>
  <c r="X73" i="65" s="1"/>
  <c r="AA72" i="65"/>
  <c r="Z72" i="65"/>
  <c r="Y72" i="65"/>
  <c r="AE72" i="65" s="1"/>
  <c r="V72" i="65"/>
  <c r="AC72" i="65" s="1"/>
  <c r="U72" i="65"/>
  <c r="AB72" i="65" s="1"/>
  <c r="Q72" i="65"/>
  <c r="X72" i="65" s="1"/>
  <c r="AA71" i="65"/>
  <c r="Z71" i="65"/>
  <c r="Y71" i="65"/>
  <c r="AE71" i="65" s="1"/>
  <c r="V71" i="65"/>
  <c r="AC71" i="65" s="1"/>
  <c r="U71" i="65"/>
  <c r="AB71" i="65" s="1"/>
  <c r="Q71" i="65"/>
  <c r="X71" i="65" s="1"/>
  <c r="AA70" i="65"/>
  <c r="Z70" i="65"/>
  <c r="Y70" i="65"/>
  <c r="AE70" i="65" s="1"/>
  <c r="V70" i="65"/>
  <c r="AC70" i="65" s="1"/>
  <c r="U70" i="65"/>
  <c r="AB70" i="65" s="1"/>
  <c r="Q70" i="65"/>
  <c r="X70" i="65" s="1"/>
  <c r="AA69" i="65"/>
  <c r="Z69" i="65"/>
  <c r="Y69" i="65"/>
  <c r="AE69" i="65" s="1"/>
  <c r="V69" i="65"/>
  <c r="U69" i="65"/>
  <c r="Q69" i="65"/>
  <c r="X69" i="65" s="1"/>
  <c r="AB68" i="65"/>
  <c r="AA68" i="65"/>
  <c r="Z68" i="65"/>
  <c r="Y68" i="65"/>
  <c r="AE68" i="65" s="1"/>
  <c r="V68" i="65"/>
  <c r="AC68" i="65" s="1"/>
  <c r="U68" i="65"/>
  <c r="Q68" i="65"/>
  <c r="X68" i="65" s="1"/>
  <c r="AA67" i="65"/>
  <c r="Z67" i="65"/>
  <c r="Y67" i="65"/>
  <c r="AE67" i="65" s="1"/>
  <c r="V67" i="65"/>
  <c r="AC67" i="65" s="1"/>
  <c r="U67" i="65"/>
  <c r="AB67" i="65" s="1"/>
  <c r="Q67" i="65"/>
  <c r="X67" i="65" s="1"/>
  <c r="AA66" i="65"/>
  <c r="Z66" i="65"/>
  <c r="Y66" i="65"/>
  <c r="AE66" i="65" s="1"/>
  <c r="V66" i="65"/>
  <c r="AC66" i="65" s="1"/>
  <c r="U66" i="65"/>
  <c r="AB66" i="65" s="1"/>
  <c r="Q66" i="65"/>
  <c r="X66" i="65" s="1"/>
  <c r="AA65" i="65"/>
  <c r="Z65" i="65"/>
  <c r="Y65" i="65"/>
  <c r="AE65" i="65" s="1"/>
  <c r="V65" i="65"/>
  <c r="AC65" i="65" s="1"/>
  <c r="U65" i="65"/>
  <c r="AB65" i="65" s="1"/>
  <c r="Q65" i="65"/>
  <c r="X65" i="65" s="1"/>
  <c r="AA64" i="65"/>
  <c r="Z64" i="65"/>
  <c r="Y64" i="65"/>
  <c r="AE64" i="65" s="1"/>
  <c r="V64" i="65"/>
  <c r="AC64" i="65" s="1"/>
  <c r="U64" i="65"/>
  <c r="AB64" i="65" s="1"/>
  <c r="Q64" i="65"/>
  <c r="X64" i="65" s="1"/>
  <c r="AA63" i="65"/>
  <c r="Z63" i="65"/>
  <c r="Y63" i="65"/>
  <c r="AE63" i="65" s="1"/>
  <c r="V63" i="65"/>
  <c r="AC63" i="65" s="1"/>
  <c r="U63" i="65"/>
  <c r="AB63" i="65" s="1"/>
  <c r="Q63" i="65"/>
  <c r="X63" i="65" s="1"/>
  <c r="AA62" i="65"/>
  <c r="Z62" i="65"/>
  <c r="Y62" i="65"/>
  <c r="AE62" i="65" s="1"/>
  <c r="V62" i="65"/>
  <c r="AC62" i="65" s="1"/>
  <c r="U62" i="65"/>
  <c r="AB62" i="65" s="1"/>
  <c r="Q62" i="65"/>
  <c r="X62" i="65" s="1"/>
  <c r="AA61" i="65"/>
  <c r="Z61" i="65"/>
  <c r="Y61" i="65"/>
  <c r="AE61" i="65" s="1"/>
  <c r="V61" i="65"/>
  <c r="AC61" i="65" s="1"/>
  <c r="U61" i="65"/>
  <c r="AB61" i="65" s="1"/>
  <c r="Q61" i="65"/>
  <c r="X61" i="65" s="1"/>
  <c r="AA60" i="65"/>
  <c r="Z60" i="65"/>
  <c r="Y60" i="65"/>
  <c r="AE60" i="65" s="1"/>
  <c r="V60" i="65"/>
  <c r="AC60" i="65" s="1"/>
  <c r="U60" i="65"/>
  <c r="AB60" i="65" s="1"/>
  <c r="Q60" i="65"/>
  <c r="X60" i="65" s="1"/>
  <c r="AA59" i="65"/>
  <c r="Z59" i="65"/>
  <c r="Y59" i="65"/>
  <c r="AE59" i="65" s="1"/>
  <c r="V59" i="65"/>
  <c r="AC59" i="65" s="1"/>
  <c r="U59" i="65"/>
  <c r="AB59" i="65" s="1"/>
  <c r="Q59" i="65"/>
  <c r="X59" i="65" s="1"/>
  <c r="AA58" i="65"/>
  <c r="Z58" i="65"/>
  <c r="Y58" i="65"/>
  <c r="AE58" i="65" s="1"/>
  <c r="V58" i="65"/>
  <c r="AC58" i="65" s="1"/>
  <c r="U58" i="65"/>
  <c r="AB58" i="65" s="1"/>
  <c r="Q58" i="65"/>
  <c r="AC57" i="65"/>
  <c r="AA57" i="65"/>
  <c r="Z57" i="65"/>
  <c r="Y57" i="65"/>
  <c r="AE57" i="65" s="1"/>
  <c r="V57" i="65"/>
  <c r="U57" i="65"/>
  <c r="AB57" i="65" s="1"/>
  <c r="Q57" i="65"/>
  <c r="X57" i="65" s="1"/>
  <c r="AE56" i="65"/>
  <c r="AA56" i="65"/>
  <c r="Z56" i="65"/>
  <c r="Y56" i="65"/>
  <c r="V56" i="65"/>
  <c r="AC56" i="65" s="1"/>
  <c r="U56" i="65"/>
  <c r="AB56" i="65" s="1"/>
  <c r="Q56" i="65"/>
  <c r="X56" i="65" s="1"/>
  <c r="AE55" i="65"/>
  <c r="AA55" i="65"/>
  <c r="Z55" i="65"/>
  <c r="Y55" i="65"/>
  <c r="V55" i="65"/>
  <c r="AC55" i="65" s="1"/>
  <c r="U55" i="65"/>
  <c r="AB55" i="65" s="1"/>
  <c r="Q55" i="65"/>
  <c r="X55" i="65" s="1"/>
  <c r="AA54" i="65"/>
  <c r="Z54" i="65"/>
  <c r="Y54" i="65"/>
  <c r="AE54" i="65" s="1"/>
  <c r="V54" i="65"/>
  <c r="AC54" i="65" s="1"/>
  <c r="U54" i="65"/>
  <c r="AB54" i="65" s="1"/>
  <c r="Q54" i="65"/>
  <c r="X54" i="65" s="1"/>
  <c r="AA53" i="65"/>
  <c r="Z53" i="65"/>
  <c r="Y53" i="65"/>
  <c r="AE53" i="65" s="1"/>
  <c r="V53" i="65"/>
  <c r="AC53" i="65" s="1"/>
  <c r="U53" i="65"/>
  <c r="AB53" i="65" s="1"/>
  <c r="Q53" i="65"/>
  <c r="X53" i="65" s="1"/>
  <c r="AE52" i="65"/>
  <c r="AA52" i="65"/>
  <c r="Z52" i="65"/>
  <c r="Y52" i="65"/>
  <c r="V52" i="65"/>
  <c r="AC52" i="65" s="1"/>
  <c r="U52" i="65"/>
  <c r="AB52" i="65" s="1"/>
  <c r="Q52" i="65"/>
  <c r="X52" i="65" s="1"/>
  <c r="AC51" i="65"/>
  <c r="AA51" i="65"/>
  <c r="Z51" i="65"/>
  <c r="Y51" i="65"/>
  <c r="AE51" i="65" s="1"/>
  <c r="V51" i="65"/>
  <c r="U51" i="65"/>
  <c r="AB51" i="65" s="1"/>
  <c r="Q51" i="65"/>
  <c r="X51" i="65" s="1"/>
  <c r="AE50" i="65"/>
  <c r="AA50" i="65"/>
  <c r="Z50" i="65"/>
  <c r="Y50" i="65"/>
  <c r="V50" i="65"/>
  <c r="AC50" i="65" s="1"/>
  <c r="U50" i="65"/>
  <c r="AB50" i="65" s="1"/>
  <c r="Q50" i="65"/>
  <c r="X50" i="65" s="1"/>
  <c r="AA49" i="65"/>
  <c r="Z49" i="65"/>
  <c r="Y49" i="65"/>
  <c r="AE49" i="65" s="1"/>
  <c r="V49" i="65"/>
  <c r="AC49" i="65" s="1"/>
  <c r="U49" i="65"/>
  <c r="AB49" i="65" s="1"/>
  <c r="Q49" i="65"/>
  <c r="X49" i="65" s="1"/>
  <c r="AC48" i="65"/>
  <c r="AB48" i="65"/>
  <c r="AA48" i="65"/>
  <c r="Z48" i="65"/>
  <c r="Y48" i="65"/>
  <c r="AE48" i="65" s="1"/>
  <c r="Q48" i="65"/>
  <c r="AA47" i="65"/>
  <c r="Z47" i="65"/>
  <c r="Y47" i="65"/>
  <c r="AE47" i="65" s="1"/>
  <c r="V47" i="65"/>
  <c r="AC47" i="65" s="1"/>
  <c r="U47" i="65"/>
  <c r="AB47" i="65" s="1"/>
  <c r="Q47" i="65"/>
  <c r="X47" i="65" s="1"/>
  <c r="AC46" i="65"/>
  <c r="AB46" i="65"/>
  <c r="AA46" i="65"/>
  <c r="Z46" i="65"/>
  <c r="Y46" i="65"/>
  <c r="AE46" i="65" s="1"/>
  <c r="Q46" i="65"/>
  <c r="AA45" i="65"/>
  <c r="Z45" i="65"/>
  <c r="Y45" i="65"/>
  <c r="AE45" i="65" s="1"/>
  <c r="X45" i="65"/>
  <c r="V45" i="65"/>
  <c r="AC45" i="65" s="1"/>
  <c r="U45" i="65"/>
  <c r="AB45" i="65" s="1"/>
  <c r="Q45" i="65"/>
  <c r="AA44" i="65"/>
  <c r="Z44" i="65"/>
  <c r="Y44" i="65"/>
  <c r="AE44" i="65" s="1"/>
  <c r="V44" i="65"/>
  <c r="AC44" i="65" s="1"/>
  <c r="U44" i="65"/>
  <c r="AB44" i="65" s="1"/>
  <c r="Q44" i="65"/>
  <c r="X44" i="65" s="1"/>
  <c r="AE43" i="65"/>
  <c r="AA43" i="65"/>
  <c r="Z43" i="65"/>
  <c r="Y43" i="65"/>
  <c r="V43" i="65"/>
  <c r="AC43" i="65" s="1"/>
  <c r="U43" i="65"/>
  <c r="AB43" i="65" s="1"/>
  <c r="Q43" i="65"/>
  <c r="X43" i="65" s="1"/>
  <c r="AC42" i="65"/>
  <c r="AB42" i="65"/>
  <c r="AA42" i="65"/>
  <c r="Z42" i="65"/>
  <c r="Y42" i="65"/>
  <c r="AE42" i="65" s="1"/>
  <c r="AE41" i="65"/>
  <c r="AA41" i="65"/>
  <c r="Z41" i="65"/>
  <c r="Y41" i="65"/>
  <c r="V41" i="65"/>
  <c r="AC41" i="65" s="1"/>
  <c r="U41" i="65"/>
  <c r="AB41" i="65" s="1"/>
  <c r="Q41" i="65"/>
  <c r="X41" i="65" s="1"/>
  <c r="AC40" i="65"/>
  <c r="AA40" i="65"/>
  <c r="Z40" i="65"/>
  <c r="Y40" i="65"/>
  <c r="AE40" i="65" s="1"/>
  <c r="V40" i="65"/>
  <c r="U40" i="65"/>
  <c r="AB40" i="65" s="1"/>
  <c r="Q40" i="65"/>
  <c r="X40" i="65" s="1"/>
  <c r="AA39" i="65"/>
  <c r="Z39" i="65"/>
  <c r="Y39" i="65"/>
  <c r="AE39" i="65" s="1"/>
  <c r="V39" i="65"/>
  <c r="AC39" i="65" s="1"/>
  <c r="U39" i="65"/>
  <c r="AB39" i="65" s="1"/>
  <c r="Q39" i="65"/>
  <c r="X39" i="65" s="1"/>
  <c r="AA38" i="65"/>
  <c r="Z38" i="65"/>
  <c r="Y38" i="65"/>
  <c r="AE38" i="65" s="1"/>
  <c r="V38" i="65"/>
  <c r="AC38" i="65" s="1"/>
  <c r="U38" i="65"/>
  <c r="AB38" i="65" s="1"/>
  <c r="Q38" i="65"/>
  <c r="X38" i="65" s="1"/>
  <c r="AE37" i="65"/>
  <c r="AA37" i="65"/>
  <c r="Z37" i="65"/>
  <c r="Y37" i="65"/>
  <c r="V37" i="65"/>
  <c r="AC37" i="65" s="1"/>
  <c r="U37" i="65"/>
  <c r="AB37" i="65" s="1"/>
  <c r="Q37" i="65"/>
  <c r="X37" i="65" s="1"/>
  <c r="AC36" i="65"/>
  <c r="AA36" i="65"/>
  <c r="Z36" i="65"/>
  <c r="Y36" i="65"/>
  <c r="AE36" i="65" s="1"/>
  <c r="V36" i="65"/>
  <c r="U36" i="65"/>
  <c r="AB36" i="65" s="1"/>
  <c r="Q36" i="65"/>
  <c r="X36" i="65" s="1"/>
  <c r="AA35" i="65"/>
  <c r="Z35" i="65"/>
  <c r="Y35" i="65"/>
  <c r="AE35" i="65" s="1"/>
  <c r="V35" i="65"/>
  <c r="U35" i="65"/>
  <c r="Q35" i="65"/>
  <c r="X35" i="65" s="1"/>
  <c r="AA34" i="65"/>
  <c r="Z34" i="65"/>
  <c r="Y34" i="65"/>
  <c r="AE34" i="65" s="1"/>
  <c r="V34" i="65"/>
  <c r="U34" i="65"/>
  <c r="AB34" i="65" s="1"/>
  <c r="Q34" i="65"/>
  <c r="AA33" i="65"/>
  <c r="Z33" i="65"/>
  <c r="Y33" i="65"/>
  <c r="AE33" i="65" s="1"/>
  <c r="X33" i="65"/>
  <c r="V33" i="65"/>
  <c r="AC33" i="65" s="1"/>
  <c r="U33" i="65"/>
  <c r="AB33" i="65" s="1"/>
  <c r="Q33" i="65"/>
  <c r="AA32" i="65"/>
  <c r="Z32" i="65"/>
  <c r="Y32" i="65"/>
  <c r="AE32" i="65" s="1"/>
  <c r="V32" i="65"/>
  <c r="AC32" i="65" s="1"/>
  <c r="U32" i="65"/>
  <c r="AB32" i="65" s="1"/>
  <c r="Q32" i="65"/>
  <c r="X32" i="65" s="1"/>
  <c r="AA31" i="65"/>
  <c r="Z31" i="65"/>
  <c r="Y31" i="65"/>
  <c r="AE31" i="65" s="1"/>
  <c r="V31" i="65"/>
  <c r="AC31" i="65" s="1"/>
  <c r="U31" i="65"/>
  <c r="Q31" i="65"/>
  <c r="X31" i="65" s="1"/>
  <c r="AA30" i="65"/>
  <c r="Z30" i="65"/>
  <c r="Y30" i="65"/>
  <c r="AE30" i="65" s="1"/>
  <c r="V30" i="65"/>
  <c r="AC30" i="65" s="1"/>
  <c r="U30" i="65"/>
  <c r="AB30" i="65" s="1"/>
  <c r="Q30" i="65"/>
  <c r="X30" i="65" s="1"/>
  <c r="AA29" i="65"/>
  <c r="Z29" i="65"/>
  <c r="Y29" i="65"/>
  <c r="AE29" i="65" s="1"/>
  <c r="V29" i="65"/>
  <c r="AC29" i="65" s="1"/>
  <c r="U29" i="65"/>
  <c r="AB29" i="65" s="1"/>
  <c r="Q29" i="65"/>
  <c r="X29" i="65" s="1"/>
  <c r="AB28" i="65"/>
  <c r="AA28" i="65"/>
  <c r="Z28" i="65"/>
  <c r="Y28" i="65"/>
  <c r="AE28" i="65" s="1"/>
  <c r="V28" i="65"/>
  <c r="AC28" i="65" s="1"/>
  <c r="U28" i="65"/>
  <c r="Q28" i="65"/>
  <c r="X28" i="65" s="1"/>
  <c r="AE27" i="65"/>
  <c r="AA27" i="65"/>
  <c r="Z27" i="65"/>
  <c r="Y27" i="65"/>
  <c r="V27" i="65"/>
  <c r="AC27" i="65" s="1"/>
  <c r="U27" i="65"/>
  <c r="AB27" i="65" s="1"/>
  <c r="Q27" i="65"/>
  <c r="X27" i="65" s="1"/>
  <c r="AA26" i="65"/>
  <c r="Z26" i="65"/>
  <c r="Y26" i="65"/>
  <c r="AE26" i="65" s="1"/>
  <c r="V26" i="65"/>
  <c r="AC26" i="65" s="1"/>
  <c r="U26" i="65"/>
  <c r="AB26" i="65" s="1"/>
  <c r="Q26" i="65"/>
  <c r="X26" i="65" s="1"/>
  <c r="AA25" i="65"/>
  <c r="Z25" i="65"/>
  <c r="Y25" i="65"/>
  <c r="AE25" i="65" s="1"/>
  <c r="V25" i="65"/>
  <c r="AC25" i="65" s="1"/>
  <c r="U25" i="65"/>
  <c r="AB25" i="65" s="1"/>
  <c r="Q25" i="65"/>
  <c r="X25" i="65" s="1"/>
  <c r="AA24" i="65"/>
  <c r="Z24" i="65"/>
  <c r="Y24" i="65"/>
  <c r="AE24" i="65" s="1"/>
  <c r="V24" i="65"/>
  <c r="AC24" i="65" s="1"/>
  <c r="U24" i="65"/>
  <c r="AB24" i="65" s="1"/>
  <c r="Q24" i="65"/>
  <c r="X24" i="65" s="1"/>
  <c r="AA23" i="65"/>
  <c r="Z23" i="65"/>
  <c r="Y23" i="65"/>
  <c r="AE23" i="65" s="1"/>
  <c r="V23" i="65"/>
  <c r="AC23" i="65" s="1"/>
  <c r="U23" i="65"/>
  <c r="AB23" i="65" s="1"/>
  <c r="Q23" i="65"/>
  <c r="AE22" i="65"/>
  <c r="AA22" i="65"/>
  <c r="Z22" i="65"/>
  <c r="Y22" i="65"/>
  <c r="V22" i="65"/>
  <c r="AC22" i="65" s="1"/>
  <c r="U22" i="65"/>
  <c r="AB22" i="65" s="1"/>
  <c r="Q22" i="65"/>
  <c r="AB21" i="65"/>
  <c r="AA21" i="65"/>
  <c r="Z21" i="65"/>
  <c r="Y21" i="65"/>
  <c r="AE21" i="65" s="1"/>
  <c r="V21" i="65"/>
  <c r="AC21" i="65" s="1"/>
  <c r="U21" i="65"/>
  <c r="Q21" i="65"/>
  <c r="X21" i="65" s="1"/>
  <c r="AA20" i="65"/>
  <c r="Z20" i="65"/>
  <c r="Y20" i="65"/>
  <c r="AE20" i="65" s="1"/>
  <c r="V20" i="65"/>
  <c r="AC20" i="65" s="1"/>
  <c r="U20" i="65"/>
  <c r="AB20" i="65" s="1"/>
  <c r="Q20" i="65"/>
  <c r="X20" i="65" s="1"/>
  <c r="AA19" i="65"/>
  <c r="Z19" i="65"/>
  <c r="Y19" i="65"/>
  <c r="AE19" i="65" s="1"/>
  <c r="X19" i="65"/>
  <c r="V19" i="65"/>
  <c r="AC19" i="65" s="1"/>
  <c r="U19" i="65"/>
  <c r="Q19" i="65"/>
  <c r="AB18" i="65"/>
  <c r="AA18" i="65"/>
  <c r="Z18" i="65"/>
  <c r="Y18" i="65"/>
  <c r="AE18" i="65" s="1"/>
  <c r="V18" i="65"/>
  <c r="AC18" i="65" s="1"/>
  <c r="U18" i="65"/>
  <c r="Q18" i="65"/>
  <c r="X18" i="65" s="1"/>
  <c r="AA17" i="65"/>
  <c r="Z17" i="65"/>
  <c r="Y17" i="65"/>
  <c r="AE17" i="65" s="1"/>
  <c r="V17" i="65"/>
  <c r="AC17" i="65" s="1"/>
  <c r="U17" i="65"/>
  <c r="AB17" i="65" s="1"/>
  <c r="Q17" i="65"/>
  <c r="X17" i="65" s="1"/>
  <c r="AC16" i="65"/>
  <c r="AB16" i="65"/>
  <c r="AA16" i="65"/>
  <c r="Z16" i="65"/>
  <c r="Y16" i="65"/>
  <c r="AE16" i="65" s="1"/>
  <c r="V16" i="65"/>
  <c r="U16" i="65"/>
  <c r="Q16" i="65"/>
  <c r="X16" i="65" s="1"/>
  <c r="AE15" i="65"/>
  <c r="AA15" i="65"/>
  <c r="Z15" i="65"/>
  <c r="Y15" i="65"/>
  <c r="V15" i="65"/>
  <c r="AC15" i="65" s="1"/>
  <c r="U15" i="65"/>
  <c r="AB15" i="65" s="1"/>
  <c r="Q15" i="65"/>
  <c r="X15" i="65" s="1"/>
  <c r="AA14" i="65"/>
  <c r="Z14" i="65"/>
  <c r="Y14" i="65"/>
  <c r="AE14" i="65" s="1"/>
  <c r="V14" i="65"/>
  <c r="AC14" i="65" s="1"/>
  <c r="U14" i="65"/>
  <c r="AB14" i="65" s="1"/>
  <c r="Q14" i="65"/>
  <c r="X14" i="65" s="1"/>
  <c r="AA91" i="65" l="1"/>
  <c r="Y91" i="65"/>
  <c r="U79" i="65"/>
  <c r="Z79" i="65"/>
  <c r="Z109" i="65" s="1"/>
  <c r="AE79" i="65"/>
  <c r="AA79" i="65"/>
  <c r="Y79" i="65"/>
  <c r="AE86" i="65"/>
  <c r="AE91" i="65" s="1"/>
  <c r="U91" i="65"/>
  <c r="AA15" i="63"/>
  <c r="AA16" i="63"/>
  <c r="AA17" i="63"/>
  <c r="AA18" i="63"/>
  <c r="AA19" i="63"/>
  <c r="AA20" i="63"/>
  <c r="AA21" i="63"/>
  <c r="AA22" i="63"/>
  <c r="AA23" i="63"/>
  <c r="AA24" i="63"/>
  <c r="AA25" i="63"/>
  <c r="AA26" i="63"/>
  <c r="AA27" i="63"/>
  <c r="AA28" i="63"/>
  <c r="AA29" i="63"/>
  <c r="AA30" i="63"/>
  <c r="AA31" i="63"/>
  <c r="AA32" i="63"/>
  <c r="AA33" i="63"/>
  <c r="AA34" i="63"/>
  <c r="AA35" i="63"/>
  <c r="AA36" i="63"/>
  <c r="AA37" i="63"/>
  <c r="AA38" i="63"/>
  <c r="AA39" i="63"/>
  <c r="AA40" i="63"/>
  <c r="AA42" i="63"/>
  <c r="AA43" i="63"/>
  <c r="AA44" i="63"/>
  <c r="AA45" i="63"/>
  <c r="AA46" i="63"/>
  <c r="AA47" i="63"/>
  <c r="AA48" i="63"/>
  <c r="AA49" i="63"/>
  <c r="AA50" i="63"/>
  <c r="AA51" i="63"/>
  <c r="AA52" i="63"/>
  <c r="AA53" i="63"/>
  <c r="AA54" i="63"/>
  <c r="AA55" i="63"/>
  <c r="AA56" i="63"/>
  <c r="AA57" i="63"/>
  <c r="AA58" i="63"/>
  <c r="AA59" i="63"/>
  <c r="AA60" i="63"/>
  <c r="AA61" i="63"/>
  <c r="AA62" i="63"/>
  <c r="AA63" i="63"/>
  <c r="AA64" i="63"/>
  <c r="AA65" i="63"/>
  <c r="AA66" i="63"/>
  <c r="AA67" i="63"/>
  <c r="AA68" i="63"/>
  <c r="AA69" i="63"/>
  <c r="AA70" i="63"/>
  <c r="AA71" i="63"/>
  <c r="AA72" i="63"/>
  <c r="AA73" i="63"/>
  <c r="AA74" i="63"/>
  <c r="AA75" i="63"/>
  <c r="AA76" i="63"/>
  <c r="AA77" i="63"/>
  <c r="AA78" i="63"/>
  <c r="AA14" i="63"/>
  <c r="Z15" i="63"/>
  <c r="Z16" i="63"/>
  <c r="Z17" i="63"/>
  <c r="Z18" i="63"/>
  <c r="Z19" i="63"/>
  <c r="Z20" i="63"/>
  <c r="Z21" i="63"/>
  <c r="Z22" i="63"/>
  <c r="Z23" i="63"/>
  <c r="Z24" i="63"/>
  <c r="Z25" i="63"/>
  <c r="Z26" i="63"/>
  <c r="Z27" i="63"/>
  <c r="Z28" i="63"/>
  <c r="Z29" i="63"/>
  <c r="Z30" i="63"/>
  <c r="Z31" i="63"/>
  <c r="Z32" i="63"/>
  <c r="Z33" i="63"/>
  <c r="Z34" i="63"/>
  <c r="Z35" i="63"/>
  <c r="Z36" i="63"/>
  <c r="Z37" i="63"/>
  <c r="Z38" i="63"/>
  <c r="Z39" i="63"/>
  <c r="Z40" i="63"/>
  <c r="Z42" i="63"/>
  <c r="Z43" i="63"/>
  <c r="Z44" i="63"/>
  <c r="Z45" i="63"/>
  <c r="Z46" i="63"/>
  <c r="Z47" i="63"/>
  <c r="Z48" i="63"/>
  <c r="Z49" i="63"/>
  <c r="Z50" i="63"/>
  <c r="Z51" i="63"/>
  <c r="Z52" i="63"/>
  <c r="Z53" i="63"/>
  <c r="Z54" i="63"/>
  <c r="Z55" i="63"/>
  <c r="Z56" i="63"/>
  <c r="Z57" i="63"/>
  <c r="Z58" i="63"/>
  <c r="Z59" i="63"/>
  <c r="Z60" i="63"/>
  <c r="Z61" i="63"/>
  <c r="Z62" i="63"/>
  <c r="Z63" i="63"/>
  <c r="Z64" i="63"/>
  <c r="Z65" i="63"/>
  <c r="Z66" i="63"/>
  <c r="Z67" i="63"/>
  <c r="Z68" i="63"/>
  <c r="Z69" i="63"/>
  <c r="Z70" i="63"/>
  <c r="Z71" i="63"/>
  <c r="Z72" i="63"/>
  <c r="Z73" i="63"/>
  <c r="Z74" i="63"/>
  <c r="Z75" i="63"/>
  <c r="Z76" i="63"/>
  <c r="Z77" i="63"/>
  <c r="Z78" i="63"/>
  <c r="Z14" i="63"/>
  <c r="Y15" i="63"/>
  <c r="Y16" i="63"/>
  <c r="Y17" i="63"/>
  <c r="Y18" i="63"/>
  <c r="Y19" i="63"/>
  <c r="Y20" i="63"/>
  <c r="Y21" i="63"/>
  <c r="Y22" i="63"/>
  <c r="Y23" i="63"/>
  <c r="Y24" i="63"/>
  <c r="Y25" i="63"/>
  <c r="Y26" i="63"/>
  <c r="Y27" i="63"/>
  <c r="Y28" i="63"/>
  <c r="Y29" i="63"/>
  <c r="Y30" i="63"/>
  <c r="Y31" i="63"/>
  <c r="Y32" i="63"/>
  <c r="Y33" i="63"/>
  <c r="Y34" i="63"/>
  <c r="Y35" i="63"/>
  <c r="Y36" i="63"/>
  <c r="Y37" i="63"/>
  <c r="Y38" i="63"/>
  <c r="Y39" i="63"/>
  <c r="Y40" i="63"/>
  <c r="Y42" i="63"/>
  <c r="Y43" i="63"/>
  <c r="Y44" i="63"/>
  <c r="Y45" i="63"/>
  <c r="Y46" i="63"/>
  <c r="Y47" i="63"/>
  <c r="Y48" i="63"/>
  <c r="Y49" i="63"/>
  <c r="Y50" i="63"/>
  <c r="Y51" i="63"/>
  <c r="Y52" i="63"/>
  <c r="Y53" i="63"/>
  <c r="Y54" i="63"/>
  <c r="Y55" i="63"/>
  <c r="Y56" i="63"/>
  <c r="Y57" i="63"/>
  <c r="Y58" i="63"/>
  <c r="Y59" i="63"/>
  <c r="Y60" i="63"/>
  <c r="Y61" i="63"/>
  <c r="Y62" i="63"/>
  <c r="Y63" i="63"/>
  <c r="Y64" i="63"/>
  <c r="Y65" i="63"/>
  <c r="Y66" i="63"/>
  <c r="Y67" i="63"/>
  <c r="Y68" i="63"/>
  <c r="Y69" i="63"/>
  <c r="Y70" i="63"/>
  <c r="Y71" i="63"/>
  <c r="Y72" i="63"/>
  <c r="Y73" i="63"/>
  <c r="Y74" i="63"/>
  <c r="Y75" i="63"/>
  <c r="Y76" i="63"/>
  <c r="Y77" i="63"/>
  <c r="Y78" i="63"/>
  <c r="Y14" i="63"/>
  <c r="Y109" i="65" l="1"/>
  <c r="AB79" i="65"/>
  <c r="AB109" i="65" s="1"/>
  <c r="AA109" i="65"/>
  <c r="AE109" i="65"/>
  <c r="K111" i="65" s="1"/>
  <c r="Q63" i="63"/>
  <c r="Q59" i="63" l="1"/>
  <c r="Q55" i="63" l="1"/>
  <c r="Q32" i="63" l="1"/>
  <c r="Q30" i="63"/>
  <c r="Q31" i="63"/>
  <c r="Q23" i="63"/>
  <c r="V60" i="63" l="1"/>
  <c r="U60" i="63"/>
  <c r="AB60" i="63" s="1"/>
  <c r="V57" i="63"/>
  <c r="U52" i="63"/>
  <c r="U51" i="63"/>
  <c r="V33" i="63" l="1"/>
  <c r="U33" i="63"/>
  <c r="AC23" i="63" l="1"/>
  <c r="AE23" i="63"/>
  <c r="AB23" i="63"/>
  <c r="T92" i="64"/>
  <c r="S92" i="64"/>
  <c r="R92" i="64"/>
  <c r="AA89" i="64"/>
  <c r="Z89" i="64"/>
  <c r="Y89" i="64"/>
  <c r="AE89" i="64" s="1"/>
  <c r="V89" i="64"/>
  <c r="AC89" i="64" s="1"/>
  <c r="U89" i="64"/>
  <c r="AB89" i="64" s="1"/>
  <c r="Q89" i="64"/>
  <c r="X89" i="64" s="1"/>
  <c r="AA88" i="64"/>
  <c r="Z88" i="64"/>
  <c r="Y88" i="64"/>
  <c r="AE88" i="64" s="1"/>
  <c r="V88" i="64"/>
  <c r="AC88" i="64" s="1"/>
  <c r="Q88" i="64"/>
  <c r="AA87" i="64"/>
  <c r="Z87" i="64"/>
  <c r="Y87" i="64"/>
  <c r="AE87" i="64" s="1"/>
  <c r="V87" i="64"/>
  <c r="AC87" i="64" s="1"/>
  <c r="Q87" i="64"/>
  <c r="X87" i="64" s="1"/>
  <c r="AA86" i="64"/>
  <c r="Z86" i="64"/>
  <c r="Y86" i="64"/>
  <c r="AE86" i="64" s="1"/>
  <c r="V86" i="64"/>
  <c r="AC86" i="64" s="1"/>
  <c r="U86" i="64"/>
  <c r="AB86" i="64" s="1"/>
  <c r="Q86" i="64"/>
  <c r="X86" i="64" s="1"/>
  <c r="T79" i="64"/>
  <c r="S79" i="64"/>
  <c r="S110" i="64" s="1"/>
  <c r="R79" i="64"/>
  <c r="AC78" i="64"/>
  <c r="AB78" i="64"/>
  <c r="AA78" i="64"/>
  <c r="Z78" i="64"/>
  <c r="Y78" i="64"/>
  <c r="AE78" i="64" s="1"/>
  <c r="Q78" i="64"/>
  <c r="AA77" i="64"/>
  <c r="Z77" i="64"/>
  <c r="Y77" i="64"/>
  <c r="AE77" i="64" s="1"/>
  <c r="V77" i="64"/>
  <c r="AC77" i="64" s="1"/>
  <c r="U77" i="64"/>
  <c r="AB77" i="64" s="1"/>
  <c r="Q77" i="64"/>
  <c r="X77" i="64" s="1"/>
  <c r="AA76" i="64"/>
  <c r="Z76" i="64"/>
  <c r="Y76" i="64"/>
  <c r="AE76" i="64" s="1"/>
  <c r="V76" i="64"/>
  <c r="AC76" i="64" s="1"/>
  <c r="U76" i="64"/>
  <c r="AB76" i="64" s="1"/>
  <c r="Q76" i="64"/>
  <c r="X76" i="64" s="1"/>
  <c r="AA75" i="64"/>
  <c r="Z75" i="64"/>
  <c r="Y75" i="64"/>
  <c r="AE75" i="64" s="1"/>
  <c r="V75" i="64"/>
  <c r="AC75" i="64" s="1"/>
  <c r="U75" i="64"/>
  <c r="AB75" i="64" s="1"/>
  <c r="Q75" i="64"/>
  <c r="X75" i="64" s="1"/>
  <c r="AA74" i="64"/>
  <c r="Z74" i="64"/>
  <c r="Y74" i="64"/>
  <c r="AE74" i="64" s="1"/>
  <c r="V74" i="64"/>
  <c r="AC74" i="64" s="1"/>
  <c r="U74" i="64"/>
  <c r="AB74" i="64" s="1"/>
  <c r="Q74" i="64"/>
  <c r="X74" i="64" s="1"/>
  <c r="AA73" i="64"/>
  <c r="Z73" i="64"/>
  <c r="Y73" i="64"/>
  <c r="AE73" i="64" s="1"/>
  <c r="V73" i="64"/>
  <c r="AC73" i="64" s="1"/>
  <c r="U73" i="64"/>
  <c r="AB73" i="64" s="1"/>
  <c r="Q73" i="64"/>
  <c r="X73" i="64" s="1"/>
  <c r="AA72" i="64"/>
  <c r="Z72" i="64"/>
  <c r="Y72" i="64"/>
  <c r="AE72" i="64" s="1"/>
  <c r="V72" i="64"/>
  <c r="AC72" i="64" s="1"/>
  <c r="U72" i="64"/>
  <c r="AB72" i="64" s="1"/>
  <c r="Q72" i="64"/>
  <c r="X72" i="64" s="1"/>
  <c r="AA71" i="64"/>
  <c r="Z71" i="64"/>
  <c r="Y71" i="64"/>
  <c r="AE71" i="64" s="1"/>
  <c r="V71" i="64"/>
  <c r="AC71" i="64" s="1"/>
  <c r="U71" i="64"/>
  <c r="AB71" i="64" s="1"/>
  <c r="Q71" i="64"/>
  <c r="X71" i="64" s="1"/>
  <c r="AA70" i="64"/>
  <c r="Z70" i="64"/>
  <c r="Y70" i="64"/>
  <c r="AE70" i="64" s="1"/>
  <c r="V70" i="64"/>
  <c r="AC70" i="64" s="1"/>
  <c r="U70" i="64"/>
  <c r="AB70" i="64" s="1"/>
  <c r="Q70" i="64"/>
  <c r="X70" i="64" s="1"/>
  <c r="AA69" i="64"/>
  <c r="Z69" i="64"/>
  <c r="Y69" i="64"/>
  <c r="AE69" i="64" s="1"/>
  <c r="V69" i="64"/>
  <c r="U69" i="64"/>
  <c r="Q69" i="64"/>
  <c r="X69" i="64" s="1"/>
  <c r="AA68" i="64"/>
  <c r="Z68" i="64"/>
  <c r="Y68" i="64"/>
  <c r="AE68" i="64" s="1"/>
  <c r="V68" i="64"/>
  <c r="AC68" i="64" s="1"/>
  <c r="U68" i="64"/>
  <c r="AB68" i="64" s="1"/>
  <c r="Q68" i="64"/>
  <c r="X68" i="64" s="1"/>
  <c r="AA67" i="64"/>
  <c r="Z67" i="64"/>
  <c r="Y67" i="64"/>
  <c r="AE67" i="64" s="1"/>
  <c r="V67" i="64"/>
  <c r="AC67" i="64" s="1"/>
  <c r="U67" i="64"/>
  <c r="AB67" i="64" s="1"/>
  <c r="Q67" i="64"/>
  <c r="X67" i="64" s="1"/>
  <c r="AA66" i="64"/>
  <c r="Z66" i="64"/>
  <c r="Y66" i="64"/>
  <c r="AE66" i="64" s="1"/>
  <c r="V66" i="64"/>
  <c r="AC66" i="64" s="1"/>
  <c r="U66" i="64"/>
  <c r="AB66" i="64" s="1"/>
  <c r="Q66" i="64"/>
  <c r="X66" i="64" s="1"/>
  <c r="AA65" i="64"/>
  <c r="Z65" i="64"/>
  <c r="Y65" i="64"/>
  <c r="AE65" i="64" s="1"/>
  <c r="V65" i="64"/>
  <c r="AC65" i="64" s="1"/>
  <c r="U65" i="64"/>
  <c r="AB65" i="64" s="1"/>
  <c r="Q65" i="64"/>
  <c r="X65" i="64" s="1"/>
  <c r="AA64" i="64"/>
  <c r="Z64" i="64"/>
  <c r="Y64" i="64"/>
  <c r="AE64" i="64" s="1"/>
  <c r="V64" i="64"/>
  <c r="AC64" i="64" s="1"/>
  <c r="U64" i="64"/>
  <c r="AB64" i="64" s="1"/>
  <c r="Q64" i="64"/>
  <c r="X64" i="64" s="1"/>
  <c r="AC63" i="64"/>
  <c r="AA63" i="64"/>
  <c r="Z63" i="64"/>
  <c r="Y63" i="64"/>
  <c r="AE63" i="64" s="1"/>
  <c r="V63" i="64"/>
  <c r="U63" i="64"/>
  <c r="AB63" i="64" s="1"/>
  <c r="Q63" i="64"/>
  <c r="X63" i="64" s="1"/>
  <c r="AA62" i="64"/>
  <c r="Z62" i="64"/>
  <c r="Y62" i="64"/>
  <c r="AE62" i="64" s="1"/>
  <c r="V62" i="64"/>
  <c r="AC62" i="64" s="1"/>
  <c r="U62" i="64"/>
  <c r="AB62" i="64" s="1"/>
  <c r="Q62" i="64"/>
  <c r="X62" i="64" s="1"/>
  <c r="AA61" i="64"/>
  <c r="Z61" i="64"/>
  <c r="Y61" i="64"/>
  <c r="AE61" i="64" s="1"/>
  <c r="V61" i="64"/>
  <c r="AC61" i="64" s="1"/>
  <c r="U61" i="64"/>
  <c r="AB61" i="64" s="1"/>
  <c r="Q61" i="64"/>
  <c r="X61" i="64" s="1"/>
  <c r="AC60" i="64"/>
  <c r="AB60" i="64"/>
  <c r="AA60" i="64"/>
  <c r="Z60" i="64"/>
  <c r="Y60" i="64"/>
  <c r="AE60" i="64" s="1"/>
  <c r="Q60" i="64"/>
  <c r="AA59" i="64"/>
  <c r="Z59" i="64"/>
  <c r="Y59" i="64"/>
  <c r="AE59" i="64" s="1"/>
  <c r="X59" i="64"/>
  <c r="V59" i="64"/>
  <c r="AC59" i="64" s="1"/>
  <c r="U59" i="64"/>
  <c r="AB59" i="64" s="1"/>
  <c r="Q59" i="64"/>
  <c r="AA58" i="64"/>
  <c r="Z58" i="64"/>
  <c r="Y58" i="64"/>
  <c r="AE58" i="64" s="1"/>
  <c r="V58" i="64"/>
  <c r="AC58" i="64" s="1"/>
  <c r="U58" i="64"/>
  <c r="AB58" i="64" s="1"/>
  <c r="Q58" i="64"/>
  <c r="AC57" i="64"/>
  <c r="AA57" i="64"/>
  <c r="Z57" i="64"/>
  <c r="Y57" i="64"/>
  <c r="AE57" i="64" s="1"/>
  <c r="U57" i="64"/>
  <c r="AB57" i="64" s="1"/>
  <c r="Q57" i="64"/>
  <c r="AA56" i="64"/>
  <c r="Z56" i="64"/>
  <c r="Y56" i="64"/>
  <c r="AE56" i="64" s="1"/>
  <c r="V56" i="64"/>
  <c r="AC56" i="64" s="1"/>
  <c r="U56" i="64"/>
  <c r="AB56" i="64" s="1"/>
  <c r="Q56" i="64"/>
  <c r="X56" i="64" s="1"/>
  <c r="AA55" i="64"/>
  <c r="Z55" i="64"/>
  <c r="Y55" i="64"/>
  <c r="AE55" i="64" s="1"/>
  <c r="V55" i="64"/>
  <c r="AC55" i="64" s="1"/>
  <c r="U55" i="64"/>
  <c r="AB55" i="64" s="1"/>
  <c r="Q55" i="64"/>
  <c r="X55" i="64" s="1"/>
  <c r="AA54" i="64"/>
  <c r="Z54" i="64"/>
  <c r="Y54" i="64"/>
  <c r="AE54" i="64" s="1"/>
  <c r="V54" i="64"/>
  <c r="AC54" i="64" s="1"/>
  <c r="U54" i="64"/>
  <c r="AB54" i="64" s="1"/>
  <c r="Q54" i="64"/>
  <c r="X54" i="64" s="1"/>
  <c r="AA53" i="64"/>
  <c r="Z53" i="64"/>
  <c r="Y53" i="64"/>
  <c r="AE53" i="64" s="1"/>
  <c r="V53" i="64"/>
  <c r="AC53" i="64" s="1"/>
  <c r="U53" i="64"/>
  <c r="AB53" i="64" s="1"/>
  <c r="Q53" i="64"/>
  <c r="X53" i="64" s="1"/>
  <c r="AB52" i="64"/>
  <c r="AA52" i="64"/>
  <c r="Z52" i="64"/>
  <c r="Y52" i="64"/>
  <c r="AE52" i="64" s="1"/>
  <c r="V52" i="64"/>
  <c r="AC52" i="64" s="1"/>
  <c r="Q52" i="64"/>
  <c r="X52" i="64" s="1"/>
  <c r="AB51" i="64"/>
  <c r="AA51" i="64"/>
  <c r="Z51" i="64"/>
  <c r="Y51" i="64"/>
  <c r="AE51" i="64" s="1"/>
  <c r="V51" i="64"/>
  <c r="AC51" i="64" s="1"/>
  <c r="Q51" i="64"/>
  <c r="X51" i="64" s="1"/>
  <c r="AA50" i="64"/>
  <c r="Z50" i="64"/>
  <c r="Y50" i="64"/>
  <c r="AE50" i="64" s="1"/>
  <c r="V50" i="64"/>
  <c r="AC50" i="64" s="1"/>
  <c r="U50" i="64"/>
  <c r="AB50" i="64" s="1"/>
  <c r="Q50" i="64"/>
  <c r="X50" i="64" s="1"/>
  <c r="AA49" i="64"/>
  <c r="Z49" i="64"/>
  <c r="Y49" i="64"/>
  <c r="AE49" i="64" s="1"/>
  <c r="V49" i="64"/>
  <c r="AC49" i="64" s="1"/>
  <c r="U49" i="64"/>
  <c r="AB49" i="64" s="1"/>
  <c r="Q49" i="64"/>
  <c r="X49" i="64" s="1"/>
  <c r="AC48" i="64"/>
  <c r="AB48" i="64"/>
  <c r="AA48" i="64"/>
  <c r="Z48" i="64"/>
  <c r="Y48" i="64"/>
  <c r="AE48" i="64" s="1"/>
  <c r="Q48" i="64"/>
  <c r="AA47" i="64"/>
  <c r="Z47" i="64"/>
  <c r="Y47" i="64"/>
  <c r="AE47" i="64" s="1"/>
  <c r="X47" i="64"/>
  <c r="V47" i="64"/>
  <c r="AC47" i="64" s="1"/>
  <c r="U47" i="64"/>
  <c r="AB47" i="64" s="1"/>
  <c r="Q47" i="64"/>
  <c r="AC46" i="64"/>
  <c r="AB46" i="64"/>
  <c r="AA46" i="64"/>
  <c r="Z46" i="64"/>
  <c r="Y46" i="64"/>
  <c r="AE46" i="64" s="1"/>
  <c r="Q46" i="64"/>
  <c r="AB45" i="64"/>
  <c r="AA45" i="64"/>
  <c r="Z45" i="64"/>
  <c r="Y45" i="64"/>
  <c r="AE45" i="64" s="1"/>
  <c r="V45" i="64"/>
  <c r="AC45" i="64" s="1"/>
  <c r="U45" i="64"/>
  <c r="Q45" i="64"/>
  <c r="X45" i="64" s="1"/>
  <c r="AC44" i="64"/>
  <c r="AA44" i="64"/>
  <c r="Z44" i="64"/>
  <c r="Y44" i="64"/>
  <c r="AE44" i="64" s="1"/>
  <c r="V44" i="64"/>
  <c r="U44" i="64"/>
  <c r="AB44" i="64" s="1"/>
  <c r="Q44" i="64"/>
  <c r="X44" i="64" s="1"/>
  <c r="AA43" i="64"/>
  <c r="Z43" i="64"/>
  <c r="Y43" i="64"/>
  <c r="AE43" i="64" s="1"/>
  <c r="X43" i="64"/>
  <c r="V43" i="64"/>
  <c r="AC43" i="64" s="1"/>
  <c r="U43" i="64"/>
  <c r="AB43" i="64" s="1"/>
  <c r="Q43" i="64"/>
  <c r="AC42" i="64"/>
  <c r="AB42" i="64"/>
  <c r="AA42" i="64"/>
  <c r="Z42" i="64"/>
  <c r="Y42" i="64"/>
  <c r="AE42" i="64" s="1"/>
  <c r="AA41" i="64"/>
  <c r="Z41" i="64"/>
  <c r="Y41" i="64"/>
  <c r="AE41" i="64" s="1"/>
  <c r="V41" i="64"/>
  <c r="AC41" i="64" s="1"/>
  <c r="U41" i="64"/>
  <c r="AB41" i="64" s="1"/>
  <c r="Q41" i="64"/>
  <c r="X41" i="64" s="1"/>
  <c r="AA40" i="64"/>
  <c r="Z40" i="64"/>
  <c r="Y40" i="64"/>
  <c r="AE40" i="64" s="1"/>
  <c r="V40" i="64"/>
  <c r="AC40" i="64" s="1"/>
  <c r="U40" i="64"/>
  <c r="AB40" i="64" s="1"/>
  <c r="Q40" i="64"/>
  <c r="X40" i="64" s="1"/>
  <c r="AA39" i="64"/>
  <c r="Z39" i="64"/>
  <c r="Y39" i="64"/>
  <c r="AE38" i="64"/>
  <c r="AA38" i="64"/>
  <c r="Z38" i="64"/>
  <c r="Y38" i="64"/>
  <c r="V38" i="64"/>
  <c r="AC38" i="64" s="1"/>
  <c r="U38" i="64"/>
  <c r="AB38" i="64" s="1"/>
  <c r="Q38" i="64"/>
  <c r="X38" i="64" s="1"/>
  <c r="AA37" i="64"/>
  <c r="Z37" i="64"/>
  <c r="Y37" i="64"/>
  <c r="AE37" i="64" s="1"/>
  <c r="X37" i="64"/>
  <c r="V37" i="64"/>
  <c r="AC37" i="64" s="1"/>
  <c r="U37" i="64"/>
  <c r="AB37" i="64" s="1"/>
  <c r="Q37" i="64"/>
  <c r="AA36" i="64"/>
  <c r="Z36" i="64"/>
  <c r="Y36" i="64"/>
  <c r="AE36" i="64" s="1"/>
  <c r="V36" i="64"/>
  <c r="AC36" i="64" s="1"/>
  <c r="U36" i="64"/>
  <c r="AB36" i="64" s="1"/>
  <c r="Q36" i="64"/>
  <c r="X36" i="64" s="1"/>
  <c r="AC35" i="64"/>
  <c r="AA35" i="64"/>
  <c r="Z35" i="64"/>
  <c r="Y35" i="64"/>
  <c r="AE35" i="64" s="1"/>
  <c r="V35" i="64"/>
  <c r="U35" i="64"/>
  <c r="AB35" i="64" s="1"/>
  <c r="Q35" i="64"/>
  <c r="X35" i="64" s="1"/>
  <c r="AA34" i="64"/>
  <c r="Z34" i="64"/>
  <c r="Y34" i="64"/>
  <c r="AE34" i="64" s="1"/>
  <c r="V34" i="64"/>
  <c r="U34" i="64"/>
  <c r="Q34" i="64"/>
  <c r="X34" i="64" s="1"/>
  <c r="AA33" i="64"/>
  <c r="Z33" i="64"/>
  <c r="Y33" i="64"/>
  <c r="AE33" i="64" s="1"/>
  <c r="V33" i="64"/>
  <c r="U33" i="64"/>
  <c r="AB33" i="64" s="1"/>
  <c r="Q33" i="64"/>
  <c r="AC32" i="64"/>
  <c r="AB32" i="64"/>
  <c r="AA32" i="64"/>
  <c r="Z32" i="64"/>
  <c r="Y32" i="64"/>
  <c r="AE32" i="64" s="1"/>
  <c r="Q32" i="64"/>
  <c r="AA31" i="64"/>
  <c r="Z31" i="64"/>
  <c r="Y31" i="64"/>
  <c r="AE31" i="64" s="1"/>
  <c r="V31" i="64"/>
  <c r="AC31" i="64" s="1"/>
  <c r="U31" i="64"/>
  <c r="AB31" i="64" s="1"/>
  <c r="Q31" i="64"/>
  <c r="X31" i="64" s="1"/>
  <c r="AA30" i="64"/>
  <c r="Z30" i="64"/>
  <c r="Y30" i="64"/>
  <c r="AE30" i="64" s="1"/>
  <c r="X30" i="64"/>
  <c r="V30" i="64"/>
  <c r="AC30" i="64" s="1"/>
  <c r="U30" i="64"/>
  <c r="Q30" i="64"/>
  <c r="AA29" i="64"/>
  <c r="Z29" i="64"/>
  <c r="Y29" i="64"/>
  <c r="AE29" i="64" s="1"/>
  <c r="V29" i="64"/>
  <c r="AC29" i="64" s="1"/>
  <c r="U29" i="64"/>
  <c r="AB29" i="64" s="1"/>
  <c r="Q29" i="64"/>
  <c r="X29" i="64" s="1"/>
  <c r="AA28" i="64"/>
  <c r="Z28" i="64"/>
  <c r="Y28" i="64"/>
  <c r="AE28" i="64" s="1"/>
  <c r="V28" i="64"/>
  <c r="AC28" i="64" s="1"/>
  <c r="U28" i="64"/>
  <c r="AB28" i="64" s="1"/>
  <c r="Q28" i="64"/>
  <c r="X28" i="64" s="1"/>
  <c r="AA27" i="64"/>
  <c r="Z27" i="64"/>
  <c r="Y27" i="64"/>
  <c r="AE27" i="64" s="1"/>
  <c r="V27" i="64"/>
  <c r="AC27" i="64" s="1"/>
  <c r="U27" i="64"/>
  <c r="AB27" i="64" s="1"/>
  <c r="Q27" i="64"/>
  <c r="X27" i="64" s="1"/>
  <c r="AA26" i="64"/>
  <c r="Z26" i="64"/>
  <c r="Y26" i="64"/>
  <c r="AE26" i="64" s="1"/>
  <c r="V26" i="64"/>
  <c r="AC26" i="64" s="1"/>
  <c r="U26" i="64"/>
  <c r="AB26" i="64" s="1"/>
  <c r="Q26" i="64"/>
  <c r="X26" i="64" s="1"/>
  <c r="AA25" i="64"/>
  <c r="Z25" i="64"/>
  <c r="Y25" i="64"/>
  <c r="AE25" i="64" s="1"/>
  <c r="V25" i="64"/>
  <c r="AC25" i="64" s="1"/>
  <c r="U25" i="64"/>
  <c r="AB25" i="64" s="1"/>
  <c r="Q25" i="64"/>
  <c r="X25" i="64" s="1"/>
  <c r="AE24" i="64"/>
  <c r="AA24" i="64"/>
  <c r="Z24" i="64"/>
  <c r="Y24" i="64"/>
  <c r="X24" i="64"/>
  <c r="V24" i="64"/>
  <c r="AC24" i="64" s="1"/>
  <c r="U24" i="64"/>
  <c r="AB24" i="64" s="1"/>
  <c r="Q24" i="64"/>
  <c r="AA23" i="64"/>
  <c r="Z23" i="64"/>
  <c r="Y23" i="64"/>
  <c r="AE23" i="64" s="1"/>
  <c r="V23" i="64"/>
  <c r="AC23" i="64" s="1"/>
  <c r="U23" i="64"/>
  <c r="AB23" i="64" s="1"/>
  <c r="Q23" i="64"/>
  <c r="X23" i="64" s="1"/>
  <c r="AE22" i="64"/>
  <c r="AA22" i="64"/>
  <c r="Z22" i="64"/>
  <c r="Y22" i="64"/>
  <c r="V22" i="64"/>
  <c r="AC22" i="64" s="1"/>
  <c r="U22" i="64"/>
  <c r="AB22" i="64" s="1"/>
  <c r="Q22" i="64"/>
  <c r="AA21" i="64"/>
  <c r="Z21" i="64"/>
  <c r="Y21" i="64"/>
  <c r="AE21" i="64" s="1"/>
  <c r="V21" i="64"/>
  <c r="AC21" i="64" s="1"/>
  <c r="U21" i="64"/>
  <c r="AB21" i="64" s="1"/>
  <c r="Q21" i="64"/>
  <c r="X21" i="64" s="1"/>
  <c r="AA20" i="64"/>
  <c r="Z20" i="64"/>
  <c r="Y20" i="64"/>
  <c r="AE20" i="64" s="1"/>
  <c r="V20" i="64"/>
  <c r="AC20" i="64" s="1"/>
  <c r="U20" i="64"/>
  <c r="AB20" i="64" s="1"/>
  <c r="Q20" i="64"/>
  <c r="X20" i="64" s="1"/>
  <c r="AA19" i="64"/>
  <c r="Z19" i="64"/>
  <c r="Y19" i="64"/>
  <c r="AE19" i="64" s="1"/>
  <c r="V19" i="64"/>
  <c r="AC19" i="64" s="1"/>
  <c r="U19" i="64"/>
  <c r="Q19" i="64"/>
  <c r="X19" i="64" s="1"/>
  <c r="AA18" i="64"/>
  <c r="Z18" i="64"/>
  <c r="Y18" i="64"/>
  <c r="AE18" i="64" s="1"/>
  <c r="V18" i="64"/>
  <c r="AC18" i="64" s="1"/>
  <c r="U18" i="64"/>
  <c r="AB18" i="64" s="1"/>
  <c r="Q18" i="64"/>
  <c r="X18" i="64" s="1"/>
  <c r="AA17" i="64"/>
  <c r="Z17" i="64"/>
  <c r="Y17" i="64"/>
  <c r="AE17" i="64" s="1"/>
  <c r="V17" i="64"/>
  <c r="AC17" i="64" s="1"/>
  <c r="U17" i="64"/>
  <c r="AB17" i="64" s="1"/>
  <c r="Q17" i="64"/>
  <c r="X17" i="64" s="1"/>
  <c r="AA16" i="64"/>
  <c r="Z16" i="64"/>
  <c r="Y16" i="64"/>
  <c r="AE16" i="64" s="1"/>
  <c r="X16" i="64"/>
  <c r="V16" i="64"/>
  <c r="AC16" i="64" s="1"/>
  <c r="U16" i="64"/>
  <c r="AB16" i="64" s="1"/>
  <c r="Q16" i="64"/>
  <c r="AA15" i="64"/>
  <c r="Z15" i="64"/>
  <c r="Y15" i="64"/>
  <c r="AE15" i="64" s="1"/>
  <c r="V15" i="64"/>
  <c r="AC15" i="64" s="1"/>
  <c r="U15" i="64"/>
  <c r="AB15" i="64" s="1"/>
  <c r="Q15" i="64"/>
  <c r="X15" i="64" s="1"/>
  <c r="AA14" i="64"/>
  <c r="Z14" i="64"/>
  <c r="Y14" i="64"/>
  <c r="X14" i="64"/>
  <c r="V14" i="64"/>
  <c r="AC14" i="64" s="1"/>
  <c r="U14" i="64"/>
  <c r="AB14" i="64" s="1"/>
  <c r="Q14" i="64"/>
  <c r="AA79" i="64" l="1"/>
  <c r="R110" i="64"/>
  <c r="Y79" i="64"/>
  <c r="Y110" i="64" s="1"/>
  <c r="Z79" i="64"/>
  <c r="Z110" i="64" s="1"/>
  <c r="AE92" i="64"/>
  <c r="Y92" i="64"/>
  <c r="T110" i="64"/>
  <c r="AA92" i="64"/>
  <c r="AA110" i="64" s="1"/>
  <c r="U79" i="64"/>
  <c r="Z92" i="64"/>
  <c r="AE14" i="64"/>
  <c r="AE79" i="64" s="1"/>
  <c r="AE110" i="64" s="1"/>
  <c r="K112" i="64" s="1"/>
  <c r="U92" i="64"/>
  <c r="U110" i="64" l="1"/>
  <c r="AB79" i="64"/>
  <c r="AB110" i="64" s="1"/>
  <c r="Q74" i="61"/>
  <c r="Q73" i="61"/>
  <c r="Q68" i="61"/>
  <c r="Q30" i="61"/>
  <c r="Q73" i="62"/>
  <c r="X73" i="62" s="1"/>
  <c r="Q68" i="62"/>
  <c r="X68" i="62" s="1"/>
  <c r="Q51" i="62"/>
  <c r="X51" i="62" s="1"/>
  <c r="Q14" i="63"/>
  <c r="X14" i="63" s="1"/>
  <c r="Q17" i="63" l="1"/>
  <c r="X17" i="63" s="1"/>
  <c r="Q58" i="63" l="1"/>
  <c r="X58" i="63" s="1"/>
  <c r="Q52" i="63"/>
  <c r="X52" i="63" s="1"/>
  <c r="Q34" i="63" l="1"/>
  <c r="Q33" i="63" l="1"/>
  <c r="X33" i="63" s="1"/>
  <c r="X31" i="63"/>
  <c r="X32" i="63"/>
  <c r="X75" i="63"/>
  <c r="Q74" i="63"/>
  <c r="X74" i="63" s="1"/>
  <c r="Q73" i="63"/>
  <c r="X73" i="63" s="1"/>
  <c r="Q69" i="63"/>
  <c r="X69" i="63" s="1"/>
  <c r="AA88" i="63" l="1"/>
  <c r="AA89" i="63"/>
  <c r="AA90" i="63"/>
  <c r="AA87" i="63"/>
  <c r="Z88" i="63"/>
  <c r="Z89" i="63"/>
  <c r="Z90" i="63"/>
  <c r="Z87" i="63"/>
  <c r="Y88" i="63"/>
  <c r="Y89" i="63"/>
  <c r="Y90" i="63"/>
  <c r="Y87" i="63"/>
  <c r="T93" i="63" l="1"/>
  <c r="S93" i="63"/>
  <c r="R93" i="63"/>
  <c r="AE90" i="63"/>
  <c r="V90" i="63"/>
  <c r="AC90" i="63" s="1"/>
  <c r="U90" i="63"/>
  <c r="AB90" i="63" s="1"/>
  <c r="Q90" i="63"/>
  <c r="X90" i="63" s="1"/>
  <c r="AE89" i="63"/>
  <c r="V89" i="63"/>
  <c r="AC89" i="63" s="1"/>
  <c r="Q89" i="63"/>
  <c r="X89" i="63" s="1"/>
  <c r="AE88" i="63"/>
  <c r="V88" i="63"/>
  <c r="AC88" i="63" s="1"/>
  <c r="Q88" i="63"/>
  <c r="X88" i="63" s="1"/>
  <c r="AE87" i="63"/>
  <c r="V87" i="63"/>
  <c r="AC87" i="63" s="1"/>
  <c r="U87" i="63"/>
  <c r="Q87" i="63"/>
  <c r="X87" i="63" s="1"/>
  <c r="T79" i="63"/>
  <c r="S79" i="63"/>
  <c r="R79" i="63"/>
  <c r="AC78" i="63"/>
  <c r="AB78" i="63"/>
  <c r="AE78" i="63"/>
  <c r="AE77" i="63"/>
  <c r="V77" i="63"/>
  <c r="AC77" i="63" s="1"/>
  <c r="U77" i="63"/>
  <c r="AB77" i="63" s="1"/>
  <c r="Q77" i="63"/>
  <c r="X77" i="63" s="1"/>
  <c r="AE76" i="63"/>
  <c r="V76" i="63"/>
  <c r="AC76" i="63" s="1"/>
  <c r="U76" i="63"/>
  <c r="AB76" i="63" s="1"/>
  <c r="Q76" i="63"/>
  <c r="X76" i="63" s="1"/>
  <c r="AE75" i="63"/>
  <c r="V75" i="63"/>
  <c r="AC75" i="63" s="1"/>
  <c r="U75" i="63"/>
  <c r="AB75" i="63" s="1"/>
  <c r="AE74" i="63"/>
  <c r="V74" i="63"/>
  <c r="AC74" i="63" s="1"/>
  <c r="U74" i="63"/>
  <c r="AB74" i="63" s="1"/>
  <c r="AE73" i="63"/>
  <c r="V73" i="63"/>
  <c r="AC73" i="63" s="1"/>
  <c r="U73" i="63"/>
  <c r="AB73" i="63" s="1"/>
  <c r="AE72" i="63"/>
  <c r="V72" i="63"/>
  <c r="AC72" i="63" s="1"/>
  <c r="U72" i="63"/>
  <c r="AB72" i="63" s="1"/>
  <c r="Q72" i="63"/>
  <c r="X72" i="63" s="1"/>
  <c r="AE71" i="63"/>
  <c r="V71" i="63"/>
  <c r="AC71" i="63" s="1"/>
  <c r="U71" i="63"/>
  <c r="AB71" i="63" s="1"/>
  <c r="Q71" i="63"/>
  <c r="X71" i="63" s="1"/>
  <c r="AE70" i="63"/>
  <c r="V70" i="63"/>
  <c r="AC70" i="63" s="1"/>
  <c r="U70" i="63"/>
  <c r="AB70" i="63" s="1"/>
  <c r="Q70" i="63"/>
  <c r="X70" i="63" s="1"/>
  <c r="AE69" i="63"/>
  <c r="V69" i="63"/>
  <c r="U69" i="63"/>
  <c r="AE68" i="63"/>
  <c r="V68" i="63"/>
  <c r="AC68" i="63" s="1"/>
  <c r="U68" i="63"/>
  <c r="AB68" i="63" s="1"/>
  <c r="Q68" i="63"/>
  <c r="X68" i="63" s="1"/>
  <c r="AE67" i="63"/>
  <c r="V67" i="63"/>
  <c r="AC67" i="63" s="1"/>
  <c r="U67" i="63"/>
  <c r="AB67" i="63" s="1"/>
  <c r="Q67" i="63"/>
  <c r="X67" i="63" s="1"/>
  <c r="AE66" i="63"/>
  <c r="V66" i="63"/>
  <c r="AC66" i="63" s="1"/>
  <c r="U66" i="63"/>
  <c r="AB66" i="63" s="1"/>
  <c r="Q66" i="63"/>
  <c r="X66" i="63" s="1"/>
  <c r="AE65" i="63"/>
  <c r="V65" i="63"/>
  <c r="AC65" i="63" s="1"/>
  <c r="U65" i="63"/>
  <c r="AB65" i="63" s="1"/>
  <c r="Q65" i="63"/>
  <c r="X65" i="63" s="1"/>
  <c r="AE64" i="63"/>
  <c r="V64" i="63"/>
  <c r="AC64" i="63" s="1"/>
  <c r="U64" i="63"/>
  <c r="AB64" i="63" s="1"/>
  <c r="Q64" i="63"/>
  <c r="X64" i="63" s="1"/>
  <c r="AE63" i="63"/>
  <c r="V63" i="63"/>
  <c r="AC63" i="63" s="1"/>
  <c r="U63" i="63"/>
  <c r="AB63" i="63" s="1"/>
  <c r="X63" i="63"/>
  <c r="AE62" i="63"/>
  <c r="V62" i="63"/>
  <c r="AC62" i="63" s="1"/>
  <c r="U62" i="63"/>
  <c r="AB62" i="63" s="1"/>
  <c r="Q62" i="63"/>
  <c r="X62" i="63" s="1"/>
  <c r="AE61" i="63"/>
  <c r="V61" i="63"/>
  <c r="AC61" i="63" s="1"/>
  <c r="U61" i="63"/>
  <c r="AB61" i="63" s="1"/>
  <c r="Q61" i="63"/>
  <c r="X61" i="63" s="1"/>
  <c r="AC60" i="63"/>
  <c r="AE60" i="63"/>
  <c r="Q60" i="63"/>
  <c r="X60" i="63" s="1"/>
  <c r="AE59" i="63"/>
  <c r="V59" i="63"/>
  <c r="AC59" i="63" s="1"/>
  <c r="U59" i="63"/>
  <c r="AB59" i="63" s="1"/>
  <c r="X59" i="63"/>
  <c r="AE58" i="63"/>
  <c r="V58" i="63"/>
  <c r="AC58" i="63" s="1"/>
  <c r="U58" i="63"/>
  <c r="AB58" i="63" s="1"/>
  <c r="AC57" i="63"/>
  <c r="AE57" i="63"/>
  <c r="U57" i="63"/>
  <c r="AB57" i="63" s="1"/>
  <c r="X57" i="63"/>
  <c r="AE56" i="63"/>
  <c r="V56" i="63"/>
  <c r="AC56" i="63" s="1"/>
  <c r="U56" i="63"/>
  <c r="AB56" i="63" s="1"/>
  <c r="Q56" i="63"/>
  <c r="X56" i="63" s="1"/>
  <c r="AE55" i="63"/>
  <c r="V55" i="63"/>
  <c r="AC55" i="63" s="1"/>
  <c r="U55" i="63"/>
  <c r="AB55" i="63" s="1"/>
  <c r="X55" i="63"/>
  <c r="AE54" i="63"/>
  <c r="V54" i="63"/>
  <c r="AC54" i="63" s="1"/>
  <c r="U54" i="63"/>
  <c r="AB54" i="63" s="1"/>
  <c r="Q54" i="63"/>
  <c r="X54" i="63" s="1"/>
  <c r="AE53" i="63"/>
  <c r="V53" i="63"/>
  <c r="AC53" i="63" s="1"/>
  <c r="U53" i="63"/>
  <c r="AB53" i="63" s="1"/>
  <c r="Q53" i="63"/>
  <c r="X53" i="63" s="1"/>
  <c r="AB52" i="63"/>
  <c r="AE52" i="63"/>
  <c r="V52" i="63"/>
  <c r="AC52" i="63" s="1"/>
  <c r="AB51" i="63"/>
  <c r="AE51" i="63"/>
  <c r="V51" i="63"/>
  <c r="AC51" i="63" s="1"/>
  <c r="Q51" i="63"/>
  <c r="X51" i="63" s="1"/>
  <c r="AE50" i="63"/>
  <c r="V50" i="63"/>
  <c r="AC50" i="63" s="1"/>
  <c r="U50" i="63"/>
  <c r="AB50" i="63" s="1"/>
  <c r="Q50" i="63"/>
  <c r="X50" i="63" s="1"/>
  <c r="AE49" i="63"/>
  <c r="AC49" i="63"/>
  <c r="AB49" i="63"/>
  <c r="Q49" i="63"/>
  <c r="AC48" i="63"/>
  <c r="AB48" i="63"/>
  <c r="AE48" i="63"/>
  <c r="X48" i="63"/>
  <c r="AE47" i="63"/>
  <c r="V47" i="63"/>
  <c r="AC47" i="63" s="1"/>
  <c r="U47" i="63"/>
  <c r="AB47" i="63" s="1"/>
  <c r="Q47" i="63"/>
  <c r="X47" i="63" s="1"/>
  <c r="AC46" i="63"/>
  <c r="AB46" i="63"/>
  <c r="AE46" i="63"/>
  <c r="Q46" i="63"/>
  <c r="AE45" i="63"/>
  <c r="V45" i="63"/>
  <c r="AC45" i="63" s="1"/>
  <c r="U45" i="63"/>
  <c r="AB45" i="63" s="1"/>
  <c r="Q45" i="63"/>
  <c r="X45" i="63" s="1"/>
  <c r="AE44" i="63"/>
  <c r="V44" i="63"/>
  <c r="AC44" i="63" s="1"/>
  <c r="U44" i="63"/>
  <c r="AB44" i="63" s="1"/>
  <c r="Q44" i="63"/>
  <c r="X44" i="63" s="1"/>
  <c r="AE43" i="63"/>
  <c r="V43" i="63"/>
  <c r="AC43" i="63" s="1"/>
  <c r="U43" i="63"/>
  <c r="AB43" i="63" s="1"/>
  <c r="Q43" i="63"/>
  <c r="X43" i="63" s="1"/>
  <c r="AC42" i="63"/>
  <c r="AB42" i="63"/>
  <c r="AE42" i="63"/>
  <c r="AE41" i="63"/>
  <c r="Q41" i="63"/>
  <c r="AE40" i="63"/>
  <c r="V40" i="63"/>
  <c r="AC40" i="63" s="1"/>
  <c r="U40" i="63"/>
  <c r="AB40" i="63" s="1"/>
  <c r="Q40" i="63"/>
  <c r="X40" i="63" s="1"/>
  <c r="AE39" i="63"/>
  <c r="V39" i="63"/>
  <c r="AC39" i="63" s="1"/>
  <c r="U39" i="63"/>
  <c r="AB39" i="63" s="1"/>
  <c r="Q39" i="63"/>
  <c r="X39" i="63" s="1"/>
  <c r="AE38" i="63"/>
  <c r="V38" i="63"/>
  <c r="AC38" i="63" s="1"/>
  <c r="U38" i="63"/>
  <c r="AB38" i="63" s="1"/>
  <c r="Q38" i="63"/>
  <c r="X38" i="63" s="1"/>
  <c r="AE37" i="63"/>
  <c r="V37" i="63"/>
  <c r="AC37" i="63" s="1"/>
  <c r="U37" i="63"/>
  <c r="AB37" i="63" s="1"/>
  <c r="X37" i="63"/>
  <c r="AE36" i="63"/>
  <c r="V36" i="63"/>
  <c r="AC36" i="63" s="1"/>
  <c r="U36" i="63"/>
  <c r="AB36" i="63" s="1"/>
  <c r="Q36" i="63"/>
  <c r="X36" i="63" s="1"/>
  <c r="AE35" i="63"/>
  <c r="V35" i="63"/>
  <c r="AC35" i="63" s="1"/>
  <c r="U35" i="63"/>
  <c r="Q35" i="63"/>
  <c r="X35" i="63" s="1"/>
  <c r="AE34" i="63"/>
  <c r="U34" i="63"/>
  <c r="AB34" i="63" s="1"/>
  <c r="AC33" i="63"/>
  <c r="AB33" i="63"/>
  <c r="AE33" i="63"/>
  <c r="AE32" i="63"/>
  <c r="V32" i="63"/>
  <c r="AC32" i="63" s="1"/>
  <c r="U32" i="63"/>
  <c r="AB32" i="63" s="1"/>
  <c r="AE31" i="63"/>
  <c r="V31" i="63"/>
  <c r="AC31" i="63" s="1"/>
  <c r="U31" i="63"/>
  <c r="AE30" i="63"/>
  <c r="V30" i="63"/>
  <c r="AC30" i="63" s="1"/>
  <c r="U30" i="63"/>
  <c r="AB30" i="63" s="1"/>
  <c r="X30" i="63"/>
  <c r="AE29" i="63"/>
  <c r="V29" i="63"/>
  <c r="AC29" i="63" s="1"/>
  <c r="U29" i="63"/>
  <c r="AB29" i="63" s="1"/>
  <c r="Q29" i="63"/>
  <c r="X29" i="63" s="1"/>
  <c r="AE28" i="63"/>
  <c r="V28" i="63"/>
  <c r="AC28" i="63" s="1"/>
  <c r="U28" i="63"/>
  <c r="AB28" i="63" s="1"/>
  <c r="X28" i="63"/>
  <c r="AE27" i="63"/>
  <c r="V27" i="63"/>
  <c r="AC27" i="63" s="1"/>
  <c r="U27" i="63"/>
  <c r="AB27" i="63" s="1"/>
  <c r="Q27" i="63"/>
  <c r="X27" i="63" s="1"/>
  <c r="AE26" i="63"/>
  <c r="V26" i="63"/>
  <c r="AC26" i="63" s="1"/>
  <c r="U26" i="63"/>
  <c r="AB26" i="63" s="1"/>
  <c r="Q26" i="63"/>
  <c r="X26" i="63" s="1"/>
  <c r="AE25" i="63"/>
  <c r="V25" i="63"/>
  <c r="AC25" i="63" s="1"/>
  <c r="U25" i="63"/>
  <c r="AB25" i="63" s="1"/>
  <c r="Q25" i="63"/>
  <c r="X25" i="63" s="1"/>
  <c r="AE24" i="63"/>
  <c r="V24" i="63"/>
  <c r="AC24" i="63" s="1"/>
  <c r="U24" i="63"/>
  <c r="AB24" i="63" s="1"/>
  <c r="Q24" i="63"/>
  <c r="X24" i="63" s="1"/>
  <c r="AE22" i="63"/>
  <c r="V22" i="63"/>
  <c r="AC22" i="63" s="1"/>
  <c r="U22" i="63"/>
  <c r="AB22" i="63" s="1"/>
  <c r="Q22" i="63"/>
  <c r="X22" i="63" s="1"/>
  <c r="AE21" i="63"/>
  <c r="V21" i="63"/>
  <c r="AC21" i="63" s="1"/>
  <c r="U21" i="63"/>
  <c r="AB21" i="63" s="1"/>
  <c r="Q21" i="63"/>
  <c r="X21" i="63" s="1"/>
  <c r="AE20" i="63"/>
  <c r="V20" i="63"/>
  <c r="AC20" i="63" s="1"/>
  <c r="U20" i="63"/>
  <c r="AB20" i="63" s="1"/>
  <c r="Q20" i="63"/>
  <c r="X20" i="63" s="1"/>
  <c r="AE19" i="63"/>
  <c r="V19" i="63"/>
  <c r="AC19" i="63" s="1"/>
  <c r="U19" i="63"/>
  <c r="Q19" i="63"/>
  <c r="X19" i="63" s="1"/>
  <c r="AE18" i="63"/>
  <c r="V18" i="63"/>
  <c r="AC18" i="63" s="1"/>
  <c r="U18" i="63"/>
  <c r="AB18" i="63" s="1"/>
  <c r="Q18" i="63"/>
  <c r="X18" i="63" s="1"/>
  <c r="AE17" i="63"/>
  <c r="V17" i="63"/>
  <c r="AC17" i="63" s="1"/>
  <c r="U17" i="63"/>
  <c r="AB17" i="63" s="1"/>
  <c r="AE16" i="63"/>
  <c r="V16" i="63"/>
  <c r="AC16" i="63" s="1"/>
  <c r="U16" i="63"/>
  <c r="AB16" i="63" s="1"/>
  <c r="Q16" i="63"/>
  <c r="X16" i="63" s="1"/>
  <c r="AE15" i="63"/>
  <c r="V15" i="63"/>
  <c r="AC15" i="63" s="1"/>
  <c r="U15" i="63"/>
  <c r="AB15" i="63" s="1"/>
  <c r="Q15" i="63"/>
  <c r="X15" i="63" s="1"/>
  <c r="AE14" i="63"/>
  <c r="AC14" i="63"/>
  <c r="U14" i="63"/>
  <c r="AB14" i="63" s="1"/>
  <c r="S112" i="63" l="1"/>
  <c r="T112" i="63"/>
  <c r="U93" i="63"/>
  <c r="R112" i="63"/>
  <c r="Z93" i="63"/>
  <c r="AA93" i="63"/>
  <c r="AB87" i="63"/>
  <c r="AE93" i="63"/>
  <c r="AE79" i="63"/>
  <c r="Z79" i="63"/>
  <c r="AA79" i="63"/>
  <c r="U79" i="63"/>
  <c r="Y79" i="63"/>
  <c r="Y93" i="63"/>
  <c r="T88" i="62"/>
  <c r="S88" i="62"/>
  <c r="R88" i="62"/>
  <c r="AB87" i="62"/>
  <c r="AA87" i="62"/>
  <c r="Y87" i="62"/>
  <c r="AE87" i="62" s="1"/>
  <c r="V87" i="62"/>
  <c r="Q87" i="62"/>
  <c r="AC86" i="62"/>
  <c r="AB86" i="62"/>
  <c r="AA86" i="62"/>
  <c r="Z86" i="62"/>
  <c r="Y86" i="62"/>
  <c r="AE86" i="62" s="1"/>
  <c r="AE85" i="62"/>
  <c r="AC85" i="62"/>
  <c r="AB85" i="62"/>
  <c r="AA85" i="62"/>
  <c r="Z85" i="62"/>
  <c r="Y85" i="62"/>
  <c r="AA84" i="62"/>
  <c r="Z84" i="62"/>
  <c r="Y84" i="62"/>
  <c r="AE84" i="62" s="1"/>
  <c r="V84" i="62"/>
  <c r="AC84" i="62" s="1"/>
  <c r="U84" i="62"/>
  <c r="AB84" i="62" s="1"/>
  <c r="Q84" i="62"/>
  <c r="X84" i="62" s="1"/>
  <c r="AE83" i="62"/>
  <c r="AA83" i="62"/>
  <c r="V83" i="62"/>
  <c r="AC83" i="62" s="1"/>
  <c r="Q83" i="62"/>
  <c r="AA82" i="62"/>
  <c r="Z82" i="62"/>
  <c r="Y82" i="62"/>
  <c r="AE82" i="62" s="1"/>
  <c r="V82" i="62"/>
  <c r="AC82" i="62" s="1"/>
  <c r="Q82" i="62"/>
  <c r="X82" i="62" s="1"/>
  <c r="AA81" i="62"/>
  <c r="Z81" i="62"/>
  <c r="Y81" i="62"/>
  <c r="AE81" i="62" s="1"/>
  <c r="V81" i="62"/>
  <c r="AC81" i="62" s="1"/>
  <c r="U81" i="62"/>
  <c r="AB81" i="62" s="1"/>
  <c r="Q81" i="62"/>
  <c r="X81" i="62" s="1"/>
  <c r="T78" i="62"/>
  <c r="S78" i="62"/>
  <c r="R78" i="62"/>
  <c r="AC77" i="62"/>
  <c r="AB77" i="62"/>
  <c r="AA77" i="62"/>
  <c r="Z77" i="62"/>
  <c r="Y77" i="62"/>
  <c r="AE77" i="62" s="1"/>
  <c r="Q77" i="62"/>
  <c r="AA76" i="62"/>
  <c r="Z76" i="62"/>
  <c r="Y76" i="62"/>
  <c r="AE76" i="62" s="1"/>
  <c r="V76" i="62"/>
  <c r="AC76" i="62" s="1"/>
  <c r="U76" i="62"/>
  <c r="AB76" i="62" s="1"/>
  <c r="Q76" i="62"/>
  <c r="X76" i="62" s="1"/>
  <c r="AA75" i="62"/>
  <c r="Z75" i="62"/>
  <c r="Y75" i="62"/>
  <c r="AE75" i="62" s="1"/>
  <c r="V75" i="62"/>
  <c r="AC75" i="62" s="1"/>
  <c r="U75" i="62"/>
  <c r="AB75" i="62" s="1"/>
  <c r="Q75" i="62"/>
  <c r="X75" i="62" s="1"/>
  <c r="AC74" i="62"/>
  <c r="AB74" i="62"/>
  <c r="AA74" i="62"/>
  <c r="Z74" i="62"/>
  <c r="Y74" i="62"/>
  <c r="AE74" i="62" s="1"/>
  <c r="AA73" i="62"/>
  <c r="Z73" i="62"/>
  <c r="Y73" i="62"/>
  <c r="AE73" i="62" s="1"/>
  <c r="V73" i="62"/>
  <c r="AC73" i="62" s="1"/>
  <c r="U73" i="62"/>
  <c r="AB73" i="62" s="1"/>
  <c r="AA72" i="62"/>
  <c r="Z72" i="62"/>
  <c r="Y72" i="62"/>
  <c r="AE72" i="62" s="1"/>
  <c r="X72" i="62"/>
  <c r="V72" i="62"/>
  <c r="AC72" i="62" s="1"/>
  <c r="U72" i="62"/>
  <c r="AB72" i="62" s="1"/>
  <c r="Q72" i="62"/>
  <c r="AA71" i="62"/>
  <c r="Z71" i="62"/>
  <c r="Y71" i="62"/>
  <c r="AE71" i="62" s="1"/>
  <c r="V71" i="62"/>
  <c r="AC71" i="62" s="1"/>
  <c r="U71" i="62"/>
  <c r="AB71" i="62" s="1"/>
  <c r="Q71" i="62"/>
  <c r="X71" i="62" s="1"/>
  <c r="AA70" i="62"/>
  <c r="Z70" i="62"/>
  <c r="Y70" i="62"/>
  <c r="AE70" i="62" s="1"/>
  <c r="V70" i="62"/>
  <c r="AC70" i="62" s="1"/>
  <c r="U70" i="62"/>
  <c r="AB70" i="62" s="1"/>
  <c r="Q70" i="62"/>
  <c r="X70" i="62" s="1"/>
  <c r="AA69" i="62"/>
  <c r="Z69" i="62"/>
  <c r="Y69" i="62"/>
  <c r="AE69" i="62" s="1"/>
  <c r="V69" i="62"/>
  <c r="AC69" i="62" s="1"/>
  <c r="U69" i="62"/>
  <c r="AB69" i="62" s="1"/>
  <c r="Q69" i="62"/>
  <c r="X69" i="62" s="1"/>
  <c r="AE68" i="62"/>
  <c r="V68" i="62"/>
  <c r="U68" i="62"/>
  <c r="AA67" i="62"/>
  <c r="Z67" i="62"/>
  <c r="Y67" i="62"/>
  <c r="AE67" i="62" s="1"/>
  <c r="V67" i="62"/>
  <c r="AC67" i="62" s="1"/>
  <c r="U67" i="62"/>
  <c r="AB67" i="62" s="1"/>
  <c r="Q67" i="62"/>
  <c r="X67" i="62" s="1"/>
  <c r="AA66" i="62"/>
  <c r="Z66" i="62"/>
  <c r="Y66" i="62"/>
  <c r="AE66" i="62" s="1"/>
  <c r="V66" i="62"/>
  <c r="AC66" i="62" s="1"/>
  <c r="U66" i="62"/>
  <c r="AB66" i="62" s="1"/>
  <c r="Q66" i="62"/>
  <c r="X66" i="62" s="1"/>
  <c r="AA65" i="62"/>
  <c r="Z65" i="62"/>
  <c r="Y65" i="62"/>
  <c r="AE65" i="62" s="1"/>
  <c r="X65" i="62"/>
  <c r="V65" i="62"/>
  <c r="AC65" i="62" s="1"/>
  <c r="U65" i="62"/>
  <c r="AB65" i="62" s="1"/>
  <c r="Q65" i="62"/>
  <c r="AA64" i="62"/>
  <c r="Z64" i="62"/>
  <c r="Y64" i="62"/>
  <c r="AE64" i="62" s="1"/>
  <c r="V64" i="62"/>
  <c r="AC64" i="62" s="1"/>
  <c r="U64" i="62"/>
  <c r="AB64" i="62" s="1"/>
  <c r="Q64" i="62"/>
  <c r="X64" i="62" s="1"/>
  <c r="AA63" i="62"/>
  <c r="Z63" i="62"/>
  <c r="Y63" i="62"/>
  <c r="AE63" i="62" s="1"/>
  <c r="X63" i="62"/>
  <c r="V63" i="62"/>
  <c r="AC63" i="62" s="1"/>
  <c r="U63" i="62"/>
  <c r="AB63" i="62" s="1"/>
  <c r="Q63" i="62"/>
  <c r="AA62" i="62"/>
  <c r="Z62" i="62"/>
  <c r="Y62" i="62"/>
  <c r="AE62" i="62" s="1"/>
  <c r="V62" i="62"/>
  <c r="AC62" i="62" s="1"/>
  <c r="U62" i="62"/>
  <c r="AB62" i="62" s="1"/>
  <c r="Q62" i="62"/>
  <c r="X62" i="62" s="1"/>
  <c r="AA61" i="62"/>
  <c r="Z61" i="62"/>
  <c r="Y61" i="62"/>
  <c r="AE61" i="62" s="1"/>
  <c r="V61" i="62"/>
  <c r="AC61" i="62" s="1"/>
  <c r="U61" i="62"/>
  <c r="AB61" i="62" s="1"/>
  <c r="Q61" i="62"/>
  <c r="X61" i="62" s="1"/>
  <c r="AA60" i="62"/>
  <c r="Z60" i="62"/>
  <c r="Y60" i="62"/>
  <c r="AE60" i="62" s="1"/>
  <c r="V60" i="62"/>
  <c r="AC60" i="62" s="1"/>
  <c r="U60" i="62"/>
  <c r="AB60" i="62" s="1"/>
  <c r="Q60" i="62"/>
  <c r="X60" i="62" s="1"/>
  <c r="AC59" i="62"/>
  <c r="AB59" i="62"/>
  <c r="AA59" i="62"/>
  <c r="Z59" i="62"/>
  <c r="Y59" i="62"/>
  <c r="AE59" i="62" s="1"/>
  <c r="Q59" i="62"/>
  <c r="AC58" i="62"/>
  <c r="AA58" i="62"/>
  <c r="Z58" i="62"/>
  <c r="Y58" i="62"/>
  <c r="AE58" i="62" s="1"/>
  <c r="V58" i="62"/>
  <c r="U58" i="62"/>
  <c r="AB58" i="62" s="1"/>
  <c r="Q58" i="62"/>
  <c r="X58" i="62" s="1"/>
  <c r="AC57" i="62"/>
  <c r="AA57" i="62"/>
  <c r="Z57" i="62"/>
  <c r="Y57" i="62"/>
  <c r="AE57" i="62" s="1"/>
  <c r="X57" i="62"/>
  <c r="U57" i="62"/>
  <c r="AB57" i="62" s="1"/>
  <c r="Q57" i="62"/>
  <c r="AC56" i="62"/>
  <c r="AA56" i="62"/>
  <c r="Z56" i="62"/>
  <c r="Y56" i="62"/>
  <c r="AE56" i="62" s="1"/>
  <c r="U56" i="62"/>
  <c r="AB56" i="62" s="1"/>
  <c r="Q56" i="62"/>
  <c r="AA55" i="62"/>
  <c r="Z55" i="62"/>
  <c r="Y55" i="62"/>
  <c r="AE55" i="62" s="1"/>
  <c r="X55" i="62"/>
  <c r="V55" i="62"/>
  <c r="AC55" i="62" s="1"/>
  <c r="U55" i="62"/>
  <c r="AB55" i="62" s="1"/>
  <c r="Q55" i="62"/>
  <c r="AA54" i="62"/>
  <c r="Z54" i="62"/>
  <c r="Y54" i="62"/>
  <c r="AE54" i="62" s="1"/>
  <c r="X54" i="62"/>
  <c r="V54" i="62"/>
  <c r="AC54" i="62" s="1"/>
  <c r="U54" i="62"/>
  <c r="AB54" i="62" s="1"/>
  <c r="Q54" i="62"/>
  <c r="AA53" i="62"/>
  <c r="Z53" i="62"/>
  <c r="Y53" i="62"/>
  <c r="AE53" i="62" s="1"/>
  <c r="V53" i="62"/>
  <c r="AC53" i="62" s="1"/>
  <c r="U53" i="62"/>
  <c r="AB53" i="62" s="1"/>
  <c r="Q53" i="62"/>
  <c r="X53" i="62" s="1"/>
  <c r="AA52" i="62"/>
  <c r="Z52" i="62"/>
  <c r="Y52" i="62"/>
  <c r="AE52" i="62" s="1"/>
  <c r="V52" i="62"/>
  <c r="AC52" i="62" s="1"/>
  <c r="U52" i="62"/>
  <c r="AB52" i="62" s="1"/>
  <c r="Q52" i="62"/>
  <c r="X52" i="62" s="1"/>
  <c r="AB51" i="62"/>
  <c r="AA51" i="62"/>
  <c r="Z51" i="62"/>
  <c r="Y51" i="62"/>
  <c r="AE51" i="62" s="1"/>
  <c r="V51" i="62"/>
  <c r="AC51" i="62" s="1"/>
  <c r="AC50" i="62"/>
  <c r="AB50" i="62"/>
  <c r="AA50" i="62"/>
  <c r="Z50" i="62"/>
  <c r="Y50" i="62"/>
  <c r="AE50" i="62" s="1"/>
  <c r="V50" i="62"/>
  <c r="Q50" i="62"/>
  <c r="X50" i="62" s="1"/>
  <c r="AA49" i="62"/>
  <c r="Z49" i="62"/>
  <c r="Y49" i="62"/>
  <c r="AE49" i="62" s="1"/>
  <c r="V49" i="62"/>
  <c r="AC49" i="62" s="1"/>
  <c r="U49" i="62"/>
  <c r="AB49" i="62" s="1"/>
  <c r="Q49" i="62"/>
  <c r="X49" i="62" s="1"/>
  <c r="AA48" i="62"/>
  <c r="Z48" i="62"/>
  <c r="Y48" i="62"/>
  <c r="AE48" i="62" s="1"/>
  <c r="X48" i="62"/>
  <c r="V48" i="62"/>
  <c r="AC48" i="62" s="1"/>
  <c r="U48" i="62"/>
  <c r="AB48" i="62" s="1"/>
  <c r="Q48" i="62"/>
  <c r="AC47" i="62"/>
  <c r="AB47" i="62"/>
  <c r="AA47" i="62"/>
  <c r="Z47" i="62"/>
  <c r="Y47" i="62"/>
  <c r="AE47" i="62" s="1"/>
  <c r="Q47" i="62"/>
  <c r="AA46" i="62"/>
  <c r="Z46" i="62"/>
  <c r="Y46" i="62"/>
  <c r="AE46" i="62" s="1"/>
  <c r="V46" i="62"/>
  <c r="AC46" i="62" s="1"/>
  <c r="U46" i="62"/>
  <c r="AB46" i="62" s="1"/>
  <c r="Q46" i="62"/>
  <c r="X46" i="62" s="1"/>
  <c r="AA45" i="62"/>
  <c r="Z45" i="62"/>
  <c r="Y45" i="62"/>
  <c r="AE45" i="62" s="1"/>
  <c r="V45" i="62"/>
  <c r="AC45" i="62" s="1"/>
  <c r="U45" i="62"/>
  <c r="AB45" i="62" s="1"/>
  <c r="Q45" i="62"/>
  <c r="X45" i="62" s="1"/>
  <c r="AC44" i="62"/>
  <c r="AB44" i="62"/>
  <c r="AA44" i="62"/>
  <c r="Z44" i="62"/>
  <c r="Y44" i="62"/>
  <c r="AE44" i="62" s="1"/>
  <c r="V44" i="62"/>
  <c r="U44" i="62"/>
  <c r="Q44" i="62"/>
  <c r="X44" i="62" s="1"/>
  <c r="AA43" i="62"/>
  <c r="Z43" i="62"/>
  <c r="Y43" i="62"/>
  <c r="AE43" i="62" s="1"/>
  <c r="V43" i="62"/>
  <c r="AC43" i="62" s="1"/>
  <c r="U43" i="62"/>
  <c r="AB43" i="62" s="1"/>
  <c r="Q43" i="62"/>
  <c r="X43" i="62" s="1"/>
  <c r="AA42" i="62"/>
  <c r="Z42" i="62"/>
  <c r="Y42" i="62"/>
  <c r="AE42" i="62" s="1"/>
  <c r="V42" i="62"/>
  <c r="AC42" i="62" s="1"/>
  <c r="U42" i="62"/>
  <c r="AB42" i="62" s="1"/>
  <c r="Q42" i="62"/>
  <c r="X42" i="62" s="1"/>
  <c r="AC41" i="62"/>
  <c r="AB41" i="62"/>
  <c r="AA41" i="62"/>
  <c r="Z41" i="62"/>
  <c r="Y41" i="62"/>
  <c r="AE41" i="62" s="1"/>
  <c r="AA40" i="62"/>
  <c r="Z40" i="62"/>
  <c r="Y40" i="62"/>
  <c r="AE40" i="62" s="1"/>
  <c r="V40" i="62"/>
  <c r="AC40" i="62" s="1"/>
  <c r="U40" i="62"/>
  <c r="AB40" i="62" s="1"/>
  <c r="Q40" i="62"/>
  <c r="X40" i="62" s="1"/>
  <c r="AA39" i="62"/>
  <c r="Z39" i="62"/>
  <c r="Y39" i="62"/>
  <c r="AE39" i="62" s="1"/>
  <c r="V39" i="62"/>
  <c r="AC39" i="62" s="1"/>
  <c r="U39" i="62"/>
  <c r="AB39" i="62" s="1"/>
  <c r="Q39" i="62"/>
  <c r="X39" i="62" s="1"/>
  <c r="AA38" i="62"/>
  <c r="Z38" i="62"/>
  <c r="Y38" i="62"/>
  <c r="AE38" i="62" s="1"/>
  <c r="V38" i="62"/>
  <c r="AC38" i="62" s="1"/>
  <c r="U38" i="62"/>
  <c r="AB38" i="62" s="1"/>
  <c r="Q38" i="62"/>
  <c r="X38" i="62" s="1"/>
  <c r="AA37" i="62"/>
  <c r="Z37" i="62"/>
  <c r="Y37" i="62"/>
  <c r="AE37" i="62" s="1"/>
  <c r="V37" i="62"/>
  <c r="AC37" i="62" s="1"/>
  <c r="U37" i="62"/>
  <c r="AB37" i="62" s="1"/>
  <c r="Q37" i="62"/>
  <c r="X37" i="62" s="1"/>
  <c r="AA36" i="62"/>
  <c r="Z36" i="62"/>
  <c r="Y36" i="62"/>
  <c r="AE36" i="62" s="1"/>
  <c r="V36" i="62"/>
  <c r="AC36" i="62" s="1"/>
  <c r="U36" i="62"/>
  <c r="AB36" i="62" s="1"/>
  <c r="Q36" i="62"/>
  <c r="X36" i="62" s="1"/>
  <c r="AA35" i="62"/>
  <c r="Z35" i="62"/>
  <c r="Y35" i="62"/>
  <c r="AE35" i="62" s="1"/>
  <c r="V35" i="62"/>
  <c r="AC35" i="62" s="1"/>
  <c r="U35" i="62"/>
  <c r="AB35" i="62" s="1"/>
  <c r="Q35" i="62"/>
  <c r="X35" i="62" s="1"/>
  <c r="AA34" i="62"/>
  <c r="Z34" i="62"/>
  <c r="Y34" i="62"/>
  <c r="AE34" i="62" s="1"/>
  <c r="V34" i="62"/>
  <c r="U34" i="62"/>
  <c r="Q34" i="62"/>
  <c r="X34" i="62" s="1"/>
  <c r="AA33" i="62"/>
  <c r="Z33" i="62"/>
  <c r="Y33" i="62"/>
  <c r="AE33" i="62" s="1"/>
  <c r="U33" i="62"/>
  <c r="Q33" i="62"/>
  <c r="AC32" i="62"/>
  <c r="AB32" i="62"/>
  <c r="AA32" i="62"/>
  <c r="Z32" i="62"/>
  <c r="Y32" i="62"/>
  <c r="AE32" i="62" s="1"/>
  <c r="Q32" i="62"/>
  <c r="AE31" i="62"/>
  <c r="AC31" i="62"/>
  <c r="AB31" i="62"/>
  <c r="AA31" i="62"/>
  <c r="Z31" i="62"/>
  <c r="Y31" i="62"/>
  <c r="Q31" i="62"/>
  <c r="AA30" i="62"/>
  <c r="Z30" i="62"/>
  <c r="Y30" i="62"/>
  <c r="AE30" i="62" s="1"/>
  <c r="V30" i="62"/>
  <c r="AC30" i="62" s="1"/>
  <c r="U30" i="62"/>
  <c r="AA29" i="62"/>
  <c r="Z29" i="62"/>
  <c r="Y29" i="62"/>
  <c r="AE29" i="62" s="1"/>
  <c r="V29" i="62"/>
  <c r="AC29" i="62" s="1"/>
  <c r="U29" i="62"/>
  <c r="AB29" i="62" s="1"/>
  <c r="Q29" i="62"/>
  <c r="X29" i="62" s="1"/>
  <c r="AA28" i="62"/>
  <c r="Z28" i="62"/>
  <c r="Y28" i="62"/>
  <c r="AE28" i="62" s="1"/>
  <c r="V28" i="62"/>
  <c r="AC28" i="62" s="1"/>
  <c r="U28" i="62"/>
  <c r="AB28" i="62" s="1"/>
  <c r="Q28" i="62"/>
  <c r="X28" i="62" s="1"/>
  <c r="AA27" i="62"/>
  <c r="Z27" i="62"/>
  <c r="Y27" i="62"/>
  <c r="AE27" i="62" s="1"/>
  <c r="V27" i="62"/>
  <c r="AC27" i="62" s="1"/>
  <c r="U27" i="62"/>
  <c r="AB27" i="62" s="1"/>
  <c r="Q27" i="62"/>
  <c r="X27" i="62" s="1"/>
  <c r="AA26" i="62"/>
  <c r="Z26" i="62"/>
  <c r="Y26" i="62"/>
  <c r="AE26" i="62" s="1"/>
  <c r="V26" i="62"/>
  <c r="AC26" i="62" s="1"/>
  <c r="U26" i="62"/>
  <c r="AB26" i="62" s="1"/>
  <c r="Q26" i="62"/>
  <c r="X26" i="62" s="1"/>
  <c r="AA25" i="62"/>
  <c r="Z25" i="62"/>
  <c r="Y25" i="62"/>
  <c r="AE25" i="62" s="1"/>
  <c r="V25" i="62"/>
  <c r="AC25" i="62" s="1"/>
  <c r="U25" i="62"/>
  <c r="AB25" i="62" s="1"/>
  <c r="Q25" i="62"/>
  <c r="X25" i="62" s="1"/>
  <c r="AA24" i="62"/>
  <c r="Z24" i="62"/>
  <c r="Y24" i="62"/>
  <c r="AE24" i="62" s="1"/>
  <c r="V24" i="62"/>
  <c r="AC24" i="62" s="1"/>
  <c r="U24" i="62"/>
  <c r="AB24" i="62" s="1"/>
  <c r="Q24" i="62"/>
  <c r="X24" i="62" s="1"/>
  <c r="AE23" i="62"/>
  <c r="AA23" i="62"/>
  <c r="Z23" i="62"/>
  <c r="Y23" i="62"/>
  <c r="V23" i="62"/>
  <c r="AC23" i="62" s="1"/>
  <c r="U23" i="62"/>
  <c r="AB23" i="62" s="1"/>
  <c r="Q23" i="62"/>
  <c r="X23" i="62" s="1"/>
  <c r="AA22" i="62"/>
  <c r="Z22" i="62"/>
  <c r="Y22" i="62"/>
  <c r="AE22" i="62" s="1"/>
  <c r="V22" i="62"/>
  <c r="AC22" i="62" s="1"/>
  <c r="U22" i="62"/>
  <c r="AB22" i="62" s="1"/>
  <c r="Q22" i="62"/>
  <c r="AA21" i="62"/>
  <c r="Z21" i="62"/>
  <c r="Y21" i="62"/>
  <c r="AE21" i="62" s="1"/>
  <c r="V21" i="62"/>
  <c r="AC21" i="62" s="1"/>
  <c r="U21" i="62"/>
  <c r="AB21" i="62" s="1"/>
  <c r="Q21" i="62"/>
  <c r="X21" i="62" s="1"/>
  <c r="AA20" i="62"/>
  <c r="Z20" i="62"/>
  <c r="Y20" i="62"/>
  <c r="AE20" i="62" s="1"/>
  <c r="V20" i="62"/>
  <c r="AC20" i="62" s="1"/>
  <c r="U20" i="62"/>
  <c r="AB20" i="62" s="1"/>
  <c r="Q20" i="62"/>
  <c r="X20" i="62" s="1"/>
  <c r="AA19" i="62"/>
  <c r="Z19" i="62"/>
  <c r="Y19" i="62"/>
  <c r="AE19" i="62" s="1"/>
  <c r="V19" i="62"/>
  <c r="AC19" i="62" s="1"/>
  <c r="U19" i="62"/>
  <c r="Q19" i="62"/>
  <c r="X19" i="62" s="1"/>
  <c r="AB18" i="62"/>
  <c r="AA18" i="62"/>
  <c r="Z18" i="62"/>
  <c r="Y18" i="62"/>
  <c r="AE18" i="62" s="1"/>
  <c r="V18" i="62"/>
  <c r="AC18" i="62" s="1"/>
  <c r="U18" i="62"/>
  <c r="Q18" i="62"/>
  <c r="X18" i="62" s="1"/>
  <c r="AA17" i="62"/>
  <c r="Z17" i="62"/>
  <c r="Y17" i="62"/>
  <c r="AE17" i="62" s="1"/>
  <c r="V17" i="62"/>
  <c r="AC17" i="62" s="1"/>
  <c r="U17" i="62"/>
  <c r="AB17" i="62" s="1"/>
  <c r="Q17" i="62"/>
  <c r="X17" i="62" s="1"/>
  <c r="AA16" i="62"/>
  <c r="Z16" i="62"/>
  <c r="Y16" i="62"/>
  <c r="AE16" i="62" s="1"/>
  <c r="V16" i="62"/>
  <c r="AC16" i="62" s="1"/>
  <c r="U16" i="62"/>
  <c r="AB16" i="62" s="1"/>
  <c r="Q16" i="62"/>
  <c r="X16" i="62" s="1"/>
  <c r="AA15" i="62"/>
  <c r="Z15" i="62"/>
  <c r="Y15" i="62"/>
  <c r="AE15" i="62" s="1"/>
  <c r="V15" i="62"/>
  <c r="AC15" i="62" s="1"/>
  <c r="U15" i="62"/>
  <c r="AB15" i="62" s="1"/>
  <c r="Q15" i="62"/>
  <c r="X15" i="62" s="1"/>
  <c r="AA14" i="62"/>
  <c r="Z14" i="62"/>
  <c r="Y14" i="62"/>
  <c r="AE14" i="62" s="1"/>
  <c r="V14" i="62"/>
  <c r="AC14" i="62" s="1"/>
  <c r="U14" i="62"/>
  <c r="AB14" i="62" s="1"/>
  <c r="Q14" i="62"/>
  <c r="X14" i="62" s="1"/>
  <c r="R108" i="62" l="1"/>
  <c r="T108" i="62"/>
  <c r="U108" i="62" s="1"/>
  <c r="U88" i="62"/>
  <c r="Z88" i="62"/>
  <c r="AA88" i="62"/>
  <c r="Y112" i="63"/>
  <c r="Z112" i="63"/>
  <c r="U112" i="63"/>
  <c r="S108" i="62"/>
  <c r="AE88" i="62"/>
  <c r="AA112" i="63"/>
  <c r="AE112" i="63"/>
  <c r="K114" i="63" s="1"/>
  <c r="AB79" i="63"/>
  <c r="AB112" i="63" s="1"/>
  <c r="AE78" i="62"/>
  <c r="Y78" i="62"/>
  <c r="Z78" i="62"/>
  <c r="AA78" i="62"/>
  <c r="U78" i="62"/>
  <c r="Y88" i="62"/>
  <c r="AE108" i="62" l="1"/>
  <c r="K110" i="62" s="1"/>
  <c r="Z108" i="62"/>
  <c r="AA108" i="62"/>
  <c r="AB78" i="62"/>
  <c r="AB108" i="62" s="1"/>
  <c r="Y108" i="62"/>
  <c r="T89" i="61" l="1"/>
  <c r="S89" i="61"/>
  <c r="R89" i="61"/>
  <c r="AB88" i="61"/>
  <c r="AA88" i="61"/>
  <c r="Z88" i="61"/>
  <c r="Y88" i="61"/>
  <c r="AE88" i="61" s="1"/>
  <c r="V88" i="61"/>
  <c r="AC88" i="61" s="1"/>
  <c r="Q88" i="61"/>
  <c r="AC87" i="61"/>
  <c r="AB87" i="61"/>
  <c r="AA87" i="61"/>
  <c r="Z87" i="61"/>
  <c r="Y87" i="61"/>
  <c r="AE87" i="61" s="1"/>
  <c r="AA86" i="61"/>
  <c r="Z86" i="61"/>
  <c r="Y86" i="61"/>
  <c r="AE86" i="61" s="1"/>
  <c r="V86" i="61"/>
  <c r="AC86" i="61" s="1"/>
  <c r="U86" i="61"/>
  <c r="AB86" i="61" s="1"/>
  <c r="Q86" i="61"/>
  <c r="X86" i="61" s="1"/>
  <c r="AC85" i="61"/>
  <c r="AB85" i="61"/>
  <c r="AA85" i="61"/>
  <c r="Z85" i="61"/>
  <c r="Y85" i="61"/>
  <c r="AE85" i="61" s="1"/>
  <c r="AA84" i="61"/>
  <c r="Z84" i="61"/>
  <c r="Y84" i="61"/>
  <c r="AE84" i="61" s="1"/>
  <c r="V84" i="61"/>
  <c r="AC84" i="61" s="1"/>
  <c r="U84" i="61"/>
  <c r="AB84" i="61" s="1"/>
  <c r="Q84" i="61"/>
  <c r="X84" i="61" s="1"/>
  <c r="AE83" i="61"/>
  <c r="AA83" i="61"/>
  <c r="V83" i="61"/>
  <c r="AC83" i="61" s="1"/>
  <c r="Q83" i="61"/>
  <c r="X83" i="61" s="1"/>
  <c r="AA82" i="61"/>
  <c r="Z82" i="61"/>
  <c r="Y82" i="61"/>
  <c r="V82" i="61"/>
  <c r="AC82" i="61" s="1"/>
  <c r="Q82" i="61"/>
  <c r="X82" i="61" s="1"/>
  <c r="AA81" i="61"/>
  <c r="Z81" i="61"/>
  <c r="Y81" i="61"/>
  <c r="AE81" i="61" s="1"/>
  <c r="V81" i="61"/>
  <c r="AC81" i="61" s="1"/>
  <c r="U81" i="61"/>
  <c r="Q81" i="61"/>
  <c r="X81" i="61" s="1"/>
  <c r="T78" i="61"/>
  <c r="T107" i="61" s="1"/>
  <c r="S78" i="61"/>
  <c r="S107" i="61" s="1"/>
  <c r="R78" i="61"/>
  <c r="AA77" i="61"/>
  <c r="Z77" i="61"/>
  <c r="Y77" i="61"/>
  <c r="AE77" i="61" s="1"/>
  <c r="V77" i="61"/>
  <c r="AC77" i="61" s="1"/>
  <c r="U77" i="61"/>
  <c r="AB77" i="61" s="1"/>
  <c r="Q77" i="61"/>
  <c r="X77" i="61" s="1"/>
  <c r="AA76" i="61"/>
  <c r="Z76" i="61"/>
  <c r="Y76" i="61"/>
  <c r="AE76" i="61" s="1"/>
  <c r="V76" i="61"/>
  <c r="AC76" i="61" s="1"/>
  <c r="U76" i="61"/>
  <c r="AB76" i="61" s="1"/>
  <c r="Q76" i="61"/>
  <c r="X76" i="61" s="1"/>
  <c r="AA75" i="61"/>
  <c r="Z75" i="61"/>
  <c r="Y75" i="61"/>
  <c r="AE75" i="61" s="1"/>
  <c r="V75" i="61"/>
  <c r="AC75" i="61" s="1"/>
  <c r="U75" i="61"/>
  <c r="AB75" i="61" s="1"/>
  <c r="Q75" i="61"/>
  <c r="X75" i="61" s="1"/>
  <c r="AA74" i="61"/>
  <c r="Z74" i="61"/>
  <c r="Y74" i="61"/>
  <c r="AE74" i="61" s="1"/>
  <c r="V74" i="61"/>
  <c r="AC74" i="61" s="1"/>
  <c r="U74" i="61"/>
  <c r="AB74" i="61" s="1"/>
  <c r="X74" i="61"/>
  <c r="AB73" i="61"/>
  <c r="AA73" i="61"/>
  <c r="Z73" i="61"/>
  <c r="Y73" i="61"/>
  <c r="AE73" i="61" s="1"/>
  <c r="V73" i="61"/>
  <c r="AC73" i="61" s="1"/>
  <c r="U73" i="61"/>
  <c r="X73" i="61"/>
  <c r="AA72" i="61"/>
  <c r="Z72" i="61"/>
  <c r="Y72" i="61"/>
  <c r="AE72" i="61" s="1"/>
  <c r="V72" i="61"/>
  <c r="AC72" i="61" s="1"/>
  <c r="U72" i="61"/>
  <c r="AB72" i="61" s="1"/>
  <c r="Q72" i="61"/>
  <c r="X72" i="61" s="1"/>
  <c r="AA71" i="61"/>
  <c r="Z71" i="61"/>
  <c r="Y71" i="61"/>
  <c r="AE71" i="61" s="1"/>
  <c r="V71" i="61"/>
  <c r="AC71" i="61" s="1"/>
  <c r="U71" i="61"/>
  <c r="Q71" i="61"/>
  <c r="X71" i="61" s="1"/>
  <c r="AA70" i="61"/>
  <c r="Z70" i="61"/>
  <c r="Y70" i="61"/>
  <c r="AE70" i="61" s="1"/>
  <c r="V70" i="61"/>
  <c r="AC70" i="61" s="1"/>
  <c r="U70" i="61"/>
  <c r="AB70" i="61" s="1"/>
  <c r="Q70" i="61"/>
  <c r="X70" i="61" s="1"/>
  <c r="AA69" i="61"/>
  <c r="Z69" i="61"/>
  <c r="Y69" i="61"/>
  <c r="AE69" i="61" s="1"/>
  <c r="V69" i="61"/>
  <c r="AC69" i="61" s="1"/>
  <c r="U69" i="61"/>
  <c r="AB69" i="61" s="1"/>
  <c r="Q69" i="61"/>
  <c r="X69" i="61" s="1"/>
  <c r="AE68" i="61"/>
  <c r="V68" i="61"/>
  <c r="U68" i="61"/>
  <c r="X68" i="61"/>
  <c r="AA67" i="61"/>
  <c r="Z67" i="61"/>
  <c r="Y67" i="61"/>
  <c r="AE67" i="61" s="1"/>
  <c r="V67" i="61"/>
  <c r="AC67" i="61" s="1"/>
  <c r="U67" i="61"/>
  <c r="AB67" i="61" s="1"/>
  <c r="Q67" i="61"/>
  <c r="X67" i="61" s="1"/>
  <c r="AA66" i="61"/>
  <c r="Z66" i="61"/>
  <c r="Y66" i="61"/>
  <c r="AE66" i="61" s="1"/>
  <c r="V66" i="61"/>
  <c r="AC66" i="61" s="1"/>
  <c r="U66" i="61"/>
  <c r="AB66" i="61" s="1"/>
  <c r="Q66" i="61"/>
  <c r="X66" i="61" s="1"/>
  <c r="AA65" i="61"/>
  <c r="Z65" i="61"/>
  <c r="Y65" i="61"/>
  <c r="AE65" i="61" s="1"/>
  <c r="X65" i="61"/>
  <c r="V65" i="61"/>
  <c r="AC65" i="61" s="1"/>
  <c r="U65" i="61"/>
  <c r="AB65" i="61" s="1"/>
  <c r="Q65" i="61"/>
  <c r="AA64" i="61"/>
  <c r="Z64" i="61"/>
  <c r="Y64" i="61"/>
  <c r="AE64" i="61" s="1"/>
  <c r="V64" i="61"/>
  <c r="AC64" i="61" s="1"/>
  <c r="U64" i="61"/>
  <c r="AB64" i="61" s="1"/>
  <c r="Q64" i="61"/>
  <c r="X64" i="61" s="1"/>
  <c r="AA63" i="61"/>
  <c r="Z63" i="61"/>
  <c r="Y63" i="61"/>
  <c r="AE63" i="61" s="1"/>
  <c r="V63" i="61"/>
  <c r="AC63" i="61" s="1"/>
  <c r="U63" i="61"/>
  <c r="AB63" i="61" s="1"/>
  <c r="Q63" i="61"/>
  <c r="X63" i="61" s="1"/>
  <c r="AA62" i="61"/>
  <c r="Z62" i="61"/>
  <c r="Y62" i="61"/>
  <c r="AE62" i="61" s="1"/>
  <c r="V62" i="61"/>
  <c r="AC62" i="61" s="1"/>
  <c r="U62" i="61"/>
  <c r="AB62" i="61" s="1"/>
  <c r="Q62" i="61"/>
  <c r="X62" i="61" s="1"/>
  <c r="AA61" i="61"/>
  <c r="Z61" i="61"/>
  <c r="Y61" i="61"/>
  <c r="AE61" i="61" s="1"/>
  <c r="V61" i="61"/>
  <c r="AC61" i="61" s="1"/>
  <c r="U61" i="61"/>
  <c r="AB61" i="61" s="1"/>
  <c r="Q61" i="61"/>
  <c r="X61" i="61" s="1"/>
  <c r="AA60" i="61"/>
  <c r="Z60" i="61"/>
  <c r="Y60" i="61"/>
  <c r="AE60" i="61" s="1"/>
  <c r="V60" i="61"/>
  <c r="AC60" i="61" s="1"/>
  <c r="U60" i="61"/>
  <c r="AB60" i="61" s="1"/>
  <c r="Q60" i="61"/>
  <c r="X60" i="61" s="1"/>
  <c r="AC59" i="61"/>
  <c r="AB59" i="61"/>
  <c r="AA59" i="61"/>
  <c r="Z59" i="61"/>
  <c r="Y59" i="61"/>
  <c r="AE59" i="61" s="1"/>
  <c r="Q59" i="61"/>
  <c r="AA58" i="61"/>
  <c r="Z58" i="61"/>
  <c r="Y58" i="61"/>
  <c r="AE58" i="61" s="1"/>
  <c r="X58" i="61"/>
  <c r="V58" i="61"/>
  <c r="AC58" i="61" s="1"/>
  <c r="U58" i="61"/>
  <c r="AB58" i="61" s="1"/>
  <c r="Q58" i="61"/>
  <c r="AA57" i="61"/>
  <c r="Z57" i="61"/>
  <c r="Y57" i="61"/>
  <c r="AE57" i="61" s="1"/>
  <c r="V57" i="61"/>
  <c r="AC57" i="61" s="1"/>
  <c r="U57" i="61"/>
  <c r="AB57" i="61" s="1"/>
  <c r="Q57" i="61"/>
  <c r="X57" i="61" s="1"/>
  <c r="AC56" i="61"/>
  <c r="AA56" i="61"/>
  <c r="Z56" i="61"/>
  <c r="Y56" i="61"/>
  <c r="AE56" i="61" s="1"/>
  <c r="U56" i="61"/>
  <c r="AB56" i="61" s="1"/>
  <c r="Q56" i="61"/>
  <c r="AB55" i="61"/>
  <c r="AA55" i="61"/>
  <c r="Z55" i="61"/>
  <c r="Y55" i="61"/>
  <c r="AE55" i="61" s="1"/>
  <c r="V55" i="61"/>
  <c r="AC55" i="61" s="1"/>
  <c r="U55" i="61"/>
  <c r="Q55" i="61"/>
  <c r="X55" i="61" s="1"/>
  <c r="AE54" i="61"/>
  <c r="AA54" i="61"/>
  <c r="V54" i="61"/>
  <c r="AC54" i="61" s="1"/>
  <c r="U54" i="61"/>
  <c r="AB54" i="61" s="1"/>
  <c r="Q54" i="61"/>
  <c r="X54" i="61" s="1"/>
  <c r="AA53" i="61"/>
  <c r="Z53" i="61"/>
  <c r="Y53" i="61"/>
  <c r="AE53" i="61" s="1"/>
  <c r="V53" i="61"/>
  <c r="AC53" i="61" s="1"/>
  <c r="U53" i="61"/>
  <c r="AB53" i="61" s="1"/>
  <c r="Q53" i="61"/>
  <c r="X53" i="61" s="1"/>
  <c r="AA52" i="61"/>
  <c r="Z52" i="61"/>
  <c r="Y52" i="61"/>
  <c r="AE52" i="61" s="1"/>
  <c r="V52" i="61"/>
  <c r="AC52" i="61" s="1"/>
  <c r="U52" i="61"/>
  <c r="AB52" i="61" s="1"/>
  <c r="Q52" i="61"/>
  <c r="X52" i="61" s="1"/>
  <c r="AC51" i="61"/>
  <c r="AB51" i="61"/>
  <c r="AA51" i="61"/>
  <c r="Z51" i="61"/>
  <c r="Y51" i="61"/>
  <c r="AE51" i="61" s="1"/>
  <c r="Q51" i="61"/>
  <c r="AC50" i="61"/>
  <c r="AB50" i="61"/>
  <c r="AA50" i="61"/>
  <c r="Z50" i="61"/>
  <c r="Y50" i="61"/>
  <c r="AE50" i="61" s="1"/>
  <c r="V50" i="61"/>
  <c r="Q50" i="61"/>
  <c r="X50" i="61" s="1"/>
  <c r="AA49" i="61"/>
  <c r="Z49" i="61"/>
  <c r="Y49" i="61"/>
  <c r="AE49" i="61" s="1"/>
  <c r="V49" i="61"/>
  <c r="AC49" i="61" s="1"/>
  <c r="U49" i="61"/>
  <c r="AB49" i="61" s="1"/>
  <c r="Q49" i="61"/>
  <c r="X49" i="61" s="1"/>
  <c r="AA48" i="61"/>
  <c r="Z48" i="61"/>
  <c r="Y48" i="61"/>
  <c r="AE48" i="61" s="1"/>
  <c r="V48" i="61"/>
  <c r="AC48" i="61" s="1"/>
  <c r="U48" i="61"/>
  <c r="AB48" i="61" s="1"/>
  <c r="Q48" i="61"/>
  <c r="X48" i="61" s="1"/>
  <c r="AC47" i="61"/>
  <c r="AB47" i="61"/>
  <c r="AA47" i="61"/>
  <c r="Z47" i="61"/>
  <c r="Y47" i="61"/>
  <c r="AE47" i="61" s="1"/>
  <c r="Q47" i="61"/>
  <c r="AA46" i="61"/>
  <c r="Z46" i="61"/>
  <c r="Y46" i="61"/>
  <c r="AE46" i="61" s="1"/>
  <c r="V46" i="61"/>
  <c r="AC46" i="61" s="1"/>
  <c r="U46" i="61"/>
  <c r="AB46" i="61" s="1"/>
  <c r="Q46" i="61"/>
  <c r="X46" i="61" s="1"/>
  <c r="AB45" i="61"/>
  <c r="AA45" i="61"/>
  <c r="Z45" i="61"/>
  <c r="Y45" i="61"/>
  <c r="AE45" i="61" s="1"/>
  <c r="V45" i="61"/>
  <c r="AC45" i="61" s="1"/>
  <c r="Q45" i="61"/>
  <c r="X45" i="61" s="1"/>
  <c r="AA44" i="61"/>
  <c r="Z44" i="61"/>
  <c r="Y44" i="61"/>
  <c r="AE44" i="61" s="1"/>
  <c r="V44" i="61"/>
  <c r="AC44" i="61" s="1"/>
  <c r="U44" i="61"/>
  <c r="AB44" i="61" s="1"/>
  <c r="Q44" i="61"/>
  <c r="X44" i="61" s="1"/>
  <c r="AA43" i="61"/>
  <c r="Z43" i="61"/>
  <c r="Y43" i="61"/>
  <c r="AE43" i="61" s="1"/>
  <c r="V43" i="61"/>
  <c r="AC43" i="61" s="1"/>
  <c r="U43" i="61"/>
  <c r="AB43" i="61" s="1"/>
  <c r="Q43" i="61"/>
  <c r="X43" i="61" s="1"/>
  <c r="AB42" i="61"/>
  <c r="AA42" i="61"/>
  <c r="Z42" i="61"/>
  <c r="Y42" i="61"/>
  <c r="AE42" i="61" s="1"/>
  <c r="V42" i="61"/>
  <c r="AC42" i="61" s="1"/>
  <c r="U42" i="61"/>
  <c r="Q42" i="61"/>
  <c r="X42" i="61" s="1"/>
  <c r="AC41" i="61"/>
  <c r="AB41" i="61"/>
  <c r="AA41" i="61"/>
  <c r="Z41" i="61"/>
  <c r="Y41" i="61"/>
  <c r="AE41" i="61" s="1"/>
  <c r="AA40" i="61"/>
  <c r="Z40" i="61"/>
  <c r="Y40" i="61"/>
  <c r="AE40" i="61" s="1"/>
  <c r="V40" i="61"/>
  <c r="AC40" i="61" s="1"/>
  <c r="U40" i="61"/>
  <c r="AB40" i="61" s="1"/>
  <c r="Q40" i="61"/>
  <c r="X40" i="61" s="1"/>
  <c r="AA39" i="61"/>
  <c r="Z39" i="61"/>
  <c r="Y39" i="61"/>
  <c r="AE39" i="61" s="1"/>
  <c r="V39" i="61"/>
  <c r="AC39" i="61" s="1"/>
  <c r="U39" i="61"/>
  <c r="AB39" i="61" s="1"/>
  <c r="Q39" i="61"/>
  <c r="X39" i="61" s="1"/>
  <c r="AA38" i="61"/>
  <c r="Z38" i="61"/>
  <c r="Y38" i="61"/>
  <c r="AE38" i="61" s="1"/>
  <c r="V38" i="61"/>
  <c r="AC38" i="61" s="1"/>
  <c r="U38" i="61"/>
  <c r="AB38" i="61" s="1"/>
  <c r="Q38" i="61"/>
  <c r="X38" i="61" s="1"/>
  <c r="AA37" i="61"/>
  <c r="Z37" i="61"/>
  <c r="Y37" i="61"/>
  <c r="AE37" i="61" s="1"/>
  <c r="V37" i="61"/>
  <c r="AC37" i="61" s="1"/>
  <c r="U37" i="61"/>
  <c r="AB37" i="61" s="1"/>
  <c r="Q37" i="61"/>
  <c r="X37" i="61" s="1"/>
  <c r="AA36" i="61"/>
  <c r="Z36" i="61"/>
  <c r="Y36" i="61"/>
  <c r="AE36" i="61" s="1"/>
  <c r="V36" i="61"/>
  <c r="AC36" i="61" s="1"/>
  <c r="U36" i="61"/>
  <c r="AB36" i="61" s="1"/>
  <c r="Q36" i="61"/>
  <c r="X36" i="61" s="1"/>
  <c r="AA35" i="61"/>
  <c r="Z35" i="61"/>
  <c r="Y35" i="61"/>
  <c r="AE35" i="61" s="1"/>
  <c r="V35" i="61"/>
  <c r="AC35" i="61" s="1"/>
  <c r="U35" i="61"/>
  <c r="AB35" i="61" s="1"/>
  <c r="Q35" i="61"/>
  <c r="X35" i="61" s="1"/>
  <c r="AA34" i="61"/>
  <c r="Z34" i="61"/>
  <c r="Y34" i="61"/>
  <c r="AE34" i="61" s="1"/>
  <c r="V34" i="61"/>
  <c r="U34" i="61"/>
  <c r="Q34" i="61"/>
  <c r="X34" i="61" s="1"/>
  <c r="AA33" i="61"/>
  <c r="Z33" i="61"/>
  <c r="Y33" i="61"/>
  <c r="AE33" i="61" s="1"/>
  <c r="U33" i="61"/>
  <c r="Q33" i="61"/>
  <c r="AA32" i="61"/>
  <c r="Z32" i="61"/>
  <c r="Y32" i="61"/>
  <c r="AE32" i="61" s="1"/>
  <c r="V32" i="61"/>
  <c r="AC32" i="61" s="1"/>
  <c r="U32" i="61"/>
  <c r="AB32" i="61" s="1"/>
  <c r="Q32" i="61"/>
  <c r="X32" i="61" s="1"/>
  <c r="AC31" i="61"/>
  <c r="AA31" i="61"/>
  <c r="Z31" i="61"/>
  <c r="Y31" i="61"/>
  <c r="AE31" i="61" s="1"/>
  <c r="AB31" i="61"/>
  <c r="Q31" i="61"/>
  <c r="AA30" i="61"/>
  <c r="Z30" i="61"/>
  <c r="Y30" i="61"/>
  <c r="V30" i="61"/>
  <c r="AC30" i="61" s="1"/>
  <c r="U30" i="61"/>
  <c r="X30" i="61"/>
  <c r="AA29" i="61"/>
  <c r="Z29" i="61"/>
  <c r="Y29" i="61"/>
  <c r="AE29" i="61" s="1"/>
  <c r="V29" i="61"/>
  <c r="AC29" i="61" s="1"/>
  <c r="U29" i="61"/>
  <c r="AB29" i="61" s="1"/>
  <c r="Q29" i="61"/>
  <c r="X29" i="61" s="1"/>
  <c r="AA28" i="61"/>
  <c r="Z28" i="61"/>
  <c r="Y28" i="61"/>
  <c r="AE28" i="61" s="1"/>
  <c r="V28" i="61"/>
  <c r="AC28" i="61" s="1"/>
  <c r="U28" i="61"/>
  <c r="AB28" i="61" s="1"/>
  <c r="Q28" i="61"/>
  <c r="X28" i="61" s="1"/>
  <c r="AA27" i="61"/>
  <c r="Z27" i="61"/>
  <c r="Y27" i="61"/>
  <c r="AE27" i="61" s="1"/>
  <c r="V27" i="61"/>
  <c r="AC27" i="61" s="1"/>
  <c r="U27" i="61"/>
  <c r="AB27" i="61" s="1"/>
  <c r="Q27" i="61"/>
  <c r="X27" i="61" s="1"/>
  <c r="AA26" i="61"/>
  <c r="Z26" i="61"/>
  <c r="Y26" i="61"/>
  <c r="AE26" i="61" s="1"/>
  <c r="V26" i="61"/>
  <c r="AC26" i="61" s="1"/>
  <c r="U26" i="61"/>
  <c r="AB26" i="61" s="1"/>
  <c r="Q26" i="61"/>
  <c r="X26" i="61" s="1"/>
  <c r="AA25" i="61"/>
  <c r="Z25" i="61"/>
  <c r="Y25" i="61"/>
  <c r="AE25" i="61" s="1"/>
  <c r="V25" i="61"/>
  <c r="AC25" i="61" s="1"/>
  <c r="U25" i="61"/>
  <c r="AB25" i="61" s="1"/>
  <c r="Q25" i="61"/>
  <c r="X25" i="61" s="1"/>
  <c r="AA24" i="61"/>
  <c r="Z24" i="61"/>
  <c r="Y24" i="61"/>
  <c r="AE24" i="61" s="1"/>
  <c r="V24" i="61"/>
  <c r="AC24" i="61" s="1"/>
  <c r="U24" i="61"/>
  <c r="AB24" i="61" s="1"/>
  <c r="Q24" i="61"/>
  <c r="X24" i="61" s="1"/>
  <c r="AA23" i="61"/>
  <c r="Z23" i="61"/>
  <c r="Y23" i="61"/>
  <c r="AE23" i="61" s="1"/>
  <c r="V23" i="61"/>
  <c r="AC23" i="61" s="1"/>
  <c r="U23" i="61"/>
  <c r="AB23" i="61" s="1"/>
  <c r="Q23" i="61"/>
  <c r="X23" i="61" s="1"/>
  <c r="AA22" i="61"/>
  <c r="Z22" i="61"/>
  <c r="Y22" i="61"/>
  <c r="AE22" i="61" s="1"/>
  <c r="V22" i="61"/>
  <c r="AC22" i="61" s="1"/>
  <c r="U22" i="61"/>
  <c r="AB22" i="61" s="1"/>
  <c r="Q22" i="61"/>
  <c r="AE21" i="61"/>
  <c r="AA21" i="61"/>
  <c r="Z21" i="61"/>
  <c r="Y21" i="61"/>
  <c r="V21" i="61"/>
  <c r="AC21" i="61" s="1"/>
  <c r="U21" i="61"/>
  <c r="AB21" i="61" s="1"/>
  <c r="Q21" i="61"/>
  <c r="X21" i="61" s="1"/>
  <c r="AA20" i="61"/>
  <c r="Z20" i="61"/>
  <c r="Y20" i="61"/>
  <c r="AE20" i="61" s="1"/>
  <c r="V20" i="61"/>
  <c r="AC20" i="61" s="1"/>
  <c r="U20" i="61"/>
  <c r="AB20" i="61" s="1"/>
  <c r="Q20" i="61"/>
  <c r="X20" i="61" s="1"/>
  <c r="AA19" i="61"/>
  <c r="Z19" i="61"/>
  <c r="Y19" i="61"/>
  <c r="AE19" i="61" s="1"/>
  <c r="V19" i="61"/>
  <c r="AC19" i="61" s="1"/>
  <c r="U19" i="61"/>
  <c r="Q19" i="61"/>
  <c r="X19" i="61" s="1"/>
  <c r="AA18" i="61"/>
  <c r="Z18" i="61"/>
  <c r="Y18" i="61"/>
  <c r="AE18" i="61" s="1"/>
  <c r="V18" i="61"/>
  <c r="AC18" i="61" s="1"/>
  <c r="U18" i="61"/>
  <c r="AB18" i="61" s="1"/>
  <c r="Q18" i="61"/>
  <c r="X18" i="61" s="1"/>
  <c r="AA17" i="61"/>
  <c r="Z17" i="61"/>
  <c r="Y17" i="61"/>
  <c r="AE17" i="61" s="1"/>
  <c r="V17" i="61"/>
  <c r="AC17" i="61" s="1"/>
  <c r="U17" i="61"/>
  <c r="AB17" i="61" s="1"/>
  <c r="Q17" i="61"/>
  <c r="X17" i="61" s="1"/>
  <c r="AA16" i="61"/>
  <c r="Z16" i="61"/>
  <c r="Y16" i="61"/>
  <c r="AE16" i="61" s="1"/>
  <c r="V16" i="61"/>
  <c r="AC16" i="61" s="1"/>
  <c r="U16" i="61"/>
  <c r="AB16" i="61" s="1"/>
  <c r="Q16" i="61"/>
  <c r="X16" i="61" s="1"/>
  <c r="AA15" i="61"/>
  <c r="Z15" i="61"/>
  <c r="Y15" i="61"/>
  <c r="AE15" i="61" s="1"/>
  <c r="V15" i="61"/>
  <c r="AC15" i="61" s="1"/>
  <c r="U15" i="61"/>
  <c r="AB15" i="61" s="1"/>
  <c r="Q15" i="61"/>
  <c r="X15" i="61" s="1"/>
  <c r="AC14" i="61"/>
  <c r="AA14" i="61"/>
  <c r="Z14" i="61"/>
  <c r="Y14" i="61"/>
  <c r="AE14" i="61" s="1"/>
  <c r="U14" i="61"/>
  <c r="AB14" i="61" s="1"/>
  <c r="Q14" i="61"/>
  <c r="X14" i="61" s="1"/>
  <c r="U89" i="61" l="1"/>
  <c r="R107" i="61"/>
  <c r="U78" i="61"/>
  <c r="Z89" i="61"/>
  <c r="AA89" i="61"/>
  <c r="AE78" i="61"/>
  <c r="Y89" i="61"/>
  <c r="Y78" i="61"/>
  <c r="Z78" i="61"/>
  <c r="AA78" i="61"/>
  <c r="AA107" i="61" s="1"/>
  <c r="AB81" i="61"/>
  <c r="AE82" i="61"/>
  <c r="AE89" i="61" s="1"/>
  <c r="AE68" i="60"/>
  <c r="V68" i="60"/>
  <c r="AE107" i="61" l="1"/>
  <c r="Z107" i="61"/>
  <c r="Y107" i="61"/>
  <c r="K109" i="61"/>
  <c r="U107" i="61"/>
  <c r="AB78" i="61"/>
  <c r="AB107" i="61" s="1"/>
  <c r="Q68" i="60"/>
  <c r="X68" i="60" s="1"/>
  <c r="AE91" i="60" l="1"/>
  <c r="U91" i="60"/>
  <c r="Q91" i="60"/>
  <c r="X91" i="60" s="1"/>
  <c r="T89" i="60"/>
  <c r="S89" i="60"/>
  <c r="R89" i="60"/>
  <c r="AB88" i="60"/>
  <c r="AA88" i="60"/>
  <c r="Z88" i="60"/>
  <c r="Y88" i="60"/>
  <c r="AE88" i="60" s="1"/>
  <c r="V88" i="60"/>
  <c r="AC88" i="60" s="1"/>
  <c r="Q88" i="60"/>
  <c r="X88" i="60" s="1"/>
  <c r="AC87" i="60"/>
  <c r="AB87" i="60"/>
  <c r="AA87" i="60"/>
  <c r="Z87" i="60"/>
  <c r="Y87" i="60"/>
  <c r="AE87" i="60" s="1"/>
  <c r="AA86" i="60"/>
  <c r="Z86" i="60"/>
  <c r="Y86" i="60"/>
  <c r="AE86" i="60" s="1"/>
  <c r="V86" i="60"/>
  <c r="AC86" i="60" s="1"/>
  <c r="U86" i="60"/>
  <c r="AB86" i="60" s="1"/>
  <c r="Q86" i="60"/>
  <c r="X86" i="60" s="1"/>
  <c r="AC85" i="60"/>
  <c r="AB85" i="60"/>
  <c r="AA85" i="60"/>
  <c r="Z85" i="60"/>
  <c r="Y85" i="60"/>
  <c r="AE85" i="60" s="1"/>
  <c r="AA84" i="60"/>
  <c r="Z84" i="60"/>
  <c r="Y84" i="60"/>
  <c r="AE84" i="60" s="1"/>
  <c r="V84" i="60"/>
  <c r="AC84" i="60" s="1"/>
  <c r="U84" i="60"/>
  <c r="AB84" i="60" s="1"/>
  <c r="Q84" i="60"/>
  <c r="X84" i="60" s="1"/>
  <c r="AE83" i="60"/>
  <c r="AC83" i="60"/>
  <c r="AA83" i="60"/>
  <c r="AA82" i="60"/>
  <c r="Z82" i="60"/>
  <c r="Y82" i="60"/>
  <c r="AE82" i="60" s="1"/>
  <c r="V82" i="60"/>
  <c r="AC82" i="60" s="1"/>
  <c r="Q82" i="60"/>
  <c r="X82" i="60" s="1"/>
  <c r="AA81" i="60"/>
  <c r="Z81" i="60"/>
  <c r="Y81" i="60"/>
  <c r="AE81" i="60" s="1"/>
  <c r="V81" i="60"/>
  <c r="AC81" i="60" s="1"/>
  <c r="U81" i="60"/>
  <c r="AB81" i="60" s="1"/>
  <c r="Q81" i="60"/>
  <c r="X81" i="60" s="1"/>
  <c r="T78" i="60"/>
  <c r="S78" i="60"/>
  <c r="R78" i="60"/>
  <c r="AA77" i="60"/>
  <c r="Z77" i="60"/>
  <c r="Y77" i="60"/>
  <c r="AE77" i="60" s="1"/>
  <c r="V77" i="60"/>
  <c r="AC77" i="60" s="1"/>
  <c r="U77" i="60"/>
  <c r="AB77" i="60" s="1"/>
  <c r="Q77" i="60"/>
  <c r="X77" i="60" s="1"/>
  <c r="AA76" i="60"/>
  <c r="Z76" i="60"/>
  <c r="Y76" i="60"/>
  <c r="AE76" i="60" s="1"/>
  <c r="V76" i="60"/>
  <c r="AC76" i="60" s="1"/>
  <c r="U76" i="60"/>
  <c r="AB76" i="60" s="1"/>
  <c r="Q76" i="60"/>
  <c r="X76" i="60" s="1"/>
  <c r="AA75" i="60"/>
  <c r="Z75" i="60"/>
  <c r="Y75" i="60"/>
  <c r="AE75" i="60" s="1"/>
  <c r="V75" i="60"/>
  <c r="AC75" i="60" s="1"/>
  <c r="U75" i="60"/>
  <c r="AB75" i="60" s="1"/>
  <c r="Q75" i="60"/>
  <c r="X75" i="60" s="1"/>
  <c r="AA74" i="60"/>
  <c r="Z74" i="60"/>
  <c r="Y74" i="60"/>
  <c r="AE74" i="60" s="1"/>
  <c r="V74" i="60"/>
  <c r="AC74" i="60" s="1"/>
  <c r="U74" i="60"/>
  <c r="AB74" i="60" s="1"/>
  <c r="Q74" i="60"/>
  <c r="X74" i="60" s="1"/>
  <c r="AA73" i="60"/>
  <c r="Z73" i="60"/>
  <c r="Y73" i="60"/>
  <c r="AE73" i="60" s="1"/>
  <c r="V73" i="60"/>
  <c r="AC73" i="60" s="1"/>
  <c r="U73" i="60"/>
  <c r="AB73" i="60" s="1"/>
  <c r="Q73" i="60"/>
  <c r="X73" i="60" s="1"/>
  <c r="AA72" i="60"/>
  <c r="Z72" i="60"/>
  <c r="Y72" i="60"/>
  <c r="AE72" i="60" s="1"/>
  <c r="V72" i="60"/>
  <c r="AC72" i="60" s="1"/>
  <c r="U72" i="60"/>
  <c r="AB72" i="60" s="1"/>
  <c r="Q72" i="60"/>
  <c r="X72" i="60" s="1"/>
  <c r="AA71" i="60"/>
  <c r="Z71" i="60"/>
  <c r="Y71" i="60"/>
  <c r="AE71" i="60" s="1"/>
  <c r="V71" i="60"/>
  <c r="AC71" i="60" s="1"/>
  <c r="U71" i="60"/>
  <c r="Q71" i="60"/>
  <c r="X71" i="60" s="1"/>
  <c r="AA70" i="60"/>
  <c r="Z70" i="60"/>
  <c r="Y70" i="60"/>
  <c r="AE70" i="60" s="1"/>
  <c r="V70" i="60"/>
  <c r="AC70" i="60" s="1"/>
  <c r="U70" i="60"/>
  <c r="AB70" i="60" s="1"/>
  <c r="Q70" i="60"/>
  <c r="X70" i="60" s="1"/>
  <c r="AA69" i="60"/>
  <c r="Z69" i="60"/>
  <c r="Y69" i="60"/>
  <c r="AE69" i="60" s="1"/>
  <c r="V69" i="60"/>
  <c r="AC69" i="60" s="1"/>
  <c r="U69" i="60"/>
  <c r="AB69" i="60" s="1"/>
  <c r="Q69" i="60"/>
  <c r="X69" i="60" s="1"/>
  <c r="AA67" i="60"/>
  <c r="Z67" i="60"/>
  <c r="Y67" i="60"/>
  <c r="AE67" i="60" s="1"/>
  <c r="V67" i="60"/>
  <c r="AC67" i="60" s="1"/>
  <c r="U67" i="60"/>
  <c r="AB67" i="60" s="1"/>
  <c r="Q67" i="60"/>
  <c r="X67" i="60" s="1"/>
  <c r="AA66" i="60"/>
  <c r="Z66" i="60"/>
  <c r="Y66" i="60"/>
  <c r="AE66" i="60" s="1"/>
  <c r="V66" i="60"/>
  <c r="AC66" i="60" s="1"/>
  <c r="U66" i="60"/>
  <c r="AB66" i="60" s="1"/>
  <c r="Q66" i="60"/>
  <c r="X66" i="60" s="1"/>
  <c r="AA65" i="60"/>
  <c r="Z65" i="60"/>
  <c r="Y65" i="60"/>
  <c r="AE65" i="60" s="1"/>
  <c r="V65" i="60"/>
  <c r="AC65" i="60" s="1"/>
  <c r="U65" i="60"/>
  <c r="AB65" i="60" s="1"/>
  <c r="Q65" i="60"/>
  <c r="X65" i="60" s="1"/>
  <c r="AA64" i="60"/>
  <c r="Z64" i="60"/>
  <c r="Y64" i="60"/>
  <c r="AE64" i="60" s="1"/>
  <c r="V64" i="60"/>
  <c r="AC64" i="60" s="1"/>
  <c r="U64" i="60"/>
  <c r="AB64" i="60" s="1"/>
  <c r="Q64" i="60"/>
  <c r="X64" i="60" s="1"/>
  <c r="AA63" i="60"/>
  <c r="Z63" i="60"/>
  <c r="Y63" i="60"/>
  <c r="AE63" i="60" s="1"/>
  <c r="V63" i="60"/>
  <c r="AC63" i="60" s="1"/>
  <c r="U63" i="60"/>
  <c r="AB63" i="60" s="1"/>
  <c r="Q63" i="60"/>
  <c r="X63" i="60" s="1"/>
  <c r="AA62" i="60"/>
  <c r="Z62" i="60"/>
  <c r="Y62" i="60"/>
  <c r="AE62" i="60" s="1"/>
  <c r="V62" i="60"/>
  <c r="AC62" i="60" s="1"/>
  <c r="U62" i="60"/>
  <c r="AB62" i="60" s="1"/>
  <c r="Q62" i="60"/>
  <c r="X62" i="60" s="1"/>
  <c r="AA61" i="60"/>
  <c r="Z61" i="60"/>
  <c r="Y61" i="60"/>
  <c r="AE61" i="60" s="1"/>
  <c r="V61" i="60"/>
  <c r="AC61" i="60" s="1"/>
  <c r="U61" i="60"/>
  <c r="AB61" i="60" s="1"/>
  <c r="Q61" i="60"/>
  <c r="X61" i="60" s="1"/>
  <c r="AA60" i="60"/>
  <c r="Z60" i="60"/>
  <c r="Y60" i="60"/>
  <c r="AE60" i="60" s="1"/>
  <c r="V60" i="60"/>
  <c r="AC60" i="60" s="1"/>
  <c r="U60" i="60"/>
  <c r="AB60" i="60" s="1"/>
  <c r="Q60" i="60"/>
  <c r="X60" i="60" s="1"/>
  <c r="AC59" i="60"/>
  <c r="AB59" i="60"/>
  <c r="AA59" i="60"/>
  <c r="Z59" i="60"/>
  <c r="Y59" i="60"/>
  <c r="AE59" i="60" s="1"/>
  <c r="Q59" i="60"/>
  <c r="X59" i="60" s="1"/>
  <c r="AA58" i="60"/>
  <c r="Z58" i="60"/>
  <c r="Y58" i="60"/>
  <c r="AE58" i="60" s="1"/>
  <c r="V58" i="60"/>
  <c r="AC58" i="60" s="1"/>
  <c r="U58" i="60"/>
  <c r="AB58" i="60" s="1"/>
  <c r="Q58" i="60"/>
  <c r="X58" i="60" s="1"/>
  <c r="AC57" i="60"/>
  <c r="AA57" i="60"/>
  <c r="Z57" i="60"/>
  <c r="Y57" i="60"/>
  <c r="AE57" i="60" s="1"/>
  <c r="X57" i="60"/>
  <c r="U57" i="60"/>
  <c r="AB57" i="60" s="1"/>
  <c r="Q57" i="60"/>
  <c r="AC56" i="60"/>
  <c r="AA56" i="60"/>
  <c r="Z56" i="60"/>
  <c r="Y56" i="60"/>
  <c r="AE56" i="60" s="1"/>
  <c r="U56" i="60"/>
  <c r="AB56" i="60" s="1"/>
  <c r="Q56" i="60"/>
  <c r="AA55" i="60"/>
  <c r="Z55" i="60"/>
  <c r="Y55" i="60"/>
  <c r="AE55" i="60" s="1"/>
  <c r="V55" i="60"/>
  <c r="AC55" i="60" s="1"/>
  <c r="U55" i="60"/>
  <c r="AB55" i="60" s="1"/>
  <c r="Q55" i="60"/>
  <c r="X55" i="60" s="1"/>
  <c r="AA54" i="60"/>
  <c r="Z54" i="60"/>
  <c r="Y54" i="60"/>
  <c r="AE54" i="60" s="1"/>
  <c r="V54" i="60"/>
  <c r="AC54" i="60" s="1"/>
  <c r="U54" i="60"/>
  <c r="AB54" i="60" s="1"/>
  <c r="Q54" i="60"/>
  <c r="X54" i="60" s="1"/>
  <c r="AA53" i="60"/>
  <c r="Z53" i="60"/>
  <c r="Y53" i="60"/>
  <c r="AE53" i="60" s="1"/>
  <c r="V53" i="60"/>
  <c r="AC53" i="60" s="1"/>
  <c r="U53" i="60"/>
  <c r="AB53" i="60" s="1"/>
  <c r="Q53" i="60"/>
  <c r="X53" i="60" s="1"/>
  <c r="AA52" i="60"/>
  <c r="Z52" i="60"/>
  <c r="Y52" i="60"/>
  <c r="AE52" i="60" s="1"/>
  <c r="V52" i="60"/>
  <c r="AC52" i="60" s="1"/>
  <c r="U52" i="60"/>
  <c r="AB52" i="60" s="1"/>
  <c r="Q52" i="60"/>
  <c r="X52" i="60" s="1"/>
  <c r="AC51" i="60"/>
  <c r="AB51" i="60"/>
  <c r="AA51" i="60"/>
  <c r="Z51" i="60"/>
  <c r="Y51" i="60"/>
  <c r="AE51" i="60" s="1"/>
  <c r="Q51" i="60"/>
  <c r="AB50" i="60"/>
  <c r="AA50" i="60"/>
  <c r="Z50" i="60"/>
  <c r="Y50" i="60"/>
  <c r="AE50" i="60" s="1"/>
  <c r="V50" i="60"/>
  <c r="AC50" i="60" s="1"/>
  <c r="Q50" i="60"/>
  <c r="X50" i="60" s="1"/>
  <c r="AA49" i="60"/>
  <c r="Z49" i="60"/>
  <c r="Y49" i="60"/>
  <c r="AE49" i="60" s="1"/>
  <c r="V49" i="60"/>
  <c r="AC49" i="60" s="1"/>
  <c r="U49" i="60"/>
  <c r="AB49" i="60" s="1"/>
  <c r="Q49" i="60"/>
  <c r="X49" i="60" s="1"/>
  <c r="AA48" i="60"/>
  <c r="Z48" i="60"/>
  <c r="Y48" i="60"/>
  <c r="AE48" i="60" s="1"/>
  <c r="V48" i="60"/>
  <c r="AC48" i="60" s="1"/>
  <c r="U48" i="60"/>
  <c r="AB48" i="60" s="1"/>
  <c r="Q48" i="60"/>
  <c r="X48" i="60" s="1"/>
  <c r="AC47" i="60"/>
  <c r="AB47" i="60"/>
  <c r="AA47" i="60"/>
  <c r="Z47" i="60"/>
  <c r="Y47" i="60"/>
  <c r="AE47" i="60" s="1"/>
  <c r="Q47" i="60"/>
  <c r="AA46" i="60"/>
  <c r="Z46" i="60"/>
  <c r="Y46" i="60"/>
  <c r="AE46" i="60" s="1"/>
  <c r="V46" i="60"/>
  <c r="AC46" i="60" s="1"/>
  <c r="U46" i="60"/>
  <c r="AB46" i="60" s="1"/>
  <c r="Q46" i="60"/>
  <c r="X46" i="60" s="1"/>
  <c r="AA45" i="60"/>
  <c r="Z45" i="60"/>
  <c r="Y45" i="60"/>
  <c r="AE45" i="60" s="1"/>
  <c r="V45" i="60"/>
  <c r="AC45" i="60" s="1"/>
  <c r="U45" i="60"/>
  <c r="AB45" i="60" s="1"/>
  <c r="Q45" i="60"/>
  <c r="X45" i="60" s="1"/>
  <c r="AA44" i="60"/>
  <c r="Z44" i="60"/>
  <c r="Y44" i="60"/>
  <c r="AE44" i="60" s="1"/>
  <c r="V44" i="60"/>
  <c r="AC44" i="60" s="1"/>
  <c r="U44" i="60"/>
  <c r="AB44" i="60" s="1"/>
  <c r="Q44" i="60"/>
  <c r="X44" i="60" s="1"/>
  <c r="AA43" i="60"/>
  <c r="Z43" i="60"/>
  <c r="Y43" i="60"/>
  <c r="AE43" i="60" s="1"/>
  <c r="V43" i="60"/>
  <c r="AC43" i="60" s="1"/>
  <c r="U43" i="60"/>
  <c r="AB43" i="60" s="1"/>
  <c r="Q43" i="60"/>
  <c r="X43" i="60" s="1"/>
  <c r="AA42" i="60"/>
  <c r="Z42" i="60"/>
  <c r="Y42" i="60"/>
  <c r="AE42" i="60" s="1"/>
  <c r="V42" i="60"/>
  <c r="AC42" i="60" s="1"/>
  <c r="U42" i="60"/>
  <c r="AB42" i="60" s="1"/>
  <c r="Q42" i="60"/>
  <c r="X42" i="60" s="1"/>
  <c r="AC41" i="60"/>
  <c r="AB41" i="60"/>
  <c r="AA41" i="60"/>
  <c r="Z41" i="60"/>
  <c r="Y41" i="60"/>
  <c r="AE41" i="60" s="1"/>
  <c r="AA40" i="60"/>
  <c r="Z40" i="60"/>
  <c r="Y40" i="60"/>
  <c r="AE40" i="60" s="1"/>
  <c r="V40" i="60"/>
  <c r="AC40" i="60" s="1"/>
  <c r="U40" i="60"/>
  <c r="AB40" i="60" s="1"/>
  <c r="Q40" i="60"/>
  <c r="X40" i="60" s="1"/>
  <c r="AA39" i="60"/>
  <c r="Z39" i="60"/>
  <c r="Y39" i="60"/>
  <c r="AE39" i="60" s="1"/>
  <c r="V39" i="60"/>
  <c r="AC39" i="60" s="1"/>
  <c r="U39" i="60"/>
  <c r="AB39" i="60" s="1"/>
  <c r="Q39" i="60"/>
  <c r="X39" i="60" s="1"/>
  <c r="AA38" i="60"/>
  <c r="Z38" i="60"/>
  <c r="Y38" i="60"/>
  <c r="AE38" i="60" s="1"/>
  <c r="V38" i="60"/>
  <c r="AC38" i="60" s="1"/>
  <c r="U38" i="60"/>
  <c r="AB38" i="60" s="1"/>
  <c r="Q38" i="60"/>
  <c r="X38" i="60" s="1"/>
  <c r="AA37" i="60"/>
  <c r="Z37" i="60"/>
  <c r="Y37" i="60"/>
  <c r="AE37" i="60" s="1"/>
  <c r="V37" i="60"/>
  <c r="AC37" i="60" s="1"/>
  <c r="U37" i="60"/>
  <c r="AB37" i="60" s="1"/>
  <c r="Q37" i="60"/>
  <c r="X37" i="60" s="1"/>
  <c r="AA36" i="60"/>
  <c r="Z36" i="60"/>
  <c r="Y36" i="60"/>
  <c r="AE36" i="60" s="1"/>
  <c r="V36" i="60"/>
  <c r="AC36" i="60" s="1"/>
  <c r="U36" i="60"/>
  <c r="AB36" i="60" s="1"/>
  <c r="Q36" i="60"/>
  <c r="X36" i="60" s="1"/>
  <c r="AA35" i="60"/>
  <c r="Z35" i="60"/>
  <c r="Y35" i="60"/>
  <c r="AE35" i="60" s="1"/>
  <c r="V35" i="60"/>
  <c r="AC35" i="60" s="1"/>
  <c r="U35" i="60"/>
  <c r="AB35" i="60" s="1"/>
  <c r="Q35" i="60"/>
  <c r="X35" i="60" s="1"/>
  <c r="AA34" i="60"/>
  <c r="Z34" i="60"/>
  <c r="Y34" i="60"/>
  <c r="AE34" i="60" s="1"/>
  <c r="V34" i="60"/>
  <c r="U34" i="60"/>
  <c r="Q34" i="60"/>
  <c r="X34" i="60" s="1"/>
  <c r="AA33" i="60"/>
  <c r="Z33" i="60"/>
  <c r="Y33" i="60"/>
  <c r="AE33" i="60" s="1"/>
  <c r="U33" i="60"/>
  <c r="Q33" i="60"/>
  <c r="AC32" i="60"/>
  <c r="AB32" i="60"/>
  <c r="AA32" i="60"/>
  <c r="Z32" i="60"/>
  <c r="Y32" i="60"/>
  <c r="AE32" i="60" s="1"/>
  <c r="Q32" i="60"/>
  <c r="AC31" i="60"/>
  <c r="AB31" i="60"/>
  <c r="AA31" i="60"/>
  <c r="Z31" i="60"/>
  <c r="Y31" i="60"/>
  <c r="AE31" i="60" s="1"/>
  <c r="Q31" i="60"/>
  <c r="AC30" i="60"/>
  <c r="AA30" i="60"/>
  <c r="Z30" i="60"/>
  <c r="Y30" i="60"/>
  <c r="AA29" i="60"/>
  <c r="Z29" i="60"/>
  <c r="Y29" i="60"/>
  <c r="AE29" i="60" s="1"/>
  <c r="V29" i="60"/>
  <c r="AC29" i="60" s="1"/>
  <c r="U29" i="60"/>
  <c r="AB29" i="60" s="1"/>
  <c r="Q29" i="60"/>
  <c r="X29" i="60" s="1"/>
  <c r="AA28" i="60"/>
  <c r="Z28" i="60"/>
  <c r="Y28" i="60"/>
  <c r="AE28" i="60" s="1"/>
  <c r="V28" i="60"/>
  <c r="AC28" i="60" s="1"/>
  <c r="U28" i="60"/>
  <c r="AB28" i="60" s="1"/>
  <c r="Q28" i="60"/>
  <c r="X28" i="60" s="1"/>
  <c r="AA27" i="60"/>
  <c r="Z27" i="60"/>
  <c r="Y27" i="60"/>
  <c r="AE27" i="60" s="1"/>
  <c r="V27" i="60"/>
  <c r="AC27" i="60" s="1"/>
  <c r="U27" i="60"/>
  <c r="AB27" i="60" s="1"/>
  <c r="Q27" i="60"/>
  <c r="X27" i="60" s="1"/>
  <c r="AA26" i="60"/>
  <c r="Z26" i="60"/>
  <c r="Y26" i="60"/>
  <c r="AE26" i="60" s="1"/>
  <c r="V26" i="60"/>
  <c r="AC26" i="60" s="1"/>
  <c r="U26" i="60"/>
  <c r="AB26" i="60" s="1"/>
  <c r="Q26" i="60"/>
  <c r="X26" i="60" s="1"/>
  <c r="AA25" i="60"/>
  <c r="Z25" i="60"/>
  <c r="Y25" i="60"/>
  <c r="AE25" i="60" s="1"/>
  <c r="V25" i="60"/>
  <c r="AC25" i="60" s="1"/>
  <c r="U25" i="60"/>
  <c r="AB25" i="60" s="1"/>
  <c r="Q25" i="60"/>
  <c r="X25" i="60" s="1"/>
  <c r="AA24" i="60"/>
  <c r="Z24" i="60"/>
  <c r="Y24" i="60"/>
  <c r="AE24" i="60" s="1"/>
  <c r="V24" i="60"/>
  <c r="AC24" i="60" s="1"/>
  <c r="U24" i="60"/>
  <c r="AB24" i="60" s="1"/>
  <c r="Q24" i="60"/>
  <c r="X24" i="60" s="1"/>
  <c r="AA23" i="60"/>
  <c r="Z23" i="60"/>
  <c r="Y23" i="60"/>
  <c r="AE23" i="60" s="1"/>
  <c r="V23" i="60"/>
  <c r="AC23" i="60" s="1"/>
  <c r="U23" i="60"/>
  <c r="AB23" i="60" s="1"/>
  <c r="Q23" i="60"/>
  <c r="X23" i="60" s="1"/>
  <c r="AA22" i="60"/>
  <c r="Z22" i="60"/>
  <c r="Y22" i="60"/>
  <c r="AE22" i="60" s="1"/>
  <c r="V22" i="60"/>
  <c r="AC22" i="60" s="1"/>
  <c r="U22" i="60"/>
  <c r="AB22" i="60" s="1"/>
  <c r="Q22" i="60"/>
  <c r="AA21" i="60"/>
  <c r="Z21" i="60"/>
  <c r="Y21" i="60"/>
  <c r="AE21" i="60" s="1"/>
  <c r="V21" i="60"/>
  <c r="AC21" i="60" s="1"/>
  <c r="U21" i="60"/>
  <c r="AB21" i="60" s="1"/>
  <c r="Q21" i="60"/>
  <c r="X21" i="60" s="1"/>
  <c r="AA20" i="60"/>
  <c r="Z20" i="60"/>
  <c r="Y20" i="60"/>
  <c r="AE20" i="60" s="1"/>
  <c r="V20" i="60"/>
  <c r="AC20" i="60" s="1"/>
  <c r="U20" i="60"/>
  <c r="AB20" i="60" s="1"/>
  <c r="Q20" i="60"/>
  <c r="X20" i="60" s="1"/>
  <c r="AA19" i="60"/>
  <c r="Z19" i="60"/>
  <c r="Y19" i="60"/>
  <c r="AE19" i="60" s="1"/>
  <c r="V19" i="60"/>
  <c r="AC19" i="60" s="1"/>
  <c r="U19" i="60"/>
  <c r="Q19" i="60"/>
  <c r="X19" i="60" s="1"/>
  <c r="AA18" i="60"/>
  <c r="Z18" i="60"/>
  <c r="Y18" i="60"/>
  <c r="AE18" i="60" s="1"/>
  <c r="X18" i="60"/>
  <c r="V18" i="60"/>
  <c r="AC18" i="60" s="1"/>
  <c r="U18" i="60"/>
  <c r="AB18" i="60" s="1"/>
  <c r="Q18" i="60"/>
  <c r="AA17" i="60"/>
  <c r="Z17" i="60"/>
  <c r="Y17" i="60"/>
  <c r="AE17" i="60" s="1"/>
  <c r="X17" i="60"/>
  <c r="V17" i="60"/>
  <c r="AC17" i="60" s="1"/>
  <c r="U17" i="60"/>
  <c r="AB17" i="60" s="1"/>
  <c r="Q17" i="60"/>
  <c r="AA16" i="60"/>
  <c r="Z16" i="60"/>
  <c r="Y16" i="60"/>
  <c r="AE16" i="60" s="1"/>
  <c r="V16" i="60"/>
  <c r="AC16" i="60" s="1"/>
  <c r="U16" i="60"/>
  <c r="AB16" i="60" s="1"/>
  <c r="Q16" i="60"/>
  <c r="X16" i="60" s="1"/>
  <c r="AA15" i="60"/>
  <c r="Z15" i="60"/>
  <c r="Y15" i="60"/>
  <c r="AE15" i="60" s="1"/>
  <c r="V15" i="60"/>
  <c r="AC15" i="60" s="1"/>
  <c r="U15" i="60"/>
  <c r="AB15" i="60" s="1"/>
  <c r="Q15" i="60"/>
  <c r="X15" i="60" s="1"/>
  <c r="AA14" i="60"/>
  <c r="Z14" i="60"/>
  <c r="Y14" i="60"/>
  <c r="V14" i="60"/>
  <c r="AC14" i="60" s="1"/>
  <c r="U14" i="60"/>
  <c r="AB14" i="60" s="1"/>
  <c r="Q14" i="60"/>
  <c r="X14" i="60" s="1"/>
  <c r="AE89" i="60" l="1"/>
  <c r="R109" i="60"/>
  <c r="Z89" i="60"/>
  <c r="AA89" i="60"/>
  <c r="S109" i="60"/>
  <c r="T109" i="60"/>
  <c r="Y89" i="60"/>
  <c r="U78" i="60"/>
  <c r="Y78" i="60"/>
  <c r="Z78" i="60"/>
  <c r="Z109" i="60" s="1"/>
  <c r="AE14" i="60"/>
  <c r="AE78" i="60" s="1"/>
  <c r="AA78" i="60"/>
  <c r="U89" i="60"/>
  <c r="S88" i="59"/>
  <c r="R88" i="59"/>
  <c r="U109" i="60" l="1"/>
  <c r="Y109" i="60"/>
  <c r="AE109" i="60"/>
  <c r="K111" i="60" s="1"/>
  <c r="AB78" i="60"/>
  <c r="AB109" i="60" s="1"/>
  <c r="AA109" i="60"/>
  <c r="R77" i="59"/>
  <c r="Q60" i="59"/>
  <c r="Q61" i="59"/>
  <c r="Q62" i="59"/>
  <c r="Q63" i="59"/>
  <c r="Q64" i="59"/>
  <c r="Q65" i="59"/>
  <c r="Q66" i="59"/>
  <c r="Q67" i="59"/>
  <c r="Q68" i="59"/>
  <c r="Q69" i="59"/>
  <c r="Q70" i="59"/>
  <c r="Q73" i="59" l="1"/>
  <c r="X73" i="59" s="1"/>
  <c r="U73" i="59"/>
  <c r="AB73" i="59" s="1"/>
  <c r="V73" i="59"/>
  <c r="Y73" i="59"/>
  <c r="AE73" i="59" s="1"/>
  <c r="Z73" i="59"/>
  <c r="AA73" i="59"/>
  <c r="AC73" i="59"/>
  <c r="AC90" i="59" l="1"/>
  <c r="AA90" i="59"/>
  <c r="Z90" i="59"/>
  <c r="Y90" i="59"/>
  <c r="AE90" i="59" s="1"/>
  <c r="U90" i="59"/>
  <c r="AB90" i="59" s="1"/>
  <c r="Q90" i="59"/>
  <c r="X90" i="59" s="1"/>
  <c r="T88" i="59"/>
  <c r="AB87" i="59"/>
  <c r="AA87" i="59"/>
  <c r="Z87" i="59"/>
  <c r="Y87" i="59"/>
  <c r="AE87" i="59" s="1"/>
  <c r="V87" i="59"/>
  <c r="AC87" i="59" s="1"/>
  <c r="Q87" i="59"/>
  <c r="X87" i="59" s="1"/>
  <c r="AC86" i="59"/>
  <c r="AB86" i="59"/>
  <c r="AA86" i="59"/>
  <c r="Z86" i="59"/>
  <c r="Y86" i="59"/>
  <c r="AE86" i="59" s="1"/>
  <c r="AA85" i="59"/>
  <c r="Z85" i="59"/>
  <c r="Y85" i="59"/>
  <c r="AE85" i="59" s="1"/>
  <c r="V85" i="59"/>
  <c r="AC85" i="59" s="1"/>
  <c r="U85" i="59"/>
  <c r="AB85" i="59" s="1"/>
  <c r="Q85" i="59"/>
  <c r="X85" i="59" s="1"/>
  <c r="AC84" i="59"/>
  <c r="AB84" i="59"/>
  <c r="AA84" i="59"/>
  <c r="Z84" i="59"/>
  <c r="Y84" i="59"/>
  <c r="AE84" i="59" s="1"/>
  <c r="AA83" i="59"/>
  <c r="Z83" i="59"/>
  <c r="Y83" i="59"/>
  <c r="AE83" i="59" s="1"/>
  <c r="V83" i="59"/>
  <c r="AC83" i="59" s="1"/>
  <c r="U83" i="59"/>
  <c r="AB83" i="59" s="1"/>
  <c r="Q83" i="59"/>
  <c r="X83" i="59" s="1"/>
  <c r="AE82" i="59"/>
  <c r="AC82" i="59"/>
  <c r="AA82" i="59"/>
  <c r="AA81" i="59"/>
  <c r="Z81" i="59"/>
  <c r="Y81" i="59"/>
  <c r="AE81" i="59" s="1"/>
  <c r="V81" i="59"/>
  <c r="AC81" i="59" s="1"/>
  <c r="Q81" i="59"/>
  <c r="X81" i="59" s="1"/>
  <c r="AA80" i="59"/>
  <c r="Z80" i="59"/>
  <c r="Y80" i="59"/>
  <c r="V80" i="59"/>
  <c r="AC80" i="59" s="1"/>
  <c r="U80" i="59"/>
  <c r="Q80" i="59"/>
  <c r="X80" i="59" s="1"/>
  <c r="T77" i="59"/>
  <c r="S77" i="59"/>
  <c r="S108" i="59" s="1"/>
  <c r="AA76" i="59"/>
  <c r="Z76" i="59"/>
  <c r="Y76" i="59"/>
  <c r="AE76" i="59" s="1"/>
  <c r="V76" i="59"/>
  <c r="AC76" i="59" s="1"/>
  <c r="U76" i="59"/>
  <c r="AB76" i="59" s="1"/>
  <c r="Q76" i="59"/>
  <c r="X76" i="59" s="1"/>
  <c r="AA75" i="59"/>
  <c r="Z75" i="59"/>
  <c r="Y75" i="59"/>
  <c r="AE75" i="59" s="1"/>
  <c r="V75" i="59"/>
  <c r="AC75" i="59" s="1"/>
  <c r="U75" i="59"/>
  <c r="AB75" i="59" s="1"/>
  <c r="Q75" i="59"/>
  <c r="X75" i="59" s="1"/>
  <c r="AA74" i="59"/>
  <c r="Z74" i="59"/>
  <c r="Y74" i="59"/>
  <c r="AE74" i="59" s="1"/>
  <c r="V74" i="59"/>
  <c r="AC74" i="59" s="1"/>
  <c r="U74" i="59"/>
  <c r="AB74" i="59" s="1"/>
  <c r="Q74" i="59"/>
  <c r="X74" i="59" s="1"/>
  <c r="AA72" i="59"/>
  <c r="Z72" i="59"/>
  <c r="Y72" i="59"/>
  <c r="AE72" i="59" s="1"/>
  <c r="V72" i="59"/>
  <c r="AC72" i="59" s="1"/>
  <c r="U72" i="59"/>
  <c r="AB72" i="59" s="1"/>
  <c r="Q72" i="59"/>
  <c r="X72" i="59" s="1"/>
  <c r="AA71" i="59"/>
  <c r="Z71" i="59"/>
  <c r="Y71" i="59"/>
  <c r="AE71" i="59" s="1"/>
  <c r="V71" i="59"/>
  <c r="AC71" i="59" s="1"/>
  <c r="U71" i="59"/>
  <c r="AB71" i="59" s="1"/>
  <c r="Q71" i="59"/>
  <c r="X71" i="59" s="1"/>
  <c r="AA70" i="59"/>
  <c r="Z70" i="59"/>
  <c r="Y70" i="59"/>
  <c r="AE70" i="59" s="1"/>
  <c r="V70" i="59"/>
  <c r="AC70" i="59" s="1"/>
  <c r="U70" i="59"/>
  <c r="X70" i="59"/>
  <c r="AA69" i="59"/>
  <c r="Z69" i="59"/>
  <c r="Y69" i="59"/>
  <c r="AE69" i="59" s="1"/>
  <c r="V69" i="59"/>
  <c r="AC69" i="59" s="1"/>
  <c r="U69" i="59"/>
  <c r="AB69" i="59" s="1"/>
  <c r="X69" i="59"/>
  <c r="AA68" i="59"/>
  <c r="Z68" i="59"/>
  <c r="Y68" i="59"/>
  <c r="AE68" i="59" s="1"/>
  <c r="V68" i="59"/>
  <c r="AC68" i="59" s="1"/>
  <c r="U68" i="59"/>
  <c r="AB68" i="59" s="1"/>
  <c r="X68" i="59"/>
  <c r="AA67" i="59"/>
  <c r="Z67" i="59"/>
  <c r="Y67" i="59"/>
  <c r="AE67" i="59" s="1"/>
  <c r="V67" i="59"/>
  <c r="U67" i="59"/>
  <c r="AB67" i="59" s="1"/>
  <c r="X67" i="59"/>
  <c r="AA66" i="59"/>
  <c r="Z66" i="59"/>
  <c r="Y66" i="59"/>
  <c r="AE66" i="59" s="1"/>
  <c r="V66" i="59"/>
  <c r="U66" i="59"/>
  <c r="AB66" i="59" s="1"/>
  <c r="X66" i="59"/>
  <c r="AA65" i="59"/>
  <c r="Z65" i="59"/>
  <c r="Y65" i="59"/>
  <c r="AE65" i="59" s="1"/>
  <c r="V65" i="59"/>
  <c r="AC65" i="59" s="1"/>
  <c r="U65" i="59"/>
  <c r="AB65" i="59" s="1"/>
  <c r="X65" i="59"/>
  <c r="AA64" i="59"/>
  <c r="Z64" i="59"/>
  <c r="Y64" i="59"/>
  <c r="AE64" i="59" s="1"/>
  <c r="V64" i="59"/>
  <c r="AC64" i="59" s="1"/>
  <c r="U64" i="59"/>
  <c r="AB64" i="59" s="1"/>
  <c r="X64" i="59"/>
  <c r="AA63" i="59"/>
  <c r="Z63" i="59"/>
  <c r="Y63" i="59"/>
  <c r="AE63" i="59" s="1"/>
  <c r="V63" i="59"/>
  <c r="AC63" i="59" s="1"/>
  <c r="U63" i="59"/>
  <c r="AB63" i="59" s="1"/>
  <c r="X63" i="59"/>
  <c r="AA62" i="59"/>
  <c r="Z62" i="59"/>
  <c r="Y62" i="59"/>
  <c r="AE62" i="59" s="1"/>
  <c r="V62" i="59"/>
  <c r="AC62" i="59" s="1"/>
  <c r="U62" i="59"/>
  <c r="AB62" i="59" s="1"/>
  <c r="X62" i="59"/>
  <c r="AA61" i="59"/>
  <c r="Z61" i="59"/>
  <c r="Y61" i="59"/>
  <c r="AE61" i="59" s="1"/>
  <c r="V61" i="59"/>
  <c r="U61" i="59"/>
  <c r="AB61" i="59" s="1"/>
  <c r="X61" i="59"/>
  <c r="AA60" i="59"/>
  <c r="Z60" i="59"/>
  <c r="Y60" i="59"/>
  <c r="AE60" i="59" s="1"/>
  <c r="V60" i="59"/>
  <c r="AC60" i="59" s="1"/>
  <c r="U60" i="59"/>
  <c r="AB60" i="59" s="1"/>
  <c r="X60" i="59"/>
  <c r="AA59" i="59"/>
  <c r="Z59" i="59"/>
  <c r="Y59" i="59"/>
  <c r="AE59" i="59" s="1"/>
  <c r="AC59" i="59"/>
  <c r="AB59" i="59"/>
  <c r="Q59" i="59"/>
  <c r="X59" i="59" s="1"/>
  <c r="AA58" i="59"/>
  <c r="Z58" i="59"/>
  <c r="Y58" i="59"/>
  <c r="AE58" i="59" s="1"/>
  <c r="V58" i="59"/>
  <c r="AC58" i="59" s="1"/>
  <c r="U58" i="59"/>
  <c r="AB58" i="59" s="1"/>
  <c r="Q58" i="59"/>
  <c r="X58" i="59" s="1"/>
  <c r="AC57" i="59"/>
  <c r="AA57" i="59"/>
  <c r="Z57" i="59"/>
  <c r="Y57" i="59"/>
  <c r="AE57" i="59" s="1"/>
  <c r="X57" i="59"/>
  <c r="U57" i="59"/>
  <c r="AB57" i="59" s="1"/>
  <c r="Q57" i="59"/>
  <c r="AC56" i="59"/>
  <c r="AA56" i="59"/>
  <c r="Z56" i="59"/>
  <c r="Y56" i="59"/>
  <c r="AE56" i="59" s="1"/>
  <c r="U56" i="59"/>
  <c r="AB56" i="59" s="1"/>
  <c r="Q56" i="59"/>
  <c r="AA55" i="59"/>
  <c r="Z55" i="59"/>
  <c r="Y55" i="59"/>
  <c r="AE55" i="59" s="1"/>
  <c r="V55" i="59"/>
  <c r="AC55" i="59" s="1"/>
  <c r="U55" i="59"/>
  <c r="AB55" i="59" s="1"/>
  <c r="Q55" i="59"/>
  <c r="X55" i="59" s="1"/>
  <c r="AA54" i="59"/>
  <c r="Z54" i="59"/>
  <c r="Y54" i="59"/>
  <c r="AE54" i="59" s="1"/>
  <c r="V54" i="59"/>
  <c r="AC54" i="59" s="1"/>
  <c r="U54" i="59"/>
  <c r="AB54" i="59" s="1"/>
  <c r="Q54" i="59"/>
  <c r="X54" i="59" s="1"/>
  <c r="AA53" i="59"/>
  <c r="Z53" i="59"/>
  <c r="Y53" i="59"/>
  <c r="AE53" i="59" s="1"/>
  <c r="V53" i="59"/>
  <c r="AC53" i="59" s="1"/>
  <c r="U53" i="59"/>
  <c r="AB53" i="59" s="1"/>
  <c r="Q53" i="59"/>
  <c r="X53" i="59" s="1"/>
  <c r="AA52" i="59"/>
  <c r="Z52" i="59"/>
  <c r="Y52" i="59"/>
  <c r="AE52" i="59" s="1"/>
  <c r="V52" i="59"/>
  <c r="AC52" i="59" s="1"/>
  <c r="U52" i="59"/>
  <c r="AB52" i="59" s="1"/>
  <c r="Q52" i="59"/>
  <c r="X52" i="59" s="1"/>
  <c r="AC51" i="59"/>
  <c r="AB51" i="59"/>
  <c r="AA51" i="59"/>
  <c r="Z51" i="59"/>
  <c r="Y51" i="59"/>
  <c r="AE51" i="59" s="1"/>
  <c r="Q51" i="59"/>
  <c r="AB50" i="59"/>
  <c r="AA50" i="59"/>
  <c r="Z50" i="59"/>
  <c r="Y50" i="59"/>
  <c r="AE50" i="59" s="1"/>
  <c r="V50" i="59"/>
  <c r="AC50" i="59" s="1"/>
  <c r="Q50" i="59"/>
  <c r="X50" i="59" s="1"/>
  <c r="AA49" i="59"/>
  <c r="Z49" i="59"/>
  <c r="Y49" i="59"/>
  <c r="AE49" i="59" s="1"/>
  <c r="V49" i="59"/>
  <c r="AC49" i="59" s="1"/>
  <c r="U49" i="59"/>
  <c r="AB49" i="59" s="1"/>
  <c r="Q49" i="59"/>
  <c r="X49" i="59" s="1"/>
  <c r="AE48" i="59"/>
  <c r="AA48" i="59"/>
  <c r="Z48" i="59"/>
  <c r="Y48" i="59"/>
  <c r="V48" i="59"/>
  <c r="AC48" i="59" s="1"/>
  <c r="U48" i="59"/>
  <c r="AB48" i="59" s="1"/>
  <c r="Q48" i="59"/>
  <c r="X48" i="59" s="1"/>
  <c r="AC47" i="59"/>
  <c r="AB47" i="59"/>
  <c r="AA47" i="59"/>
  <c r="Z47" i="59"/>
  <c r="Y47" i="59"/>
  <c r="AE47" i="59" s="1"/>
  <c r="Q47" i="59"/>
  <c r="AA46" i="59"/>
  <c r="Z46" i="59"/>
  <c r="Y46" i="59"/>
  <c r="AE46" i="59" s="1"/>
  <c r="V46" i="59"/>
  <c r="AC46" i="59" s="1"/>
  <c r="U46" i="59"/>
  <c r="AB46" i="59" s="1"/>
  <c r="Q46" i="59"/>
  <c r="X46" i="59" s="1"/>
  <c r="AA45" i="59"/>
  <c r="Z45" i="59"/>
  <c r="Y45" i="59"/>
  <c r="AE45" i="59" s="1"/>
  <c r="V45" i="59"/>
  <c r="AC45" i="59" s="1"/>
  <c r="U45" i="59"/>
  <c r="AB45" i="59" s="1"/>
  <c r="Q45" i="59"/>
  <c r="X45" i="59" s="1"/>
  <c r="AA44" i="59"/>
  <c r="Z44" i="59"/>
  <c r="Y44" i="59"/>
  <c r="AE44" i="59" s="1"/>
  <c r="V44" i="59"/>
  <c r="AC44" i="59" s="1"/>
  <c r="U44" i="59"/>
  <c r="AB44" i="59" s="1"/>
  <c r="Q44" i="59"/>
  <c r="X44" i="59" s="1"/>
  <c r="AA43" i="59"/>
  <c r="Z43" i="59"/>
  <c r="Y43" i="59"/>
  <c r="AE43" i="59" s="1"/>
  <c r="V43" i="59"/>
  <c r="AC43" i="59" s="1"/>
  <c r="U43" i="59"/>
  <c r="AB43" i="59" s="1"/>
  <c r="Q43" i="59"/>
  <c r="X43" i="59" s="1"/>
  <c r="AA42" i="59"/>
  <c r="Z42" i="59"/>
  <c r="Y42" i="59"/>
  <c r="AE42" i="59" s="1"/>
  <c r="V42" i="59"/>
  <c r="AC42" i="59" s="1"/>
  <c r="U42" i="59"/>
  <c r="AB42" i="59" s="1"/>
  <c r="Q42" i="59"/>
  <c r="X42" i="59" s="1"/>
  <c r="AC41" i="59"/>
  <c r="AB41" i="59"/>
  <c r="AA41" i="59"/>
  <c r="Z41" i="59"/>
  <c r="Y41" i="59"/>
  <c r="AE41" i="59" s="1"/>
  <c r="AA40" i="59"/>
  <c r="Z40" i="59"/>
  <c r="Y40" i="59"/>
  <c r="AE40" i="59" s="1"/>
  <c r="V40" i="59"/>
  <c r="AC40" i="59" s="1"/>
  <c r="U40" i="59"/>
  <c r="AB40" i="59" s="1"/>
  <c r="Q40" i="59"/>
  <c r="X40" i="59" s="1"/>
  <c r="AA39" i="59"/>
  <c r="Z39" i="59"/>
  <c r="Y39" i="59"/>
  <c r="AE39" i="59" s="1"/>
  <c r="V39" i="59"/>
  <c r="AC39" i="59" s="1"/>
  <c r="U39" i="59"/>
  <c r="AB39" i="59" s="1"/>
  <c r="Q39" i="59"/>
  <c r="X39" i="59" s="1"/>
  <c r="AA38" i="59"/>
  <c r="Z38" i="59"/>
  <c r="Y38" i="59"/>
  <c r="AE38" i="59" s="1"/>
  <c r="V38" i="59"/>
  <c r="AC38" i="59" s="1"/>
  <c r="U38" i="59"/>
  <c r="AB38" i="59" s="1"/>
  <c r="Q38" i="59"/>
  <c r="X38" i="59" s="1"/>
  <c r="AA37" i="59"/>
  <c r="Z37" i="59"/>
  <c r="Y37" i="59"/>
  <c r="AE37" i="59" s="1"/>
  <c r="V37" i="59"/>
  <c r="AC37" i="59" s="1"/>
  <c r="U37" i="59"/>
  <c r="AB37" i="59" s="1"/>
  <c r="Q37" i="59"/>
  <c r="X37" i="59" s="1"/>
  <c r="AA36" i="59"/>
  <c r="Z36" i="59"/>
  <c r="Y36" i="59"/>
  <c r="AE36" i="59" s="1"/>
  <c r="V36" i="59"/>
  <c r="AC36" i="59" s="1"/>
  <c r="U36" i="59"/>
  <c r="AB36" i="59" s="1"/>
  <c r="Q36" i="59"/>
  <c r="X36" i="59" s="1"/>
  <c r="AA35" i="59"/>
  <c r="Z35" i="59"/>
  <c r="Y35" i="59"/>
  <c r="AE35" i="59" s="1"/>
  <c r="V35" i="59"/>
  <c r="AC35" i="59" s="1"/>
  <c r="U35" i="59"/>
  <c r="AB35" i="59" s="1"/>
  <c r="Q35" i="59"/>
  <c r="X35" i="59" s="1"/>
  <c r="AA34" i="59"/>
  <c r="Z34" i="59"/>
  <c r="Y34" i="59"/>
  <c r="AE34" i="59" s="1"/>
  <c r="V34" i="59"/>
  <c r="U34" i="59"/>
  <c r="Q34" i="59"/>
  <c r="X34" i="59" s="1"/>
  <c r="AA33" i="59"/>
  <c r="Z33" i="59"/>
  <c r="Y33" i="59"/>
  <c r="AE33" i="59" s="1"/>
  <c r="U33" i="59"/>
  <c r="Q33" i="59"/>
  <c r="AA32" i="59"/>
  <c r="Z32" i="59"/>
  <c r="Y32" i="59"/>
  <c r="AE32" i="59" s="1"/>
  <c r="AC32" i="59"/>
  <c r="AB32" i="59"/>
  <c r="Q32" i="59"/>
  <c r="AC31" i="59"/>
  <c r="AB31" i="59"/>
  <c r="AA31" i="59"/>
  <c r="Z31" i="59"/>
  <c r="Y31" i="59"/>
  <c r="AE31" i="59" s="1"/>
  <c r="Q31" i="59"/>
  <c r="AC30" i="59"/>
  <c r="AA30" i="59"/>
  <c r="Z30" i="59"/>
  <c r="Y30" i="59"/>
  <c r="AA29" i="59"/>
  <c r="Z29" i="59"/>
  <c r="Y29" i="59"/>
  <c r="AE29" i="59" s="1"/>
  <c r="X29" i="59"/>
  <c r="V29" i="59"/>
  <c r="AC29" i="59" s="1"/>
  <c r="U29" i="59"/>
  <c r="AB29" i="59" s="1"/>
  <c r="Q29" i="59"/>
  <c r="AA28" i="59"/>
  <c r="Z28" i="59"/>
  <c r="Y28" i="59"/>
  <c r="AE28" i="59" s="1"/>
  <c r="V28" i="59"/>
  <c r="AC28" i="59" s="1"/>
  <c r="U28" i="59"/>
  <c r="AB28" i="59" s="1"/>
  <c r="Q28" i="59"/>
  <c r="X28" i="59" s="1"/>
  <c r="AA27" i="59"/>
  <c r="Z27" i="59"/>
  <c r="Y27" i="59"/>
  <c r="AE27" i="59" s="1"/>
  <c r="V27" i="59"/>
  <c r="AC27" i="59" s="1"/>
  <c r="U27" i="59"/>
  <c r="AB27" i="59" s="1"/>
  <c r="Q27" i="59"/>
  <c r="X27" i="59" s="1"/>
  <c r="AA26" i="59"/>
  <c r="Z26" i="59"/>
  <c r="Y26" i="59"/>
  <c r="AE26" i="59" s="1"/>
  <c r="V26" i="59"/>
  <c r="AC26" i="59" s="1"/>
  <c r="U26" i="59"/>
  <c r="AB26" i="59" s="1"/>
  <c r="Q26" i="59"/>
  <c r="X26" i="59" s="1"/>
  <c r="AA25" i="59"/>
  <c r="Z25" i="59"/>
  <c r="Y25" i="59"/>
  <c r="AE25" i="59" s="1"/>
  <c r="V25" i="59"/>
  <c r="AC25" i="59" s="1"/>
  <c r="U25" i="59"/>
  <c r="AB25" i="59" s="1"/>
  <c r="Q25" i="59"/>
  <c r="X25" i="59" s="1"/>
  <c r="AA24" i="59"/>
  <c r="Z24" i="59"/>
  <c r="Y24" i="59"/>
  <c r="AE24" i="59" s="1"/>
  <c r="V24" i="59"/>
  <c r="AC24" i="59" s="1"/>
  <c r="U24" i="59"/>
  <c r="AB24" i="59" s="1"/>
  <c r="Q24" i="59"/>
  <c r="X24" i="59" s="1"/>
  <c r="AA23" i="59"/>
  <c r="Z23" i="59"/>
  <c r="Y23" i="59"/>
  <c r="AE23" i="59" s="1"/>
  <c r="V23" i="59"/>
  <c r="AC23" i="59" s="1"/>
  <c r="U23" i="59"/>
  <c r="AB23" i="59" s="1"/>
  <c r="Q23" i="59"/>
  <c r="X23" i="59" s="1"/>
  <c r="AA22" i="59"/>
  <c r="Z22" i="59"/>
  <c r="Y22" i="59"/>
  <c r="AE22" i="59" s="1"/>
  <c r="V22" i="59"/>
  <c r="AC22" i="59" s="1"/>
  <c r="U22" i="59"/>
  <c r="AB22" i="59" s="1"/>
  <c r="Q22" i="59"/>
  <c r="AA21" i="59"/>
  <c r="Z21" i="59"/>
  <c r="Y21" i="59"/>
  <c r="AE21" i="59" s="1"/>
  <c r="V21" i="59"/>
  <c r="AC21" i="59" s="1"/>
  <c r="U21" i="59"/>
  <c r="AB21" i="59" s="1"/>
  <c r="Q21" i="59"/>
  <c r="X21" i="59" s="1"/>
  <c r="AA20" i="59"/>
  <c r="Z20" i="59"/>
  <c r="Y20" i="59"/>
  <c r="AE20" i="59" s="1"/>
  <c r="X20" i="59"/>
  <c r="V20" i="59"/>
  <c r="AC20" i="59" s="1"/>
  <c r="U20" i="59"/>
  <c r="AB20" i="59" s="1"/>
  <c r="Q20" i="59"/>
  <c r="AA19" i="59"/>
  <c r="Z19" i="59"/>
  <c r="Y19" i="59"/>
  <c r="AE19" i="59" s="1"/>
  <c r="V19" i="59"/>
  <c r="AC19" i="59" s="1"/>
  <c r="U19" i="59"/>
  <c r="Q19" i="59"/>
  <c r="X19" i="59" s="1"/>
  <c r="AA18" i="59"/>
  <c r="Z18" i="59"/>
  <c r="Y18" i="59"/>
  <c r="AE18" i="59" s="1"/>
  <c r="V18" i="59"/>
  <c r="AC18" i="59" s="1"/>
  <c r="U18" i="59"/>
  <c r="AB18" i="59" s="1"/>
  <c r="Q18" i="59"/>
  <c r="X18" i="59" s="1"/>
  <c r="AA17" i="59"/>
  <c r="Z17" i="59"/>
  <c r="Y17" i="59"/>
  <c r="AE17" i="59" s="1"/>
  <c r="V17" i="59"/>
  <c r="AC17" i="59" s="1"/>
  <c r="U17" i="59"/>
  <c r="AB17" i="59" s="1"/>
  <c r="Q17" i="59"/>
  <c r="X17" i="59" s="1"/>
  <c r="AA16" i="59"/>
  <c r="Z16" i="59"/>
  <c r="Y16" i="59"/>
  <c r="AE16" i="59" s="1"/>
  <c r="V16" i="59"/>
  <c r="AC16" i="59" s="1"/>
  <c r="U16" i="59"/>
  <c r="AB16" i="59" s="1"/>
  <c r="Q16" i="59"/>
  <c r="X16" i="59" s="1"/>
  <c r="AA15" i="59"/>
  <c r="Z15" i="59"/>
  <c r="Y15" i="59"/>
  <c r="AE15" i="59" s="1"/>
  <c r="V15" i="59"/>
  <c r="AC15" i="59" s="1"/>
  <c r="U15" i="59"/>
  <c r="AB15" i="59" s="1"/>
  <c r="Q15" i="59"/>
  <c r="X15" i="59" s="1"/>
  <c r="AA14" i="59"/>
  <c r="Z14" i="59"/>
  <c r="Y14" i="59"/>
  <c r="AE14" i="59" s="1"/>
  <c r="V14" i="59"/>
  <c r="AC14" i="59" s="1"/>
  <c r="U14" i="59"/>
  <c r="AB14" i="59" s="1"/>
  <c r="Q14" i="59"/>
  <c r="X14" i="59" s="1"/>
  <c r="AE80" i="59" l="1"/>
  <c r="AE88" i="59" s="1"/>
  <c r="Y88" i="59"/>
  <c r="Z88" i="59"/>
  <c r="U88" i="59"/>
  <c r="U77" i="59"/>
  <c r="T108" i="59"/>
  <c r="AA88" i="59"/>
  <c r="AB80" i="59"/>
  <c r="AA77" i="59"/>
  <c r="R108" i="59"/>
  <c r="Y77" i="59"/>
  <c r="Y108" i="59" s="1"/>
  <c r="AE77" i="59"/>
  <c r="Z77" i="59"/>
  <c r="V50" i="58"/>
  <c r="Z108" i="59" l="1"/>
  <c r="AA108" i="59"/>
  <c r="AB77" i="59"/>
  <c r="AB108" i="59" s="1"/>
  <c r="U108" i="59"/>
  <c r="AE108" i="59"/>
  <c r="K110" i="59" s="1"/>
  <c r="AA86" i="58"/>
  <c r="Z86" i="58"/>
  <c r="Y86" i="58"/>
  <c r="AE86" i="58" s="1"/>
  <c r="V86" i="58"/>
  <c r="AC86" i="58" s="1"/>
  <c r="AB86" i="58"/>
  <c r="Q86" i="58"/>
  <c r="X86" i="58" s="1"/>
  <c r="AC85" i="58"/>
  <c r="AB85" i="58"/>
  <c r="AA85" i="58"/>
  <c r="Z85" i="58"/>
  <c r="Y85" i="58"/>
  <c r="AE85" i="58" s="1"/>
  <c r="AA84" i="58"/>
  <c r="Z84" i="58"/>
  <c r="Y84" i="58"/>
  <c r="AE84" i="58" s="1"/>
  <c r="V84" i="58"/>
  <c r="AC84" i="58" s="1"/>
  <c r="U84" i="58"/>
  <c r="AB84" i="58" s="1"/>
  <c r="Q84" i="58"/>
  <c r="X84" i="58" s="1"/>
  <c r="Q72" i="58"/>
  <c r="X72" i="58" s="1"/>
  <c r="U72" i="58"/>
  <c r="AB72" i="58" s="1"/>
  <c r="V72" i="58"/>
  <c r="AC72" i="58" s="1"/>
  <c r="Y72" i="58"/>
  <c r="AE72" i="58" s="1"/>
  <c r="Z72" i="58"/>
  <c r="AA72" i="58"/>
  <c r="AC30" i="58" l="1"/>
  <c r="AC31" i="58"/>
  <c r="V32" i="58"/>
  <c r="AC32" i="58" s="1"/>
  <c r="U32" i="58"/>
  <c r="V23" i="58"/>
  <c r="U23" i="58"/>
  <c r="V18" i="58"/>
  <c r="U18" i="58"/>
  <c r="AC89" i="58" l="1"/>
  <c r="AA89" i="58"/>
  <c r="Z89" i="58"/>
  <c r="Y89" i="58"/>
  <c r="AE89" i="58" s="1"/>
  <c r="U89" i="58"/>
  <c r="AB89" i="58" s="1"/>
  <c r="Q89" i="58"/>
  <c r="X89" i="58" s="1"/>
  <c r="T87" i="58"/>
  <c r="S87" i="58"/>
  <c r="R87" i="58"/>
  <c r="AC83" i="58"/>
  <c r="AB83" i="58"/>
  <c r="AA83" i="58"/>
  <c r="Z83" i="58"/>
  <c r="Y83" i="58"/>
  <c r="AE83" i="58" s="1"/>
  <c r="AA82" i="58"/>
  <c r="Z82" i="58"/>
  <c r="Y82" i="58"/>
  <c r="AE82" i="58" s="1"/>
  <c r="V82" i="58"/>
  <c r="AC82" i="58" s="1"/>
  <c r="U82" i="58"/>
  <c r="AB82" i="58" s="1"/>
  <c r="Q82" i="58"/>
  <c r="X82" i="58" s="1"/>
  <c r="AE81" i="58"/>
  <c r="AC81" i="58"/>
  <c r="AA81" i="58"/>
  <c r="AA80" i="58"/>
  <c r="Z80" i="58"/>
  <c r="Y80" i="58"/>
  <c r="AE80" i="58" s="1"/>
  <c r="V80" i="58"/>
  <c r="AC80" i="58" s="1"/>
  <c r="Q80" i="58"/>
  <c r="X80" i="58" s="1"/>
  <c r="AA79" i="58"/>
  <c r="Z79" i="58"/>
  <c r="Y79" i="58"/>
  <c r="AE79" i="58" s="1"/>
  <c r="V79" i="58"/>
  <c r="AC79" i="58" s="1"/>
  <c r="U79" i="58"/>
  <c r="U87" i="58" s="1"/>
  <c r="Q79" i="58"/>
  <c r="X79" i="58" s="1"/>
  <c r="T76" i="58"/>
  <c r="S76" i="58"/>
  <c r="R76" i="58"/>
  <c r="R107" i="58" s="1"/>
  <c r="AA75" i="58"/>
  <c r="Z75" i="58"/>
  <c r="Y75" i="58"/>
  <c r="AE75" i="58" s="1"/>
  <c r="V75" i="58"/>
  <c r="AC75" i="58" s="1"/>
  <c r="U75" i="58"/>
  <c r="AB75" i="58" s="1"/>
  <c r="Q75" i="58"/>
  <c r="X75" i="58" s="1"/>
  <c r="AA74" i="58"/>
  <c r="Z74" i="58"/>
  <c r="Y74" i="58"/>
  <c r="AE74" i="58" s="1"/>
  <c r="V74" i="58"/>
  <c r="AC74" i="58" s="1"/>
  <c r="U74" i="58"/>
  <c r="AB74" i="58" s="1"/>
  <c r="Q74" i="58"/>
  <c r="X74" i="58" s="1"/>
  <c r="AA73" i="58"/>
  <c r="Z73" i="58"/>
  <c r="Y73" i="58"/>
  <c r="AE73" i="58" s="1"/>
  <c r="V73" i="58"/>
  <c r="AC73" i="58" s="1"/>
  <c r="U73" i="58"/>
  <c r="AB73" i="58" s="1"/>
  <c r="Q73" i="58"/>
  <c r="X73" i="58" s="1"/>
  <c r="AA71" i="58"/>
  <c r="Z71" i="58"/>
  <c r="Y71" i="58"/>
  <c r="AE71" i="58" s="1"/>
  <c r="V71" i="58"/>
  <c r="AC71" i="58" s="1"/>
  <c r="U71" i="58"/>
  <c r="AB71" i="58" s="1"/>
  <c r="Q71" i="58"/>
  <c r="X71" i="58" s="1"/>
  <c r="AA70" i="58"/>
  <c r="Z70" i="58"/>
  <c r="Y70" i="58"/>
  <c r="AE70" i="58" s="1"/>
  <c r="V70" i="58"/>
  <c r="AC70" i="58" s="1"/>
  <c r="U70" i="58"/>
  <c r="Q70" i="58"/>
  <c r="X70" i="58" s="1"/>
  <c r="AA69" i="58"/>
  <c r="Z69" i="58"/>
  <c r="Y69" i="58"/>
  <c r="AE69" i="58" s="1"/>
  <c r="V69" i="58"/>
  <c r="AC69" i="58" s="1"/>
  <c r="U69" i="58"/>
  <c r="AB69" i="58" s="1"/>
  <c r="Q69" i="58"/>
  <c r="X69" i="58" s="1"/>
  <c r="AA68" i="58"/>
  <c r="Z68" i="58"/>
  <c r="Y68" i="58"/>
  <c r="AE68" i="58" s="1"/>
  <c r="V68" i="58"/>
  <c r="AC68" i="58" s="1"/>
  <c r="U68" i="58"/>
  <c r="AB68" i="58" s="1"/>
  <c r="Q68" i="58"/>
  <c r="X68" i="58" s="1"/>
  <c r="AA67" i="58"/>
  <c r="Z67" i="58"/>
  <c r="Y67" i="58"/>
  <c r="AE67" i="58" s="1"/>
  <c r="V67" i="58"/>
  <c r="U67" i="58"/>
  <c r="AB67" i="58" s="1"/>
  <c r="Q67" i="58"/>
  <c r="X67" i="58" s="1"/>
  <c r="AA66" i="58"/>
  <c r="Z66" i="58"/>
  <c r="Y66" i="58"/>
  <c r="AE66" i="58" s="1"/>
  <c r="V66" i="58"/>
  <c r="U66" i="58"/>
  <c r="AB66" i="58" s="1"/>
  <c r="Q66" i="58"/>
  <c r="X66" i="58" s="1"/>
  <c r="AA65" i="58"/>
  <c r="Z65" i="58"/>
  <c r="Y65" i="58"/>
  <c r="AE65" i="58" s="1"/>
  <c r="V65" i="58"/>
  <c r="AC65" i="58" s="1"/>
  <c r="U65" i="58"/>
  <c r="AB65" i="58" s="1"/>
  <c r="Q65" i="58"/>
  <c r="X65" i="58" s="1"/>
  <c r="AA64" i="58"/>
  <c r="Z64" i="58"/>
  <c r="Y64" i="58"/>
  <c r="AE64" i="58" s="1"/>
  <c r="V64" i="58"/>
  <c r="AC64" i="58" s="1"/>
  <c r="U64" i="58"/>
  <c r="AB64" i="58" s="1"/>
  <c r="Q64" i="58"/>
  <c r="X64" i="58" s="1"/>
  <c r="AA63" i="58"/>
  <c r="Z63" i="58"/>
  <c r="Y63" i="58"/>
  <c r="AE63" i="58" s="1"/>
  <c r="V63" i="58"/>
  <c r="AC63" i="58" s="1"/>
  <c r="U63" i="58"/>
  <c r="AB63" i="58" s="1"/>
  <c r="Q63" i="58"/>
  <c r="X63" i="58" s="1"/>
  <c r="AA62" i="58"/>
  <c r="Z62" i="58"/>
  <c r="Y62" i="58"/>
  <c r="AE62" i="58" s="1"/>
  <c r="V62" i="58"/>
  <c r="AC62" i="58" s="1"/>
  <c r="U62" i="58"/>
  <c r="AB62" i="58" s="1"/>
  <c r="Q62" i="58"/>
  <c r="X62" i="58" s="1"/>
  <c r="AA61" i="58"/>
  <c r="Z61" i="58"/>
  <c r="Y61" i="58"/>
  <c r="AE61" i="58" s="1"/>
  <c r="X61" i="58"/>
  <c r="V61" i="58"/>
  <c r="U61" i="58"/>
  <c r="AB61" i="58" s="1"/>
  <c r="Q61" i="58"/>
  <c r="AA60" i="58"/>
  <c r="Z60" i="58"/>
  <c r="Y60" i="58"/>
  <c r="AE60" i="58" s="1"/>
  <c r="V60" i="58"/>
  <c r="AC60" i="58" s="1"/>
  <c r="U60" i="58"/>
  <c r="AB60" i="58" s="1"/>
  <c r="Q60" i="58"/>
  <c r="X60" i="58" s="1"/>
  <c r="AA59" i="58"/>
  <c r="Z59" i="58"/>
  <c r="Y59" i="58"/>
  <c r="AE59" i="58" s="1"/>
  <c r="V59" i="58"/>
  <c r="AC59" i="58" s="1"/>
  <c r="U59" i="58"/>
  <c r="AB59" i="58" s="1"/>
  <c r="Q59" i="58"/>
  <c r="X59" i="58" s="1"/>
  <c r="AA58" i="58"/>
  <c r="Z58" i="58"/>
  <c r="Y58" i="58"/>
  <c r="AE58" i="58" s="1"/>
  <c r="V58" i="58"/>
  <c r="AC58" i="58" s="1"/>
  <c r="U58" i="58"/>
  <c r="AB58" i="58" s="1"/>
  <c r="Q58" i="58"/>
  <c r="X58" i="58" s="1"/>
  <c r="AC57" i="58"/>
  <c r="AA57" i="58"/>
  <c r="Z57" i="58"/>
  <c r="Y57" i="58"/>
  <c r="AE57" i="58" s="1"/>
  <c r="X57" i="58"/>
  <c r="U57" i="58"/>
  <c r="AB57" i="58" s="1"/>
  <c r="Q57" i="58"/>
  <c r="AC56" i="58"/>
  <c r="AA56" i="58"/>
  <c r="Z56" i="58"/>
  <c r="Y56" i="58"/>
  <c r="AE56" i="58" s="1"/>
  <c r="U56" i="58"/>
  <c r="AB56" i="58" s="1"/>
  <c r="Q56" i="58"/>
  <c r="AA55" i="58"/>
  <c r="Z55" i="58"/>
  <c r="Y55" i="58"/>
  <c r="AE55" i="58" s="1"/>
  <c r="V55" i="58"/>
  <c r="AC55" i="58" s="1"/>
  <c r="U55" i="58"/>
  <c r="AB55" i="58" s="1"/>
  <c r="Q55" i="58"/>
  <c r="X55" i="58" s="1"/>
  <c r="AA54" i="58"/>
  <c r="Z54" i="58"/>
  <c r="Y54" i="58"/>
  <c r="AE54" i="58" s="1"/>
  <c r="V54" i="58"/>
  <c r="AC54" i="58" s="1"/>
  <c r="U54" i="58"/>
  <c r="AB54" i="58" s="1"/>
  <c r="Q54" i="58"/>
  <c r="X54" i="58" s="1"/>
  <c r="AA53" i="58"/>
  <c r="Z53" i="58"/>
  <c r="Y53" i="58"/>
  <c r="AE53" i="58" s="1"/>
  <c r="V53" i="58"/>
  <c r="AC53" i="58" s="1"/>
  <c r="U53" i="58"/>
  <c r="AB53" i="58" s="1"/>
  <c r="Q53" i="58"/>
  <c r="X53" i="58" s="1"/>
  <c r="AA52" i="58"/>
  <c r="Z52" i="58"/>
  <c r="Y52" i="58"/>
  <c r="AE52" i="58" s="1"/>
  <c r="X52" i="58"/>
  <c r="V52" i="58"/>
  <c r="AC52" i="58" s="1"/>
  <c r="U52" i="58"/>
  <c r="AB52" i="58" s="1"/>
  <c r="Q52" i="58"/>
  <c r="AC51" i="58"/>
  <c r="AB51" i="58"/>
  <c r="AA51" i="58"/>
  <c r="Z51" i="58"/>
  <c r="Y51" i="58"/>
  <c r="AE51" i="58" s="1"/>
  <c r="Q51" i="58"/>
  <c r="AC50" i="58"/>
  <c r="AB50" i="58"/>
  <c r="AA50" i="58"/>
  <c r="Z50" i="58"/>
  <c r="Y50" i="58"/>
  <c r="AE50" i="58" s="1"/>
  <c r="Q50" i="58"/>
  <c r="X50" i="58" s="1"/>
  <c r="AA49" i="58"/>
  <c r="Z49" i="58"/>
  <c r="Y49" i="58"/>
  <c r="AE49" i="58" s="1"/>
  <c r="V49" i="58"/>
  <c r="AC49" i="58" s="1"/>
  <c r="U49" i="58"/>
  <c r="AB49" i="58" s="1"/>
  <c r="Q49" i="58"/>
  <c r="X49" i="58" s="1"/>
  <c r="AA48" i="58"/>
  <c r="Z48" i="58"/>
  <c r="Y48" i="58"/>
  <c r="AE48" i="58" s="1"/>
  <c r="V48" i="58"/>
  <c r="AC48" i="58" s="1"/>
  <c r="U48" i="58"/>
  <c r="AB48" i="58" s="1"/>
  <c r="Q48" i="58"/>
  <c r="X48" i="58" s="1"/>
  <c r="AC47" i="58"/>
  <c r="AB47" i="58"/>
  <c r="AA47" i="58"/>
  <c r="Z47" i="58"/>
  <c r="Y47" i="58"/>
  <c r="AE47" i="58" s="1"/>
  <c r="Q47" i="58"/>
  <c r="AA46" i="58"/>
  <c r="Z46" i="58"/>
  <c r="Y46" i="58"/>
  <c r="AE46" i="58" s="1"/>
  <c r="V46" i="58"/>
  <c r="AC46" i="58" s="1"/>
  <c r="U46" i="58"/>
  <c r="AB46" i="58" s="1"/>
  <c r="Q46" i="58"/>
  <c r="X46" i="58" s="1"/>
  <c r="AA45" i="58"/>
  <c r="Z45" i="58"/>
  <c r="Y45" i="58"/>
  <c r="AE45" i="58" s="1"/>
  <c r="V45" i="58"/>
  <c r="AC45" i="58" s="1"/>
  <c r="U45" i="58"/>
  <c r="AB45" i="58" s="1"/>
  <c r="Q45" i="58"/>
  <c r="X45" i="58" s="1"/>
  <c r="AA44" i="58"/>
  <c r="Z44" i="58"/>
  <c r="Y44" i="58"/>
  <c r="AE44" i="58" s="1"/>
  <c r="V44" i="58"/>
  <c r="AC44" i="58" s="1"/>
  <c r="U44" i="58"/>
  <c r="AB44" i="58" s="1"/>
  <c r="Q44" i="58"/>
  <c r="X44" i="58" s="1"/>
  <c r="AA43" i="58"/>
  <c r="Z43" i="58"/>
  <c r="Y43" i="58"/>
  <c r="AE43" i="58" s="1"/>
  <c r="V43" i="58"/>
  <c r="AC43" i="58" s="1"/>
  <c r="U43" i="58"/>
  <c r="AB43" i="58" s="1"/>
  <c r="Q43" i="58"/>
  <c r="X43" i="58" s="1"/>
  <c r="AA42" i="58"/>
  <c r="Z42" i="58"/>
  <c r="Y42" i="58"/>
  <c r="AE42" i="58" s="1"/>
  <c r="V42" i="58"/>
  <c r="AC42" i="58" s="1"/>
  <c r="U42" i="58"/>
  <c r="AB42" i="58" s="1"/>
  <c r="Q42" i="58"/>
  <c r="X42" i="58" s="1"/>
  <c r="AC41" i="58"/>
  <c r="AB41" i="58"/>
  <c r="AA41" i="58"/>
  <c r="Z41" i="58"/>
  <c r="Y41" i="58"/>
  <c r="AE41" i="58" s="1"/>
  <c r="AA40" i="58"/>
  <c r="Z40" i="58"/>
  <c r="Y40" i="58"/>
  <c r="AE40" i="58" s="1"/>
  <c r="V40" i="58"/>
  <c r="AC40" i="58" s="1"/>
  <c r="U40" i="58"/>
  <c r="AB40" i="58" s="1"/>
  <c r="Q40" i="58"/>
  <c r="X40" i="58" s="1"/>
  <c r="AA39" i="58"/>
  <c r="Z39" i="58"/>
  <c r="Y39" i="58"/>
  <c r="AE39" i="58" s="1"/>
  <c r="V39" i="58"/>
  <c r="AC39" i="58" s="1"/>
  <c r="U39" i="58"/>
  <c r="AB39" i="58" s="1"/>
  <c r="Q39" i="58"/>
  <c r="X39" i="58" s="1"/>
  <c r="AA38" i="58"/>
  <c r="Z38" i="58"/>
  <c r="Y38" i="58"/>
  <c r="AE38" i="58" s="1"/>
  <c r="V38" i="58"/>
  <c r="AC38" i="58" s="1"/>
  <c r="U38" i="58"/>
  <c r="AB38" i="58" s="1"/>
  <c r="Q38" i="58"/>
  <c r="X38" i="58" s="1"/>
  <c r="AA37" i="58"/>
  <c r="Z37" i="58"/>
  <c r="Y37" i="58"/>
  <c r="AE37" i="58" s="1"/>
  <c r="V37" i="58"/>
  <c r="AC37" i="58" s="1"/>
  <c r="U37" i="58"/>
  <c r="AB37" i="58" s="1"/>
  <c r="Q37" i="58"/>
  <c r="X37" i="58" s="1"/>
  <c r="AA36" i="58"/>
  <c r="Z36" i="58"/>
  <c r="Y36" i="58"/>
  <c r="AE36" i="58" s="1"/>
  <c r="V36" i="58"/>
  <c r="AC36" i="58" s="1"/>
  <c r="U36" i="58"/>
  <c r="AB36" i="58" s="1"/>
  <c r="Q36" i="58"/>
  <c r="X36" i="58" s="1"/>
  <c r="AA35" i="58"/>
  <c r="Z35" i="58"/>
  <c r="Y35" i="58"/>
  <c r="AE35" i="58" s="1"/>
  <c r="V35" i="58"/>
  <c r="AC35" i="58" s="1"/>
  <c r="U35" i="58"/>
  <c r="AB35" i="58" s="1"/>
  <c r="Q35" i="58"/>
  <c r="X35" i="58" s="1"/>
  <c r="AA34" i="58"/>
  <c r="Z34" i="58"/>
  <c r="Y34" i="58"/>
  <c r="AE34" i="58" s="1"/>
  <c r="V34" i="58"/>
  <c r="U34" i="58"/>
  <c r="Q34" i="58"/>
  <c r="X34" i="58" s="1"/>
  <c r="AA33" i="58"/>
  <c r="Z33" i="58"/>
  <c r="Y33" i="58"/>
  <c r="AE33" i="58" s="1"/>
  <c r="U33" i="58"/>
  <c r="Q33" i="58"/>
  <c r="AB32" i="58"/>
  <c r="AA32" i="58"/>
  <c r="Z32" i="58"/>
  <c r="Y32" i="58"/>
  <c r="AE32" i="58" s="1"/>
  <c r="Q32" i="58"/>
  <c r="X32" i="58" s="1"/>
  <c r="AB31" i="58"/>
  <c r="AA31" i="58"/>
  <c r="Z31" i="58"/>
  <c r="Y31" i="58"/>
  <c r="AE31" i="58" s="1"/>
  <c r="Q31" i="58"/>
  <c r="AA30" i="58"/>
  <c r="Z30" i="58"/>
  <c r="Y30" i="58"/>
  <c r="AE29" i="58"/>
  <c r="AA29" i="58"/>
  <c r="Z29" i="58"/>
  <c r="Y29" i="58"/>
  <c r="V29" i="58"/>
  <c r="AC29" i="58" s="1"/>
  <c r="U29" i="58"/>
  <c r="AB29" i="58" s="1"/>
  <c r="Q29" i="58"/>
  <c r="X29" i="58" s="1"/>
  <c r="AA28" i="58"/>
  <c r="Z28" i="58"/>
  <c r="Y28" i="58"/>
  <c r="AE28" i="58" s="1"/>
  <c r="V28" i="58"/>
  <c r="AC28" i="58" s="1"/>
  <c r="U28" i="58"/>
  <c r="AB28" i="58" s="1"/>
  <c r="Q28" i="58"/>
  <c r="X28" i="58" s="1"/>
  <c r="AA27" i="58"/>
  <c r="Z27" i="58"/>
  <c r="Y27" i="58"/>
  <c r="AE27" i="58" s="1"/>
  <c r="V27" i="58"/>
  <c r="AC27" i="58" s="1"/>
  <c r="U27" i="58"/>
  <c r="AB27" i="58" s="1"/>
  <c r="Q27" i="58"/>
  <c r="X27" i="58" s="1"/>
  <c r="AA26" i="58"/>
  <c r="Z26" i="58"/>
  <c r="Y26" i="58"/>
  <c r="AE26" i="58" s="1"/>
  <c r="V26" i="58"/>
  <c r="AC26" i="58" s="1"/>
  <c r="U26" i="58"/>
  <c r="AB26" i="58" s="1"/>
  <c r="Q26" i="58"/>
  <c r="X26" i="58" s="1"/>
  <c r="AA25" i="58"/>
  <c r="Z25" i="58"/>
  <c r="Y25" i="58"/>
  <c r="AE25" i="58" s="1"/>
  <c r="V25" i="58"/>
  <c r="AC25" i="58" s="1"/>
  <c r="U25" i="58"/>
  <c r="AB25" i="58" s="1"/>
  <c r="Q25" i="58"/>
  <c r="X25" i="58" s="1"/>
  <c r="AA24" i="58"/>
  <c r="Z24" i="58"/>
  <c r="Y24" i="58"/>
  <c r="AE24" i="58" s="1"/>
  <c r="V24" i="58"/>
  <c r="AC24" i="58" s="1"/>
  <c r="U24" i="58"/>
  <c r="AB24" i="58" s="1"/>
  <c r="Q24" i="58"/>
  <c r="X24" i="58" s="1"/>
  <c r="AB23" i="58"/>
  <c r="AA23" i="58"/>
  <c r="Z23" i="58"/>
  <c r="Y23" i="58"/>
  <c r="AE23" i="58" s="1"/>
  <c r="AC23" i="58"/>
  <c r="Q23" i="58"/>
  <c r="X23" i="58" s="1"/>
  <c r="AA22" i="58"/>
  <c r="Z22" i="58"/>
  <c r="Y22" i="58"/>
  <c r="AE22" i="58" s="1"/>
  <c r="V22" i="58"/>
  <c r="AC22" i="58" s="1"/>
  <c r="U22" i="58"/>
  <c r="AB22" i="58" s="1"/>
  <c r="Q22" i="58"/>
  <c r="AA21" i="58"/>
  <c r="Z21" i="58"/>
  <c r="Y21" i="58"/>
  <c r="AE21" i="58" s="1"/>
  <c r="V21" i="58"/>
  <c r="AC21" i="58" s="1"/>
  <c r="U21" i="58"/>
  <c r="AB21" i="58" s="1"/>
  <c r="Q21" i="58"/>
  <c r="X21" i="58" s="1"/>
  <c r="AA20" i="58"/>
  <c r="Z20" i="58"/>
  <c r="Y20" i="58"/>
  <c r="AE20" i="58" s="1"/>
  <c r="V20" i="58"/>
  <c r="AC20" i="58" s="1"/>
  <c r="U20" i="58"/>
  <c r="AB20" i="58" s="1"/>
  <c r="Q20" i="58"/>
  <c r="X20" i="58" s="1"/>
  <c r="AA19" i="58"/>
  <c r="Z19" i="58"/>
  <c r="Y19" i="58"/>
  <c r="AE19" i="58" s="1"/>
  <c r="X19" i="58"/>
  <c r="V19" i="58"/>
  <c r="AC19" i="58" s="1"/>
  <c r="U19" i="58"/>
  <c r="Q19" i="58"/>
  <c r="AE18" i="58"/>
  <c r="AC18" i="58"/>
  <c r="AB18" i="58"/>
  <c r="AA18" i="58"/>
  <c r="Z18" i="58"/>
  <c r="Y18" i="58"/>
  <c r="Q18" i="58"/>
  <c r="X18" i="58" s="1"/>
  <c r="AA17" i="58"/>
  <c r="Z17" i="58"/>
  <c r="Y17" i="58"/>
  <c r="AE17" i="58" s="1"/>
  <c r="V17" i="58"/>
  <c r="AC17" i="58" s="1"/>
  <c r="U17" i="58"/>
  <c r="AB17" i="58" s="1"/>
  <c r="Q17" i="58"/>
  <c r="X17" i="58" s="1"/>
  <c r="AA16" i="58"/>
  <c r="Z16" i="58"/>
  <c r="Y16" i="58"/>
  <c r="AE16" i="58" s="1"/>
  <c r="X16" i="58"/>
  <c r="V16" i="58"/>
  <c r="AC16" i="58" s="1"/>
  <c r="U16" i="58"/>
  <c r="AB16" i="58" s="1"/>
  <c r="Q16" i="58"/>
  <c r="AA15" i="58"/>
  <c r="Z15" i="58"/>
  <c r="Y15" i="58"/>
  <c r="AE15" i="58" s="1"/>
  <c r="V15" i="58"/>
  <c r="AC15" i="58" s="1"/>
  <c r="U15" i="58"/>
  <c r="AB15" i="58" s="1"/>
  <c r="Q15" i="58"/>
  <c r="X15" i="58" s="1"/>
  <c r="AA14" i="58"/>
  <c r="Z14" i="58"/>
  <c r="Y14" i="58"/>
  <c r="AE14" i="58" s="1"/>
  <c r="V14" i="58"/>
  <c r="AC14" i="58" s="1"/>
  <c r="U14" i="58"/>
  <c r="AB14" i="58" s="1"/>
  <c r="Q14" i="58"/>
  <c r="X14" i="58" s="1"/>
  <c r="T107" i="58" l="1"/>
  <c r="S107" i="58"/>
  <c r="AE87" i="58"/>
  <c r="Z87" i="58"/>
  <c r="Y87" i="58"/>
  <c r="AB79" i="58"/>
  <c r="AA87" i="58"/>
  <c r="AA76" i="58"/>
  <c r="AA107" i="58" s="1"/>
  <c r="Z76" i="58"/>
  <c r="AE76" i="58"/>
  <c r="AE107" i="58" s="1"/>
  <c r="U76" i="58"/>
  <c r="Y76" i="58"/>
  <c r="Y30" i="57"/>
  <c r="Z30" i="57"/>
  <c r="AA30" i="57"/>
  <c r="Y31" i="57"/>
  <c r="Z31" i="57"/>
  <c r="AA31" i="57"/>
  <c r="Y32" i="57"/>
  <c r="Z32" i="57"/>
  <c r="AA32" i="57"/>
  <c r="Y33" i="57"/>
  <c r="Z33" i="57"/>
  <c r="AA33" i="57"/>
  <c r="Y34" i="57"/>
  <c r="Z34" i="57"/>
  <c r="AA34" i="57"/>
  <c r="Y35" i="57"/>
  <c r="Z35" i="57"/>
  <c r="AA35" i="57"/>
  <c r="Y36" i="57"/>
  <c r="Z36" i="57"/>
  <c r="AA36" i="57"/>
  <c r="Y37" i="57"/>
  <c r="Z37" i="57"/>
  <c r="AA37" i="57"/>
  <c r="Y38" i="57"/>
  <c r="Z38" i="57"/>
  <c r="AA38" i="57"/>
  <c r="Y39" i="57"/>
  <c r="Z39" i="57"/>
  <c r="AA39" i="57"/>
  <c r="Y40" i="57"/>
  <c r="Z40" i="57"/>
  <c r="AA40" i="57"/>
  <c r="Y41" i="57"/>
  <c r="Z41" i="57"/>
  <c r="AA41" i="57"/>
  <c r="Y42" i="57"/>
  <c r="Z42" i="57"/>
  <c r="AA42" i="57"/>
  <c r="Y43" i="57"/>
  <c r="Z43" i="57"/>
  <c r="AA43" i="57"/>
  <c r="Y44" i="57"/>
  <c r="Z44" i="57"/>
  <c r="AA44" i="57"/>
  <c r="Y45" i="57"/>
  <c r="Z45" i="57"/>
  <c r="AA45" i="57"/>
  <c r="Y46" i="57"/>
  <c r="Z46" i="57"/>
  <c r="AA46" i="57"/>
  <c r="Y47" i="57"/>
  <c r="Z47" i="57"/>
  <c r="AA47" i="57"/>
  <c r="Y48" i="57"/>
  <c r="Z48" i="57"/>
  <c r="AA48" i="57"/>
  <c r="Y49" i="57"/>
  <c r="Z49" i="57"/>
  <c r="AA49" i="57"/>
  <c r="Y50" i="57"/>
  <c r="Z50" i="57"/>
  <c r="AA50" i="57"/>
  <c r="Y51" i="57"/>
  <c r="Z51" i="57"/>
  <c r="AA51" i="57"/>
  <c r="Y52" i="57"/>
  <c r="Z52" i="57"/>
  <c r="AA52" i="57"/>
  <c r="Y53" i="57"/>
  <c r="Z53" i="57"/>
  <c r="AA53" i="57"/>
  <c r="Y54" i="57"/>
  <c r="Z54" i="57"/>
  <c r="AA54" i="57"/>
  <c r="Y55" i="57"/>
  <c r="Z55" i="57"/>
  <c r="AA55" i="57"/>
  <c r="Y56" i="57"/>
  <c r="Z56" i="57"/>
  <c r="AA56" i="57"/>
  <c r="Y57" i="57"/>
  <c r="Z57" i="57"/>
  <c r="AA57" i="57"/>
  <c r="Y58" i="57"/>
  <c r="Z58" i="57"/>
  <c r="AA58" i="57"/>
  <c r="Y59" i="57"/>
  <c r="Z59" i="57"/>
  <c r="AA59" i="57"/>
  <c r="Y60" i="57"/>
  <c r="Z60" i="57"/>
  <c r="AA60" i="57"/>
  <c r="Y61" i="57"/>
  <c r="Z61" i="57"/>
  <c r="AA61" i="57"/>
  <c r="Y62" i="57"/>
  <c r="Z62" i="57"/>
  <c r="AA62" i="57"/>
  <c r="Y63" i="57"/>
  <c r="Z63" i="57"/>
  <c r="AA63" i="57"/>
  <c r="Y64" i="57"/>
  <c r="Z64" i="57"/>
  <c r="AA64" i="57"/>
  <c r="Y65" i="57"/>
  <c r="Z65" i="57"/>
  <c r="AA65" i="57"/>
  <c r="Y66" i="57"/>
  <c r="Z66" i="57"/>
  <c r="AA66" i="57"/>
  <c r="Y67" i="57"/>
  <c r="Z67" i="57"/>
  <c r="AA67" i="57"/>
  <c r="Y68" i="57"/>
  <c r="Z68" i="57"/>
  <c r="AA68" i="57"/>
  <c r="Y69" i="57"/>
  <c r="Z69" i="57"/>
  <c r="AA69" i="57"/>
  <c r="Y70" i="57"/>
  <c r="Z70" i="57"/>
  <c r="AA70" i="57"/>
  <c r="Y71" i="57"/>
  <c r="Z71" i="57"/>
  <c r="AA71" i="57"/>
  <c r="Y72" i="57"/>
  <c r="Z72" i="57"/>
  <c r="AA72" i="57"/>
  <c r="Y73" i="57"/>
  <c r="Z73" i="57"/>
  <c r="AA73" i="57"/>
  <c r="Y74" i="57"/>
  <c r="Z74" i="57"/>
  <c r="AA74" i="57"/>
  <c r="AA29" i="57"/>
  <c r="Z29" i="57"/>
  <c r="Y29" i="57"/>
  <c r="AA28" i="57"/>
  <c r="Z28" i="57"/>
  <c r="Y28" i="57"/>
  <c r="AA27" i="57"/>
  <c r="Z27" i="57"/>
  <c r="Y27" i="57"/>
  <c r="AA26" i="57"/>
  <c r="Z26" i="57"/>
  <c r="Y26" i="57"/>
  <c r="AA25" i="57"/>
  <c r="Z25" i="57"/>
  <c r="Y25" i="57"/>
  <c r="AA24" i="57"/>
  <c r="Z24" i="57"/>
  <c r="Y24" i="57"/>
  <c r="AA23" i="57"/>
  <c r="Z23" i="57"/>
  <c r="Y23" i="57"/>
  <c r="AA22" i="57"/>
  <c r="Z22" i="57"/>
  <c r="Y22" i="57"/>
  <c r="AA21" i="57"/>
  <c r="Z21" i="57"/>
  <c r="Y21" i="57"/>
  <c r="AA20" i="57"/>
  <c r="Z20" i="57"/>
  <c r="Y20" i="57"/>
  <c r="AA19" i="57"/>
  <c r="Z19" i="57"/>
  <c r="Y19" i="57"/>
  <c r="AA18" i="57"/>
  <c r="Z18" i="57"/>
  <c r="Y18" i="57"/>
  <c r="AA17" i="57"/>
  <c r="Z17" i="57"/>
  <c r="Y17" i="57"/>
  <c r="AA16" i="57"/>
  <c r="Z16" i="57"/>
  <c r="Y16" i="57"/>
  <c r="AA15" i="57"/>
  <c r="Z15" i="57"/>
  <c r="Y15" i="57"/>
  <c r="AA14" i="57"/>
  <c r="Z14" i="57"/>
  <c r="Y14" i="57"/>
  <c r="Z107" i="58" l="1"/>
  <c r="Y107" i="58"/>
  <c r="U107" i="58"/>
  <c r="K109" i="58"/>
  <c r="AB76" i="58"/>
  <c r="AB107" i="58" s="1"/>
  <c r="Q81" i="57"/>
  <c r="X81" i="57" s="1"/>
  <c r="Q79" i="57"/>
  <c r="X79" i="57" s="1"/>
  <c r="Q78" i="57"/>
  <c r="X78" i="57" s="1"/>
  <c r="Q74" i="57"/>
  <c r="AA86" i="57"/>
  <c r="Z86" i="57"/>
  <c r="Y86" i="57"/>
  <c r="AE86" i="57" s="1"/>
  <c r="AC86" i="57"/>
  <c r="U86" i="57"/>
  <c r="AB86" i="57" s="1"/>
  <c r="Q86" i="57"/>
  <c r="X86" i="57" s="1"/>
  <c r="V23" i="57" l="1"/>
  <c r="Q15" i="57"/>
  <c r="X15" i="57" s="1"/>
  <c r="V15" i="57"/>
  <c r="U15" i="57"/>
  <c r="T84" i="57" l="1"/>
  <c r="S84" i="57"/>
  <c r="R84" i="57"/>
  <c r="AC83" i="57"/>
  <c r="AB83" i="57"/>
  <c r="AA83" i="57"/>
  <c r="Z83" i="57"/>
  <c r="Y83" i="57"/>
  <c r="AE83" i="57" s="1"/>
  <c r="AC82" i="57"/>
  <c r="AB82" i="57"/>
  <c r="AA82" i="57"/>
  <c r="Z82" i="57"/>
  <c r="Y82" i="57"/>
  <c r="AE82" i="57" s="1"/>
  <c r="AA81" i="57"/>
  <c r="Z81" i="57"/>
  <c r="Y81" i="57"/>
  <c r="AE81" i="57" s="1"/>
  <c r="V81" i="57"/>
  <c r="AC81" i="57" s="1"/>
  <c r="U81" i="57"/>
  <c r="AB81" i="57" s="1"/>
  <c r="AC80" i="57"/>
  <c r="AA80" i="57"/>
  <c r="AE80" i="57"/>
  <c r="AA79" i="57"/>
  <c r="Z79" i="57"/>
  <c r="Y79" i="57"/>
  <c r="AE79" i="57" s="1"/>
  <c r="V79" i="57"/>
  <c r="AC79" i="57" s="1"/>
  <c r="AA78" i="57"/>
  <c r="Z78" i="57"/>
  <c r="Y78" i="57"/>
  <c r="V78" i="57"/>
  <c r="AC78" i="57" s="1"/>
  <c r="U78" i="57"/>
  <c r="T75" i="57"/>
  <c r="S75" i="57"/>
  <c r="R75" i="57"/>
  <c r="AE74" i="57"/>
  <c r="V74" i="57"/>
  <c r="AC74" i="57" s="1"/>
  <c r="U74" i="57"/>
  <c r="AB74" i="57" s="1"/>
  <c r="X74" i="57"/>
  <c r="AE73" i="57"/>
  <c r="V73" i="57"/>
  <c r="AC73" i="57" s="1"/>
  <c r="U73" i="57"/>
  <c r="AB73" i="57" s="1"/>
  <c r="Q73" i="57"/>
  <c r="X73" i="57" s="1"/>
  <c r="AE72" i="57"/>
  <c r="V72" i="57"/>
  <c r="AC72" i="57" s="1"/>
  <c r="U72" i="57"/>
  <c r="AB72" i="57" s="1"/>
  <c r="Q72" i="57"/>
  <c r="X72" i="57" s="1"/>
  <c r="AE71" i="57"/>
  <c r="V71" i="57"/>
  <c r="AC71" i="57" s="1"/>
  <c r="U71" i="57"/>
  <c r="AB71" i="57" s="1"/>
  <c r="Q71" i="57"/>
  <c r="X71" i="57" s="1"/>
  <c r="AE70" i="57"/>
  <c r="V70" i="57"/>
  <c r="AC70" i="57" s="1"/>
  <c r="U70" i="57"/>
  <c r="Q70" i="57"/>
  <c r="X70" i="57" s="1"/>
  <c r="AE69" i="57"/>
  <c r="V69" i="57"/>
  <c r="AC69" i="57" s="1"/>
  <c r="U69" i="57"/>
  <c r="AB69" i="57" s="1"/>
  <c r="Q69" i="57"/>
  <c r="X69" i="57" s="1"/>
  <c r="AE68" i="57"/>
  <c r="V68" i="57"/>
  <c r="AC68" i="57" s="1"/>
  <c r="U68" i="57"/>
  <c r="AB68" i="57" s="1"/>
  <c r="Q68" i="57"/>
  <c r="X68" i="57" s="1"/>
  <c r="AE67" i="57"/>
  <c r="V67" i="57"/>
  <c r="U67" i="57"/>
  <c r="AB67" i="57" s="1"/>
  <c r="Q67" i="57"/>
  <c r="X67" i="57" s="1"/>
  <c r="AE66" i="57"/>
  <c r="V66" i="57"/>
  <c r="U66" i="57"/>
  <c r="AB66" i="57" s="1"/>
  <c r="Q66" i="57"/>
  <c r="X66" i="57" s="1"/>
  <c r="AE65" i="57"/>
  <c r="V65" i="57"/>
  <c r="AC65" i="57" s="1"/>
  <c r="U65" i="57"/>
  <c r="AB65" i="57" s="1"/>
  <c r="Q65" i="57"/>
  <c r="X65" i="57" s="1"/>
  <c r="AE64" i="57"/>
  <c r="V64" i="57"/>
  <c r="AC64" i="57" s="1"/>
  <c r="U64" i="57"/>
  <c r="AB64" i="57" s="1"/>
  <c r="Q64" i="57"/>
  <c r="X64" i="57" s="1"/>
  <c r="AE63" i="57"/>
  <c r="V63" i="57"/>
  <c r="AC63" i="57" s="1"/>
  <c r="U63" i="57"/>
  <c r="AB63" i="57" s="1"/>
  <c r="Q63" i="57"/>
  <c r="X63" i="57" s="1"/>
  <c r="AE62" i="57"/>
  <c r="V62" i="57"/>
  <c r="AC62" i="57" s="1"/>
  <c r="U62" i="57"/>
  <c r="AB62" i="57" s="1"/>
  <c r="Q62" i="57"/>
  <c r="X62" i="57" s="1"/>
  <c r="AE61" i="57"/>
  <c r="V61" i="57"/>
  <c r="U61" i="57"/>
  <c r="AB61" i="57" s="1"/>
  <c r="Q61" i="57"/>
  <c r="X61" i="57" s="1"/>
  <c r="AE60" i="57"/>
  <c r="V60" i="57"/>
  <c r="AC60" i="57" s="1"/>
  <c r="U60" i="57"/>
  <c r="AB60" i="57" s="1"/>
  <c r="Q60" i="57"/>
  <c r="X60" i="57" s="1"/>
  <c r="AE59" i="57"/>
  <c r="V59" i="57"/>
  <c r="AC59" i="57" s="1"/>
  <c r="U59" i="57"/>
  <c r="AB59" i="57" s="1"/>
  <c r="Q59" i="57"/>
  <c r="X59" i="57" s="1"/>
  <c r="AE58" i="57"/>
  <c r="V58" i="57"/>
  <c r="AC58" i="57" s="1"/>
  <c r="U58" i="57"/>
  <c r="AB58" i="57" s="1"/>
  <c r="Q58" i="57"/>
  <c r="X58" i="57" s="1"/>
  <c r="AC57" i="57"/>
  <c r="AE57" i="57"/>
  <c r="X57" i="57"/>
  <c r="U57" i="57"/>
  <c r="AB57" i="57" s="1"/>
  <c r="Q57" i="57"/>
  <c r="AC56" i="57"/>
  <c r="AE56" i="57"/>
  <c r="U56" i="57"/>
  <c r="AB56" i="57" s="1"/>
  <c r="Q56" i="57"/>
  <c r="AE55" i="57"/>
  <c r="V55" i="57"/>
  <c r="AC55" i="57" s="1"/>
  <c r="U55" i="57"/>
  <c r="AB55" i="57" s="1"/>
  <c r="Q55" i="57"/>
  <c r="X55" i="57" s="1"/>
  <c r="AE54" i="57"/>
  <c r="V54" i="57"/>
  <c r="AC54" i="57" s="1"/>
  <c r="U54" i="57"/>
  <c r="AB54" i="57" s="1"/>
  <c r="Q54" i="57"/>
  <c r="X54" i="57" s="1"/>
  <c r="AE53" i="57"/>
  <c r="V53" i="57"/>
  <c r="AC53" i="57" s="1"/>
  <c r="U53" i="57"/>
  <c r="AB53" i="57" s="1"/>
  <c r="Q53" i="57"/>
  <c r="X53" i="57" s="1"/>
  <c r="AE52" i="57"/>
  <c r="X52" i="57"/>
  <c r="V52" i="57"/>
  <c r="AC52" i="57" s="1"/>
  <c r="U52" i="57"/>
  <c r="AB52" i="57" s="1"/>
  <c r="Q52" i="57"/>
  <c r="AE51" i="57"/>
  <c r="AC51" i="57"/>
  <c r="AB51" i="57"/>
  <c r="Q51" i="57"/>
  <c r="AC50" i="57"/>
  <c r="AB50" i="57"/>
  <c r="AE50" i="57"/>
  <c r="Q50" i="57"/>
  <c r="AE49" i="57"/>
  <c r="V49" i="57"/>
  <c r="AC49" i="57" s="1"/>
  <c r="U49" i="57"/>
  <c r="AB49" i="57" s="1"/>
  <c r="Q49" i="57"/>
  <c r="AE48" i="57"/>
  <c r="V48" i="57"/>
  <c r="AC48" i="57" s="1"/>
  <c r="U48" i="57"/>
  <c r="AB48" i="57" s="1"/>
  <c r="Q48" i="57"/>
  <c r="X48" i="57" s="1"/>
  <c r="AC47" i="57"/>
  <c r="AB47" i="57"/>
  <c r="AE47" i="57"/>
  <c r="Q47" i="57"/>
  <c r="AE46" i="57"/>
  <c r="V46" i="57"/>
  <c r="AC46" i="57" s="1"/>
  <c r="U46" i="57"/>
  <c r="AB46" i="57" s="1"/>
  <c r="Q46" i="57"/>
  <c r="X46" i="57" s="1"/>
  <c r="AE45" i="57"/>
  <c r="V45" i="57"/>
  <c r="AC45" i="57" s="1"/>
  <c r="U45" i="57"/>
  <c r="AB45" i="57" s="1"/>
  <c r="Q45" i="57"/>
  <c r="X45" i="57" s="1"/>
  <c r="AE44" i="57"/>
  <c r="V44" i="57"/>
  <c r="AC44" i="57" s="1"/>
  <c r="U44" i="57"/>
  <c r="AB44" i="57" s="1"/>
  <c r="Q44" i="57"/>
  <c r="X44" i="57" s="1"/>
  <c r="AE43" i="57"/>
  <c r="V43" i="57"/>
  <c r="AC43" i="57" s="1"/>
  <c r="U43" i="57"/>
  <c r="AB43" i="57" s="1"/>
  <c r="Q43" i="57"/>
  <c r="X43" i="57" s="1"/>
  <c r="AE42" i="57"/>
  <c r="V42" i="57"/>
  <c r="AC42" i="57" s="1"/>
  <c r="U42" i="57"/>
  <c r="AB42" i="57" s="1"/>
  <c r="Q42" i="57"/>
  <c r="X42" i="57" s="1"/>
  <c r="AC41" i="57"/>
  <c r="AB41" i="57"/>
  <c r="AE41" i="57"/>
  <c r="AE40" i="57"/>
  <c r="V40" i="57"/>
  <c r="AC40" i="57" s="1"/>
  <c r="U40" i="57"/>
  <c r="AB40" i="57" s="1"/>
  <c r="Q40" i="57"/>
  <c r="X40" i="57" s="1"/>
  <c r="AE39" i="57"/>
  <c r="V39" i="57"/>
  <c r="AC39" i="57" s="1"/>
  <c r="U39" i="57"/>
  <c r="AB39" i="57" s="1"/>
  <c r="Q39" i="57"/>
  <c r="X39" i="57" s="1"/>
  <c r="AE38" i="57"/>
  <c r="V38" i="57"/>
  <c r="AC38" i="57" s="1"/>
  <c r="U38" i="57"/>
  <c r="AB38" i="57" s="1"/>
  <c r="Q38" i="57"/>
  <c r="X38" i="57" s="1"/>
  <c r="AE37" i="57"/>
  <c r="V37" i="57"/>
  <c r="AC37" i="57" s="1"/>
  <c r="U37" i="57"/>
  <c r="AB37" i="57" s="1"/>
  <c r="Q37" i="57"/>
  <c r="X37" i="57" s="1"/>
  <c r="AE36" i="57"/>
  <c r="V36" i="57"/>
  <c r="AC36" i="57" s="1"/>
  <c r="U36" i="57"/>
  <c r="AB36" i="57" s="1"/>
  <c r="Q36" i="57"/>
  <c r="X36" i="57" s="1"/>
  <c r="AE35" i="57"/>
  <c r="V35" i="57"/>
  <c r="AC35" i="57" s="1"/>
  <c r="U35" i="57"/>
  <c r="AB35" i="57" s="1"/>
  <c r="Q35" i="57"/>
  <c r="X35" i="57" s="1"/>
  <c r="AE34" i="57"/>
  <c r="V34" i="57"/>
  <c r="U34" i="57"/>
  <c r="Q34" i="57"/>
  <c r="X34" i="57" s="1"/>
  <c r="AE33" i="57"/>
  <c r="U33" i="57"/>
  <c r="Q33" i="57"/>
  <c r="AB32" i="57"/>
  <c r="AE32" i="57"/>
  <c r="Q32" i="57"/>
  <c r="AC31" i="57"/>
  <c r="AB31" i="57"/>
  <c r="AE31" i="57"/>
  <c r="Q31" i="57"/>
  <c r="AE29" i="57"/>
  <c r="V29" i="57"/>
  <c r="AC29" i="57" s="1"/>
  <c r="U29" i="57"/>
  <c r="AB29" i="57" s="1"/>
  <c r="Q29" i="57"/>
  <c r="X29" i="57" s="1"/>
  <c r="AE28" i="57"/>
  <c r="V28" i="57"/>
  <c r="AC28" i="57" s="1"/>
  <c r="U28" i="57"/>
  <c r="AB28" i="57" s="1"/>
  <c r="Q28" i="57"/>
  <c r="X28" i="57" s="1"/>
  <c r="AE27" i="57"/>
  <c r="V27" i="57"/>
  <c r="AC27" i="57" s="1"/>
  <c r="U27" i="57"/>
  <c r="AB27" i="57" s="1"/>
  <c r="Q27" i="57"/>
  <c r="X27" i="57" s="1"/>
  <c r="AE26" i="57"/>
  <c r="V26" i="57"/>
  <c r="AC26" i="57" s="1"/>
  <c r="U26" i="57"/>
  <c r="AB26" i="57" s="1"/>
  <c r="Q26" i="57"/>
  <c r="X26" i="57" s="1"/>
  <c r="AE25" i="57"/>
  <c r="V25" i="57"/>
  <c r="AC25" i="57" s="1"/>
  <c r="U25" i="57"/>
  <c r="AB25" i="57" s="1"/>
  <c r="Q25" i="57"/>
  <c r="X25" i="57" s="1"/>
  <c r="AE24" i="57"/>
  <c r="V24" i="57"/>
  <c r="AC24" i="57" s="1"/>
  <c r="U24" i="57"/>
  <c r="AB24" i="57" s="1"/>
  <c r="Q24" i="57"/>
  <c r="X24" i="57" s="1"/>
  <c r="AE23" i="57"/>
  <c r="AC23" i="57"/>
  <c r="AB23" i="57"/>
  <c r="Q23" i="57"/>
  <c r="X23" i="57" s="1"/>
  <c r="AE22" i="57"/>
  <c r="V22" i="57"/>
  <c r="AC22" i="57" s="1"/>
  <c r="U22" i="57"/>
  <c r="AB22" i="57" s="1"/>
  <c r="Q22" i="57"/>
  <c r="X22" i="57" s="1"/>
  <c r="AE21" i="57"/>
  <c r="V21" i="57"/>
  <c r="AC21" i="57" s="1"/>
  <c r="U21" i="57"/>
  <c r="AB21" i="57" s="1"/>
  <c r="Q21" i="57"/>
  <c r="X21" i="57" s="1"/>
  <c r="AE20" i="57"/>
  <c r="V20" i="57"/>
  <c r="AC20" i="57" s="1"/>
  <c r="U20" i="57"/>
  <c r="AB20" i="57" s="1"/>
  <c r="Q20" i="57"/>
  <c r="X20" i="57" s="1"/>
  <c r="AE19" i="57"/>
  <c r="V19" i="57"/>
  <c r="AC19" i="57" s="1"/>
  <c r="U19" i="57"/>
  <c r="Q19" i="57"/>
  <c r="X19" i="57" s="1"/>
  <c r="AC18" i="57"/>
  <c r="AB18" i="57"/>
  <c r="AE18" i="57"/>
  <c r="Q18" i="57"/>
  <c r="AE17" i="57"/>
  <c r="V17" i="57"/>
  <c r="AC17" i="57" s="1"/>
  <c r="U17" i="57"/>
  <c r="AB17" i="57" s="1"/>
  <c r="Q17" i="57"/>
  <c r="X17" i="57" s="1"/>
  <c r="AE16" i="57"/>
  <c r="V16" i="57"/>
  <c r="AC16" i="57" s="1"/>
  <c r="U16" i="57"/>
  <c r="AB16" i="57" s="1"/>
  <c r="Q16" i="57"/>
  <c r="X16" i="57" s="1"/>
  <c r="AC15" i="57"/>
  <c r="AB15" i="57"/>
  <c r="AE15" i="57"/>
  <c r="V14" i="57"/>
  <c r="AC14" i="57" s="1"/>
  <c r="U14" i="57"/>
  <c r="AB14" i="57" s="1"/>
  <c r="Q14" i="57"/>
  <c r="X14" i="57" s="1"/>
  <c r="Z84" i="57" l="1"/>
  <c r="S106" i="57"/>
  <c r="AA84" i="57"/>
  <c r="U84" i="57"/>
  <c r="U75" i="57"/>
  <c r="AA75" i="57"/>
  <c r="AA106" i="57" s="1"/>
  <c r="R106" i="57"/>
  <c r="AB78" i="57"/>
  <c r="Y84" i="57"/>
  <c r="Z75" i="57"/>
  <c r="Z106" i="57" s="1"/>
  <c r="Y75" i="57"/>
  <c r="Y106" i="57" s="1"/>
  <c r="T106" i="57"/>
  <c r="AE14" i="57"/>
  <c r="AE75" i="57" s="1"/>
  <c r="AE78" i="57"/>
  <c r="AE84" i="57" s="1"/>
  <c r="T75" i="56"/>
  <c r="S75" i="56"/>
  <c r="R75" i="56"/>
  <c r="U75" i="56" l="1"/>
  <c r="AB75" i="57"/>
  <c r="AB106" i="57" s="1"/>
  <c r="U106" i="57"/>
  <c r="AE106" i="57"/>
  <c r="K108" i="57" s="1"/>
  <c r="V16" i="56"/>
  <c r="V17" i="56"/>
  <c r="V19" i="56"/>
  <c r="V20" i="56"/>
  <c r="V21" i="56"/>
  <c r="V22" i="56"/>
  <c r="V23" i="56"/>
  <c r="V24" i="56"/>
  <c r="V25" i="56"/>
  <c r="V26" i="56"/>
  <c r="V27" i="56"/>
  <c r="V28" i="56"/>
  <c r="V29" i="56"/>
  <c r="V34" i="56"/>
  <c r="V35" i="56"/>
  <c r="V36" i="56"/>
  <c r="V37" i="56"/>
  <c r="V38" i="56"/>
  <c r="V39" i="56"/>
  <c r="V40" i="56"/>
  <c r="V42" i="56"/>
  <c r="V43" i="56"/>
  <c r="V44" i="56"/>
  <c r="V45" i="56"/>
  <c r="V46" i="56"/>
  <c r="V48" i="56"/>
  <c r="V49" i="56"/>
  <c r="V51" i="56"/>
  <c r="V52" i="56"/>
  <c r="V53" i="56"/>
  <c r="V54" i="56"/>
  <c r="V55" i="56"/>
  <c r="V58" i="56"/>
  <c r="V59" i="56"/>
  <c r="V60" i="56"/>
  <c r="V61" i="56"/>
  <c r="V62" i="56"/>
  <c r="V63" i="56"/>
  <c r="V64" i="56"/>
  <c r="V65" i="56"/>
  <c r="V66" i="56"/>
  <c r="V67" i="56"/>
  <c r="V68" i="56"/>
  <c r="V69" i="56"/>
  <c r="V70" i="56"/>
  <c r="V71" i="56"/>
  <c r="V72" i="56"/>
  <c r="V73" i="56"/>
  <c r="V74" i="56"/>
  <c r="V14" i="56"/>
  <c r="T84" i="56" l="1"/>
  <c r="T104" i="56" s="1"/>
  <c r="S84" i="56"/>
  <c r="S104" i="56" s="1"/>
  <c r="R84" i="56"/>
  <c r="R104" i="56" s="1"/>
  <c r="AC83" i="56"/>
  <c r="AB83" i="56"/>
  <c r="AA83" i="56"/>
  <c r="Z83" i="56"/>
  <c r="Y83" i="56"/>
  <c r="AE83" i="56" s="1"/>
  <c r="AC82" i="56"/>
  <c r="AB82" i="56"/>
  <c r="AA82" i="56"/>
  <c r="Z82" i="56"/>
  <c r="Y82" i="56"/>
  <c r="AE82" i="56" s="1"/>
  <c r="AA81" i="56"/>
  <c r="Z81" i="56"/>
  <c r="Y81" i="56"/>
  <c r="AE81" i="56" s="1"/>
  <c r="V81" i="56"/>
  <c r="AC81" i="56" s="1"/>
  <c r="U81" i="56"/>
  <c r="AB81" i="56" s="1"/>
  <c r="AC80" i="56"/>
  <c r="AA80" i="56"/>
  <c r="Z80" i="56"/>
  <c r="Y80" i="56"/>
  <c r="AE80" i="56" s="1"/>
  <c r="AA79" i="56"/>
  <c r="Z79" i="56"/>
  <c r="Y79" i="56"/>
  <c r="V79" i="56"/>
  <c r="AC79" i="56" s="1"/>
  <c r="AA78" i="56"/>
  <c r="Z78" i="56"/>
  <c r="Y78" i="56"/>
  <c r="AE78" i="56" s="1"/>
  <c r="V78" i="56"/>
  <c r="AC78" i="56" s="1"/>
  <c r="U78" i="56"/>
  <c r="AC74" i="56"/>
  <c r="AA74" i="56"/>
  <c r="Z74" i="56"/>
  <c r="Y74" i="56"/>
  <c r="AE74" i="56" s="1"/>
  <c r="U74" i="56"/>
  <c r="AB74" i="56" s="1"/>
  <c r="Q74" i="56"/>
  <c r="X74" i="56" s="1"/>
  <c r="AA73" i="56"/>
  <c r="Z73" i="56"/>
  <c r="Y73" i="56"/>
  <c r="AE73" i="56" s="1"/>
  <c r="AC73" i="56"/>
  <c r="U73" i="56"/>
  <c r="AB73" i="56" s="1"/>
  <c r="Q73" i="56"/>
  <c r="X73" i="56" s="1"/>
  <c r="AC72" i="56"/>
  <c r="AA72" i="56"/>
  <c r="Z72" i="56"/>
  <c r="Y72" i="56"/>
  <c r="AE72" i="56" s="1"/>
  <c r="U72" i="56"/>
  <c r="AB72" i="56" s="1"/>
  <c r="Q72" i="56"/>
  <c r="X72" i="56" s="1"/>
  <c r="AA71" i="56"/>
  <c r="Z71" i="56"/>
  <c r="Y71" i="56"/>
  <c r="AE71" i="56" s="1"/>
  <c r="AC71" i="56"/>
  <c r="U71" i="56"/>
  <c r="AB71" i="56" s="1"/>
  <c r="Q71" i="56"/>
  <c r="X71" i="56" s="1"/>
  <c r="AC70" i="56"/>
  <c r="AA70" i="56"/>
  <c r="Z70" i="56"/>
  <c r="Y70" i="56"/>
  <c r="AE70" i="56" s="1"/>
  <c r="U70" i="56"/>
  <c r="Q70" i="56"/>
  <c r="X70" i="56" s="1"/>
  <c r="AA69" i="56"/>
  <c r="Z69" i="56"/>
  <c r="Y69" i="56"/>
  <c r="AE69" i="56" s="1"/>
  <c r="AC69" i="56"/>
  <c r="U69" i="56"/>
  <c r="AB69" i="56" s="1"/>
  <c r="Q69" i="56"/>
  <c r="X69" i="56" s="1"/>
  <c r="AC68" i="56"/>
  <c r="AA68" i="56"/>
  <c r="Z68" i="56"/>
  <c r="Y68" i="56"/>
  <c r="AE68" i="56" s="1"/>
  <c r="U68" i="56"/>
  <c r="AB68" i="56" s="1"/>
  <c r="Q68" i="56"/>
  <c r="X68" i="56" s="1"/>
  <c r="AA67" i="56"/>
  <c r="Z67" i="56"/>
  <c r="Y67" i="56"/>
  <c r="AE67" i="56" s="1"/>
  <c r="U67" i="56"/>
  <c r="AB67" i="56" s="1"/>
  <c r="Q67" i="56"/>
  <c r="X67" i="56" s="1"/>
  <c r="AA66" i="56"/>
  <c r="Z66" i="56"/>
  <c r="Y66" i="56"/>
  <c r="AE66" i="56" s="1"/>
  <c r="U66" i="56"/>
  <c r="AB66" i="56" s="1"/>
  <c r="Q66" i="56"/>
  <c r="X66" i="56" s="1"/>
  <c r="AA65" i="56"/>
  <c r="Z65" i="56"/>
  <c r="Y65" i="56"/>
  <c r="AE65" i="56" s="1"/>
  <c r="AC65" i="56"/>
  <c r="U65" i="56"/>
  <c r="AB65" i="56" s="1"/>
  <c r="Q65" i="56"/>
  <c r="X65" i="56" s="1"/>
  <c r="AC64" i="56"/>
  <c r="AA64" i="56"/>
  <c r="Z64" i="56"/>
  <c r="Y64" i="56"/>
  <c r="AE64" i="56" s="1"/>
  <c r="U64" i="56"/>
  <c r="AB64" i="56" s="1"/>
  <c r="Q64" i="56"/>
  <c r="X64" i="56" s="1"/>
  <c r="AA63" i="56"/>
  <c r="Z63" i="56"/>
  <c r="Y63" i="56"/>
  <c r="AE63" i="56" s="1"/>
  <c r="AC63" i="56"/>
  <c r="U63" i="56"/>
  <c r="AB63" i="56" s="1"/>
  <c r="Q63" i="56"/>
  <c r="X63" i="56" s="1"/>
  <c r="AC62" i="56"/>
  <c r="AA62" i="56"/>
  <c r="Z62" i="56"/>
  <c r="Y62" i="56"/>
  <c r="AE62" i="56" s="1"/>
  <c r="U62" i="56"/>
  <c r="AB62" i="56" s="1"/>
  <c r="Q62" i="56"/>
  <c r="X62" i="56" s="1"/>
  <c r="AA61" i="56"/>
  <c r="Z61" i="56"/>
  <c r="Y61" i="56"/>
  <c r="AE61" i="56" s="1"/>
  <c r="U61" i="56"/>
  <c r="AB61" i="56" s="1"/>
  <c r="Q61" i="56"/>
  <c r="X61" i="56" s="1"/>
  <c r="AC60" i="56"/>
  <c r="AA60" i="56"/>
  <c r="Z60" i="56"/>
  <c r="Y60" i="56"/>
  <c r="AE60" i="56" s="1"/>
  <c r="U60" i="56"/>
  <c r="AB60" i="56" s="1"/>
  <c r="Q60" i="56"/>
  <c r="X60" i="56" s="1"/>
  <c r="AA59" i="56"/>
  <c r="Z59" i="56"/>
  <c r="Y59" i="56"/>
  <c r="AE59" i="56" s="1"/>
  <c r="AC59" i="56"/>
  <c r="U59" i="56"/>
  <c r="AB59" i="56" s="1"/>
  <c r="Q59" i="56"/>
  <c r="X59" i="56" s="1"/>
  <c r="AA58" i="56"/>
  <c r="Z58" i="56"/>
  <c r="Y58" i="56"/>
  <c r="AE58" i="56" s="1"/>
  <c r="AC58" i="56"/>
  <c r="U58" i="56"/>
  <c r="AB58" i="56" s="1"/>
  <c r="Q58" i="56"/>
  <c r="X58" i="56" s="1"/>
  <c r="AA57" i="56"/>
  <c r="Z57" i="56"/>
  <c r="Y57" i="56"/>
  <c r="AE57" i="56" s="1"/>
  <c r="X57" i="56"/>
  <c r="U57" i="56"/>
  <c r="AB57" i="56" s="1"/>
  <c r="Q57" i="56"/>
  <c r="AC56" i="56"/>
  <c r="AA56" i="56"/>
  <c r="Z56" i="56"/>
  <c r="Y56" i="56"/>
  <c r="AE56" i="56" s="1"/>
  <c r="U56" i="56"/>
  <c r="AB56" i="56" s="1"/>
  <c r="Q56" i="56"/>
  <c r="AA55" i="56"/>
  <c r="Z55" i="56"/>
  <c r="Y55" i="56"/>
  <c r="AE55" i="56" s="1"/>
  <c r="AC55" i="56"/>
  <c r="U55" i="56"/>
  <c r="AB55" i="56" s="1"/>
  <c r="Q55" i="56"/>
  <c r="X55" i="56" s="1"/>
  <c r="AA54" i="56"/>
  <c r="Z54" i="56"/>
  <c r="Y54" i="56"/>
  <c r="AE54" i="56" s="1"/>
  <c r="AC54" i="56"/>
  <c r="U54" i="56"/>
  <c r="AB54" i="56" s="1"/>
  <c r="Q54" i="56"/>
  <c r="X54" i="56" s="1"/>
  <c r="AA53" i="56"/>
  <c r="Z53" i="56"/>
  <c r="Y53" i="56"/>
  <c r="AE53" i="56" s="1"/>
  <c r="AC53" i="56"/>
  <c r="U53" i="56"/>
  <c r="AB53" i="56" s="1"/>
  <c r="Q53" i="56"/>
  <c r="X53" i="56" s="1"/>
  <c r="AA52" i="56"/>
  <c r="Z52" i="56"/>
  <c r="Y52" i="56"/>
  <c r="AE52" i="56" s="1"/>
  <c r="AC52" i="56"/>
  <c r="U52" i="56"/>
  <c r="AB52" i="56" s="1"/>
  <c r="Q52" i="56"/>
  <c r="X52" i="56" s="1"/>
  <c r="AA51" i="56"/>
  <c r="Z51" i="56"/>
  <c r="Y51" i="56"/>
  <c r="AE51" i="56" s="1"/>
  <c r="AC51" i="56"/>
  <c r="U51" i="56"/>
  <c r="AB51" i="56" s="1"/>
  <c r="Q51" i="56"/>
  <c r="X51" i="56" s="1"/>
  <c r="AA50" i="56"/>
  <c r="Z50" i="56"/>
  <c r="Y50" i="56"/>
  <c r="AE50" i="56" s="1"/>
  <c r="AC50" i="56"/>
  <c r="AB50" i="56"/>
  <c r="Q50" i="56"/>
  <c r="AA49" i="56"/>
  <c r="Z49" i="56"/>
  <c r="Y49" i="56"/>
  <c r="AE49" i="56" s="1"/>
  <c r="AC49" i="56"/>
  <c r="U49" i="56"/>
  <c r="AB49" i="56" s="1"/>
  <c r="Q49" i="56"/>
  <c r="AC48" i="56"/>
  <c r="AA48" i="56"/>
  <c r="Z48" i="56"/>
  <c r="Y48" i="56"/>
  <c r="AE48" i="56" s="1"/>
  <c r="U48" i="56"/>
  <c r="AB48" i="56" s="1"/>
  <c r="Q48" i="56"/>
  <c r="X48" i="56" s="1"/>
  <c r="AC47" i="56"/>
  <c r="AB47" i="56"/>
  <c r="AA47" i="56"/>
  <c r="Z47" i="56"/>
  <c r="Y47" i="56"/>
  <c r="AE47" i="56" s="1"/>
  <c r="Q47" i="56"/>
  <c r="AA46" i="56"/>
  <c r="Z46" i="56"/>
  <c r="Y46" i="56"/>
  <c r="AE46" i="56" s="1"/>
  <c r="AC46" i="56"/>
  <c r="U46" i="56"/>
  <c r="AB46" i="56" s="1"/>
  <c r="Q46" i="56"/>
  <c r="X46" i="56" s="1"/>
  <c r="AA45" i="56"/>
  <c r="Z45" i="56"/>
  <c r="Y45" i="56"/>
  <c r="AE45" i="56" s="1"/>
  <c r="AC45" i="56"/>
  <c r="U45" i="56"/>
  <c r="AB45" i="56" s="1"/>
  <c r="Q45" i="56"/>
  <c r="X45" i="56" s="1"/>
  <c r="AA44" i="56"/>
  <c r="Z44" i="56"/>
  <c r="Y44" i="56"/>
  <c r="AE44" i="56" s="1"/>
  <c r="AC44" i="56"/>
  <c r="U44" i="56"/>
  <c r="AB44" i="56" s="1"/>
  <c r="Q44" i="56"/>
  <c r="X44" i="56" s="1"/>
  <c r="AA43" i="56"/>
  <c r="Z43" i="56"/>
  <c r="Y43" i="56"/>
  <c r="AE43" i="56" s="1"/>
  <c r="AC43" i="56"/>
  <c r="U43" i="56"/>
  <c r="AB43" i="56" s="1"/>
  <c r="Q43" i="56"/>
  <c r="X43" i="56" s="1"/>
  <c r="AA42" i="56"/>
  <c r="Z42" i="56"/>
  <c r="Y42" i="56"/>
  <c r="AE42" i="56" s="1"/>
  <c r="AC42" i="56"/>
  <c r="U42" i="56"/>
  <c r="AB42" i="56" s="1"/>
  <c r="Q42" i="56"/>
  <c r="X42" i="56" s="1"/>
  <c r="AE41" i="56"/>
  <c r="AC41" i="56"/>
  <c r="AB41" i="56"/>
  <c r="AA41" i="56"/>
  <c r="Z41" i="56"/>
  <c r="Y41" i="56"/>
  <c r="AC40" i="56"/>
  <c r="AA40" i="56"/>
  <c r="Z40" i="56"/>
  <c r="Y40" i="56"/>
  <c r="AE40" i="56" s="1"/>
  <c r="U40" i="56"/>
  <c r="AB40" i="56" s="1"/>
  <c r="Q40" i="56"/>
  <c r="X40" i="56" s="1"/>
  <c r="AA39" i="56"/>
  <c r="Z39" i="56"/>
  <c r="Y39" i="56"/>
  <c r="AE39" i="56" s="1"/>
  <c r="AC39" i="56"/>
  <c r="U39" i="56"/>
  <c r="AB39" i="56" s="1"/>
  <c r="Q39" i="56"/>
  <c r="X39" i="56" s="1"/>
  <c r="AC38" i="56"/>
  <c r="AA38" i="56"/>
  <c r="Z38" i="56"/>
  <c r="Y38" i="56"/>
  <c r="AE38" i="56" s="1"/>
  <c r="U38" i="56"/>
  <c r="AB38" i="56" s="1"/>
  <c r="Q38" i="56"/>
  <c r="X38" i="56" s="1"/>
  <c r="AC37" i="56"/>
  <c r="AA37" i="56"/>
  <c r="Z37" i="56"/>
  <c r="Y37" i="56"/>
  <c r="AE37" i="56" s="1"/>
  <c r="U37" i="56"/>
  <c r="AB37" i="56" s="1"/>
  <c r="Q37" i="56"/>
  <c r="X37" i="56" s="1"/>
  <c r="AC36" i="56"/>
  <c r="AA36" i="56"/>
  <c r="Z36" i="56"/>
  <c r="Y36" i="56"/>
  <c r="AE36" i="56" s="1"/>
  <c r="U36" i="56"/>
  <c r="AB36" i="56" s="1"/>
  <c r="Q36" i="56"/>
  <c r="X36" i="56" s="1"/>
  <c r="AA35" i="56"/>
  <c r="Z35" i="56"/>
  <c r="Y35" i="56"/>
  <c r="AE35" i="56" s="1"/>
  <c r="AC35" i="56"/>
  <c r="U35" i="56"/>
  <c r="AB35" i="56" s="1"/>
  <c r="Q35" i="56"/>
  <c r="X35" i="56" s="1"/>
  <c r="AA34" i="56"/>
  <c r="Z34" i="56"/>
  <c r="Y34" i="56"/>
  <c r="AE34" i="56" s="1"/>
  <c r="U34" i="56"/>
  <c r="Q34" i="56"/>
  <c r="X34" i="56" s="1"/>
  <c r="AA33" i="56"/>
  <c r="Z33" i="56"/>
  <c r="Y33" i="56"/>
  <c r="AE33" i="56" s="1"/>
  <c r="U33" i="56"/>
  <c r="Q33" i="56"/>
  <c r="AA32" i="56"/>
  <c r="Z32" i="56"/>
  <c r="Y32" i="56"/>
  <c r="AE32" i="56" s="1"/>
  <c r="AC32" i="56"/>
  <c r="AB32" i="56"/>
  <c r="Q32" i="56"/>
  <c r="AC31" i="56"/>
  <c r="AB31" i="56"/>
  <c r="AA31" i="56"/>
  <c r="Z31" i="56"/>
  <c r="Y31" i="56"/>
  <c r="AE31" i="56" s="1"/>
  <c r="Q31" i="56"/>
  <c r="AA30" i="56"/>
  <c r="Z30" i="56"/>
  <c r="Y30" i="56"/>
  <c r="AA29" i="56"/>
  <c r="Z29" i="56"/>
  <c r="Y29" i="56"/>
  <c r="AE29" i="56" s="1"/>
  <c r="AC29" i="56"/>
  <c r="U29" i="56"/>
  <c r="AB29" i="56" s="1"/>
  <c r="Q29" i="56"/>
  <c r="X29" i="56" s="1"/>
  <c r="AC28" i="56"/>
  <c r="AA28" i="56"/>
  <c r="Z28" i="56"/>
  <c r="Y28" i="56"/>
  <c r="AE28" i="56" s="1"/>
  <c r="U28" i="56"/>
  <c r="AB28" i="56" s="1"/>
  <c r="Q28" i="56"/>
  <c r="X28" i="56" s="1"/>
  <c r="AA27" i="56"/>
  <c r="Z27" i="56"/>
  <c r="Y27" i="56"/>
  <c r="AE27" i="56" s="1"/>
  <c r="AC27" i="56"/>
  <c r="U27" i="56"/>
  <c r="AB27" i="56" s="1"/>
  <c r="Q27" i="56"/>
  <c r="X27" i="56" s="1"/>
  <c r="AC26" i="56"/>
  <c r="AA26" i="56"/>
  <c r="Z26" i="56"/>
  <c r="Y26" i="56"/>
  <c r="AE26" i="56" s="1"/>
  <c r="U26" i="56"/>
  <c r="AB26" i="56" s="1"/>
  <c r="Q26" i="56"/>
  <c r="X26" i="56" s="1"/>
  <c r="AC25" i="56"/>
  <c r="AA25" i="56"/>
  <c r="Z25" i="56"/>
  <c r="Y25" i="56"/>
  <c r="AE25" i="56" s="1"/>
  <c r="U25" i="56"/>
  <c r="AB25" i="56" s="1"/>
  <c r="Q25" i="56"/>
  <c r="X25" i="56" s="1"/>
  <c r="AA24" i="56"/>
  <c r="Z24" i="56"/>
  <c r="Y24" i="56"/>
  <c r="AE24" i="56" s="1"/>
  <c r="AC24" i="56"/>
  <c r="U24" i="56"/>
  <c r="AB24" i="56" s="1"/>
  <c r="Q24" i="56"/>
  <c r="X24" i="56" s="1"/>
  <c r="AC23" i="56"/>
  <c r="AA23" i="56"/>
  <c r="Z23" i="56"/>
  <c r="Y23" i="56"/>
  <c r="AE23" i="56" s="1"/>
  <c r="U23" i="56"/>
  <c r="AB23" i="56" s="1"/>
  <c r="Q23" i="56"/>
  <c r="X23" i="56" s="1"/>
  <c r="AA22" i="56"/>
  <c r="Z22" i="56"/>
  <c r="Y22" i="56"/>
  <c r="AE22" i="56" s="1"/>
  <c r="AC22" i="56"/>
  <c r="U22" i="56"/>
  <c r="AB22" i="56" s="1"/>
  <c r="Q22" i="56"/>
  <c r="X22" i="56" s="1"/>
  <c r="AA21" i="56"/>
  <c r="Z21" i="56"/>
  <c r="Y21" i="56"/>
  <c r="AE21" i="56" s="1"/>
  <c r="AC21" i="56"/>
  <c r="U21" i="56"/>
  <c r="AB21" i="56" s="1"/>
  <c r="Q21" i="56"/>
  <c r="X21" i="56" s="1"/>
  <c r="AA20" i="56"/>
  <c r="Z20" i="56"/>
  <c r="Y20" i="56"/>
  <c r="AE20" i="56" s="1"/>
  <c r="AC20" i="56"/>
  <c r="U20" i="56"/>
  <c r="AB20" i="56" s="1"/>
  <c r="Q20" i="56"/>
  <c r="X20" i="56" s="1"/>
  <c r="AC19" i="56"/>
  <c r="AA19" i="56"/>
  <c r="Z19" i="56"/>
  <c r="Y19" i="56"/>
  <c r="AE19" i="56" s="1"/>
  <c r="U19" i="56"/>
  <c r="Q19" i="56"/>
  <c r="X19" i="56" s="1"/>
  <c r="AC18" i="56"/>
  <c r="AB18" i="56"/>
  <c r="AA18" i="56"/>
  <c r="Z18" i="56"/>
  <c r="Y18" i="56"/>
  <c r="AE18" i="56" s="1"/>
  <c r="Q18" i="56"/>
  <c r="AC17" i="56"/>
  <c r="AA17" i="56"/>
  <c r="Z17" i="56"/>
  <c r="Y17" i="56"/>
  <c r="AE17" i="56" s="1"/>
  <c r="U17" i="56"/>
  <c r="AB17" i="56" s="1"/>
  <c r="Q17" i="56"/>
  <c r="X17" i="56" s="1"/>
  <c r="AC16" i="56"/>
  <c r="AA16" i="56"/>
  <c r="Z16" i="56"/>
  <c r="Y16" i="56"/>
  <c r="AE16" i="56" s="1"/>
  <c r="U16" i="56"/>
  <c r="AB16" i="56" s="1"/>
  <c r="Q16" i="56"/>
  <c r="X16" i="56" s="1"/>
  <c r="AC15" i="56"/>
  <c r="AB15" i="56"/>
  <c r="AA15" i="56"/>
  <c r="Z15" i="56"/>
  <c r="Y15" i="56"/>
  <c r="AE15" i="56" s="1"/>
  <c r="AC14" i="56"/>
  <c r="AA14" i="56"/>
  <c r="Z14" i="56"/>
  <c r="Y14" i="56"/>
  <c r="U14" i="56"/>
  <c r="AB14" i="56" s="1"/>
  <c r="Q14" i="56"/>
  <c r="X14" i="56" s="1"/>
  <c r="AA75" i="56" l="1"/>
  <c r="AA104" i="56" s="1"/>
  <c r="Y75" i="56"/>
  <c r="Z75" i="56"/>
  <c r="AA84" i="56"/>
  <c r="U84" i="56"/>
  <c r="Y84" i="56"/>
  <c r="AB78" i="56"/>
  <c r="Z84" i="56"/>
  <c r="AE79" i="56"/>
  <c r="AE84" i="56" s="1"/>
  <c r="U104" i="56"/>
  <c r="AE14" i="56"/>
  <c r="AE75" i="56" s="1"/>
  <c r="AC57" i="56"/>
  <c r="AA15" i="54"/>
  <c r="AA16" i="54"/>
  <c r="AA17" i="54"/>
  <c r="AA18" i="54"/>
  <c r="AA19" i="54"/>
  <c r="AA20" i="54"/>
  <c r="AA21" i="54"/>
  <c r="AA22" i="54"/>
  <c r="AA23" i="54"/>
  <c r="AA24" i="54"/>
  <c r="AA25" i="54"/>
  <c r="AA26" i="54"/>
  <c r="AA27" i="54"/>
  <c r="AA28" i="54"/>
  <c r="AA29" i="54"/>
  <c r="AA30" i="54"/>
  <c r="AA31" i="54"/>
  <c r="AA32" i="54"/>
  <c r="AA33" i="54"/>
  <c r="AA34" i="54"/>
  <c r="AA35" i="54"/>
  <c r="AA36" i="54"/>
  <c r="AA37" i="54"/>
  <c r="AA38" i="54"/>
  <c r="AA39" i="54"/>
  <c r="AA40" i="54"/>
  <c r="AA41" i="54"/>
  <c r="AA42" i="54"/>
  <c r="AA43" i="54"/>
  <c r="AA44" i="54"/>
  <c r="AA45" i="54"/>
  <c r="AA46" i="54"/>
  <c r="AA47" i="54"/>
  <c r="AA48" i="54"/>
  <c r="AA49" i="54"/>
  <c r="AA50" i="54"/>
  <c r="AA51" i="54"/>
  <c r="AA52" i="54"/>
  <c r="AA53" i="54"/>
  <c r="AA54" i="54"/>
  <c r="AA55" i="54"/>
  <c r="AA56" i="54"/>
  <c r="AA57" i="54"/>
  <c r="AA58" i="54"/>
  <c r="AA59" i="54"/>
  <c r="AA60" i="54"/>
  <c r="AA61" i="54"/>
  <c r="AA62" i="54"/>
  <c r="AA63" i="54"/>
  <c r="AA64" i="54"/>
  <c r="AA65" i="54"/>
  <c r="AA66" i="54"/>
  <c r="AA67" i="54"/>
  <c r="AA68" i="54"/>
  <c r="AA69" i="54"/>
  <c r="AA70" i="54"/>
  <c r="AA71" i="54"/>
  <c r="AA72" i="54"/>
  <c r="AA73" i="54"/>
  <c r="AA74" i="54"/>
  <c r="AA14" i="54"/>
  <c r="Z15" i="54"/>
  <c r="Z16" i="54"/>
  <c r="Z17" i="54"/>
  <c r="Z18" i="54"/>
  <c r="Z19" i="54"/>
  <c r="Z20" i="54"/>
  <c r="Z21" i="54"/>
  <c r="Z22" i="54"/>
  <c r="Z23" i="54"/>
  <c r="Z24" i="54"/>
  <c r="Z25" i="54"/>
  <c r="Z26" i="54"/>
  <c r="Z27" i="54"/>
  <c r="Z28" i="54"/>
  <c r="Z29" i="54"/>
  <c r="Z30" i="54"/>
  <c r="Z31" i="54"/>
  <c r="Z32" i="54"/>
  <c r="Z33" i="54"/>
  <c r="Z34" i="54"/>
  <c r="Z35" i="54"/>
  <c r="Z36" i="54"/>
  <c r="Z37" i="54"/>
  <c r="Z38" i="54"/>
  <c r="Z39" i="54"/>
  <c r="Z40" i="54"/>
  <c r="Z41" i="54"/>
  <c r="Z42" i="54"/>
  <c r="Z43" i="54"/>
  <c r="Z44" i="54"/>
  <c r="Z45" i="54"/>
  <c r="Z46" i="54"/>
  <c r="Z47" i="54"/>
  <c r="Z48" i="54"/>
  <c r="Z49" i="54"/>
  <c r="Z50" i="54"/>
  <c r="Z51" i="54"/>
  <c r="Z52" i="54"/>
  <c r="Z53" i="54"/>
  <c r="Z54" i="54"/>
  <c r="Z55" i="54"/>
  <c r="Z56" i="54"/>
  <c r="Z57" i="54"/>
  <c r="Z58" i="54"/>
  <c r="Z59" i="54"/>
  <c r="Z60" i="54"/>
  <c r="Z61" i="54"/>
  <c r="Z62" i="54"/>
  <c r="Z63" i="54"/>
  <c r="Z64" i="54"/>
  <c r="Z65" i="54"/>
  <c r="Z66" i="54"/>
  <c r="Z67" i="54"/>
  <c r="Z68" i="54"/>
  <c r="Z69" i="54"/>
  <c r="Z70" i="54"/>
  <c r="Z71" i="54"/>
  <c r="Z72" i="54"/>
  <c r="Z73" i="54"/>
  <c r="Z74" i="54"/>
  <c r="Z14" i="54"/>
  <c r="Y15" i="54"/>
  <c r="Y16" i="54"/>
  <c r="Y17" i="54"/>
  <c r="Y18" i="54"/>
  <c r="Y19" i="54"/>
  <c r="Y20" i="54"/>
  <c r="Y21" i="54"/>
  <c r="Y22" i="54"/>
  <c r="Y23" i="54"/>
  <c r="Y24" i="54"/>
  <c r="Y25" i="54"/>
  <c r="Y26" i="54"/>
  <c r="Y27" i="54"/>
  <c r="Y28" i="54"/>
  <c r="Y29" i="54"/>
  <c r="Y30" i="54"/>
  <c r="Y31" i="54"/>
  <c r="Y32" i="54"/>
  <c r="Y33" i="54"/>
  <c r="Y34" i="54"/>
  <c r="Y35" i="54"/>
  <c r="Y36" i="54"/>
  <c r="Y37" i="54"/>
  <c r="Y38" i="54"/>
  <c r="Y39" i="54"/>
  <c r="Y40" i="54"/>
  <c r="Y41" i="54"/>
  <c r="Y42" i="54"/>
  <c r="Y43" i="54"/>
  <c r="Y44" i="54"/>
  <c r="Y45" i="54"/>
  <c r="Y46" i="54"/>
  <c r="Y47" i="54"/>
  <c r="Y48" i="54"/>
  <c r="Y49" i="54"/>
  <c r="Y50" i="54"/>
  <c r="Y51" i="54"/>
  <c r="Y52" i="54"/>
  <c r="Y53" i="54"/>
  <c r="Y54" i="54"/>
  <c r="Y55" i="54"/>
  <c r="Y56" i="54"/>
  <c r="Y57" i="54"/>
  <c r="Y58" i="54"/>
  <c r="Y59" i="54"/>
  <c r="Y60" i="54"/>
  <c r="Y61" i="54"/>
  <c r="Y62" i="54"/>
  <c r="Y63" i="54"/>
  <c r="Y64" i="54"/>
  <c r="Y65" i="54"/>
  <c r="Y66" i="54"/>
  <c r="Y67" i="54"/>
  <c r="Y68" i="54"/>
  <c r="Y69" i="54"/>
  <c r="Y70" i="54"/>
  <c r="Y71" i="54"/>
  <c r="Y72" i="54"/>
  <c r="Y73" i="54"/>
  <c r="Y74" i="54"/>
  <c r="Y14" i="54"/>
  <c r="AB75" i="56" l="1"/>
  <c r="AB104" i="56" s="1"/>
  <c r="AE104" i="56"/>
  <c r="Z104" i="56"/>
  <c r="Y104" i="56"/>
  <c r="K106" i="56"/>
  <c r="Z78" i="54"/>
  <c r="Z79" i="54"/>
  <c r="Z80" i="54"/>
  <c r="Z81" i="54"/>
  <c r="Z82" i="54"/>
  <c r="Z77" i="54"/>
  <c r="Y78" i="54"/>
  <c r="Y79" i="54"/>
  <c r="Y80" i="54"/>
  <c r="Y81" i="54"/>
  <c r="Y82" i="54"/>
  <c r="Y77" i="54"/>
  <c r="U14" i="54" l="1"/>
  <c r="U16" i="54"/>
  <c r="U17" i="54"/>
  <c r="AB17" i="54" s="1"/>
  <c r="U19" i="54"/>
  <c r="AC17" i="54"/>
  <c r="T83" i="55" l="1"/>
  <c r="S83" i="55"/>
  <c r="R83" i="55"/>
  <c r="AC82" i="55"/>
  <c r="AB82" i="55"/>
  <c r="AA82" i="55"/>
  <c r="Z82" i="55"/>
  <c r="Y82" i="55"/>
  <c r="AE82" i="55" s="1"/>
  <c r="AC81" i="55"/>
  <c r="AB81" i="55"/>
  <c r="AA81" i="55"/>
  <c r="Z81" i="55"/>
  <c r="Y81" i="55"/>
  <c r="AE81" i="55" s="1"/>
  <c r="AA80" i="55"/>
  <c r="Z80" i="55"/>
  <c r="Y80" i="55"/>
  <c r="AE80" i="55" s="1"/>
  <c r="V80" i="55"/>
  <c r="AC80" i="55" s="1"/>
  <c r="U80" i="55"/>
  <c r="AB80" i="55" s="1"/>
  <c r="AC79" i="55"/>
  <c r="AA79" i="55"/>
  <c r="Z79" i="55"/>
  <c r="Y79" i="55"/>
  <c r="AE79" i="55" s="1"/>
  <c r="AA78" i="55"/>
  <c r="Z78" i="55"/>
  <c r="Y78" i="55"/>
  <c r="AE78" i="55" s="1"/>
  <c r="V78" i="55"/>
  <c r="AC78" i="55" s="1"/>
  <c r="AB77" i="55"/>
  <c r="AA77" i="55"/>
  <c r="Z77" i="55"/>
  <c r="Y77" i="55"/>
  <c r="AE77" i="55" s="1"/>
  <c r="V77" i="55"/>
  <c r="AC77" i="55" s="1"/>
  <c r="U77" i="55"/>
  <c r="T75" i="55"/>
  <c r="S75" i="55"/>
  <c r="S102" i="55" s="1"/>
  <c r="R75" i="55"/>
  <c r="AA74" i="55"/>
  <c r="Z74" i="55"/>
  <c r="Y74" i="55"/>
  <c r="AE74" i="55" s="1"/>
  <c r="V74" i="55"/>
  <c r="AC74" i="55" s="1"/>
  <c r="U74" i="55"/>
  <c r="AB74" i="55" s="1"/>
  <c r="Q74" i="55"/>
  <c r="X74" i="55" s="1"/>
  <c r="AA73" i="55"/>
  <c r="Z73" i="55"/>
  <c r="Y73" i="55"/>
  <c r="AE73" i="55" s="1"/>
  <c r="V73" i="55"/>
  <c r="AC73" i="55" s="1"/>
  <c r="U73" i="55"/>
  <c r="AB73" i="55" s="1"/>
  <c r="Q73" i="55"/>
  <c r="X73" i="55" s="1"/>
  <c r="AA72" i="55"/>
  <c r="Z72" i="55"/>
  <c r="Y72" i="55"/>
  <c r="AE72" i="55" s="1"/>
  <c r="V72" i="55"/>
  <c r="AC72" i="55" s="1"/>
  <c r="U72" i="55"/>
  <c r="AB72" i="55" s="1"/>
  <c r="Q72" i="55"/>
  <c r="X72" i="55" s="1"/>
  <c r="AA71" i="55"/>
  <c r="Z71" i="55"/>
  <c r="Y71" i="55"/>
  <c r="AE71" i="55" s="1"/>
  <c r="V71" i="55"/>
  <c r="AC71" i="55" s="1"/>
  <c r="U71" i="55"/>
  <c r="AB71" i="55" s="1"/>
  <c r="Q71" i="55"/>
  <c r="X71" i="55" s="1"/>
  <c r="AA70" i="55"/>
  <c r="Z70" i="55"/>
  <c r="Y70" i="55"/>
  <c r="AE70" i="55" s="1"/>
  <c r="V70" i="55"/>
  <c r="AC70" i="55" s="1"/>
  <c r="U70" i="55"/>
  <c r="Q70" i="55"/>
  <c r="X70" i="55" s="1"/>
  <c r="AA69" i="55"/>
  <c r="Z69" i="55"/>
  <c r="Y69" i="55"/>
  <c r="AE69" i="55" s="1"/>
  <c r="V69" i="55"/>
  <c r="AC69" i="55" s="1"/>
  <c r="U69" i="55"/>
  <c r="AB69" i="55" s="1"/>
  <c r="Q69" i="55"/>
  <c r="X69" i="55" s="1"/>
  <c r="AB68" i="55"/>
  <c r="AA68" i="55"/>
  <c r="Z68" i="55"/>
  <c r="Y68" i="55"/>
  <c r="AE68" i="55" s="1"/>
  <c r="V68" i="55"/>
  <c r="AC68" i="55" s="1"/>
  <c r="U68" i="55"/>
  <c r="Q68" i="55"/>
  <c r="X68" i="55" s="1"/>
  <c r="AA67" i="55"/>
  <c r="Z67" i="55"/>
  <c r="Y67" i="55"/>
  <c r="AE67" i="55" s="1"/>
  <c r="U67" i="55"/>
  <c r="AB67" i="55" s="1"/>
  <c r="Q67" i="55"/>
  <c r="X67" i="55" s="1"/>
  <c r="AA66" i="55"/>
  <c r="Z66" i="55"/>
  <c r="Y66" i="55"/>
  <c r="AE66" i="55" s="1"/>
  <c r="V66" i="55"/>
  <c r="U66" i="55"/>
  <c r="AB66" i="55" s="1"/>
  <c r="Q66" i="55"/>
  <c r="X66" i="55" s="1"/>
  <c r="AA65" i="55"/>
  <c r="Z65" i="55"/>
  <c r="Y65" i="55"/>
  <c r="AE65" i="55" s="1"/>
  <c r="V65" i="55"/>
  <c r="AC65" i="55" s="1"/>
  <c r="U65" i="55"/>
  <c r="AB65" i="55" s="1"/>
  <c r="Q65" i="55"/>
  <c r="X65" i="55" s="1"/>
  <c r="AA64" i="55"/>
  <c r="Z64" i="55"/>
  <c r="Y64" i="55"/>
  <c r="AE64" i="55" s="1"/>
  <c r="V64" i="55"/>
  <c r="AC64" i="55" s="1"/>
  <c r="U64" i="55"/>
  <c r="AB64" i="55" s="1"/>
  <c r="Q64" i="55"/>
  <c r="X64" i="55" s="1"/>
  <c r="AA63" i="55"/>
  <c r="Z63" i="55"/>
  <c r="Y63" i="55"/>
  <c r="AE63" i="55" s="1"/>
  <c r="V63" i="55"/>
  <c r="AC63" i="55" s="1"/>
  <c r="U63" i="55"/>
  <c r="AB63" i="55" s="1"/>
  <c r="Q63" i="55"/>
  <c r="X63" i="55" s="1"/>
  <c r="AA62" i="55"/>
  <c r="Z62" i="55"/>
  <c r="Y62" i="55"/>
  <c r="AE62" i="55" s="1"/>
  <c r="V62" i="55"/>
  <c r="AC62" i="55" s="1"/>
  <c r="U62" i="55"/>
  <c r="AB62" i="55" s="1"/>
  <c r="Q62" i="55"/>
  <c r="X62" i="55" s="1"/>
  <c r="AA61" i="55"/>
  <c r="Z61" i="55"/>
  <c r="Y61" i="55"/>
  <c r="AE61" i="55" s="1"/>
  <c r="V61" i="55"/>
  <c r="U61" i="55"/>
  <c r="AB61" i="55" s="1"/>
  <c r="Q61" i="55"/>
  <c r="X61" i="55" s="1"/>
  <c r="AA60" i="55"/>
  <c r="Z60" i="55"/>
  <c r="Y60" i="55"/>
  <c r="AE60" i="55" s="1"/>
  <c r="X60" i="55"/>
  <c r="V60" i="55"/>
  <c r="AC60" i="55" s="1"/>
  <c r="U60" i="55"/>
  <c r="AB60" i="55" s="1"/>
  <c r="Q60" i="55"/>
  <c r="AA59" i="55"/>
  <c r="Z59" i="55"/>
  <c r="Y59" i="55"/>
  <c r="AE59" i="55" s="1"/>
  <c r="V59" i="55"/>
  <c r="AC59" i="55" s="1"/>
  <c r="U59" i="55"/>
  <c r="AB59" i="55" s="1"/>
  <c r="Q59" i="55"/>
  <c r="X59" i="55" s="1"/>
  <c r="AA58" i="55"/>
  <c r="Z58" i="55"/>
  <c r="Y58" i="55"/>
  <c r="AE58" i="55" s="1"/>
  <c r="V58" i="55"/>
  <c r="AC58" i="55" s="1"/>
  <c r="U58" i="55"/>
  <c r="AB58" i="55" s="1"/>
  <c r="Q58" i="55"/>
  <c r="X58" i="55" s="1"/>
  <c r="AA57" i="55"/>
  <c r="Z57" i="55"/>
  <c r="Y57" i="55"/>
  <c r="AE57" i="55" s="1"/>
  <c r="X57" i="55"/>
  <c r="U57" i="55"/>
  <c r="AB57" i="55" s="1"/>
  <c r="Q57" i="55"/>
  <c r="AC56" i="55"/>
  <c r="AA56" i="55"/>
  <c r="Z56" i="55"/>
  <c r="Y56" i="55"/>
  <c r="AE56" i="55" s="1"/>
  <c r="U56" i="55"/>
  <c r="AB56" i="55" s="1"/>
  <c r="Q56" i="55"/>
  <c r="AA55" i="55"/>
  <c r="Z55" i="55"/>
  <c r="Y55" i="55"/>
  <c r="AE55" i="55" s="1"/>
  <c r="V55" i="55"/>
  <c r="AC55" i="55" s="1"/>
  <c r="U55" i="55"/>
  <c r="AB55" i="55" s="1"/>
  <c r="Q55" i="55"/>
  <c r="X55" i="55" s="1"/>
  <c r="AA54" i="55"/>
  <c r="Z54" i="55"/>
  <c r="Y54" i="55"/>
  <c r="AE54" i="55" s="1"/>
  <c r="V54" i="55"/>
  <c r="AC54" i="55" s="1"/>
  <c r="U54" i="55"/>
  <c r="AB54" i="55" s="1"/>
  <c r="Q54" i="55"/>
  <c r="X54" i="55" s="1"/>
  <c r="AA53" i="55"/>
  <c r="Z53" i="55"/>
  <c r="Y53" i="55"/>
  <c r="AE53" i="55" s="1"/>
  <c r="V53" i="55"/>
  <c r="AC53" i="55" s="1"/>
  <c r="U53" i="55"/>
  <c r="AB53" i="55" s="1"/>
  <c r="Q53" i="55"/>
  <c r="X53" i="55" s="1"/>
  <c r="AA52" i="55"/>
  <c r="Z52" i="55"/>
  <c r="Y52" i="55"/>
  <c r="AE52" i="55" s="1"/>
  <c r="V52" i="55"/>
  <c r="AC52" i="55" s="1"/>
  <c r="U52" i="55"/>
  <c r="AB52" i="55" s="1"/>
  <c r="Q52" i="55"/>
  <c r="X52" i="55" s="1"/>
  <c r="AA51" i="55"/>
  <c r="Z51" i="55"/>
  <c r="Y51" i="55"/>
  <c r="AE51" i="55" s="1"/>
  <c r="V51" i="55"/>
  <c r="AC51" i="55" s="1"/>
  <c r="U51" i="55"/>
  <c r="AB51" i="55" s="1"/>
  <c r="Q51" i="55"/>
  <c r="X51" i="55" s="1"/>
  <c r="AA50" i="55"/>
  <c r="Z50" i="55"/>
  <c r="Y50" i="55"/>
  <c r="AE50" i="55" s="1"/>
  <c r="V50" i="55"/>
  <c r="AC50" i="55" s="1"/>
  <c r="U50" i="55"/>
  <c r="AB50" i="55" s="1"/>
  <c r="Q50" i="55"/>
  <c r="X50" i="55" s="1"/>
  <c r="AA49" i="55"/>
  <c r="Z49" i="55"/>
  <c r="Y49" i="55"/>
  <c r="AE49" i="55" s="1"/>
  <c r="V49" i="55"/>
  <c r="AC49" i="55" s="1"/>
  <c r="U49" i="55"/>
  <c r="AB49" i="55" s="1"/>
  <c r="Q49" i="55"/>
  <c r="AA48" i="55"/>
  <c r="Z48" i="55"/>
  <c r="Y48" i="55"/>
  <c r="AE48" i="55" s="1"/>
  <c r="V48" i="55"/>
  <c r="AC48" i="55" s="1"/>
  <c r="U48" i="55"/>
  <c r="AB48" i="55" s="1"/>
  <c r="Q48" i="55"/>
  <c r="X48" i="55" s="1"/>
  <c r="AC47" i="55"/>
  <c r="AB47" i="55"/>
  <c r="AA47" i="55"/>
  <c r="Z47" i="55"/>
  <c r="Y47" i="55"/>
  <c r="AE47" i="55" s="1"/>
  <c r="Q47" i="55"/>
  <c r="AE46" i="55"/>
  <c r="AA46" i="55"/>
  <c r="Z46" i="55"/>
  <c r="Y46" i="55"/>
  <c r="V46" i="55"/>
  <c r="AC46" i="55" s="1"/>
  <c r="U46" i="55"/>
  <c r="AB46" i="55" s="1"/>
  <c r="Q46" i="55"/>
  <c r="X46" i="55" s="1"/>
  <c r="AB45" i="55"/>
  <c r="AA45" i="55"/>
  <c r="Z45" i="55"/>
  <c r="Y45" i="55"/>
  <c r="AE45" i="55" s="1"/>
  <c r="V45" i="55"/>
  <c r="AC45" i="55" s="1"/>
  <c r="U45" i="55"/>
  <c r="Q45" i="55"/>
  <c r="X45" i="55" s="1"/>
  <c r="AA44" i="55"/>
  <c r="Z44" i="55"/>
  <c r="Y44" i="55"/>
  <c r="AE44" i="55" s="1"/>
  <c r="V44" i="55"/>
  <c r="AC44" i="55" s="1"/>
  <c r="U44" i="55"/>
  <c r="AB44" i="55" s="1"/>
  <c r="Q44" i="55"/>
  <c r="X44" i="55" s="1"/>
  <c r="AA43" i="55"/>
  <c r="Z43" i="55"/>
  <c r="Y43" i="55"/>
  <c r="AE43" i="55" s="1"/>
  <c r="V43" i="55"/>
  <c r="AC43" i="55" s="1"/>
  <c r="U43" i="55"/>
  <c r="AB43" i="55" s="1"/>
  <c r="Q43" i="55"/>
  <c r="X43" i="55" s="1"/>
  <c r="AA42" i="55"/>
  <c r="Z42" i="55"/>
  <c r="Y42" i="55"/>
  <c r="AE42" i="55" s="1"/>
  <c r="V42" i="55"/>
  <c r="AC42" i="55" s="1"/>
  <c r="U42" i="55"/>
  <c r="AB42" i="55" s="1"/>
  <c r="Q42" i="55"/>
  <c r="X42" i="55" s="1"/>
  <c r="AC41" i="55"/>
  <c r="AB41" i="55"/>
  <c r="AA41" i="55"/>
  <c r="Z41" i="55"/>
  <c r="Y41" i="55"/>
  <c r="AE41" i="55" s="1"/>
  <c r="AE40" i="55"/>
  <c r="AA40" i="55"/>
  <c r="Z40" i="55"/>
  <c r="Y40" i="55"/>
  <c r="V40" i="55"/>
  <c r="AC40" i="55" s="1"/>
  <c r="U40" i="55"/>
  <c r="AB40" i="55" s="1"/>
  <c r="Q40" i="55"/>
  <c r="X40" i="55" s="1"/>
  <c r="AA39" i="55"/>
  <c r="Z39" i="55"/>
  <c r="Y39" i="55"/>
  <c r="AE39" i="55" s="1"/>
  <c r="V39" i="55"/>
  <c r="AC39" i="55" s="1"/>
  <c r="U39" i="55"/>
  <c r="AB39" i="55" s="1"/>
  <c r="Q39" i="55"/>
  <c r="X39" i="55" s="1"/>
  <c r="AA38" i="55"/>
  <c r="Z38" i="55"/>
  <c r="Y38" i="55"/>
  <c r="AE38" i="55" s="1"/>
  <c r="V38" i="55"/>
  <c r="AC38" i="55" s="1"/>
  <c r="U38" i="55"/>
  <c r="AB38" i="55" s="1"/>
  <c r="Q38" i="55"/>
  <c r="X38" i="55" s="1"/>
  <c r="AC37" i="55"/>
  <c r="AA37" i="55"/>
  <c r="Z37" i="55"/>
  <c r="Y37" i="55"/>
  <c r="AE37" i="55" s="1"/>
  <c r="U37" i="55"/>
  <c r="AB37" i="55" s="1"/>
  <c r="Q37" i="55"/>
  <c r="X37" i="55" s="1"/>
  <c r="AA36" i="55"/>
  <c r="Z36" i="55"/>
  <c r="Y36" i="55"/>
  <c r="AE36" i="55" s="1"/>
  <c r="V36" i="55"/>
  <c r="AC36" i="55" s="1"/>
  <c r="U36" i="55"/>
  <c r="AB36" i="55" s="1"/>
  <c r="Q36" i="55"/>
  <c r="X36" i="55" s="1"/>
  <c r="AB35" i="55"/>
  <c r="AA35" i="55"/>
  <c r="Z35" i="55"/>
  <c r="Y35" i="55"/>
  <c r="AE35" i="55" s="1"/>
  <c r="V35" i="55"/>
  <c r="AC35" i="55" s="1"/>
  <c r="U35" i="55"/>
  <c r="Q35" i="55"/>
  <c r="X35" i="55" s="1"/>
  <c r="AA34" i="55"/>
  <c r="Z34" i="55"/>
  <c r="Y34" i="55"/>
  <c r="AE34" i="55" s="1"/>
  <c r="V34" i="55"/>
  <c r="U34" i="55"/>
  <c r="Q34" i="55"/>
  <c r="X34" i="55" s="1"/>
  <c r="AA33" i="55"/>
  <c r="Z33" i="55"/>
  <c r="Y33" i="55"/>
  <c r="AE33" i="55" s="1"/>
  <c r="U33" i="55"/>
  <c r="Q33" i="55"/>
  <c r="AB32" i="55"/>
  <c r="AA32" i="55"/>
  <c r="Z32" i="55"/>
  <c r="Y32" i="55"/>
  <c r="AE32" i="55" s="1"/>
  <c r="V32" i="55"/>
  <c r="AC32" i="55" s="1"/>
  <c r="U32" i="55"/>
  <c r="Q32" i="55"/>
  <c r="X32" i="55" s="1"/>
  <c r="AC31" i="55"/>
  <c r="AB31" i="55"/>
  <c r="AA31" i="55"/>
  <c r="Z31" i="55"/>
  <c r="Y31" i="55"/>
  <c r="AE31" i="55" s="1"/>
  <c r="Q31" i="55"/>
  <c r="AA30" i="55"/>
  <c r="Z30" i="55"/>
  <c r="Y30" i="55"/>
  <c r="AA29" i="55"/>
  <c r="Z29" i="55"/>
  <c r="Y29" i="55"/>
  <c r="AE29" i="55" s="1"/>
  <c r="V29" i="55"/>
  <c r="AC29" i="55" s="1"/>
  <c r="U29" i="55"/>
  <c r="AB29" i="55" s="1"/>
  <c r="Q29" i="55"/>
  <c r="X29" i="55" s="1"/>
  <c r="AC28" i="55"/>
  <c r="AA28" i="55"/>
  <c r="Z28" i="55"/>
  <c r="Y28" i="55"/>
  <c r="AE28" i="55" s="1"/>
  <c r="V28" i="55"/>
  <c r="U28" i="55"/>
  <c r="AB28" i="55" s="1"/>
  <c r="Q28" i="55"/>
  <c r="X28" i="55" s="1"/>
  <c r="AA27" i="55"/>
  <c r="Z27" i="55"/>
  <c r="Y27" i="55"/>
  <c r="AE27" i="55" s="1"/>
  <c r="V27" i="55"/>
  <c r="AC27" i="55" s="1"/>
  <c r="U27" i="55"/>
  <c r="AB27" i="55" s="1"/>
  <c r="Q27" i="55"/>
  <c r="X27" i="55" s="1"/>
  <c r="AA26" i="55"/>
  <c r="Z26" i="55"/>
  <c r="Y26" i="55"/>
  <c r="AE26" i="55" s="1"/>
  <c r="V26" i="55"/>
  <c r="AC26" i="55" s="1"/>
  <c r="U26" i="55"/>
  <c r="AB26" i="55" s="1"/>
  <c r="Q26" i="55"/>
  <c r="X26" i="55" s="1"/>
  <c r="AA25" i="55"/>
  <c r="Z25" i="55"/>
  <c r="Y25" i="55"/>
  <c r="AE25" i="55" s="1"/>
  <c r="V25" i="55"/>
  <c r="AC25" i="55" s="1"/>
  <c r="U25" i="55"/>
  <c r="AB25" i="55" s="1"/>
  <c r="Q25" i="55"/>
  <c r="X25" i="55" s="1"/>
  <c r="AA24" i="55"/>
  <c r="Z24" i="55"/>
  <c r="Y24" i="55"/>
  <c r="AE24" i="55" s="1"/>
  <c r="V24" i="55"/>
  <c r="AC24" i="55" s="1"/>
  <c r="U24" i="55"/>
  <c r="AB24" i="55" s="1"/>
  <c r="Q24" i="55"/>
  <c r="X24" i="55" s="1"/>
  <c r="AA23" i="55"/>
  <c r="Z23" i="55"/>
  <c r="Y23" i="55"/>
  <c r="AE23" i="55" s="1"/>
  <c r="V23" i="55"/>
  <c r="AC23" i="55" s="1"/>
  <c r="U23" i="55"/>
  <c r="AB23" i="55" s="1"/>
  <c r="Q23" i="55"/>
  <c r="X23" i="55" s="1"/>
  <c r="AA22" i="55"/>
  <c r="Z22" i="55"/>
  <c r="Y22" i="55"/>
  <c r="AE22" i="55" s="1"/>
  <c r="V22" i="55"/>
  <c r="AC22" i="55" s="1"/>
  <c r="U22" i="55"/>
  <c r="AB22" i="55" s="1"/>
  <c r="Q22" i="55"/>
  <c r="X22" i="55" s="1"/>
  <c r="AA21" i="55"/>
  <c r="Z21" i="55"/>
  <c r="Y21" i="55"/>
  <c r="AE21" i="55" s="1"/>
  <c r="V21" i="55"/>
  <c r="AC21" i="55" s="1"/>
  <c r="U21" i="55"/>
  <c r="AB21" i="55" s="1"/>
  <c r="Q21" i="55"/>
  <c r="X21" i="55" s="1"/>
  <c r="AA20" i="55"/>
  <c r="Z20" i="55"/>
  <c r="Y20" i="55"/>
  <c r="AE20" i="55" s="1"/>
  <c r="V20" i="55"/>
  <c r="AC20" i="55" s="1"/>
  <c r="U20" i="55"/>
  <c r="AB20" i="55" s="1"/>
  <c r="Q20" i="55"/>
  <c r="X20" i="55" s="1"/>
  <c r="AA19" i="55"/>
  <c r="Z19" i="55"/>
  <c r="Y19" i="55"/>
  <c r="AE19" i="55" s="1"/>
  <c r="V19" i="55"/>
  <c r="AC19" i="55" s="1"/>
  <c r="U19" i="55"/>
  <c r="AB19" i="55" s="1"/>
  <c r="Q19" i="55"/>
  <c r="X19" i="55" s="1"/>
  <c r="AC18" i="55"/>
  <c r="AB18" i="55"/>
  <c r="AA18" i="55"/>
  <c r="Z18" i="55"/>
  <c r="Y18" i="55"/>
  <c r="AE18" i="55" s="1"/>
  <c r="Q18" i="55"/>
  <c r="AC17" i="55"/>
  <c r="AA17" i="55"/>
  <c r="Z17" i="55"/>
  <c r="Y17" i="55"/>
  <c r="AE17" i="55" s="1"/>
  <c r="V17" i="55"/>
  <c r="U17" i="55"/>
  <c r="AB17" i="55" s="1"/>
  <c r="Q17" i="55"/>
  <c r="X17" i="55" s="1"/>
  <c r="AE16" i="55"/>
  <c r="AA16" i="55"/>
  <c r="Z16" i="55"/>
  <c r="Y16" i="55"/>
  <c r="V16" i="55"/>
  <c r="AC16" i="55" s="1"/>
  <c r="U16" i="55"/>
  <c r="AB16" i="55" s="1"/>
  <c r="Q16" i="55"/>
  <c r="X16" i="55" s="1"/>
  <c r="AC15" i="55"/>
  <c r="AB15" i="55"/>
  <c r="AA15" i="55"/>
  <c r="Z15" i="55"/>
  <c r="Y15" i="55"/>
  <c r="AE15" i="55" s="1"/>
  <c r="AA14" i="55"/>
  <c r="Z14" i="55"/>
  <c r="Y14" i="55"/>
  <c r="V14" i="55"/>
  <c r="AC14" i="55" s="1"/>
  <c r="U14" i="55"/>
  <c r="AB14" i="55" s="1"/>
  <c r="Q14" i="55"/>
  <c r="X14" i="55" s="1"/>
  <c r="R102" i="55" l="1"/>
  <c r="Z83" i="55"/>
  <c r="U75" i="55"/>
  <c r="Y75" i="55"/>
  <c r="Y102" i="55" s="1"/>
  <c r="Z75" i="55"/>
  <c r="Z102" i="55" s="1"/>
  <c r="AE14" i="55"/>
  <c r="AE75" i="55" s="1"/>
  <c r="AA83" i="55"/>
  <c r="AA75" i="55"/>
  <c r="U83" i="55"/>
  <c r="AE83" i="55"/>
  <c r="T102" i="55"/>
  <c r="V57" i="55"/>
  <c r="AC57" i="55" s="1"/>
  <c r="Y83" i="55"/>
  <c r="AB75" i="55" l="1"/>
  <c r="U102" i="55"/>
  <c r="AA102" i="55"/>
  <c r="AB102" i="55" s="1"/>
  <c r="AE102" i="55"/>
  <c r="K104" i="55" s="1"/>
  <c r="T83" i="54" l="1"/>
  <c r="S83" i="54"/>
  <c r="R83" i="54"/>
  <c r="AE82" i="54"/>
  <c r="AC82" i="54"/>
  <c r="AB82" i="54"/>
  <c r="AA82" i="54"/>
  <c r="AC81" i="54"/>
  <c r="AB81" i="54"/>
  <c r="AA81" i="54"/>
  <c r="AE81" i="54"/>
  <c r="AA80" i="54"/>
  <c r="AE80" i="54"/>
  <c r="V80" i="54"/>
  <c r="AC80" i="54" s="1"/>
  <c r="U80" i="54"/>
  <c r="AB80" i="54" s="1"/>
  <c r="AC79" i="54"/>
  <c r="AA79" i="54"/>
  <c r="Z83" i="54"/>
  <c r="AE79" i="54"/>
  <c r="AA78" i="54"/>
  <c r="AE78" i="54"/>
  <c r="V78" i="54"/>
  <c r="AC78" i="54" s="1"/>
  <c r="AA77" i="54"/>
  <c r="Y83" i="54"/>
  <c r="V77" i="54"/>
  <c r="AC77" i="54" s="1"/>
  <c r="U77" i="54"/>
  <c r="AB77" i="54" s="1"/>
  <c r="T75" i="54"/>
  <c r="S75" i="54"/>
  <c r="S102" i="54" s="1"/>
  <c r="R75" i="54"/>
  <c r="AE74" i="54"/>
  <c r="V74" i="54"/>
  <c r="AC74" i="54" s="1"/>
  <c r="U74" i="54"/>
  <c r="AB74" i="54" s="1"/>
  <c r="Q74" i="54"/>
  <c r="X74" i="54" s="1"/>
  <c r="AE73" i="54"/>
  <c r="V73" i="54"/>
  <c r="AC73" i="54" s="1"/>
  <c r="U73" i="54"/>
  <c r="AB73" i="54" s="1"/>
  <c r="Q73" i="54"/>
  <c r="X73" i="54" s="1"/>
  <c r="AE72" i="54"/>
  <c r="V72" i="54"/>
  <c r="AC72" i="54" s="1"/>
  <c r="U72" i="54"/>
  <c r="AB72" i="54" s="1"/>
  <c r="Q72" i="54"/>
  <c r="X72" i="54" s="1"/>
  <c r="AE71" i="54"/>
  <c r="V71" i="54"/>
  <c r="AC71" i="54" s="1"/>
  <c r="U71" i="54"/>
  <c r="AB71" i="54" s="1"/>
  <c r="Q71" i="54"/>
  <c r="X71" i="54" s="1"/>
  <c r="AE70" i="54"/>
  <c r="V70" i="54"/>
  <c r="AC70" i="54" s="1"/>
  <c r="U70" i="54"/>
  <c r="Q70" i="54"/>
  <c r="X70" i="54" s="1"/>
  <c r="AE69" i="54"/>
  <c r="V69" i="54"/>
  <c r="AC69" i="54" s="1"/>
  <c r="U69" i="54"/>
  <c r="AB69" i="54" s="1"/>
  <c r="Q69" i="54"/>
  <c r="X69" i="54" s="1"/>
  <c r="AE68" i="54"/>
  <c r="X68" i="54"/>
  <c r="V68" i="54"/>
  <c r="AC68" i="54" s="1"/>
  <c r="U68" i="54"/>
  <c r="AB68" i="54" s="1"/>
  <c r="Q68" i="54"/>
  <c r="AE67" i="54"/>
  <c r="U67" i="54"/>
  <c r="AB67" i="54" s="1"/>
  <c r="Q67" i="54"/>
  <c r="X67" i="54" s="1"/>
  <c r="AE66" i="54"/>
  <c r="V66" i="54"/>
  <c r="U66" i="54"/>
  <c r="AB66" i="54" s="1"/>
  <c r="Q66" i="54"/>
  <c r="X66" i="54" s="1"/>
  <c r="AE65" i="54"/>
  <c r="V65" i="54"/>
  <c r="AC65" i="54" s="1"/>
  <c r="U65" i="54"/>
  <c r="AB65" i="54" s="1"/>
  <c r="Q65" i="54"/>
  <c r="X65" i="54" s="1"/>
  <c r="AE64" i="54"/>
  <c r="V64" i="54"/>
  <c r="AC64" i="54" s="1"/>
  <c r="U64" i="54"/>
  <c r="AB64" i="54" s="1"/>
  <c r="Q64" i="54"/>
  <c r="X64" i="54" s="1"/>
  <c r="AE63" i="54"/>
  <c r="V63" i="54"/>
  <c r="AC63" i="54" s="1"/>
  <c r="U63" i="54"/>
  <c r="AB63" i="54" s="1"/>
  <c r="Q63" i="54"/>
  <c r="X63" i="54" s="1"/>
  <c r="AC62" i="54"/>
  <c r="AE62" i="54"/>
  <c r="V62" i="54"/>
  <c r="U62" i="54"/>
  <c r="AB62" i="54" s="1"/>
  <c r="Q62" i="54"/>
  <c r="X62" i="54" s="1"/>
  <c r="AE61" i="54"/>
  <c r="V61" i="54"/>
  <c r="U61" i="54"/>
  <c r="AB61" i="54" s="1"/>
  <c r="Q61" i="54"/>
  <c r="X61" i="54" s="1"/>
  <c r="AE60" i="54"/>
  <c r="V60" i="54"/>
  <c r="AC60" i="54" s="1"/>
  <c r="U60" i="54"/>
  <c r="AB60" i="54" s="1"/>
  <c r="Q60" i="54"/>
  <c r="X60" i="54" s="1"/>
  <c r="AE59" i="54"/>
  <c r="V59" i="54"/>
  <c r="AC59" i="54" s="1"/>
  <c r="U59" i="54"/>
  <c r="AB59" i="54" s="1"/>
  <c r="Q59" i="54"/>
  <c r="X59" i="54" s="1"/>
  <c r="AE58" i="54"/>
  <c r="V58" i="54"/>
  <c r="AC58" i="54" s="1"/>
  <c r="U58" i="54"/>
  <c r="AB58" i="54" s="1"/>
  <c r="Q58" i="54"/>
  <c r="X58" i="54" s="1"/>
  <c r="AE57" i="54"/>
  <c r="X57" i="54"/>
  <c r="U57" i="54"/>
  <c r="V57" i="54" s="1"/>
  <c r="AC57" i="54" s="1"/>
  <c r="Q57" i="54"/>
  <c r="AE56" i="54"/>
  <c r="AC56" i="54"/>
  <c r="U56" i="54"/>
  <c r="AB56" i="54" s="1"/>
  <c r="Q56" i="54"/>
  <c r="AE55" i="54"/>
  <c r="V55" i="54"/>
  <c r="AC55" i="54" s="1"/>
  <c r="U55" i="54"/>
  <c r="AB55" i="54" s="1"/>
  <c r="Q55" i="54"/>
  <c r="X55" i="54" s="1"/>
  <c r="AE54" i="54"/>
  <c r="V54" i="54"/>
  <c r="AC54" i="54" s="1"/>
  <c r="U54" i="54"/>
  <c r="AB54" i="54" s="1"/>
  <c r="Q54" i="54"/>
  <c r="X54" i="54" s="1"/>
  <c r="AE53" i="54"/>
  <c r="V53" i="54"/>
  <c r="AC53" i="54" s="1"/>
  <c r="U53" i="54"/>
  <c r="AB53" i="54" s="1"/>
  <c r="Q53" i="54"/>
  <c r="X53" i="54" s="1"/>
  <c r="AE52" i="54"/>
  <c r="V52" i="54"/>
  <c r="AC52" i="54" s="1"/>
  <c r="U52" i="54"/>
  <c r="AB52" i="54" s="1"/>
  <c r="Q52" i="54"/>
  <c r="X52" i="54" s="1"/>
  <c r="AE51" i="54"/>
  <c r="V51" i="54"/>
  <c r="AC51" i="54" s="1"/>
  <c r="U51" i="54"/>
  <c r="AB51" i="54" s="1"/>
  <c r="Q51" i="54"/>
  <c r="X51" i="54" s="1"/>
  <c r="AE50" i="54"/>
  <c r="V50" i="54"/>
  <c r="AC50" i="54" s="1"/>
  <c r="U50" i="54"/>
  <c r="AB50" i="54" s="1"/>
  <c r="Q50" i="54"/>
  <c r="X50" i="54" s="1"/>
  <c r="AE49" i="54"/>
  <c r="V49" i="54"/>
  <c r="AC49" i="54" s="1"/>
  <c r="U49" i="54"/>
  <c r="AB49" i="54" s="1"/>
  <c r="Q49" i="54"/>
  <c r="AE48" i="54"/>
  <c r="X48" i="54"/>
  <c r="V48" i="54"/>
  <c r="AC48" i="54" s="1"/>
  <c r="U48" i="54"/>
  <c r="AB48" i="54" s="1"/>
  <c r="Q48" i="54"/>
  <c r="AC47" i="54"/>
  <c r="AB47" i="54"/>
  <c r="AE47" i="54"/>
  <c r="Q47" i="54"/>
  <c r="AE46" i="54"/>
  <c r="V46" i="54"/>
  <c r="AC46" i="54" s="1"/>
  <c r="U46" i="54"/>
  <c r="AB46" i="54" s="1"/>
  <c r="Q46" i="54"/>
  <c r="X46" i="54" s="1"/>
  <c r="AE45" i="54"/>
  <c r="V45" i="54"/>
  <c r="AC45" i="54" s="1"/>
  <c r="U45" i="54"/>
  <c r="AB45" i="54" s="1"/>
  <c r="Q45" i="54"/>
  <c r="X45" i="54" s="1"/>
  <c r="AE44" i="54"/>
  <c r="V44" i="54"/>
  <c r="AC44" i="54" s="1"/>
  <c r="U44" i="54"/>
  <c r="AB44" i="54" s="1"/>
  <c r="Q44" i="54"/>
  <c r="X44" i="54" s="1"/>
  <c r="AE43" i="54"/>
  <c r="V43" i="54"/>
  <c r="AC43" i="54" s="1"/>
  <c r="U43" i="54"/>
  <c r="AB43" i="54" s="1"/>
  <c r="Q43" i="54"/>
  <c r="X43" i="54" s="1"/>
  <c r="AE42" i="54"/>
  <c r="V42" i="54"/>
  <c r="AC42" i="54" s="1"/>
  <c r="U42" i="54"/>
  <c r="AB42" i="54" s="1"/>
  <c r="Q42" i="54"/>
  <c r="X42" i="54" s="1"/>
  <c r="AC41" i="54"/>
  <c r="AB41" i="54"/>
  <c r="AE41" i="54"/>
  <c r="AE40" i="54"/>
  <c r="V40" i="54"/>
  <c r="AC40" i="54" s="1"/>
  <c r="U40" i="54"/>
  <c r="AB40" i="54" s="1"/>
  <c r="Q40" i="54"/>
  <c r="X40" i="54" s="1"/>
  <c r="AE39" i="54"/>
  <c r="V39" i="54"/>
  <c r="AC39" i="54" s="1"/>
  <c r="U39" i="54"/>
  <c r="AB39" i="54" s="1"/>
  <c r="Q39" i="54"/>
  <c r="X39" i="54" s="1"/>
  <c r="AE38" i="54"/>
  <c r="V38" i="54"/>
  <c r="AC38" i="54" s="1"/>
  <c r="U38" i="54"/>
  <c r="AB38" i="54" s="1"/>
  <c r="Q38" i="54"/>
  <c r="X38" i="54" s="1"/>
  <c r="AC37" i="54"/>
  <c r="AE37" i="54"/>
  <c r="U37" i="54"/>
  <c r="AB37" i="54" s="1"/>
  <c r="Q37" i="54"/>
  <c r="X37" i="54" s="1"/>
  <c r="AE36" i="54"/>
  <c r="V36" i="54"/>
  <c r="AC36" i="54" s="1"/>
  <c r="U36" i="54"/>
  <c r="AB36" i="54" s="1"/>
  <c r="Q36" i="54"/>
  <c r="X36" i="54" s="1"/>
  <c r="AE35" i="54"/>
  <c r="V35" i="54"/>
  <c r="AC35" i="54" s="1"/>
  <c r="U35" i="54"/>
  <c r="AB35" i="54" s="1"/>
  <c r="Q35" i="54"/>
  <c r="X35" i="54" s="1"/>
  <c r="AE34" i="54"/>
  <c r="V34" i="54"/>
  <c r="U34" i="54"/>
  <c r="Q34" i="54"/>
  <c r="X34" i="54" s="1"/>
  <c r="AE33" i="54"/>
  <c r="U33" i="54"/>
  <c r="Q33" i="54"/>
  <c r="AE32" i="54"/>
  <c r="V32" i="54"/>
  <c r="AC32" i="54" s="1"/>
  <c r="U32" i="54"/>
  <c r="AB32" i="54" s="1"/>
  <c r="Q32" i="54"/>
  <c r="X32" i="54" s="1"/>
  <c r="AE31" i="54"/>
  <c r="AC31" i="54"/>
  <c r="AB31" i="54"/>
  <c r="Q31" i="54"/>
  <c r="AE29" i="54"/>
  <c r="V29" i="54"/>
  <c r="AC29" i="54" s="1"/>
  <c r="U29" i="54"/>
  <c r="AB29" i="54" s="1"/>
  <c r="Q29" i="54"/>
  <c r="X29" i="54" s="1"/>
  <c r="AE28" i="54"/>
  <c r="V28" i="54"/>
  <c r="AC28" i="54" s="1"/>
  <c r="U28" i="54"/>
  <c r="AB28" i="54" s="1"/>
  <c r="Q28" i="54"/>
  <c r="X28" i="54" s="1"/>
  <c r="AE27" i="54"/>
  <c r="V27" i="54"/>
  <c r="AC27" i="54" s="1"/>
  <c r="U27" i="54"/>
  <c r="AB27" i="54" s="1"/>
  <c r="Q27" i="54"/>
  <c r="X27" i="54" s="1"/>
  <c r="AE26" i="54"/>
  <c r="V26" i="54"/>
  <c r="AC26" i="54" s="1"/>
  <c r="U26" i="54"/>
  <c r="AB26" i="54" s="1"/>
  <c r="Q26" i="54"/>
  <c r="X26" i="54" s="1"/>
  <c r="AE25" i="54"/>
  <c r="AC25" i="54"/>
  <c r="U25" i="54"/>
  <c r="AB25" i="54" s="1"/>
  <c r="Q25" i="54"/>
  <c r="X25" i="54" s="1"/>
  <c r="AE24" i="54"/>
  <c r="V24" i="54"/>
  <c r="AC24" i="54" s="1"/>
  <c r="U24" i="54"/>
  <c r="AB24" i="54" s="1"/>
  <c r="Q24" i="54"/>
  <c r="X24" i="54" s="1"/>
  <c r="AE23" i="54"/>
  <c r="V23" i="54"/>
  <c r="AC23" i="54" s="1"/>
  <c r="U23" i="54"/>
  <c r="AB23" i="54" s="1"/>
  <c r="Q23" i="54"/>
  <c r="X23" i="54" s="1"/>
  <c r="AE22" i="54"/>
  <c r="V22" i="54"/>
  <c r="AC22" i="54" s="1"/>
  <c r="U22" i="54"/>
  <c r="AB22" i="54" s="1"/>
  <c r="Q22" i="54"/>
  <c r="X22" i="54" s="1"/>
  <c r="AE21" i="54"/>
  <c r="V21" i="54"/>
  <c r="AC21" i="54" s="1"/>
  <c r="U21" i="54"/>
  <c r="AB21" i="54" s="1"/>
  <c r="Q21" i="54"/>
  <c r="X21" i="54" s="1"/>
  <c r="AE20" i="54"/>
  <c r="V20" i="54"/>
  <c r="AC20" i="54" s="1"/>
  <c r="U20" i="54"/>
  <c r="AB20" i="54" s="1"/>
  <c r="Q20" i="54"/>
  <c r="X20" i="54" s="1"/>
  <c r="AE19" i="54"/>
  <c r="AC19" i="54"/>
  <c r="Q19" i="54"/>
  <c r="X19" i="54" s="1"/>
  <c r="AE18" i="54"/>
  <c r="AC18" i="54"/>
  <c r="AB18" i="54"/>
  <c r="Q18" i="54"/>
  <c r="AE17" i="54"/>
  <c r="Q17" i="54"/>
  <c r="X17" i="54" s="1"/>
  <c r="AE16" i="54"/>
  <c r="AC16" i="54"/>
  <c r="AB16" i="54"/>
  <c r="Q16" i="54"/>
  <c r="X16" i="54" s="1"/>
  <c r="AC15" i="54"/>
  <c r="AB15" i="54"/>
  <c r="AE15" i="54"/>
  <c r="AE14" i="54"/>
  <c r="AC14" i="54"/>
  <c r="AB14" i="54"/>
  <c r="Q14" i="54"/>
  <c r="X14" i="54" s="1"/>
  <c r="AA83" i="54" l="1"/>
  <c r="AB57" i="54"/>
  <c r="R102" i="54"/>
  <c r="AE77" i="54"/>
  <c r="AE83" i="54" s="1"/>
  <c r="AA75" i="54"/>
  <c r="U75" i="54"/>
  <c r="Z75" i="54"/>
  <c r="Z102" i="54" s="1"/>
  <c r="AE75" i="54"/>
  <c r="T102" i="54"/>
  <c r="U83" i="54"/>
  <c r="Y75" i="54"/>
  <c r="Y102" i="54" s="1"/>
  <c r="AE102" i="54" l="1"/>
  <c r="K104" i="54" s="1"/>
  <c r="U102" i="54"/>
  <c r="AB75" i="54"/>
  <c r="AA102" i="54"/>
  <c r="AB102" i="54" s="1"/>
  <c r="AA42" i="52"/>
  <c r="AA43" i="52"/>
  <c r="AA44" i="52"/>
  <c r="AA45" i="52"/>
  <c r="AA46" i="52"/>
  <c r="AA47" i="52"/>
  <c r="AA48" i="52"/>
  <c r="AA49" i="52"/>
  <c r="AA50" i="52"/>
  <c r="AA51" i="52"/>
  <c r="AA52" i="52"/>
  <c r="AA53" i="52"/>
  <c r="AA54" i="52"/>
  <c r="AA55" i="52"/>
  <c r="AA56" i="52"/>
  <c r="AA57" i="52"/>
  <c r="AA58" i="52"/>
  <c r="AA59" i="52"/>
  <c r="AA60" i="52"/>
  <c r="AA61" i="52"/>
  <c r="AA62" i="52"/>
  <c r="AA63" i="52"/>
  <c r="AA64" i="52"/>
  <c r="AA65" i="52"/>
  <c r="AA66" i="52"/>
  <c r="AA67" i="52"/>
  <c r="AA68" i="52"/>
  <c r="AA69" i="52"/>
  <c r="AA70" i="52"/>
  <c r="AA71" i="52"/>
  <c r="AA72" i="52"/>
  <c r="AA73" i="52"/>
  <c r="AA74" i="52"/>
  <c r="AA37" i="52"/>
  <c r="AA38" i="52"/>
  <c r="AA39" i="52"/>
  <c r="AA40" i="52"/>
  <c r="AA41" i="52"/>
  <c r="AA15" i="52"/>
  <c r="AA16" i="52"/>
  <c r="AA17" i="52"/>
  <c r="AA18" i="52"/>
  <c r="AA19" i="52"/>
  <c r="AA20" i="52"/>
  <c r="AA21" i="52"/>
  <c r="AA22" i="52"/>
  <c r="AA23" i="52"/>
  <c r="AA24" i="52"/>
  <c r="AA25" i="52"/>
  <c r="AA26" i="52"/>
  <c r="AA27" i="52"/>
  <c r="AA28" i="52"/>
  <c r="AA29" i="52"/>
  <c r="AA30" i="52"/>
  <c r="AA31" i="52"/>
  <c r="AA32" i="52"/>
  <c r="AA33" i="52"/>
  <c r="AA34" i="52"/>
  <c r="AA35" i="52"/>
  <c r="AA36" i="52"/>
  <c r="AA14" i="52"/>
  <c r="V80" i="52"/>
  <c r="X57" i="52"/>
  <c r="U57" i="52"/>
  <c r="V57" i="52" s="1"/>
  <c r="Z83" i="52"/>
  <c r="Y83" i="52"/>
  <c r="Y78" i="52"/>
  <c r="Z78" i="52"/>
  <c r="Y79" i="52"/>
  <c r="Z79" i="52"/>
  <c r="Y80" i="52"/>
  <c r="Z80" i="52"/>
  <c r="Y81" i="52"/>
  <c r="Z81" i="52"/>
  <c r="Z77" i="52"/>
  <c r="Y77" i="52"/>
  <c r="Y15" i="52"/>
  <c r="Z15" i="52"/>
  <c r="Y16" i="52"/>
  <c r="Z16" i="52"/>
  <c r="Y17" i="52"/>
  <c r="Z17" i="52"/>
  <c r="Y18" i="52"/>
  <c r="Z18" i="52"/>
  <c r="Y19" i="52"/>
  <c r="Z19" i="52"/>
  <c r="Y20" i="52"/>
  <c r="Z20" i="52"/>
  <c r="Y21" i="52"/>
  <c r="Z21" i="52"/>
  <c r="Y22" i="52"/>
  <c r="Z22" i="52"/>
  <c r="Y23" i="52"/>
  <c r="Z23" i="52"/>
  <c r="Y24" i="52"/>
  <c r="Z24" i="52"/>
  <c r="Y25" i="52"/>
  <c r="Z25" i="52"/>
  <c r="Y26" i="52"/>
  <c r="Z26" i="52"/>
  <c r="Y27" i="52"/>
  <c r="Z27" i="52"/>
  <c r="Y28" i="52"/>
  <c r="Z28" i="52"/>
  <c r="Y29" i="52"/>
  <c r="Z29" i="52"/>
  <c r="Y30" i="52"/>
  <c r="Z30" i="52"/>
  <c r="Y31" i="52"/>
  <c r="Z31" i="52"/>
  <c r="Y32" i="52"/>
  <c r="Z32" i="52"/>
  <c r="Y33" i="52"/>
  <c r="Z33" i="52"/>
  <c r="Y34" i="52"/>
  <c r="Z34" i="52"/>
  <c r="Y35" i="52"/>
  <c r="Z35" i="52"/>
  <c r="Y36" i="52"/>
  <c r="Z36" i="52"/>
  <c r="Y37" i="52"/>
  <c r="Z37" i="52"/>
  <c r="Y38" i="52"/>
  <c r="Z38" i="52"/>
  <c r="Y39" i="52"/>
  <c r="Z39" i="52"/>
  <c r="Y40" i="52"/>
  <c r="Z40" i="52"/>
  <c r="Y41" i="52"/>
  <c r="Z41" i="52"/>
  <c r="Y42" i="52"/>
  <c r="Z42" i="52"/>
  <c r="Y43" i="52"/>
  <c r="Z43" i="52"/>
  <c r="Y44" i="52"/>
  <c r="Z44" i="52"/>
  <c r="Y45" i="52"/>
  <c r="Z45" i="52"/>
  <c r="Y46" i="52"/>
  <c r="Z46" i="52"/>
  <c r="Y47" i="52"/>
  <c r="Z47" i="52"/>
  <c r="Y48" i="52"/>
  <c r="Z48" i="52"/>
  <c r="Y49" i="52"/>
  <c r="Z49" i="52"/>
  <c r="Y50" i="52"/>
  <c r="Z50" i="52"/>
  <c r="Y51" i="52"/>
  <c r="Z51" i="52"/>
  <c r="Y52" i="52"/>
  <c r="Z52" i="52"/>
  <c r="Y53" i="52"/>
  <c r="Z53" i="52"/>
  <c r="Y54" i="52"/>
  <c r="Z54" i="52"/>
  <c r="Y55" i="52"/>
  <c r="Z55" i="52"/>
  <c r="Y56" i="52"/>
  <c r="Z56" i="52"/>
  <c r="Y57" i="52"/>
  <c r="Z57" i="52"/>
  <c r="Y58" i="52"/>
  <c r="Z58" i="52"/>
  <c r="Y59" i="52"/>
  <c r="Z59" i="52"/>
  <c r="Y60" i="52"/>
  <c r="Z60" i="52"/>
  <c r="Y61" i="52"/>
  <c r="Z61" i="52"/>
  <c r="Y62" i="52"/>
  <c r="Z62" i="52"/>
  <c r="Y63" i="52"/>
  <c r="Z63" i="52"/>
  <c r="Y64" i="52"/>
  <c r="Z64" i="52"/>
  <c r="Y65" i="52"/>
  <c r="Z65" i="52"/>
  <c r="Y66" i="52"/>
  <c r="Z66" i="52"/>
  <c r="Y67" i="52"/>
  <c r="Z67" i="52"/>
  <c r="Y68" i="52"/>
  <c r="Z68" i="52"/>
  <c r="Y69" i="52"/>
  <c r="Z69" i="52"/>
  <c r="Y70" i="52"/>
  <c r="Z70" i="52"/>
  <c r="Y71" i="52"/>
  <c r="Z71" i="52"/>
  <c r="Y72" i="52"/>
  <c r="Z72" i="52"/>
  <c r="Y73" i="52"/>
  <c r="Z73" i="52"/>
  <c r="Y74" i="52"/>
  <c r="Z74" i="52"/>
  <c r="Z14" i="52"/>
  <c r="Y14" i="52"/>
  <c r="Q21" i="52" l="1"/>
  <c r="Q34" i="52"/>
  <c r="Q35" i="52"/>
  <c r="Q36" i="52"/>
  <c r="Q37" i="52"/>
  <c r="Q38" i="52"/>
  <c r="T85" i="52" l="1"/>
  <c r="S85" i="52"/>
  <c r="R85" i="52"/>
  <c r="AE83" i="52"/>
  <c r="AA83" i="52"/>
  <c r="V83" i="52"/>
  <c r="AC83" i="52" s="1"/>
  <c r="U83" i="52"/>
  <c r="AB83" i="52" s="1"/>
  <c r="AE81" i="52"/>
  <c r="AA81" i="52"/>
  <c r="V81" i="52"/>
  <c r="AC81" i="52" s="1"/>
  <c r="U81" i="52"/>
  <c r="AB81" i="52" s="1"/>
  <c r="AE80" i="52"/>
  <c r="AA80" i="52"/>
  <c r="AC80" i="52"/>
  <c r="U80" i="52"/>
  <c r="AB80" i="52" s="1"/>
  <c r="AE79" i="52"/>
  <c r="AC79" i="52"/>
  <c r="AA79" i="52"/>
  <c r="AA78" i="52"/>
  <c r="V78" i="52"/>
  <c r="AC78" i="52" s="1"/>
  <c r="AE77" i="52"/>
  <c r="AA77" i="52"/>
  <c r="Z85" i="52"/>
  <c r="V77" i="52"/>
  <c r="AC77" i="52" s="1"/>
  <c r="U77" i="52"/>
  <c r="AB77" i="52" s="1"/>
  <c r="T75" i="52"/>
  <c r="S75" i="52"/>
  <c r="S102" i="52" s="1"/>
  <c r="R75" i="52"/>
  <c r="AE74" i="52"/>
  <c r="V74" i="52"/>
  <c r="AC74" i="52" s="1"/>
  <c r="U74" i="52"/>
  <c r="AB74" i="52" s="1"/>
  <c r="Q74" i="52"/>
  <c r="X74" i="52" s="1"/>
  <c r="AE73" i="52"/>
  <c r="V73" i="52"/>
  <c r="AC73" i="52" s="1"/>
  <c r="U73" i="52"/>
  <c r="AB73" i="52" s="1"/>
  <c r="Q73" i="52"/>
  <c r="X73" i="52" s="1"/>
  <c r="AE72" i="52"/>
  <c r="V72" i="52"/>
  <c r="AC72" i="52" s="1"/>
  <c r="U72" i="52"/>
  <c r="AB72" i="52" s="1"/>
  <c r="Q72" i="52"/>
  <c r="X72" i="52" s="1"/>
  <c r="AE71" i="52"/>
  <c r="V71" i="52"/>
  <c r="AC71" i="52" s="1"/>
  <c r="U71" i="52"/>
  <c r="AB71" i="52" s="1"/>
  <c r="Q71" i="52"/>
  <c r="X71" i="52" s="1"/>
  <c r="AE70" i="52"/>
  <c r="V70" i="52"/>
  <c r="AC70" i="52" s="1"/>
  <c r="U70" i="52"/>
  <c r="Q70" i="52"/>
  <c r="X70" i="52" s="1"/>
  <c r="AE69" i="52"/>
  <c r="V69" i="52"/>
  <c r="AC69" i="52" s="1"/>
  <c r="U69" i="52"/>
  <c r="AB69" i="52" s="1"/>
  <c r="Q69" i="52"/>
  <c r="X69" i="52" s="1"/>
  <c r="AE68" i="52"/>
  <c r="X68" i="52"/>
  <c r="V68" i="52"/>
  <c r="AC68" i="52" s="1"/>
  <c r="U68" i="52"/>
  <c r="AB68" i="52" s="1"/>
  <c r="Q68" i="52"/>
  <c r="AE67" i="52"/>
  <c r="V67" i="52"/>
  <c r="U67" i="52"/>
  <c r="AB67" i="52" s="1"/>
  <c r="Q67" i="52"/>
  <c r="X67" i="52" s="1"/>
  <c r="AE66" i="52"/>
  <c r="V66" i="52"/>
  <c r="U66" i="52"/>
  <c r="AB66" i="52" s="1"/>
  <c r="Q66" i="52"/>
  <c r="X66" i="52" s="1"/>
  <c r="AE65" i="52"/>
  <c r="V65" i="52"/>
  <c r="AC65" i="52" s="1"/>
  <c r="U65" i="52"/>
  <c r="AB65" i="52" s="1"/>
  <c r="Q65" i="52"/>
  <c r="X65" i="52" s="1"/>
  <c r="AE64" i="52"/>
  <c r="V64" i="52"/>
  <c r="AC64" i="52" s="1"/>
  <c r="U64" i="52"/>
  <c r="AB64" i="52" s="1"/>
  <c r="Q64" i="52"/>
  <c r="X64" i="52" s="1"/>
  <c r="AE63" i="52"/>
  <c r="V63" i="52"/>
  <c r="AC63" i="52" s="1"/>
  <c r="U63" i="52"/>
  <c r="AB63" i="52" s="1"/>
  <c r="Q63" i="52"/>
  <c r="X63" i="52" s="1"/>
  <c r="AE62" i="52"/>
  <c r="V62" i="52"/>
  <c r="AC62" i="52" s="1"/>
  <c r="U62" i="52"/>
  <c r="AB62" i="52" s="1"/>
  <c r="Q62" i="52"/>
  <c r="X62" i="52" s="1"/>
  <c r="AE61" i="52"/>
  <c r="V61" i="52"/>
  <c r="U61" i="52"/>
  <c r="AB61" i="52" s="1"/>
  <c r="Q61" i="52"/>
  <c r="X61" i="52" s="1"/>
  <c r="AE60" i="52"/>
  <c r="V60" i="52"/>
  <c r="AC60" i="52" s="1"/>
  <c r="U60" i="52"/>
  <c r="AB60" i="52" s="1"/>
  <c r="Q60" i="52"/>
  <c r="X60" i="52" s="1"/>
  <c r="AB59" i="52"/>
  <c r="AE59" i="52"/>
  <c r="Q59" i="52"/>
  <c r="AE58" i="52"/>
  <c r="V58" i="52"/>
  <c r="AC58" i="52" s="1"/>
  <c r="U58" i="52"/>
  <c r="AB58" i="52" s="1"/>
  <c r="Q58" i="52"/>
  <c r="X58" i="52" s="1"/>
  <c r="AE57" i="52"/>
  <c r="AC57" i="52"/>
  <c r="AB57" i="52"/>
  <c r="Q57" i="52"/>
  <c r="AC56" i="52"/>
  <c r="AE56" i="52"/>
  <c r="U56" i="52"/>
  <c r="AB56" i="52" s="1"/>
  <c r="Q56" i="52"/>
  <c r="AE55" i="52"/>
  <c r="V55" i="52"/>
  <c r="AC55" i="52" s="1"/>
  <c r="U55" i="52"/>
  <c r="AB55" i="52" s="1"/>
  <c r="Q55" i="52"/>
  <c r="X55" i="52" s="1"/>
  <c r="AE54" i="52"/>
  <c r="V54" i="52"/>
  <c r="AC54" i="52" s="1"/>
  <c r="U54" i="52"/>
  <c r="AB54" i="52" s="1"/>
  <c r="Q54" i="52"/>
  <c r="X54" i="52" s="1"/>
  <c r="AE53" i="52"/>
  <c r="V53" i="52"/>
  <c r="AC53" i="52" s="1"/>
  <c r="U53" i="52"/>
  <c r="AB53" i="52" s="1"/>
  <c r="Q53" i="52"/>
  <c r="X53" i="52" s="1"/>
  <c r="AE52" i="52"/>
  <c r="V52" i="52"/>
  <c r="AC52" i="52" s="1"/>
  <c r="U52" i="52"/>
  <c r="AB52" i="52" s="1"/>
  <c r="Q52" i="52"/>
  <c r="X52" i="52" s="1"/>
  <c r="AE51" i="52"/>
  <c r="V51" i="52"/>
  <c r="AC51" i="52" s="1"/>
  <c r="U51" i="52"/>
  <c r="AB51" i="52" s="1"/>
  <c r="Q51" i="52"/>
  <c r="X51" i="52" s="1"/>
  <c r="AE50" i="52"/>
  <c r="V50" i="52"/>
  <c r="AC50" i="52" s="1"/>
  <c r="U50" i="52"/>
  <c r="AB50" i="52" s="1"/>
  <c r="Q50" i="52"/>
  <c r="X50" i="52" s="1"/>
  <c r="AE49" i="52"/>
  <c r="V49" i="52"/>
  <c r="AC49" i="52" s="1"/>
  <c r="U49" i="52"/>
  <c r="AB49" i="52" s="1"/>
  <c r="Q49" i="52"/>
  <c r="AE48" i="52"/>
  <c r="V48" i="52"/>
  <c r="AC48" i="52" s="1"/>
  <c r="U48" i="52"/>
  <c r="AB48" i="52" s="1"/>
  <c r="Q48" i="52"/>
  <c r="X48" i="52" s="1"/>
  <c r="AE47" i="52"/>
  <c r="AC47" i="52"/>
  <c r="AB47" i="52"/>
  <c r="Q47" i="52"/>
  <c r="AE46" i="52"/>
  <c r="V46" i="52"/>
  <c r="AC46" i="52" s="1"/>
  <c r="U46" i="52"/>
  <c r="AB46" i="52" s="1"/>
  <c r="Q46" i="52"/>
  <c r="X46" i="52" s="1"/>
  <c r="AE45" i="52"/>
  <c r="V45" i="52"/>
  <c r="AC45" i="52" s="1"/>
  <c r="U45" i="52"/>
  <c r="AB45" i="52" s="1"/>
  <c r="Q45" i="52"/>
  <c r="X45" i="52" s="1"/>
  <c r="AE44" i="52"/>
  <c r="V44" i="52"/>
  <c r="AC44" i="52" s="1"/>
  <c r="U44" i="52"/>
  <c r="AB44" i="52" s="1"/>
  <c r="Q44" i="52"/>
  <c r="X44" i="52" s="1"/>
  <c r="AE43" i="52"/>
  <c r="V43" i="52"/>
  <c r="AC43" i="52" s="1"/>
  <c r="U43" i="52"/>
  <c r="AB43" i="52" s="1"/>
  <c r="Q43" i="52"/>
  <c r="X43" i="52" s="1"/>
  <c r="AE42" i="52"/>
  <c r="V42" i="52"/>
  <c r="AC42" i="52" s="1"/>
  <c r="U42" i="52"/>
  <c r="AB42" i="52" s="1"/>
  <c r="Q42" i="52"/>
  <c r="X42" i="52" s="1"/>
  <c r="AC41" i="52"/>
  <c r="AB41" i="52"/>
  <c r="AE41" i="52"/>
  <c r="AE40" i="52"/>
  <c r="V40" i="52"/>
  <c r="AC40" i="52" s="1"/>
  <c r="U40" i="52"/>
  <c r="AB40" i="52" s="1"/>
  <c r="Q40" i="52"/>
  <c r="X40" i="52" s="1"/>
  <c r="AE39" i="52"/>
  <c r="V39" i="52"/>
  <c r="AC39" i="52" s="1"/>
  <c r="U39" i="52"/>
  <c r="AB39" i="52" s="1"/>
  <c r="Q39" i="52"/>
  <c r="X39" i="52" s="1"/>
  <c r="AE38" i="52"/>
  <c r="V38" i="52"/>
  <c r="AC38" i="52" s="1"/>
  <c r="U38" i="52"/>
  <c r="AB38" i="52" s="1"/>
  <c r="X38" i="52"/>
  <c r="AE37" i="52"/>
  <c r="V37" i="52"/>
  <c r="AC37" i="52" s="1"/>
  <c r="U37" i="52"/>
  <c r="AB37" i="52" s="1"/>
  <c r="X37" i="52"/>
  <c r="AE36" i="52"/>
  <c r="V36" i="52"/>
  <c r="AC36" i="52" s="1"/>
  <c r="U36" i="52"/>
  <c r="AB36" i="52" s="1"/>
  <c r="X36" i="52"/>
  <c r="AE35" i="52"/>
  <c r="V35" i="52"/>
  <c r="AC35" i="52" s="1"/>
  <c r="U35" i="52"/>
  <c r="AB35" i="52" s="1"/>
  <c r="X35" i="52"/>
  <c r="AE34" i="52"/>
  <c r="V34" i="52"/>
  <c r="U34" i="52"/>
  <c r="X34" i="52"/>
  <c r="AE33" i="52"/>
  <c r="U33" i="52"/>
  <c r="Q33" i="52"/>
  <c r="AE32" i="52"/>
  <c r="V32" i="52"/>
  <c r="AC32" i="52" s="1"/>
  <c r="U32" i="52"/>
  <c r="AB32" i="52" s="1"/>
  <c r="Q32" i="52"/>
  <c r="X32" i="52" s="1"/>
  <c r="AE31" i="52"/>
  <c r="AC31" i="52"/>
  <c r="AB31" i="52"/>
  <c r="Q31" i="52"/>
  <c r="AE29" i="52"/>
  <c r="V29" i="52"/>
  <c r="AC29" i="52" s="1"/>
  <c r="U29" i="52"/>
  <c r="AB29" i="52" s="1"/>
  <c r="Q29" i="52"/>
  <c r="X29" i="52" s="1"/>
  <c r="AE28" i="52"/>
  <c r="V28" i="52"/>
  <c r="AC28" i="52" s="1"/>
  <c r="U28" i="52"/>
  <c r="AB28" i="52" s="1"/>
  <c r="Q28" i="52"/>
  <c r="X28" i="52" s="1"/>
  <c r="AE27" i="52"/>
  <c r="V27" i="52"/>
  <c r="AC27" i="52" s="1"/>
  <c r="U27" i="52"/>
  <c r="AB27" i="52" s="1"/>
  <c r="Q27" i="52"/>
  <c r="X27" i="52" s="1"/>
  <c r="AE26" i="52"/>
  <c r="V26" i="52"/>
  <c r="AC26" i="52" s="1"/>
  <c r="U26" i="52"/>
  <c r="AB26" i="52" s="1"/>
  <c r="Q26" i="52"/>
  <c r="X26" i="52" s="1"/>
  <c r="AE25" i="52"/>
  <c r="V25" i="52"/>
  <c r="AC25" i="52" s="1"/>
  <c r="U25" i="52"/>
  <c r="AB25" i="52" s="1"/>
  <c r="Q25" i="52"/>
  <c r="X25" i="52" s="1"/>
  <c r="AE24" i="52"/>
  <c r="V24" i="52"/>
  <c r="AC24" i="52" s="1"/>
  <c r="U24" i="52"/>
  <c r="AB24" i="52" s="1"/>
  <c r="Q24" i="52"/>
  <c r="X24" i="52" s="1"/>
  <c r="AE23" i="52"/>
  <c r="V23" i="52"/>
  <c r="AC23" i="52" s="1"/>
  <c r="U23" i="52"/>
  <c r="AB23" i="52" s="1"/>
  <c r="Q23" i="52"/>
  <c r="X23" i="52" s="1"/>
  <c r="AE22" i="52"/>
  <c r="V22" i="52"/>
  <c r="AC22" i="52" s="1"/>
  <c r="U22" i="52"/>
  <c r="AB22" i="52" s="1"/>
  <c r="Q22" i="52"/>
  <c r="X22" i="52" s="1"/>
  <c r="AE21" i="52"/>
  <c r="X21" i="52"/>
  <c r="V21" i="52"/>
  <c r="AC21" i="52" s="1"/>
  <c r="U21" i="52"/>
  <c r="AB21" i="52" s="1"/>
  <c r="AE20" i="52"/>
  <c r="V20" i="52"/>
  <c r="AC20" i="52" s="1"/>
  <c r="U20" i="52"/>
  <c r="AB20" i="52" s="1"/>
  <c r="Q20" i="52"/>
  <c r="X20" i="52" s="1"/>
  <c r="AE19" i="52"/>
  <c r="V19" i="52"/>
  <c r="AC19" i="52" s="1"/>
  <c r="U19" i="52"/>
  <c r="AB19" i="52" s="1"/>
  <c r="Q19" i="52"/>
  <c r="X19" i="52" s="1"/>
  <c r="AE18" i="52"/>
  <c r="V18" i="52"/>
  <c r="AC18" i="52" s="1"/>
  <c r="U18" i="52"/>
  <c r="AB18" i="52" s="1"/>
  <c r="Q18" i="52"/>
  <c r="X18" i="52" s="1"/>
  <c r="AE17" i="52"/>
  <c r="V17" i="52"/>
  <c r="AC17" i="52" s="1"/>
  <c r="U17" i="52"/>
  <c r="AB17" i="52" s="1"/>
  <c r="Q17" i="52"/>
  <c r="X17" i="52" s="1"/>
  <c r="AE16" i="52"/>
  <c r="V16" i="52"/>
  <c r="AC16" i="52" s="1"/>
  <c r="U16" i="52"/>
  <c r="AB16" i="52" s="1"/>
  <c r="Q16" i="52"/>
  <c r="X16" i="52" s="1"/>
  <c r="AC15" i="52"/>
  <c r="AB15" i="52"/>
  <c r="AE15" i="52"/>
  <c r="AE14" i="52"/>
  <c r="V14" i="52"/>
  <c r="AC14" i="52" s="1"/>
  <c r="U14" i="52"/>
  <c r="AB14" i="52" s="1"/>
  <c r="Q14" i="52"/>
  <c r="X14" i="52" s="1"/>
  <c r="AA85" i="52" l="1"/>
  <c r="AA75" i="52"/>
  <c r="Y85" i="52"/>
  <c r="R102" i="52"/>
  <c r="Y75" i="52"/>
  <c r="U75" i="52"/>
  <c r="Z75" i="52"/>
  <c r="Z102" i="52" s="1"/>
  <c r="AE75" i="52"/>
  <c r="T102" i="52"/>
  <c r="U85" i="52"/>
  <c r="AE78" i="52"/>
  <c r="AE85" i="52" s="1"/>
  <c r="Y83" i="51"/>
  <c r="AE83" i="51" s="1"/>
  <c r="Z83" i="51"/>
  <c r="AA83" i="51"/>
  <c r="AA102" i="52" l="1"/>
  <c r="AB75" i="52"/>
  <c r="U102" i="52"/>
  <c r="Y102" i="52"/>
  <c r="AE102" i="52"/>
  <c r="K104" i="52" s="1"/>
  <c r="V83" i="51"/>
  <c r="AC83" i="51" s="1"/>
  <c r="U83" i="51"/>
  <c r="AB83" i="51" s="1"/>
  <c r="V77" i="51"/>
  <c r="V78" i="51"/>
  <c r="V80" i="51"/>
  <c r="V81" i="51"/>
  <c r="AB102" i="52" l="1"/>
  <c r="U45" i="51"/>
  <c r="AB45" i="51" s="1"/>
  <c r="V45" i="51"/>
  <c r="AC45" i="51" s="1"/>
  <c r="Y45" i="51"/>
  <c r="AE45" i="51" s="1"/>
  <c r="Z45" i="51"/>
  <c r="AA45" i="51"/>
  <c r="Q45" i="51" l="1"/>
  <c r="X45" i="51" s="1"/>
  <c r="T85" i="51" l="1"/>
  <c r="S85" i="51"/>
  <c r="R85" i="51"/>
  <c r="AA81" i="51"/>
  <c r="Z81" i="51"/>
  <c r="Y81" i="51"/>
  <c r="AE81" i="51" s="1"/>
  <c r="AC81" i="51"/>
  <c r="U81" i="51"/>
  <c r="AB81" i="51" s="1"/>
  <c r="AA80" i="51"/>
  <c r="Z80" i="51"/>
  <c r="Y80" i="51"/>
  <c r="AE80" i="51" s="1"/>
  <c r="AC80" i="51"/>
  <c r="U80" i="51"/>
  <c r="AB80" i="51" s="1"/>
  <c r="AE79" i="51"/>
  <c r="AA79" i="51"/>
  <c r="AC79" i="51"/>
  <c r="AA78" i="51"/>
  <c r="Z78" i="51"/>
  <c r="Y78" i="51"/>
  <c r="AE78" i="51" s="1"/>
  <c r="AC78" i="51"/>
  <c r="AA77" i="51"/>
  <c r="Z77" i="51"/>
  <c r="Y77" i="51"/>
  <c r="AE77" i="51" s="1"/>
  <c r="AC77" i="51"/>
  <c r="U77" i="51"/>
  <c r="T75" i="51"/>
  <c r="S75" i="51"/>
  <c r="R75" i="51"/>
  <c r="AA74" i="51"/>
  <c r="Z74" i="51"/>
  <c r="Y74" i="51"/>
  <c r="AE74" i="51" s="1"/>
  <c r="V74" i="51"/>
  <c r="AC74" i="51" s="1"/>
  <c r="U74" i="51"/>
  <c r="AB74" i="51" s="1"/>
  <c r="Q74" i="51"/>
  <c r="X74" i="51" s="1"/>
  <c r="AA73" i="51"/>
  <c r="Z73" i="51"/>
  <c r="Y73" i="51"/>
  <c r="AE73" i="51" s="1"/>
  <c r="V73" i="51"/>
  <c r="AC73" i="51" s="1"/>
  <c r="U73" i="51"/>
  <c r="AB73" i="51" s="1"/>
  <c r="Q73" i="51"/>
  <c r="X73" i="51" s="1"/>
  <c r="AA72" i="51"/>
  <c r="Z72" i="51"/>
  <c r="Y72" i="51"/>
  <c r="AE72" i="51" s="1"/>
  <c r="V72" i="51"/>
  <c r="AC72" i="51" s="1"/>
  <c r="U72" i="51"/>
  <c r="AB72" i="51" s="1"/>
  <c r="Q72" i="51"/>
  <c r="X72" i="51" s="1"/>
  <c r="AA71" i="51"/>
  <c r="Z71" i="51"/>
  <c r="Y71" i="51"/>
  <c r="AE71" i="51" s="1"/>
  <c r="V71" i="51"/>
  <c r="AC71" i="51" s="1"/>
  <c r="U71" i="51"/>
  <c r="AB71" i="51" s="1"/>
  <c r="Q71" i="51"/>
  <c r="X71" i="51" s="1"/>
  <c r="AA70" i="51"/>
  <c r="Z70" i="51"/>
  <c r="Y70" i="51"/>
  <c r="AE70" i="51" s="1"/>
  <c r="V70" i="51"/>
  <c r="AC70" i="51" s="1"/>
  <c r="U70" i="51"/>
  <c r="Q70" i="51"/>
  <c r="X70" i="51" s="1"/>
  <c r="AA69" i="51"/>
  <c r="Z69" i="51"/>
  <c r="Y69" i="51"/>
  <c r="AE69" i="51" s="1"/>
  <c r="V69" i="51"/>
  <c r="AC69" i="51" s="1"/>
  <c r="U69" i="51"/>
  <c r="AB69" i="51" s="1"/>
  <c r="Q69" i="51"/>
  <c r="X69" i="51" s="1"/>
  <c r="AA68" i="51"/>
  <c r="Z68" i="51"/>
  <c r="Y68" i="51"/>
  <c r="AE68" i="51" s="1"/>
  <c r="V68" i="51"/>
  <c r="AC68" i="51" s="1"/>
  <c r="U68" i="51"/>
  <c r="AB68" i="51" s="1"/>
  <c r="Q68" i="51"/>
  <c r="X68" i="51" s="1"/>
  <c r="AE67" i="51"/>
  <c r="V67" i="51"/>
  <c r="U67" i="51"/>
  <c r="AB67" i="51" s="1"/>
  <c r="Q67" i="51"/>
  <c r="X67" i="51" s="1"/>
  <c r="AE66" i="51"/>
  <c r="V66" i="51"/>
  <c r="U66" i="51"/>
  <c r="AB66" i="51" s="1"/>
  <c r="Q66" i="51"/>
  <c r="X66" i="51" s="1"/>
  <c r="AA65" i="51"/>
  <c r="Z65" i="51"/>
  <c r="Y65" i="51"/>
  <c r="AE65" i="51" s="1"/>
  <c r="V65" i="51"/>
  <c r="AC65" i="51" s="1"/>
  <c r="U65" i="51"/>
  <c r="AB65" i="51" s="1"/>
  <c r="Q65" i="51"/>
  <c r="X65" i="51" s="1"/>
  <c r="AA64" i="51"/>
  <c r="Z64" i="51"/>
  <c r="Y64" i="51"/>
  <c r="AE64" i="51" s="1"/>
  <c r="V64" i="51"/>
  <c r="AC64" i="51" s="1"/>
  <c r="U64" i="51"/>
  <c r="AB64" i="51" s="1"/>
  <c r="Q64" i="51"/>
  <c r="X64" i="51" s="1"/>
  <c r="AA63" i="51"/>
  <c r="Z63" i="51"/>
  <c r="Y63" i="51"/>
  <c r="AE63" i="51" s="1"/>
  <c r="V63" i="51"/>
  <c r="AC63" i="51" s="1"/>
  <c r="U63" i="51"/>
  <c r="AB63" i="51" s="1"/>
  <c r="Q63" i="51"/>
  <c r="X63" i="51" s="1"/>
  <c r="AA62" i="51"/>
  <c r="Z62" i="51"/>
  <c r="Y62" i="51"/>
  <c r="AE62" i="51" s="1"/>
  <c r="V62" i="51"/>
  <c r="AC62" i="51" s="1"/>
  <c r="U62" i="51"/>
  <c r="AB62" i="51" s="1"/>
  <c r="Q62" i="51"/>
  <c r="X62" i="51" s="1"/>
  <c r="AA61" i="51"/>
  <c r="Z61" i="51"/>
  <c r="Y61" i="51"/>
  <c r="AE61" i="51" s="1"/>
  <c r="V61" i="51"/>
  <c r="U61" i="51"/>
  <c r="AB61" i="51" s="1"/>
  <c r="Q61" i="51"/>
  <c r="X61" i="51" s="1"/>
  <c r="AA60" i="51"/>
  <c r="Z60" i="51"/>
  <c r="Y60" i="51"/>
  <c r="AE60" i="51" s="1"/>
  <c r="V60" i="51"/>
  <c r="AC60" i="51" s="1"/>
  <c r="U60" i="51"/>
  <c r="AB60" i="51" s="1"/>
  <c r="Q60" i="51"/>
  <c r="X60" i="51" s="1"/>
  <c r="AB59" i="51"/>
  <c r="AA59" i="51"/>
  <c r="Z59" i="51"/>
  <c r="Y59" i="51"/>
  <c r="AE59" i="51" s="1"/>
  <c r="Q59" i="51"/>
  <c r="AA58" i="51"/>
  <c r="Z58" i="51"/>
  <c r="Y58" i="51"/>
  <c r="AE58" i="51" s="1"/>
  <c r="V58" i="51"/>
  <c r="AC58" i="51" s="1"/>
  <c r="U58" i="51"/>
  <c r="AB58" i="51" s="1"/>
  <c r="Q58" i="51"/>
  <c r="X58" i="51" s="1"/>
  <c r="AA57" i="51"/>
  <c r="Z57" i="51"/>
  <c r="Y57" i="51"/>
  <c r="AE57" i="51" s="1"/>
  <c r="V57" i="51"/>
  <c r="AC57" i="51" s="1"/>
  <c r="U57" i="51"/>
  <c r="AB57" i="51" s="1"/>
  <c r="Q57" i="51"/>
  <c r="X57" i="51" s="1"/>
  <c r="AC56" i="51"/>
  <c r="AA56" i="51"/>
  <c r="Z56" i="51"/>
  <c r="Y56" i="51"/>
  <c r="AE56" i="51" s="1"/>
  <c r="U56" i="51"/>
  <c r="AB56" i="51" s="1"/>
  <c r="Q56" i="51"/>
  <c r="AA55" i="51"/>
  <c r="Z55" i="51"/>
  <c r="Y55" i="51"/>
  <c r="AE55" i="51" s="1"/>
  <c r="V55" i="51"/>
  <c r="AC55" i="51" s="1"/>
  <c r="U55" i="51"/>
  <c r="AB55" i="51" s="1"/>
  <c r="Q55" i="51"/>
  <c r="X55" i="51" s="1"/>
  <c r="AA54" i="51"/>
  <c r="Z54" i="51"/>
  <c r="Y54" i="51"/>
  <c r="AE54" i="51" s="1"/>
  <c r="V54" i="51"/>
  <c r="AC54" i="51" s="1"/>
  <c r="U54" i="51"/>
  <c r="AB54" i="51" s="1"/>
  <c r="Q54" i="51"/>
  <c r="X54" i="51" s="1"/>
  <c r="AA53" i="51"/>
  <c r="Z53" i="51"/>
  <c r="Y53" i="51"/>
  <c r="AE53" i="51" s="1"/>
  <c r="V53" i="51"/>
  <c r="AC53" i="51" s="1"/>
  <c r="U53" i="51"/>
  <c r="AB53" i="51" s="1"/>
  <c r="Q53" i="51"/>
  <c r="X53" i="51" s="1"/>
  <c r="AA52" i="51"/>
  <c r="Z52" i="51"/>
  <c r="Y52" i="51"/>
  <c r="AE52" i="51" s="1"/>
  <c r="V52" i="51"/>
  <c r="AC52" i="51" s="1"/>
  <c r="U52" i="51"/>
  <c r="AB52" i="51" s="1"/>
  <c r="Q52" i="51"/>
  <c r="X52" i="51" s="1"/>
  <c r="AA51" i="51"/>
  <c r="Z51" i="51"/>
  <c r="Y51" i="51"/>
  <c r="AE51" i="51" s="1"/>
  <c r="X51" i="51"/>
  <c r="V51" i="51"/>
  <c r="AC51" i="51" s="1"/>
  <c r="U51" i="51"/>
  <c r="AB51" i="51" s="1"/>
  <c r="Q51" i="51"/>
  <c r="AC50" i="51"/>
  <c r="AA50" i="51"/>
  <c r="Z50" i="51"/>
  <c r="Y50" i="51"/>
  <c r="AE50" i="51" s="1"/>
  <c r="X50" i="51"/>
  <c r="V50" i="51"/>
  <c r="U50" i="51"/>
  <c r="AB50" i="51" s="1"/>
  <c r="Q50" i="51"/>
  <c r="AA49" i="51"/>
  <c r="Z49" i="51"/>
  <c r="Y49" i="51"/>
  <c r="AE49" i="51" s="1"/>
  <c r="V49" i="51"/>
  <c r="AC49" i="51" s="1"/>
  <c r="U49" i="51"/>
  <c r="AB49" i="51" s="1"/>
  <c r="Q49" i="51"/>
  <c r="AA48" i="51"/>
  <c r="Z48" i="51"/>
  <c r="Y48" i="51"/>
  <c r="AE48" i="51" s="1"/>
  <c r="V48" i="51"/>
  <c r="AC48" i="51" s="1"/>
  <c r="U48" i="51"/>
  <c r="AB48" i="51" s="1"/>
  <c r="Q48" i="51"/>
  <c r="X48" i="51" s="1"/>
  <c r="AC47" i="51"/>
  <c r="AB47" i="51"/>
  <c r="AA47" i="51"/>
  <c r="Z47" i="51"/>
  <c r="Y47" i="51"/>
  <c r="AE47" i="51" s="1"/>
  <c r="Q47" i="51"/>
  <c r="AA46" i="51"/>
  <c r="Z46" i="51"/>
  <c r="Y46" i="51"/>
  <c r="AE46" i="51" s="1"/>
  <c r="V46" i="51"/>
  <c r="AC46" i="51" s="1"/>
  <c r="U46" i="51"/>
  <c r="AB46" i="51" s="1"/>
  <c r="Q46" i="51"/>
  <c r="X46" i="51" s="1"/>
  <c r="AA44" i="51"/>
  <c r="Z44" i="51"/>
  <c r="Y44" i="51"/>
  <c r="AE44" i="51" s="1"/>
  <c r="V44" i="51"/>
  <c r="AC44" i="51" s="1"/>
  <c r="U44" i="51"/>
  <c r="AB44" i="51" s="1"/>
  <c r="Q44" i="51"/>
  <c r="X44" i="51" s="1"/>
  <c r="AA43" i="51"/>
  <c r="Z43" i="51"/>
  <c r="Y43" i="51"/>
  <c r="AE43" i="51" s="1"/>
  <c r="V43" i="51"/>
  <c r="AC43" i="51" s="1"/>
  <c r="U43" i="51"/>
  <c r="AB43" i="51" s="1"/>
  <c r="Q43" i="51"/>
  <c r="X43" i="51" s="1"/>
  <c r="AA42" i="51"/>
  <c r="Z42" i="51"/>
  <c r="Y42" i="51"/>
  <c r="AE42" i="51" s="1"/>
  <c r="V42" i="51"/>
  <c r="AC42" i="51" s="1"/>
  <c r="U42" i="51"/>
  <c r="AB42" i="51" s="1"/>
  <c r="Q42" i="51"/>
  <c r="X42" i="51" s="1"/>
  <c r="AC41" i="51"/>
  <c r="AB41" i="51"/>
  <c r="AA41" i="51"/>
  <c r="Z41" i="51"/>
  <c r="Y41" i="51"/>
  <c r="AE41" i="51" s="1"/>
  <c r="AA40" i="51"/>
  <c r="Z40" i="51"/>
  <c r="Y40" i="51"/>
  <c r="AE40" i="51" s="1"/>
  <c r="V40" i="51"/>
  <c r="AC40" i="51" s="1"/>
  <c r="U40" i="51"/>
  <c r="AB40" i="51" s="1"/>
  <c r="Q40" i="51"/>
  <c r="X40" i="51" s="1"/>
  <c r="AA39" i="51"/>
  <c r="Z39" i="51"/>
  <c r="Y39" i="51"/>
  <c r="AE39" i="51" s="1"/>
  <c r="V39" i="51"/>
  <c r="AC39" i="51" s="1"/>
  <c r="U39" i="51"/>
  <c r="AB39" i="51" s="1"/>
  <c r="Q39" i="51"/>
  <c r="X39" i="51" s="1"/>
  <c r="AA38" i="51"/>
  <c r="Z38" i="51"/>
  <c r="Y38" i="51"/>
  <c r="AE38" i="51" s="1"/>
  <c r="V38" i="51"/>
  <c r="AC38" i="51" s="1"/>
  <c r="U38" i="51"/>
  <c r="AB38" i="51" s="1"/>
  <c r="Q38" i="51"/>
  <c r="X38" i="51" s="1"/>
  <c r="AA37" i="51"/>
  <c r="Z37" i="51"/>
  <c r="Y37" i="51"/>
  <c r="AE37" i="51" s="1"/>
  <c r="V37" i="51"/>
  <c r="AC37" i="51" s="1"/>
  <c r="U37" i="51"/>
  <c r="AB37" i="51" s="1"/>
  <c r="Q37" i="51"/>
  <c r="X37" i="51" s="1"/>
  <c r="AA36" i="51"/>
  <c r="Z36" i="51"/>
  <c r="Y36" i="51"/>
  <c r="AE36" i="51" s="1"/>
  <c r="V36" i="51"/>
  <c r="AC36" i="51" s="1"/>
  <c r="U36" i="51"/>
  <c r="AB36" i="51" s="1"/>
  <c r="Q36" i="51"/>
  <c r="X36" i="51" s="1"/>
  <c r="AA35" i="51"/>
  <c r="Z35" i="51"/>
  <c r="Y35" i="51"/>
  <c r="AE35" i="51" s="1"/>
  <c r="V35" i="51"/>
  <c r="AC35" i="51" s="1"/>
  <c r="U35" i="51"/>
  <c r="AB35" i="51" s="1"/>
  <c r="Q35" i="51"/>
  <c r="X35" i="51" s="1"/>
  <c r="AA34" i="51"/>
  <c r="Z34" i="51"/>
  <c r="Y34" i="51"/>
  <c r="AE34" i="51" s="1"/>
  <c r="V34" i="51"/>
  <c r="U34" i="51"/>
  <c r="Q34" i="51"/>
  <c r="X34" i="51" s="1"/>
  <c r="AE33" i="51"/>
  <c r="U33" i="51"/>
  <c r="Q33" i="51"/>
  <c r="AA32" i="51"/>
  <c r="Z32" i="51"/>
  <c r="Y32" i="51"/>
  <c r="AE32" i="51" s="1"/>
  <c r="V32" i="51"/>
  <c r="AC32" i="51" s="1"/>
  <c r="U32" i="51"/>
  <c r="AB32" i="51" s="1"/>
  <c r="Q32" i="51"/>
  <c r="X32" i="51" s="1"/>
  <c r="AC31" i="51"/>
  <c r="AB31" i="51"/>
  <c r="AA31" i="51"/>
  <c r="Z31" i="51"/>
  <c r="Y31" i="51"/>
  <c r="AE31" i="51" s="1"/>
  <c r="Q31" i="51"/>
  <c r="AA30" i="51"/>
  <c r="Z30" i="51"/>
  <c r="Y30" i="51"/>
  <c r="AA29" i="51"/>
  <c r="Z29" i="51"/>
  <c r="Y29" i="51"/>
  <c r="AE29" i="51" s="1"/>
  <c r="V29" i="51"/>
  <c r="AC29" i="51" s="1"/>
  <c r="U29" i="51"/>
  <c r="AB29" i="51" s="1"/>
  <c r="Q29" i="51"/>
  <c r="X29" i="51" s="1"/>
  <c r="AA28" i="51"/>
  <c r="Z28" i="51"/>
  <c r="Y28" i="51"/>
  <c r="AE28" i="51" s="1"/>
  <c r="V28" i="51"/>
  <c r="AC28" i="51" s="1"/>
  <c r="U28" i="51"/>
  <c r="AB28" i="51" s="1"/>
  <c r="Q28" i="51"/>
  <c r="X28" i="51" s="1"/>
  <c r="AA27" i="51"/>
  <c r="Z27" i="51"/>
  <c r="Y27" i="51"/>
  <c r="AE27" i="51" s="1"/>
  <c r="V27" i="51"/>
  <c r="AC27" i="51" s="1"/>
  <c r="U27" i="51"/>
  <c r="AB27" i="51" s="1"/>
  <c r="Q27" i="51"/>
  <c r="X27" i="51" s="1"/>
  <c r="AA26" i="51"/>
  <c r="Z26" i="51"/>
  <c r="Y26" i="51"/>
  <c r="AE26" i="51" s="1"/>
  <c r="V26" i="51"/>
  <c r="AC26" i="51" s="1"/>
  <c r="U26" i="51"/>
  <c r="AB26" i="51" s="1"/>
  <c r="Q26" i="51"/>
  <c r="X26" i="51" s="1"/>
  <c r="AA25" i="51"/>
  <c r="Z25" i="51"/>
  <c r="Y25" i="51"/>
  <c r="AE25" i="51" s="1"/>
  <c r="V25" i="51"/>
  <c r="AC25" i="51" s="1"/>
  <c r="U25" i="51"/>
  <c r="AB25" i="51" s="1"/>
  <c r="Q25" i="51"/>
  <c r="X25" i="51" s="1"/>
  <c r="AA24" i="51"/>
  <c r="Z24" i="51"/>
  <c r="Y24" i="51"/>
  <c r="AE24" i="51" s="1"/>
  <c r="V24" i="51"/>
  <c r="AC24" i="51" s="1"/>
  <c r="U24" i="51"/>
  <c r="AB24" i="51" s="1"/>
  <c r="Q24" i="51"/>
  <c r="X24" i="51" s="1"/>
  <c r="AA23" i="51"/>
  <c r="Z23" i="51"/>
  <c r="Y23" i="51"/>
  <c r="AE23" i="51" s="1"/>
  <c r="V23" i="51"/>
  <c r="AC23" i="51" s="1"/>
  <c r="U23" i="51"/>
  <c r="AB23" i="51" s="1"/>
  <c r="Q23" i="51"/>
  <c r="X23" i="51" s="1"/>
  <c r="AA22" i="51"/>
  <c r="Z22" i="51"/>
  <c r="Y22" i="51"/>
  <c r="AE22" i="51" s="1"/>
  <c r="V22" i="51"/>
  <c r="AC22" i="51" s="1"/>
  <c r="U22" i="51"/>
  <c r="AB22" i="51" s="1"/>
  <c r="Q22" i="51"/>
  <c r="X22" i="51" s="1"/>
  <c r="AA21" i="51"/>
  <c r="Z21" i="51"/>
  <c r="Y21" i="51"/>
  <c r="AE21" i="51" s="1"/>
  <c r="V21" i="51"/>
  <c r="AC21" i="51" s="1"/>
  <c r="U21" i="51"/>
  <c r="AB21" i="51" s="1"/>
  <c r="Q21" i="51"/>
  <c r="X21" i="51" s="1"/>
  <c r="AA20" i="51"/>
  <c r="Z20" i="51"/>
  <c r="Y20" i="51"/>
  <c r="AE20" i="51" s="1"/>
  <c r="V20" i="51"/>
  <c r="AC20" i="51" s="1"/>
  <c r="U20" i="51"/>
  <c r="AB20" i="51" s="1"/>
  <c r="Q20" i="51"/>
  <c r="X20" i="51" s="1"/>
  <c r="AA19" i="51"/>
  <c r="Z19" i="51"/>
  <c r="Y19" i="51"/>
  <c r="AE19" i="51" s="1"/>
  <c r="V19" i="51"/>
  <c r="AC19" i="51" s="1"/>
  <c r="U19" i="51"/>
  <c r="AB19" i="51" s="1"/>
  <c r="Q19" i="51"/>
  <c r="X19" i="51" s="1"/>
  <c r="AA18" i="51"/>
  <c r="Z18" i="51"/>
  <c r="Y18" i="51"/>
  <c r="AE18" i="51" s="1"/>
  <c r="V18" i="51"/>
  <c r="AC18" i="51" s="1"/>
  <c r="U18" i="51"/>
  <c r="AB18" i="51" s="1"/>
  <c r="Q18" i="51"/>
  <c r="X18" i="51" s="1"/>
  <c r="AA17" i="51"/>
  <c r="Z17" i="51"/>
  <c r="Y17" i="51"/>
  <c r="AE17" i="51" s="1"/>
  <c r="V17" i="51"/>
  <c r="AC17" i="51" s="1"/>
  <c r="U17" i="51"/>
  <c r="AB17" i="51" s="1"/>
  <c r="Q17" i="51"/>
  <c r="X17" i="51" s="1"/>
  <c r="AA16" i="51"/>
  <c r="Z16" i="51"/>
  <c r="Y16" i="51"/>
  <c r="AE16" i="51" s="1"/>
  <c r="V16" i="51"/>
  <c r="AC16" i="51" s="1"/>
  <c r="U16" i="51"/>
  <c r="AB16" i="51" s="1"/>
  <c r="Q16" i="51"/>
  <c r="X16" i="51" s="1"/>
  <c r="AC15" i="51"/>
  <c r="AB15" i="51"/>
  <c r="AA15" i="51"/>
  <c r="Z15" i="51"/>
  <c r="Y15" i="51"/>
  <c r="AE15" i="51" s="1"/>
  <c r="AA14" i="51"/>
  <c r="Z14" i="51"/>
  <c r="Y14" i="51"/>
  <c r="V14" i="51"/>
  <c r="AC14" i="51" s="1"/>
  <c r="U14" i="51"/>
  <c r="AB14" i="51" s="1"/>
  <c r="Q14" i="51"/>
  <c r="X14" i="51" s="1"/>
  <c r="AA85" i="51" l="1"/>
  <c r="U85" i="51"/>
  <c r="S102" i="51"/>
  <c r="R102" i="51"/>
  <c r="AE85" i="51"/>
  <c r="U75" i="51"/>
  <c r="Z85" i="51"/>
  <c r="T102" i="51"/>
  <c r="Y75" i="51"/>
  <c r="AE14" i="51"/>
  <c r="AE75" i="51" s="1"/>
  <c r="Z75" i="51"/>
  <c r="AA75" i="51"/>
  <c r="AB77" i="51"/>
  <c r="Y85" i="51"/>
  <c r="AB80" i="50"/>
  <c r="Y80" i="50"/>
  <c r="AE80" i="50" s="1"/>
  <c r="Z80" i="50"/>
  <c r="AA80" i="50"/>
  <c r="U80" i="50"/>
  <c r="T84" i="50"/>
  <c r="S84" i="50"/>
  <c r="V80" i="50"/>
  <c r="AC80" i="50" s="1"/>
  <c r="R84" i="50"/>
  <c r="V78" i="50"/>
  <c r="U102" i="51" l="1"/>
  <c r="Z102" i="51"/>
  <c r="AE102" i="51"/>
  <c r="K104" i="51" s="1"/>
  <c r="Y102" i="51"/>
  <c r="AB75" i="51"/>
  <c r="AA102" i="51"/>
  <c r="AA79" i="50"/>
  <c r="Z79" i="50"/>
  <c r="Y79" i="50"/>
  <c r="AE79" i="50" s="1"/>
  <c r="V79" i="50"/>
  <c r="AC79" i="50" s="1"/>
  <c r="U79" i="50"/>
  <c r="AB79" i="50" s="1"/>
  <c r="AE78" i="50"/>
  <c r="AC78" i="50"/>
  <c r="AA78" i="50"/>
  <c r="AA77" i="50"/>
  <c r="Z77" i="50"/>
  <c r="Y77" i="50"/>
  <c r="V77" i="50"/>
  <c r="AC77" i="50" s="1"/>
  <c r="AA76" i="50"/>
  <c r="Z76" i="50"/>
  <c r="Y76" i="50"/>
  <c r="AE76" i="50" s="1"/>
  <c r="V76" i="50"/>
  <c r="AC76" i="50" s="1"/>
  <c r="U76" i="50"/>
  <c r="AB76" i="50" s="1"/>
  <c r="T74" i="50"/>
  <c r="S74" i="50"/>
  <c r="S102" i="50" s="1"/>
  <c r="R74" i="50"/>
  <c r="AA73" i="50"/>
  <c r="Z73" i="50"/>
  <c r="Y73" i="50"/>
  <c r="AE73" i="50" s="1"/>
  <c r="V73" i="50"/>
  <c r="AC73" i="50" s="1"/>
  <c r="U73" i="50"/>
  <c r="AB73" i="50" s="1"/>
  <c r="Q73" i="50"/>
  <c r="X73" i="50" s="1"/>
  <c r="AA72" i="50"/>
  <c r="Z72" i="50"/>
  <c r="Y72" i="50"/>
  <c r="AE72" i="50" s="1"/>
  <c r="V72" i="50"/>
  <c r="AC72" i="50" s="1"/>
  <c r="U72" i="50"/>
  <c r="AB72" i="50" s="1"/>
  <c r="Q72" i="50"/>
  <c r="X72" i="50" s="1"/>
  <c r="AA71" i="50"/>
  <c r="Z71" i="50"/>
  <c r="Y71" i="50"/>
  <c r="AE71" i="50" s="1"/>
  <c r="V71" i="50"/>
  <c r="AC71" i="50" s="1"/>
  <c r="U71" i="50"/>
  <c r="AB71" i="50" s="1"/>
  <c r="Q71" i="50"/>
  <c r="X71" i="50" s="1"/>
  <c r="AA70" i="50"/>
  <c r="Z70" i="50"/>
  <c r="Y70" i="50"/>
  <c r="AE70" i="50" s="1"/>
  <c r="V70" i="50"/>
  <c r="AC70" i="50" s="1"/>
  <c r="U70" i="50"/>
  <c r="AB70" i="50" s="1"/>
  <c r="Q70" i="50"/>
  <c r="X70" i="50" s="1"/>
  <c r="AA69" i="50"/>
  <c r="Z69" i="50"/>
  <c r="Y69" i="50"/>
  <c r="AE69" i="50" s="1"/>
  <c r="V69" i="50"/>
  <c r="AC69" i="50" s="1"/>
  <c r="U69" i="50"/>
  <c r="Q69" i="50"/>
  <c r="X69" i="50" s="1"/>
  <c r="AA68" i="50"/>
  <c r="Z68" i="50"/>
  <c r="Y68" i="50"/>
  <c r="AE68" i="50" s="1"/>
  <c r="V68" i="50"/>
  <c r="AC68" i="50" s="1"/>
  <c r="U68" i="50"/>
  <c r="AB68" i="50" s="1"/>
  <c r="Q68" i="50"/>
  <c r="X68" i="50" s="1"/>
  <c r="AA67" i="50"/>
  <c r="Z67" i="50"/>
  <c r="Y67" i="50"/>
  <c r="AE67" i="50" s="1"/>
  <c r="V67" i="50"/>
  <c r="AC67" i="50" s="1"/>
  <c r="U67" i="50"/>
  <c r="AB67" i="50" s="1"/>
  <c r="Q67" i="50"/>
  <c r="X67" i="50" s="1"/>
  <c r="AE66" i="50"/>
  <c r="V66" i="50"/>
  <c r="U66" i="50"/>
  <c r="AB66" i="50" s="1"/>
  <c r="Q66" i="50"/>
  <c r="X66" i="50" s="1"/>
  <c r="AE65" i="50"/>
  <c r="V65" i="50"/>
  <c r="U65" i="50"/>
  <c r="AB65" i="50" s="1"/>
  <c r="Q65" i="50"/>
  <c r="X65" i="50" s="1"/>
  <c r="AA64" i="50"/>
  <c r="Z64" i="50"/>
  <c r="Y64" i="50"/>
  <c r="AE64" i="50" s="1"/>
  <c r="V64" i="50"/>
  <c r="AC64" i="50" s="1"/>
  <c r="U64" i="50"/>
  <c r="AB64" i="50" s="1"/>
  <c r="Q64" i="50"/>
  <c r="X64" i="50" s="1"/>
  <c r="AA63" i="50"/>
  <c r="Z63" i="50"/>
  <c r="Y63" i="50"/>
  <c r="AE63" i="50" s="1"/>
  <c r="V63" i="50"/>
  <c r="AC63" i="50" s="1"/>
  <c r="U63" i="50"/>
  <c r="AB63" i="50" s="1"/>
  <c r="Q63" i="50"/>
  <c r="X63" i="50" s="1"/>
  <c r="AA62" i="50"/>
  <c r="Z62" i="50"/>
  <c r="Y62" i="50"/>
  <c r="AE62" i="50" s="1"/>
  <c r="V62" i="50"/>
  <c r="AC62" i="50" s="1"/>
  <c r="U62" i="50"/>
  <c r="AB62" i="50" s="1"/>
  <c r="Q62" i="50"/>
  <c r="X62" i="50" s="1"/>
  <c r="AA61" i="50"/>
  <c r="Z61" i="50"/>
  <c r="Y61" i="50"/>
  <c r="AE61" i="50" s="1"/>
  <c r="V61" i="50"/>
  <c r="AC61" i="50" s="1"/>
  <c r="U61" i="50"/>
  <c r="AB61" i="50" s="1"/>
  <c r="Q61" i="50"/>
  <c r="X61" i="50" s="1"/>
  <c r="AA60" i="50"/>
  <c r="Z60" i="50"/>
  <c r="Y60" i="50"/>
  <c r="AE60" i="50" s="1"/>
  <c r="V60" i="50"/>
  <c r="U60" i="50"/>
  <c r="AB60" i="50" s="1"/>
  <c r="Q60" i="50"/>
  <c r="X60" i="50" s="1"/>
  <c r="AA59" i="50"/>
  <c r="Z59" i="50"/>
  <c r="Y59" i="50"/>
  <c r="AE59" i="50" s="1"/>
  <c r="V59" i="50"/>
  <c r="AC59" i="50" s="1"/>
  <c r="U59" i="50"/>
  <c r="AB59" i="50" s="1"/>
  <c r="Q59" i="50"/>
  <c r="X59" i="50" s="1"/>
  <c r="AB58" i="50"/>
  <c r="AA58" i="50"/>
  <c r="Z58" i="50"/>
  <c r="Y58" i="50"/>
  <c r="AE58" i="50" s="1"/>
  <c r="Q58" i="50"/>
  <c r="AA57" i="50"/>
  <c r="Z57" i="50"/>
  <c r="Y57" i="50"/>
  <c r="AE57" i="50" s="1"/>
  <c r="V57" i="50"/>
  <c r="AC57" i="50" s="1"/>
  <c r="U57" i="50"/>
  <c r="AB57" i="50" s="1"/>
  <c r="Q57" i="50"/>
  <c r="X57" i="50" s="1"/>
  <c r="AA56" i="50"/>
  <c r="Z56" i="50"/>
  <c r="Y56" i="50"/>
  <c r="AE56" i="50" s="1"/>
  <c r="V56" i="50"/>
  <c r="AC56" i="50" s="1"/>
  <c r="U56" i="50"/>
  <c r="AB56" i="50" s="1"/>
  <c r="Q56" i="50"/>
  <c r="X56" i="50" s="1"/>
  <c r="AC55" i="50"/>
  <c r="AA55" i="50"/>
  <c r="Z55" i="50"/>
  <c r="Y55" i="50"/>
  <c r="AE55" i="50" s="1"/>
  <c r="U55" i="50"/>
  <c r="AB55" i="50" s="1"/>
  <c r="Q55" i="50"/>
  <c r="AA54" i="50"/>
  <c r="Z54" i="50"/>
  <c r="Y54" i="50"/>
  <c r="AE54" i="50" s="1"/>
  <c r="V54" i="50"/>
  <c r="AC54" i="50" s="1"/>
  <c r="U54" i="50"/>
  <c r="AB54" i="50" s="1"/>
  <c r="Q54" i="50"/>
  <c r="X54" i="50" s="1"/>
  <c r="AA53" i="50"/>
  <c r="Z53" i="50"/>
  <c r="Y53" i="50"/>
  <c r="AE53" i="50" s="1"/>
  <c r="V53" i="50"/>
  <c r="AC53" i="50" s="1"/>
  <c r="U53" i="50"/>
  <c r="AB53" i="50" s="1"/>
  <c r="Q53" i="50"/>
  <c r="X53" i="50" s="1"/>
  <c r="AA52" i="50"/>
  <c r="Z52" i="50"/>
  <c r="Y52" i="50"/>
  <c r="AE52" i="50" s="1"/>
  <c r="V52" i="50"/>
  <c r="AC52" i="50" s="1"/>
  <c r="U52" i="50"/>
  <c r="AB52" i="50" s="1"/>
  <c r="Q52" i="50"/>
  <c r="X52" i="50" s="1"/>
  <c r="AA51" i="50"/>
  <c r="Z51" i="50"/>
  <c r="Y51" i="50"/>
  <c r="AE51" i="50" s="1"/>
  <c r="V51" i="50"/>
  <c r="AC51" i="50" s="1"/>
  <c r="U51" i="50"/>
  <c r="AB51" i="50" s="1"/>
  <c r="Q51" i="50"/>
  <c r="X51" i="50" s="1"/>
  <c r="AA50" i="50"/>
  <c r="Z50" i="50"/>
  <c r="Y50" i="50"/>
  <c r="AE50" i="50" s="1"/>
  <c r="V50" i="50"/>
  <c r="AC50" i="50" s="1"/>
  <c r="U50" i="50"/>
  <c r="AB50" i="50" s="1"/>
  <c r="Q50" i="50"/>
  <c r="X50" i="50" s="1"/>
  <c r="AA49" i="50"/>
  <c r="Z49" i="50"/>
  <c r="Y49" i="50"/>
  <c r="AE49" i="50" s="1"/>
  <c r="V49" i="50"/>
  <c r="AC49" i="50" s="1"/>
  <c r="U49" i="50"/>
  <c r="AB49" i="50" s="1"/>
  <c r="Q49" i="50"/>
  <c r="X49" i="50" s="1"/>
  <c r="AA48" i="50"/>
  <c r="Z48" i="50"/>
  <c r="Y48" i="50"/>
  <c r="AE48" i="50" s="1"/>
  <c r="V48" i="50"/>
  <c r="AC48" i="50" s="1"/>
  <c r="U48" i="50"/>
  <c r="AB48" i="50" s="1"/>
  <c r="Q48" i="50"/>
  <c r="AA47" i="50"/>
  <c r="Z47" i="50"/>
  <c r="Y47" i="50"/>
  <c r="AE47" i="50" s="1"/>
  <c r="V47" i="50"/>
  <c r="AC47" i="50" s="1"/>
  <c r="U47" i="50"/>
  <c r="AB47" i="50" s="1"/>
  <c r="Q47" i="50"/>
  <c r="X47" i="50" s="1"/>
  <c r="AC46" i="50"/>
  <c r="AB46" i="50"/>
  <c r="AA46" i="50"/>
  <c r="Z46" i="50"/>
  <c r="Y46" i="50"/>
  <c r="AE46" i="50" s="1"/>
  <c r="Q46" i="50"/>
  <c r="AA45" i="50"/>
  <c r="Z45" i="50"/>
  <c r="Y45" i="50"/>
  <c r="AE45" i="50" s="1"/>
  <c r="V45" i="50"/>
  <c r="AC45" i="50" s="1"/>
  <c r="U45" i="50"/>
  <c r="AB45" i="50" s="1"/>
  <c r="Q45" i="50"/>
  <c r="X45" i="50" s="1"/>
  <c r="AE44" i="50"/>
  <c r="AA44" i="50"/>
  <c r="Z44" i="50"/>
  <c r="Y44" i="50"/>
  <c r="V44" i="50"/>
  <c r="AC44" i="50" s="1"/>
  <c r="U44" i="50"/>
  <c r="AB44" i="50" s="1"/>
  <c r="Q44" i="50"/>
  <c r="X44" i="50" s="1"/>
  <c r="AB43" i="50"/>
  <c r="AA43" i="50"/>
  <c r="Z43" i="50"/>
  <c r="Y43" i="50"/>
  <c r="AE43" i="50" s="1"/>
  <c r="V43" i="50"/>
  <c r="AC43" i="50" s="1"/>
  <c r="U43" i="50"/>
  <c r="Q43" i="50"/>
  <c r="X43" i="50" s="1"/>
  <c r="AA42" i="50"/>
  <c r="Z42" i="50"/>
  <c r="Y42" i="50"/>
  <c r="AE42" i="50" s="1"/>
  <c r="V42" i="50"/>
  <c r="AC42" i="50" s="1"/>
  <c r="U42" i="50"/>
  <c r="AB42" i="50" s="1"/>
  <c r="Q42" i="50"/>
  <c r="X42" i="50" s="1"/>
  <c r="AC41" i="50"/>
  <c r="AB41" i="50"/>
  <c r="AA41" i="50"/>
  <c r="Z41" i="50"/>
  <c r="Y41" i="50"/>
  <c r="AE41" i="50" s="1"/>
  <c r="AA40" i="50"/>
  <c r="Z40" i="50"/>
  <c r="Y40" i="50"/>
  <c r="AE40" i="50" s="1"/>
  <c r="V40" i="50"/>
  <c r="AC40" i="50" s="1"/>
  <c r="U40" i="50"/>
  <c r="AB40" i="50" s="1"/>
  <c r="Q40" i="50"/>
  <c r="X40" i="50" s="1"/>
  <c r="AA39" i="50"/>
  <c r="Z39" i="50"/>
  <c r="Y39" i="50"/>
  <c r="AE39" i="50" s="1"/>
  <c r="V39" i="50"/>
  <c r="AC39" i="50" s="1"/>
  <c r="U39" i="50"/>
  <c r="AB39" i="50" s="1"/>
  <c r="Q39" i="50"/>
  <c r="X39" i="50" s="1"/>
  <c r="AA38" i="50"/>
  <c r="Z38" i="50"/>
  <c r="Y38" i="50"/>
  <c r="AE38" i="50" s="1"/>
  <c r="V38" i="50"/>
  <c r="AC38" i="50" s="1"/>
  <c r="U38" i="50"/>
  <c r="AB38" i="50" s="1"/>
  <c r="Q38" i="50"/>
  <c r="X38" i="50" s="1"/>
  <c r="AA37" i="50"/>
  <c r="Z37" i="50"/>
  <c r="Y37" i="50"/>
  <c r="AE37" i="50" s="1"/>
  <c r="V37" i="50"/>
  <c r="AC37" i="50" s="1"/>
  <c r="U37" i="50"/>
  <c r="AB37" i="50" s="1"/>
  <c r="Q37" i="50"/>
  <c r="X37" i="50" s="1"/>
  <c r="AA36" i="50"/>
  <c r="Z36" i="50"/>
  <c r="Y36" i="50"/>
  <c r="AE36" i="50" s="1"/>
  <c r="V36" i="50"/>
  <c r="AC36" i="50" s="1"/>
  <c r="U36" i="50"/>
  <c r="AB36" i="50" s="1"/>
  <c r="Q36" i="50"/>
  <c r="X36" i="50" s="1"/>
  <c r="AA35" i="50"/>
  <c r="Z35" i="50"/>
  <c r="Y35" i="50"/>
  <c r="AE35" i="50" s="1"/>
  <c r="V35" i="50"/>
  <c r="AC35" i="50" s="1"/>
  <c r="U35" i="50"/>
  <c r="AB35" i="50" s="1"/>
  <c r="Q35" i="50"/>
  <c r="X35" i="50" s="1"/>
  <c r="AA34" i="50"/>
  <c r="Z34" i="50"/>
  <c r="Y34" i="50"/>
  <c r="AE34" i="50" s="1"/>
  <c r="V34" i="50"/>
  <c r="U34" i="50"/>
  <c r="Q34" i="50"/>
  <c r="X34" i="50" s="1"/>
  <c r="AE33" i="50"/>
  <c r="U33" i="50"/>
  <c r="Q33" i="50"/>
  <c r="AA32" i="50"/>
  <c r="Z32" i="50"/>
  <c r="Y32" i="50"/>
  <c r="AE32" i="50" s="1"/>
  <c r="V32" i="50"/>
  <c r="AC32" i="50" s="1"/>
  <c r="U32" i="50"/>
  <c r="AB32" i="50" s="1"/>
  <c r="Q32" i="50"/>
  <c r="X32" i="50" s="1"/>
  <c r="AC31" i="50"/>
  <c r="AB31" i="50"/>
  <c r="AA31" i="50"/>
  <c r="Z31" i="50"/>
  <c r="Y31" i="50"/>
  <c r="AE31" i="50" s="1"/>
  <c r="Q31" i="50"/>
  <c r="AA30" i="50"/>
  <c r="Z30" i="50"/>
  <c r="Y30" i="50"/>
  <c r="AA29" i="50"/>
  <c r="Z29" i="50"/>
  <c r="Y29" i="50"/>
  <c r="AE29" i="50" s="1"/>
  <c r="V29" i="50"/>
  <c r="AC29" i="50" s="1"/>
  <c r="U29" i="50"/>
  <c r="AB29" i="50" s="1"/>
  <c r="Q29" i="50"/>
  <c r="X29" i="50" s="1"/>
  <c r="AA28" i="50"/>
  <c r="Z28" i="50"/>
  <c r="Y28" i="50"/>
  <c r="AE28" i="50" s="1"/>
  <c r="V28" i="50"/>
  <c r="AC28" i="50" s="1"/>
  <c r="U28" i="50"/>
  <c r="AB28" i="50" s="1"/>
  <c r="Q28" i="50"/>
  <c r="X28" i="50" s="1"/>
  <c r="AA27" i="50"/>
  <c r="Z27" i="50"/>
  <c r="Y27" i="50"/>
  <c r="AE27" i="50" s="1"/>
  <c r="V27" i="50"/>
  <c r="AC27" i="50" s="1"/>
  <c r="U27" i="50"/>
  <c r="AB27" i="50" s="1"/>
  <c r="Q27" i="50"/>
  <c r="X27" i="50" s="1"/>
  <c r="AA26" i="50"/>
  <c r="Z26" i="50"/>
  <c r="Y26" i="50"/>
  <c r="AE26" i="50" s="1"/>
  <c r="V26" i="50"/>
  <c r="AC26" i="50" s="1"/>
  <c r="U26" i="50"/>
  <c r="AB26" i="50" s="1"/>
  <c r="Q26" i="50"/>
  <c r="X26" i="50" s="1"/>
  <c r="AA25" i="50"/>
  <c r="Z25" i="50"/>
  <c r="Y25" i="50"/>
  <c r="AE25" i="50" s="1"/>
  <c r="V25" i="50"/>
  <c r="AC25" i="50" s="1"/>
  <c r="U25" i="50"/>
  <c r="AB25" i="50" s="1"/>
  <c r="Q25" i="50"/>
  <c r="X25" i="50" s="1"/>
  <c r="AA24" i="50"/>
  <c r="Z24" i="50"/>
  <c r="Y24" i="50"/>
  <c r="AE24" i="50" s="1"/>
  <c r="V24" i="50"/>
  <c r="AC24" i="50" s="1"/>
  <c r="U24" i="50"/>
  <c r="AB24" i="50" s="1"/>
  <c r="Q24" i="50"/>
  <c r="X24" i="50" s="1"/>
  <c r="AA23" i="50"/>
  <c r="Z23" i="50"/>
  <c r="Y23" i="50"/>
  <c r="AE23" i="50" s="1"/>
  <c r="V23" i="50"/>
  <c r="AC23" i="50" s="1"/>
  <c r="U23" i="50"/>
  <c r="AB23" i="50" s="1"/>
  <c r="Q23" i="50"/>
  <c r="X23" i="50" s="1"/>
  <c r="AA22" i="50"/>
  <c r="Z22" i="50"/>
  <c r="Y22" i="50"/>
  <c r="AE22" i="50" s="1"/>
  <c r="V22" i="50"/>
  <c r="AC22" i="50" s="1"/>
  <c r="U22" i="50"/>
  <c r="AB22" i="50" s="1"/>
  <c r="Q22" i="50"/>
  <c r="X22" i="50" s="1"/>
  <c r="AA21" i="50"/>
  <c r="Z21" i="50"/>
  <c r="Y21" i="50"/>
  <c r="AE21" i="50" s="1"/>
  <c r="V21" i="50"/>
  <c r="AC21" i="50" s="1"/>
  <c r="U21" i="50"/>
  <c r="AB21" i="50" s="1"/>
  <c r="Q21" i="50"/>
  <c r="X21" i="50" s="1"/>
  <c r="AA20" i="50"/>
  <c r="Z20" i="50"/>
  <c r="Y20" i="50"/>
  <c r="AE20" i="50" s="1"/>
  <c r="V20" i="50"/>
  <c r="AC20" i="50" s="1"/>
  <c r="U20" i="50"/>
  <c r="AB20" i="50" s="1"/>
  <c r="Q20" i="50"/>
  <c r="X20" i="50" s="1"/>
  <c r="AA19" i="50"/>
  <c r="Z19" i="50"/>
  <c r="Y19" i="50"/>
  <c r="AE19" i="50" s="1"/>
  <c r="V19" i="50"/>
  <c r="AC19" i="50" s="1"/>
  <c r="U19" i="50"/>
  <c r="AB19" i="50" s="1"/>
  <c r="Q19" i="50"/>
  <c r="X19" i="50" s="1"/>
  <c r="AA18" i="50"/>
  <c r="Z18" i="50"/>
  <c r="Y18" i="50"/>
  <c r="AE18" i="50" s="1"/>
  <c r="V18" i="50"/>
  <c r="AC18" i="50" s="1"/>
  <c r="U18" i="50"/>
  <c r="AB18" i="50" s="1"/>
  <c r="Q18" i="50"/>
  <c r="X18" i="50" s="1"/>
  <c r="AA17" i="50"/>
  <c r="Z17" i="50"/>
  <c r="Y17" i="50"/>
  <c r="AE17" i="50" s="1"/>
  <c r="V17" i="50"/>
  <c r="AC17" i="50" s="1"/>
  <c r="U17" i="50"/>
  <c r="AB17" i="50" s="1"/>
  <c r="Q17" i="50"/>
  <c r="X17" i="50" s="1"/>
  <c r="AA16" i="50"/>
  <c r="Z16" i="50"/>
  <c r="Y16" i="50"/>
  <c r="AE16" i="50" s="1"/>
  <c r="V16" i="50"/>
  <c r="AC16" i="50" s="1"/>
  <c r="U16" i="50"/>
  <c r="AB16" i="50" s="1"/>
  <c r="Q16" i="50"/>
  <c r="X16" i="50" s="1"/>
  <c r="AC15" i="50"/>
  <c r="AB15" i="50"/>
  <c r="AA15" i="50"/>
  <c r="Z15" i="50"/>
  <c r="Y15" i="50"/>
  <c r="AE15" i="50" s="1"/>
  <c r="AA14" i="50"/>
  <c r="Z14" i="50"/>
  <c r="Y14" i="50"/>
  <c r="AE14" i="50" s="1"/>
  <c r="V14" i="50"/>
  <c r="AC14" i="50" s="1"/>
  <c r="U14" i="50"/>
  <c r="AB14" i="50" s="1"/>
  <c r="Q14" i="50"/>
  <c r="X14" i="50" s="1"/>
  <c r="Z84" i="50" l="1"/>
  <c r="AA84" i="50"/>
  <c r="AB102" i="51"/>
  <c r="U74" i="50"/>
  <c r="Y84" i="50"/>
  <c r="Z74" i="50"/>
  <c r="AA74" i="50"/>
  <c r="R102" i="50"/>
  <c r="T102" i="50"/>
  <c r="AE74" i="50"/>
  <c r="Y74" i="50"/>
  <c r="U84" i="50"/>
  <c r="AE77" i="50"/>
  <c r="AE84" i="50" s="1"/>
  <c r="U69" i="49"/>
  <c r="AA102" i="50" l="1"/>
  <c r="Z102" i="50"/>
  <c r="Y102" i="50"/>
  <c r="U102" i="50"/>
  <c r="AE102" i="50"/>
  <c r="K104" i="50" s="1"/>
  <c r="AB74" i="50"/>
  <c r="T84" i="49"/>
  <c r="S84" i="49"/>
  <c r="R84" i="49"/>
  <c r="AA79" i="49"/>
  <c r="Z79" i="49"/>
  <c r="Y79" i="49"/>
  <c r="AE79" i="49" s="1"/>
  <c r="V79" i="49"/>
  <c r="AC79" i="49" s="1"/>
  <c r="U79" i="49"/>
  <c r="AB79" i="49" s="1"/>
  <c r="AE78" i="49"/>
  <c r="AC78" i="49"/>
  <c r="AA78" i="49"/>
  <c r="AA77" i="49"/>
  <c r="Z77" i="49"/>
  <c r="Y77" i="49"/>
  <c r="AE77" i="49" s="1"/>
  <c r="V77" i="49"/>
  <c r="AC77" i="49" s="1"/>
  <c r="AA76" i="49"/>
  <c r="Z76" i="49"/>
  <c r="Z84" i="49" s="1"/>
  <c r="Y76" i="49"/>
  <c r="Y84" i="49" s="1"/>
  <c r="V76" i="49"/>
  <c r="AC76" i="49" s="1"/>
  <c r="U76" i="49"/>
  <c r="AB76" i="49" s="1"/>
  <c r="T74" i="49"/>
  <c r="S74" i="49"/>
  <c r="R74" i="49"/>
  <c r="AE73" i="49"/>
  <c r="AA73" i="49"/>
  <c r="Z73" i="49"/>
  <c r="Y73" i="49"/>
  <c r="V73" i="49"/>
  <c r="AC73" i="49" s="1"/>
  <c r="U73" i="49"/>
  <c r="AB73" i="49" s="1"/>
  <c r="Q73" i="49"/>
  <c r="X73" i="49" s="1"/>
  <c r="AA72" i="49"/>
  <c r="Z72" i="49"/>
  <c r="Y72" i="49"/>
  <c r="AE72" i="49" s="1"/>
  <c r="V72" i="49"/>
  <c r="AC72" i="49" s="1"/>
  <c r="U72" i="49"/>
  <c r="AB72" i="49" s="1"/>
  <c r="Q72" i="49"/>
  <c r="X72" i="49" s="1"/>
  <c r="AA71" i="49"/>
  <c r="Z71" i="49"/>
  <c r="Y71" i="49"/>
  <c r="AE71" i="49" s="1"/>
  <c r="V71" i="49"/>
  <c r="AC71" i="49" s="1"/>
  <c r="U71" i="49"/>
  <c r="AB71" i="49" s="1"/>
  <c r="Q71" i="49"/>
  <c r="X71" i="49" s="1"/>
  <c r="AA70" i="49"/>
  <c r="Z70" i="49"/>
  <c r="Y70" i="49"/>
  <c r="AE70" i="49" s="1"/>
  <c r="V70" i="49"/>
  <c r="AC70" i="49" s="1"/>
  <c r="U70" i="49"/>
  <c r="AB70" i="49" s="1"/>
  <c r="Q70" i="49"/>
  <c r="X70" i="49" s="1"/>
  <c r="AA69" i="49"/>
  <c r="Z69" i="49"/>
  <c r="Y69" i="49"/>
  <c r="AE69" i="49" s="1"/>
  <c r="V69" i="49"/>
  <c r="AC69" i="49" s="1"/>
  <c r="Q69" i="49"/>
  <c r="X69" i="49" s="1"/>
  <c r="AA68" i="49"/>
  <c r="Z68" i="49"/>
  <c r="Y68" i="49"/>
  <c r="AE68" i="49" s="1"/>
  <c r="V68" i="49"/>
  <c r="AC68" i="49" s="1"/>
  <c r="U68" i="49"/>
  <c r="AB68" i="49" s="1"/>
  <c r="Q68" i="49"/>
  <c r="X68" i="49" s="1"/>
  <c r="AA67" i="49"/>
  <c r="Z67" i="49"/>
  <c r="Y67" i="49"/>
  <c r="AE67" i="49" s="1"/>
  <c r="V67" i="49"/>
  <c r="AC67" i="49" s="1"/>
  <c r="U67" i="49"/>
  <c r="AB67" i="49" s="1"/>
  <c r="Q67" i="49"/>
  <c r="X67" i="49" s="1"/>
  <c r="AE66" i="49"/>
  <c r="V66" i="49"/>
  <c r="U66" i="49"/>
  <c r="AB66" i="49" s="1"/>
  <c r="Q66" i="49"/>
  <c r="X66" i="49" s="1"/>
  <c r="AE65" i="49"/>
  <c r="V65" i="49"/>
  <c r="U65" i="49"/>
  <c r="AB65" i="49" s="1"/>
  <c r="Q65" i="49"/>
  <c r="X65" i="49" s="1"/>
  <c r="AA64" i="49"/>
  <c r="Z64" i="49"/>
  <c r="Y64" i="49"/>
  <c r="AE64" i="49" s="1"/>
  <c r="V64" i="49"/>
  <c r="AC64" i="49" s="1"/>
  <c r="U64" i="49"/>
  <c r="AB64" i="49" s="1"/>
  <c r="Q64" i="49"/>
  <c r="X64" i="49" s="1"/>
  <c r="AA63" i="49"/>
  <c r="Z63" i="49"/>
  <c r="Y63" i="49"/>
  <c r="AE63" i="49" s="1"/>
  <c r="V63" i="49"/>
  <c r="AC63" i="49" s="1"/>
  <c r="U63" i="49"/>
  <c r="AB63" i="49" s="1"/>
  <c r="Q63" i="49"/>
  <c r="X63" i="49" s="1"/>
  <c r="AA62" i="49"/>
  <c r="Z62" i="49"/>
  <c r="Y62" i="49"/>
  <c r="AE62" i="49" s="1"/>
  <c r="V62" i="49"/>
  <c r="AC62" i="49" s="1"/>
  <c r="U62" i="49"/>
  <c r="AB62" i="49" s="1"/>
  <c r="Q62" i="49"/>
  <c r="X62" i="49" s="1"/>
  <c r="AA61" i="49"/>
  <c r="Z61" i="49"/>
  <c r="Y61" i="49"/>
  <c r="AE61" i="49" s="1"/>
  <c r="V61" i="49"/>
  <c r="AC61" i="49" s="1"/>
  <c r="U61" i="49"/>
  <c r="AB61" i="49" s="1"/>
  <c r="Q61" i="49"/>
  <c r="X61" i="49" s="1"/>
  <c r="AA60" i="49"/>
  <c r="Z60" i="49"/>
  <c r="Y60" i="49"/>
  <c r="AE60" i="49" s="1"/>
  <c r="V60" i="49"/>
  <c r="U60" i="49"/>
  <c r="AB60" i="49" s="1"/>
  <c r="Q60" i="49"/>
  <c r="X60" i="49" s="1"/>
  <c r="AA59" i="49"/>
  <c r="Z59" i="49"/>
  <c r="Y59" i="49"/>
  <c r="AE59" i="49" s="1"/>
  <c r="V59" i="49"/>
  <c r="AC59" i="49" s="1"/>
  <c r="U59" i="49"/>
  <c r="AB59" i="49" s="1"/>
  <c r="Q59" i="49"/>
  <c r="X59" i="49" s="1"/>
  <c r="AB58" i="49"/>
  <c r="AA58" i="49"/>
  <c r="Z58" i="49"/>
  <c r="Y58" i="49"/>
  <c r="AE58" i="49" s="1"/>
  <c r="Q58" i="49"/>
  <c r="AA57" i="49"/>
  <c r="Z57" i="49"/>
  <c r="Y57" i="49"/>
  <c r="AE57" i="49" s="1"/>
  <c r="V57" i="49"/>
  <c r="AC57" i="49" s="1"/>
  <c r="U57" i="49"/>
  <c r="AB57" i="49" s="1"/>
  <c r="Q57" i="49"/>
  <c r="X57" i="49" s="1"/>
  <c r="AA56" i="49"/>
  <c r="Z56" i="49"/>
  <c r="Y56" i="49"/>
  <c r="AE56" i="49" s="1"/>
  <c r="V56" i="49"/>
  <c r="AC56" i="49" s="1"/>
  <c r="U56" i="49"/>
  <c r="AB56" i="49" s="1"/>
  <c r="Q56" i="49"/>
  <c r="X56" i="49" s="1"/>
  <c r="AC55" i="49"/>
  <c r="AA55" i="49"/>
  <c r="Z55" i="49"/>
  <c r="Y55" i="49"/>
  <c r="AE55" i="49" s="1"/>
  <c r="U55" i="49"/>
  <c r="AB55" i="49" s="1"/>
  <c r="Q55" i="49"/>
  <c r="AA54" i="49"/>
  <c r="Z54" i="49"/>
  <c r="Y54" i="49"/>
  <c r="AE54" i="49" s="1"/>
  <c r="V54" i="49"/>
  <c r="AC54" i="49" s="1"/>
  <c r="U54" i="49"/>
  <c r="AB54" i="49" s="1"/>
  <c r="Q54" i="49"/>
  <c r="X54" i="49" s="1"/>
  <c r="AA53" i="49"/>
  <c r="Z53" i="49"/>
  <c r="Y53" i="49"/>
  <c r="AE53" i="49" s="1"/>
  <c r="V53" i="49"/>
  <c r="AC53" i="49" s="1"/>
  <c r="U53" i="49"/>
  <c r="AB53" i="49" s="1"/>
  <c r="Q53" i="49"/>
  <c r="X53" i="49" s="1"/>
  <c r="AA52" i="49"/>
  <c r="Z52" i="49"/>
  <c r="Y52" i="49"/>
  <c r="AE52" i="49" s="1"/>
  <c r="V52" i="49"/>
  <c r="AC52" i="49" s="1"/>
  <c r="U52" i="49"/>
  <c r="AB52" i="49" s="1"/>
  <c r="Q52" i="49"/>
  <c r="X52" i="49" s="1"/>
  <c r="AA51" i="49"/>
  <c r="Z51" i="49"/>
  <c r="Y51" i="49"/>
  <c r="AE51" i="49" s="1"/>
  <c r="V51" i="49"/>
  <c r="AC51" i="49" s="1"/>
  <c r="U51" i="49"/>
  <c r="AB51" i="49" s="1"/>
  <c r="Q51" i="49"/>
  <c r="X51" i="49" s="1"/>
  <c r="AA50" i="49"/>
  <c r="Z50" i="49"/>
  <c r="Y50" i="49"/>
  <c r="AE50" i="49" s="1"/>
  <c r="V50" i="49"/>
  <c r="AC50" i="49" s="1"/>
  <c r="U50" i="49"/>
  <c r="AB50" i="49" s="1"/>
  <c r="Q50" i="49"/>
  <c r="X50" i="49" s="1"/>
  <c r="AA49" i="49"/>
  <c r="Z49" i="49"/>
  <c r="Y49" i="49"/>
  <c r="AE49" i="49" s="1"/>
  <c r="V49" i="49"/>
  <c r="AC49" i="49" s="1"/>
  <c r="U49" i="49"/>
  <c r="AB49" i="49" s="1"/>
  <c r="Q49" i="49"/>
  <c r="X49" i="49" s="1"/>
  <c r="AA48" i="49"/>
  <c r="Z48" i="49"/>
  <c r="Y48" i="49"/>
  <c r="AE48" i="49" s="1"/>
  <c r="V48" i="49"/>
  <c r="AC48" i="49" s="1"/>
  <c r="U48" i="49"/>
  <c r="AB48" i="49" s="1"/>
  <c r="Q48" i="49"/>
  <c r="X48" i="49" s="1"/>
  <c r="AA47" i="49"/>
  <c r="Z47" i="49"/>
  <c r="Y47" i="49"/>
  <c r="AE47" i="49" s="1"/>
  <c r="V47" i="49"/>
  <c r="AC47" i="49" s="1"/>
  <c r="U47" i="49"/>
  <c r="AB47" i="49" s="1"/>
  <c r="Q47" i="49"/>
  <c r="X47" i="49" s="1"/>
  <c r="AC46" i="49"/>
  <c r="AB46" i="49"/>
  <c r="AA46" i="49"/>
  <c r="Z46" i="49"/>
  <c r="Y46" i="49"/>
  <c r="AE46" i="49" s="1"/>
  <c r="Q46" i="49"/>
  <c r="AA45" i="49"/>
  <c r="Z45" i="49"/>
  <c r="Y45" i="49"/>
  <c r="AE45" i="49" s="1"/>
  <c r="V45" i="49"/>
  <c r="AC45" i="49" s="1"/>
  <c r="U45" i="49"/>
  <c r="AB45" i="49" s="1"/>
  <c r="Q45" i="49"/>
  <c r="X45" i="49" s="1"/>
  <c r="AA44" i="49"/>
  <c r="Z44" i="49"/>
  <c r="Y44" i="49"/>
  <c r="AE44" i="49" s="1"/>
  <c r="X44" i="49"/>
  <c r="V44" i="49"/>
  <c r="AC44" i="49" s="1"/>
  <c r="U44" i="49"/>
  <c r="AB44" i="49" s="1"/>
  <c r="Q44" i="49"/>
  <c r="AA43" i="49"/>
  <c r="Z43" i="49"/>
  <c r="Y43" i="49"/>
  <c r="AE43" i="49" s="1"/>
  <c r="V43" i="49"/>
  <c r="AC43" i="49" s="1"/>
  <c r="U43" i="49"/>
  <c r="AB43" i="49" s="1"/>
  <c r="Q43" i="49"/>
  <c r="X43" i="49" s="1"/>
  <c r="AA42" i="49"/>
  <c r="Z42" i="49"/>
  <c r="Y42" i="49"/>
  <c r="AE42" i="49" s="1"/>
  <c r="V42" i="49"/>
  <c r="AC42" i="49" s="1"/>
  <c r="U42" i="49"/>
  <c r="AB42" i="49" s="1"/>
  <c r="Q42" i="49"/>
  <c r="X42" i="49" s="1"/>
  <c r="AC41" i="49"/>
  <c r="AB41" i="49"/>
  <c r="AA41" i="49"/>
  <c r="Z41" i="49"/>
  <c r="Y41" i="49"/>
  <c r="AE41" i="49" s="1"/>
  <c r="AA40" i="49"/>
  <c r="Z40" i="49"/>
  <c r="Y40" i="49"/>
  <c r="AE40" i="49" s="1"/>
  <c r="V40" i="49"/>
  <c r="AC40" i="49" s="1"/>
  <c r="U40" i="49"/>
  <c r="AB40" i="49" s="1"/>
  <c r="Q40" i="49"/>
  <c r="X40" i="49" s="1"/>
  <c r="AA39" i="49"/>
  <c r="Z39" i="49"/>
  <c r="Y39" i="49"/>
  <c r="AE39" i="49" s="1"/>
  <c r="V39" i="49"/>
  <c r="AC39" i="49" s="1"/>
  <c r="U39" i="49"/>
  <c r="AB39" i="49" s="1"/>
  <c r="Q39" i="49"/>
  <c r="X39" i="49" s="1"/>
  <c r="AA38" i="49"/>
  <c r="Z38" i="49"/>
  <c r="Y38" i="49"/>
  <c r="AE38" i="49" s="1"/>
  <c r="V38" i="49"/>
  <c r="AC38" i="49" s="1"/>
  <c r="U38" i="49"/>
  <c r="AB38" i="49" s="1"/>
  <c r="Q38" i="49"/>
  <c r="X38" i="49" s="1"/>
  <c r="AA37" i="49"/>
  <c r="Z37" i="49"/>
  <c r="Y37" i="49"/>
  <c r="AE37" i="49" s="1"/>
  <c r="V37" i="49"/>
  <c r="AC37" i="49" s="1"/>
  <c r="U37" i="49"/>
  <c r="AB37" i="49" s="1"/>
  <c r="Q37" i="49"/>
  <c r="X37" i="49" s="1"/>
  <c r="AA36" i="49"/>
  <c r="Z36" i="49"/>
  <c r="Y36" i="49"/>
  <c r="AE36" i="49" s="1"/>
  <c r="V36" i="49"/>
  <c r="AC36" i="49" s="1"/>
  <c r="U36" i="49"/>
  <c r="AB36" i="49" s="1"/>
  <c r="Q36" i="49"/>
  <c r="X36" i="49" s="1"/>
  <c r="AA35" i="49"/>
  <c r="Z35" i="49"/>
  <c r="Y35" i="49"/>
  <c r="AE35" i="49" s="1"/>
  <c r="V35" i="49"/>
  <c r="AC35" i="49" s="1"/>
  <c r="U35" i="49"/>
  <c r="AB35" i="49" s="1"/>
  <c r="Q35" i="49"/>
  <c r="X35" i="49" s="1"/>
  <c r="AA34" i="49"/>
  <c r="Z34" i="49"/>
  <c r="Y34" i="49"/>
  <c r="AE34" i="49" s="1"/>
  <c r="V34" i="49"/>
  <c r="U34" i="49"/>
  <c r="Q34" i="49"/>
  <c r="X34" i="49" s="1"/>
  <c r="AE33" i="49"/>
  <c r="U33" i="49"/>
  <c r="Q33" i="49"/>
  <c r="AA32" i="49"/>
  <c r="Z32" i="49"/>
  <c r="Y32" i="49"/>
  <c r="AE32" i="49" s="1"/>
  <c r="V32" i="49"/>
  <c r="AC32" i="49" s="1"/>
  <c r="U32" i="49"/>
  <c r="AB32" i="49" s="1"/>
  <c r="Q32" i="49"/>
  <c r="X32" i="49" s="1"/>
  <c r="AC31" i="49"/>
  <c r="AB31" i="49"/>
  <c r="AA31" i="49"/>
  <c r="Z31" i="49"/>
  <c r="Y31" i="49"/>
  <c r="AE31" i="49" s="1"/>
  <c r="Q31" i="49"/>
  <c r="AA30" i="49"/>
  <c r="Z30" i="49"/>
  <c r="Y30" i="49"/>
  <c r="AA29" i="49"/>
  <c r="Z29" i="49"/>
  <c r="Y29" i="49"/>
  <c r="AE29" i="49" s="1"/>
  <c r="V29" i="49"/>
  <c r="AC29" i="49" s="1"/>
  <c r="U29" i="49"/>
  <c r="AB29" i="49" s="1"/>
  <c r="Q29" i="49"/>
  <c r="X29" i="49" s="1"/>
  <c r="AA28" i="49"/>
  <c r="Z28" i="49"/>
  <c r="Y28" i="49"/>
  <c r="AE28" i="49" s="1"/>
  <c r="V28" i="49"/>
  <c r="AC28" i="49" s="1"/>
  <c r="U28" i="49"/>
  <c r="AB28" i="49" s="1"/>
  <c r="Q28" i="49"/>
  <c r="X28" i="49" s="1"/>
  <c r="AA27" i="49"/>
  <c r="Z27" i="49"/>
  <c r="Y27" i="49"/>
  <c r="AE27" i="49" s="1"/>
  <c r="V27" i="49"/>
  <c r="AC27" i="49" s="1"/>
  <c r="U27" i="49"/>
  <c r="AB27" i="49" s="1"/>
  <c r="Q27" i="49"/>
  <c r="X27" i="49" s="1"/>
  <c r="AA26" i="49"/>
  <c r="Z26" i="49"/>
  <c r="Y26" i="49"/>
  <c r="AE26" i="49" s="1"/>
  <c r="V26" i="49"/>
  <c r="AC26" i="49" s="1"/>
  <c r="U26" i="49"/>
  <c r="AB26" i="49" s="1"/>
  <c r="Q26" i="49"/>
  <c r="X26" i="49" s="1"/>
  <c r="AA25" i="49"/>
  <c r="Z25" i="49"/>
  <c r="Y25" i="49"/>
  <c r="AE25" i="49" s="1"/>
  <c r="V25" i="49"/>
  <c r="AC25" i="49" s="1"/>
  <c r="U25" i="49"/>
  <c r="AB25" i="49" s="1"/>
  <c r="Q25" i="49"/>
  <c r="X25" i="49" s="1"/>
  <c r="AA24" i="49"/>
  <c r="Z24" i="49"/>
  <c r="Y24" i="49"/>
  <c r="AE24" i="49" s="1"/>
  <c r="V24" i="49"/>
  <c r="AC24" i="49" s="1"/>
  <c r="U24" i="49"/>
  <c r="AB24" i="49" s="1"/>
  <c r="Q24" i="49"/>
  <c r="X24" i="49" s="1"/>
  <c r="AA23" i="49"/>
  <c r="Z23" i="49"/>
  <c r="Y23" i="49"/>
  <c r="AE23" i="49" s="1"/>
  <c r="V23" i="49"/>
  <c r="AC23" i="49" s="1"/>
  <c r="U23" i="49"/>
  <c r="AB23" i="49" s="1"/>
  <c r="Q23" i="49"/>
  <c r="X23" i="49" s="1"/>
  <c r="AA22" i="49"/>
  <c r="Z22" i="49"/>
  <c r="Y22" i="49"/>
  <c r="AE22" i="49" s="1"/>
  <c r="V22" i="49"/>
  <c r="AC22" i="49" s="1"/>
  <c r="U22" i="49"/>
  <c r="AB22" i="49" s="1"/>
  <c r="Q22" i="49"/>
  <c r="X22" i="49" s="1"/>
  <c r="AA21" i="49"/>
  <c r="Z21" i="49"/>
  <c r="Y21" i="49"/>
  <c r="AE21" i="49" s="1"/>
  <c r="V21" i="49"/>
  <c r="AC21" i="49" s="1"/>
  <c r="U21" i="49"/>
  <c r="AB21" i="49" s="1"/>
  <c r="Q21" i="49"/>
  <c r="X21" i="49" s="1"/>
  <c r="AA20" i="49"/>
  <c r="Z20" i="49"/>
  <c r="Y20" i="49"/>
  <c r="AE20" i="49" s="1"/>
  <c r="V20" i="49"/>
  <c r="AC20" i="49" s="1"/>
  <c r="U20" i="49"/>
  <c r="AB20" i="49" s="1"/>
  <c r="Q20" i="49"/>
  <c r="X20" i="49" s="1"/>
  <c r="AA19" i="49"/>
  <c r="Z19" i="49"/>
  <c r="Y19" i="49"/>
  <c r="AE19" i="49" s="1"/>
  <c r="V19" i="49"/>
  <c r="AC19" i="49" s="1"/>
  <c r="U19" i="49"/>
  <c r="AB19" i="49" s="1"/>
  <c r="Q19" i="49"/>
  <c r="X19" i="49" s="1"/>
  <c r="AA18" i="49"/>
  <c r="Z18" i="49"/>
  <c r="Y18" i="49"/>
  <c r="AE18" i="49" s="1"/>
  <c r="V18" i="49"/>
  <c r="AC18" i="49" s="1"/>
  <c r="U18" i="49"/>
  <c r="AB18" i="49" s="1"/>
  <c r="Q18" i="49"/>
  <c r="X18" i="49" s="1"/>
  <c r="AA17" i="49"/>
  <c r="Z17" i="49"/>
  <c r="Y17" i="49"/>
  <c r="AE17" i="49" s="1"/>
  <c r="V17" i="49"/>
  <c r="AC17" i="49" s="1"/>
  <c r="U17" i="49"/>
  <c r="AB17" i="49" s="1"/>
  <c r="Q17" i="49"/>
  <c r="X17" i="49" s="1"/>
  <c r="AC16" i="49"/>
  <c r="AA16" i="49"/>
  <c r="Z16" i="49"/>
  <c r="Y16" i="49"/>
  <c r="AE16" i="49" s="1"/>
  <c r="V16" i="49"/>
  <c r="U16" i="49"/>
  <c r="AB16" i="49" s="1"/>
  <c r="Q16" i="49"/>
  <c r="X16" i="49" s="1"/>
  <c r="AE15" i="49"/>
  <c r="AC15" i="49"/>
  <c r="AB15" i="49"/>
  <c r="AA15" i="49"/>
  <c r="Z15" i="49"/>
  <c r="Y15" i="49"/>
  <c r="AA14" i="49"/>
  <c r="Z14" i="49"/>
  <c r="Y14" i="49"/>
  <c r="AE14" i="49" s="1"/>
  <c r="V14" i="49"/>
  <c r="AC14" i="49" s="1"/>
  <c r="U14" i="49"/>
  <c r="AB14" i="49" s="1"/>
  <c r="Q14" i="49"/>
  <c r="X14" i="49" s="1"/>
  <c r="AB102" i="50" l="1"/>
  <c r="AA84" i="49"/>
  <c r="AE76" i="49"/>
  <c r="AE84" i="49" s="1"/>
  <c r="U74" i="49"/>
  <c r="T104" i="49"/>
  <c r="S104" i="49"/>
  <c r="AE74" i="49"/>
  <c r="Z74" i="49"/>
  <c r="Z104" i="49" s="1"/>
  <c r="AA74" i="49"/>
  <c r="Y74" i="49"/>
  <c r="Y104" i="49" s="1"/>
  <c r="U84" i="49"/>
  <c r="R104" i="49"/>
  <c r="U33" i="48"/>
  <c r="U55" i="48"/>
  <c r="U104" i="49" l="1"/>
  <c r="AE104" i="49"/>
  <c r="K106" i="49" s="1"/>
  <c r="AB74" i="49"/>
  <c r="AA104" i="49"/>
  <c r="AB104" i="49" s="1"/>
  <c r="Q33" i="48"/>
  <c r="AE33" i="48"/>
  <c r="T84" i="48" l="1"/>
  <c r="S84" i="48"/>
  <c r="R84" i="48"/>
  <c r="AA79" i="48"/>
  <c r="Z79" i="48"/>
  <c r="Y79" i="48"/>
  <c r="AE79" i="48" s="1"/>
  <c r="V79" i="48"/>
  <c r="AC79" i="48" s="1"/>
  <c r="U79" i="48"/>
  <c r="AB79" i="48" s="1"/>
  <c r="AE78" i="48"/>
  <c r="AA78" i="48"/>
  <c r="AC78" i="48"/>
  <c r="AA77" i="48"/>
  <c r="Z77" i="48"/>
  <c r="Y77" i="48"/>
  <c r="AE77" i="48" s="1"/>
  <c r="V77" i="48"/>
  <c r="AC77" i="48" s="1"/>
  <c r="AA76" i="48"/>
  <c r="Z76" i="48"/>
  <c r="Y76" i="48"/>
  <c r="V76" i="48"/>
  <c r="AC76" i="48" s="1"/>
  <c r="U76" i="48"/>
  <c r="T74" i="48"/>
  <c r="S74" i="48"/>
  <c r="R74" i="48"/>
  <c r="AA73" i="48"/>
  <c r="Z73" i="48"/>
  <c r="Y73" i="48"/>
  <c r="AE73" i="48" s="1"/>
  <c r="V73" i="48"/>
  <c r="AC73" i="48" s="1"/>
  <c r="U73" i="48"/>
  <c r="AB73" i="48" s="1"/>
  <c r="Q73" i="48"/>
  <c r="X73" i="48" s="1"/>
  <c r="AE72" i="48"/>
  <c r="AA72" i="48"/>
  <c r="Z72" i="48"/>
  <c r="Y72" i="48"/>
  <c r="V72" i="48"/>
  <c r="AC72" i="48" s="1"/>
  <c r="U72" i="48"/>
  <c r="AB72" i="48" s="1"/>
  <c r="Q72" i="48"/>
  <c r="X72" i="48" s="1"/>
  <c r="AA71" i="48"/>
  <c r="Z71" i="48"/>
  <c r="Y71" i="48"/>
  <c r="AE71" i="48" s="1"/>
  <c r="V71" i="48"/>
  <c r="AC71" i="48" s="1"/>
  <c r="U71" i="48"/>
  <c r="AB71" i="48" s="1"/>
  <c r="Q71" i="48"/>
  <c r="X71" i="48" s="1"/>
  <c r="AA70" i="48"/>
  <c r="Z70" i="48"/>
  <c r="Y70" i="48"/>
  <c r="AE70" i="48" s="1"/>
  <c r="V70" i="48"/>
  <c r="AC70" i="48" s="1"/>
  <c r="U70" i="48"/>
  <c r="AB70" i="48" s="1"/>
  <c r="Q70" i="48"/>
  <c r="X70" i="48" s="1"/>
  <c r="AA69" i="48"/>
  <c r="Z69" i="48"/>
  <c r="Y69" i="48"/>
  <c r="AE69" i="48" s="1"/>
  <c r="V69" i="48"/>
  <c r="AC69" i="48" s="1"/>
  <c r="Q69" i="48"/>
  <c r="X69" i="48" s="1"/>
  <c r="AA68" i="48"/>
  <c r="Z68" i="48"/>
  <c r="Y68" i="48"/>
  <c r="AE68" i="48" s="1"/>
  <c r="V68" i="48"/>
  <c r="AC68" i="48" s="1"/>
  <c r="U68" i="48"/>
  <c r="AB68" i="48" s="1"/>
  <c r="Q68" i="48"/>
  <c r="X68" i="48" s="1"/>
  <c r="AA67" i="48"/>
  <c r="Z67" i="48"/>
  <c r="Y67" i="48"/>
  <c r="AE67" i="48" s="1"/>
  <c r="V67" i="48"/>
  <c r="AC67" i="48" s="1"/>
  <c r="U67" i="48"/>
  <c r="AB67" i="48" s="1"/>
  <c r="Q67" i="48"/>
  <c r="X67" i="48" s="1"/>
  <c r="AE66" i="48"/>
  <c r="V66" i="48"/>
  <c r="U66" i="48"/>
  <c r="AB66" i="48" s="1"/>
  <c r="Q66" i="48"/>
  <c r="X66" i="48" s="1"/>
  <c r="AE65" i="48"/>
  <c r="V65" i="48"/>
  <c r="U65" i="48"/>
  <c r="AB65" i="48" s="1"/>
  <c r="Q65" i="48"/>
  <c r="X65" i="48" s="1"/>
  <c r="AA64" i="48"/>
  <c r="Z64" i="48"/>
  <c r="Y64" i="48"/>
  <c r="AE64" i="48" s="1"/>
  <c r="V64" i="48"/>
  <c r="AC64" i="48" s="1"/>
  <c r="U64" i="48"/>
  <c r="AB64" i="48" s="1"/>
  <c r="Q64" i="48"/>
  <c r="X64" i="48" s="1"/>
  <c r="AA63" i="48"/>
  <c r="Z63" i="48"/>
  <c r="Y63" i="48"/>
  <c r="AE63" i="48" s="1"/>
  <c r="V63" i="48"/>
  <c r="AC63" i="48" s="1"/>
  <c r="U63" i="48"/>
  <c r="AB63" i="48" s="1"/>
  <c r="Q63" i="48"/>
  <c r="X63" i="48" s="1"/>
  <c r="AA62" i="48"/>
  <c r="Z62" i="48"/>
  <c r="Y62" i="48"/>
  <c r="AE62" i="48" s="1"/>
  <c r="V62" i="48"/>
  <c r="AC62" i="48" s="1"/>
  <c r="U62" i="48"/>
  <c r="AB62" i="48" s="1"/>
  <c r="Q62" i="48"/>
  <c r="X62" i="48" s="1"/>
  <c r="AA61" i="48"/>
  <c r="Z61" i="48"/>
  <c r="Y61" i="48"/>
  <c r="AE61" i="48" s="1"/>
  <c r="V61" i="48"/>
  <c r="AC61" i="48" s="1"/>
  <c r="U61" i="48"/>
  <c r="AB61" i="48" s="1"/>
  <c r="Q61" i="48"/>
  <c r="X61" i="48" s="1"/>
  <c r="AA60" i="48"/>
  <c r="Z60" i="48"/>
  <c r="Y60" i="48"/>
  <c r="AE60" i="48" s="1"/>
  <c r="V60" i="48"/>
  <c r="U60" i="48"/>
  <c r="AB60" i="48" s="1"/>
  <c r="Q60" i="48"/>
  <c r="X60" i="48" s="1"/>
  <c r="AA59" i="48"/>
  <c r="Z59" i="48"/>
  <c r="Y59" i="48"/>
  <c r="AE59" i="48" s="1"/>
  <c r="V59" i="48"/>
  <c r="AC59" i="48" s="1"/>
  <c r="U59" i="48"/>
  <c r="AB59" i="48" s="1"/>
  <c r="Q59" i="48"/>
  <c r="X59" i="48" s="1"/>
  <c r="AB58" i="48"/>
  <c r="AA58" i="48"/>
  <c r="Z58" i="48"/>
  <c r="Y58" i="48"/>
  <c r="AE58" i="48" s="1"/>
  <c r="Q58" i="48"/>
  <c r="AA57" i="48"/>
  <c r="Z57" i="48"/>
  <c r="Y57" i="48"/>
  <c r="AE57" i="48" s="1"/>
  <c r="V57" i="48"/>
  <c r="AC57" i="48" s="1"/>
  <c r="U57" i="48"/>
  <c r="AB57" i="48" s="1"/>
  <c r="Q57" i="48"/>
  <c r="X57" i="48" s="1"/>
  <c r="AA56" i="48"/>
  <c r="Z56" i="48"/>
  <c r="Y56" i="48"/>
  <c r="AE56" i="48" s="1"/>
  <c r="V56" i="48"/>
  <c r="AC56" i="48" s="1"/>
  <c r="U56" i="48"/>
  <c r="AB56" i="48" s="1"/>
  <c r="Q56" i="48"/>
  <c r="X56" i="48" s="1"/>
  <c r="AA55" i="48"/>
  <c r="Z55" i="48"/>
  <c r="Y55" i="48"/>
  <c r="AE55" i="48" s="1"/>
  <c r="AC55" i="48"/>
  <c r="AB55" i="48"/>
  <c r="Q55" i="48"/>
  <c r="AA54" i="48"/>
  <c r="Z54" i="48"/>
  <c r="Y54" i="48"/>
  <c r="AE54" i="48" s="1"/>
  <c r="V54" i="48"/>
  <c r="AC54" i="48" s="1"/>
  <c r="U54" i="48"/>
  <c r="AB54" i="48" s="1"/>
  <c r="Q54" i="48"/>
  <c r="X54" i="48" s="1"/>
  <c r="AA53" i="48"/>
  <c r="Z53" i="48"/>
  <c r="Y53" i="48"/>
  <c r="AE53" i="48" s="1"/>
  <c r="V53" i="48"/>
  <c r="AC53" i="48" s="1"/>
  <c r="U53" i="48"/>
  <c r="AB53" i="48" s="1"/>
  <c r="Q53" i="48"/>
  <c r="X53" i="48" s="1"/>
  <c r="AA52" i="48"/>
  <c r="Z52" i="48"/>
  <c r="Y52" i="48"/>
  <c r="AE52" i="48" s="1"/>
  <c r="V52" i="48"/>
  <c r="AC52" i="48" s="1"/>
  <c r="U52" i="48"/>
  <c r="AB52" i="48" s="1"/>
  <c r="Q52" i="48"/>
  <c r="X52" i="48" s="1"/>
  <c r="AA51" i="48"/>
  <c r="Z51" i="48"/>
  <c r="Y51" i="48"/>
  <c r="AE51" i="48" s="1"/>
  <c r="V51" i="48"/>
  <c r="AC51" i="48" s="1"/>
  <c r="U51" i="48"/>
  <c r="AB51" i="48" s="1"/>
  <c r="Q51" i="48"/>
  <c r="X51" i="48" s="1"/>
  <c r="AA50" i="48"/>
  <c r="Z50" i="48"/>
  <c r="Y50" i="48"/>
  <c r="AE50" i="48" s="1"/>
  <c r="V50" i="48"/>
  <c r="AC50" i="48" s="1"/>
  <c r="U50" i="48"/>
  <c r="AB50" i="48" s="1"/>
  <c r="Q50" i="48"/>
  <c r="X50" i="48" s="1"/>
  <c r="AA49" i="48"/>
  <c r="Z49" i="48"/>
  <c r="Y49" i="48"/>
  <c r="AE49" i="48" s="1"/>
  <c r="V49" i="48"/>
  <c r="AC49" i="48" s="1"/>
  <c r="U49" i="48"/>
  <c r="AB49" i="48" s="1"/>
  <c r="Q49" i="48"/>
  <c r="X49" i="48" s="1"/>
  <c r="AA48" i="48"/>
  <c r="Z48" i="48"/>
  <c r="Y48" i="48"/>
  <c r="AE48" i="48" s="1"/>
  <c r="V48" i="48"/>
  <c r="AC48" i="48" s="1"/>
  <c r="U48" i="48"/>
  <c r="AB48" i="48" s="1"/>
  <c r="Q48" i="48"/>
  <c r="X48" i="48" s="1"/>
  <c r="AA47" i="48"/>
  <c r="Z47" i="48"/>
  <c r="Y47" i="48"/>
  <c r="AE47" i="48" s="1"/>
  <c r="V47" i="48"/>
  <c r="AC47" i="48" s="1"/>
  <c r="U47" i="48"/>
  <c r="AB47" i="48" s="1"/>
  <c r="Q47" i="48"/>
  <c r="X47" i="48" s="1"/>
  <c r="AC46" i="48"/>
  <c r="AB46" i="48"/>
  <c r="AA46" i="48"/>
  <c r="Z46" i="48"/>
  <c r="Y46" i="48"/>
  <c r="AE46" i="48" s="1"/>
  <c r="Q46" i="48"/>
  <c r="AA45" i="48"/>
  <c r="Z45" i="48"/>
  <c r="Y45" i="48"/>
  <c r="AE45" i="48" s="1"/>
  <c r="V45" i="48"/>
  <c r="AC45" i="48" s="1"/>
  <c r="U45" i="48"/>
  <c r="AB45" i="48" s="1"/>
  <c r="Q45" i="48"/>
  <c r="X45" i="48" s="1"/>
  <c r="AA44" i="48"/>
  <c r="Z44" i="48"/>
  <c r="Y44" i="48"/>
  <c r="AE44" i="48" s="1"/>
  <c r="V44" i="48"/>
  <c r="AC44" i="48" s="1"/>
  <c r="U44" i="48"/>
  <c r="AB44" i="48" s="1"/>
  <c r="Q44" i="48"/>
  <c r="X44" i="48" s="1"/>
  <c r="AA43" i="48"/>
  <c r="Z43" i="48"/>
  <c r="Y43" i="48"/>
  <c r="AE43" i="48" s="1"/>
  <c r="V43" i="48"/>
  <c r="AC43" i="48" s="1"/>
  <c r="U43" i="48"/>
  <c r="AB43" i="48" s="1"/>
  <c r="Q43" i="48"/>
  <c r="X43" i="48" s="1"/>
  <c r="AA42" i="48"/>
  <c r="Z42" i="48"/>
  <c r="Y42" i="48"/>
  <c r="AE42" i="48" s="1"/>
  <c r="V42" i="48"/>
  <c r="AC42" i="48" s="1"/>
  <c r="U42" i="48"/>
  <c r="AB42" i="48" s="1"/>
  <c r="Q42" i="48"/>
  <c r="X42" i="48" s="1"/>
  <c r="AC41" i="48"/>
  <c r="AB41" i="48"/>
  <c r="AA41" i="48"/>
  <c r="Z41" i="48"/>
  <c r="Y41" i="48"/>
  <c r="AE41" i="48" s="1"/>
  <c r="AA40" i="48"/>
  <c r="Z40" i="48"/>
  <c r="Y40" i="48"/>
  <c r="AE40" i="48" s="1"/>
  <c r="V40" i="48"/>
  <c r="AC40" i="48" s="1"/>
  <c r="U40" i="48"/>
  <c r="AB40" i="48" s="1"/>
  <c r="Q40" i="48"/>
  <c r="X40" i="48" s="1"/>
  <c r="AB39" i="48"/>
  <c r="AA39" i="48"/>
  <c r="Z39" i="48"/>
  <c r="Y39" i="48"/>
  <c r="AE39" i="48" s="1"/>
  <c r="V39" i="48"/>
  <c r="AC39" i="48" s="1"/>
  <c r="U39" i="48"/>
  <c r="Q39" i="48"/>
  <c r="X39" i="48" s="1"/>
  <c r="AA38" i="48"/>
  <c r="Z38" i="48"/>
  <c r="Y38" i="48"/>
  <c r="AE38" i="48" s="1"/>
  <c r="V38" i="48"/>
  <c r="AC38" i="48" s="1"/>
  <c r="U38" i="48"/>
  <c r="AB38" i="48" s="1"/>
  <c r="Q38" i="48"/>
  <c r="X38" i="48" s="1"/>
  <c r="AA37" i="48"/>
  <c r="Z37" i="48"/>
  <c r="Y37" i="48"/>
  <c r="AE37" i="48" s="1"/>
  <c r="V37" i="48"/>
  <c r="AC37" i="48" s="1"/>
  <c r="U37" i="48"/>
  <c r="AB37" i="48" s="1"/>
  <c r="Q37" i="48"/>
  <c r="X37" i="48" s="1"/>
  <c r="AA36" i="48"/>
  <c r="Z36" i="48"/>
  <c r="Y36" i="48"/>
  <c r="AE36" i="48" s="1"/>
  <c r="V36" i="48"/>
  <c r="AC36" i="48" s="1"/>
  <c r="U36" i="48"/>
  <c r="AB36" i="48" s="1"/>
  <c r="Q36" i="48"/>
  <c r="X36" i="48" s="1"/>
  <c r="AA35" i="48"/>
  <c r="Z35" i="48"/>
  <c r="Y35" i="48"/>
  <c r="AE35" i="48" s="1"/>
  <c r="V35" i="48"/>
  <c r="AC35" i="48" s="1"/>
  <c r="U35" i="48"/>
  <c r="AB35" i="48" s="1"/>
  <c r="Q35" i="48"/>
  <c r="X35" i="48" s="1"/>
  <c r="AA34" i="48"/>
  <c r="Z34" i="48"/>
  <c r="Y34" i="48"/>
  <c r="AE34" i="48" s="1"/>
  <c r="V34" i="48"/>
  <c r="U34" i="48"/>
  <c r="Q34" i="48"/>
  <c r="X34" i="48" s="1"/>
  <c r="AC32" i="48"/>
  <c r="AA32" i="48"/>
  <c r="Z32" i="48"/>
  <c r="Y32" i="48"/>
  <c r="AE32" i="48" s="1"/>
  <c r="V32" i="48"/>
  <c r="U32" i="48"/>
  <c r="AB32" i="48" s="1"/>
  <c r="Q32" i="48"/>
  <c r="X32" i="48" s="1"/>
  <c r="AC31" i="48"/>
  <c r="AB31" i="48"/>
  <c r="AA31" i="48"/>
  <c r="Z31" i="48"/>
  <c r="Y31" i="48"/>
  <c r="AE31" i="48" s="1"/>
  <c r="Q31" i="48"/>
  <c r="AA30" i="48"/>
  <c r="Z30" i="48"/>
  <c r="Y30" i="48"/>
  <c r="AA29" i="48"/>
  <c r="Z29" i="48"/>
  <c r="Y29" i="48"/>
  <c r="AE29" i="48" s="1"/>
  <c r="V29" i="48"/>
  <c r="AC29" i="48" s="1"/>
  <c r="U29" i="48"/>
  <c r="AB29" i="48" s="1"/>
  <c r="Q29" i="48"/>
  <c r="X29" i="48" s="1"/>
  <c r="AA28" i="48"/>
  <c r="Z28" i="48"/>
  <c r="Y28" i="48"/>
  <c r="AE28" i="48" s="1"/>
  <c r="V28" i="48"/>
  <c r="AC28" i="48" s="1"/>
  <c r="U28" i="48"/>
  <c r="AB28" i="48" s="1"/>
  <c r="Q28" i="48"/>
  <c r="X28" i="48" s="1"/>
  <c r="AA27" i="48"/>
  <c r="Z27" i="48"/>
  <c r="Y27" i="48"/>
  <c r="AE27" i="48" s="1"/>
  <c r="V27" i="48"/>
  <c r="AC27" i="48" s="1"/>
  <c r="U27" i="48"/>
  <c r="AB27" i="48" s="1"/>
  <c r="Q27" i="48"/>
  <c r="X27" i="48" s="1"/>
  <c r="AA26" i="48"/>
  <c r="Z26" i="48"/>
  <c r="Y26" i="48"/>
  <c r="AE26" i="48" s="1"/>
  <c r="V26" i="48"/>
  <c r="AC26" i="48" s="1"/>
  <c r="U26" i="48"/>
  <c r="AB26" i="48" s="1"/>
  <c r="Q26" i="48"/>
  <c r="X26" i="48" s="1"/>
  <c r="AA25" i="48"/>
  <c r="Z25" i="48"/>
  <c r="Y25" i="48"/>
  <c r="AE25" i="48" s="1"/>
  <c r="V25" i="48"/>
  <c r="AC25" i="48" s="1"/>
  <c r="U25" i="48"/>
  <c r="AB25" i="48" s="1"/>
  <c r="Q25" i="48"/>
  <c r="X25" i="48" s="1"/>
  <c r="AE24" i="48"/>
  <c r="AA24" i="48"/>
  <c r="Z24" i="48"/>
  <c r="Y24" i="48"/>
  <c r="V24" i="48"/>
  <c r="AC24" i="48" s="1"/>
  <c r="U24" i="48"/>
  <c r="AB24" i="48" s="1"/>
  <c r="Q24" i="48"/>
  <c r="X24" i="48" s="1"/>
  <c r="AA23" i="48"/>
  <c r="Z23" i="48"/>
  <c r="Y23" i="48"/>
  <c r="AE23" i="48" s="1"/>
  <c r="V23" i="48"/>
  <c r="AC23" i="48" s="1"/>
  <c r="U23" i="48"/>
  <c r="AB23" i="48" s="1"/>
  <c r="Q23" i="48"/>
  <c r="X23" i="48" s="1"/>
  <c r="AA22" i="48"/>
  <c r="Z22" i="48"/>
  <c r="Y22" i="48"/>
  <c r="AE22" i="48" s="1"/>
  <c r="V22" i="48"/>
  <c r="AC22" i="48" s="1"/>
  <c r="U22" i="48"/>
  <c r="AB22" i="48" s="1"/>
  <c r="Q22" i="48"/>
  <c r="X22" i="48" s="1"/>
  <c r="AA21" i="48"/>
  <c r="Z21" i="48"/>
  <c r="Y21" i="48"/>
  <c r="AE21" i="48" s="1"/>
  <c r="V21" i="48"/>
  <c r="AC21" i="48" s="1"/>
  <c r="U21" i="48"/>
  <c r="AB21" i="48" s="1"/>
  <c r="Q21" i="48"/>
  <c r="X21" i="48" s="1"/>
  <c r="AA20" i="48"/>
  <c r="Z20" i="48"/>
  <c r="Y20" i="48"/>
  <c r="AE20" i="48" s="1"/>
  <c r="V20" i="48"/>
  <c r="AC20" i="48" s="1"/>
  <c r="U20" i="48"/>
  <c r="AB20" i="48" s="1"/>
  <c r="Q20" i="48"/>
  <c r="X20" i="48" s="1"/>
  <c r="AA19" i="48"/>
  <c r="Z19" i="48"/>
  <c r="Y19" i="48"/>
  <c r="AE19" i="48" s="1"/>
  <c r="V19" i="48"/>
  <c r="AC19" i="48" s="1"/>
  <c r="U19" i="48"/>
  <c r="AB19" i="48" s="1"/>
  <c r="Q19" i="48"/>
  <c r="X19" i="48" s="1"/>
  <c r="AA18" i="48"/>
  <c r="Z18" i="48"/>
  <c r="Y18" i="48"/>
  <c r="AE18" i="48" s="1"/>
  <c r="V18" i="48"/>
  <c r="AC18" i="48" s="1"/>
  <c r="U18" i="48"/>
  <c r="AB18" i="48" s="1"/>
  <c r="Q18" i="48"/>
  <c r="X18" i="48" s="1"/>
  <c r="AA17" i="48"/>
  <c r="Z17" i="48"/>
  <c r="Y17" i="48"/>
  <c r="AE17" i="48" s="1"/>
  <c r="V17" i="48"/>
  <c r="AC17" i="48" s="1"/>
  <c r="U17" i="48"/>
  <c r="AB17" i="48" s="1"/>
  <c r="Q17" i="48"/>
  <c r="X17" i="48" s="1"/>
  <c r="AA16" i="48"/>
  <c r="Z16" i="48"/>
  <c r="Y16" i="48"/>
  <c r="AE16" i="48" s="1"/>
  <c r="V16" i="48"/>
  <c r="AC16" i="48" s="1"/>
  <c r="U16" i="48"/>
  <c r="AB16" i="48" s="1"/>
  <c r="Q16" i="48"/>
  <c r="X16" i="48" s="1"/>
  <c r="AC15" i="48"/>
  <c r="AB15" i="48"/>
  <c r="AA15" i="48"/>
  <c r="Z15" i="48"/>
  <c r="Y15" i="48"/>
  <c r="AE15" i="48" s="1"/>
  <c r="AA14" i="48"/>
  <c r="Z14" i="48"/>
  <c r="Y14" i="48"/>
  <c r="AE14" i="48" s="1"/>
  <c r="V14" i="48"/>
  <c r="AC14" i="48" s="1"/>
  <c r="U14" i="48"/>
  <c r="AB14" i="48" s="1"/>
  <c r="Q14" i="48"/>
  <c r="X14" i="48" s="1"/>
  <c r="AA84" i="48" l="1"/>
  <c r="U84" i="48"/>
  <c r="Y84" i="48"/>
  <c r="Z84" i="48"/>
  <c r="S104" i="48"/>
  <c r="R104" i="48"/>
  <c r="AE76" i="48"/>
  <c r="AE84" i="48" s="1"/>
  <c r="AA74" i="48"/>
  <c r="AA104" i="48" s="1"/>
  <c r="Z74" i="48"/>
  <c r="AE74" i="48"/>
  <c r="Y74" i="48"/>
  <c r="Y104" i="48" s="1"/>
  <c r="T104" i="48"/>
  <c r="U74" i="48"/>
  <c r="AB76" i="48"/>
  <c r="V79" i="47"/>
  <c r="V78" i="47"/>
  <c r="V77" i="47"/>
  <c r="Z104" i="48" l="1"/>
  <c r="U104" i="48"/>
  <c r="AE104" i="48"/>
  <c r="K106" i="48" s="1"/>
  <c r="AB104" i="48"/>
  <c r="AB74" i="48"/>
  <c r="AB66" i="47"/>
  <c r="AB65" i="47"/>
  <c r="V65" i="47"/>
  <c r="V66" i="47"/>
  <c r="U66" i="47"/>
  <c r="U65" i="47"/>
  <c r="Q66" i="47"/>
  <c r="Q65" i="47"/>
  <c r="T84" i="47" l="1"/>
  <c r="S84" i="47"/>
  <c r="R84" i="47"/>
  <c r="AC79" i="47"/>
  <c r="AA79" i="47"/>
  <c r="Z79" i="47"/>
  <c r="Y79" i="47"/>
  <c r="AE79" i="47" s="1"/>
  <c r="U79" i="47"/>
  <c r="AB79" i="47" s="1"/>
  <c r="AC78" i="47"/>
  <c r="AA78" i="47"/>
  <c r="AE78" i="47"/>
  <c r="AC77" i="47"/>
  <c r="AA77" i="47"/>
  <c r="Z77" i="47"/>
  <c r="Y77" i="47"/>
  <c r="AE77" i="47" s="1"/>
  <c r="AA76" i="47"/>
  <c r="Z76" i="47"/>
  <c r="Y76" i="47"/>
  <c r="AE76" i="47" s="1"/>
  <c r="V76" i="47"/>
  <c r="AC76" i="47" s="1"/>
  <c r="U76" i="47"/>
  <c r="T74" i="47"/>
  <c r="S74" i="47"/>
  <c r="R74" i="47"/>
  <c r="AC73" i="47"/>
  <c r="AA73" i="47"/>
  <c r="Z73" i="47"/>
  <c r="Y73" i="47"/>
  <c r="AE73" i="47" s="1"/>
  <c r="V73" i="47"/>
  <c r="U73" i="47"/>
  <c r="AB73" i="47" s="1"/>
  <c r="Q73" i="47"/>
  <c r="X73" i="47" s="1"/>
  <c r="AA72" i="47"/>
  <c r="Z72" i="47"/>
  <c r="Y72" i="47"/>
  <c r="AE72" i="47" s="1"/>
  <c r="V72" i="47"/>
  <c r="AC72" i="47" s="1"/>
  <c r="U72" i="47"/>
  <c r="AB72" i="47" s="1"/>
  <c r="Q72" i="47"/>
  <c r="X72" i="47" s="1"/>
  <c r="AA71" i="47"/>
  <c r="Z71" i="47"/>
  <c r="Y71" i="47"/>
  <c r="AE71" i="47" s="1"/>
  <c r="V71" i="47"/>
  <c r="AC71" i="47" s="1"/>
  <c r="U71" i="47"/>
  <c r="AB71" i="47" s="1"/>
  <c r="Q71" i="47"/>
  <c r="X71" i="47" s="1"/>
  <c r="AA70" i="47"/>
  <c r="Z70" i="47"/>
  <c r="Y70" i="47"/>
  <c r="AE70" i="47" s="1"/>
  <c r="V70" i="47"/>
  <c r="AC70" i="47" s="1"/>
  <c r="U70" i="47"/>
  <c r="AB70" i="47" s="1"/>
  <c r="Q70" i="47"/>
  <c r="X70" i="47" s="1"/>
  <c r="AA69" i="47"/>
  <c r="Z69" i="47"/>
  <c r="Y69" i="47"/>
  <c r="AE69" i="47" s="1"/>
  <c r="V69" i="47"/>
  <c r="AC69" i="47" s="1"/>
  <c r="U69" i="47"/>
  <c r="AB69" i="47" s="1"/>
  <c r="Q69" i="47"/>
  <c r="X69" i="47" s="1"/>
  <c r="AA68" i="47"/>
  <c r="Z68" i="47"/>
  <c r="Y68" i="47"/>
  <c r="AE68" i="47" s="1"/>
  <c r="V68" i="47"/>
  <c r="AC68" i="47" s="1"/>
  <c r="U68" i="47"/>
  <c r="AB68" i="47" s="1"/>
  <c r="Q68" i="47"/>
  <c r="X68" i="47" s="1"/>
  <c r="AA67" i="47"/>
  <c r="Z67" i="47"/>
  <c r="Y67" i="47"/>
  <c r="AE67" i="47" s="1"/>
  <c r="V67" i="47"/>
  <c r="AC67" i="47" s="1"/>
  <c r="U67" i="47"/>
  <c r="AB67" i="47" s="1"/>
  <c r="Q67" i="47"/>
  <c r="X67" i="47" s="1"/>
  <c r="AE66" i="47"/>
  <c r="X66" i="47"/>
  <c r="AE65" i="47"/>
  <c r="X65" i="47"/>
  <c r="AA64" i="47"/>
  <c r="Z64" i="47"/>
  <c r="Y64" i="47"/>
  <c r="AE64" i="47" s="1"/>
  <c r="V64" i="47"/>
  <c r="AC64" i="47" s="1"/>
  <c r="U64" i="47"/>
  <c r="AB64" i="47" s="1"/>
  <c r="Q64" i="47"/>
  <c r="X64" i="47" s="1"/>
  <c r="AB63" i="47"/>
  <c r="AA63" i="47"/>
  <c r="Z63" i="47"/>
  <c r="Y63" i="47"/>
  <c r="AE63" i="47" s="1"/>
  <c r="V63" i="47"/>
  <c r="AC63" i="47" s="1"/>
  <c r="U63" i="47"/>
  <c r="Q63" i="47"/>
  <c r="X63" i="47" s="1"/>
  <c r="AA62" i="47"/>
  <c r="Z62" i="47"/>
  <c r="Y62" i="47"/>
  <c r="AE62" i="47" s="1"/>
  <c r="V62" i="47"/>
  <c r="AC62" i="47" s="1"/>
  <c r="U62" i="47"/>
  <c r="AB62" i="47" s="1"/>
  <c r="Q62" i="47"/>
  <c r="X62" i="47" s="1"/>
  <c r="AA61" i="47"/>
  <c r="Z61" i="47"/>
  <c r="Y61" i="47"/>
  <c r="AE61" i="47" s="1"/>
  <c r="V61" i="47"/>
  <c r="AC61" i="47" s="1"/>
  <c r="U61" i="47"/>
  <c r="AB61" i="47" s="1"/>
  <c r="Q61" i="47"/>
  <c r="X61" i="47" s="1"/>
  <c r="AA60" i="47"/>
  <c r="Z60" i="47"/>
  <c r="Y60" i="47"/>
  <c r="AE60" i="47" s="1"/>
  <c r="V60" i="47"/>
  <c r="U60" i="47"/>
  <c r="AB60" i="47" s="1"/>
  <c r="Q60" i="47"/>
  <c r="X60" i="47" s="1"/>
  <c r="AA59" i="47"/>
  <c r="Z59" i="47"/>
  <c r="Y59" i="47"/>
  <c r="AE59" i="47" s="1"/>
  <c r="V59" i="47"/>
  <c r="AC59" i="47" s="1"/>
  <c r="U59" i="47"/>
  <c r="AB59" i="47" s="1"/>
  <c r="Q59" i="47"/>
  <c r="X59" i="47" s="1"/>
  <c r="AB58" i="47"/>
  <c r="AA58" i="47"/>
  <c r="Z58" i="47"/>
  <c r="Y58" i="47"/>
  <c r="AE58" i="47" s="1"/>
  <c r="Q58" i="47"/>
  <c r="AA57" i="47"/>
  <c r="Z57" i="47"/>
  <c r="Y57" i="47"/>
  <c r="AE57" i="47" s="1"/>
  <c r="V57" i="47"/>
  <c r="AC57" i="47" s="1"/>
  <c r="U57" i="47"/>
  <c r="AB57" i="47" s="1"/>
  <c r="Q57" i="47"/>
  <c r="X57" i="47" s="1"/>
  <c r="AA56" i="47"/>
  <c r="Z56" i="47"/>
  <c r="Y56" i="47"/>
  <c r="AE56" i="47" s="1"/>
  <c r="V56" i="47"/>
  <c r="AC56" i="47" s="1"/>
  <c r="U56" i="47"/>
  <c r="AB56" i="47" s="1"/>
  <c r="Q56" i="47"/>
  <c r="X56" i="47" s="1"/>
  <c r="AA55" i="47"/>
  <c r="Z55" i="47"/>
  <c r="Y55" i="47"/>
  <c r="AE55" i="47" s="1"/>
  <c r="V55" i="47"/>
  <c r="AC55" i="47" s="1"/>
  <c r="U55" i="47"/>
  <c r="AB55" i="47" s="1"/>
  <c r="Q55" i="47"/>
  <c r="X55" i="47" s="1"/>
  <c r="AA54" i="47"/>
  <c r="Z54" i="47"/>
  <c r="Y54" i="47"/>
  <c r="AE54" i="47" s="1"/>
  <c r="V54" i="47"/>
  <c r="AC54" i="47" s="1"/>
  <c r="U54" i="47"/>
  <c r="AB54" i="47" s="1"/>
  <c r="Q54" i="47"/>
  <c r="X54" i="47" s="1"/>
  <c r="AA53" i="47"/>
  <c r="Z53" i="47"/>
  <c r="Y53" i="47"/>
  <c r="AE53" i="47" s="1"/>
  <c r="V53" i="47"/>
  <c r="AC53" i="47" s="1"/>
  <c r="U53" i="47"/>
  <c r="AB53" i="47" s="1"/>
  <c r="Q53" i="47"/>
  <c r="X53" i="47" s="1"/>
  <c r="AA52" i="47"/>
  <c r="Z52" i="47"/>
  <c r="Y52" i="47"/>
  <c r="AE52" i="47" s="1"/>
  <c r="V52" i="47"/>
  <c r="AC52" i="47" s="1"/>
  <c r="U52" i="47"/>
  <c r="AB52" i="47" s="1"/>
  <c r="Q52" i="47"/>
  <c r="AA51" i="47"/>
  <c r="Z51" i="47"/>
  <c r="Y51" i="47"/>
  <c r="AE51" i="47" s="1"/>
  <c r="V51" i="47"/>
  <c r="AC51" i="47" s="1"/>
  <c r="U51" i="47"/>
  <c r="AB51" i="47" s="1"/>
  <c r="Q51" i="47"/>
  <c r="AA50" i="47"/>
  <c r="Z50" i="47"/>
  <c r="Y50" i="47"/>
  <c r="AE50" i="47" s="1"/>
  <c r="V50" i="47"/>
  <c r="AC50" i="47" s="1"/>
  <c r="U50" i="47"/>
  <c r="AB50" i="47" s="1"/>
  <c r="Q50" i="47"/>
  <c r="AA49" i="47"/>
  <c r="Z49" i="47"/>
  <c r="Y49" i="47"/>
  <c r="AE49" i="47" s="1"/>
  <c r="V49" i="47"/>
  <c r="AC49" i="47" s="1"/>
  <c r="U49" i="47"/>
  <c r="AB49" i="47" s="1"/>
  <c r="Q49" i="47"/>
  <c r="AA48" i="47"/>
  <c r="Z48" i="47"/>
  <c r="Y48" i="47"/>
  <c r="AE48" i="47" s="1"/>
  <c r="V48" i="47"/>
  <c r="AC48" i="47" s="1"/>
  <c r="U48" i="47"/>
  <c r="AB48" i="47" s="1"/>
  <c r="Q48" i="47"/>
  <c r="AA47" i="47"/>
  <c r="Z47" i="47"/>
  <c r="Y47" i="47"/>
  <c r="AE47" i="47" s="1"/>
  <c r="V47" i="47"/>
  <c r="AC47" i="47" s="1"/>
  <c r="U47" i="47"/>
  <c r="AB47" i="47" s="1"/>
  <c r="Q47" i="47"/>
  <c r="X47" i="47" s="1"/>
  <c r="AC46" i="47"/>
  <c r="AB46" i="47"/>
  <c r="AA46" i="47"/>
  <c r="Z46" i="47"/>
  <c r="Y46" i="47"/>
  <c r="AE46" i="47" s="1"/>
  <c r="Q46" i="47"/>
  <c r="AA45" i="47"/>
  <c r="Z45" i="47"/>
  <c r="Y45" i="47"/>
  <c r="AE45" i="47" s="1"/>
  <c r="V45" i="47"/>
  <c r="AC45" i="47" s="1"/>
  <c r="U45" i="47"/>
  <c r="AB45" i="47" s="1"/>
  <c r="Q45" i="47"/>
  <c r="X45" i="47" s="1"/>
  <c r="AA44" i="47"/>
  <c r="Z44" i="47"/>
  <c r="Y44" i="47"/>
  <c r="AE44" i="47" s="1"/>
  <c r="V44" i="47"/>
  <c r="AC44" i="47" s="1"/>
  <c r="U44" i="47"/>
  <c r="AB44" i="47" s="1"/>
  <c r="Q44" i="47"/>
  <c r="X44" i="47" s="1"/>
  <c r="AA43" i="47"/>
  <c r="Z43" i="47"/>
  <c r="Y43" i="47"/>
  <c r="AE43" i="47" s="1"/>
  <c r="V43" i="47"/>
  <c r="AC43" i="47" s="1"/>
  <c r="U43" i="47"/>
  <c r="AB43" i="47" s="1"/>
  <c r="Q43" i="47"/>
  <c r="X43" i="47" s="1"/>
  <c r="AA42" i="47"/>
  <c r="Z42" i="47"/>
  <c r="Y42" i="47"/>
  <c r="AE42" i="47" s="1"/>
  <c r="V42" i="47"/>
  <c r="AC42" i="47" s="1"/>
  <c r="U42" i="47"/>
  <c r="AB42" i="47" s="1"/>
  <c r="Q42" i="47"/>
  <c r="X42" i="47" s="1"/>
  <c r="AE41" i="47"/>
  <c r="AC41" i="47"/>
  <c r="AB41" i="47"/>
  <c r="AA41" i="47"/>
  <c r="Z41" i="47"/>
  <c r="Y41" i="47"/>
  <c r="AA40" i="47"/>
  <c r="Z40" i="47"/>
  <c r="Y40" i="47"/>
  <c r="AE40" i="47" s="1"/>
  <c r="V40" i="47"/>
  <c r="AC40" i="47" s="1"/>
  <c r="U40" i="47"/>
  <c r="AB40" i="47" s="1"/>
  <c r="Q40" i="47"/>
  <c r="X40" i="47" s="1"/>
  <c r="AA39" i="47"/>
  <c r="Z39" i="47"/>
  <c r="Y39" i="47"/>
  <c r="AE39" i="47" s="1"/>
  <c r="V39" i="47"/>
  <c r="AC39" i="47" s="1"/>
  <c r="U39" i="47"/>
  <c r="AB39" i="47" s="1"/>
  <c r="Q39" i="47"/>
  <c r="X39" i="47" s="1"/>
  <c r="AA38" i="47"/>
  <c r="Z38" i="47"/>
  <c r="Y38" i="47"/>
  <c r="AE38" i="47" s="1"/>
  <c r="V38" i="47"/>
  <c r="AC38" i="47" s="1"/>
  <c r="U38" i="47"/>
  <c r="AB38" i="47" s="1"/>
  <c r="Q38" i="47"/>
  <c r="X38" i="47" s="1"/>
  <c r="AA37" i="47"/>
  <c r="Z37" i="47"/>
  <c r="Y37" i="47"/>
  <c r="AE37" i="47" s="1"/>
  <c r="V37" i="47"/>
  <c r="AC37" i="47" s="1"/>
  <c r="U37" i="47"/>
  <c r="AB37" i="47" s="1"/>
  <c r="Q37" i="47"/>
  <c r="X37" i="47" s="1"/>
  <c r="AA36" i="47"/>
  <c r="Z36" i="47"/>
  <c r="Y36" i="47"/>
  <c r="AE36" i="47" s="1"/>
  <c r="V36" i="47"/>
  <c r="AC36" i="47" s="1"/>
  <c r="U36" i="47"/>
  <c r="AB36" i="47" s="1"/>
  <c r="Q36" i="47"/>
  <c r="AA35" i="47"/>
  <c r="Z35" i="47"/>
  <c r="Y35" i="47"/>
  <c r="AE35" i="47" s="1"/>
  <c r="V35" i="47"/>
  <c r="AC35" i="47" s="1"/>
  <c r="U35" i="47"/>
  <c r="AB35" i="47" s="1"/>
  <c r="Q35" i="47"/>
  <c r="X35" i="47" s="1"/>
  <c r="AA34" i="47"/>
  <c r="Z34" i="47"/>
  <c r="Y34" i="47"/>
  <c r="AE34" i="47" s="1"/>
  <c r="V34" i="47"/>
  <c r="U34" i="47"/>
  <c r="Q34" i="47"/>
  <c r="X34" i="47" s="1"/>
  <c r="AE33" i="47"/>
  <c r="V33" i="47"/>
  <c r="U33" i="47"/>
  <c r="Q33" i="47"/>
  <c r="AA32" i="47"/>
  <c r="Z32" i="47"/>
  <c r="Y32" i="47"/>
  <c r="AE32" i="47" s="1"/>
  <c r="V32" i="47"/>
  <c r="AC32" i="47" s="1"/>
  <c r="U32" i="47"/>
  <c r="AB32" i="47" s="1"/>
  <c r="Q32" i="47"/>
  <c r="X32" i="47" s="1"/>
  <c r="AE31" i="47"/>
  <c r="AC31" i="47"/>
  <c r="AB31" i="47"/>
  <c r="AA31" i="47"/>
  <c r="Z31" i="47"/>
  <c r="Y31" i="47"/>
  <c r="Q31" i="47"/>
  <c r="AA30" i="47"/>
  <c r="Z30" i="47"/>
  <c r="Y30" i="47"/>
  <c r="AA29" i="47"/>
  <c r="Z29" i="47"/>
  <c r="Y29" i="47"/>
  <c r="AE29" i="47" s="1"/>
  <c r="V29" i="47"/>
  <c r="AC29" i="47" s="1"/>
  <c r="U29" i="47"/>
  <c r="AB29" i="47" s="1"/>
  <c r="Q29" i="47"/>
  <c r="X29" i="47" s="1"/>
  <c r="AA28" i="47"/>
  <c r="Z28" i="47"/>
  <c r="Y28" i="47"/>
  <c r="AE28" i="47" s="1"/>
  <c r="V28" i="47"/>
  <c r="AC28" i="47" s="1"/>
  <c r="U28" i="47"/>
  <c r="AB28" i="47" s="1"/>
  <c r="Q28" i="47"/>
  <c r="X28" i="47" s="1"/>
  <c r="AA27" i="47"/>
  <c r="Z27" i="47"/>
  <c r="Y27" i="47"/>
  <c r="AE27" i="47" s="1"/>
  <c r="V27" i="47"/>
  <c r="AC27" i="47" s="1"/>
  <c r="U27" i="47"/>
  <c r="AB27" i="47" s="1"/>
  <c r="Q27" i="47"/>
  <c r="X27" i="47" s="1"/>
  <c r="AA26" i="47"/>
  <c r="Z26" i="47"/>
  <c r="Y26" i="47"/>
  <c r="AE26" i="47" s="1"/>
  <c r="V26" i="47"/>
  <c r="AC26" i="47" s="1"/>
  <c r="U26" i="47"/>
  <c r="AB26" i="47" s="1"/>
  <c r="Q26" i="47"/>
  <c r="X26" i="47" s="1"/>
  <c r="AA25" i="47"/>
  <c r="Z25" i="47"/>
  <c r="Y25" i="47"/>
  <c r="AE25" i="47" s="1"/>
  <c r="V25" i="47"/>
  <c r="AC25" i="47" s="1"/>
  <c r="U25" i="47"/>
  <c r="AB25" i="47" s="1"/>
  <c r="Q25" i="47"/>
  <c r="X25" i="47" s="1"/>
  <c r="AA24" i="47"/>
  <c r="Z24" i="47"/>
  <c r="Y24" i="47"/>
  <c r="AE24" i="47" s="1"/>
  <c r="V24" i="47"/>
  <c r="AC24" i="47" s="1"/>
  <c r="U24" i="47"/>
  <c r="AB24" i="47" s="1"/>
  <c r="Q24" i="47"/>
  <c r="X24" i="47" s="1"/>
  <c r="AA23" i="47"/>
  <c r="Z23" i="47"/>
  <c r="Y23" i="47"/>
  <c r="AE23" i="47" s="1"/>
  <c r="V23" i="47"/>
  <c r="AC23" i="47" s="1"/>
  <c r="U23" i="47"/>
  <c r="AB23" i="47" s="1"/>
  <c r="Q23" i="47"/>
  <c r="X23" i="47" s="1"/>
  <c r="AA22" i="47"/>
  <c r="Z22" i="47"/>
  <c r="Y22" i="47"/>
  <c r="AE22" i="47" s="1"/>
  <c r="V22" i="47"/>
  <c r="AC22" i="47" s="1"/>
  <c r="U22" i="47"/>
  <c r="AB22" i="47" s="1"/>
  <c r="Q22" i="47"/>
  <c r="X22" i="47" s="1"/>
  <c r="AA21" i="47"/>
  <c r="Z21" i="47"/>
  <c r="Y21" i="47"/>
  <c r="AE21" i="47" s="1"/>
  <c r="V21" i="47"/>
  <c r="AC21" i="47" s="1"/>
  <c r="U21" i="47"/>
  <c r="AB21" i="47" s="1"/>
  <c r="Q21" i="47"/>
  <c r="X21" i="47" s="1"/>
  <c r="AA20" i="47"/>
  <c r="Z20" i="47"/>
  <c r="Y20" i="47"/>
  <c r="AE20" i="47" s="1"/>
  <c r="V20" i="47"/>
  <c r="AC20" i="47" s="1"/>
  <c r="U20" i="47"/>
  <c r="AB20" i="47" s="1"/>
  <c r="Q20" i="47"/>
  <c r="X20" i="47" s="1"/>
  <c r="AA19" i="47"/>
  <c r="Z19" i="47"/>
  <c r="Y19" i="47"/>
  <c r="AE19" i="47" s="1"/>
  <c r="V19" i="47"/>
  <c r="AC19" i="47" s="1"/>
  <c r="U19" i="47"/>
  <c r="AB19" i="47" s="1"/>
  <c r="Q19" i="47"/>
  <c r="X19" i="47" s="1"/>
  <c r="AA18" i="47"/>
  <c r="Z18" i="47"/>
  <c r="Y18" i="47"/>
  <c r="AE18" i="47" s="1"/>
  <c r="V18" i="47"/>
  <c r="AC18" i="47" s="1"/>
  <c r="U18" i="47"/>
  <c r="AB18" i="47" s="1"/>
  <c r="Q18" i="47"/>
  <c r="X18" i="47" s="1"/>
  <c r="AA17" i="47"/>
  <c r="Z17" i="47"/>
  <c r="Y17" i="47"/>
  <c r="AE17" i="47" s="1"/>
  <c r="V17" i="47"/>
  <c r="AC17" i="47" s="1"/>
  <c r="U17" i="47"/>
  <c r="AB17" i="47" s="1"/>
  <c r="Q17" i="47"/>
  <c r="X17" i="47" s="1"/>
  <c r="AA16" i="47"/>
  <c r="Z16" i="47"/>
  <c r="Y16" i="47"/>
  <c r="AE16" i="47" s="1"/>
  <c r="V16" i="47"/>
  <c r="AC16" i="47" s="1"/>
  <c r="U16" i="47"/>
  <c r="AB16" i="47" s="1"/>
  <c r="Q16" i="47"/>
  <c r="X16" i="47" s="1"/>
  <c r="AC15" i="47"/>
  <c r="AB15" i="47"/>
  <c r="AA15" i="47"/>
  <c r="Z15" i="47"/>
  <c r="Y15" i="47"/>
  <c r="AE15" i="47" s="1"/>
  <c r="AA14" i="47"/>
  <c r="Z14" i="47"/>
  <c r="Y14" i="47"/>
  <c r="X14" i="47"/>
  <c r="V14" i="47"/>
  <c r="AC14" i="47" s="1"/>
  <c r="U14" i="47"/>
  <c r="AB14" i="47" s="1"/>
  <c r="Q14" i="47"/>
  <c r="AA84" i="47" l="1"/>
  <c r="Y84" i="47"/>
  <c r="U84" i="47"/>
  <c r="Z84" i="47"/>
  <c r="R104" i="47"/>
  <c r="S104" i="47"/>
  <c r="U74" i="47"/>
  <c r="AA74" i="47"/>
  <c r="Y74" i="47"/>
  <c r="Y104" i="47" s="1"/>
  <c r="T104" i="47"/>
  <c r="Z74" i="47"/>
  <c r="AE14" i="47"/>
  <c r="AE74" i="47"/>
  <c r="AE84" i="47"/>
  <c r="AB76" i="47"/>
  <c r="Y77" i="46"/>
  <c r="Z77" i="46"/>
  <c r="AA77" i="46"/>
  <c r="Y78" i="46"/>
  <c r="Z78" i="46"/>
  <c r="AA78" i="46"/>
  <c r="Y79" i="46"/>
  <c r="Z79" i="46"/>
  <c r="AA79" i="46"/>
  <c r="Z76" i="46"/>
  <c r="AA76" i="46"/>
  <c r="Y76" i="46"/>
  <c r="Y68" i="46"/>
  <c r="Z68" i="46"/>
  <c r="AA68" i="46"/>
  <c r="Y69" i="46"/>
  <c r="Z69" i="46"/>
  <c r="AA69" i="46"/>
  <c r="Y70" i="46"/>
  <c r="Z70" i="46"/>
  <c r="AA70" i="46"/>
  <c r="Y71" i="46"/>
  <c r="Z71" i="46"/>
  <c r="AA71" i="46"/>
  <c r="Y72" i="46"/>
  <c r="Z72" i="46"/>
  <c r="AA72" i="46"/>
  <c r="Y73" i="46"/>
  <c r="Z73" i="46"/>
  <c r="AA73" i="46"/>
  <c r="AA67" i="46"/>
  <c r="Z67" i="46"/>
  <c r="Y67" i="46"/>
  <c r="Y60" i="46"/>
  <c r="Z60" i="46"/>
  <c r="AA60" i="46"/>
  <c r="Y61" i="46"/>
  <c r="Z61" i="46"/>
  <c r="AA61" i="46"/>
  <c r="Y62" i="46"/>
  <c r="Z62" i="46"/>
  <c r="AA62" i="46"/>
  <c r="Y63" i="46"/>
  <c r="Z63" i="46"/>
  <c r="AA63" i="46"/>
  <c r="Y64" i="46"/>
  <c r="Z64" i="46"/>
  <c r="AA64" i="46"/>
  <c r="AA59" i="46"/>
  <c r="Z59" i="46"/>
  <c r="Y59" i="46"/>
  <c r="AA57" i="46"/>
  <c r="Z57" i="46"/>
  <c r="Y57" i="46"/>
  <c r="Y48" i="46"/>
  <c r="Z48" i="46"/>
  <c r="AA48" i="46"/>
  <c r="Y49" i="46"/>
  <c r="Z49" i="46"/>
  <c r="AA49" i="46"/>
  <c r="Y50" i="46"/>
  <c r="Z50" i="46"/>
  <c r="AA50" i="46"/>
  <c r="Y51" i="46"/>
  <c r="Z51" i="46"/>
  <c r="AA51" i="46"/>
  <c r="Y52" i="46"/>
  <c r="Z52" i="46"/>
  <c r="AA52" i="46"/>
  <c r="Y53" i="46"/>
  <c r="Z53" i="46"/>
  <c r="AA53" i="46"/>
  <c r="Y54" i="46"/>
  <c r="Z54" i="46"/>
  <c r="AA54" i="46"/>
  <c r="AA47" i="46"/>
  <c r="Z47" i="46"/>
  <c r="Y47" i="46"/>
  <c r="Y43" i="46"/>
  <c r="Z43" i="46"/>
  <c r="AA43" i="46"/>
  <c r="Y44" i="46"/>
  <c r="Z44" i="46"/>
  <c r="AA44" i="46"/>
  <c r="Y45" i="46"/>
  <c r="Z45" i="46"/>
  <c r="AA45" i="46"/>
  <c r="AA42" i="46"/>
  <c r="Z42" i="46"/>
  <c r="Y42" i="46"/>
  <c r="Y34" i="46"/>
  <c r="Z34" i="46"/>
  <c r="AA34" i="46"/>
  <c r="Y35" i="46"/>
  <c r="Z35" i="46"/>
  <c r="AA35" i="46"/>
  <c r="Y36" i="46"/>
  <c r="Z36" i="46"/>
  <c r="AA36" i="46"/>
  <c r="Y37" i="46"/>
  <c r="Z37" i="46"/>
  <c r="AA37" i="46"/>
  <c r="Y38" i="46"/>
  <c r="Z38" i="46"/>
  <c r="AA38" i="46"/>
  <c r="Y39" i="46"/>
  <c r="Z39" i="46"/>
  <c r="AA39" i="46"/>
  <c r="Y40" i="46"/>
  <c r="Z40" i="46"/>
  <c r="AA40" i="46"/>
  <c r="AA33" i="46"/>
  <c r="Z33" i="46"/>
  <c r="Y33" i="46"/>
  <c r="Y17" i="46"/>
  <c r="Z17" i="46"/>
  <c r="AA17" i="46"/>
  <c r="Y18" i="46"/>
  <c r="Z18" i="46"/>
  <c r="AA18" i="46"/>
  <c r="Y19" i="46"/>
  <c r="Z19" i="46"/>
  <c r="AA19" i="46"/>
  <c r="Y20" i="46"/>
  <c r="Z20" i="46"/>
  <c r="AA20" i="46"/>
  <c r="Y21" i="46"/>
  <c r="Z21" i="46"/>
  <c r="AA21" i="46"/>
  <c r="Y22" i="46"/>
  <c r="Z22" i="46"/>
  <c r="AA22" i="46"/>
  <c r="Y23" i="46"/>
  <c r="Z23" i="46"/>
  <c r="AA23" i="46"/>
  <c r="Y24" i="46"/>
  <c r="Z24" i="46"/>
  <c r="AA24" i="46"/>
  <c r="Y25" i="46"/>
  <c r="Z25" i="46"/>
  <c r="AA25" i="46"/>
  <c r="Y26" i="46"/>
  <c r="Z26" i="46"/>
  <c r="AA26" i="46"/>
  <c r="Y27" i="46"/>
  <c r="Z27" i="46"/>
  <c r="AA27" i="46"/>
  <c r="Y28" i="46"/>
  <c r="Z28" i="46"/>
  <c r="AA28" i="46"/>
  <c r="Y29" i="46"/>
  <c r="Z29" i="46"/>
  <c r="AA29" i="46"/>
  <c r="AA16" i="46"/>
  <c r="Z16" i="46"/>
  <c r="Y16" i="46"/>
  <c r="Z14" i="46"/>
  <c r="AA14" i="46"/>
  <c r="Y14" i="46"/>
  <c r="AA104" i="47" l="1"/>
  <c r="Z104" i="47"/>
  <c r="U104" i="47"/>
  <c r="AB104" i="47"/>
  <c r="AB74" i="47"/>
  <c r="AE104" i="47"/>
  <c r="K106" i="47" s="1"/>
  <c r="X65" i="46"/>
  <c r="X66" i="46"/>
  <c r="Y30" i="46" l="1"/>
  <c r="Z30" i="46"/>
  <c r="AA30" i="46"/>
  <c r="Y31" i="46"/>
  <c r="Z31" i="46"/>
  <c r="AA31" i="46"/>
  <c r="Y32" i="46"/>
  <c r="Z32" i="46"/>
  <c r="AA32" i="46"/>
  <c r="Y15" i="46"/>
  <c r="Z15" i="46"/>
  <c r="AA15" i="46"/>
  <c r="AA58" i="46"/>
  <c r="Z58" i="46"/>
  <c r="Y58" i="46"/>
  <c r="AA56" i="46"/>
  <c r="Z56" i="46"/>
  <c r="Y56" i="46"/>
  <c r="AA55" i="46"/>
  <c r="Z55" i="46"/>
  <c r="Y55" i="46"/>
  <c r="AC78" i="46"/>
  <c r="AC77" i="46"/>
  <c r="V79" i="46" l="1"/>
  <c r="V76" i="46"/>
  <c r="V60" i="46" l="1"/>
  <c r="U60" i="46"/>
  <c r="AB60" i="46" s="1"/>
  <c r="V54" i="46"/>
  <c r="AC54" i="46" s="1"/>
  <c r="U54" i="46"/>
  <c r="AB54" i="46" s="1"/>
  <c r="U36" i="46"/>
  <c r="U33" i="46"/>
  <c r="U22" i="46"/>
  <c r="T84" i="46" l="1"/>
  <c r="S84" i="46"/>
  <c r="R84" i="46"/>
  <c r="AC79" i="46"/>
  <c r="AE79" i="46"/>
  <c r="U79" i="46"/>
  <c r="AE78" i="46"/>
  <c r="AE77" i="46"/>
  <c r="AC76" i="46"/>
  <c r="AA84" i="46"/>
  <c r="U76" i="46"/>
  <c r="AB76" i="46" s="1"/>
  <c r="T74" i="46"/>
  <c r="S74" i="46"/>
  <c r="R74" i="46"/>
  <c r="AE73" i="46"/>
  <c r="V73" i="46"/>
  <c r="AC73" i="46" s="1"/>
  <c r="U73" i="46"/>
  <c r="AB73" i="46" s="1"/>
  <c r="Q73" i="46"/>
  <c r="X73" i="46" s="1"/>
  <c r="AE72" i="46"/>
  <c r="V72" i="46"/>
  <c r="AC72" i="46" s="1"/>
  <c r="U72" i="46"/>
  <c r="AB72" i="46" s="1"/>
  <c r="Q72" i="46"/>
  <c r="X72" i="46" s="1"/>
  <c r="AE71" i="46"/>
  <c r="V71" i="46"/>
  <c r="AC71" i="46" s="1"/>
  <c r="U71" i="46"/>
  <c r="AB71" i="46" s="1"/>
  <c r="Q71" i="46"/>
  <c r="X71" i="46" s="1"/>
  <c r="AE70" i="46"/>
  <c r="V70" i="46"/>
  <c r="AC70" i="46" s="1"/>
  <c r="U70" i="46"/>
  <c r="AB70" i="46" s="1"/>
  <c r="Q70" i="46"/>
  <c r="X70" i="46" s="1"/>
  <c r="AE69" i="46"/>
  <c r="V69" i="46"/>
  <c r="AC69" i="46" s="1"/>
  <c r="U69" i="46"/>
  <c r="AB69" i="46" s="1"/>
  <c r="Q69" i="46"/>
  <c r="X69" i="46" s="1"/>
  <c r="AE68" i="46"/>
  <c r="V68" i="46"/>
  <c r="AC68" i="46" s="1"/>
  <c r="U68" i="46"/>
  <c r="AB68" i="46" s="1"/>
  <c r="Q68" i="46"/>
  <c r="X68" i="46" s="1"/>
  <c r="AE67" i="46"/>
  <c r="V67" i="46"/>
  <c r="AC67" i="46" s="1"/>
  <c r="U67" i="46"/>
  <c r="AB67" i="46" s="1"/>
  <c r="Q67" i="46"/>
  <c r="X67" i="46" s="1"/>
  <c r="AE66" i="46"/>
  <c r="AE65" i="46"/>
  <c r="AE64" i="46"/>
  <c r="V64" i="46"/>
  <c r="AC64" i="46" s="1"/>
  <c r="U64" i="46"/>
  <c r="AB64" i="46" s="1"/>
  <c r="Q64" i="46"/>
  <c r="X64" i="46" s="1"/>
  <c r="AE63" i="46"/>
  <c r="V63" i="46"/>
  <c r="AC63" i="46" s="1"/>
  <c r="U63" i="46"/>
  <c r="AB63" i="46" s="1"/>
  <c r="Q63" i="46"/>
  <c r="X63" i="46" s="1"/>
  <c r="AE62" i="46"/>
  <c r="V62" i="46"/>
  <c r="AC62" i="46" s="1"/>
  <c r="U62" i="46"/>
  <c r="AB62" i="46" s="1"/>
  <c r="Q62" i="46"/>
  <c r="X62" i="46" s="1"/>
  <c r="AE61" i="46"/>
  <c r="V61" i="46"/>
  <c r="AC61" i="46" s="1"/>
  <c r="U61" i="46"/>
  <c r="AB61" i="46" s="1"/>
  <c r="Q61" i="46"/>
  <c r="X61" i="46" s="1"/>
  <c r="AE60" i="46"/>
  <c r="Q60" i="46"/>
  <c r="X60" i="46" s="1"/>
  <c r="AE59" i="46"/>
  <c r="V59" i="46"/>
  <c r="AC59" i="46" s="1"/>
  <c r="U59" i="46"/>
  <c r="AB59" i="46" s="1"/>
  <c r="Q59" i="46"/>
  <c r="X59" i="46" s="1"/>
  <c r="AB58" i="46"/>
  <c r="AE58" i="46"/>
  <c r="Q58" i="46"/>
  <c r="AE57" i="46"/>
  <c r="V57" i="46"/>
  <c r="AC57" i="46" s="1"/>
  <c r="U57" i="46"/>
  <c r="AB57" i="46" s="1"/>
  <c r="Q57" i="46"/>
  <c r="X57" i="46" s="1"/>
  <c r="AE56" i="46"/>
  <c r="V56" i="46"/>
  <c r="AC56" i="46" s="1"/>
  <c r="U56" i="46"/>
  <c r="AB56" i="46" s="1"/>
  <c r="Q56" i="46"/>
  <c r="X56" i="46" s="1"/>
  <c r="AE55" i="46"/>
  <c r="V55" i="46"/>
  <c r="AC55" i="46" s="1"/>
  <c r="U55" i="46"/>
  <c r="AB55" i="46" s="1"/>
  <c r="Q55" i="46"/>
  <c r="X55" i="46" s="1"/>
  <c r="AE54" i="46"/>
  <c r="Q54" i="46"/>
  <c r="X54" i="46" s="1"/>
  <c r="AE53" i="46"/>
  <c r="V53" i="46"/>
  <c r="AC53" i="46" s="1"/>
  <c r="U53" i="46"/>
  <c r="AB53" i="46" s="1"/>
  <c r="Q53" i="46"/>
  <c r="X53" i="46" s="1"/>
  <c r="AE52" i="46"/>
  <c r="V52" i="46"/>
  <c r="AC52" i="46" s="1"/>
  <c r="U52" i="46"/>
  <c r="AB52" i="46" s="1"/>
  <c r="Q52" i="46"/>
  <c r="AE51" i="46"/>
  <c r="V51" i="46"/>
  <c r="AC51" i="46" s="1"/>
  <c r="U51" i="46"/>
  <c r="AB51" i="46" s="1"/>
  <c r="Q51" i="46"/>
  <c r="AE50" i="46"/>
  <c r="V50" i="46"/>
  <c r="AC50" i="46" s="1"/>
  <c r="U50" i="46"/>
  <c r="AB50" i="46" s="1"/>
  <c r="Q50" i="46"/>
  <c r="AE49" i="46"/>
  <c r="V49" i="46"/>
  <c r="AC49" i="46" s="1"/>
  <c r="U49" i="46"/>
  <c r="AB49" i="46" s="1"/>
  <c r="Q49" i="46"/>
  <c r="AE48" i="46"/>
  <c r="V48" i="46"/>
  <c r="AC48" i="46" s="1"/>
  <c r="U48" i="46"/>
  <c r="AB48" i="46" s="1"/>
  <c r="Q48" i="46"/>
  <c r="AE47" i="46"/>
  <c r="V47" i="46"/>
  <c r="AC47" i="46" s="1"/>
  <c r="U47" i="46"/>
  <c r="AB47" i="46" s="1"/>
  <c r="Q47" i="46"/>
  <c r="X47" i="46" s="1"/>
  <c r="AC46" i="46"/>
  <c r="AB46" i="46"/>
  <c r="AA46" i="46"/>
  <c r="Z46" i="46"/>
  <c r="Y46" i="46"/>
  <c r="AE46" i="46" s="1"/>
  <c r="Q46" i="46"/>
  <c r="AE45" i="46"/>
  <c r="V45" i="46"/>
  <c r="AC45" i="46" s="1"/>
  <c r="U45" i="46"/>
  <c r="AB45" i="46" s="1"/>
  <c r="Q45" i="46"/>
  <c r="X45" i="46" s="1"/>
  <c r="AE44" i="46"/>
  <c r="V44" i="46"/>
  <c r="AC44" i="46" s="1"/>
  <c r="U44" i="46"/>
  <c r="AB44" i="46" s="1"/>
  <c r="Q44" i="46"/>
  <c r="X44" i="46" s="1"/>
  <c r="AE43" i="46"/>
  <c r="V43" i="46"/>
  <c r="AC43" i="46" s="1"/>
  <c r="U43" i="46"/>
  <c r="AB43" i="46" s="1"/>
  <c r="Q43" i="46"/>
  <c r="X43" i="46" s="1"/>
  <c r="AE42" i="46"/>
  <c r="V42" i="46"/>
  <c r="AC42" i="46" s="1"/>
  <c r="U42" i="46"/>
  <c r="AB42" i="46" s="1"/>
  <c r="Q42" i="46"/>
  <c r="X42" i="46" s="1"/>
  <c r="AC41" i="46"/>
  <c r="AB41" i="46"/>
  <c r="AA41" i="46"/>
  <c r="Z41" i="46"/>
  <c r="Y41" i="46"/>
  <c r="AE41" i="46" s="1"/>
  <c r="AE40" i="46"/>
  <c r="V40" i="46"/>
  <c r="AC40" i="46" s="1"/>
  <c r="U40" i="46"/>
  <c r="AB40" i="46" s="1"/>
  <c r="Q40" i="46"/>
  <c r="X40" i="46" s="1"/>
  <c r="AE39" i="46"/>
  <c r="V39" i="46"/>
  <c r="AC39" i="46" s="1"/>
  <c r="U39" i="46"/>
  <c r="AB39" i="46" s="1"/>
  <c r="Q39" i="46"/>
  <c r="X39" i="46" s="1"/>
  <c r="AE38" i="46"/>
  <c r="V38" i="46"/>
  <c r="AC38" i="46" s="1"/>
  <c r="U38" i="46"/>
  <c r="AB38" i="46" s="1"/>
  <c r="Q38" i="46"/>
  <c r="X38" i="46" s="1"/>
  <c r="AE37" i="46"/>
  <c r="V37" i="46"/>
  <c r="AC37" i="46" s="1"/>
  <c r="U37" i="46"/>
  <c r="AB37" i="46" s="1"/>
  <c r="Q37" i="46"/>
  <c r="X37" i="46" s="1"/>
  <c r="AB36" i="46"/>
  <c r="AE36" i="46"/>
  <c r="V36" i="46"/>
  <c r="AC36" i="46" s="1"/>
  <c r="Q36" i="46"/>
  <c r="AE35" i="46"/>
  <c r="V35" i="46"/>
  <c r="AC35" i="46" s="1"/>
  <c r="U35" i="46"/>
  <c r="AB35" i="46" s="1"/>
  <c r="Q35" i="46"/>
  <c r="X35" i="46" s="1"/>
  <c r="AE34" i="46"/>
  <c r="V34" i="46"/>
  <c r="U34" i="46"/>
  <c r="Q34" i="46"/>
  <c r="X34" i="46" s="1"/>
  <c r="AB33" i="46"/>
  <c r="AE33" i="46"/>
  <c r="V33" i="46"/>
  <c r="AC33" i="46" s="1"/>
  <c r="Q33" i="46"/>
  <c r="AE32" i="46"/>
  <c r="V32" i="46"/>
  <c r="AC32" i="46" s="1"/>
  <c r="U32" i="46"/>
  <c r="AB32" i="46" s="1"/>
  <c r="Q32" i="46"/>
  <c r="X32" i="46" s="1"/>
  <c r="AC31" i="46"/>
  <c r="AB31" i="46"/>
  <c r="AE31" i="46"/>
  <c r="Q31" i="46"/>
  <c r="AE29" i="46"/>
  <c r="V29" i="46"/>
  <c r="AC29" i="46" s="1"/>
  <c r="U29" i="46"/>
  <c r="AB29" i="46" s="1"/>
  <c r="Q29" i="46"/>
  <c r="X29" i="46" s="1"/>
  <c r="AE28" i="46"/>
  <c r="V28" i="46"/>
  <c r="AC28" i="46" s="1"/>
  <c r="U28" i="46"/>
  <c r="AB28" i="46" s="1"/>
  <c r="Q28" i="46"/>
  <c r="X28" i="46" s="1"/>
  <c r="AE27" i="46"/>
  <c r="V27" i="46"/>
  <c r="AC27" i="46" s="1"/>
  <c r="U27" i="46"/>
  <c r="AB27" i="46" s="1"/>
  <c r="Q27" i="46"/>
  <c r="X27" i="46" s="1"/>
  <c r="AE26" i="46"/>
  <c r="V26" i="46"/>
  <c r="AC26" i="46" s="1"/>
  <c r="U26" i="46"/>
  <c r="AB26" i="46" s="1"/>
  <c r="Q26" i="46"/>
  <c r="X26" i="46" s="1"/>
  <c r="AE25" i="46"/>
  <c r="V25" i="46"/>
  <c r="AC25" i="46" s="1"/>
  <c r="U25" i="46"/>
  <c r="AB25" i="46" s="1"/>
  <c r="Q25" i="46"/>
  <c r="X25" i="46" s="1"/>
  <c r="AE24" i="46"/>
  <c r="V24" i="46"/>
  <c r="AC24" i="46" s="1"/>
  <c r="U24" i="46"/>
  <c r="AB24" i="46" s="1"/>
  <c r="Q24" i="46"/>
  <c r="X24" i="46" s="1"/>
  <c r="AE23" i="46"/>
  <c r="V23" i="46"/>
  <c r="AC23" i="46" s="1"/>
  <c r="U23" i="46"/>
  <c r="AB23" i="46" s="1"/>
  <c r="Q23" i="46"/>
  <c r="X23" i="46" s="1"/>
  <c r="AB22" i="46"/>
  <c r="AE22" i="46"/>
  <c r="V22" i="46"/>
  <c r="AC22" i="46" s="1"/>
  <c r="Q22" i="46"/>
  <c r="X22" i="46" s="1"/>
  <c r="AE21" i="46"/>
  <c r="V21" i="46"/>
  <c r="AC21" i="46" s="1"/>
  <c r="U21" i="46"/>
  <c r="AB21" i="46" s="1"/>
  <c r="Q21" i="46"/>
  <c r="X21" i="46" s="1"/>
  <c r="AE20" i="46"/>
  <c r="V20" i="46"/>
  <c r="AC20" i="46" s="1"/>
  <c r="U20" i="46"/>
  <c r="AB20" i="46" s="1"/>
  <c r="Q20" i="46"/>
  <c r="X20" i="46" s="1"/>
  <c r="AE19" i="46"/>
  <c r="V19" i="46"/>
  <c r="AC19" i="46" s="1"/>
  <c r="U19" i="46"/>
  <c r="AB19" i="46" s="1"/>
  <c r="Q19" i="46"/>
  <c r="X19" i="46" s="1"/>
  <c r="AE18" i="46"/>
  <c r="V18" i="46"/>
  <c r="AC18" i="46" s="1"/>
  <c r="U18" i="46"/>
  <c r="AB18" i="46" s="1"/>
  <c r="Q18" i="46"/>
  <c r="X18" i="46" s="1"/>
  <c r="AE17" i="46"/>
  <c r="V17" i="46"/>
  <c r="AC17" i="46" s="1"/>
  <c r="U17" i="46"/>
  <c r="AB17" i="46" s="1"/>
  <c r="Q17" i="46"/>
  <c r="X17" i="46" s="1"/>
  <c r="AE16" i="46"/>
  <c r="V16" i="46"/>
  <c r="AC16" i="46" s="1"/>
  <c r="U16" i="46"/>
  <c r="AB16" i="46" s="1"/>
  <c r="Q16" i="46"/>
  <c r="X16" i="46" s="1"/>
  <c r="AC15" i="46"/>
  <c r="AB15" i="46"/>
  <c r="AE15" i="46"/>
  <c r="V14" i="46"/>
  <c r="AC14" i="46" s="1"/>
  <c r="U14" i="46"/>
  <c r="AB14" i="46" s="1"/>
  <c r="Q14" i="46"/>
  <c r="X14" i="46" s="1"/>
  <c r="Z84" i="46" l="1"/>
  <c r="Y84" i="46"/>
  <c r="R104" i="46"/>
  <c r="U84" i="46"/>
  <c r="S104" i="46"/>
  <c r="AA74" i="46"/>
  <c r="AA104" i="46" s="1"/>
  <c r="Z74" i="46"/>
  <c r="U74" i="46"/>
  <c r="AB79" i="46"/>
  <c r="T104" i="46"/>
  <c r="AE76" i="46"/>
  <c r="AE84" i="46" s="1"/>
  <c r="AE14" i="46"/>
  <c r="AE74" i="46" s="1"/>
  <c r="Y74" i="46"/>
  <c r="AA66" i="45"/>
  <c r="Z66" i="45"/>
  <c r="Y66" i="45"/>
  <c r="AB60" i="45"/>
  <c r="AB54" i="45"/>
  <c r="Z104" i="46" l="1"/>
  <c r="Y104" i="46"/>
  <c r="AB104" i="46" s="1"/>
  <c r="U104" i="46"/>
  <c r="AE104" i="46"/>
  <c r="K106" i="46" s="1"/>
  <c r="AB74" i="46"/>
  <c r="T80" i="45"/>
  <c r="S80" i="45"/>
  <c r="R80" i="45"/>
  <c r="AC79" i="45"/>
  <c r="AA79" i="45"/>
  <c r="Z79" i="45"/>
  <c r="Y79" i="45"/>
  <c r="AE79" i="45" s="1"/>
  <c r="U79" i="45"/>
  <c r="AB79" i="45" s="1"/>
  <c r="AE78" i="45"/>
  <c r="AE77" i="45"/>
  <c r="AC76" i="45"/>
  <c r="AA76" i="45"/>
  <c r="AA80" i="45" s="1"/>
  <c r="Z76" i="45"/>
  <c r="Z80" i="45" s="1"/>
  <c r="Y76" i="45"/>
  <c r="AE76" i="45" s="1"/>
  <c r="U76" i="45"/>
  <c r="U80" i="45" s="1"/>
  <c r="T74" i="45"/>
  <c r="S74" i="45"/>
  <c r="R74" i="45"/>
  <c r="AA73" i="45"/>
  <c r="Z73" i="45"/>
  <c r="Y73" i="45"/>
  <c r="AE73" i="45" s="1"/>
  <c r="V73" i="45"/>
  <c r="AC73" i="45" s="1"/>
  <c r="U73" i="45"/>
  <c r="AB73" i="45" s="1"/>
  <c r="Q73" i="45"/>
  <c r="X73" i="45" s="1"/>
  <c r="AA72" i="45"/>
  <c r="Z72" i="45"/>
  <c r="Y72" i="45"/>
  <c r="AE72" i="45" s="1"/>
  <c r="V72" i="45"/>
  <c r="AC72" i="45" s="1"/>
  <c r="U72" i="45"/>
  <c r="AB72" i="45" s="1"/>
  <c r="Q72" i="45"/>
  <c r="X72" i="45" s="1"/>
  <c r="AE71" i="45"/>
  <c r="AA71" i="45"/>
  <c r="Z71" i="45"/>
  <c r="Y71" i="45"/>
  <c r="V71" i="45"/>
  <c r="AC71" i="45" s="1"/>
  <c r="U71" i="45"/>
  <c r="AB71" i="45" s="1"/>
  <c r="Q71" i="45"/>
  <c r="X71" i="45" s="1"/>
  <c r="AA70" i="45"/>
  <c r="Z70" i="45"/>
  <c r="Y70" i="45"/>
  <c r="AE70" i="45" s="1"/>
  <c r="V70" i="45"/>
  <c r="AC70" i="45" s="1"/>
  <c r="U70" i="45"/>
  <c r="AB70" i="45" s="1"/>
  <c r="Q70" i="45"/>
  <c r="X70" i="45" s="1"/>
  <c r="AA69" i="45"/>
  <c r="Z69" i="45"/>
  <c r="Y69" i="45"/>
  <c r="AE69" i="45" s="1"/>
  <c r="V69" i="45"/>
  <c r="AC69" i="45" s="1"/>
  <c r="U69" i="45"/>
  <c r="AB69" i="45" s="1"/>
  <c r="Q69" i="45"/>
  <c r="X69" i="45" s="1"/>
  <c r="AA68" i="45"/>
  <c r="Z68" i="45"/>
  <c r="Y68" i="45"/>
  <c r="AE68" i="45" s="1"/>
  <c r="V68" i="45"/>
  <c r="AC68" i="45" s="1"/>
  <c r="U68" i="45"/>
  <c r="AB68" i="45" s="1"/>
  <c r="Q68" i="45"/>
  <c r="X68" i="45" s="1"/>
  <c r="AE67" i="45"/>
  <c r="AA67" i="45"/>
  <c r="Z67" i="45"/>
  <c r="Y67" i="45"/>
  <c r="V67" i="45"/>
  <c r="AC67" i="45" s="1"/>
  <c r="U67" i="45"/>
  <c r="AB67" i="45" s="1"/>
  <c r="Q67" i="45"/>
  <c r="X67" i="45" s="1"/>
  <c r="AE66" i="45"/>
  <c r="V66" i="45"/>
  <c r="AC66" i="45" s="1"/>
  <c r="U66" i="45"/>
  <c r="AB66" i="45" s="1"/>
  <c r="Q66" i="45"/>
  <c r="X66" i="45" s="1"/>
  <c r="AA65" i="45"/>
  <c r="Z65" i="45"/>
  <c r="Y65" i="45"/>
  <c r="AE65" i="45" s="1"/>
  <c r="V65" i="45"/>
  <c r="AC65" i="45" s="1"/>
  <c r="U65" i="45"/>
  <c r="AB65" i="45" s="1"/>
  <c r="Q65" i="45"/>
  <c r="X65" i="45" s="1"/>
  <c r="AA64" i="45"/>
  <c r="Z64" i="45"/>
  <c r="Y64" i="45"/>
  <c r="AE64" i="45" s="1"/>
  <c r="V64" i="45"/>
  <c r="AC64" i="45" s="1"/>
  <c r="U64" i="45"/>
  <c r="AB64" i="45" s="1"/>
  <c r="Q64" i="45"/>
  <c r="X64" i="45" s="1"/>
  <c r="AA63" i="45"/>
  <c r="Z63" i="45"/>
  <c r="Y63" i="45"/>
  <c r="AE63" i="45" s="1"/>
  <c r="V63" i="45"/>
  <c r="AC63" i="45" s="1"/>
  <c r="U63" i="45"/>
  <c r="AB63" i="45" s="1"/>
  <c r="Q63" i="45"/>
  <c r="X63" i="45" s="1"/>
  <c r="AA62" i="45"/>
  <c r="Z62" i="45"/>
  <c r="Y62" i="45"/>
  <c r="AE62" i="45" s="1"/>
  <c r="V62" i="45"/>
  <c r="AC62" i="45" s="1"/>
  <c r="U62" i="45"/>
  <c r="AB62" i="45" s="1"/>
  <c r="Q62" i="45"/>
  <c r="X62" i="45" s="1"/>
  <c r="AA61" i="45"/>
  <c r="Z61" i="45"/>
  <c r="Y61" i="45"/>
  <c r="AE61" i="45" s="1"/>
  <c r="V61" i="45"/>
  <c r="AC61" i="45" s="1"/>
  <c r="U61" i="45"/>
  <c r="AB61" i="45" s="1"/>
  <c r="Q61" i="45"/>
  <c r="X61" i="45" s="1"/>
  <c r="AE60" i="45"/>
  <c r="Q60" i="45"/>
  <c r="AA59" i="45"/>
  <c r="Z59" i="45"/>
  <c r="Y59" i="45"/>
  <c r="AE59" i="45" s="1"/>
  <c r="V59" i="45"/>
  <c r="AC59" i="45" s="1"/>
  <c r="U59" i="45"/>
  <c r="AB59" i="45" s="1"/>
  <c r="Q59" i="45"/>
  <c r="AB58" i="45"/>
  <c r="AA58" i="45"/>
  <c r="Z58" i="45"/>
  <c r="Y58" i="45"/>
  <c r="AE58" i="45" s="1"/>
  <c r="Q58" i="45"/>
  <c r="AB57" i="45"/>
  <c r="AA57" i="45"/>
  <c r="Z57" i="45"/>
  <c r="Y57" i="45"/>
  <c r="AE57" i="45" s="1"/>
  <c r="V57" i="45"/>
  <c r="AC57" i="45" s="1"/>
  <c r="U57" i="45"/>
  <c r="Q57" i="45"/>
  <c r="X57" i="45" s="1"/>
  <c r="AA56" i="45"/>
  <c r="Z56" i="45"/>
  <c r="Y56" i="45"/>
  <c r="AE56" i="45" s="1"/>
  <c r="V56" i="45"/>
  <c r="AC56" i="45" s="1"/>
  <c r="U56" i="45"/>
  <c r="AB56" i="45" s="1"/>
  <c r="Q56" i="45"/>
  <c r="X56" i="45" s="1"/>
  <c r="AA55" i="45"/>
  <c r="Z55" i="45"/>
  <c r="Y55" i="45"/>
  <c r="AE55" i="45" s="1"/>
  <c r="V55" i="45"/>
  <c r="AC55" i="45" s="1"/>
  <c r="U55" i="45"/>
  <c r="AB55" i="45" s="1"/>
  <c r="Q55" i="45"/>
  <c r="X55" i="45" s="1"/>
  <c r="AE54" i="45"/>
  <c r="Q54" i="45"/>
  <c r="AA53" i="45"/>
  <c r="Z53" i="45"/>
  <c r="Y53" i="45"/>
  <c r="AE53" i="45" s="1"/>
  <c r="V53" i="45"/>
  <c r="AC53" i="45" s="1"/>
  <c r="U53" i="45"/>
  <c r="AB53" i="45" s="1"/>
  <c r="Q53" i="45"/>
  <c r="X53" i="45" s="1"/>
  <c r="AA52" i="45"/>
  <c r="Z52" i="45"/>
  <c r="Y52" i="45"/>
  <c r="AE52" i="45" s="1"/>
  <c r="V52" i="45"/>
  <c r="AC52" i="45" s="1"/>
  <c r="U52" i="45"/>
  <c r="AB52" i="45" s="1"/>
  <c r="Q52" i="45"/>
  <c r="AA51" i="45"/>
  <c r="Z51" i="45"/>
  <c r="Y51" i="45"/>
  <c r="AE51" i="45" s="1"/>
  <c r="V51" i="45"/>
  <c r="AC51" i="45" s="1"/>
  <c r="U51" i="45"/>
  <c r="AB51" i="45" s="1"/>
  <c r="Q51" i="45"/>
  <c r="AA50" i="45"/>
  <c r="Z50" i="45"/>
  <c r="Y50" i="45"/>
  <c r="AE50" i="45" s="1"/>
  <c r="V50" i="45"/>
  <c r="AC50" i="45" s="1"/>
  <c r="U50" i="45"/>
  <c r="AB50" i="45" s="1"/>
  <c r="Q50" i="45"/>
  <c r="AA49" i="45"/>
  <c r="Z49" i="45"/>
  <c r="Y49" i="45"/>
  <c r="AE49" i="45" s="1"/>
  <c r="V49" i="45"/>
  <c r="AC49" i="45" s="1"/>
  <c r="U49" i="45"/>
  <c r="AB49" i="45" s="1"/>
  <c r="Q49" i="45"/>
  <c r="AA48" i="45"/>
  <c r="Z48" i="45"/>
  <c r="Y48" i="45"/>
  <c r="AE48" i="45" s="1"/>
  <c r="V48" i="45"/>
  <c r="AC48" i="45" s="1"/>
  <c r="U48" i="45"/>
  <c r="AB48" i="45" s="1"/>
  <c r="Q48" i="45"/>
  <c r="AA47" i="45"/>
  <c r="Z47" i="45"/>
  <c r="Y47" i="45"/>
  <c r="AE47" i="45" s="1"/>
  <c r="V47" i="45"/>
  <c r="AC47" i="45" s="1"/>
  <c r="U47" i="45"/>
  <c r="AB47" i="45" s="1"/>
  <c r="Q47" i="45"/>
  <c r="X47" i="45" s="1"/>
  <c r="AC46" i="45"/>
  <c r="AB46" i="45"/>
  <c r="AA46" i="45"/>
  <c r="Z46" i="45"/>
  <c r="Y46" i="45"/>
  <c r="AE46" i="45" s="1"/>
  <c r="Q46" i="45"/>
  <c r="AA45" i="45"/>
  <c r="Z45" i="45"/>
  <c r="Y45" i="45"/>
  <c r="AE45" i="45" s="1"/>
  <c r="V45" i="45"/>
  <c r="AC45" i="45" s="1"/>
  <c r="U45" i="45"/>
  <c r="AB45" i="45" s="1"/>
  <c r="Q45" i="45"/>
  <c r="X45" i="45" s="1"/>
  <c r="AA44" i="45"/>
  <c r="Z44" i="45"/>
  <c r="Y44" i="45"/>
  <c r="AE44" i="45" s="1"/>
  <c r="V44" i="45"/>
  <c r="AC44" i="45" s="1"/>
  <c r="U44" i="45"/>
  <c r="AB44" i="45" s="1"/>
  <c r="Q44" i="45"/>
  <c r="X44" i="45" s="1"/>
  <c r="AB43" i="45"/>
  <c r="AA43" i="45"/>
  <c r="Z43" i="45"/>
  <c r="Y43" i="45"/>
  <c r="AE43" i="45" s="1"/>
  <c r="V43" i="45"/>
  <c r="AC43" i="45" s="1"/>
  <c r="U43" i="45"/>
  <c r="Q43" i="45"/>
  <c r="X43" i="45" s="1"/>
  <c r="AA42" i="45"/>
  <c r="Z42" i="45"/>
  <c r="Y42" i="45"/>
  <c r="AE42" i="45" s="1"/>
  <c r="V42" i="45"/>
  <c r="AC42" i="45" s="1"/>
  <c r="U42" i="45"/>
  <c r="AB42" i="45" s="1"/>
  <c r="Q42" i="45"/>
  <c r="X42" i="45" s="1"/>
  <c r="AC41" i="45"/>
  <c r="AB41" i="45"/>
  <c r="AA41" i="45"/>
  <c r="Z41" i="45"/>
  <c r="Y41" i="45"/>
  <c r="AE41" i="45" s="1"/>
  <c r="AA40" i="45"/>
  <c r="Z40" i="45"/>
  <c r="Y40" i="45"/>
  <c r="AE40" i="45" s="1"/>
  <c r="V40" i="45"/>
  <c r="AC40" i="45" s="1"/>
  <c r="U40" i="45"/>
  <c r="AB40" i="45" s="1"/>
  <c r="Q40" i="45"/>
  <c r="X40" i="45" s="1"/>
  <c r="AA39" i="45"/>
  <c r="Z39" i="45"/>
  <c r="Y39" i="45"/>
  <c r="AE39" i="45" s="1"/>
  <c r="V39" i="45"/>
  <c r="AC39" i="45" s="1"/>
  <c r="U39" i="45"/>
  <c r="AB39" i="45" s="1"/>
  <c r="Q39" i="45"/>
  <c r="X39" i="45" s="1"/>
  <c r="AA38" i="45"/>
  <c r="Z38" i="45"/>
  <c r="Y38" i="45"/>
  <c r="AE38" i="45" s="1"/>
  <c r="V38" i="45"/>
  <c r="AC38" i="45" s="1"/>
  <c r="U38" i="45"/>
  <c r="AB38" i="45" s="1"/>
  <c r="Q38" i="45"/>
  <c r="X38" i="45" s="1"/>
  <c r="AA37" i="45"/>
  <c r="Z37" i="45"/>
  <c r="Y37" i="45"/>
  <c r="AE37" i="45" s="1"/>
  <c r="V37" i="45"/>
  <c r="AC37" i="45" s="1"/>
  <c r="U37" i="45"/>
  <c r="AB37" i="45" s="1"/>
  <c r="Q37" i="45"/>
  <c r="X37" i="45" s="1"/>
  <c r="AB36" i="45"/>
  <c r="AA36" i="45"/>
  <c r="Z36" i="45"/>
  <c r="Y36" i="45"/>
  <c r="AE36" i="45" s="1"/>
  <c r="V36" i="45"/>
  <c r="AC36" i="45" s="1"/>
  <c r="Q36" i="45"/>
  <c r="AA35" i="45"/>
  <c r="Z35" i="45"/>
  <c r="Y35" i="45"/>
  <c r="AE35" i="45" s="1"/>
  <c r="V35" i="45"/>
  <c r="AC35" i="45" s="1"/>
  <c r="U35" i="45"/>
  <c r="AB35" i="45" s="1"/>
  <c r="Q35" i="45"/>
  <c r="X35" i="45" s="1"/>
  <c r="AE34" i="45"/>
  <c r="V34" i="45"/>
  <c r="U34" i="45"/>
  <c r="Q34" i="45"/>
  <c r="X34" i="45" s="1"/>
  <c r="AB33" i="45"/>
  <c r="AA33" i="45"/>
  <c r="Z33" i="45"/>
  <c r="Y33" i="45"/>
  <c r="AE33" i="45" s="1"/>
  <c r="V33" i="45"/>
  <c r="AC33" i="45" s="1"/>
  <c r="Q33" i="45"/>
  <c r="AA32" i="45"/>
  <c r="Z32" i="45"/>
  <c r="Y32" i="45"/>
  <c r="AE32" i="45" s="1"/>
  <c r="V32" i="45"/>
  <c r="AC32" i="45" s="1"/>
  <c r="U32" i="45"/>
  <c r="AB32" i="45" s="1"/>
  <c r="Q32" i="45"/>
  <c r="X32" i="45" s="1"/>
  <c r="AC31" i="45"/>
  <c r="AB31" i="45"/>
  <c r="AA31" i="45"/>
  <c r="Z31" i="45"/>
  <c r="Y31" i="45"/>
  <c r="AE31" i="45" s="1"/>
  <c r="Q31" i="45"/>
  <c r="AA30" i="45"/>
  <c r="Z30" i="45"/>
  <c r="Y30" i="45"/>
  <c r="AA29" i="45"/>
  <c r="Z29" i="45"/>
  <c r="Y29" i="45"/>
  <c r="AE29" i="45" s="1"/>
  <c r="V29" i="45"/>
  <c r="AC29" i="45" s="1"/>
  <c r="U29" i="45"/>
  <c r="AB29" i="45" s="1"/>
  <c r="Q29" i="45"/>
  <c r="X29" i="45" s="1"/>
  <c r="AA28" i="45"/>
  <c r="Z28" i="45"/>
  <c r="Y28" i="45"/>
  <c r="AE28" i="45" s="1"/>
  <c r="V28" i="45"/>
  <c r="AC28" i="45" s="1"/>
  <c r="U28" i="45"/>
  <c r="AB28" i="45" s="1"/>
  <c r="Q28" i="45"/>
  <c r="X28" i="45" s="1"/>
  <c r="AA27" i="45"/>
  <c r="Z27" i="45"/>
  <c r="Y27" i="45"/>
  <c r="AE27" i="45" s="1"/>
  <c r="V27" i="45"/>
  <c r="AC27" i="45" s="1"/>
  <c r="U27" i="45"/>
  <c r="AB27" i="45" s="1"/>
  <c r="Q27" i="45"/>
  <c r="X27" i="45" s="1"/>
  <c r="AA26" i="45"/>
  <c r="Z26" i="45"/>
  <c r="Y26" i="45"/>
  <c r="AE26" i="45" s="1"/>
  <c r="V26" i="45"/>
  <c r="AC26" i="45" s="1"/>
  <c r="U26" i="45"/>
  <c r="AB26" i="45" s="1"/>
  <c r="Q26" i="45"/>
  <c r="X26" i="45" s="1"/>
  <c r="AA25" i="45"/>
  <c r="Z25" i="45"/>
  <c r="Y25" i="45"/>
  <c r="AE25" i="45" s="1"/>
  <c r="V25" i="45"/>
  <c r="AC25" i="45" s="1"/>
  <c r="U25" i="45"/>
  <c r="AB25" i="45" s="1"/>
  <c r="Q25" i="45"/>
  <c r="X25" i="45" s="1"/>
  <c r="AA24" i="45"/>
  <c r="Z24" i="45"/>
  <c r="Y24" i="45"/>
  <c r="AE24" i="45" s="1"/>
  <c r="V24" i="45"/>
  <c r="AC24" i="45" s="1"/>
  <c r="U24" i="45"/>
  <c r="AB24" i="45" s="1"/>
  <c r="Q24" i="45"/>
  <c r="X24" i="45" s="1"/>
  <c r="AA23" i="45"/>
  <c r="Z23" i="45"/>
  <c r="Y23" i="45"/>
  <c r="AE23" i="45" s="1"/>
  <c r="V23" i="45"/>
  <c r="AC23" i="45" s="1"/>
  <c r="U23" i="45"/>
  <c r="AB23" i="45" s="1"/>
  <c r="Q23" i="45"/>
  <c r="X23" i="45" s="1"/>
  <c r="AB22" i="45"/>
  <c r="AA22" i="45"/>
  <c r="Z22" i="45"/>
  <c r="Y22" i="45"/>
  <c r="AE22" i="45" s="1"/>
  <c r="V22" i="45"/>
  <c r="AC22" i="45" s="1"/>
  <c r="Q22" i="45"/>
  <c r="AA21" i="45"/>
  <c r="Z21" i="45"/>
  <c r="Y21" i="45"/>
  <c r="AE21" i="45" s="1"/>
  <c r="V21" i="45"/>
  <c r="AC21" i="45" s="1"/>
  <c r="U21" i="45"/>
  <c r="AB21" i="45" s="1"/>
  <c r="Q21" i="45"/>
  <c r="X21" i="45" s="1"/>
  <c r="AA20" i="45"/>
  <c r="Z20" i="45"/>
  <c r="Y20" i="45"/>
  <c r="AE20" i="45" s="1"/>
  <c r="V20" i="45"/>
  <c r="AC20" i="45" s="1"/>
  <c r="U20" i="45"/>
  <c r="AB20" i="45" s="1"/>
  <c r="Q20" i="45"/>
  <c r="X20" i="45" s="1"/>
  <c r="AA19" i="45"/>
  <c r="Z19" i="45"/>
  <c r="Y19" i="45"/>
  <c r="AE19" i="45" s="1"/>
  <c r="V19" i="45"/>
  <c r="AC19" i="45" s="1"/>
  <c r="U19" i="45"/>
  <c r="AB19" i="45" s="1"/>
  <c r="Q19" i="45"/>
  <c r="X19" i="45" s="1"/>
  <c r="AA18" i="45"/>
  <c r="Z18" i="45"/>
  <c r="Y18" i="45"/>
  <c r="AE18" i="45" s="1"/>
  <c r="V18" i="45"/>
  <c r="AC18" i="45" s="1"/>
  <c r="U18" i="45"/>
  <c r="AB18" i="45" s="1"/>
  <c r="Q18" i="45"/>
  <c r="X18" i="45" s="1"/>
  <c r="AA17" i="45"/>
  <c r="Z17" i="45"/>
  <c r="Y17" i="45"/>
  <c r="AE17" i="45" s="1"/>
  <c r="V17" i="45"/>
  <c r="AC17" i="45" s="1"/>
  <c r="U17" i="45"/>
  <c r="AB17" i="45" s="1"/>
  <c r="Q17" i="45"/>
  <c r="X17" i="45" s="1"/>
  <c r="AA16" i="45"/>
  <c r="Z16" i="45"/>
  <c r="Y16" i="45"/>
  <c r="AE16" i="45" s="1"/>
  <c r="V16" i="45"/>
  <c r="AC16" i="45" s="1"/>
  <c r="U16" i="45"/>
  <c r="AB16" i="45" s="1"/>
  <c r="Q16" i="45"/>
  <c r="X16" i="45" s="1"/>
  <c r="AC15" i="45"/>
  <c r="AB15" i="45"/>
  <c r="AA15" i="45"/>
  <c r="Z15" i="45"/>
  <c r="Y15" i="45"/>
  <c r="AE15" i="45" s="1"/>
  <c r="AA14" i="45"/>
  <c r="Z14" i="45"/>
  <c r="Y14" i="45"/>
  <c r="AE14" i="45" s="1"/>
  <c r="V14" i="45"/>
  <c r="AC14" i="45" s="1"/>
  <c r="U14" i="45"/>
  <c r="AB14" i="45" s="1"/>
  <c r="Q14" i="45"/>
  <c r="X14" i="45" s="1"/>
  <c r="U74" i="45" l="1"/>
  <c r="S104" i="45"/>
  <c r="Z74" i="45"/>
  <c r="Z104" i="45" s="1"/>
  <c r="R104" i="45"/>
  <c r="AB76" i="45"/>
  <c r="T104" i="45"/>
  <c r="U104" i="45" s="1"/>
  <c r="AA74" i="45"/>
  <c r="AA104" i="45" s="1"/>
  <c r="AE74" i="45"/>
  <c r="AE80" i="45"/>
  <c r="Y74" i="45"/>
  <c r="Y80" i="45"/>
  <c r="Y104" i="45" l="1"/>
  <c r="AB104" i="45" s="1"/>
  <c r="AE104" i="45"/>
  <c r="K106" i="45" s="1"/>
  <c r="AB74" i="45"/>
  <c r="AA15" i="42" l="1"/>
  <c r="AA16" i="42"/>
  <c r="AA17" i="42"/>
  <c r="AA18" i="42"/>
  <c r="AA19" i="42"/>
  <c r="AA20" i="42"/>
  <c r="AA21" i="42"/>
  <c r="AA22" i="42"/>
  <c r="AA23" i="42"/>
  <c r="AA24" i="42"/>
  <c r="AA25" i="42"/>
  <c r="AA26" i="42"/>
  <c r="AA27" i="42"/>
  <c r="AA28" i="42"/>
  <c r="AA29" i="42"/>
  <c r="AA30" i="42"/>
  <c r="AA31" i="42"/>
  <c r="AA32" i="42"/>
  <c r="AA33" i="42"/>
  <c r="AA34" i="42"/>
  <c r="AA35" i="42"/>
  <c r="AA36" i="42"/>
  <c r="AA37" i="42"/>
  <c r="AA38" i="42"/>
  <c r="AA39" i="42"/>
  <c r="AA40" i="42"/>
  <c r="AA41" i="42"/>
  <c r="AA42" i="42"/>
  <c r="AA43" i="42"/>
  <c r="AA44" i="42"/>
  <c r="AA45" i="42"/>
  <c r="AA46" i="42"/>
  <c r="AA47" i="42"/>
  <c r="AA48" i="42"/>
  <c r="AA49" i="42"/>
  <c r="AA50" i="42"/>
  <c r="AA51" i="42"/>
  <c r="AA52" i="42"/>
  <c r="AA53" i="42"/>
  <c r="AA54" i="42"/>
  <c r="AA55" i="42"/>
  <c r="AA56" i="42"/>
  <c r="AA57" i="42"/>
  <c r="AA58" i="42"/>
  <c r="AA59" i="42"/>
  <c r="AA60" i="42"/>
  <c r="AA61" i="42"/>
  <c r="AA62" i="42"/>
  <c r="AA63" i="42"/>
  <c r="AA64" i="42"/>
  <c r="AA65" i="42"/>
  <c r="AA66" i="42"/>
  <c r="AA67" i="42"/>
  <c r="AA68" i="42"/>
  <c r="AA69" i="42"/>
  <c r="AA70" i="42"/>
  <c r="AA71" i="42"/>
  <c r="AA72" i="42"/>
  <c r="AA73" i="42"/>
  <c r="AA14" i="42"/>
  <c r="Z15" i="42"/>
  <c r="Z16" i="42"/>
  <c r="Z17" i="42"/>
  <c r="Z18" i="42"/>
  <c r="Z19" i="42"/>
  <c r="Z20" i="42"/>
  <c r="Z21" i="42"/>
  <c r="Z22" i="42"/>
  <c r="Z23" i="42"/>
  <c r="Z24" i="42"/>
  <c r="Z25" i="42"/>
  <c r="Z26" i="42"/>
  <c r="Z27" i="42"/>
  <c r="Z28" i="42"/>
  <c r="Z29" i="42"/>
  <c r="Z30" i="42"/>
  <c r="Z31" i="42"/>
  <c r="Z32" i="42"/>
  <c r="Z33" i="42"/>
  <c r="Z34" i="42"/>
  <c r="Z35" i="42"/>
  <c r="Z36" i="42"/>
  <c r="Z37" i="42"/>
  <c r="Z38" i="42"/>
  <c r="Z39" i="42"/>
  <c r="Z40" i="42"/>
  <c r="Z41" i="42"/>
  <c r="Z42" i="42"/>
  <c r="Z43" i="42"/>
  <c r="Z44" i="42"/>
  <c r="Z45" i="42"/>
  <c r="Z46" i="42"/>
  <c r="Z47" i="42"/>
  <c r="Z48" i="42"/>
  <c r="Z49" i="42"/>
  <c r="Z50" i="42"/>
  <c r="Z51" i="42"/>
  <c r="Z52" i="42"/>
  <c r="Z53" i="42"/>
  <c r="Z54" i="42"/>
  <c r="Z55" i="42"/>
  <c r="Z56" i="42"/>
  <c r="Z57" i="42"/>
  <c r="Z58" i="42"/>
  <c r="Z59" i="42"/>
  <c r="Z60" i="42"/>
  <c r="Z61" i="42"/>
  <c r="Z62" i="42"/>
  <c r="Z63" i="42"/>
  <c r="Z64" i="42"/>
  <c r="Z65" i="42"/>
  <c r="Z66" i="42"/>
  <c r="Z67" i="42"/>
  <c r="Z68" i="42"/>
  <c r="Z69" i="42"/>
  <c r="Z70" i="42"/>
  <c r="Z71" i="42"/>
  <c r="Z72" i="42"/>
  <c r="Z73" i="42"/>
  <c r="Z14" i="42"/>
  <c r="Y15" i="42"/>
  <c r="Y16" i="42"/>
  <c r="Y17" i="42"/>
  <c r="Y18" i="42"/>
  <c r="Y19" i="42"/>
  <c r="Y20" i="42"/>
  <c r="Y21" i="42"/>
  <c r="Y22" i="42"/>
  <c r="Y23" i="42"/>
  <c r="Y24" i="42"/>
  <c r="Y25" i="42"/>
  <c r="Y26" i="42"/>
  <c r="Y27" i="42"/>
  <c r="Y28" i="42"/>
  <c r="Y29" i="42"/>
  <c r="Y30" i="42"/>
  <c r="Y31" i="42"/>
  <c r="Y32" i="42"/>
  <c r="Y33" i="42"/>
  <c r="Y34" i="42"/>
  <c r="Y35" i="42"/>
  <c r="Y36" i="42"/>
  <c r="Y37" i="42"/>
  <c r="Y38" i="42"/>
  <c r="Y39" i="42"/>
  <c r="Y40" i="42"/>
  <c r="Y41" i="42"/>
  <c r="Y42" i="42"/>
  <c r="Y43" i="42"/>
  <c r="Y44" i="42"/>
  <c r="Y45" i="42"/>
  <c r="Y46" i="42"/>
  <c r="Y47" i="42"/>
  <c r="Y48" i="42"/>
  <c r="Y49" i="42"/>
  <c r="Y50" i="42"/>
  <c r="Y51" i="42"/>
  <c r="Y52" i="42"/>
  <c r="Y53" i="42"/>
  <c r="Y54" i="42"/>
  <c r="Y55" i="42"/>
  <c r="Y56" i="42"/>
  <c r="Y57" i="42"/>
  <c r="Y58" i="42"/>
  <c r="Y59" i="42"/>
  <c r="Y60" i="42"/>
  <c r="Y61" i="42"/>
  <c r="Y62" i="42"/>
  <c r="Y63" i="42"/>
  <c r="Y64" i="42"/>
  <c r="Y65" i="42"/>
  <c r="Y66" i="42"/>
  <c r="Y67" i="42"/>
  <c r="Y68" i="42"/>
  <c r="Y69" i="42"/>
  <c r="Y70" i="42"/>
  <c r="Y71" i="42"/>
  <c r="Y72" i="42"/>
  <c r="Y73" i="42"/>
  <c r="Y14" i="42"/>
  <c r="Y79" i="42"/>
  <c r="Y74" i="42" l="1"/>
  <c r="AA74" i="42"/>
  <c r="Z74" i="42"/>
  <c r="Y77" i="42"/>
  <c r="Y78" i="42"/>
  <c r="Y76" i="42"/>
  <c r="Z79" i="42" l="1"/>
  <c r="Z76" i="42"/>
  <c r="T80" i="42" l="1"/>
  <c r="S80" i="42"/>
  <c r="R80" i="42"/>
  <c r="AE79" i="42"/>
  <c r="AC79" i="42"/>
  <c r="AA79" i="42"/>
  <c r="U79" i="42"/>
  <c r="AB79" i="42" s="1"/>
  <c r="AC78" i="42"/>
  <c r="AB78" i="42"/>
  <c r="AA78" i="42"/>
  <c r="Z78" i="42"/>
  <c r="Y80" i="42"/>
  <c r="AC77" i="42"/>
  <c r="AA77" i="42"/>
  <c r="Z77" i="42"/>
  <c r="AE77" i="42"/>
  <c r="AE76" i="42"/>
  <c r="AC76" i="42"/>
  <c r="AA76" i="42"/>
  <c r="U76" i="42"/>
  <c r="AB76" i="42" s="1"/>
  <c r="T74" i="42"/>
  <c r="S74" i="42"/>
  <c r="R74" i="42"/>
  <c r="AE73" i="42"/>
  <c r="V73" i="42"/>
  <c r="AC73" i="42" s="1"/>
  <c r="U73" i="42"/>
  <c r="AB73" i="42" s="1"/>
  <c r="Q73" i="42"/>
  <c r="X73" i="42" s="1"/>
  <c r="AE72" i="42"/>
  <c r="V72" i="42"/>
  <c r="AC72" i="42" s="1"/>
  <c r="U72" i="42"/>
  <c r="AB72" i="42" s="1"/>
  <c r="Q72" i="42"/>
  <c r="X72" i="42" s="1"/>
  <c r="AE71" i="42"/>
  <c r="V71" i="42"/>
  <c r="AC71" i="42" s="1"/>
  <c r="U71" i="42"/>
  <c r="AB71" i="42" s="1"/>
  <c r="Q71" i="42"/>
  <c r="X71" i="42" s="1"/>
  <c r="AE70" i="42"/>
  <c r="V70" i="42"/>
  <c r="AC70" i="42" s="1"/>
  <c r="U70" i="42"/>
  <c r="AB70" i="42" s="1"/>
  <c r="Q70" i="42"/>
  <c r="X70" i="42" s="1"/>
  <c r="AE69" i="42"/>
  <c r="V69" i="42"/>
  <c r="AC69" i="42" s="1"/>
  <c r="U69" i="42"/>
  <c r="AB69" i="42" s="1"/>
  <c r="Q69" i="42"/>
  <c r="X69" i="42" s="1"/>
  <c r="AE68" i="42"/>
  <c r="V68" i="42"/>
  <c r="AC68" i="42" s="1"/>
  <c r="U68" i="42"/>
  <c r="AB68" i="42" s="1"/>
  <c r="Q68" i="42"/>
  <c r="X68" i="42" s="1"/>
  <c r="AE67" i="42"/>
  <c r="V67" i="42"/>
  <c r="AC67" i="42" s="1"/>
  <c r="U67" i="42"/>
  <c r="AB67" i="42" s="1"/>
  <c r="Q67" i="42"/>
  <c r="X67" i="42" s="1"/>
  <c r="AE66" i="42"/>
  <c r="V66" i="42"/>
  <c r="AC66" i="42" s="1"/>
  <c r="U66" i="42"/>
  <c r="AB66" i="42" s="1"/>
  <c r="Q66" i="42"/>
  <c r="X66" i="42" s="1"/>
  <c r="AE65" i="42"/>
  <c r="V65" i="42"/>
  <c r="AC65" i="42" s="1"/>
  <c r="U65" i="42"/>
  <c r="AB65" i="42" s="1"/>
  <c r="Q65" i="42"/>
  <c r="X65" i="42" s="1"/>
  <c r="AE64" i="42"/>
  <c r="V64" i="42"/>
  <c r="AC64" i="42" s="1"/>
  <c r="U64" i="42"/>
  <c r="AB64" i="42" s="1"/>
  <c r="Q64" i="42"/>
  <c r="X64" i="42" s="1"/>
  <c r="AE63" i="42"/>
  <c r="V63" i="42"/>
  <c r="AC63" i="42" s="1"/>
  <c r="U63" i="42"/>
  <c r="AB63" i="42" s="1"/>
  <c r="Q63" i="42"/>
  <c r="X63" i="42" s="1"/>
  <c r="AE62" i="42"/>
  <c r="V62" i="42"/>
  <c r="AC62" i="42" s="1"/>
  <c r="U62" i="42"/>
  <c r="AB62" i="42" s="1"/>
  <c r="Q62" i="42"/>
  <c r="X62" i="42" s="1"/>
  <c r="AE61" i="42"/>
  <c r="V61" i="42"/>
  <c r="AC61" i="42" s="1"/>
  <c r="U61" i="42"/>
  <c r="AB61" i="42" s="1"/>
  <c r="Q61" i="42"/>
  <c r="X61" i="42" s="1"/>
  <c r="AB60" i="42"/>
  <c r="AE60" i="42"/>
  <c r="AC60" i="42"/>
  <c r="Q60" i="42"/>
  <c r="AE59" i="42"/>
  <c r="V59" i="42"/>
  <c r="AC59" i="42" s="1"/>
  <c r="U59" i="42"/>
  <c r="AB59" i="42" s="1"/>
  <c r="Q59" i="42"/>
  <c r="AB58" i="42"/>
  <c r="AE58" i="42"/>
  <c r="Q58" i="42"/>
  <c r="AE57" i="42"/>
  <c r="V57" i="42"/>
  <c r="AC57" i="42" s="1"/>
  <c r="U57" i="42"/>
  <c r="AB57" i="42" s="1"/>
  <c r="Q57" i="42"/>
  <c r="X57" i="42" s="1"/>
  <c r="AE56" i="42"/>
  <c r="V56" i="42"/>
  <c r="AC56" i="42" s="1"/>
  <c r="U56" i="42"/>
  <c r="AB56" i="42" s="1"/>
  <c r="Q56" i="42"/>
  <c r="X56" i="42" s="1"/>
  <c r="AE55" i="42"/>
  <c r="V55" i="42"/>
  <c r="AC55" i="42" s="1"/>
  <c r="U55" i="42"/>
  <c r="AB55" i="42" s="1"/>
  <c r="Q55" i="42"/>
  <c r="X55" i="42" s="1"/>
  <c r="AE54" i="42"/>
  <c r="AC54" i="42"/>
  <c r="AB54" i="42"/>
  <c r="Q54" i="42"/>
  <c r="AE53" i="42"/>
  <c r="V53" i="42"/>
  <c r="AC53" i="42" s="1"/>
  <c r="U53" i="42"/>
  <c r="AB53" i="42" s="1"/>
  <c r="Q53" i="42"/>
  <c r="X53" i="42" s="1"/>
  <c r="AE52" i="42"/>
  <c r="V52" i="42"/>
  <c r="AC52" i="42" s="1"/>
  <c r="U52" i="42"/>
  <c r="AB52" i="42" s="1"/>
  <c r="Q52" i="42"/>
  <c r="AE51" i="42"/>
  <c r="V51" i="42"/>
  <c r="AC51" i="42" s="1"/>
  <c r="U51" i="42"/>
  <c r="AB51" i="42" s="1"/>
  <c r="Q51" i="42"/>
  <c r="AE50" i="42"/>
  <c r="V50" i="42"/>
  <c r="AC50" i="42" s="1"/>
  <c r="U50" i="42"/>
  <c r="AB50" i="42" s="1"/>
  <c r="Q50" i="42"/>
  <c r="AE49" i="42"/>
  <c r="V49" i="42"/>
  <c r="AC49" i="42" s="1"/>
  <c r="U49" i="42"/>
  <c r="AB49" i="42" s="1"/>
  <c r="Q49" i="42"/>
  <c r="AE48" i="42"/>
  <c r="V48" i="42"/>
  <c r="AC48" i="42" s="1"/>
  <c r="U48" i="42"/>
  <c r="AB48" i="42" s="1"/>
  <c r="Q48" i="42"/>
  <c r="AE47" i="42"/>
  <c r="V47" i="42"/>
  <c r="AC47" i="42" s="1"/>
  <c r="U47" i="42"/>
  <c r="AB47" i="42" s="1"/>
  <c r="Q47" i="42"/>
  <c r="X47" i="42" s="1"/>
  <c r="AE46" i="42"/>
  <c r="AC46" i="42"/>
  <c r="AB46" i="42"/>
  <c r="Q46" i="42"/>
  <c r="AE45" i="42"/>
  <c r="V45" i="42"/>
  <c r="AC45" i="42" s="1"/>
  <c r="U45" i="42"/>
  <c r="AB45" i="42" s="1"/>
  <c r="Q45" i="42"/>
  <c r="X45" i="42" s="1"/>
  <c r="AE44" i="42"/>
  <c r="V44" i="42"/>
  <c r="AC44" i="42" s="1"/>
  <c r="U44" i="42"/>
  <c r="AB44" i="42" s="1"/>
  <c r="Q44" i="42"/>
  <c r="X44" i="42" s="1"/>
  <c r="AE43" i="42"/>
  <c r="V43" i="42"/>
  <c r="AC43" i="42" s="1"/>
  <c r="U43" i="42"/>
  <c r="AB43" i="42" s="1"/>
  <c r="Q43" i="42"/>
  <c r="X43" i="42" s="1"/>
  <c r="AE42" i="42"/>
  <c r="V42" i="42"/>
  <c r="AC42" i="42" s="1"/>
  <c r="U42" i="42"/>
  <c r="AB42" i="42" s="1"/>
  <c r="Q42" i="42"/>
  <c r="X42" i="42" s="1"/>
  <c r="AC41" i="42"/>
  <c r="AB41" i="42"/>
  <c r="AE41" i="42"/>
  <c r="AE40" i="42"/>
  <c r="V40" i="42"/>
  <c r="AC40" i="42" s="1"/>
  <c r="U40" i="42"/>
  <c r="AB40" i="42" s="1"/>
  <c r="Q40" i="42"/>
  <c r="X40" i="42" s="1"/>
  <c r="AE39" i="42"/>
  <c r="V39" i="42"/>
  <c r="AC39" i="42" s="1"/>
  <c r="U39" i="42"/>
  <c r="AB39" i="42" s="1"/>
  <c r="Q39" i="42"/>
  <c r="X39" i="42" s="1"/>
  <c r="AE38" i="42"/>
  <c r="V38" i="42"/>
  <c r="AC38" i="42" s="1"/>
  <c r="U38" i="42"/>
  <c r="AB38" i="42" s="1"/>
  <c r="Q38" i="42"/>
  <c r="X38" i="42" s="1"/>
  <c r="AE37" i="42"/>
  <c r="V37" i="42"/>
  <c r="AC37" i="42" s="1"/>
  <c r="U37" i="42"/>
  <c r="AB37" i="42" s="1"/>
  <c r="Q37" i="42"/>
  <c r="X37" i="42" s="1"/>
  <c r="AB36" i="42"/>
  <c r="AE36" i="42"/>
  <c r="V36" i="42"/>
  <c r="AC36" i="42" s="1"/>
  <c r="Q36" i="42"/>
  <c r="AE35" i="42"/>
  <c r="V35" i="42"/>
  <c r="AC35" i="42" s="1"/>
  <c r="U35" i="42"/>
  <c r="AB35" i="42" s="1"/>
  <c r="Q35" i="42"/>
  <c r="X35" i="42" s="1"/>
  <c r="AE34" i="42"/>
  <c r="V34" i="42"/>
  <c r="AC34" i="42" s="1"/>
  <c r="U34" i="42"/>
  <c r="AB34" i="42" s="1"/>
  <c r="Q34" i="42"/>
  <c r="X34" i="42" s="1"/>
  <c r="AB33" i="42"/>
  <c r="AE33" i="42"/>
  <c r="V33" i="42"/>
  <c r="AC33" i="42" s="1"/>
  <c r="Q33" i="42"/>
  <c r="AB32" i="42"/>
  <c r="AE32" i="42"/>
  <c r="V32" i="42"/>
  <c r="AC32" i="42" s="1"/>
  <c r="U32" i="42"/>
  <c r="Q32" i="42"/>
  <c r="X32" i="42" s="1"/>
  <c r="AE31" i="42"/>
  <c r="AC31" i="42"/>
  <c r="AB31" i="42"/>
  <c r="Q31" i="42"/>
  <c r="AE29" i="42"/>
  <c r="V29" i="42"/>
  <c r="AC29" i="42" s="1"/>
  <c r="U29" i="42"/>
  <c r="AB29" i="42" s="1"/>
  <c r="Q29" i="42"/>
  <c r="X29" i="42" s="1"/>
  <c r="AE28" i="42"/>
  <c r="V28" i="42"/>
  <c r="AC28" i="42" s="1"/>
  <c r="U28" i="42"/>
  <c r="AB28" i="42" s="1"/>
  <c r="Q28" i="42"/>
  <c r="X28" i="42" s="1"/>
  <c r="AE27" i="42"/>
  <c r="V27" i="42"/>
  <c r="AC27" i="42" s="1"/>
  <c r="U27" i="42"/>
  <c r="AB27" i="42" s="1"/>
  <c r="Q27" i="42"/>
  <c r="X27" i="42" s="1"/>
  <c r="AE26" i="42"/>
  <c r="V26" i="42"/>
  <c r="AC26" i="42" s="1"/>
  <c r="U26" i="42"/>
  <c r="AB26" i="42" s="1"/>
  <c r="Q26" i="42"/>
  <c r="X26" i="42" s="1"/>
  <c r="AE25" i="42"/>
  <c r="V25" i="42"/>
  <c r="AC25" i="42" s="1"/>
  <c r="U25" i="42"/>
  <c r="AB25" i="42" s="1"/>
  <c r="Q25" i="42"/>
  <c r="X25" i="42" s="1"/>
  <c r="AE24" i="42"/>
  <c r="V24" i="42"/>
  <c r="AC24" i="42" s="1"/>
  <c r="U24" i="42"/>
  <c r="AB24" i="42" s="1"/>
  <c r="Q24" i="42"/>
  <c r="X24" i="42" s="1"/>
  <c r="AE23" i="42"/>
  <c r="V23" i="42"/>
  <c r="AC23" i="42" s="1"/>
  <c r="U23" i="42"/>
  <c r="AB23" i="42" s="1"/>
  <c r="Q23" i="42"/>
  <c r="X23" i="42" s="1"/>
  <c r="AE22" i="42"/>
  <c r="AB22" i="42"/>
  <c r="V22" i="42"/>
  <c r="AC22" i="42" s="1"/>
  <c r="Q22" i="42"/>
  <c r="AE21" i="42"/>
  <c r="V21" i="42"/>
  <c r="AC21" i="42" s="1"/>
  <c r="U21" i="42"/>
  <c r="AB21" i="42" s="1"/>
  <c r="Q21" i="42"/>
  <c r="X21" i="42" s="1"/>
  <c r="AE20" i="42"/>
  <c r="V20" i="42"/>
  <c r="AC20" i="42" s="1"/>
  <c r="U20" i="42"/>
  <c r="AB20" i="42" s="1"/>
  <c r="Q20" i="42"/>
  <c r="X20" i="42" s="1"/>
  <c r="AE19" i="42"/>
  <c r="V19" i="42"/>
  <c r="AC19" i="42" s="1"/>
  <c r="U19" i="42"/>
  <c r="AB19" i="42" s="1"/>
  <c r="Q19" i="42"/>
  <c r="X19" i="42" s="1"/>
  <c r="AE18" i="42"/>
  <c r="V18" i="42"/>
  <c r="AC18" i="42" s="1"/>
  <c r="U18" i="42"/>
  <c r="AB18" i="42" s="1"/>
  <c r="Q18" i="42"/>
  <c r="X18" i="42" s="1"/>
  <c r="AE17" i="42"/>
  <c r="V17" i="42"/>
  <c r="AC17" i="42" s="1"/>
  <c r="U17" i="42"/>
  <c r="AB17" i="42" s="1"/>
  <c r="Q17" i="42"/>
  <c r="X17" i="42" s="1"/>
  <c r="AE16" i="42"/>
  <c r="V16" i="42"/>
  <c r="AC16" i="42" s="1"/>
  <c r="U16" i="42"/>
  <c r="AB16" i="42" s="1"/>
  <c r="Q16" i="42"/>
  <c r="X16" i="42" s="1"/>
  <c r="AC15" i="42"/>
  <c r="AB15" i="42"/>
  <c r="AE15" i="42"/>
  <c r="AE14" i="42"/>
  <c r="V14" i="42"/>
  <c r="AC14" i="42" s="1"/>
  <c r="U14" i="42"/>
  <c r="AB14" i="42" s="1"/>
  <c r="Q14" i="42"/>
  <c r="X14" i="42" s="1"/>
  <c r="T106" i="42" l="1"/>
  <c r="Z80" i="42"/>
  <c r="Z106" i="42" s="1"/>
  <c r="U80" i="42"/>
  <c r="AA80" i="42"/>
  <c r="AA106" i="42" s="1"/>
  <c r="S106" i="42"/>
  <c r="U74" i="42"/>
  <c r="AE74" i="42"/>
  <c r="Y106" i="42"/>
  <c r="AE78" i="42"/>
  <c r="AE80" i="42" s="1"/>
  <c r="R106" i="42"/>
  <c r="U106" i="42" s="1"/>
  <c r="Z77" i="39"/>
  <c r="Z78" i="39"/>
  <c r="Z79" i="39"/>
  <c r="AA77" i="39"/>
  <c r="AA78" i="39"/>
  <c r="AA79" i="39"/>
  <c r="AA76" i="39"/>
  <c r="Z76" i="39"/>
  <c r="Z15" i="39"/>
  <c r="AA15" i="39"/>
  <c r="Z16" i="39"/>
  <c r="AA16" i="39"/>
  <c r="Z17" i="39"/>
  <c r="AA17" i="39"/>
  <c r="Z18" i="39"/>
  <c r="AA18" i="39"/>
  <c r="Z19" i="39"/>
  <c r="AA19" i="39"/>
  <c r="Z20" i="39"/>
  <c r="AA20" i="39"/>
  <c r="Z21" i="39"/>
  <c r="AA21" i="39"/>
  <c r="Z22" i="39"/>
  <c r="AA22" i="39"/>
  <c r="Z23" i="39"/>
  <c r="AA23" i="39"/>
  <c r="Z24" i="39"/>
  <c r="AA24" i="39"/>
  <c r="Z25" i="39"/>
  <c r="AA25" i="39"/>
  <c r="Z26" i="39"/>
  <c r="AA26" i="39"/>
  <c r="Z27" i="39"/>
  <c r="AA27" i="39"/>
  <c r="Z28" i="39"/>
  <c r="AA28" i="39"/>
  <c r="Z29" i="39"/>
  <c r="AA29" i="39"/>
  <c r="Z30" i="39"/>
  <c r="AA30" i="39"/>
  <c r="Z31" i="39"/>
  <c r="AA31" i="39"/>
  <c r="Z32" i="39"/>
  <c r="AA32" i="39"/>
  <c r="Z33" i="39"/>
  <c r="AA33" i="39"/>
  <c r="Z34" i="39"/>
  <c r="AA34" i="39"/>
  <c r="Z35" i="39"/>
  <c r="AA35" i="39"/>
  <c r="Z36" i="39"/>
  <c r="AA36" i="39"/>
  <c r="Z37" i="39"/>
  <c r="AA37" i="39"/>
  <c r="Z38" i="39"/>
  <c r="AA38" i="39"/>
  <c r="Z39" i="39"/>
  <c r="AA39" i="39"/>
  <c r="Z40" i="39"/>
  <c r="AA40" i="39"/>
  <c r="Z41" i="39"/>
  <c r="AA41" i="39"/>
  <c r="Z42" i="39"/>
  <c r="AA42" i="39"/>
  <c r="Z43" i="39"/>
  <c r="AA43" i="39"/>
  <c r="Z44" i="39"/>
  <c r="AA44" i="39"/>
  <c r="Z45" i="39"/>
  <c r="AA45" i="39"/>
  <c r="Z46" i="39"/>
  <c r="AA46" i="39"/>
  <c r="Z47" i="39"/>
  <c r="AA47" i="39"/>
  <c r="Z48" i="39"/>
  <c r="AA48" i="39"/>
  <c r="Z49" i="39"/>
  <c r="AA49" i="39"/>
  <c r="Z50" i="39"/>
  <c r="AA50" i="39"/>
  <c r="Z51" i="39"/>
  <c r="AA51" i="39"/>
  <c r="Z52" i="39"/>
  <c r="AA52" i="39"/>
  <c r="Z53" i="39"/>
  <c r="AA53" i="39"/>
  <c r="Z54" i="39"/>
  <c r="AA54" i="39"/>
  <c r="Z55" i="39"/>
  <c r="AA55" i="39"/>
  <c r="Z56" i="39"/>
  <c r="AA56" i="39"/>
  <c r="Z57" i="39"/>
  <c r="AA57" i="39"/>
  <c r="Z58" i="39"/>
  <c r="AA58" i="39"/>
  <c r="Z59" i="39"/>
  <c r="AA59" i="39"/>
  <c r="Z60" i="39"/>
  <c r="AA60" i="39"/>
  <c r="Z61" i="39"/>
  <c r="AA61" i="39"/>
  <c r="Z62" i="39"/>
  <c r="AA62" i="39"/>
  <c r="Z63" i="39"/>
  <c r="AA63" i="39"/>
  <c r="Z64" i="39"/>
  <c r="AA64" i="39"/>
  <c r="Z65" i="39"/>
  <c r="AA65" i="39"/>
  <c r="Z66" i="39"/>
  <c r="AA66" i="39"/>
  <c r="Z67" i="39"/>
  <c r="AA67" i="39"/>
  <c r="Z68" i="39"/>
  <c r="AA68" i="39"/>
  <c r="Z69" i="39"/>
  <c r="AA69" i="39"/>
  <c r="Z70" i="39"/>
  <c r="AA70" i="39"/>
  <c r="Z71" i="39"/>
  <c r="AA71" i="39"/>
  <c r="Z72" i="39"/>
  <c r="AA72" i="39"/>
  <c r="Z73" i="39"/>
  <c r="AA73" i="39"/>
  <c r="AA14" i="39"/>
  <c r="Z14" i="39"/>
  <c r="Y77" i="39"/>
  <c r="Y78" i="39"/>
  <c r="Y79" i="39"/>
  <c r="Y76" i="39"/>
  <c r="Y17" i="39"/>
  <c r="Y18" i="39"/>
  <c r="Y19" i="39"/>
  <c r="Y20" i="39"/>
  <c r="Y21" i="39"/>
  <c r="Y22" i="39"/>
  <c r="Y23" i="39"/>
  <c r="Y24" i="39"/>
  <c r="Y25" i="39"/>
  <c r="Y26" i="39"/>
  <c r="Y27" i="39"/>
  <c r="Y28" i="39"/>
  <c r="Y29" i="39"/>
  <c r="Y30" i="39"/>
  <c r="Y31" i="39"/>
  <c r="Y32" i="39"/>
  <c r="Y33" i="39"/>
  <c r="Y34" i="39"/>
  <c r="Y35" i="39"/>
  <c r="Y36" i="39"/>
  <c r="Y37" i="39"/>
  <c r="Y38" i="39"/>
  <c r="Y39" i="39"/>
  <c r="Y40" i="39"/>
  <c r="Y41" i="39"/>
  <c r="Y42" i="39"/>
  <c r="Y43" i="39"/>
  <c r="Y44" i="39"/>
  <c r="Y45" i="39"/>
  <c r="Y46" i="39"/>
  <c r="Y47" i="39"/>
  <c r="Y48" i="39"/>
  <c r="Y49" i="39"/>
  <c r="Y50" i="39"/>
  <c r="Y51" i="39"/>
  <c r="Y52" i="39"/>
  <c r="Y53" i="39"/>
  <c r="Y54" i="39"/>
  <c r="Y55" i="39"/>
  <c r="Y56" i="39"/>
  <c r="Y57" i="39"/>
  <c r="Y58" i="39"/>
  <c r="Y59" i="39"/>
  <c r="Y60" i="39"/>
  <c r="Y61" i="39"/>
  <c r="Y62" i="39"/>
  <c r="Y63" i="39"/>
  <c r="Y64" i="39"/>
  <c r="Y65" i="39"/>
  <c r="Y66" i="39"/>
  <c r="Y67" i="39"/>
  <c r="Y68" i="39"/>
  <c r="Y69" i="39"/>
  <c r="Y70" i="39"/>
  <c r="Y71" i="39"/>
  <c r="Y72" i="39"/>
  <c r="Y73" i="39"/>
  <c r="Y15" i="39"/>
  <c r="Y16" i="39"/>
  <c r="Y14" i="39"/>
  <c r="Z80" i="39" l="1"/>
  <c r="Y80" i="39"/>
  <c r="AA80" i="39"/>
  <c r="AA74" i="39"/>
  <c r="AB106" i="42"/>
  <c r="AE106" i="42"/>
  <c r="K108" i="42" s="1"/>
  <c r="AB74" i="42"/>
  <c r="Z74" i="39"/>
  <c r="Y74" i="39"/>
  <c r="T80" i="41"/>
  <c r="S80" i="41"/>
  <c r="R80" i="41"/>
  <c r="AC79" i="41"/>
  <c r="AA79" i="41"/>
  <c r="Z79" i="41"/>
  <c r="Y79" i="41"/>
  <c r="AE79" i="41" s="1"/>
  <c r="U79" i="41"/>
  <c r="AB79" i="41" s="1"/>
  <c r="AC78" i="41"/>
  <c r="AB78" i="41"/>
  <c r="AA78" i="41"/>
  <c r="Z78" i="41"/>
  <c r="Y78" i="41"/>
  <c r="AE78" i="41" s="1"/>
  <c r="AC77" i="41"/>
  <c r="AA77" i="41"/>
  <c r="Z77" i="41"/>
  <c r="Y77" i="41"/>
  <c r="AE77" i="41" s="1"/>
  <c r="U77" i="41"/>
  <c r="AB77" i="41" s="1"/>
  <c r="AC76" i="41"/>
  <c r="AA76" i="41"/>
  <c r="Z76" i="41"/>
  <c r="Y76" i="41"/>
  <c r="AE76" i="41" s="1"/>
  <c r="U76" i="41"/>
  <c r="AB76" i="41" s="1"/>
  <c r="T74" i="41"/>
  <c r="T106" i="41" s="1"/>
  <c r="S74" i="41"/>
  <c r="R74" i="41"/>
  <c r="AA73" i="41"/>
  <c r="Z73" i="41"/>
  <c r="Y73" i="41"/>
  <c r="AE73" i="41" s="1"/>
  <c r="V73" i="41"/>
  <c r="AC73" i="41" s="1"/>
  <c r="U73" i="41"/>
  <c r="AB73" i="41" s="1"/>
  <c r="Q73" i="41"/>
  <c r="X73" i="41" s="1"/>
  <c r="AA72" i="41"/>
  <c r="Z72" i="41"/>
  <c r="Y72" i="41"/>
  <c r="AE72" i="41" s="1"/>
  <c r="V72" i="41"/>
  <c r="AC72" i="41" s="1"/>
  <c r="U72" i="41"/>
  <c r="AB72" i="41" s="1"/>
  <c r="Q72" i="41"/>
  <c r="X72" i="41" s="1"/>
  <c r="AA71" i="41"/>
  <c r="Z71" i="41"/>
  <c r="Y71" i="41"/>
  <c r="AE71" i="41" s="1"/>
  <c r="V71" i="41"/>
  <c r="AC71" i="41" s="1"/>
  <c r="U71" i="41"/>
  <c r="AB71" i="41" s="1"/>
  <c r="Q71" i="41"/>
  <c r="X71" i="41" s="1"/>
  <c r="AA70" i="41"/>
  <c r="Z70" i="41"/>
  <c r="Y70" i="41"/>
  <c r="AE70" i="41" s="1"/>
  <c r="V70" i="41"/>
  <c r="AC70" i="41" s="1"/>
  <c r="U70" i="41"/>
  <c r="AB70" i="41" s="1"/>
  <c r="Q70" i="41"/>
  <c r="X70" i="41" s="1"/>
  <c r="AA69" i="41"/>
  <c r="Z69" i="41"/>
  <c r="Y69" i="41"/>
  <c r="AE69" i="41" s="1"/>
  <c r="V69" i="41"/>
  <c r="AC69" i="41" s="1"/>
  <c r="U69" i="41"/>
  <c r="AB69" i="41" s="1"/>
  <c r="Q69" i="41"/>
  <c r="X69" i="41" s="1"/>
  <c r="AA68" i="41"/>
  <c r="Z68" i="41"/>
  <c r="Y68" i="41"/>
  <c r="AE68" i="41" s="1"/>
  <c r="V68" i="41"/>
  <c r="AC68" i="41" s="1"/>
  <c r="U68" i="41"/>
  <c r="AB68" i="41" s="1"/>
  <c r="Q68" i="41"/>
  <c r="X68" i="41" s="1"/>
  <c r="AA67" i="41"/>
  <c r="Z67" i="41"/>
  <c r="Y67" i="41"/>
  <c r="AE67" i="41" s="1"/>
  <c r="V67" i="41"/>
  <c r="AC67" i="41" s="1"/>
  <c r="U67" i="41"/>
  <c r="AB67" i="41" s="1"/>
  <c r="Q67" i="41"/>
  <c r="X67" i="41" s="1"/>
  <c r="AE66" i="41"/>
  <c r="AA66" i="41"/>
  <c r="Z66" i="41"/>
  <c r="Y66" i="41"/>
  <c r="V66" i="41"/>
  <c r="AC66" i="41" s="1"/>
  <c r="U66" i="41"/>
  <c r="AB66" i="41" s="1"/>
  <c r="Q66" i="41"/>
  <c r="X66" i="41" s="1"/>
  <c r="AA65" i="41"/>
  <c r="Z65" i="41"/>
  <c r="Y65" i="41"/>
  <c r="AE65" i="41" s="1"/>
  <c r="V65" i="41"/>
  <c r="AC65" i="41" s="1"/>
  <c r="U65" i="41"/>
  <c r="AB65" i="41" s="1"/>
  <c r="Q65" i="41"/>
  <c r="X65" i="41" s="1"/>
  <c r="AA64" i="41"/>
  <c r="Z64" i="41"/>
  <c r="Y64" i="41"/>
  <c r="AE64" i="41" s="1"/>
  <c r="V64" i="41"/>
  <c r="AC64" i="41" s="1"/>
  <c r="U64" i="41"/>
  <c r="AB64" i="41" s="1"/>
  <c r="Q64" i="41"/>
  <c r="X64" i="41" s="1"/>
  <c r="AA63" i="41"/>
  <c r="Z63" i="41"/>
  <c r="Y63" i="41"/>
  <c r="AE63" i="41" s="1"/>
  <c r="V63" i="41"/>
  <c r="AC63" i="41" s="1"/>
  <c r="U63" i="41"/>
  <c r="AB63" i="41" s="1"/>
  <c r="Q63" i="41"/>
  <c r="X63" i="41" s="1"/>
  <c r="AA62" i="41"/>
  <c r="Z62" i="41"/>
  <c r="Y62" i="41"/>
  <c r="AE62" i="41" s="1"/>
  <c r="V62" i="41"/>
  <c r="AC62" i="41" s="1"/>
  <c r="U62" i="41"/>
  <c r="AB62" i="41" s="1"/>
  <c r="Q62" i="41"/>
  <c r="X62" i="41" s="1"/>
  <c r="AA61" i="41"/>
  <c r="Z61" i="41"/>
  <c r="Y61" i="41"/>
  <c r="AE61" i="41" s="1"/>
  <c r="V61" i="41"/>
  <c r="AC61" i="41" s="1"/>
  <c r="U61" i="41"/>
  <c r="AB61" i="41" s="1"/>
  <c r="Q61" i="41"/>
  <c r="X61" i="41" s="1"/>
  <c r="AA60" i="41"/>
  <c r="Z60" i="41"/>
  <c r="Y60" i="41"/>
  <c r="AE60" i="41" s="1"/>
  <c r="V60" i="41"/>
  <c r="AC60" i="41" s="1"/>
  <c r="U60" i="41"/>
  <c r="AB60" i="41" s="1"/>
  <c r="Q60" i="41"/>
  <c r="X60" i="41" s="1"/>
  <c r="AA59" i="41"/>
  <c r="Z59" i="41"/>
  <c r="Y59" i="41"/>
  <c r="AE59" i="41" s="1"/>
  <c r="V59" i="41"/>
  <c r="AC59" i="41" s="1"/>
  <c r="U59" i="41"/>
  <c r="AB59" i="41" s="1"/>
  <c r="Q59" i="41"/>
  <c r="AB58" i="41"/>
  <c r="AA58" i="41"/>
  <c r="Z58" i="41"/>
  <c r="Y58" i="41"/>
  <c r="AE58" i="41" s="1"/>
  <c r="Q58" i="41"/>
  <c r="AA57" i="41"/>
  <c r="Z57" i="41"/>
  <c r="Y57" i="41"/>
  <c r="AE57" i="41" s="1"/>
  <c r="V57" i="41"/>
  <c r="AC57" i="41" s="1"/>
  <c r="U57" i="41"/>
  <c r="AB57" i="41" s="1"/>
  <c r="Q57" i="41"/>
  <c r="X57" i="41" s="1"/>
  <c r="AE56" i="41"/>
  <c r="AA56" i="41"/>
  <c r="Z56" i="41"/>
  <c r="Y56" i="41"/>
  <c r="V56" i="41"/>
  <c r="AC56" i="41" s="1"/>
  <c r="U56" i="41"/>
  <c r="AB56" i="41" s="1"/>
  <c r="Q56" i="41"/>
  <c r="X56" i="41" s="1"/>
  <c r="AA55" i="41"/>
  <c r="Z55" i="41"/>
  <c r="Y55" i="41"/>
  <c r="AE55" i="41" s="1"/>
  <c r="V55" i="41"/>
  <c r="AC55" i="41" s="1"/>
  <c r="U55" i="41"/>
  <c r="AB55" i="41" s="1"/>
  <c r="Q55" i="41"/>
  <c r="X55" i="41" s="1"/>
  <c r="AA54" i="41"/>
  <c r="Z54" i="41"/>
  <c r="Y54" i="41"/>
  <c r="AE54" i="41" s="1"/>
  <c r="V54" i="41"/>
  <c r="AC54" i="41" s="1"/>
  <c r="U54" i="41"/>
  <c r="AB54" i="41" s="1"/>
  <c r="Q54" i="41"/>
  <c r="X54" i="41" s="1"/>
  <c r="AA53" i="41"/>
  <c r="Z53" i="41"/>
  <c r="Y53" i="41"/>
  <c r="AE53" i="41" s="1"/>
  <c r="V53" i="41"/>
  <c r="AC53" i="41" s="1"/>
  <c r="U53" i="41"/>
  <c r="AB53" i="41" s="1"/>
  <c r="Q53" i="41"/>
  <c r="X53" i="41" s="1"/>
  <c r="AA52" i="41"/>
  <c r="Z52" i="41"/>
  <c r="Y52" i="41"/>
  <c r="AE52" i="41" s="1"/>
  <c r="V52" i="41"/>
  <c r="AC52" i="41" s="1"/>
  <c r="U52" i="41"/>
  <c r="AB52" i="41" s="1"/>
  <c r="Q52" i="41"/>
  <c r="AA51" i="41"/>
  <c r="Z51" i="41"/>
  <c r="Y51" i="41"/>
  <c r="AE51" i="41" s="1"/>
  <c r="V51" i="41"/>
  <c r="AC51" i="41" s="1"/>
  <c r="U51" i="41"/>
  <c r="AB51" i="41" s="1"/>
  <c r="Q51" i="41"/>
  <c r="AA50" i="41"/>
  <c r="Z50" i="41"/>
  <c r="Y50" i="41"/>
  <c r="AE50" i="41" s="1"/>
  <c r="V50" i="41"/>
  <c r="AC50" i="41" s="1"/>
  <c r="U50" i="41"/>
  <c r="AB50" i="41" s="1"/>
  <c r="Q50" i="41"/>
  <c r="AA49" i="41"/>
  <c r="Z49" i="41"/>
  <c r="Y49" i="41"/>
  <c r="AE49" i="41" s="1"/>
  <c r="V49" i="41"/>
  <c r="AC49" i="41" s="1"/>
  <c r="U49" i="41"/>
  <c r="AB49" i="41" s="1"/>
  <c r="Q49" i="41"/>
  <c r="AA48" i="41"/>
  <c r="Z48" i="41"/>
  <c r="Y48" i="41"/>
  <c r="AE48" i="41" s="1"/>
  <c r="V48" i="41"/>
  <c r="AC48" i="41" s="1"/>
  <c r="U48" i="41"/>
  <c r="AB48" i="41" s="1"/>
  <c r="Q48" i="41"/>
  <c r="AA47" i="41"/>
  <c r="Z47" i="41"/>
  <c r="Y47" i="41"/>
  <c r="AE47" i="41" s="1"/>
  <c r="V47" i="41"/>
  <c r="AC47" i="41" s="1"/>
  <c r="U47" i="41"/>
  <c r="AB47" i="41" s="1"/>
  <c r="Q47" i="41"/>
  <c r="X47" i="41" s="1"/>
  <c r="AC46" i="41"/>
  <c r="AB46" i="41"/>
  <c r="AA46" i="41"/>
  <c r="Z46" i="41"/>
  <c r="Y46" i="41"/>
  <c r="AE46" i="41" s="1"/>
  <c r="Q46" i="41"/>
  <c r="AA45" i="41"/>
  <c r="Z45" i="41"/>
  <c r="Y45" i="41"/>
  <c r="AE45" i="41" s="1"/>
  <c r="V45" i="41"/>
  <c r="AC45" i="41" s="1"/>
  <c r="U45" i="41"/>
  <c r="AB45" i="41" s="1"/>
  <c r="Q45" i="41"/>
  <c r="X45" i="41" s="1"/>
  <c r="AA44" i="41"/>
  <c r="Z44" i="41"/>
  <c r="Y44" i="41"/>
  <c r="AE44" i="41" s="1"/>
  <c r="V44" i="41"/>
  <c r="AC44" i="41" s="1"/>
  <c r="U44" i="41"/>
  <c r="AB44" i="41" s="1"/>
  <c r="Q44" i="41"/>
  <c r="X44" i="41" s="1"/>
  <c r="AA43" i="41"/>
  <c r="Z43" i="41"/>
  <c r="Y43" i="41"/>
  <c r="AE43" i="41" s="1"/>
  <c r="V43" i="41"/>
  <c r="AC43" i="41" s="1"/>
  <c r="U43" i="41"/>
  <c r="AB43" i="41" s="1"/>
  <c r="Q43" i="41"/>
  <c r="X43" i="41" s="1"/>
  <c r="AA42" i="41"/>
  <c r="Z42" i="41"/>
  <c r="Y42" i="41"/>
  <c r="AE42" i="41" s="1"/>
  <c r="V42" i="41"/>
  <c r="AC42" i="41" s="1"/>
  <c r="U42" i="41"/>
  <c r="AB42" i="41" s="1"/>
  <c r="Q42" i="41"/>
  <c r="X42" i="41" s="1"/>
  <c r="AC41" i="41"/>
  <c r="AB41" i="41"/>
  <c r="AA41" i="41"/>
  <c r="Z41" i="41"/>
  <c r="Y41" i="41"/>
  <c r="AE41" i="41" s="1"/>
  <c r="AA40" i="41"/>
  <c r="Z40" i="41"/>
  <c r="Y40" i="41"/>
  <c r="AE40" i="41" s="1"/>
  <c r="V40" i="41"/>
  <c r="AC40" i="41" s="1"/>
  <c r="U40" i="41"/>
  <c r="AB40" i="41" s="1"/>
  <c r="Q40" i="41"/>
  <c r="X40" i="41" s="1"/>
  <c r="AA39" i="41"/>
  <c r="Z39" i="41"/>
  <c r="Y39" i="41"/>
  <c r="AE39" i="41" s="1"/>
  <c r="V39" i="41"/>
  <c r="AC39" i="41" s="1"/>
  <c r="U39" i="41"/>
  <c r="AB39" i="41" s="1"/>
  <c r="Q39" i="41"/>
  <c r="X39" i="41" s="1"/>
  <c r="AA38" i="41"/>
  <c r="Z38" i="41"/>
  <c r="Y38" i="41"/>
  <c r="AE38" i="41" s="1"/>
  <c r="V38" i="41"/>
  <c r="AC38" i="41" s="1"/>
  <c r="U38" i="41"/>
  <c r="AB38" i="41" s="1"/>
  <c r="Q38" i="41"/>
  <c r="X38" i="41" s="1"/>
  <c r="AA37" i="41"/>
  <c r="Z37" i="41"/>
  <c r="Y37" i="41"/>
  <c r="AE37" i="41" s="1"/>
  <c r="V37" i="41"/>
  <c r="AC37" i="41" s="1"/>
  <c r="U37" i="41"/>
  <c r="AB37" i="41" s="1"/>
  <c r="Q37" i="41"/>
  <c r="X37" i="41" s="1"/>
  <c r="AB36" i="41"/>
  <c r="AA36" i="41"/>
  <c r="Z36" i="41"/>
  <c r="Y36" i="41"/>
  <c r="AE36" i="41" s="1"/>
  <c r="V36" i="41"/>
  <c r="AC36" i="41" s="1"/>
  <c r="Q36" i="41"/>
  <c r="AA35" i="41"/>
  <c r="Z35" i="41"/>
  <c r="Y35" i="41"/>
  <c r="AE35" i="41" s="1"/>
  <c r="V35" i="41"/>
  <c r="AC35" i="41" s="1"/>
  <c r="U35" i="41"/>
  <c r="AB35" i="41" s="1"/>
  <c r="Q35" i="41"/>
  <c r="X35" i="41" s="1"/>
  <c r="AA34" i="41"/>
  <c r="Z34" i="41"/>
  <c r="Y34" i="41"/>
  <c r="AE34" i="41" s="1"/>
  <c r="V34" i="41"/>
  <c r="AC34" i="41" s="1"/>
  <c r="U34" i="41"/>
  <c r="AB34" i="41" s="1"/>
  <c r="Q34" i="41"/>
  <c r="X34" i="41" s="1"/>
  <c r="AB33" i="41"/>
  <c r="AA33" i="41"/>
  <c r="Z33" i="41"/>
  <c r="Y33" i="41"/>
  <c r="AE33" i="41" s="1"/>
  <c r="V33" i="41"/>
  <c r="AC33" i="41" s="1"/>
  <c r="Q33" i="41"/>
  <c r="AA32" i="41"/>
  <c r="Z32" i="41"/>
  <c r="Y32" i="41"/>
  <c r="AE32" i="41" s="1"/>
  <c r="V32" i="41"/>
  <c r="AC32" i="41" s="1"/>
  <c r="U32" i="41"/>
  <c r="AB32" i="41" s="1"/>
  <c r="Q32" i="41"/>
  <c r="X32" i="41" s="1"/>
  <c r="AC31" i="41"/>
  <c r="AB31" i="41"/>
  <c r="AA31" i="41"/>
  <c r="Z31" i="41"/>
  <c r="Y31" i="41"/>
  <c r="AE31" i="41" s="1"/>
  <c r="Q31" i="41"/>
  <c r="AA30" i="41"/>
  <c r="Z30" i="41"/>
  <c r="Y30" i="41"/>
  <c r="AA29" i="41"/>
  <c r="Z29" i="41"/>
  <c r="Y29" i="41"/>
  <c r="AE29" i="41" s="1"/>
  <c r="V29" i="41"/>
  <c r="AC29" i="41" s="1"/>
  <c r="U29" i="41"/>
  <c r="AB29" i="41" s="1"/>
  <c r="Q29" i="41"/>
  <c r="X29" i="41" s="1"/>
  <c r="AA28" i="41"/>
  <c r="Z28" i="41"/>
  <c r="Y28" i="41"/>
  <c r="AE28" i="41" s="1"/>
  <c r="V28" i="41"/>
  <c r="AC28" i="41" s="1"/>
  <c r="U28" i="41"/>
  <c r="AB28" i="41" s="1"/>
  <c r="Q28" i="41"/>
  <c r="X28" i="41" s="1"/>
  <c r="AA27" i="41"/>
  <c r="Z27" i="41"/>
  <c r="Y27" i="41"/>
  <c r="AE27" i="41" s="1"/>
  <c r="V27" i="41"/>
  <c r="AC27" i="41" s="1"/>
  <c r="U27" i="41"/>
  <c r="AB27" i="41" s="1"/>
  <c r="Q27" i="41"/>
  <c r="X27" i="41" s="1"/>
  <c r="AA26" i="41"/>
  <c r="Z26" i="41"/>
  <c r="Y26" i="41"/>
  <c r="AE26" i="41" s="1"/>
  <c r="V26" i="41"/>
  <c r="AC26" i="41" s="1"/>
  <c r="U26" i="41"/>
  <c r="AB26" i="41" s="1"/>
  <c r="Q26" i="41"/>
  <c r="X26" i="41" s="1"/>
  <c r="AA25" i="41"/>
  <c r="Z25" i="41"/>
  <c r="Y25" i="41"/>
  <c r="AE25" i="41" s="1"/>
  <c r="V25" i="41"/>
  <c r="AC25" i="41" s="1"/>
  <c r="U25" i="41"/>
  <c r="AB25" i="41" s="1"/>
  <c r="Q25" i="41"/>
  <c r="X25" i="41" s="1"/>
  <c r="AA24" i="41"/>
  <c r="Z24" i="41"/>
  <c r="Y24" i="41"/>
  <c r="AE24" i="41" s="1"/>
  <c r="V24" i="41"/>
  <c r="AC24" i="41" s="1"/>
  <c r="U24" i="41"/>
  <c r="AB24" i="41" s="1"/>
  <c r="Q24" i="41"/>
  <c r="X24" i="41" s="1"/>
  <c r="AA23" i="41"/>
  <c r="Z23" i="41"/>
  <c r="Y23" i="41"/>
  <c r="AE23" i="41" s="1"/>
  <c r="V23" i="41"/>
  <c r="AC23" i="41" s="1"/>
  <c r="U23" i="41"/>
  <c r="AB23" i="41" s="1"/>
  <c r="Q23" i="41"/>
  <c r="X23" i="41" s="1"/>
  <c r="AB22" i="41"/>
  <c r="AA22" i="41"/>
  <c r="Z22" i="41"/>
  <c r="Y22" i="41"/>
  <c r="AE22" i="41" s="1"/>
  <c r="V22" i="41"/>
  <c r="AC22" i="41" s="1"/>
  <c r="Q22" i="41"/>
  <c r="AA21" i="41"/>
  <c r="Z21" i="41"/>
  <c r="Y21" i="41"/>
  <c r="AE21" i="41" s="1"/>
  <c r="V21" i="41"/>
  <c r="AC21" i="41" s="1"/>
  <c r="U21" i="41"/>
  <c r="AB21" i="41" s="1"/>
  <c r="Q21" i="41"/>
  <c r="X21" i="41" s="1"/>
  <c r="AA20" i="41"/>
  <c r="Z20" i="41"/>
  <c r="Y20" i="41"/>
  <c r="AE20" i="41" s="1"/>
  <c r="V20" i="41"/>
  <c r="AC20" i="41" s="1"/>
  <c r="U20" i="41"/>
  <c r="AB20" i="41" s="1"/>
  <c r="Q20" i="41"/>
  <c r="X20" i="41" s="1"/>
  <c r="AA19" i="41"/>
  <c r="Z19" i="41"/>
  <c r="Y19" i="41"/>
  <c r="AE19" i="41" s="1"/>
  <c r="V19" i="41"/>
  <c r="AC19" i="41" s="1"/>
  <c r="U19" i="41"/>
  <c r="AB19" i="41" s="1"/>
  <c r="Q19" i="41"/>
  <c r="X19" i="41" s="1"/>
  <c r="AA18" i="41"/>
  <c r="Z18" i="41"/>
  <c r="Y18" i="41"/>
  <c r="AE18" i="41" s="1"/>
  <c r="V18" i="41"/>
  <c r="AC18" i="41" s="1"/>
  <c r="U18" i="41"/>
  <c r="AB18" i="41" s="1"/>
  <c r="Q18" i="41"/>
  <c r="X18" i="41" s="1"/>
  <c r="AA17" i="41"/>
  <c r="Z17" i="41"/>
  <c r="Y17" i="41"/>
  <c r="AE17" i="41" s="1"/>
  <c r="V17" i="41"/>
  <c r="AC17" i="41" s="1"/>
  <c r="U17" i="41"/>
  <c r="AB17" i="41" s="1"/>
  <c r="Q17" i="41"/>
  <c r="X17" i="41" s="1"/>
  <c r="AA16" i="41"/>
  <c r="Z16" i="41"/>
  <c r="Y16" i="41"/>
  <c r="AE16" i="41" s="1"/>
  <c r="V16" i="41"/>
  <c r="AC16" i="41" s="1"/>
  <c r="U16" i="41"/>
  <c r="AB16" i="41" s="1"/>
  <c r="Q16" i="41"/>
  <c r="X16" i="41" s="1"/>
  <c r="AC15" i="41"/>
  <c r="AB15" i="41"/>
  <c r="AA15" i="41"/>
  <c r="Z15" i="41"/>
  <c r="Y15" i="41"/>
  <c r="AE15" i="41" s="1"/>
  <c r="AA14" i="41"/>
  <c r="Z14" i="41"/>
  <c r="Y14" i="41"/>
  <c r="AE14" i="41" s="1"/>
  <c r="V14" i="41"/>
  <c r="AC14" i="41" s="1"/>
  <c r="U14" i="41"/>
  <c r="AB14" i="41" s="1"/>
  <c r="Q14" i="41"/>
  <c r="X14" i="41" s="1"/>
  <c r="S106" i="41" l="1"/>
  <c r="R106" i="41"/>
  <c r="U80" i="41"/>
  <c r="AA74" i="41"/>
  <c r="U74" i="41"/>
  <c r="AA80" i="41"/>
  <c r="Z74" i="41"/>
  <c r="Z80" i="41"/>
  <c r="AB80" i="41"/>
  <c r="AE80" i="41"/>
  <c r="AE74" i="41"/>
  <c r="AE106" i="41" s="1"/>
  <c r="K108" i="41" s="1"/>
  <c r="Y80" i="41"/>
  <c r="Y74" i="41"/>
  <c r="Y106" i="41" l="1"/>
  <c r="U106" i="41"/>
  <c r="AA106" i="41"/>
  <c r="Z106" i="41"/>
  <c r="AB74" i="41"/>
  <c r="AB106" i="41" s="1"/>
  <c r="T80" i="40" l="1"/>
  <c r="S80" i="40"/>
  <c r="R80" i="40"/>
  <c r="AC79" i="40"/>
  <c r="AA79" i="40"/>
  <c r="Z79" i="40"/>
  <c r="Y79" i="40"/>
  <c r="AE79" i="40" s="1"/>
  <c r="U79" i="40"/>
  <c r="AB79" i="40" s="1"/>
  <c r="AC78" i="40"/>
  <c r="AB78" i="40"/>
  <c r="AA78" i="40"/>
  <c r="Z78" i="40"/>
  <c r="Y78" i="40"/>
  <c r="AE78" i="40" s="1"/>
  <c r="AE77" i="40"/>
  <c r="AC77" i="40"/>
  <c r="AA77" i="40"/>
  <c r="Z77" i="40"/>
  <c r="Y77" i="40"/>
  <c r="U77" i="40"/>
  <c r="AB77" i="40" s="1"/>
  <c r="AC76" i="40"/>
  <c r="AA76" i="40"/>
  <c r="Z76" i="40"/>
  <c r="Y76" i="40"/>
  <c r="U76" i="40"/>
  <c r="T74" i="40"/>
  <c r="S74" i="40"/>
  <c r="R74" i="40"/>
  <c r="AA73" i="40"/>
  <c r="Z73" i="40"/>
  <c r="Y73" i="40"/>
  <c r="AE73" i="40" s="1"/>
  <c r="V73" i="40"/>
  <c r="AC73" i="40" s="1"/>
  <c r="U73" i="40"/>
  <c r="AB73" i="40" s="1"/>
  <c r="Q73" i="40"/>
  <c r="X73" i="40" s="1"/>
  <c r="AA72" i="40"/>
  <c r="Z72" i="40"/>
  <c r="Y72" i="40"/>
  <c r="AE72" i="40" s="1"/>
  <c r="V72" i="40"/>
  <c r="AC72" i="40" s="1"/>
  <c r="U72" i="40"/>
  <c r="AB72" i="40" s="1"/>
  <c r="Q72" i="40"/>
  <c r="X72" i="40" s="1"/>
  <c r="AA71" i="40"/>
  <c r="Z71" i="40"/>
  <c r="Y71" i="40"/>
  <c r="AE71" i="40" s="1"/>
  <c r="V71" i="40"/>
  <c r="AC71" i="40" s="1"/>
  <c r="U71" i="40"/>
  <c r="AB71" i="40" s="1"/>
  <c r="Q71" i="40"/>
  <c r="X71" i="40" s="1"/>
  <c r="AA70" i="40"/>
  <c r="Z70" i="40"/>
  <c r="Y70" i="40"/>
  <c r="AE70" i="40" s="1"/>
  <c r="V70" i="40"/>
  <c r="AC70" i="40" s="1"/>
  <c r="U70" i="40"/>
  <c r="AB70" i="40" s="1"/>
  <c r="Q70" i="40"/>
  <c r="X70" i="40" s="1"/>
  <c r="AA69" i="40"/>
  <c r="Z69" i="40"/>
  <c r="Y69" i="40"/>
  <c r="AE69" i="40" s="1"/>
  <c r="V69" i="40"/>
  <c r="AC69" i="40" s="1"/>
  <c r="U69" i="40"/>
  <c r="AB69" i="40" s="1"/>
  <c r="Q69" i="40"/>
  <c r="X69" i="40" s="1"/>
  <c r="AA68" i="40"/>
  <c r="Z68" i="40"/>
  <c r="Y68" i="40"/>
  <c r="AE68" i="40" s="1"/>
  <c r="V68" i="40"/>
  <c r="AC68" i="40" s="1"/>
  <c r="U68" i="40"/>
  <c r="AB68" i="40" s="1"/>
  <c r="Q68" i="40"/>
  <c r="X68" i="40" s="1"/>
  <c r="AA67" i="40"/>
  <c r="Z67" i="40"/>
  <c r="Y67" i="40"/>
  <c r="AE67" i="40" s="1"/>
  <c r="V67" i="40"/>
  <c r="AC67" i="40" s="1"/>
  <c r="U67" i="40"/>
  <c r="AB67" i="40" s="1"/>
  <c r="Q67" i="40"/>
  <c r="X67" i="40" s="1"/>
  <c r="AA66" i="40"/>
  <c r="Z66" i="40"/>
  <c r="Y66" i="40"/>
  <c r="AE66" i="40" s="1"/>
  <c r="X66" i="40"/>
  <c r="V66" i="40"/>
  <c r="AC66" i="40" s="1"/>
  <c r="U66" i="40"/>
  <c r="AB66" i="40" s="1"/>
  <c r="Q66" i="40"/>
  <c r="AA65" i="40"/>
  <c r="Z65" i="40"/>
  <c r="Y65" i="40"/>
  <c r="AE65" i="40" s="1"/>
  <c r="V65" i="40"/>
  <c r="AC65" i="40" s="1"/>
  <c r="U65" i="40"/>
  <c r="AB65" i="40" s="1"/>
  <c r="Q65" i="40"/>
  <c r="X65" i="40" s="1"/>
  <c r="AA64" i="40"/>
  <c r="Z64" i="40"/>
  <c r="Y64" i="40"/>
  <c r="AE64" i="40" s="1"/>
  <c r="V64" i="40"/>
  <c r="AC64" i="40" s="1"/>
  <c r="U64" i="40"/>
  <c r="AB64" i="40" s="1"/>
  <c r="Q64" i="40"/>
  <c r="X64" i="40" s="1"/>
  <c r="AA63" i="40"/>
  <c r="Z63" i="40"/>
  <c r="Y63" i="40"/>
  <c r="AE63" i="40" s="1"/>
  <c r="V63" i="40"/>
  <c r="AC63" i="40" s="1"/>
  <c r="U63" i="40"/>
  <c r="AB63" i="40" s="1"/>
  <c r="Q63" i="40"/>
  <c r="X63" i="40" s="1"/>
  <c r="AA62" i="40"/>
  <c r="Z62" i="40"/>
  <c r="Y62" i="40"/>
  <c r="AE62" i="40" s="1"/>
  <c r="V62" i="40"/>
  <c r="AC62" i="40" s="1"/>
  <c r="U62" i="40"/>
  <c r="AB62" i="40" s="1"/>
  <c r="Q62" i="40"/>
  <c r="X62" i="40" s="1"/>
  <c r="AA61" i="40"/>
  <c r="Z61" i="40"/>
  <c r="Y61" i="40"/>
  <c r="AE61" i="40" s="1"/>
  <c r="V61" i="40"/>
  <c r="AC61" i="40" s="1"/>
  <c r="U61" i="40"/>
  <c r="AB61" i="40" s="1"/>
  <c r="Q61" i="40"/>
  <c r="X61" i="40" s="1"/>
  <c r="AE60" i="40"/>
  <c r="AA60" i="40"/>
  <c r="Z60" i="40"/>
  <c r="Y60" i="40"/>
  <c r="V60" i="40"/>
  <c r="AC60" i="40" s="1"/>
  <c r="U60" i="40"/>
  <c r="AB60" i="40" s="1"/>
  <c r="Q60" i="40"/>
  <c r="X60" i="40" s="1"/>
  <c r="AA59" i="40"/>
  <c r="Z59" i="40"/>
  <c r="Y59" i="40"/>
  <c r="AE59" i="40" s="1"/>
  <c r="V59" i="40"/>
  <c r="AC59" i="40" s="1"/>
  <c r="U59" i="40"/>
  <c r="AB59" i="40" s="1"/>
  <c r="Q59" i="40"/>
  <c r="AB58" i="40"/>
  <c r="AA58" i="40"/>
  <c r="Y58" i="40"/>
  <c r="AE58" i="40" s="1"/>
  <c r="Q58" i="40"/>
  <c r="AA57" i="40"/>
  <c r="Z57" i="40"/>
  <c r="Y57" i="40"/>
  <c r="AE57" i="40" s="1"/>
  <c r="V57" i="40"/>
  <c r="AC57" i="40" s="1"/>
  <c r="U57" i="40"/>
  <c r="AB57" i="40" s="1"/>
  <c r="Q57" i="40"/>
  <c r="X57" i="40" s="1"/>
  <c r="AA56" i="40"/>
  <c r="Z56" i="40"/>
  <c r="Y56" i="40"/>
  <c r="AE56" i="40" s="1"/>
  <c r="V56" i="40"/>
  <c r="AC56" i="40" s="1"/>
  <c r="U56" i="40"/>
  <c r="AB56" i="40" s="1"/>
  <c r="Q56" i="40"/>
  <c r="X56" i="40" s="1"/>
  <c r="AA55" i="40"/>
  <c r="Z55" i="40"/>
  <c r="Y55" i="40"/>
  <c r="AE55" i="40" s="1"/>
  <c r="V55" i="40"/>
  <c r="AC55" i="40" s="1"/>
  <c r="U55" i="40"/>
  <c r="AB55" i="40" s="1"/>
  <c r="Q55" i="40"/>
  <c r="X55" i="40" s="1"/>
  <c r="AA54" i="40"/>
  <c r="Z54" i="40"/>
  <c r="Y54" i="40"/>
  <c r="AE54" i="40" s="1"/>
  <c r="V54" i="40"/>
  <c r="AC54" i="40" s="1"/>
  <c r="U54" i="40"/>
  <c r="AB54" i="40" s="1"/>
  <c r="Q54" i="40"/>
  <c r="X54" i="40" s="1"/>
  <c r="AA53" i="40"/>
  <c r="Z53" i="40"/>
  <c r="Y53" i="40"/>
  <c r="AE53" i="40" s="1"/>
  <c r="V53" i="40"/>
  <c r="AC53" i="40" s="1"/>
  <c r="U53" i="40"/>
  <c r="AB53" i="40" s="1"/>
  <c r="Q53" i="40"/>
  <c r="X53" i="40" s="1"/>
  <c r="AA52" i="40"/>
  <c r="Z52" i="40"/>
  <c r="Y52" i="40"/>
  <c r="AE52" i="40" s="1"/>
  <c r="V52" i="40"/>
  <c r="AC52" i="40" s="1"/>
  <c r="U52" i="40"/>
  <c r="AB52" i="40" s="1"/>
  <c r="Q52" i="40"/>
  <c r="AA51" i="40"/>
  <c r="Z51" i="40"/>
  <c r="Y51" i="40"/>
  <c r="AE51" i="40" s="1"/>
  <c r="V51" i="40"/>
  <c r="AC51" i="40" s="1"/>
  <c r="U51" i="40"/>
  <c r="AB51" i="40" s="1"/>
  <c r="Q51" i="40"/>
  <c r="AA50" i="40"/>
  <c r="Z50" i="40"/>
  <c r="Y50" i="40"/>
  <c r="AE50" i="40" s="1"/>
  <c r="V50" i="40"/>
  <c r="AC50" i="40" s="1"/>
  <c r="U50" i="40"/>
  <c r="AB50" i="40" s="1"/>
  <c r="Q50" i="40"/>
  <c r="AA49" i="40"/>
  <c r="Z49" i="40"/>
  <c r="Y49" i="40"/>
  <c r="AE49" i="40" s="1"/>
  <c r="V49" i="40"/>
  <c r="AC49" i="40" s="1"/>
  <c r="U49" i="40"/>
  <c r="AB49" i="40" s="1"/>
  <c r="Q49" i="40"/>
  <c r="AA48" i="40"/>
  <c r="Z48" i="40"/>
  <c r="Y48" i="40"/>
  <c r="AE48" i="40" s="1"/>
  <c r="V48" i="40"/>
  <c r="AC48" i="40" s="1"/>
  <c r="U48" i="40"/>
  <c r="AB48" i="40" s="1"/>
  <c r="Q48" i="40"/>
  <c r="AA47" i="40"/>
  <c r="Z47" i="40"/>
  <c r="Y47" i="40"/>
  <c r="AE47" i="40" s="1"/>
  <c r="V47" i="40"/>
  <c r="AC47" i="40" s="1"/>
  <c r="U47" i="40"/>
  <c r="AB47" i="40" s="1"/>
  <c r="Q47" i="40"/>
  <c r="X47" i="40" s="1"/>
  <c r="AC46" i="40"/>
  <c r="AB46" i="40"/>
  <c r="AA46" i="40"/>
  <c r="Z46" i="40"/>
  <c r="Y46" i="40"/>
  <c r="AE46" i="40" s="1"/>
  <c r="Q46" i="40"/>
  <c r="AA45" i="40"/>
  <c r="Z45" i="40"/>
  <c r="Y45" i="40"/>
  <c r="AE45" i="40" s="1"/>
  <c r="V45" i="40"/>
  <c r="AC45" i="40" s="1"/>
  <c r="U45" i="40"/>
  <c r="AB45" i="40" s="1"/>
  <c r="Q45" i="40"/>
  <c r="X45" i="40" s="1"/>
  <c r="AA44" i="40"/>
  <c r="Z44" i="40"/>
  <c r="Y44" i="40"/>
  <c r="AE44" i="40" s="1"/>
  <c r="V44" i="40"/>
  <c r="AC44" i="40" s="1"/>
  <c r="U44" i="40"/>
  <c r="AB44" i="40" s="1"/>
  <c r="Q44" i="40"/>
  <c r="X44" i="40" s="1"/>
  <c r="AA43" i="40"/>
  <c r="Z43" i="40"/>
  <c r="Y43" i="40"/>
  <c r="AE43" i="40" s="1"/>
  <c r="V43" i="40"/>
  <c r="AC43" i="40" s="1"/>
  <c r="U43" i="40"/>
  <c r="AB43" i="40" s="1"/>
  <c r="Q43" i="40"/>
  <c r="X43" i="40" s="1"/>
  <c r="AA42" i="40"/>
  <c r="Z42" i="40"/>
  <c r="Y42" i="40"/>
  <c r="AE42" i="40" s="1"/>
  <c r="V42" i="40"/>
  <c r="AC42" i="40" s="1"/>
  <c r="U42" i="40"/>
  <c r="AB42" i="40" s="1"/>
  <c r="Q42" i="40"/>
  <c r="X42" i="40" s="1"/>
  <c r="AC41" i="40"/>
  <c r="AB41" i="40"/>
  <c r="AA41" i="40"/>
  <c r="Z41" i="40"/>
  <c r="Y41" i="40"/>
  <c r="AE41" i="40" s="1"/>
  <c r="AA40" i="40"/>
  <c r="Z40" i="40"/>
  <c r="Y40" i="40"/>
  <c r="AE40" i="40" s="1"/>
  <c r="V40" i="40"/>
  <c r="AC40" i="40" s="1"/>
  <c r="U40" i="40"/>
  <c r="AB40" i="40" s="1"/>
  <c r="Q40" i="40"/>
  <c r="X40" i="40" s="1"/>
  <c r="AA39" i="40"/>
  <c r="Z39" i="40"/>
  <c r="Y39" i="40"/>
  <c r="AE39" i="40" s="1"/>
  <c r="V39" i="40"/>
  <c r="AC39" i="40" s="1"/>
  <c r="U39" i="40"/>
  <c r="AB39" i="40" s="1"/>
  <c r="Q39" i="40"/>
  <c r="X39" i="40" s="1"/>
  <c r="AA38" i="40"/>
  <c r="Z38" i="40"/>
  <c r="Y38" i="40"/>
  <c r="AE38" i="40" s="1"/>
  <c r="V38" i="40"/>
  <c r="AC38" i="40" s="1"/>
  <c r="U38" i="40"/>
  <c r="AB38" i="40" s="1"/>
  <c r="Q38" i="40"/>
  <c r="X38" i="40" s="1"/>
  <c r="AA37" i="40"/>
  <c r="Z37" i="40"/>
  <c r="Y37" i="40"/>
  <c r="AE37" i="40" s="1"/>
  <c r="V37" i="40"/>
  <c r="AC37" i="40" s="1"/>
  <c r="U37" i="40"/>
  <c r="AB37" i="40" s="1"/>
  <c r="Q37" i="40"/>
  <c r="X37" i="40" s="1"/>
  <c r="AB36" i="40"/>
  <c r="AA36" i="40"/>
  <c r="Z36" i="40"/>
  <c r="Y36" i="40"/>
  <c r="AE36" i="40" s="1"/>
  <c r="V36" i="40"/>
  <c r="AC36" i="40" s="1"/>
  <c r="Q36" i="40"/>
  <c r="AA35" i="40"/>
  <c r="Z35" i="40"/>
  <c r="Y35" i="40"/>
  <c r="AE35" i="40" s="1"/>
  <c r="V35" i="40"/>
  <c r="AC35" i="40" s="1"/>
  <c r="U35" i="40"/>
  <c r="AB35" i="40" s="1"/>
  <c r="Q35" i="40"/>
  <c r="X35" i="40" s="1"/>
  <c r="AA34" i="40"/>
  <c r="Z34" i="40"/>
  <c r="Y34" i="40"/>
  <c r="AE34" i="40" s="1"/>
  <c r="V34" i="40"/>
  <c r="AC34" i="40" s="1"/>
  <c r="U34" i="40"/>
  <c r="AB34" i="40" s="1"/>
  <c r="Q34" i="40"/>
  <c r="X34" i="40" s="1"/>
  <c r="AB33" i="40"/>
  <c r="AA33" i="40"/>
  <c r="Z33" i="40"/>
  <c r="Y33" i="40"/>
  <c r="AE33" i="40" s="1"/>
  <c r="V33" i="40"/>
  <c r="AC33" i="40" s="1"/>
  <c r="Q33" i="40"/>
  <c r="AA32" i="40"/>
  <c r="Z32" i="40"/>
  <c r="Y32" i="40"/>
  <c r="AE32" i="40" s="1"/>
  <c r="V32" i="40"/>
  <c r="AC32" i="40" s="1"/>
  <c r="U32" i="40"/>
  <c r="AB32" i="40" s="1"/>
  <c r="Q32" i="40"/>
  <c r="X32" i="40" s="1"/>
  <c r="AC31" i="40"/>
  <c r="AB31" i="40"/>
  <c r="AA31" i="40"/>
  <c r="Z31" i="40"/>
  <c r="Y31" i="40"/>
  <c r="AE31" i="40" s="1"/>
  <c r="Q31" i="40"/>
  <c r="Y30" i="40"/>
  <c r="AA29" i="40"/>
  <c r="Z29" i="40"/>
  <c r="Y29" i="40"/>
  <c r="AE29" i="40" s="1"/>
  <c r="V29" i="40"/>
  <c r="AC29" i="40" s="1"/>
  <c r="U29" i="40"/>
  <c r="AB29" i="40" s="1"/>
  <c r="Q29" i="40"/>
  <c r="X29" i="40" s="1"/>
  <c r="AA28" i="40"/>
  <c r="Z28" i="40"/>
  <c r="Y28" i="40"/>
  <c r="AE28" i="40" s="1"/>
  <c r="V28" i="40"/>
  <c r="AC28" i="40" s="1"/>
  <c r="U28" i="40"/>
  <c r="AB28" i="40" s="1"/>
  <c r="Q28" i="40"/>
  <c r="X28" i="40" s="1"/>
  <c r="AA27" i="40"/>
  <c r="Z27" i="40"/>
  <c r="Y27" i="40"/>
  <c r="AE27" i="40" s="1"/>
  <c r="V27" i="40"/>
  <c r="AC27" i="40" s="1"/>
  <c r="U27" i="40"/>
  <c r="AB27" i="40" s="1"/>
  <c r="Q27" i="40"/>
  <c r="X27" i="40" s="1"/>
  <c r="AA26" i="40"/>
  <c r="Z26" i="40"/>
  <c r="Y26" i="40"/>
  <c r="AE26" i="40" s="1"/>
  <c r="V26" i="40"/>
  <c r="AC26" i="40" s="1"/>
  <c r="U26" i="40"/>
  <c r="AB26" i="40" s="1"/>
  <c r="Q26" i="40"/>
  <c r="X26" i="40" s="1"/>
  <c r="AA25" i="40"/>
  <c r="Z25" i="40"/>
  <c r="Y25" i="40"/>
  <c r="AE25" i="40" s="1"/>
  <c r="V25" i="40"/>
  <c r="AC25" i="40" s="1"/>
  <c r="U25" i="40"/>
  <c r="AB25" i="40" s="1"/>
  <c r="Q25" i="40"/>
  <c r="X25" i="40" s="1"/>
  <c r="AA24" i="40"/>
  <c r="Z24" i="40"/>
  <c r="Y24" i="40"/>
  <c r="AE24" i="40" s="1"/>
  <c r="V24" i="40"/>
  <c r="AC24" i="40" s="1"/>
  <c r="U24" i="40"/>
  <c r="AB24" i="40" s="1"/>
  <c r="Q24" i="40"/>
  <c r="X24" i="40" s="1"/>
  <c r="AA23" i="40"/>
  <c r="Z23" i="40"/>
  <c r="Y23" i="40"/>
  <c r="AE23" i="40" s="1"/>
  <c r="V23" i="40"/>
  <c r="AC23" i="40" s="1"/>
  <c r="U23" i="40"/>
  <c r="AB23" i="40" s="1"/>
  <c r="Q23" i="40"/>
  <c r="X23" i="40" s="1"/>
  <c r="AB22" i="40"/>
  <c r="AA22" i="40"/>
  <c r="Z22" i="40"/>
  <c r="Y22" i="40"/>
  <c r="AE22" i="40" s="1"/>
  <c r="V22" i="40"/>
  <c r="AC22" i="40" s="1"/>
  <c r="Q22" i="40"/>
  <c r="AA21" i="40"/>
  <c r="Z21" i="40"/>
  <c r="Y21" i="40"/>
  <c r="AE21" i="40" s="1"/>
  <c r="V21" i="40"/>
  <c r="AC21" i="40" s="1"/>
  <c r="U21" i="40"/>
  <c r="AB21" i="40" s="1"/>
  <c r="Q21" i="40"/>
  <c r="X21" i="40" s="1"/>
  <c r="AA20" i="40"/>
  <c r="Z20" i="40"/>
  <c r="Y20" i="40"/>
  <c r="AE20" i="40" s="1"/>
  <c r="V20" i="40"/>
  <c r="AC20" i="40" s="1"/>
  <c r="U20" i="40"/>
  <c r="AB20" i="40" s="1"/>
  <c r="Q20" i="40"/>
  <c r="X20" i="40" s="1"/>
  <c r="AA19" i="40"/>
  <c r="Z19" i="40"/>
  <c r="Y19" i="40"/>
  <c r="AE19" i="40" s="1"/>
  <c r="V19" i="40"/>
  <c r="AC19" i="40" s="1"/>
  <c r="U19" i="40"/>
  <c r="AB19" i="40" s="1"/>
  <c r="Q19" i="40"/>
  <c r="X19" i="40" s="1"/>
  <c r="AA18" i="40"/>
  <c r="Z18" i="40"/>
  <c r="Y18" i="40"/>
  <c r="AE18" i="40" s="1"/>
  <c r="V18" i="40"/>
  <c r="AC18" i="40" s="1"/>
  <c r="U18" i="40"/>
  <c r="AB18" i="40" s="1"/>
  <c r="Q18" i="40"/>
  <c r="X18" i="40" s="1"/>
  <c r="AA17" i="40"/>
  <c r="Z17" i="40"/>
  <c r="Y17" i="40"/>
  <c r="AE17" i="40" s="1"/>
  <c r="V17" i="40"/>
  <c r="AC17" i="40" s="1"/>
  <c r="U17" i="40"/>
  <c r="AB17" i="40" s="1"/>
  <c r="Q17" i="40"/>
  <c r="X17" i="40" s="1"/>
  <c r="AA16" i="40"/>
  <c r="Z16" i="40"/>
  <c r="Y16" i="40"/>
  <c r="AE16" i="40" s="1"/>
  <c r="V16" i="40"/>
  <c r="AC16" i="40" s="1"/>
  <c r="U16" i="40"/>
  <c r="AB16" i="40" s="1"/>
  <c r="Q16" i="40"/>
  <c r="X16" i="40" s="1"/>
  <c r="AC15" i="40"/>
  <c r="AB15" i="40"/>
  <c r="AA15" i="40"/>
  <c r="Z15" i="40"/>
  <c r="Y15" i="40"/>
  <c r="AE15" i="40" s="1"/>
  <c r="Q15" i="40"/>
  <c r="AA14" i="40"/>
  <c r="Z14" i="40"/>
  <c r="Y14" i="40"/>
  <c r="AE14" i="40" s="1"/>
  <c r="V14" i="40"/>
  <c r="AC14" i="40" s="1"/>
  <c r="U14" i="40"/>
  <c r="AB14" i="40" s="1"/>
  <c r="Q14" i="40"/>
  <c r="X14" i="40" s="1"/>
  <c r="AA80" i="40" l="1"/>
  <c r="U80" i="40"/>
  <c r="AB76" i="40"/>
  <c r="AB80" i="40" s="1"/>
  <c r="Y80" i="40"/>
  <c r="R106" i="40"/>
  <c r="Z80" i="40"/>
  <c r="S106" i="40"/>
  <c r="Z74" i="40"/>
  <c r="AA74" i="40"/>
  <c r="AA106" i="40" s="1"/>
  <c r="U74" i="40"/>
  <c r="U106" i="40" s="1"/>
  <c r="AE74" i="40"/>
  <c r="AE76" i="40"/>
  <c r="AE80" i="40" s="1"/>
  <c r="T106" i="40"/>
  <c r="Y74" i="40"/>
  <c r="Y106" i="40" l="1"/>
  <c r="AE106" i="40"/>
  <c r="K108" i="40" s="1"/>
  <c r="AB74" i="40"/>
  <c r="AB106" i="40" s="1"/>
  <c r="Z106" i="40"/>
  <c r="AB31" i="39" l="1"/>
  <c r="AE31" i="39"/>
  <c r="AC31" i="39"/>
  <c r="AE70" i="39" l="1"/>
  <c r="AE67" i="39"/>
  <c r="AE68" i="39"/>
  <c r="AE69" i="39"/>
  <c r="AE71" i="39"/>
  <c r="U73" i="39" l="1"/>
  <c r="AB73" i="39" s="1"/>
  <c r="U67" i="39"/>
  <c r="AB67" i="39" s="1"/>
  <c r="U68" i="39"/>
  <c r="AB68" i="39" s="1"/>
  <c r="U69" i="39"/>
  <c r="AB69" i="39" s="1"/>
  <c r="U70" i="39"/>
  <c r="AB70" i="39" s="1"/>
  <c r="U71" i="39"/>
  <c r="AB71" i="39" s="1"/>
  <c r="U72" i="39"/>
  <c r="AB72" i="39" s="1"/>
  <c r="V16" i="39"/>
  <c r="V17" i="39"/>
  <c r="V18" i="39"/>
  <c r="V19" i="39"/>
  <c r="V20" i="39"/>
  <c r="V21" i="39"/>
  <c r="V22" i="39"/>
  <c r="V23" i="39"/>
  <c r="V24" i="39"/>
  <c r="V25" i="39"/>
  <c r="V26" i="39"/>
  <c r="V27" i="39"/>
  <c r="V28" i="39"/>
  <c r="V29" i="39"/>
  <c r="V32" i="39"/>
  <c r="V33" i="39"/>
  <c r="V34" i="39"/>
  <c r="V35" i="39"/>
  <c r="V36" i="39"/>
  <c r="V37" i="39"/>
  <c r="V38" i="39"/>
  <c r="V39" i="39"/>
  <c r="V40" i="39"/>
  <c r="V42" i="39"/>
  <c r="V43" i="39"/>
  <c r="V44" i="39"/>
  <c r="V45" i="39"/>
  <c r="V47" i="39"/>
  <c r="V48" i="39"/>
  <c r="V49" i="39"/>
  <c r="V50" i="39"/>
  <c r="V51" i="39"/>
  <c r="V52" i="39"/>
  <c r="V53" i="39"/>
  <c r="V55" i="39"/>
  <c r="V56" i="39"/>
  <c r="V57" i="39"/>
  <c r="V59" i="39"/>
  <c r="V60" i="39"/>
  <c r="V61" i="39"/>
  <c r="V62" i="39"/>
  <c r="V63" i="39"/>
  <c r="V64" i="39"/>
  <c r="V65" i="39"/>
  <c r="V66" i="39"/>
  <c r="V67" i="39"/>
  <c r="AC67" i="39" s="1"/>
  <c r="V68" i="39"/>
  <c r="AC68" i="39" s="1"/>
  <c r="V69" i="39"/>
  <c r="AC69" i="39" s="1"/>
  <c r="V70" i="39"/>
  <c r="AC70" i="39" s="1"/>
  <c r="V71" i="39"/>
  <c r="AC71" i="39" s="1"/>
  <c r="V72" i="39"/>
  <c r="AC72" i="39" s="1"/>
  <c r="V73" i="39"/>
  <c r="AC73" i="39" s="1"/>
  <c r="V14" i="39"/>
  <c r="Q71" i="39" l="1"/>
  <c r="X71" i="39" s="1"/>
  <c r="Q70" i="39"/>
  <c r="X70" i="39" s="1"/>
  <c r="Q69" i="39"/>
  <c r="X69" i="39" s="1"/>
  <c r="Q67" i="39"/>
  <c r="X67" i="39" s="1"/>
  <c r="Q38" i="39" l="1"/>
  <c r="Q44" i="39" l="1"/>
  <c r="X44" i="39" s="1"/>
  <c r="U44" i="39"/>
  <c r="AB44" i="39" s="1"/>
  <c r="AE44" i="39"/>
  <c r="AC44" i="39"/>
  <c r="Q39" i="39"/>
  <c r="X39" i="39" s="1"/>
  <c r="U39" i="39"/>
  <c r="AB39" i="39" s="1"/>
  <c r="AE39" i="39"/>
  <c r="AC39" i="39"/>
  <c r="R74" i="39" l="1"/>
  <c r="U48" i="39" l="1"/>
  <c r="U49" i="39"/>
  <c r="U50" i="39"/>
  <c r="U51" i="39"/>
  <c r="U52" i="39"/>
  <c r="U53" i="39"/>
  <c r="U55" i="39"/>
  <c r="U14" i="39"/>
  <c r="AC15" i="39" l="1"/>
  <c r="AC16" i="39"/>
  <c r="AC17" i="39"/>
  <c r="AC18" i="39"/>
  <c r="AC19" i="39"/>
  <c r="AC20" i="39"/>
  <c r="AC21" i="39"/>
  <c r="AC22" i="39"/>
  <c r="AC23" i="39"/>
  <c r="AC24" i="39"/>
  <c r="AC25" i="39"/>
  <c r="AC26" i="39"/>
  <c r="AC27" i="39"/>
  <c r="AC28" i="39"/>
  <c r="AC29" i="39"/>
  <c r="AC32" i="39"/>
  <c r="AC33" i="39"/>
  <c r="AC34" i="39"/>
  <c r="AC35" i="39"/>
  <c r="AC36" i="39"/>
  <c r="AC37" i="39"/>
  <c r="AC38" i="39"/>
  <c r="AC40" i="39"/>
  <c r="AC41" i="39"/>
  <c r="AC42" i="39"/>
  <c r="AC43" i="39"/>
  <c r="AC45" i="39"/>
  <c r="AC46" i="39"/>
  <c r="AC47" i="39"/>
  <c r="AC48" i="39"/>
  <c r="AC49" i="39"/>
  <c r="AC50" i="39"/>
  <c r="AC51" i="39"/>
  <c r="AC52" i="39"/>
  <c r="AC53" i="39"/>
  <c r="AC54" i="39"/>
  <c r="AC55" i="39"/>
  <c r="AC56" i="39"/>
  <c r="AC57" i="39"/>
  <c r="AC59" i="39"/>
  <c r="AC60" i="39"/>
  <c r="AC61" i="39"/>
  <c r="AC62" i="39"/>
  <c r="AC63" i="39"/>
  <c r="AC64" i="39"/>
  <c r="AC65" i="39"/>
  <c r="AC66" i="39"/>
  <c r="T74" i="39" l="1"/>
  <c r="S74" i="39"/>
  <c r="Q73" i="39"/>
  <c r="X73" i="39" s="1"/>
  <c r="AE73" i="39" l="1"/>
  <c r="Q48" i="39" l="1"/>
  <c r="Q51" i="39"/>
  <c r="Q42" i="39"/>
  <c r="X42" i="39" s="1"/>
  <c r="AB78" i="39"/>
  <c r="U79" i="39"/>
  <c r="AB79" i="39" s="1"/>
  <c r="Q57" i="39"/>
  <c r="X57" i="39" s="1"/>
  <c r="Q58" i="39"/>
  <c r="Q40" i="39"/>
  <c r="X40" i="39" s="1"/>
  <c r="Q72" i="39"/>
  <c r="X72" i="39" s="1"/>
  <c r="Q66" i="39"/>
  <c r="X66" i="39" s="1"/>
  <c r="Q65" i="39"/>
  <c r="X65" i="39" s="1"/>
  <c r="Q63" i="39"/>
  <c r="X63" i="39" s="1"/>
  <c r="Q62" i="39"/>
  <c r="X62" i="39" s="1"/>
  <c r="Q59" i="39"/>
  <c r="Q52" i="39"/>
  <c r="Q46" i="39"/>
  <c r="S80" i="39"/>
  <c r="AC79" i="39"/>
  <c r="AC78" i="39"/>
  <c r="AC77" i="39"/>
  <c r="AC76" i="39"/>
  <c r="Q49" i="39"/>
  <c r="Q50" i="39"/>
  <c r="Q53" i="39"/>
  <c r="X53" i="39" s="1"/>
  <c r="Q47" i="39"/>
  <c r="X47" i="39" s="1"/>
  <c r="Q55" i="39"/>
  <c r="X55" i="39" s="1"/>
  <c r="Q54" i="39"/>
  <c r="Q61" i="39"/>
  <c r="X61" i="39" s="1"/>
  <c r="Q56" i="39"/>
  <c r="X56" i="39" s="1"/>
  <c r="Q68" i="39"/>
  <c r="X68" i="39" s="1"/>
  <c r="Q64" i="39"/>
  <c r="X64" i="39" s="1"/>
  <c r="Q60" i="39"/>
  <c r="X60" i="39" s="1"/>
  <c r="Q45" i="39"/>
  <c r="X45" i="39" s="1"/>
  <c r="Q43" i="39"/>
  <c r="X43" i="39" s="1"/>
  <c r="X38" i="39"/>
  <c r="Q37" i="39"/>
  <c r="X37" i="39" s="1"/>
  <c r="Q36" i="39"/>
  <c r="Q35" i="39"/>
  <c r="X35" i="39" s="1"/>
  <c r="Q34" i="39"/>
  <c r="X34" i="39" s="1"/>
  <c r="Q33" i="39"/>
  <c r="Q32" i="39"/>
  <c r="X32" i="39" s="1"/>
  <c r="Q31" i="39"/>
  <c r="Q29" i="39"/>
  <c r="X29" i="39" s="1"/>
  <c r="Q28" i="39"/>
  <c r="X28" i="39" s="1"/>
  <c r="Q27" i="39"/>
  <c r="X27" i="39" s="1"/>
  <c r="Q26" i="39"/>
  <c r="X26" i="39" s="1"/>
  <c r="Q25" i="39"/>
  <c r="X25" i="39" s="1"/>
  <c r="Q24" i="39"/>
  <c r="X24" i="39" s="1"/>
  <c r="Q23" i="39"/>
  <c r="X23" i="39" s="1"/>
  <c r="Q22" i="39"/>
  <c r="Q21" i="39"/>
  <c r="X21" i="39" s="1"/>
  <c r="Q20" i="39"/>
  <c r="X20" i="39" s="1"/>
  <c r="Q19" i="39"/>
  <c r="X19" i="39" s="1"/>
  <c r="Q18" i="39"/>
  <c r="X18" i="39" s="1"/>
  <c r="Q17" i="39"/>
  <c r="X17" i="39" s="1"/>
  <c r="Q16" i="39"/>
  <c r="X16" i="39" s="1"/>
  <c r="AC14" i="39"/>
  <c r="Q14" i="39"/>
  <c r="X14" i="39" s="1"/>
  <c r="U19" i="39" l="1"/>
  <c r="AB19" i="39" s="1"/>
  <c r="AE19" i="39"/>
  <c r="U20" i="39"/>
  <c r="AB20" i="39" s="1"/>
  <c r="AE20" i="39"/>
  <c r="AB22" i="39"/>
  <c r="AE22" i="39"/>
  <c r="AE23" i="39"/>
  <c r="U24" i="39"/>
  <c r="AB24" i="39" s="1"/>
  <c r="AE24" i="39"/>
  <c r="AE29" i="39"/>
  <c r="AB33" i="39"/>
  <c r="AE33" i="39"/>
  <c r="AE35" i="39"/>
  <c r="AB36" i="39"/>
  <c r="AE36" i="39"/>
  <c r="AE37" i="39"/>
  <c r="U43" i="39"/>
  <c r="AB43" i="39" s="1"/>
  <c r="AE43" i="39"/>
  <c r="U45" i="39"/>
  <c r="AB45" i="39" s="1"/>
  <c r="AE45" i="39"/>
  <c r="AB54" i="39"/>
  <c r="AE54" i="39"/>
  <c r="AE55" i="39"/>
  <c r="U47" i="39"/>
  <c r="AB47" i="39" s="1"/>
  <c r="AE47" i="39"/>
  <c r="AE50" i="39"/>
  <c r="AB53" i="39"/>
  <c r="AE53" i="39"/>
  <c r="U59" i="39"/>
  <c r="AB59" i="39" s="1"/>
  <c r="AE59" i="39"/>
  <c r="AE62" i="39"/>
  <c r="U65" i="39"/>
  <c r="AB65" i="39" s="1"/>
  <c r="AE65" i="39"/>
  <c r="AB58" i="39"/>
  <c r="AE58" i="39"/>
  <c r="AE41" i="39"/>
  <c r="AE42" i="39"/>
  <c r="AB48" i="39"/>
  <c r="AE48" i="39"/>
  <c r="U17" i="39"/>
  <c r="AB17" i="39" s="1"/>
  <c r="AE17" i="39"/>
  <c r="U61" i="39"/>
  <c r="AB61" i="39" s="1"/>
  <c r="AE61" i="39"/>
  <c r="AE49" i="39"/>
  <c r="AB51" i="39"/>
  <c r="AE51" i="39"/>
  <c r="AB46" i="39"/>
  <c r="AE46" i="39"/>
  <c r="AE52" i="39"/>
  <c r="AE28" i="39"/>
  <c r="AE66" i="39"/>
  <c r="AE63" i="39"/>
  <c r="AE72" i="39"/>
  <c r="U40" i="39"/>
  <c r="AB40" i="39" s="1"/>
  <c r="AE40" i="39"/>
  <c r="AE57" i="39"/>
  <c r="AE64" i="39"/>
  <c r="AE60" i="39"/>
  <c r="AE56" i="39"/>
  <c r="U38" i="39"/>
  <c r="AB38" i="39" s="1"/>
  <c r="AE34" i="39"/>
  <c r="AE32" i="39"/>
  <c r="AE27" i="39"/>
  <c r="U26" i="39"/>
  <c r="AB26" i="39" s="1"/>
  <c r="U25" i="39"/>
  <c r="AB25" i="39" s="1"/>
  <c r="U21" i="39"/>
  <c r="AB21" i="39" s="1"/>
  <c r="AE18" i="39"/>
  <c r="U16" i="39"/>
  <c r="AB16" i="39" s="1"/>
  <c r="AB41" i="39"/>
  <c r="AE77" i="39"/>
  <c r="U63" i="39"/>
  <c r="AB63" i="39" s="1"/>
  <c r="AB52" i="39"/>
  <c r="T80" i="39"/>
  <c r="T106" i="39" s="1"/>
  <c r="U18" i="39"/>
  <c r="AB18" i="39" s="1"/>
  <c r="U34" i="39"/>
  <c r="AB34" i="39" s="1"/>
  <c r="U37" i="39"/>
  <c r="AB37" i="39" s="1"/>
  <c r="U62" i="39"/>
  <c r="AB62" i="39" s="1"/>
  <c r="U64" i="39"/>
  <c r="AB64" i="39" s="1"/>
  <c r="AE14" i="39"/>
  <c r="AB14" i="39"/>
  <c r="U57" i="39"/>
  <c r="AB57" i="39" s="1"/>
  <c r="AB55" i="39"/>
  <c r="AE21" i="39"/>
  <c r="AE78" i="39"/>
  <c r="U60" i="39"/>
  <c r="AB60" i="39" s="1"/>
  <c r="AB49" i="39"/>
  <c r="U35" i="39"/>
  <c r="AB35" i="39" s="1"/>
  <c r="U28" i="39"/>
  <c r="AB28" i="39" s="1"/>
  <c r="R80" i="39"/>
  <c r="AE38" i="39"/>
  <c r="AE26" i="39"/>
  <c r="AE79" i="39"/>
  <c r="AE76" i="39"/>
  <c r="U76" i="39"/>
  <c r="S106" i="39"/>
  <c r="U66" i="39"/>
  <c r="AB66" i="39" s="1"/>
  <c r="U56" i="39"/>
  <c r="AB56" i="39" s="1"/>
  <c r="AB50" i="39"/>
  <c r="U42" i="39"/>
  <c r="AB42" i="39" s="1"/>
  <c r="U32" i="39"/>
  <c r="AB32" i="39" s="1"/>
  <c r="U29" i="39"/>
  <c r="AB29" i="39" s="1"/>
  <c r="U27" i="39"/>
  <c r="AB27" i="39" s="1"/>
  <c r="AE25" i="39"/>
  <c r="U23" i="39"/>
  <c r="AB23" i="39" s="1"/>
  <c r="AE16" i="39"/>
  <c r="AB15" i="39"/>
  <c r="AE15" i="39"/>
  <c r="Z106" i="39" l="1"/>
  <c r="AA106" i="39"/>
  <c r="AE80" i="39"/>
  <c r="AE74" i="39"/>
  <c r="AB76" i="39"/>
  <c r="U74" i="39"/>
  <c r="R106" i="39"/>
  <c r="AE106" i="39" l="1"/>
  <c r="K108" i="39" s="1"/>
  <c r="Y106" i="39"/>
  <c r="U106" i="39"/>
  <c r="AB74" i="39"/>
  <c r="AB106" i="39" s="1"/>
  <c r="AC15" i="71" l="1"/>
  <c r="S78" i="71"/>
  <c r="S114" i="71" s="1"/>
  <c r="X15" i="71"/>
  <c r="Z78" i="71"/>
  <c r="Z114" i="71" s="1"/>
  <c r="P16" i="85" l="1"/>
  <c r="AE16" i="85" l="1"/>
  <c r="AE86" i="85" s="1"/>
  <c r="AE117" i="85" s="1"/>
  <c r="K119" i="85" s="1"/>
</calcChain>
</file>

<file path=xl/sharedStrings.xml><?xml version="1.0" encoding="utf-8"?>
<sst xmlns="http://schemas.openxmlformats.org/spreadsheetml/2006/main" count="32289" uniqueCount="842">
  <si>
    <t>Интервал перфорации</t>
  </si>
  <si>
    <t>№№</t>
  </si>
  <si>
    <t>№ скв.</t>
  </si>
  <si>
    <t>м</t>
  </si>
  <si>
    <t>мм</t>
  </si>
  <si>
    <t>Тип насоса</t>
  </si>
  <si>
    <t>число вращения ротора</t>
  </si>
  <si>
    <t>об/мин</t>
  </si>
  <si>
    <t>Горизонт</t>
  </si>
  <si>
    <t>Уровень, м</t>
  </si>
  <si>
    <t>Давление затрубное, атм</t>
  </si>
  <si>
    <t>Давление, атм</t>
  </si>
  <si>
    <t>пл.</t>
  </si>
  <si>
    <t>заб.</t>
  </si>
  <si>
    <t>нефть</t>
  </si>
  <si>
    <t>Средний суточный дебит, м³/сут</t>
  </si>
  <si>
    <t>Обводненность, %</t>
  </si>
  <si>
    <t>Мех. примеси, %</t>
  </si>
  <si>
    <t>Число дней работы</t>
  </si>
  <si>
    <t>дни</t>
  </si>
  <si>
    <t>Добыча нефти за месяц</t>
  </si>
  <si>
    <t>Мероприятия по обеспечению технологического режима</t>
  </si>
  <si>
    <t>Намечаемый режим</t>
  </si>
  <si>
    <t>Фактический режим</t>
  </si>
  <si>
    <t>Коэффициент подачи насоса</t>
  </si>
  <si>
    <t>жидк.</t>
  </si>
  <si>
    <t>м³/сут</t>
  </si>
  <si>
    <t>м³</t>
  </si>
  <si>
    <t>винт</t>
  </si>
  <si>
    <t>дин</t>
  </si>
  <si>
    <t>стат</t>
  </si>
  <si>
    <t>при стат</t>
  </si>
  <si>
    <t>при дин</t>
  </si>
  <si>
    <t>Искусственный забой</t>
  </si>
  <si>
    <t>диаметр эксплуатационной колонны</t>
  </si>
  <si>
    <t>Глубина спуска хвостовика, м</t>
  </si>
  <si>
    <t>BSK-18</t>
  </si>
  <si>
    <t>BSK-20</t>
  </si>
  <si>
    <t>BSK-26</t>
  </si>
  <si>
    <t>BSK-27</t>
  </si>
  <si>
    <t>BSK-28</t>
  </si>
  <si>
    <t>BSK-29</t>
  </si>
  <si>
    <t>BSK-30</t>
  </si>
  <si>
    <t>BSK-32</t>
  </si>
  <si>
    <t>BSK-33</t>
  </si>
  <si>
    <t>BSK-34</t>
  </si>
  <si>
    <t xml:space="preserve"> Т1 III</t>
  </si>
  <si>
    <t>676.7</t>
  </si>
  <si>
    <t>13K1300</t>
  </si>
  <si>
    <t>32K1500</t>
  </si>
  <si>
    <t>6K1300</t>
  </si>
  <si>
    <t>22K600</t>
  </si>
  <si>
    <t>22K1200</t>
  </si>
  <si>
    <t>13K650</t>
  </si>
  <si>
    <t>"СОГЛАСОВАНО"</t>
  </si>
  <si>
    <t xml:space="preserve">  "УТВЕРЖДАЮ"</t>
  </si>
  <si>
    <t>BSK-37</t>
  </si>
  <si>
    <t>BSK-38</t>
  </si>
  <si>
    <t>3К600</t>
  </si>
  <si>
    <t>BSK-58</t>
  </si>
  <si>
    <t>BSK-64</t>
  </si>
  <si>
    <t>BSK-91</t>
  </si>
  <si>
    <t>BSK-95</t>
  </si>
  <si>
    <t>BSK-100</t>
  </si>
  <si>
    <t>BSK-92</t>
  </si>
  <si>
    <t>Технологический режим</t>
  </si>
  <si>
    <t xml:space="preserve">марка насоса </t>
  </si>
  <si>
    <t>Теоретическая производительность насоса</t>
  </si>
  <si>
    <t>531,0-535,0м; 538,0-539,0; 546,0-553,0</t>
  </si>
  <si>
    <t>573,5-576,5; 559,0-564,0</t>
  </si>
  <si>
    <t>557,0-560,5; 563,0-569,0; 571,5-573,0</t>
  </si>
  <si>
    <t>577,0-580,0</t>
  </si>
  <si>
    <t>578,5-582,5; 570,0-577,0; 568,5-569,5; 563,0-566,0</t>
  </si>
  <si>
    <t>561,0-562,0; 568,5-573,0; 577,0-580,0; 583,0-586,0</t>
  </si>
  <si>
    <t>558,0-560,0;  565,5-571,0; 574,0-575,5; 581,5-583,5</t>
  </si>
  <si>
    <t xml:space="preserve"> 575,0-576,5; 583,0-586,0</t>
  </si>
  <si>
    <t xml:space="preserve"> 595,0-596,0; 598,5,0-602,0</t>
  </si>
  <si>
    <t>568,0-572,0; 575,0-577,0; 582,0-583,0; 584,0-585,0; 586,0-587,5</t>
  </si>
  <si>
    <t>564,0-566,0; 572,0-575,5; 580,0-581,5</t>
  </si>
  <si>
    <t>529,0-534,5; 538,0-543,5; 546,0-550,0; 551-557; 558-562,5</t>
  </si>
  <si>
    <t>526,0-528,0; 534,0-539,0; 542,5-545,5; 549,5-557,0</t>
  </si>
  <si>
    <t>574,0-575,5;  581,5-587,0; 589,0-593,0</t>
  </si>
  <si>
    <t>550,0-552,0; 558,0-563,0; 566,0-569,0; 571,0-573,5;  575,0-577,0; 578,0-580,0</t>
  </si>
  <si>
    <t>560,0-557,0; 569,0-565,0; 574,0-572,5; 582,0-580,0; 587,0-584,0</t>
  </si>
  <si>
    <t>574,0-580,0</t>
  </si>
  <si>
    <t>542,5-544,0; 548,5-555,5; 558,5-561,0; 565,0-570,5</t>
  </si>
  <si>
    <t>565,5-568,5; 571,5-578,0; 580,0-582,0</t>
  </si>
  <si>
    <t>538,5-541,5; 546,0-551,5; 552,5-558,0; 561,0-563,0; 564,0-569,5</t>
  </si>
  <si>
    <t>570,5-572,0; 577,5-582,0</t>
  </si>
  <si>
    <t>559,0-581,5</t>
  </si>
  <si>
    <t>569,5-571,0; 574,5-576,0; 577,5-580,0; 580,5-585,5</t>
  </si>
  <si>
    <t>555,5-557,0; 563,0-568,0; 570,5-574,0; 578,5-581,0; 582,0-585,0</t>
  </si>
  <si>
    <t>583,0-586,5</t>
  </si>
  <si>
    <t>167,5-174,0</t>
  </si>
  <si>
    <t>551,0-556,5; 560,0-563,0; 566,5-569,5; 572,0-575,5</t>
  </si>
  <si>
    <t>549,5-555,5; 565,0-568,0</t>
  </si>
  <si>
    <t>547,2-548,2; 554,5-559,5; 562,5-565,0; 569,5-575,0</t>
  </si>
  <si>
    <t>553,0-554,5; 559,5-565,5; 568,5-571,5; 574,0-582,5</t>
  </si>
  <si>
    <t>550,0-552,5; 557,0-563,5; 566,0-569,0; 572,0-579,0</t>
  </si>
  <si>
    <t>Геолог промысла:</t>
  </si>
  <si>
    <t>Газовый фактор, м³/м³</t>
  </si>
  <si>
    <t xml:space="preserve">       Примечание: Кэкс =</t>
  </si>
  <si>
    <t xml:space="preserve">Добыча с учетом Кэкс составляет </t>
  </si>
  <si>
    <t>BSK-82</t>
  </si>
  <si>
    <t>BSK-81</t>
  </si>
  <si>
    <t>BSK-80</t>
  </si>
  <si>
    <t>BSK-78</t>
  </si>
  <si>
    <t>W-12</t>
  </si>
  <si>
    <t>2-T</t>
  </si>
  <si>
    <t>Апт</t>
  </si>
  <si>
    <t>539,5-542; 546,5-551,5; 555-557; 562-564,5; 565,5-570; 572,5-574.</t>
  </si>
  <si>
    <t>564-567,5; 572-574; 577-578; 579-581,5; 583,5-586,5</t>
  </si>
  <si>
    <t xml:space="preserve">568-569,5; 575-580,5; 583-586,5; 590-594,5 </t>
  </si>
  <si>
    <t>газ</t>
  </si>
  <si>
    <t>BSK-77</t>
  </si>
  <si>
    <t>BSK-74</t>
  </si>
  <si>
    <t>BSK-75</t>
  </si>
  <si>
    <t>BSK-72</t>
  </si>
  <si>
    <t>BSK-71</t>
  </si>
  <si>
    <t>BSK-70</t>
  </si>
  <si>
    <t>BSK-76</t>
  </si>
  <si>
    <t>BSK-205</t>
  </si>
  <si>
    <t>BSK-206</t>
  </si>
  <si>
    <t>572,5-577,0; 580,5-583,0; 586,0-587,0</t>
  </si>
  <si>
    <t>565,0-566,0; 570,0-573,5; 580,0-581,0</t>
  </si>
  <si>
    <t>3K600</t>
  </si>
  <si>
    <t>534,5-536,0; 537,5-539,5; 544,0-546,5; 557,5-561,5</t>
  </si>
  <si>
    <t>577,5-582,0</t>
  </si>
  <si>
    <t xml:space="preserve">570,5-572,0; 579,5-581,0; </t>
  </si>
  <si>
    <t xml:space="preserve">576,5-580; </t>
  </si>
  <si>
    <t>BSK-73</t>
  </si>
  <si>
    <t>BSK-202</t>
  </si>
  <si>
    <t>BSK-204</t>
  </si>
  <si>
    <t>563,5-566,0; 570,5-572,0; 582,0-583,5</t>
  </si>
  <si>
    <t>557,5-559,0; 562,0-563,0; 566,0-569,5; 573,0-574,0; 575,5-577,0; 581,0-582,5.</t>
  </si>
  <si>
    <t>140,0-142,5; 145,5-149,0; 152,5-154,0; 155,5-156,5; 182,0-196,5; 202,0-206,0</t>
  </si>
  <si>
    <t>149,5-154,5; 157,0-160,0; 161,5-167,0; 192,5-209,5;218,0-220,5; 224,5-226,5</t>
  </si>
  <si>
    <t>142,5-145,0; 150,0-155,5; 158,0-161,0; 181,0-193,5; 205,0-210,0</t>
  </si>
  <si>
    <t>152,0-154,5; 161,0-164,5; 195,5-197,0; 200,0-207,5; 218,0-224,0</t>
  </si>
  <si>
    <t>BSK-2</t>
  </si>
  <si>
    <t>BSK-3</t>
  </si>
  <si>
    <t>BSK-4</t>
  </si>
  <si>
    <t>BSK-5</t>
  </si>
  <si>
    <t>BSK-7</t>
  </si>
  <si>
    <t>BSK-8</t>
  </si>
  <si>
    <t>BSK-9</t>
  </si>
  <si>
    <t>BSK-10</t>
  </si>
  <si>
    <t>BSK-11</t>
  </si>
  <si>
    <t>BSK-12</t>
  </si>
  <si>
    <t>BSK-14</t>
  </si>
  <si>
    <t>BSK-15</t>
  </si>
  <si>
    <t>BSK-16</t>
  </si>
  <si>
    <t>BSK-19</t>
  </si>
  <si>
    <t>BSK-23</t>
  </si>
  <si>
    <t>BSK-24</t>
  </si>
  <si>
    <t>BSK-25</t>
  </si>
  <si>
    <t>BSK-93</t>
  </si>
  <si>
    <t>BSK-96</t>
  </si>
  <si>
    <t>BSK-83</t>
  </si>
  <si>
    <t>BSK-97</t>
  </si>
  <si>
    <t>BSK-84</t>
  </si>
  <si>
    <t>BSK-54</t>
  </si>
  <si>
    <t>BSK-55</t>
  </si>
  <si>
    <t>BSK-57</t>
  </si>
  <si>
    <t>BSK-90</t>
  </si>
  <si>
    <t>563,1-564,1; 570,9-574,5; 578,9-579,9; 581,2-582,2; 586,7-588,4</t>
  </si>
  <si>
    <t>544-545,5; 554,5-556; 560-561,5; 562,5-563,5; 566,5-567,5; 568-570; 572-573,5</t>
  </si>
  <si>
    <t>517-518; 518,5-520,5; 525-526; 530,5-534,5; 536-538,5</t>
  </si>
  <si>
    <t>40K1800</t>
  </si>
  <si>
    <t>BSK-94</t>
  </si>
  <si>
    <t>560,8-561,8; 568,6-569,8; 572,4-573,4; 576,3-578,1; 584,8-585,8</t>
  </si>
  <si>
    <t>BSK-124</t>
  </si>
  <si>
    <t>BSK-123</t>
  </si>
  <si>
    <t>572,6-573,7; 580,2-584,6; 588,4-589,4</t>
  </si>
  <si>
    <t>BSK-79</t>
  </si>
  <si>
    <t>550,0-551,5; 557,0-558,5; 565,5-567,0</t>
  </si>
  <si>
    <t>J II</t>
  </si>
  <si>
    <t>J II + J IV</t>
  </si>
  <si>
    <t>539,2-540,6; 548,4-551,2; 554,8-556,4; 557,4-558,0; 563,8-564,6; 567,4-569,0</t>
  </si>
  <si>
    <t>545,5-549; 553,5-554,5; 559,5-569</t>
  </si>
  <si>
    <t>554,1-555,2; 561,3-562,1; 569,2-570,1; 581,6-582,5; 582,8-583,5</t>
  </si>
  <si>
    <t>BSK-35</t>
  </si>
  <si>
    <t>204,0-213,5; 217,0-223,0; 227,0-230,0</t>
  </si>
  <si>
    <t>J IV</t>
  </si>
  <si>
    <t>BSK-41</t>
  </si>
  <si>
    <t>230,0-235,5</t>
  </si>
  <si>
    <t>BSK-42</t>
  </si>
  <si>
    <t>6K650</t>
  </si>
  <si>
    <t>BSK-40</t>
  </si>
  <si>
    <t>BSK-6</t>
  </si>
  <si>
    <t>580,8-581,3; 583,1-584,8</t>
  </si>
  <si>
    <t>579,0-580,7; 588,4-590,1</t>
  </si>
  <si>
    <t>4-Ц</t>
  </si>
  <si>
    <t xml:space="preserve">J I-II </t>
  </si>
  <si>
    <t>556,4-558,1; 564,6-565,6; 566,2-568,3; 584,1-585,1</t>
  </si>
  <si>
    <t>4-Б</t>
  </si>
  <si>
    <t>BSK-63</t>
  </si>
  <si>
    <t>544,0-551,5; 553,5-557,0; 561,5-569,0</t>
  </si>
  <si>
    <t xml:space="preserve">                                  Консервация</t>
  </si>
  <si>
    <t xml:space="preserve">                                    Водозаборные</t>
  </si>
  <si>
    <t xml:space="preserve">                             Восточный участок</t>
  </si>
  <si>
    <t>566,0-567,1; 570,0-571,0; 574,0-579,0; 580,5-584,4</t>
  </si>
  <si>
    <t>Главный геолог ТОО "Фирма Ада Ойл" ________________________________ Узенбаева Р.Х.</t>
  </si>
  <si>
    <t xml:space="preserve"> 563,5-568,5; 570,0-576,0; 579,0-582,0; 585,0-587,0</t>
  </si>
  <si>
    <t>576,0-579,0; 584,0-587,0; 591,0-593,0</t>
  </si>
  <si>
    <t>Итого:</t>
  </si>
  <si>
    <t>BSK-53</t>
  </si>
  <si>
    <t>BSK-59</t>
  </si>
  <si>
    <t xml:space="preserve">                                 Освоение</t>
  </si>
  <si>
    <t xml:space="preserve">                                     Наблюдательные</t>
  </si>
  <si>
    <t>BSK-99</t>
  </si>
  <si>
    <t>BSK-103</t>
  </si>
  <si>
    <t>8K1800</t>
  </si>
  <si>
    <t>BSK-107</t>
  </si>
  <si>
    <t>Менеджер промысла:</t>
  </si>
  <si>
    <t>Остановлена в связи с отсутствием выхода жидкости.</t>
  </si>
  <si>
    <t>Любка В.</t>
  </si>
  <si>
    <t>BSK-101</t>
  </si>
  <si>
    <t>32K1200</t>
  </si>
  <si>
    <t>12K1200</t>
  </si>
  <si>
    <t>BSK-108</t>
  </si>
  <si>
    <t>6К1300</t>
  </si>
  <si>
    <t xml:space="preserve">577,5-579,5 </t>
  </si>
  <si>
    <t>570,5-572,5; 578,0-584,0; 586,0-588,0</t>
  </si>
  <si>
    <t>569,0-571,0; 577,0-582,0; 584,5-588,0</t>
  </si>
  <si>
    <t>577,5-581,5; 568,5-570,5</t>
  </si>
  <si>
    <t>530,0-532,0; 537,5-542,5; 546,0-549,0; 551,0-558,0</t>
  </si>
  <si>
    <t>573,5-578,5; 559,0-563,0; 551,0-553,0</t>
  </si>
  <si>
    <t>"_________" ________________2016 г.</t>
  </si>
  <si>
    <t>"_______" ________________________ 2016 г.</t>
  </si>
  <si>
    <t>575,5-580,5; 568,0-570,0</t>
  </si>
  <si>
    <t>560,0-563,0; 566,0-570,0; 574,0-576,0; 580,0-587,0</t>
  </si>
  <si>
    <t>548,0-549,0; 557,0-559,5; 564,5-566,0; 570,5-573,0; 575,5-577,0</t>
  </si>
  <si>
    <t>571,0-572,2; 580,3-582,3; 586,3-589,2</t>
  </si>
  <si>
    <t xml:space="preserve"> 532,0-537,5; 540,0-543,5; 549,0-556,5</t>
  </si>
  <si>
    <t>235,5-254,0</t>
  </si>
  <si>
    <t xml:space="preserve">Ожидание ввода в эксплуатацию. </t>
  </si>
  <si>
    <t>Остановлена в связи с 100% обводненностью.</t>
  </si>
  <si>
    <t>В ожидании КРС.</t>
  </si>
  <si>
    <t xml:space="preserve"> 100</t>
  </si>
  <si>
    <t xml:space="preserve"> 0</t>
  </si>
  <si>
    <t xml:space="preserve"> 225</t>
  </si>
  <si>
    <t xml:space="preserve"> 175</t>
  </si>
  <si>
    <t xml:space="preserve"> 150</t>
  </si>
  <si>
    <t xml:space="preserve"> 200</t>
  </si>
  <si>
    <t xml:space="preserve"> 180</t>
  </si>
  <si>
    <t xml:space="preserve"> 125</t>
  </si>
  <si>
    <t xml:space="preserve"> 86</t>
  </si>
  <si>
    <t xml:space="preserve"> 85</t>
  </si>
  <si>
    <t xml:space="preserve"> 340</t>
  </si>
  <si>
    <t xml:space="preserve"> 300</t>
  </si>
  <si>
    <t xml:space="preserve"> 185</t>
  </si>
  <si>
    <t xml:space="preserve"> 285</t>
  </si>
  <si>
    <t xml:space="preserve"> 115</t>
  </si>
  <si>
    <t xml:space="preserve"> 250</t>
  </si>
  <si>
    <t xml:space="preserve"> 135</t>
  </si>
  <si>
    <t xml:space="preserve"> 95</t>
  </si>
  <si>
    <t xml:space="preserve"> 360</t>
  </si>
  <si>
    <t xml:space="preserve"> 155</t>
  </si>
  <si>
    <t xml:space="preserve"> 325</t>
  </si>
  <si>
    <t xml:space="preserve"> 75</t>
  </si>
  <si>
    <t>Инженер по разработке ТОО "Фирма Ада Ойл" __________________________ Джиембаев Е.Ж.</t>
  </si>
  <si>
    <t>Заместитель директора по техническим вопросам  ТОО "Фирма Ада Ойл": ________________________ Пак Х.Х.</t>
  </si>
  <si>
    <t>работы добывающих скважин месторождения Башенколь на март месяц 2016 г.</t>
  </si>
  <si>
    <t>Жунербаев А.</t>
  </si>
  <si>
    <t>работы добывающих скважин месторождения Башенколь на январь месяц 2016 г.</t>
  </si>
  <si>
    <t>Менеджер проекта ТОО "Фирма Ада Ойл"__________________________ Пак Д.М.</t>
  </si>
  <si>
    <t>Инженер по разработке ТОО "Фирма Ада Ойл" __________________________ Джиембаев Е.</t>
  </si>
  <si>
    <t>Лим Д.</t>
  </si>
  <si>
    <t>работы добывающих скважин месторождения Башенколь на февраль месяц 2016 г.</t>
  </si>
  <si>
    <t>Главный геолог ТОО "Фирма Ада Ойл" ________________________________ Альжанов Ж.А.</t>
  </si>
  <si>
    <t>Промывка выкидной линии</t>
  </si>
  <si>
    <t>работы добывающих скважин месторождения Башенколь на апрель месяц 2016 г.</t>
  </si>
  <si>
    <t xml:space="preserve">Технический директор  ТОО "Фирма Ада Ойл": ________________________  Джэю Бэ. </t>
  </si>
  <si>
    <t>работы добывающих скважин месторождения Башенколь на май месяц 2016 г.</t>
  </si>
  <si>
    <t xml:space="preserve">    Освоение</t>
  </si>
  <si>
    <t xml:space="preserve">    Водозаборные</t>
  </si>
  <si>
    <t xml:space="preserve">    Восточный участок</t>
  </si>
  <si>
    <t xml:space="preserve">  Консервация</t>
  </si>
  <si>
    <t xml:space="preserve">  Наблюдательные</t>
  </si>
  <si>
    <t>КРС, очистка ПЗП от песка, ревизия ПО</t>
  </si>
  <si>
    <t>работы добывающих скважин месторождения Башенколь на июнь месяц 2016 г.</t>
  </si>
  <si>
    <t>Галиев Р.</t>
  </si>
  <si>
    <t>Ожидание КРС</t>
  </si>
  <si>
    <t xml:space="preserve">Инженер по техническому контролю ТОО "Фирма Ада Ойл": ________________________  Хо Джун Янг </t>
  </si>
  <si>
    <t>570,0-571,0; 577,5-582,0</t>
  </si>
  <si>
    <t xml:space="preserve">567,5-569,0; 576,5-580,0; </t>
  </si>
  <si>
    <t>работы добывающих скважин месторождения Башенколь на июль месяц 2016 г.</t>
  </si>
  <si>
    <t>работы добывающих скважин месторождения Башенколь на август месяц 2016 г.</t>
  </si>
  <si>
    <t xml:space="preserve">КРС </t>
  </si>
  <si>
    <t>работы добывающих скважин месторождения Башенколь на сентябрь месяц 2016 г.</t>
  </si>
  <si>
    <t>3K1200</t>
  </si>
  <si>
    <t>работы добывающих скважин месторождения Башенколь на октябрь месяц 2016 г.</t>
  </si>
  <si>
    <t>Испытание горизонта Ю-II</t>
  </si>
  <si>
    <t>работы добывающих скважин месторождения Башенколь на ноябрь месяц 2016 г.</t>
  </si>
  <si>
    <t>P2</t>
  </si>
  <si>
    <t>622,5-627,1</t>
  </si>
  <si>
    <t>551,3-553,5; 573,5-576,5; 559,0-564,0</t>
  </si>
  <si>
    <t>564,0-566,0; 572,0-575,5; 580,0-581,5; 587-590</t>
  </si>
  <si>
    <t>работы добывающих скважин месторождения Башенколь на декабрь месяц 2016 г.</t>
  </si>
  <si>
    <t>Остановлена в связи с обводненностью.</t>
  </si>
  <si>
    <t>КРС</t>
  </si>
  <si>
    <t>Оформление на консервацию</t>
  </si>
  <si>
    <t>630-635</t>
  </si>
  <si>
    <t>P2s2</t>
  </si>
  <si>
    <t xml:space="preserve">Остановлена в связи окончнием срока испытания </t>
  </si>
  <si>
    <t>работы добывающих скважин месторождения Башенколь на февраль месяц 2017 г.</t>
  </si>
  <si>
    <t>работы добывающих скважин месторождения Башенколь на январь месяц 2017 г.</t>
  </si>
  <si>
    <t>"_______" ________________________ 2017 г.</t>
  </si>
  <si>
    <t>работы добывающих скважин месторождения Башенколь на март месяц 2017 г.</t>
  </si>
  <si>
    <t>22K1500</t>
  </si>
  <si>
    <t>Главный геолог ТОО "Фирма Ада Ойл" ________________________________ Сейдуллаев Б.К.</t>
  </si>
  <si>
    <t>Ост. в связи окончнием срока испытания, ожиданние КРС</t>
  </si>
  <si>
    <t>Ю-II+Ю-IV</t>
  </si>
  <si>
    <t>Ю-II</t>
  </si>
  <si>
    <t>630,0-635,0</t>
  </si>
  <si>
    <t>"_________" ________________2017 г.</t>
  </si>
  <si>
    <t>работы добывающих скважин месторождения Башенколь на апрель месяц 2017 г.</t>
  </si>
  <si>
    <t xml:space="preserve"> 190</t>
  </si>
  <si>
    <t xml:space="preserve"> 160</t>
  </si>
  <si>
    <t xml:space="preserve"> 220</t>
  </si>
  <si>
    <t xml:space="preserve"> 280</t>
  </si>
  <si>
    <t xml:space="preserve"> 120</t>
  </si>
  <si>
    <t xml:space="preserve"> 295</t>
  </si>
  <si>
    <t xml:space="preserve"> 130</t>
  </si>
  <si>
    <t xml:space="preserve"> 145</t>
  </si>
  <si>
    <t xml:space="preserve"> 65</t>
  </si>
  <si>
    <t xml:space="preserve"> 265</t>
  </si>
  <si>
    <t xml:space="preserve"> 240</t>
  </si>
  <si>
    <t xml:space="preserve"> 165</t>
  </si>
  <si>
    <t>BSK-98</t>
  </si>
  <si>
    <t xml:space="preserve">                                       Испытания</t>
  </si>
  <si>
    <r>
      <t>P</t>
    </r>
    <r>
      <rPr>
        <sz val="10"/>
        <color theme="1"/>
        <rFont val="Times New Roman"/>
        <family val="1"/>
        <charset val="204"/>
      </rPr>
      <t>2</t>
    </r>
    <r>
      <rPr>
        <sz val="12"/>
        <color theme="1"/>
        <rFont val="Times New Roman"/>
        <family val="1"/>
        <charset val="204"/>
      </rPr>
      <t>S</t>
    </r>
    <r>
      <rPr>
        <sz val="11"/>
        <color theme="1"/>
        <rFont val="Times New Roman"/>
        <family val="1"/>
        <charset val="204"/>
      </rPr>
      <t>2+</t>
    </r>
    <r>
      <rPr>
        <sz val="12"/>
        <color theme="1"/>
        <rFont val="Times New Roman"/>
        <family val="1"/>
        <charset val="204"/>
      </rPr>
      <t>S</t>
    </r>
    <r>
      <rPr>
        <sz val="11"/>
        <color theme="1"/>
        <rFont val="Times New Roman"/>
        <family val="1"/>
        <charset val="204"/>
      </rPr>
      <t>3</t>
    </r>
  </si>
  <si>
    <t xml:space="preserve">                           604,0 - 608,0; 658,0-659,0</t>
  </si>
  <si>
    <t>Ост.  в связи с 100% обводн. Ожидание КРС.</t>
  </si>
  <si>
    <t>Ост. в связи с отс. выхода жидкости. Ожидание КРС.</t>
  </si>
  <si>
    <t xml:space="preserve">Работы КРС, изоляция водоносных интервалов </t>
  </si>
  <si>
    <t>Оформление на расконсервацию</t>
  </si>
  <si>
    <t>Директор филиала ТОО "Фирма Ада Ойл": ________________________  Ли Санг Ын.</t>
  </si>
  <si>
    <t>работы добывающих скважин месторождения Башенколь на май месяц 2017 г.</t>
  </si>
  <si>
    <t>Устье скважины затоплено талыми водами</t>
  </si>
  <si>
    <t>BSK-104</t>
  </si>
  <si>
    <t>NTZ350*120ST20</t>
  </si>
  <si>
    <t>539,0-544,0; 547-549; 552,5-555; 558-560</t>
  </si>
  <si>
    <t>Ю-IV</t>
  </si>
  <si>
    <t>231,6-233,7; 235,5-254,0</t>
  </si>
  <si>
    <t>Ю-I</t>
  </si>
  <si>
    <t>126,0-132,0</t>
  </si>
  <si>
    <t xml:space="preserve"> 574,0-579,0; 580,5-584,4</t>
  </si>
  <si>
    <t>13E650</t>
  </si>
  <si>
    <t>испытание</t>
  </si>
  <si>
    <t xml:space="preserve">                           604,0-608,0; 658,0-659,0</t>
  </si>
  <si>
    <t>Полевой геолог:</t>
  </si>
  <si>
    <t>работы добывающих скважин месторождения Башенколь на июнь месяц 2017 г.</t>
  </si>
  <si>
    <t>BSK-105</t>
  </si>
  <si>
    <t>NTZ 350*120ST20</t>
  </si>
  <si>
    <t>544-545; 550-556; 559-561,5; 562,5-563; 564,5-567,5; 568,5-570; 571-573</t>
  </si>
  <si>
    <t xml:space="preserve"> 548,5-555,5; 558,5-561,0</t>
  </si>
  <si>
    <r>
      <t>P</t>
    </r>
    <r>
      <rPr>
        <sz val="10"/>
        <color theme="1"/>
        <rFont val="Times New Roman"/>
        <family val="1"/>
        <charset val="204"/>
      </rPr>
      <t>2</t>
    </r>
    <r>
      <rPr>
        <sz val="12"/>
        <color theme="1"/>
        <rFont val="Times New Roman"/>
        <family val="1"/>
        <charset val="204"/>
      </rPr>
      <t>S</t>
    </r>
    <r>
      <rPr>
        <sz val="11"/>
        <color theme="1"/>
        <rFont val="Times New Roman"/>
        <family val="1"/>
        <charset val="204"/>
      </rPr>
      <t>2-3</t>
    </r>
  </si>
  <si>
    <t>570,5-572,5; 578,0-584,0</t>
  </si>
  <si>
    <t>644,0-646,0</t>
  </si>
  <si>
    <t>Ост.  в связи с  обводн.</t>
  </si>
  <si>
    <t>работы добывающих скважин месторождения Башенколь на июль месяц 2017 г.</t>
  </si>
  <si>
    <t>NTZ 278*120ST7</t>
  </si>
  <si>
    <t>PEU 350-130-S13</t>
  </si>
  <si>
    <t>PEU 400-120-S20</t>
  </si>
  <si>
    <t>PEU 400-120-S33</t>
  </si>
  <si>
    <t>516,5-519,5; 525,5-527,0; 531,0-538,5</t>
  </si>
  <si>
    <t>намечаемый режим</t>
  </si>
  <si>
    <t>завершение испытания</t>
  </si>
  <si>
    <t>работы добывающих скважин месторождения Башенколь на cентябрь месяц 2017 г.</t>
  </si>
  <si>
    <t>Скважина остановлена на КВУ</t>
  </si>
  <si>
    <t>работы добывающих скважин месторождения Башенколь на август месяц 2017 г.</t>
  </si>
  <si>
    <t>Кабышев Р.</t>
  </si>
  <si>
    <t>работы добывающих скважин месторождения Башенколь на октябрь месяц 2017 г.</t>
  </si>
  <si>
    <t xml:space="preserve"> 105</t>
  </si>
  <si>
    <t xml:space="preserve">NTZ 278/120ST </t>
  </si>
  <si>
    <t xml:space="preserve"> 140</t>
  </si>
  <si>
    <t xml:space="preserve"> 315</t>
  </si>
  <si>
    <t>PEU 278-120-S7</t>
  </si>
  <si>
    <t xml:space="preserve">РЕU 400-120-S23 </t>
  </si>
  <si>
    <t>P2s3/P2s4</t>
  </si>
  <si>
    <t>640,0-642,0; 657,0-658,0; 689,0-691,0</t>
  </si>
  <si>
    <t>PEU-278-120-S3</t>
  </si>
  <si>
    <t>22К1200</t>
  </si>
  <si>
    <t>155,2-160,2; 162,5-168; 201-206</t>
  </si>
  <si>
    <t>PEU-278-120S3 J/N</t>
  </si>
  <si>
    <t>Ожидание КРС, реперфорация изол. Интервалов</t>
  </si>
  <si>
    <t xml:space="preserve"> Испытания</t>
  </si>
  <si>
    <t xml:space="preserve">                                                  Восточный участок</t>
  </si>
  <si>
    <t xml:space="preserve">                                         Водозаборные</t>
  </si>
  <si>
    <t xml:space="preserve">                                      Консервация</t>
  </si>
  <si>
    <t xml:space="preserve">                                                  Наблюдательные</t>
  </si>
  <si>
    <t>Испытание барремского гризонта</t>
  </si>
  <si>
    <t>241,5-248,5</t>
  </si>
  <si>
    <t>229-240</t>
  </si>
  <si>
    <t>Остановлена в связи с 100% обводн.</t>
  </si>
  <si>
    <t>Испытание барремского горизонта</t>
  </si>
  <si>
    <t>575-576,5</t>
  </si>
  <si>
    <t>PEU 278-120-S13</t>
  </si>
  <si>
    <t>644,0-646,5</t>
  </si>
  <si>
    <t xml:space="preserve">РЕU 400-120-S33 </t>
  </si>
  <si>
    <t>559,0-581,5; 583-585,5</t>
  </si>
  <si>
    <t>PEU-400-120-S23</t>
  </si>
  <si>
    <t xml:space="preserve"> Т1 II</t>
  </si>
  <si>
    <t>509-510,8; 519-522,8; 527,4-528,8</t>
  </si>
  <si>
    <t>NTZ 278*120ST20</t>
  </si>
  <si>
    <t>работы добывающих скважин месторождения Башенколь на ноябрь месяц 2017 г.</t>
  </si>
  <si>
    <t>Т1 III</t>
  </si>
  <si>
    <t>Испытание</t>
  </si>
  <si>
    <t>506,6-512,4</t>
  </si>
  <si>
    <t xml:space="preserve"> 542-544,5; 548,5-555,5; 558,7-560,5; 565,5-570</t>
  </si>
  <si>
    <t>Замена насоса</t>
  </si>
  <si>
    <t>Испытание, замена насоса</t>
  </si>
  <si>
    <t>Тестирование каждого интервала с помощью пакера</t>
  </si>
  <si>
    <t xml:space="preserve"> K1br</t>
  </si>
  <si>
    <t>229-237</t>
  </si>
  <si>
    <t xml:space="preserve">Ост.  в связи с 100% обводн. </t>
  </si>
  <si>
    <t xml:space="preserve">Ост. в связи с отс. выхода жидкости. </t>
  </si>
  <si>
    <t>565-566,5; 572,5-577,0; 580,5-583,0; 586,0-587,0</t>
  </si>
  <si>
    <t xml:space="preserve"> 568,0-570,0; 575,5-580,5; 583-587;</t>
  </si>
  <si>
    <t>568-570; 576-579,5; 584-586,5; 591,5-593,0</t>
  </si>
  <si>
    <t>работы добывающих скважин месторождения Башенколь на январь месяц 2018 г.</t>
  </si>
  <si>
    <t>BSK-106</t>
  </si>
  <si>
    <t>BSK-111</t>
  </si>
  <si>
    <t xml:space="preserve">Испытания горизонт P2 </t>
  </si>
  <si>
    <t xml:space="preserve"> Т1 IIa+b</t>
  </si>
  <si>
    <t xml:space="preserve"> Т1 IIa</t>
  </si>
  <si>
    <t>"_________" ________________2018 г.</t>
  </si>
  <si>
    <t>"_______" ________________________ 2018 г.</t>
  </si>
  <si>
    <t xml:space="preserve">                                        Наблюдательные</t>
  </si>
  <si>
    <t>В ожидании КРС</t>
  </si>
  <si>
    <t>Испытание прекращено</t>
  </si>
  <si>
    <t>560,2-561,2; 568,0-572,0; 575,0-577,0; 582,0-583,0; 584,0-585,0; 586,0-587,5; 587,6-588,4</t>
  </si>
  <si>
    <t>570,5-572,0; 577,5-582,0; 586-587,5</t>
  </si>
  <si>
    <t>555,6-557,5; 559,0-581,5; 583-585,5</t>
  </si>
  <si>
    <t xml:space="preserve"> 551,0-553,0; 559,0-563,0; 573,5-578,5; 578-581;</t>
  </si>
  <si>
    <t>554,1-555,2; 561,3-562,1; 569,2-570,1; 577,5-578,5; 581,6-582,5; 582,8-583,5</t>
  </si>
  <si>
    <t>работы добывающих скважин месторождения Башенколь на февраль месяц 2018 г.</t>
  </si>
  <si>
    <t>Перевод на горизонт P2s2</t>
  </si>
  <si>
    <t>работы добывающих скважин месторождения Башенколь на март месяц 2018 г.</t>
  </si>
  <si>
    <t xml:space="preserve">Ост. в связи с заклином ротора. </t>
  </si>
  <si>
    <t>523,8-524,8; 553,8-555,2; 563,5-566,0; 570,5-572,0; 576,5-579; 582,0-583,5</t>
  </si>
  <si>
    <t>556,4-558,1; 564,6-565,6; 566,2-568,3; 579-580; 584,1-585,1</t>
  </si>
  <si>
    <t xml:space="preserve"> 524,5-526; 532,0-537,5; 540,0-543,5; 549,0-556,5</t>
  </si>
  <si>
    <t>P2s</t>
  </si>
  <si>
    <t>606-608; 626,5-632; 637,5-643</t>
  </si>
  <si>
    <t xml:space="preserve">Испытание горизонта P2s </t>
  </si>
  <si>
    <t>Испытание горизонта P2s</t>
  </si>
  <si>
    <t>665-671</t>
  </si>
  <si>
    <t>работы добывающих скважин месторождения Башенколь на апрель месяц 2018 г.</t>
  </si>
  <si>
    <t>BSK-110</t>
  </si>
  <si>
    <t>672,5-677</t>
  </si>
  <si>
    <t>Испытание/переход на пермский объект??</t>
  </si>
  <si>
    <t>544,5-546,5; 551,0-556,5; 560,0-563,0; 566,5-569,5; 572,0-575,5</t>
  </si>
  <si>
    <t>565,0-566,0; 570,0-573,5; 580,0-581,0; 582,2-583,6;</t>
  </si>
  <si>
    <t>PEU-278-120-S23</t>
  </si>
  <si>
    <t>555,6-557; 564-567,5; 572-574; 577-578; 579-581,5; 583,5-586,5</t>
  </si>
  <si>
    <t>636-637,5;  639-646;, 655-657,5</t>
  </si>
  <si>
    <t>работы добывающих скважин месторождения Башенколь на май месяц 2018 г.</t>
  </si>
  <si>
    <t>570,0-571,0; 577,0-580,0</t>
  </si>
  <si>
    <t>100ТР1200</t>
  </si>
  <si>
    <t>542,7-554,4; 549,5-555,5; 565,0-568,0</t>
  </si>
  <si>
    <t>560,8-561,8; 568,6-569,8; 572,4-573,4; 576,3-578,1; 583,2-584,2; 584,8-585,8</t>
  </si>
  <si>
    <t>NTZ 278*120ST14</t>
  </si>
  <si>
    <t>BSK-128</t>
  </si>
  <si>
    <t>13E1300</t>
  </si>
  <si>
    <t>557,5-559,0; 562,0-563,0; 566,0-569,5; 573,0-574,0; 575,5-577,0; 581,0-582,5</t>
  </si>
  <si>
    <t>Генеральный директор ТОО "Фирма Ада Ойл": ________________________  Ли Санг Ын.</t>
  </si>
  <si>
    <t>Наблюдательные</t>
  </si>
  <si>
    <t xml:space="preserve">     Восточный участок</t>
  </si>
  <si>
    <t>Ожидание консервации</t>
  </si>
  <si>
    <t xml:space="preserve">                                                             Водозаборные</t>
  </si>
  <si>
    <t>606,0-608,0; 626,5-632,0; 637,5-643,0</t>
  </si>
  <si>
    <t>672,5-677,0</t>
  </si>
  <si>
    <t>636,0-637,5;  639,0-646,0; 655,0-657,5</t>
  </si>
  <si>
    <t>665,0-671,0</t>
  </si>
  <si>
    <t>229,0-237,0</t>
  </si>
  <si>
    <t>577,0-582,0</t>
  </si>
  <si>
    <t>работы добывающих скважин месторождения Башенколь на июнь месяц 2018 г.</t>
  </si>
  <si>
    <t xml:space="preserve"> 574,0-579,0; 580,5-584,4; 586,9-590,3</t>
  </si>
  <si>
    <t>551,3-553,5; 559,0-564,0; 573,5-576,5</t>
  </si>
  <si>
    <t>Ост. в связи с заклином ротора. Ожидание КРС.</t>
  </si>
  <si>
    <t>Конец испытания</t>
  </si>
  <si>
    <t xml:space="preserve">Ю I-II </t>
  </si>
  <si>
    <t>15К600</t>
  </si>
  <si>
    <t>работы добывающих скважин месторождения Башенколь на июль месяц 2018 г.</t>
  </si>
  <si>
    <t>15K1200</t>
  </si>
  <si>
    <t>PCM 0-40</t>
  </si>
  <si>
    <t>работы добывающих скважин месторождения Башенколь на август месяц 2018 г.</t>
  </si>
  <si>
    <t>работы добывающих скважин месторождения Башенколь на сентябрь месяц 2018 г.</t>
  </si>
  <si>
    <t>23K1200</t>
  </si>
  <si>
    <t>PEU-278-120-S7</t>
  </si>
  <si>
    <t>работы добывающих скважин месторождения Башенколь на октябрь месяц 2018 г.</t>
  </si>
  <si>
    <t>Главный геолог ТОО "Фирма Ада Ойл" ________________________________ Мударисов Б.А.</t>
  </si>
  <si>
    <t>637,0-639; 665,0-671,0</t>
  </si>
  <si>
    <t>работы добывающих скважин месторождения Башенколь на декабрь месяц 2018 г.</t>
  </si>
  <si>
    <t>568,5-570,5; 577,5-581,5</t>
  </si>
  <si>
    <t>работы добывающих скважин месторождения Башенколь на январь месяц 2019 г.</t>
  </si>
  <si>
    <t>"_________" ________________2019 г.</t>
  </si>
  <si>
    <t>работы добывающих скважин месторождения Башенколь на март месяц 2019 г.</t>
  </si>
  <si>
    <t>33К1500</t>
  </si>
  <si>
    <t>15K1300</t>
  </si>
  <si>
    <t xml:space="preserve"> 573,0-574,0; 575,5-577,0; 581,0-582,5</t>
  </si>
  <si>
    <t>BSK-102</t>
  </si>
  <si>
    <t>BSK-60</t>
  </si>
  <si>
    <t>BSK-109</t>
  </si>
  <si>
    <t>659,5-665,0; 674,5-679,0</t>
  </si>
  <si>
    <t>647,0-652,0; 661,0-667,0</t>
  </si>
  <si>
    <t>667,5-671,0; 648,0-650,5; 634,5-637,0</t>
  </si>
  <si>
    <t>В ожидании испытания</t>
  </si>
  <si>
    <t>"_______" ________________________ 2019 г.</t>
  </si>
  <si>
    <t>работы добывающих скважин месторождения Башенколь на апрель месяц 2019 г.</t>
  </si>
  <si>
    <t xml:space="preserve"> 218</t>
  </si>
  <si>
    <t xml:space="preserve"> 310</t>
  </si>
  <si>
    <t xml:space="preserve"> 328</t>
  </si>
  <si>
    <t xml:space="preserve"> 270</t>
  </si>
  <si>
    <t xml:space="preserve"> 110</t>
  </si>
  <si>
    <t xml:space="preserve"> 317</t>
  </si>
  <si>
    <t xml:space="preserve"> 358</t>
  </si>
  <si>
    <t xml:space="preserve"> 320</t>
  </si>
  <si>
    <t xml:space="preserve"> 290</t>
  </si>
  <si>
    <t xml:space="preserve"> 215</t>
  </si>
  <si>
    <t xml:space="preserve"> 365</t>
  </si>
  <si>
    <t xml:space="preserve"> 335</t>
  </si>
  <si>
    <t xml:space="preserve"> 275</t>
  </si>
  <si>
    <t xml:space="preserve"> 330</t>
  </si>
  <si>
    <t xml:space="preserve"> 347</t>
  </si>
  <si>
    <t xml:space="preserve"> 267</t>
  </si>
  <si>
    <t xml:space="preserve"> 230</t>
  </si>
  <si>
    <t xml:space="preserve"> 170</t>
  </si>
  <si>
    <t xml:space="preserve"> 90</t>
  </si>
  <si>
    <t>570,5-572,5; 578,0-584,0, 591-592, 593-594</t>
  </si>
  <si>
    <t>33K1500</t>
  </si>
  <si>
    <t>работы добывающих скважин месторождения Башенколь на июнь месяц 2019 г.</t>
  </si>
  <si>
    <t>работы добывающих скважин месторождения Башенколь на октябрь месяц 2019 г.</t>
  </si>
  <si>
    <t>T1 IIB</t>
  </si>
  <si>
    <t xml:space="preserve"> K1br+Т1 III</t>
  </si>
  <si>
    <t>022 E120</t>
  </si>
  <si>
    <t>032 E1500</t>
  </si>
  <si>
    <t>22E1200</t>
  </si>
  <si>
    <t>564-567,5; 552,6-557,0</t>
  </si>
  <si>
    <t>15K600</t>
  </si>
  <si>
    <t>545,5-549м</t>
  </si>
  <si>
    <t>272,5-275, 570,5-572,5; 578,0-584,0, 591-592</t>
  </si>
  <si>
    <t>544-545; 550-556; 559-561,5; 562,5-563</t>
  </si>
  <si>
    <t xml:space="preserve">560,-566,0м </t>
  </si>
  <si>
    <t>581,5-585,5</t>
  </si>
  <si>
    <t>537,8-540,8м</t>
  </si>
  <si>
    <t>514,6-517,0</t>
  </si>
  <si>
    <t>работы добывающих скважин месторождения Башенколь на январь месяц 2020 г.</t>
  </si>
  <si>
    <t>22Е1200</t>
  </si>
  <si>
    <t>60TP1300</t>
  </si>
  <si>
    <t>32Е1500</t>
  </si>
  <si>
    <t>570,5-572,0;</t>
  </si>
  <si>
    <t>557,5-559,0; 562,0-563,0;</t>
  </si>
  <si>
    <t>13Е1300</t>
  </si>
  <si>
    <t>514,6-517, 544-545,5, 554,5-556, 560-561,5, 562,5-563,5, 566,5-567,5, 568-570, 572-573,5.</t>
  </si>
  <si>
    <t xml:space="preserve"> Т1-IIА+Т1 III</t>
  </si>
  <si>
    <t>578,0-581,8</t>
  </si>
  <si>
    <t>работы добывающих скважин месторождения Башенколь на февраль месяц 2020 г.</t>
  </si>
  <si>
    <t>Ибрагимов Н</t>
  </si>
  <si>
    <t>"_______" ________________________ 2021 г.</t>
  </si>
  <si>
    <t>15К1200</t>
  </si>
  <si>
    <t>PEU-278-120-S7 J\N USR</t>
  </si>
  <si>
    <t>32E1500</t>
  </si>
  <si>
    <t>PEU 27-120-S13</t>
  </si>
  <si>
    <t>BSK-115</t>
  </si>
  <si>
    <t>134,0-137,5</t>
  </si>
  <si>
    <t>Старший инженер по разработке месторождений ТОО "Фирма Ада Ойл" __________________________ Джиембаев Е.Ж.</t>
  </si>
  <si>
    <t>Генеральный директор ТОО "Фирма Ада Ойл": ________________________  Ким Тэён.</t>
  </si>
  <si>
    <t xml:space="preserve"> 563,5-568,5; 570,0-576,0; 579,0-582,0</t>
  </si>
  <si>
    <t>561,0-562,0</t>
  </si>
  <si>
    <t>197,0-212,0; 214,0-217,0</t>
  </si>
  <si>
    <t>УТВЕРЖДАЮ / APPROVED WITH:</t>
  </si>
  <si>
    <t xml:space="preserve"> Директор по производству ТОО "Фирма Ада Ойл" / Operation Director "Firm Ada Oil" LLP</t>
  </si>
  <si>
    <t>________________________   Ла Сукхо / La Sukho</t>
  </si>
  <si>
    <t>работы добывающих скважин месторождения Башенколь на сентябрь месяц 2021 г.</t>
  </si>
  <si>
    <t>563,1-564,1; 571,5-574,5</t>
  </si>
  <si>
    <t>657,5-660,0</t>
  </si>
  <si>
    <t>T1 III</t>
  </si>
  <si>
    <t>"_________" ________________2021 г.</t>
  </si>
  <si>
    <t>BSK-201</t>
  </si>
  <si>
    <t>192,0-213,2; 216,5-219,5</t>
  </si>
  <si>
    <t>13E1200</t>
  </si>
  <si>
    <t>566,2-567,2; 574-577,7; 581,0-582,6</t>
  </si>
  <si>
    <t>NTZ2278*150DT32</t>
  </si>
  <si>
    <t>NTZ2278*120DT14</t>
  </si>
  <si>
    <t>NTZ278*120ST14</t>
  </si>
  <si>
    <t>NTZ2278*120DT20</t>
  </si>
  <si>
    <t>550,0-552,0; 558,0-563,0; 566,0-569,0; 571,0-573,0</t>
  </si>
  <si>
    <t>565,5-568,5</t>
  </si>
  <si>
    <t>NTZ2278*120ST14</t>
  </si>
  <si>
    <t>569,5-571,0; 574,5-576,0; 577,5-580,0</t>
  </si>
  <si>
    <t>555,6-557,5; 559,0-566,5</t>
  </si>
  <si>
    <t>555,5-557,0; 563,0-568; 570,5-574; 578,5-581; 582-585</t>
  </si>
  <si>
    <t>583,0-584,54</t>
  </si>
  <si>
    <t>556,4-558,1; 564,6-565,6; 566,2-568,3</t>
  </si>
  <si>
    <t xml:space="preserve"> 568,0-570,0</t>
  </si>
  <si>
    <t>BSK-61</t>
  </si>
  <si>
    <t>553,1-555; 560,7-564,4; 568,3-570,1; 575,5-578,8; 580,3-582; 582,7-584,7</t>
  </si>
  <si>
    <t>565,0-566,0; 573-576,5</t>
  </si>
  <si>
    <t>565-566,5; 572,5-577,0; 580,5-583,0</t>
  </si>
  <si>
    <t>555,6-557; 564-567,5</t>
  </si>
  <si>
    <t>539,5-542; 546,5-551,5; 555-557; 562-564,5</t>
  </si>
  <si>
    <t>551-553; 558-560</t>
  </si>
  <si>
    <t>580,3-582,3; 586,3-589,2</t>
  </si>
  <si>
    <t>544-545,5; 554,5-556, 560-561,5, 562,5-563,5, 566,5-567,5, 568-570, 572-573,5.</t>
  </si>
  <si>
    <t>545,5-549; 561-565</t>
  </si>
  <si>
    <t>508,5-509,5; 516,5-519,5; 525,5-527,0; 531,0-537</t>
  </si>
  <si>
    <t>530,0-532,0; 537,5-542,5; 546,0-549,0</t>
  </si>
  <si>
    <t>570,5-572,5; 578-584</t>
  </si>
  <si>
    <t>584,5-588,0</t>
  </si>
  <si>
    <t>578,0-581,95</t>
  </si>
  <si>
    <t>572-575</t>
  </si>
  <si>
    <t>580,2-584,6; 588,4-589,4</t>
  </si>
  <si>
    <t>577-579; 584-585,5</t>
  </si>
  <si>
    <t>161,5-167,0; 192,5-209,5; 218,0-220,5; 224,5-226,5</t>
  </si>
  <si>
    <t>НКТ</t>
  </si>
  <si>
    <t>544-551,5; 553,5-557; 561,5-569</t>
  </si>
  <si>
    <t>№ скв. / #Well</t>
  </si>
  <si>
    <t>Искусственный забой / PBTD</t>
  </si>
  <si>
    <t>Интервал перфорации / Perforation interval</t>
  </si>
  <si>
    <t xml:space="preserve">диаметр эксплуатационной колонны / OD casing </t>
  </si>
  <si>
    <t>Тип насоса / Type of pump</t>
  </si>
  <si>
    <t>марка насоса / pump brand</t>
  </si>
  <si>
    <t>Глубина спуска хвостовика / Tail-joint</t>
  </si>
  <si>
    <t>число вращения ротора / RPM</t>
  </si>
  <si>
    <t>Уровень / Fl level, м</t>
  </si>
  <si>
    <t>стат / static</t>
  </si>
  <si>
    <t>дин / dynamic</t>
  </si>
  <si>
    <t>Давление затрубное / Anuual pressure, атм</t>
  </si>
  <si>
    <t>при стат / static</t>
  </si>
  <si>
    <t>при дин / dynamic</t>
  </si>
  <si>
    <t>Давление / pressure, атм</t>
  </si>
  <si>
    <t>пл. / Pr</t>
  </si>
  <si>
    <t>заб. / Pwf</t>
  </si>
  <si>
    <t>Теоретическая производительность насоса / Target rate</t>
  </si>
  <si>
    <t>нефть / oil</t>
  </si>
  <si>
    <t>жидк. / fluid</t>
  </si>
  <si>
    <t>газ / gas</t>
  </si>
  <si>
    <t>Газовый фактор / GOR, м³/м³</t>
  </si>
  <si>
    <t>Обводненность / WC, %</t>
  </si>
  <si>
    <t>Мех. Примеси / Sand, %</t>
  </si>
  <si>
    <t>Коэффициент подачи насоса / Pump efficiency</t>
  </si>
  <si>
    <t xml:space="preserve">Число дней работы / working days </t>
  </si>
  <si>
    <t>дни / days</t>
  </si>
  <si>
    <t>Добыча нефти за месяц / Oil monthly production</t>
  </si>
  <si>
    <t>м³ / m3</t>
  </si>
  <si>
    <t>Мероприятия по обеспечению технологического режима / Measures to ensure the technological regime</t>
  </si>
  <si>
    <t>Фактический режим / Actual rejime</t>
  </si>
  <si>
    <t>Намечаемый режим / Intended rejime</t>
  </si>
  <si>
    <t>Средний суточный дебит / Average daily flow rate, м³/сут / m3/d</t>
  </si>
  <si>
    <t>water density</t>
  </si>
  <si>
    <t>Oil density</t>
  </si>
  <si>
    <t>Gas density</t>
  </si>
  <si>
    <t xml:space="preserve">Установка мех. пакера на глубине 570,0м (кровля) для тестирование верхних интервалов перф. Set mech. paker on depth 570,0 (Top) m and production test  upper interval </t>
  </si>
  <si>
    <t>простой в свзязи ГТМ</t>
  </si>
  <si>
    <t>Подъем Ротора, Отбор гл. пробы, спуск ротора, / POOH rotor of PCP, Sampling PVT, RIH rotor of PCP</t>
  </si>
  <si>
    <t>ПГИ в добывающей скважине  / PLT on production well</t>
  </si>
  <si>
    <t>Скважина ост.  в связи с 100% обводн. / Shut in duo to high WC1 00%</t>
  </si>
  <si>
    <t>Испытание прекращено / Testing comlpeted</t>
  </si>
  <si>
    <t>Консервация / conservation</t>
  </si>
  <si>
    <t>Скважина остановлена. / Shut in</t>
  </si>
  <si>
    <t xml:space="preserve">№ скв. </t>
  </si>
  <si>
    <t xml:space="preserve">Искусственный забой </t>
  </si>
  <si>
    <t xml:space="preserve">Интервал перфорации </t>
  </si>
  <si>
    <t xml:space="preserve">Тип насоса </t>
  </si>
  <si>
    <t>марка насоса</t>
  </si>
  <si>
    <t xml:space="preserve">Фактический режим </t>
  </si>
  <si>
    <t xml:space="preserve">Глубина спуска хвостовика </t>
  </si>
  <si>
    <t xml:space="preserve">число вращения ротора </t>
  </si>
  <si>
    <t>Уровень</t>
  </si>
  <si>
    <t xml:space="preserve">заб. </t>
  </si>
  <si>
    <t xml:space="preserve">Теоретическая производительность насоса </t>
  </si>
  <si>
    <t xml:space="preserve">нефть </t>
  </si>
  <si>
    <t xml:space="preserve">газ </t>
  </si>
  <si>
    <t>Мех. Примеси, %</t>
  </si>
  <si>
    <t xml:space="preserve">Средний суточный дебит, м³/сут </t>
  </si>
  <si>
    <t xml:space="preserve">жидк. </t>
  </si>
  <si>
    <t xml:space="preserve">м³ </t>
  </si>
  <si>
    <t xml:space="preserve">Скважина ост.  в связи с 100% обводн. </t>
  </si>
  <si>
    <t>Скважина остановлена</t>
  </si>
  <si>
    <t>NTZ-278-120 ST14</t>
  </si>
  <si>
    <t>NTZ278*150DT32</t>
  </si>
  <si>
    <t>NTZ 278-120ST14</t>
  </si>
  <si>
    <t>NTZ278*120DT20</t>
  </si>
  <si>
    <t>NTZ 278-120DT20</t>
  </si>
  <si>
    <t>550,0-552,0; 558,0-563,0; 566,0-569,0; 571,0-573,5</t>
  </si>
  <si>
    <t>565,5-568,5; 571,5-578; 580-582</t>
  </si>
  <si>
    <t>555,6-557,5; 559,0-585,5</t>
  </si>
  <si>
    <t>555,6-557; 564-567,5; 577-580,5</t>
  </si>
  <si>
    <t>551-553; 558-560; 567-569,5</t>
  </si>
  <si>
    <t>NTZ278-120DT20</t>
  </si>
  <si>
    <t>560,8-561,8; 568,6-569,8; 572,4-573,4; 576,3-578,1</t>
  </si>
  <si>
    <t>NTZ 278-150DT32</t>
  </si>
  <si>
    <t>569-571; 577-582</t>
  </si>
  <si>
    <t>BSK-211</t>
  </si>
  <si>
    <t>209,5-222; 226-235</t>
  </si>
  <si>
    <t>"_______" ________________________ 2022 г.</t>
  </si>
  <si>
    <t>"_________" ________________2022 г.</t>
  </si>
  <si>
    <t>работы добывающих скважин месторождения Башенколь на ноябрь месяц 2022 г.</t>
  </si>
  <si>
    <t>Заместитель директора по производству ТОО "Фирма Ада Ойл" / Deputy Operations Director "Firm Ada Oil" LLP</t>
  </si>
  <si>
    <t xml:space="preserve">Ведущий геолог ТОО "Фирма Ада Ойл"/ Lead geologist of "Firm Ada Oil" LLP </t>
  </si>
  <si>
    <t>Главный геолог ТОО "Фирма Ада Ойл" / Chief geologist of "Firm Ada Oil" LLP</t>
  </si>
  <si>
    <t>________________________  Ким Тэён. / Kim Taeyeon</t>
  </si>
  <si>
    <t xml:space="preserve">Генеральный Директор ТОО "Фирма Ада Ойл" / General Director "Firm Ada Oil": </t>
  </si>
  <si>
    <t>__________________________ Галиев Р.Р. / R. R. Galiyev</t>
  </si>
  <si>
    <t xml:space="preserve">________________________________ Мударисов Б.А. / B.A. Mudarissov </t>
  </si>
  <si>
    <t xml:space="preserve">______________________  Тасбулатов Н.О. / N.O. Tasbulatov </t>
  </si>
  <si>
    <t>Количество дней в месяц</t>
  </si>
  <si>
    <t>Фактические отработаные часы по скважинам согласно PS</t>
  </si>
  <si>
    <t xml:space="preserve">Количество действующих скважин </t>
  </si>
  <si>
    <t xml:space="preserve"> 192,5-209,5; 218,0-220,5; 224,5-226,5</t>
  </si>
  <si>
    <t>Ре-перфорация интервалов 556-557,5м; 564-566м, установка мех. пакера на глубину - 570м, спуск насоса</t>
  </si>
  <si>
    <t>Установка мех. пакера на глубине 572,5м (кровля пакера)  для тестирования верних  интервалов перф</t>
  </si>
  <si>
    <t>Скважина остановлена.</t>
  </si>
  <si>
    <t>NTZ-278-120 DT20</t>
  </si>
  <si>
    <t>с 01.12.2022г снизить обор.с 180 до 160 об/мин</t>
  </si>
  <si>
    <t xml:space="preserve">Искусственный забой,м </t>
  </si>
  <si>
    <t>Интервал перфорации , м</t>
  </si>
  <si>
    <t>диаметр эксплуатационной колонны, мм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</si>
  <si>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декабрь  </t>
    </r>
    <r>
      <rPr>
        <sz val="16"/>
        <rFont val="Times New Roman"/>
        <family val="1"/>
        <charset val="204"/>
      </rPr>
      <t>месяц 2022 г.</t>
    </r>
  </si>
  <si>
    <t>"_______" _______________2022 г.</t>
  </si>
  <si>
    <t xml:space="preserve">________________________________ Махмудов Р.А. /R.A. Makhumodov </t>
  </si>
  <si>
    <t>Начальник ПТО ТОО "Фирма Ада Ойл" / Production team manager of "Firm Ada Oil" LLP</t>
  </si>
  <si>
    <t xml:space="preserve">________________________________ Амангосов Ш.А. / Sh.A. Amangosov </t>
  </si>
  <si>
    <t>Ревизия ПО</t>
  </si>
  <si>
    <t>Директор по производству ТОО "Фирма Ада Ойл" / Operations Director "Firm Ada Oil" LLP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</si>
  <si>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январь  </t>
    </r>
    <r>
      <rPr>
        <sz val="16"/>
        <rFont val="Times New Roman"/>
        <family val="1"/>
        <charset val="204"/>
      </rPr>
      <t>месяц 2023 г.</t>
    </r>
  </si>
  <si>
    <t>Уркимбаев М.</t>
  </si>
  <si>
    <t xml:space="preserve">_______________Тасбулатов Н.О. / N.O. Tasbulatov </t>
  </si>
  <si>
    <t>Ревизия ВН и ПО</t>
  </si>
  <si>
    <t>Добыча, в тн</t>
  </si>
  <si>
    <t>тн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</si>
  <si>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февраль </t>
    </r>
    <r>
      <rPr>
        <sz val="16"/>
        <rFont val="Times New Roman"/>
        <family val="1"/>
        <charset val="204"/>
      </rPr>
      <t>месяц 2023 г.</t>
    </r>
  </si>
  <si>
    <t xml:space="preserve">Начальник ПТО ТОО "Фирма Ада Ойл" </t>
  </si>
  <si>
    <t>________________________________ Амангосов Ш.А.</t>
  </si>
  <si>
    <t>Заместитель генерального директора по производству ТОО "Фирма Ада Ойл"</t>
  </si>
  <si>
    <t xml:space="preserve">_______________Тасбулатов Н.О. </t>
  </si>
  <si>
    <t>"_________" ________________2023г.</t>
  </si>
  <si>
    <t>Вывод на режим после ПРС</t>
  </si>
  <si>
    <t>Контроль за обводненностью</t>
  </si>
  <si>
    <t>Ревизия ВН и ПО, замена при необходимости</t>
  </si>
  <si>
    <t xml:space="preserve"> </t>
  </si>
  <si>
    <t>УТВЕРЖДАЮ</t>
  </si>
  <si>
    <t>_______ _______________2023г.</t>
  </si>
  <si>
    <t>КРС (ревизия ПО, изол. вод.интервала)</t>
  </si>
  <si>
    <t>NTZ278*150DT20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</si>
  <si>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март </t>
    </r>
    <r>
      <rPr>
        <sz val="16"/>
        <rFont val="Times New Roman"/>
        <family val="1"/>
        <charset val="204"/>
      </rPr>
      <t>месяц 2023 г.</t>
    </r>
  </si>
  <si>
    <t>Заместитель генерального директора по производству 
ТОО "Фирма Ада Ойл"</t>
  </si>
  <si>
    <t>________________________________ Жумадил А.М.</t>
  </si>
  <si>
    <t>569-571; 577-582; 584,5-588м</t>
  </si>
  <si>
    <t>NTZ 278-120 ST14</t>
  </si>
  <si>
    <t xml:space="preserve">Директор по геологии и разработке месторождений ТОО "Фирма Ада Ойл" </t>
  </si>
  <si>
    <t>При добыче 8800тн</t>
  </si>
  <si>
    <t>При добыче 9150тн</t>
  </si>
  <si>
    <t xml:space="preserve">560,5-566,0м </t>
  </si>
  <si>
    <t>508,5-509,5; 516,5-520; 525-527,5; 530,5-537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</si>
  <si>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апрель </t>
    </r>
    <r>
      <rPr>
        <sz val="16"/>
        <rFont val="Times New Roman"/>
        <family val="1"/>
        <charset val="204"/>
      </rPr>
      <t>месяц 2023г.</t>
    </r>
  </si>
  <si>
    <t>Ожидание ПРС (заклин ротора)</t>
  </si>
  <si>
    <t>Ожидание ПРС (нет подачи)</t>
  </si>
  <si>
    <t>NTZ-278-150DT32</t>
  </si>
  <si>
    <t>NTZ278х120DT20</t>
  </si>
  <si>
    <t>Запуск после КВД при 85об/мин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</si>
  <si>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май </t>
    </r>
    <r>
      <rPr>
        <sz val="16"/>
        <rFont val="Times New Roman"/>
        <family val="1"/>
        <charset val="204"/>
      </rPr>
      <t>месяц 2023г.</t>
    </r>
  </si>
  <si>
    <t>Очистка забоя от песка</t>
  </si>
  <si>
    <t>Ожидание ПРС (зат. талыми водами)</t>
  </si>
  <si>
    <t>Оптимизация добычи</t>
  </si>
  <si>
    <t>Оптимизация добычи по воде</t>
  </si>
  <si>
    <t>Остановлена нет притока</t>
  </si>
  <si>
    <t>Оптимизация по добыче</t>
  </si>
  <si>
    <t>Оптимизация по добыче воды</t>
  </si>
  <si>
    <t>Закрытие скважины на КВД</t>
  </si>
  <si>
    <t>569-571; 577-582;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</si>
  <si>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июнь </t>
    </r>
    <r>
      <rPr>
        <sz val="16"/>
        <rFont val="Times New Roman"/>
        <family val="1"/>
        <charset val="204"/>
      </rPr>
      <t>месяц 2023г.</t>
    </r>
  </si>
  <si>
    <t>Запуск после оптимизация добычи</t>
  </si>
  <si>
    <t>Замер КВУ</t>
  </si>
  <si>
    <t>Остановка на КВД</t>
  </si>
  <si>
    <t>Остановка на КВУ</t>
  </si>
  <si>
    <t xml:space="preserve">Ожидание ПРС </t>
  </si>
  <si>
    <t>Запуск после оптимизации</t>
  </si>
  <si>
    <t>Консервация</t>
  </si>
  <si>
    <t>Запуск после КВУ</t>
  </si>
  <si>
    <t>Запуск после КВД</t>
  </si>
  <si>
    <t>Запуск после ПРС</t>
  </si>
  <si>
    <t>ПРС (ревизия ПО)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</si>
  <si>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август </t>
    </r>
    <r>
      <rPr>
        <sz val="16"/>
        <rFont val="Times New Roman"/>
        <family val="1"/>
        <charset val="204"/>
      </rPr>
      <t>месяц 2023г.</t>
    </r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</si>
  <si>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июль </t>
    </r>
    <r>
      <rPr>
        <sz val="16"/>
        <rFont val="Times New Roman"/>
        <family val="1"/>
        <charset val="204"/>
      </rPr>
      <t>месяц 2023г.</t>
    </r>
  </si>
  <si>
    <t>Временная остановка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</si>
  <si>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сентябрь </t>
    </r>
    <r>
      <rPr>
        <sz val="16"/>
        <rFont val="Times New Roman"/>
        <family val="1"/>
        <charset val="204"/>
      </rPr>
      <t>месяц 2023г.</t>
    </r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</si>
  <si>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октябрь </t>
    </r>
    <r>
      <rPr>
        <sz val="16"/>
        <rFont val="Times New Roman"/>
        <family val="1"/>
        <charset val="204"/>
      </rPr>
      <t>месяц 2023г.</t>
    </r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</si>
  <si>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ноябрь </t>
    </r>
    <r>
      <rPr>
        <sz val="16"/>
        <rFont val="Times New Roman"/>
        <family val="1"/>
        <charset val="204"/>
      </rPr>
      <t>месяц 2023г.</t>
    </r>
  </si>
  <si>
    <t>NTZ278*120SN14</t>
  </si>
  <si>
    <t>569-571; 576,5-582; 584,5-588м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</si>
  <si>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декабрь </t>
    </r>
    <r>
      <rPr>
        <sz val="16"/>
        <rFont val="Times New Roman"/>
        <family val="1"/>
        <charset val="204"/>
      </rPr>
      <t>месяц 2023г.</t>
    </r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</si>
  <si>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январь </t>
    </r>
    <r>
      <rPr>
        <sz val="16"/>
        <rFont val="Times New Roman"/>
        <family val="1"/>
        <charset val="204"/>
      </rPr>
      <t>месяц 2024г.</t>
    </r>
  </si>
  <si>
    <t>584,5-590,5; 634,2-635,2; 643,9-644,9; 654-655,5; 656,5-658,8</t>
  </si>
  <si>
    <t>Запуск скважины на "пермь"</t>
  </si>
  <si>
    <t>32К1500</t>
  </si>
  <si>
    <t>NTZ-278-120 ST7</t>
  </si>
  <si>
    <t>Запуск скважины после ПРС</t>
  </si>
  <si>
    <t>"_________" ________________2024г.</t>
  </si>
  <si>
    <t>_______ _______________2024г.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</si>
  <si>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март </t>
    </r>
    <r>
      <rPr>
        <sz val="16"/>
        <rFont val="Times New Roman"/>
        <family val="1"/>
        <charset val="204"/>
      </rPr>
      <t>месяц 2024г.</t>
    </r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</si>
  <si>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апрель </t>
    </r>
    <r>
      <rPr>
        <sz val="16"/>
        <rFont val="Times New Roman"/>
        <family val="1"/>
        <charset val="204"/>
      </rPr>
      <t>месяц 2024г.</t>
    </r>
  </si>
  <si>
    <t>Скважина в ожидании ПРС</t>
  </si>
  <si>
    <t>Перевод на нижележащий объект</t>
  </si>
  <si>
    <t>В простое из-за паводка</t>
  </si>
  <si>
    <t>Введена 18.03.2024 после расконсерв.</t>
  </si>
  <si>
    <t>Вывод 18.03.2024 из бездействия.</t>
  </si>
  <si>
    <t>Перевод на нижележащий гор-т с 04.04.24</t>
  </si>
  <si>
    <t>Перевод на нижележащий гор-т с 12.04.24</t>
  </si>
  <si>
    <t>Перевод на нижележащий гор-т с 08.04.24</t>
  </si>
  <si>
    <t xml:space="preserve">Начальник отдела по геологии и разработке месторождений ТОО "Фирма Ада Ойл" </t>
  </si>
  <si>
    <t>________________________________ Галиев Р.Р</t>
  </si>
  <si>
    <r>
      <t>работы добывающих скважин месторождения Башенколь на</t>
    </r>
    <r>
      <rPr>
        <b/>
        <sz val="16"/>
        <rFont val="Times New Roman"/>
        <family val="1"/>
        <charset val="204"/>
      </rPr>
      <t xml:space="preserve"> май </t>
    </r>
    <r>
      <rPr>
        <sz val="16"/>
        <rFont val="Times New Roman"/>
        <family val="1"/>
        <charset val="204"/>
      </rPr>
      <t>месяц 2024г.</t>
    </r>
  </si>
  <si>
    <t>ПРС (чистка забоя от песка)</t>
  </si>
  <si>
    <t>Запуск после паводка</t>
  </si>
  <si>
    <t>606-608, 626,5-632, 637,5-643</t>
  </si>
  <si>
    <t>636-637,5, 639-646, 655-657,5</t>
  </si>
  <si>
    <t>622,9-625,1; 665,2-666,4, 673,8-677,2, 684,8-686,8</t>
  </si>
  <si>
    <t xml:space="preserve">NTZ278-150DT32 </t>
  </si>
  <si>
    <t>647,0-652,0; 661,0-667,0, 649,5-651, 661,4-666,4, 671-676,5, 678,9-681,9, 685,5-688,0</t>
  </si>
  <si>
    <t>Скважина введена в промыш.разр.</t>
  </si>
  <si>
    <t>Перевод на нижележащий гор-т с 12.05.24</t>
  </si>
  <si>
    <t>Ожидание ПРС</t>
  </si>
  <si>
    <t>Вывод из консервации</t>
  </si>
  <si>
    <t>Перевод на нижележащий гор-т с 29.05.24</t>
  </si>
  <si>
    <r>
      <t>работы добывающих скважин месторождения Башенколь на июнь</t>
    </r>
    <r>
      <rPr>
        <b/>
        <sz val="16"/>
        <rFont val="Times New Roman"/>
        <family val="1"/>
        <charset val="204"/>
      </rPr>
      <t xml:space="preserve"> </t>
    </r>
    <r>
      <rPr>
        <sz val="16"/>
        <rFont val="Times New Roman"/>
        <family val="1"/>
        <charset val="204"/>
      </rPr>
      <t>месяц 2024г.</t>
    </r>
  </si>
  <si>
    <t>Перевод на нижележащий гор-т с 03.06.24</t>
  </si>
  <si>
    <t xml:space="preserve"> 637-639, 642,2-644,2, 664,8-670,8, 673-674,5, 675-676, 677-678, 680,8-683,3, 685,0-687,5.</t>
  </si>
  <si>
    <t>619,8-620,8; 630-635; 643,2-646,2</t>
  </si>
  <si>
    <t xml:space="preserve">Перевод на нижележащий гор-т </t>
  </si>
  <si>
    <t>Очистка забоя от песка. ГТМ</t>
  </si>
  <si>
    <t>Водозаборные</t>
  </si>
  <si>
    <r>
      <t>работы добывающих скважин месторождения Башенколь на июль</t>
    </r>
    <r>
      <rPr>
        <b/>
        <sz val="16"/>
        <rFont val="Times New Roman"/>
        <family val="1"/>
        <charset val="204"/>
      </rPr>
      <t xml:space="preserve"> </t>
    </r>
    <r>
      <rPr>
        <sz val="16"/>
        <rFont val="Times New Roman"/>
        <family val="1"/>
        <charset val="204"/>
      </rPr>
      <t>месяц 2024г.</t>
    </r>
  </si>
  <si>
    <t>571-573,2, 578,4-583,4</t>
  </si>
  <si>
    <t>572,6-574; 577,2-582,2</t>
  </si>
  <si>
    <t>544,3-546,3; 550-556;</t>
  </si>
  <si>
    <r>
      <t xml:space="preserve"> Т</t>
    </r>
    <r>
      <rPr>
        <vertAlign val="subscript"/>
        <sz val="11"/>
        <rFont val="Times New Roman"/>
        <family val="1"/>
        <charset val="204"/>
      </rPr>
      <t>1</t>
    </r>
    <r>
      <rPr>
        <sz val="11"/>
        <rFont val="Times New Roman"/>
        <family val="1"/>
        <charset val="204"/>
      </rPr>
      <t>-III</t>
    </r>
  </si>
  <si>
    <t>ПРС (спуск пакера для ограничения водопритока)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</si>
</sst>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0.0"/>
    <numFmt numFmtId="166" formatCode="0.000"/>
    <numFmt numFmtId="167" formatCode="000000"/>
  </numFmts>
  <fonts count="42" x14ac:knownFonts="1">
    <font>
      <sz val="10"/>
      <name val="Arial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u/>
      <sz val="8.5"/>
      <color indexed="12"/>
      <name val="Arial"/>
      <family val="2"/>
      <charset val="204"/>
    </font>
    <font>
      <sz val="10"/>
      <name val="Arial"/>
      <family val="2"/>
      <charset val="204"/>
    </font>
    <font>
      <u/>
      <sz val="8.5"/>
      <color indexed="12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0"/>
      <name val="Arial Cyr"/>
      <charset val="204"/>
    </font>
    <font>
      <sz val="11"/>
      <name val="Arial"/>
      <family val="2"/>
      <charset val="204"/>
    </font>
    <font>
      <b/>
      <sz val="11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Arial"/>
      <family val="2"/>
      <charset val="204"/>
    </font>
    <font>
      <sz val="12"/>
      <name val="Times New Roman"/>
      <family val="1"/>
      <charset val="204"/>
    </font>
    <font>
      <b/>
      <sz val="12"/>
      <name val="Arial"/>
      <family val="2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name val="Times New Roman"/>
      <family val="1"/>
      <charset val="204"/>
    </font>
    <font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3"/>
      <name val="Times New Roman"/>
      <family val="1"/>
      <charset val="204"/>
    </font>
    <font>
      <sz val="14"/>
      <name val="Arial"/>
      <family val="2"/>
      <charset val="204"/>
    </font>
    <font>
      <b/>
      <sz val="9"/>
      <name val="Times New Roman"/>
      <family val="1"/>
      <charset val="204"/>
    </font>
    <font>
      <sz val="11"/>
      <color rgb="FF000000"/>
      <name val="Calibri"/>
      <family val="2"/>
      <scheme val="minor"/>
    </font>
    <font>
      <b/>
      <sz val="11"/>
      <color rgb="FFFF0000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Arial"/>
      <family val="2"/>
      <charset val="204"/>
    </font>
    <font>
      <sz val="16"/>
      <name val="Times New Roman"/>
      <family val="1"/>
      <charset val="204"/>
    </font>
    <font>
      <sz val="11"/>
      <color rgb="FFFF0000"/>
      <name val="Arial"/>
      <family val="2"/>
      <charset val="204"/>
    </font>
    <font>
      <vertAlign val="subscript"/>
      <sz val="11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164" fontId="6" fillId="0" borderId="0" applyFont="0" applyFill="0" applyBorder="0" applyAlignment="0" applyProtection="0"/>
    <xf numFmtId="0" fontId="4" fillId="0" borderId="0"/>
    <xf numFmtId="0" fontId="10" fillId="0" borderId="0"/>
    <xf numFmtId="0" fontId="4" fillId="0" borderId="0"/>
    <xf numFmtId="0" fontId="35" fillId="0" borderId="0"/>
  </cellStyleXfs>
  <cellXfs count="2000">
    <xf numFmtId="0" fontId="0" fillId="0" borderId="0" xfId="0"/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2" fontId="2" fillId="0" borderId="0" xfId="0" applyNumberFormat="1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65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Alignment="1">
      <alignment vertical="center"/>
    </xf>
    <xf numFmtId="0" fontId="7" fillId="0" borderId="0" xfId="0" applyFont="1" applyFill="1" applyBorder="1" applyAlignment="1">
      <alignment horizontal="left" vertical="center" wrapText="1"/>
    </xf>
    <xf numFmtId="0" fontId="8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right" vertical="center"/>
    </xf>
    <xf numFmtId="9" fontId="7" fillId="0" borderId="1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textRotation="90" wrapText="1"/>
    </xf>
    <xf numFmtId="2" fontId="2" fillId="0" borderId="0" xfId="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2" fontId="8" fillId="0" borderId="1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4" fontId="8" fillId="0" borderId="1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5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horizontal="right" vertical="center"/>
    </xf>
    <xf numFmtId="165" fontId="8" fillId="0" borderId="1" xfId="0" applyNumberFormat="1" applyFont="1" applyFill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7" fillId="0" borderId="0" xfId="0" applyNumberFormat="1" applyFont="1" applyFill="1" applyBorder="1" applyAlignment="1">
      <alignment horizontal="center" vertical="center"/>
    </xf>
    <xf numFmtId="165" fontId="7" fillId="0" borderId="0" xfId="0" applyNumberFormat="1" applyFont="1" applyFill="1" applyAlignment="1">
      <alignment vertical="center"/>
    </xf>
    <xf numFmtId="0" fontId="7" fillId="0" borderId="9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textRotation="90" wrapText="1"/>
    </xf>
    <xf numFmtId="0" fontId="12" fillId="0" borderId="0" xfId="0" applyFont="1" applyBorder="1" applyAlignment="1">
      <alignment horizontal="center" vertical="center" textRotation="90" wrapText="1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center" vertical="center" textRotation="90" wrapText="1"/>
    </xf>
    <xf numFmtId="2" fontId="13" fillId="0" borderId="1" xfId="0" applyNumberFormat="1" applyFont="1" applyFill="1" applyBorder="1" applyAlignment="1">
      <alignment horizontal="center" vertical="center" textRotation="90" wrapText="1"/>
    </xf>
    <xf numFmtId="0" fontId="15" fillId="0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165" fontId="15" fillId="0" borderId="1" xfId="0" applyNumberFormat="1" applyFont="1" applyFill="1" applyBorder="1" applyAlignment="1">
      <alignment horizontal="center" vertical="center" wrapText="1"/>
    </xf>
    <xf numFmtId="2" fontId="15" fillId="2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165" fontId="17" fillId="2" borderId="1" xfId="0" applyNumberFormat="1" applyFont="1" applyFill="1" applyBorder="1" applyAlignment="1">
      <alignment horizontal="center" vertical="center"/>
    </xf>
    <xf numFmtId="2" fontId="17" fillId="2" borderId="1" xfId="0" applyNumberFormat="1" applyFont="1" applyFill="1" applyBorder="1" applyAlignment="1">
      <alignment horizontal="center" vertical="center"/>
    </xf>
    <xf numFmtId="2" fontId="15" fillId="2" borderId="1" xfId="0" applyNumberFormat="1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/>
    </xf>
    <xf numFmtId="2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5" fillId="0" borderId="1" xfId="4" applyFont="1" applyFill="1" applyBorder="1" applyAlignment="1">
      <alignment horizontal="center" vertical="center" wrapText="1"/>
    </xf>
    <xf numFmtId="2" fontId="15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 wrapText="1"/>
    </xf>
    <xf numFmtId="0" fontId="17" fillId="0" borderId="1" xfId="0" applyFont="1" applyFill="1" applyBorder="1" applyAlignment="1">
      <alignment horizontal="center" vertical="center" wrapText="1"/>
    </xf>
    <xf numFmtId="165" fontId="15" fillId="0" borderId="1" xfId="4" applyNumberFormat="1" applyFont="1" applyFill="1" applyBorder="1" applyAlignment="1">
      <alignment horizontal="center" vertical="center" wrapText="1"/>
    </xf>
    <xf numFmtId="165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/>
    </xf>
    <xf numFmtId="0" fontId="15" fillId="0" borderId="1" xfId="0" quotePrefix="1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/>
    </xf>
    <xf numFmtId="165" fontId="17" fillId="2" borderId="3" xfId="0" applyNumberFormat="1" applyFont="1" applyFill="1" applyBorder="1" applyAlignment="1">
      <alignment horizontal="center" vertical="center"/>
    </xf>
    <xf numFmtId="2" fontId="17" fillId="2" borderId="3" xfId="0" applyNumberFormat="1" applyFont="1" applyFill="1" applyBorder="1" applyAlignment="1">
      <alignment horizontal="center" vertical="center"/>
    </xf>
    <xf numFmtId="2" fontId="15" fillId="2" borderId="3" xfId="0" applyNumberFormat="1" applyFont="1" applyFill="1" applyBorder="1" applyAlignment="1">
      <alignment horizontal="center" vertical="center"/>
    </xf>
    <xf numFmtId="2" fontId="15" fillId="0" borderId="3" xfId="0" applyNumberFormat="1" applyFont="1" applyFill="1" applyBorder="1" applyAlignment="1">
      <alignment horizontal="center" vertical="center"/>
    </xf>
    <xf numFmtId="2" fontId="17" fillId="0" borderId="3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vertical="center"/>
    </xf>
    <xf numFmtId="0" fontId="15" fillId="0" borderId="9" xfId="0" applyFont="1" applyFill="1" applyBorder="1" applyAlignment="1">
      <alignment horizontal="center" vertical="center" wrapText="1"/>
    </xf>
    <xf numFmtId="0" fontId="15" fillId="2" borderId="9" xfId="0" applyFont="1" applyFill="1" applyBorder="1" applyAlignment="1">
      <alignment horizontal="center" vertical="center"/>
    </xf>
    <xf numFmtId="165" fontId="17" fillId="0" borderId="0" xfId="0" applyNumberFormat="1" applyFont="1" applyFill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4" fontId="18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textRotation="90" wrapText="1"/>
    </xf>
    <xf numFmtId="0" fontId="16" fillId="0" borderId="1" xfId="0" applyFont="1" applyBorder="1" applyAlignment="1">
      <alignment horizontal="center" vertical="center" textRotation="90" wrapText="1"/>
    </xf>
    <xf numFmtId="0" fontId="17" fillId="0" borderId="6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 wrapText="1"/>
    </xf>
    <xf numFmtId="165" fontId="18" fillId="0" borderId="1" xfId="0" applyNumberFormat="1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 vertical="center"/>
    </xf>
    <xf numFmtId="0" fontId="15" fillId="0" borderId="9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5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9" fontId="17" fillId="0" borderId="1" xfId="0" applyNumberFormat="1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textRotation="90" wrapText="1"/>
    </xf>
    <xf numFmtId="0" fontId="16" fillId="0" borderId="1" xfId="0" applyFont="1" applyFill="1" applyBorder="1" applyAlignment="1">
      <alignment horizontal="center" vertical="center" textRotation="90" wrapText="1"/>
    </xf>
    <xf numFmtId="0" fontId="16" fillId="0" borderId="1" xfId="0" applyFont="1" applyFill="1" applyBorder="1" applyAlignment="1">
      <alignment horizontal="center" vertical="center" textRotation="90" wrapText="1"/>
    </xf>
    <xf numFmtId="0" fontId="13" fillId="0" borderId="1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 vertical="center"/>
    </xf>
    <xf numFmtId="1" fontId="15" fillId="0" borderId="8" xfId="0" applyNumberFormat="1" applyFont="1" applyFill="1" applyBorder="1" applyAlignment="1">
      <alignment horizontal="center" vertical="center" wrapText="1"/>
    </xf>
    <xf numFmtId="0" fontId="15" fillId="2" borderId="1" xfId="0" quotePrefix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17" fillId="0" borderId="9" xfId="0" applyNumberFormat="1" applyFont="1" applyFill="1" applyBorder="1" applyAlignment="1">
      <alignment horizontal="center" vertical="center"/>
    </xf>
    <xf numFmtId="0" fontId="2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left" vertical="center"/>
    </xf>
    <xf numFmtId="0" fontId="1" fillId="0" borderId="0" xfId="6" applyFont="1" applyFill="1" applyAlignment="1">
      <alignment vertical="center"/>
    </xf>
    <xf numFmtId="0" fontId="11" fillId="0" borderId="0" xfId="6" applyFont="1" applyFill="1" applyAlignment="1">
      <alignment vertical="center"/>
    </xf>
    <xf numFmtId="0" fontId="9" fillId="0" borderId="0" xfId="6" applyFont="1" applyFill="1" applyAlignment="1">
      <alignment vertical="center"/>
    </xf>
    <xf numFmtId="0" fontId="1" fillId="0" borderId="0" xfId="6" applyFont="1" applyFill="1" applyAlignment="1">
      <alignment horizontal="righ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right" vertical="center"/>
    </xf>
    <xf numFmtId="0" fontId="2" fillId="0" borderId="0" xfId="6" applyFont="1" applyFill="1" applyBorder="1" applyAlignment="1">
      <alignment vertical="center"/>
    </xf>
    <xf numFmtId="165" fontId="2" fillId="0" borderId="0" xfId="6" applyNumberFormat="1" applyFont="1" applyFill="1" applyAlignment="1">
      <alignment vertical="center"/>
    </xf>
    <xf numFmtId="2" fontId="2" fillId="0" borderId="0" xfId="6" applyNumberFormat="1" applyFont="1" applyFill="1" applyAlignment="1">
      <alignment vertical="center"/>
    </xf>
    <xf numFmtId="0" fontId="2" fillId="0" borderId="0" xfId="6" applyFont="1" applyFill="1" applyBorder="1" applyAlignment="1">
      <alignment horizontal="right" vertical="center"/>
    </xf>
    <xf numFmtId="0" fontId="9" fillId="0" borderId="0" xfId="6" applyFont="1" applyFill="1" applyBorder="1" applyAlignment="1">
      <alignment vertical="center"/>
    </xf>
    <xf numFmtId="0" fontId="1" fillId="0" borderId="0" xfId="6" applyFont="1" applyFill="1" applyBorder="1" applyAlignment="1">
      <alignment horizontal="right" vertical="center"/>
    </xf>
    <xf numFmtId="0" fontId="1" fillId="0" borderId="0" xfId="6" applyFont="1" applyFill="1" applyBorder="1" applyAlignment="1">
      <alignment horizontal="left" vertical="center"/>
    </xf>
    <xf numFmtId="0" fontId="9" fillId="0" borderId="0" xfId="6" applyFont="1" applyFill="1" applyBorder="1" applyAlignment="1">
      <alignment horizontal="right" vertical="center"/>
    </xf>
    <xf numFmtId="0" fontId="13" fillId="0" borderId="1" xfId="6" applyFont="1" applyFill="1" applyBorder="1" applyAlignment="1">
      <alignment horizontal="center" vertical="center" textRotation="90" wrapText="1"/>
    </xf>
    <xf numFmtId="2" fontId="13" fillId="0" borderId="1" xfId="6" applyNumberFormat="1" applyFont="1" applyFill="1" applyBorder="1" applyAlignment="1">
      <alignment horizontal="center" vertical="center" textRotation="90" wrapText="1"/>
    </xf>
    <xf numFmtId="0" fontId="15" fillId="0" borderId="1" xfId="6" applyFont="1" applyFill="1" applyBorder="1" applyAlignment="1">
      <alignment horizontal="center" vertical="center" wrapText="1"/>
    </xf>
    <xf numFmtId="0" fontId="15" fillId="2" borderId="1" xfId="6" applyFont="1" applyFill="1" applyBorder="1" applyAlignment="1">
      <alignment horizontal="center" vertical="center" wrapText="1"/>
    </xf>
    <xf numFmtId="165" fontId="15" fillId="0" borderId="1" xfId="6" applyNumberFormat="1" applyFont="1" applyFill="1" applyBorder="1" applyAlignment="1">
      <alignment horizontal="center" vertical="center" wrapText="1"/>
    </xf>
    <xf numFmtId="2" fontId="15" fillId="2" borderId="1" xfId="6" applyNumberFormat="1" applyFont="1" applyFill="1" applyBorder="1" applyAlignment="1">
      <alignment horizontal="center" vertical="center" wrapText="1"/>
    </xf>
    <xf numFmtId="0" fontId="2" fillId="0" borderId="0" xfId="6" applyFont="1" applyFill="1" applyAlignment="1">
      <alignment horizontal="center" vertical="center" wrapText="1"/>
    </xf>
    <xf numFmtId="0" fontId="17" fillId="0" borderId="1" xfId="6" applyFont="1" applyFill="1" applyBorder="1" applyAlignment="1">
      <alignment horizontal="center" vertical="center"/>
    </xf>
    <xf numFmtId="0" fontId="17" fillId="0" borderId="9" xfId="6" applyFont="1" applyFill="1" applyBorder="1" applyAlignment="1">
      <alignment horizontal="center" vertical="center"/>
    </xf>
    <xf numFmtId="0" fontId="15" fillId="0" borderId="1" xfId="6" applyFont="1" applyFill="1" applyBorder="1" applyAlignment="1">
      <alignment horizontal="center" vertical="center"/>
    </xf>
    <xf numFmtId="0" fontId="17" fillId="2" borderId="1" xfId="6" applyFont="1" applyFill="1" applyBorder="1" applyAlignment="1">
      <alignment horizontal="center" vertical="center"/>
    </xf>
    <xf numFmtId="165" fontId="17" fillId="2" borderId="1" xfId="6" applyNumberFormat="1" applyFont="1" applyFill="1" applyBorder="1" applyAlignment="1">
      <alignment horizontal="center" vertical="center"/>
    </xf>
    <xf numFmtId="2" fontId="17" fillId="2" borderId="1" xfId="6" applyNumberFormat="1" applyFont="1" applyFill="1" applyBorder="1" applyAlignment="1">
      <alignment horizontal="center" vertical="center"/>
    </xf>
    <xf numFmtId="2" fontId="15" fillId="2" borderId="1" xfId="6" applyNumberFormat="1" applyFont="1" applyFill="1" applyBorder="1" applyAlignment="1">
      <alignment horizontal="center" vertical="center"/>
    </xf>
    <xf numFmtId="2" fontId="15" fillId="0" borderId="1" xfId="6" applyNumberFormat="1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horizontal="left" vertical="center"/>
    </xf>
    <xf numFmtId="0" fontId="7" fillId="0" borderId="0" xfId="6" applyFont="1" applyFill="1" applyAlignment="1">
      <alignment horizontal="center" vertical="center"/>
    </xf>
    <xf numFmtId="2" fontId="15" fillId="0" borderId="1" xfId="6" applyNumberFormat="1" applyFont="1" applyFill="1" applyBorder="1" applyAlignment="1">
      <alignment horizontal="center" vertical="center" wrapText="1"/>
    </xf>
    <xf numFmtId="0" fontId="18" fillId="0" borderId="1" xfId="6" applyFont="1" applyFill="1" applyBorder="1" applyAlignment="1">
      <alignment horizontal="center" vertical="center"/>
    </xf>
    <xf numFmtId="0" fontId="18" fillId="2" borderId="1" xfId="6" applyFont="1" applyFill="1" applyBorder="1" applyAlignment="1">
      <alignment horizontal="center" vertical="center"/>
    </xf>
    <xf numFmtId="0" fontId="18" fillId="0" borderId="1" xfId="6" applyFont="1" applyFill="1" applyBorder="1" applyAlignment="1">
      <alignment horizontal="left" vertical="center"/>
    </xf>
    <xf numFmtId="0" fontId="8" fillId="0" borderId="0" xfId="6" applyFont="1" applyFill="1" applyAlignment="1">
      <alignment horizontal="center" vertical="center"/>
    </xf>
    <xf numFmtId="0" fontId="17" fillId="0" borderId="1" xfId="6" applyFont="1" applyFill="1" applyBorder="1" applyAlignment="1">
      <alignment horizontal="left" vertical="center" wrapText="1"/>
    </xf>
    <xf numFmtId="0" fontId="17" fillId="0" borderId="1" xfId="6" applyFont="1" applyFill="1" applyBorder="1" applyAlignment="1">
      <alignment horizontal="center" vertical="center" wrapText="1"/>
    </xf>
    <xf numFmtId="2" fontId="17" fillId="0" borderId="9" xfId="6" applyNumberFormat="1" applyFont="1" applyFill="1" applyBorder="1" applyAlignment="1">
      <alignment horizontal="center" vertical="center"/>
    </xf>
    <xf numFmtId="165" fontId="17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vertical="center"/>
    </xf>
    <xf numFmtId="0" fontId="15" fillId="2" borderId="1" xfId="6" applyFont="1" applyFill="1" applyBorder="1" applyAlignment="1">
      <alignment horizontal="center" vertical="center"/>
    </xf>
    <xf numFmtId="0" fontId="15" fillId="2" borderId="1" xfId="6" quotePrefix="1" applyFont="1" applyFill="1" applyBorder="1" applyAlignment="1">
      <alignment horizontal="center" vertical="center" wrapText="1"/>
    </xf>
    <xf numFmtId="0" fontId="15" fillId="0" borderId="1" xfId="6" quotePrefix="1" applyFont="1" applyFill="1" applyBorder="1" applyAlignment="1">
      <alignment horizontal="center" vertical="center" wrapText="1"/>
    </xf>
    <xf numFmtId="0" fontId="15" fillId="2" borderId="9" xfId="6" applyFont="1" applyFill="1" applyBorder="1" applyAlignment="1">
      <alignment horizontal="center" vertical="center" wrapText="1"/>
    </xf>
    <xf numFmtId="0" fontId="15" fillId="0" borderId="1" xfId="6" applyFont="1" applyBorder="1" applyAlignment="1">
      <alignment horizontal="center" vertical="center" wrapText="1"/>
    </xf>
    <xf numFmtId="0" fontId="15" fillId="0" borderId="1" xfId="6" applyFont="1" applyBorder="1" applyAlignment="1">
      <alignment horizontal="center" vertical="center"/>
    </xf>
    <xf numFmtId="0" fontId="15" fillId="0" borderId="1" xfId="6" applyFont="1" applyBorder="1" applyAlignment="1">
      <alignment horizontal="left" vertical="center" wrapText="1"/>
    </xf>
    <xf numFmtId="0" fontId="7" fillId="0" borderId="0" xfId="6" applyFont="1" applyFill="1" applyBorder="1" applyAlignment="1">
      <alignment horizontal="center" vertical="center"/>
    </xf>
    <xf numFmtId="0" fontId="7" fillId="0" borderId="4" xfId="6" applyFont="1" applyFill="1" applyBorder="1" applyAlignment="1">
      <alignment horizontal="center" vertical="center"/>
    </xf>
    <xf numFmtId="0" fontId="17" fillId="0" borderId="10" xfId="6" applyFont="1" applyFill="1" applyBorder="1" applyAlignment="1">
      <alignment horizontal="center" vertical="center"/>
    </xf>
    <xf numFmtId="0" fontId="17" fillId="0" borderId="3" xfId="6" applyFont="1" applyFill="1" applyBorder="1" applyAlignment="1">
      <alignment horizontal="center" vertical="center"/>
    </xf>
    <xf numFmtId="0" fontId="15" fillId="0" borderId="3" xfId="6" applyFont="1" applyFill="1" applyBorder="1" applyAlignment="1">
      <alignment horizontal="center" vertical="center"/>
    </xf>
    <xf numFmtId="0" fontId="15" fillId="0" borderId="3" xfId="6" applyFont="1" applyFill="1" applyBorder="1" applyAlignment="1">
      <alignment horizontal="center" vertical="center" wrapText="1"/>
    </xf>
    <xf numFmtId="0" fontId="17" fillId="2" borderId="3" xfId="6" applyFont="1" applyFill="1" applyBorder="1" applyAlignment="1">
      <alignment horizontal="center" vertical="center"/>
    </xf>
    <xf numFmtId="165" fontId="17" fillId="2" borderId="3" xfId="6" applyNumberFormat="1" applyFont="1" applyFill="1" applyBorder="1" applyAlignment="1">
      <alignment horizontal="center" vertical="center"/>
    </xf>
    <xf numFmtId="2" fontId="17" fillId="2" borderId="3" xfId="6" applyNumberFormat="1" applyFont="1" applyFill="1" applyBorder="1" applyAlignment="1">
      <alignment horizontal="center" vertical="center"/>
    </xf>
    <xf numFmtId="2" fontId="15" fillId="2" borderId="3" xfId="6" applyNumberFormat="1" applyFont="1" applyFill="1" applyBorder="1" applyAlignment="1">
      <alignment horizontal="center" vertical="center"/>
    </xf>
    <xf numFmtId="2" fontId="15" fillId="0" borderId="3" xfId="6" applyNumberFormat="1" applyFont="1" applyFill="1" applyBorder="1" applyAlignment="1">
      <alignment horizontal="center" vertical="center"/>
    </xf>
    <xf numFmtId="2" fontId="17" fillId="0" borderId="3" xfId="6" applyNumberFormat="1" applyFont="1" applyFill="1" applyBorder="1" applyAlignment="1">
      <alignment horizontal="center" vertical="center"/>
    </xf>
    <xf numFmtId="0" fontId="15" fillId="0" borderId="5" xfId="6" applyFont="1" applyFill="1" applyBorder="1" applyAlignment="1">
      <alignment vertical="center"/>
    </xf>
    <xf numFmtId="0" fontId="15" fillId="0" borderId="9" xfId="6" applyFont="1" applyFill="1" applyBorder="1" applyAlignment="1">
      <alignment horizontal="center" vertical="center" wrapText="1"/>
    </xf>
    <xf numFmtId="2" fontId="17" fillId="0" borderId="1" xfId="6" applyNumberFormat="1" applyFont="1" applyFill="1" applyBorder="1" applyAlignment="1">
      <alignment horizontal="center" vertical="center" wrapText="1"/>
    </xf>
    <xf numFmtId="0" fontId="15" fillId="0" borderId="0" xfId="6" applyFont="1" applyAlignment="1">
      <alignment horizontal="center" vertical="center"/>
    </xf>
    <xf numFmtId="0" fontId="15" fillId="2" borderId="9" xfId="6" applyFont="1" applyFill="1" applyBorder="1" applyAlignment="1">
      <alignment horizontal="center" vertical="center"/>
    </xf>
    <xf numFmtId="165" fontId="17" fillId="0" borderId="0" xfId="6" applyNumberFormat="1" applyFont="1" applyFill="1" applyAlignment="1">
      <alignment horizontal="center" vertical="center"/>
    </xf>
    <xf numFmtId="2" fontId="18" fillId="0" borderId="1" xfId="6" applyNumberFormat="1" applyFont="1" applyFill="1" applyBorder="1" applyAlignment="1">
      <alignment horizontal="center" vertical="center"/>
    </xf>
    <xf numFmtId="4" fontId="18" fillId="0" borderId="1" xfId="6" applyNumberFormat="1" applyFont="1" applyFill="1" applyBorder="1" applyAlignment="1">
      <alignment horizontal="center" vertical="center"/>
    </xf>
    <xf numFmtId="0" fontId="7" fillId="0" borderId="0" xfId="6" applyFont="1" applyFill="1" applyAlignment="1">
      <alignment vertical="center"/>
    </xf>
    <xf numFmtId="0" fontId="13" fillId="0" borderId="1" xfId="6" applyFont="1" applyFill="1" applyBorder="1" applyAlignment="1">
      <alignment horizontal="center" vertical="center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7" fillId="0" borderId="6" xfId="6" applyFont="1" applyFill="1" applyBorder="1" applyAlignment="1">
      <alignment horizontal="center" vertical="center"/>
    </xf>
    <xf numFmtId="0" fontId="17" fillId="0" borderId="2" xfId="6" applyFont="1" applyFill="1" applyBorder="1" applyAlignment="1">
      <alignment horizontal="center" vertical="center"/>
    </xf>
    <xf numFmtId="0" fontId="17" fillId="0" borderId="7" xfId="6" applyFont="1" applyFill="1" applyBorder="1" applyAlignment="1">
      <alignment horizontal="center" vertical="center"/>
    </xf>
    <xf numFmtId="0" fontId="13" fillId="0" borderId="1" xfId="6" applyFont="1" applyFill="1" applyBorder="1" applyAlignment="1">
      <alignment horizontal="left" vertical="center" wrapText="1"/>
    </xf>
    <xf numFmtId="0" fontId="15" fillId="0" borderId="9" xfId="6" applyFont="1" applyFill="1" applyBorder="1" applyAlignment="1">
      <alignment horizontal="center" vertical="center"/>
    </xf>
    <xf numFmtId="0" fontId="2" fillId="0" borderId="0" xfId="6" applyFont="1" applyAlignment="1">
      <alignment horizontal="center" vertical="center"/>
    </xf>
    <xf numFmtId="0" fontId="13" fillId="0" borderId="1" xfId="6" applyNumberFormat="1" applyFont="1" applyFill="1" applyBorder="1" applyAlignment="1">
      <alignment horizontal="center" vertical="center" wrapText="1"/>
    </xf>
    <xf numFmtId="1" fontId="15" fillId="0" borderId="8" xfId="6" applyNumberFormat="1" applyFont="1" applyFill="1" applyBorder="1" applyAlignment="1">
      <alignment horizontal="center" vertical="center" wrapText="1"/>
    </xf>
    <xf numFmtId="0" fontId="15" fillId="0" borderId="6" xfId="6" applyFont="1" applyFill="1" applyBorder="1" applyAlignment="1">
      <alignment horizontal="center" vertical="center"/>
    </xf>
    <xf numFmtId="165" fontId="18" fillId="0" borderId="1" xfId="6" applyNumberFormat="1" applyFont="1" applyFill="1" applyBorder="1" applyAlignment="1">
      <alignment horizontal="center" vertical="center"/>
    </xf>
    <xf numFmtId="1" fontId="18" fillId="0" borderId="1" xfId="6" applyNumberFormat="1" applyFont="1" applyFill="1" applyBorder="1" applyAlignment="1">
      <alignment horizontal="center" vertical="center"/>
    </xf>
    <xf numFmtId="0" fontId="15" fillId="0" borderId="9" xfId="6" applyFont="1" applyBorder="1" applyAlignment="1">
      <alignment horizontal="center" vertical="center" wrapText="1"/>
    </xf>
    <xf numFmtId="0" fontId="14" fillId="0" borderId="1" xfId="6" applyFont="1" applyBorder="1" applyAlignment="1">
      <alignment horizontal="center" vertical="center" wrapText="1"/>
    </xf>
    <xf numFmtId="0" fontId="15" fillId="0" borderId="1" xfId="6" applyNumberFormat="1" applyFont="1" applyBorder="1" applyAlignment="1">
      <alignment horizontal="center" vertical="center" wrapText="1"/>
    </xf>
    <xf numFmtId="0" fontId="13" fillId="0" borderId="1" xfId="6" applyFont="1" applyBorder="1" applyAlignment="1">
      <alignment horizontal="center" vertical="center" wrapText="1"/>
    </xf>
    <xf numFmtId="0" fontId="13" fillId="0" borderId="1" xfId="6" applyNumberFormat="1" applyFont="1" applyBorder="1" applyAlignment="1">
      <alignment horizontal="center" vertical="center" wrapText="1"/>
    </xf>
    <xf numFmtId="1" fontId="13" fillId="0" borderId="8" xfId="6" applyNumberFormat="1" applyFont="1" applyBorder="1" applyAlignment="1">
      <alignment horizontal="center" vertical="center" wrapText="1"/>
    </xf>
    <xf numFmtId="0" fontId="19" fillId="0" borderId="1" xfId="6" applyFont="1" applyBorder="1" applyAlignment="1">
      <alignment horizontal="center" wrapText="1"/>
    </xf>
    <xf numFmtId="9" fontId="17" fillId="0" borderId="1" xfId="6" applyNumberFormat="1" applyFont="1" applyFill="1" applyBorder="1" applyAlignment="1">
      <alignment horizontal="center" vertical="center"/>
    </xf>
    <xf numFmtId="1" fontId="15" fillId="0" borderId="1" xfId="6" applyNumberFormat="1" applyFont="1" applyFill="1" applyBorder="1" applyAlignment="1">
      <alignment horizontal="center" vertical="center" wrapText="1"/>
    </xf>
    <xf numFmtId="0" fontId="15" fillId="0" borderId="1" xfId="6" applyNumberFormat="1" applyFont="1" applyFill="1" applyBorder="1" applyAlignment="1">
      <alignment horizontal="center" vertical="center" wrapText="1"/>
    </xf>
    <xf numFmtId="0" fontId="7" fillId="0" borderId="2" xfId="6" applyFont="1" applyFill="1" applyBorder="1" applyAlignment="1">
      <alignment horizontal="center" vertical="center"/>
    </xf>
    <xf numFmtId="0" fontId="7" fillId="0" borderId="6" xfId="6" applyFont="1" applyFill="1" applyBorder="1" applyAlignment="1">
      <alignment horizontal="center" vertical="center"/>
    </xf>
    <xf numFmtId="0" fontId="2" fillId="0" borderId="6" xfId="6" applyFont="1" applyFill="1" applyBorder="1" applyAlignment="1">
      <alignment horizontal="center" vertical="center"/>
    </xf>
    <xf numFmtId="0" fontId="7" fillId="0" borderId="9" xfId="6" applyFont="1" applyFill="1" applyBorder="1" applyAlignment="1">
      <alignment horizontal="center" vertical="center"/>
    </xf>
    <xf numFmtId="0" fontId="7" fillId="0" borderId="1" xfId="6" applyFont="1" applyFill="1" applyBorder="1" applyAlignment="1">
      <alignment horizontal="center" vertical="center"/>
    </xf>
    <xf numFmtId="0" fontId="2" fillId="0" borderId="1" xfId="6" applyFont="1" applyFill="1" applyBorder="1" applyAlignment="1">
      <alignment horizontal="center" vertical="center"/>
    </xf>
    <xf numFmtId="0" fontId="2" fillId="0" borderId="1" xfId="6" applyFont="1" applyFill="1" applyBorder="1" applyAlignment="1">
      <alignment horizontal="center" vertical="center" wrapText="1"/>
    </xf>
    <xf numFmtId="165" fontId="7" fillId="0" borderId="1" xfId="6" applyNumberFormat="1" applyFont="1" applyFill="1" applyBorder="1" applyAlignment="1">
      <alignment horizontal="center" vertical="center"/>
    </xf>
    <xf numFmtId="2" fontId="2" fillId="0" borderId="1" xfId="6" applyNumberFormat="1" applyFont="1" applyFill="1" applyBorder="1" applyAlignment="1">
      <alignment horizontal="center" vertical="center"/>
    </xf>
    <xf numFmtId="2" fontId="7" fillId="0" borderId="1" xfId="6" applyNumberFormat="1" applyFont="1" applyFill="1" applyBorder="1" applyAlignment="1">
      <alignment horizontal="center" vertical="center"/>
    </xf>
    <xf numFmtId="9" fontId="7" fillId="0" borderId="1" xfId="6" applyNumberFormat="1" applyFont="1" applyFill="1" applyBorder="1" applyAlignment="1">
      <alignment horizontal="center" vertical="center"/>
    </xf>
    <xf numFmtId="0" fontId="7" fillId="0" borderId="1" xfId="6" applyFont="1" applyFill="1" applyBorder="1" applyAlignment="1">
      <alignment horizontal="left" vertical="center" wrapText="1"/>
    </xf>
    <xf numFmtId="0" fontId="8" fillId="0" borderId="1" xfId="6" applyFont="1" applyFill="1" applyBorder="1" applyAlignment="1">
      <alignment horizontal="center" vertical="center"/>
    </xf>
    <xf numFmtId="165" fontId="8" fillId="0" borderId="1" xfId="6" applyNumberFormat="1" applyFont="1" applyFill="1" applyBorder="1" applyAlignment="1">
      <alignment horizontal="center" vertical="center"/>
    </xf>
    <xf numFmtId="2" fontId="8" fillId="0" borderId="1" xfId="6" applyNumberFormat="1" applyFont="1" applyFill="1" applyBorder="1" applyAlignment="1">
      <alignment horizontal="center" vertical="center"/>
    </xf>
    <xf numFmtId="4" fontId="8" fillId="0" borderId="1" xfId="6" applyNumberFormat="1" applyFont="1" applyFill="1" applyBorder="1" applyAlignment="1">
      <alignment horizontal="center" vertical="center"/>
    </xf>
    <xf numFmtId="0" fontId="8" fillId="0" borderId="1" xfId="6" applyFont="1" applyFill="1" applyBorder="1" applyAlignment="1">
      <alignment horizontal="left" vertical="center"/>
    </xf>
    <xf numFmtId="0" fontId="11" fillId="0" borderId="0" xfId="6" applyFont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 wrapText="1"/>
    </xf>
    <xf numFmtId="0" fontId="1" fillId="0" borderId="0" xfId="6" applyFont="1" applyFill="1" applyBorder="1" applyAlignment="1">
      <alignment horizontal="center" vertical="center" textRotation="90" wrapText="1"/>
    </xf>
    <xf numFmtId="0" fontId="1" fillId="0" borderId="0" xfId="6" applyFont="1" applyFill="1" applyBorder="1" applyAlignment="1">
      <alignment horizontal="center" vertical="center" wrapText="1"/>
    </xf>
    <xf numFmtId="165" fontId="2" fillId="0" borderId="0" xfId="6" applyNumberFormat="1" applyFont="1" applyFill="1" applyBorder="1" applyAlignment="1">
      <alignment horizontal="center" vertical="center" wrapText="1"/>
    </xf>
    <xf numFmtId="2" fontId="2" fillId="0" borderId="0" xfId="6" applyNumberFormat="1" applyFont="1" applyFill="1" applyBorder="1" applyAlignment="1">
      <alignment horizontal="center" vertical="center" wrapText="1"/>
    </xf>
    <xf numFmtId="0" fontId="12" fillId="0" borderId="0" xfId="6" applyFont="1" applyFill="1" applyBorder="1" applyAlignment="1">
      <alignment horizontal="center" vertical="center" textRotation="90" wrapText="1"/>
    </xf>
    <xf numFmtId="0" fontId="12" fillId="0" borderId="0" xfId="6" applyFont="1" applyBorder="1" applyAlignment="1">
      <alignment horizontal="center" vertical="center" textRotation="90" wrapText="1"/>
    </xf>
    <xf numFmtId="0" fontId="8" fillId="0" borderId="0" xfId="6" applyFont="1" applyFill="1" applyAlignment="1">
      <alignment horizontal="left" vertical="center"/>
    </xf>
    <xf numFmtId="2" fontId="7" fillId="0" borderId="0" xfId="6" applyNumberFormat="1" applyFont="1" applyFill="1" applyBorder="1" applyAlignment="1">
      <alignment horizontal="center" vertical="center"/>
    </xf>
    <xf numFmtId="165" fontId="7" fillId="0" borderId="0" xfId="6" applyNumberFormat="1" applyFont="1" applyFill="1" applyBorder="1" applyAlignment="1">
      <alignment horizontal="center" vertical="center"/>
    </xf>
    <xf numFmtId="165" fontId="7" fillId="0" borderId="0" xfId="6" applyNumberFormat="1" applyFont="1" applyFill="1" applyAlignment="1">
      <alignment vertical="center"/>
    </xf>
    <xf numFmtId="2" fontId="7" fillId="0" borderId="0" xfId="6" applyNumberFormat="1" applyFont="1" applyFill="1" applyAlignment="1">
      <alignment vertical="center"/>
    </xf>
    <xf numFmtId="0" fontId="7" fillId="0" borderId="0" xfId="6" applyFont="1" applyFill="1" applyBorder="1" applyAlignment="1">
      <alignment horizontal="left" vertical="center" wrapText="1"/>
    </xf>
    <xf numFmtId="0" fontId="8" fillId="0" borderId="0" xfId="6" applyFont="1" applyFill="1" applyAlignment="1">
      <alignment vertical="center"/>
    </xf>
    <xf numFmtId="0" fontId="8" fillId="0" borderId="0" xfId="6" applyFont="1" applyFill="1" applyBorder="1" applyAlignment="1">
      <alignment horizontal="left" vertical="center"/>
    </xf>
    <xf numFmtId="0" fontId="7" fillId="0" borderId="0" xfId="6" applyFont="1" applyFill="1" applyAlignment="1">
      <alignment horizontal="left" vertical="center"/>
    </xf>
    <xf numFmtId="0" fontId="7" fillId="0" borderId="0" xfId="6" applyFont="1" applyFill="1" applyAlignment="1">
      <alignment horizontal="left" vertical="center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4" fillId="0" borderId="1" xfId="6" applyFont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5" fillId="0" borderId="0" xfId="6" applyFont="1" applyBorder="1" applyAlignment="1">
      <alignment horizontal="center" vertical="center"/>
    </xf>
    <xf numFmtId="165" fontId="17" fillId="0" borderId="0" xfId="6" applyNumberFormat="1" applyFont="1" applyFill="1" applyBorder="1" applyAlignment="1">
      <alignment horizontal="center" vertical="center"/>
    </xf>
    <xf numFmtId="0" fontId="17" fillId="0" borderId="11" xfId="6" applyFont="1" applyFill="1" applyBorder="1" applyAlignment="1">
      <alignment horizontal="center" vertical="center"/>
    </xf>
    <xf numFmtId="0" fontId="2" fillId="0" borderId="0" xfId="6" applyFont="1" applyBorder="1" applyAlignment="1">
      <alignment horizontal="center" vertical="center"/>
    </xf>
    <xf numFmtId="0" fontId="11" fillId="0" borderId="12" xfId="6" applyFont="1" applyBorder="1" applyAlignment="1">
      <alignment horizontal="center" vertical="center" wrapText="1"/>
    </xf>
    <xf numFmtId="0" fontId="7" fillId="0" borderId="12" xfId="6" applyFont="1" applyFill="1" applyBorder="1" applyAlignment="1">
      <alignment vertical="center"/>
    </xf>
    <xf numFmtId="0" fontId="7" fillId="0" borderId="0" xfId="6" applyFont="1" applyFill="1" applyBorder="1" applyAlignment="1">
      <alignment vertical="center"/>
    </xf>
    <xf numFmtId="0" fontId="2" fillId="0" borderId="0" xfId="6" applyFont="1" applyFill="1" applyBorder="1" applyAlignment="1">
      <alignment horizontal="center" vertical="center"/>
    </xf>
    <xf numFmtId="165" fontId="7" fillId="0" borderId="0" xfId="6" applyNumberFormat="1" applyFont="1" applyFill="1" applyBorder="1" applyAlignment="1">
      <alignment vertical="center"/>
    </xf>
    <xf numFmtId="2" fontId="7" fillId="0" borderId="0" xfId="6" applyNumberFormat="1" applyFont="1" applyFill="1" applyBorder="1" applyAlignment="1">
      <alignment vertical="center"/>
    </xf>
    <xf numFmtId="0" fontId="8" fillId="0" borderId="0" xfId="6" applyFont="1" applyFill="1" applyBorder="1" applyAlignment="1">
      <alignment vertical="center"/>
    </xf>
    <xf numFmtId="165" fontId="15" fillId="2" borderId="1" xfId="6" applyNumberFormat="1" applyFont="1" applyFill="1" applyBorder="1" applyAlignment="1">
      <alignment horizontal="center" vertical="center" wrapText="1"/>
    </xf>
    <xf numFmtId="0" fontId="14" fillId="0" borderId="1" xfId="6" applyFont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4" fillId="0" borderId="0" xfId="6"/>
    <xf numFmtId="0" fontId="4" fillId="0" borderId="1" xfId="6" applyBorder="1"/>
    <xf numFmtId="0" fontId="4" fillId="0" borderId="1" xfId="6" applyBorder="1" applyAlignment="1">
      <alignment horizontal="center"/>
    </xf>
    <xf numFmtId="0" fontId="15" fillId="3" borderId="1" xfId="6" applyFont="1" applyFill="1" applyBorder="1" applyAlignment="1">
      <alignment horizontal="center" vertical="center" wrapText="1"/>
    </xf>
    <xf numFmtId="2" fontId="15" fillId="3" borderId="1" xfId="6" applyNumberFormat="1" applyFont="1" applyFill="1" applyBorder="1" applyAlignment="1">
      <alignment horizontal="center" vertical="center" wrapText="1"/>
    </xf>
    <xf numFmtId="0" fontId="17" fillId="3" borderId="9" xfId="6" applyFont="1" applyFill="1" applyBorder="1" applyAlignment="1">
      <alignment horizontal="center" vertical="center"/>
    </xf>
    <xf numFmtId="0" fontId="15" fillId="3" borderId="1" xfId="6" quotePrefix="1" applyFont="1" applyFill="1" applyBorder="1" applyAlignment="1">
      <alignment horizontal="center" vertical="center" wrapText="1"/>
    </xf>
    <xf numFmtId="0" fontId="14" fillId="0" borderId="1" xfId="6" applyFont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20" fillId="0" borderId="1" xfId="6" applyFont="1" applyBorder="1" applyAlignment="1">
      <alignment horizontal="left" vertical="center" wrapText="1"/>
    </xf>
    <xf numFmtId="2" fontId="17" fillId="0" borderId="1" xfId="6" applyNumberFormat="1" applyFont="1" applyFill="1" applyBorder="1" applyAlignment="1">
      <alignment horizontal="left" vertical="center"/>
    </xf>
    <xf numFmtId="1" fontId="17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horizontal="center" vertical="center" wrapText="1" shrinkToFi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4" fillId="0" borderId="0" xfId="6" applyFill="1"/>
    <xf numFmtId="0" fontId="15" fillId="0" borderId="1" xfId="6" applyFont="1" applyFill="1" applyBorder="1" applyAlignment="1">
      <alignment horizontal="left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6" fillId="0" borderId="1" xfId="6" applyFont="1" applyBorder="1" applyAlignment="1">
      <alignment horizontal="center" vertical="center" textRotation="90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165" fontId="17" fillId="0" borderId="9" xfId="6" applyNumberFormat="1" applyFont="1" applyFill="1" applyBorder="1" applyAlignment="1">
      <alignment horizontal="center" vertical="center"/>
    </xf>
    <xf numFmtId="165" fontId="15" fillId="0" borderId="0" xfId="0" applyNumberFormat="1" applyFont="1" applyBorder="1" applyAlignment="1">
      <alignment horizontal="center" vertical="center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165" fontId="15" fillId="0" borderId="0" xfId="6" applyNumberFormat="1" applyFont="1" applyBorder="1" applyAlignment="1">
      <alignment horizontal="center" vertical="center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2" fillId="0" borderId="0" xfId="6" applyFont="1" applyFill="1" applyBorder="1" applyAlignment="1">
      <alignment horizontal="left" vertical="center"/>
    </xf>
    <xf numFmtId="0" fontId="16" fillId="0" borderId="1" xfId="6" applyFont="1" applyFill="1" applyBorder="1" applyAlignment="1">
      <alignment horizontal="center" vertical="center" textRotation="90" wrapText="1"/>
    </xf>
    <xf numFmtId="0" fontId="0" fillId="0" borderId="0" xfId="0" applyFill="1"/>
    <xf numFmtId="165" fontId="17" fillId="0" borderId="3" xfId="6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15" fillId="0" borderId="0" xfId="6" applyFont="1" applyFill="1" applyBorder="1" applyAlignment="1">
      <alignment horizontal="center" vertical="center"/>
    </xf>
    <xf numFmtId="0" fontId="4" fillId="0" borderId="1" xfId="6" applyFill="1" applyBorder="1"/>
    <xf numFmtId="165" fontId="15" fillId="0" borderId="0" xfId="0" applyNumberFormat="1" applyFont="1" applyFill="1" applyBorder="1" applyAlignment="1">
      <alignment horizontal="center" vertical="center"/>
    </xf>
    <xf numFmtId="0" fontId="21" fillId="0" borderId="0" xfId="0" applyFont="1"/>
    <xf numFmtId="0" fontId="21" fillId="0" borderId="0" xfId="6" applyFont="1" applyFill="1" applyAlignment="1">
      <alignment vertical="center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Alignment="1">
      <alignment horizontal="left" vertical="center"/>
    </xf>
    <xf numFmtId="0" fontId="22" fillId="0" borderId="0" xfId="6" applyFont="1" applyFill="1" applyAlignment="1">
      <alignment vertical="center"/>
    </xf>
    <xf numFmtId="0" fontId="23" fillId="0" borderId="0" xfId="6" applyFont="1" applyFill="1" applyAlignment="1">
      <alignment vertical="center"/>
    </xf>
    <xf numFmtId="0" fontId="22" fillId="0" borderId="0" xfId="6" applyFont="1" applyFill="1" applyAlignment="1">
      <alignment horizontal="righ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21" fillId="0" borderId="0" xfId="6" applyFont="1" applyFill="1" applyAlignment="1">
      <alignment horizontal="right" vertical="center"/>
    </xf>
    <xf numFmtId="0" fontId="21" fillId="0" borderId="0" xfId="6" applyFont="1" applyFill="1" applyBorder="1" applyAlignment="1">
      <alignment vertical="center"/>
    </xf>
    <xf numFmtId="165" fontId="21" fillId="0" borderId="0" xfId="6" applyNumberFormat="1" applyFont="1" applyFill="1" applyAlignment="1">
      <alignment vertical="center"/>
    </xf>
    <xf numFmtId="2" fontId="21" fillId="0" borderId="0" xfId="6" applyNumberFormat="1" applyFont="1" applyFill="1" applyAlignment="1">
      <alignment vertical="center"/>
    </xf>
    <xf numFmtId="0" fontId="21" fillId="0" borderId="0" xfId="6" applyFont="1" applyFill="1" applyBorder="1" applyAlignment="1">
      <alignment horizontal="right" vertical="center"/>
    </xf>
    <xf numFmtId="0" fontId="23" fillId="0" borderId="0" xfId="6" applyFont="1" applyFill="1" applyBorder="1" applyAlignment="1">
      <alignment vertical="center"/>
    </xf>
    <xf numFmtId="0" fontId="22" fillId="0" borderId="0" xfId="6" applyFont="1" applyFill="1" applyBorder="1" applyAlignment="1">
      <alignment horizontal="right" vertical="center"/>
    </xf>
    <xf numFmtId="0" fontId="21" fillId="0" borderId="0" xfId="6" applyFont="1"/>
    <xf numFmtId="0" fontId="23" fillId="0" borderId="0" xfId="6" applyFont="1" applyFill="1" applyBorder="1" applyAlignment="1">
      <alignment horizontal="right" vertical="center"/>
    </xf>
    <xf numFmtId="0" fontId="22" fillId="2" borderId="1" xfId="6" applyFont="1" applyFill="1" applyBorder="1" applyAlignment="1">
      <alignment horizontal="center" vertical="center" textRotation="90" wrapText="1"/>
    </xf>
    <xf numFmtId="2" fontId="22" fillId="0" borderId="1" xfId="6" applyNumberFormat="1" applyFont="1" applyFill="1" applyBorder="1" applyAlignment="1">
      <alignment horizontal="center" vertical="center" textRotation="90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1" xfId="6" applyFont="1" applyFill="1" applyBorder="1" applyAlignment="1">
      <alignment horizontal="center" vertical="center" wrapText="1"/>
    </xf>
    <xf numFmtId="0" fontId="21" fillId="2" borderId="1" xfId="6" applyFont="1" applyFill="1" applyBorder="1" applyAlignment="1">
      <alignment horizontal="center" vertical="center" wrapText="1"/>
    </xf>
    <xf numFmtId="165" fontId="21" fillId="2" borderId="1" xfId="6" applyNumberFormat="1" applyFont="1" applyFill="1" applyBorder="1" applyAlignment="1">
      <alignment horizontal="center" vertical="center" wrapText="1"/>
    </xf>
    <xf numFmtId="2" fontId="21" fillId="2" borderId="1" xfId="6" applyNumberFormat="1" applyFont="1" applyFill="1" applyBorder="1" applyAlignment="1">
      <alignment horizontal="center" vertical="center" wrapText="1"/>
    </xf>
    <xf numFmtId="0" fontId="24" fillId="0" borderId="1" xfId="6" applyFont="1" applyFill="1" applyBorder="1" applyAlignment="1">
      <alignment horizontal="center" vertical="center"/>
    </xf>
    <xf numFmtId="0" fontId="24" fillId="0" borderId="9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165" fontId="24" fillId="0" borderId="1" xfId="6" applyNumberFormat="1" applyFont="1" applyFill="1" applyBorder="1" applyAlignment="1">
      <alignment horizontal="center" vertical="center"/>
    </xf>
    <xf numFmtId="2" fontId="24" fillId="0" borderId="1" xfId="6" applyNumberFormat="1" applyFont="1" applyFill="1" applyBorder="1" applyAlignment="1">
      <alignment horizontal="center" vertical="center"/>
    </xf>
    <xf numFmtId="2" fontId="21" fillId="0" borderId="1" xfId="6" applyNumberFormat="1" applyFont="1" applyFill="1" applyBorder="1" applyAlignment="1">
      <alignment horizontal="center" vertical="center"/>
    </xf>
    <xf numFmtId="2" fontId="21" fillId="2" borderId="1" xfId="6" applyNumberFormat="1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left" vertical="center"/>
    </xf>
    <xf numFmtId="0" fontId="24" fillId="2" borderId="1" xfId="6" applyFont="1" applyFill="1" applyBorder="1" applyAlignment="1">
      <alignment horizontal="center" vertical="center"/>
    </xf>
    <xf numFmtId="0" fontId="21" fillId="0" borderId="1" xfId="4" applyFont="1" applyFill="1" applyBorder="1" applyAlignment="1">
      <alignment horizontal="center" vertical="center" wrapText="1"/>
    </xf>
    <xf numFmtId="2" fontId="21" fillId="0" borderId="1" xfId="6" applyNumberFormat="1" applyFont="1" applyFill="1" applyBorder="1" applyAlignment="1">
      <alignment horizontal="center" vertical="center" wrapText="1"/>
    </xf>
    <xf numFmtId="0" fontId="25" fillId="0" borderId="1" xfId="6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left" vertical="center" wrapText="1"/>
    </xf>
    <xf numFmtId="0" fontId="24" fillId="0" borderId="1" xfId="6" applyFont="1" applyFill="1" applyBorder="1" applyAlignment="1">
      <alignment horizontal="center" vertical="center" wrapText="1"/>
    </xf>
    <xf numFmtId="165" fontId="24" fillId="0" borderId="9" xfId="6" applyNumberFormat="1" applyFont="1" applyFill="1" applyBorder="1" applyAlignment="1">
      <alignment horizontal="center" vertical="center"/>
    </xf>
    <xf numFmtId="2" fontId="24" fillId="0" borderId="9" xfId="6" applyNumberFormat="1" applyFont="1" applyFill="1" applyBorder="1" applyAlignment="1">
      <alignment horizontal="center" vertical="center"/>
    </xf>
    <xf numFmtId="165" fontId="21" fillId="0" borderId="1" xfId="4" applyNumberFormat="1" applyFont="1" applyFill="1" applyBorder="1" applyAlignment="1">
      <alignment horizontal="center" vertical="center" wrapText="1"/>
    </xf>
    <xf numFmtId="165" fontId="24" fillId="2" borderId="1" xfId="6" applyNumberFormat="1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vertical="center"/>
    </xf>
    <xf numFmtId="0" fontId="21" fillId="0" borderId="1" xfId="6" quotePrefix="1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165" fontId="21" fillId="0" borderId="1" xfId="6" applyNumberFormat="1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left" vertical="center" wrapText="1"/>
    </xf>
    <xf numFmtId="0" fontId="24" fillId="0" borderId="10" xfId="6" applyFont="1" applyFill="1" applyBorder="1" applyAlignment="1">
      <alignment horizontal="center" vertical="center"/>
    </xf>
    <xf numFmtId="0" fontId="24" fillId="0" borderId="3" xfId="6" applyFont="1" applyFill="1" applyBorder="1" applyAlignment="1">
      <alignment horizontal="center" vertical="center"/>
    </xf>
    <xf numFmtId="0" fontId="21" fillId="0" borderId="3" xfId="6" applyFont="1" applyFill="1" applyBorder="1" applyAlignment="1">
      <alignment horizontal="center" vertical="center"/>
    </xf>
    <xf numFmtId="0" fontId="21" fillId="0" borderId="3" xfId="6" applyFont="1" applyFill="1" applyBorder="1" applyAlignment="1">
      <alignment horizontal="center" vertical="center" wrapText="1"/>
    </xf>
    <xf numFmtId="165" fontId="24" fillId="0" borderId="3" xfId="6" applyNumberFormat="1" applyFont="1" applyFill="1" applyBorder="1" applyAlignment="1">
      <alignment horizontal="center" vertical="center"/>
    </xf>
    <xf numFmtId="2" fontId="24" fillId="0" borderId="3" xfId="6" applyNumberFormat="1" applyFont="1" applyFill="1" applyBorder="1" applyAlignment="1">
      <alignment horizontal="center" vertical="center"/>
    </xf>
    <xf numFmtId="2" fontId="21" fillId="0" borderId="3" xfId="6" applyNumberFormat="1" applyFont="1" applyFill="1" applyBorder="1" applyAlignment="1">
      <alignment horizontal="center" vertical="center"/>
    </xf>
    <xf numFmtId="0" fontId="21" fillId="0" borderId="5" xfId="6" applyFont="1" applyFill="1" applyBorder="1" applyAlignment="1">
      <alignment vertical="center"/>
    </xf>
    <xf numFmtId="0" fontId="21" fillId="0" borderId="1" xfId="0" applyFont="1" applyFill="1" applyBorder="1"/>
    <xf numFmtId="2" fontId="24" fillId="0" borderId="1" xfId="6" applyNumberFormat="1" applyFont="1" applyFill="1" applyBorder="1" applyAlignment="1">
      <alignment horizontal="left" vertical="center"/>
    </xf>
    <xf numFmtId="0" fontId="21" fillId="0" borderId="0" xfId="6" applyFont="1" applyFill="1" applyBorder="1" applyAlignment="1">
      <alignment horizontal="center" vertical="center"/>
    </xf>
    <xf numFmtId="0" fontId="21" fillId="0" borderId="9" xfId="6" applyFont="1" applyFill="1" applyBorder="1" applyAlignment="1">
      <alignment horizontal="center" vertical="center"/>
    </xf>
    <xf numFmtId="165" fontId="24" fillId="0" borderId="0" xfId="6" applyNumberFormat="1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4" fillId="0" borderId="6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 wrapText="1"/>
    </xf>
    <xf numFmtId="2" fontId="22" fillId="0" borderId="1" xfId="6" applyNumberFormat="1" applyFont="1" applyFill="1" applyBorder="1" applyAlignment="1">
      <alignment horizontal="center" vertical="center"/>
    </xf>
    <xf numFmtId="2" fontId="25" fillId="0" borderId="1" xfId="6" applyNumberFormat="1" applyFont="1" applyFill="1" applyBorder="1" applyAlignment="1">
      <alignment horizontal="center" vertical="center"/>
    </xf>
    <xf numFmtId="2" fontId="22" fillId="2" borderId="1" xfId="6" applyNumberFormat="1" applyFont="1" applyFill="1" applyBorder="1" applyAlignment="1">
      <alignment horizontal="center" vertical="center"/>
    </xf>
    <xf numFmtId="0" fontId="21" fillId="0" borderId="1" xfId="6" applyFont="1" applyBorder="1" applyAlignment="1">
      <alignment horizontal="center"/>
    </xf>
    <xf numFmtId="0" fontId="2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left" vertical="center" wrapText="1"/>
    </xf>
    <xf numFmtId="0" fontId="21" fillId="0" borderId="1" xfId="6" applyFont="1" applyBorder="1" applyAlignment="1">
      <alignment horizontal="center" vertical="center"/>
    </xf>
    <xf numFmtId="0" fontId="22" fillId="0" borderId="1" xfId="6" applyNumberFormat="1" applyFont="1" applyFill="1" applyBorder="1" applyAlignment="1">
      <alignment horizontal="center" vertical="center" wrapText="1"/>
    </xf>
    <xf numFmtId="1" fontId="21" fillId="0" borderId="8" xfId="6" applyNumberFormat="1" applyFont="1" applyFill="1" applyBorder="1" applyAlignment="1">
      <alignment horizontal="center" vertical="center" wrapText="1"/>
    </xf>
    <xf numFmtId="0" fontId="21" fillId="0" borderId="1" xfId="6" applyFont="1" applyFill="1" applyBorder="1"/>
    <xf numFmtId="0" fontId="24" fillId="0" borderId="2" xfId="6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center" vertical="center" wrapText="1" shrinkToFit="1"/>
    </xf>
    <xf numFmtId="0" fontId="25" fillId="0" borderId="1" xfId="6" applyFont="1" applyFill="1" applyBorder="1" applyAlignment="1">
      <alignment horizontal="left" vertical="center"/>
    </xf>
    <xf numFmtId="165" fontId="21" fillId="0" borderId="0" xfId="0" applyNumberFormat="1" applyFont="1" applyFill="1" applyBorder="1" applyAlignment="1">
      <alignment horizontal="center" vertical="center"/>
    </xf>
    <xf numFmtId="165" fontId="25" fillId="0" borderId="1" xfId="6" applyNumberFormat="1" applyFont="1" applyFill="1" applyBorder="1" applyAlignment="1">
      <alignment horizontal="center" vertical="center"/>
    </xf>
    <xf numFmtId="1" fontId="25" fillId="0" borderId="1" xfId="6" applyNumberFormat="1" applyFont="1" applyFill="1" applyBorder="1" applyAlignment="1">
      <alignment horizontal="center" vertical="center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9" xfId="6" applyFont="1" applyBorder="1" applyAlignment="1">
      <alignment horizontal="center" vertical="center" wrapText="1"/>
    </xf>
    <xf numFmtId="0" fontId="21" fillId="0" borderId="1" xfId="6" applyFont="1" applyBorder="1" applyAlignment="1">
      <alignment horizontal="center" vertical="center" wrapText="1"/>
    </xf>
    <xf numFmtId="0" fontId="21" fillId="0" borderId="1" xfId="6" applyNumberFormat="1" applyFont="1" applyBorder="1" applyAlignment="1">
      <alignment horizontal="center" vertical="center" wrapText="1"/>
    </xf>
    <xf numFmtId="0" fontId="22" fillId="0" borderId="1" xfId="6" applyFont="1" applyBorder="1" applyAlignment="1">
      <alignment horizontal="center" vertical="center" wrapText="1"/>
    </xf>
    <xf numFmtId="0" fontId="21" fillId="2" borderId="9" xfId="6" applyFont="1" applyFill="1" applyBorder="1" applyAlignment="1">
      <alignment horizontal="center" vertical="center"/>
    </xf>
    <xf numFmtId="0" fontId="22" fillId="0" borderId="1" xfId="6" applyNumberFormat="1" applyFont="1" applyBorder="1" applyAlignment="1">
      <alignment horizontal="center" vertical="center" wrapText="1"/>
    </xf>
    <xf numFmtId="1" fontId="22" fillId="0" borderId="8" xfId="6" applyNumberFormat="1" applyFont="1" applyBorder="1" applyAlignment="1">
      <alignment horizontal="center" vertical="center" wrapText="1"/>
    </xf>
    <xf numFmtId="0" fontId="26" fillId="0" borderId="1" xfId="6" applyFont="1" applyBorder="1" applyAlignment="1">
      <alignment horizontal="center" wrapText="1"/>
    </xf>
    <xf numFmtId="9" fontId="24" fillId="0" borderId="1" xfId="6" applyNumberFormat="1" applyFont="1" applyFill="1" applyBorder="1" applyAlignment="1">
      <alignment horizontal="center" vertical="center"/>
    </xf>
    <xf numFmtId="1" fontId="21" fillId="0" borderId="1" xfId="6" applyNumberFormat="1" applyFont="1" applyFill="1" applyBorder="1" applyAlignment="1">
      <alignment horizontal="center" vertical="center" wrapText="1"/>
    </xf>
    <xf numFmtId="0" fontId="21" fillId="0" borderId="1" xfId="6" applyNumberFormat="1" applyFont="1" applyFill="1" applyBorder="1" applyAlignment="1">
      <alignment horizontal="center" vertical="center" wrapText="1"/>
    </xf>
    <xf numFmtId="0" fontId="21" fillId="0" borderId="1" xfId="6" applyFont="1" applyBorder="1"/>
    <xf numFmtId="4" fontId="25" fillId="0" borderId="1" xfId="6" applyNumberFormat="1" applyFont="1" applyFill="1" applyBorder="1" applyAlignment="1">
      <alignment horizontal="center" vertical="center"/>
    </xf>
    <xf numFmtId="0" fontId="21" fillId="0" borderId="0" xfId="6" applyFont="1" applyBorder="1" applyAlignment="1">
      <alignment horizontal="center" vertical="center" wrapText="1"/>
    </xf>
    <xf numFmtId="0" fontId="21" fillId="0" borderId="0" xfId="6" applyFont="1" applyFill="1" applyBorder="1" applyAlignment="1">
      <alignment horizontal="center" vertical="center" wrapText="1"/>
    </xf>
    <xf numFmtId="0" fontId="22" fillId="0" borderId="0" xfId="6" applyFont="1" applyFill="1" applyBorder="1" applyAlignment="1">
      <alignment horizontal="center" vertical="center" textRotation="90" wrapText="1"/>
    </xf>
    <xf numFmtId="0" fontId="22" fillId="0" borderId="0" xfId="6" applyFont="1" applyFill="1" applyBorder="1" applyAlignment="1">
      <alignment horizontal="center" vertical="center" wrapText="1"/>
    </xf>
    <xf numFmtId="165" fontId="21" fillId="0" borderId="0" xfId="6" applyNumberFormat="1" applyFont="1" applyFill="1" applyBorder="1" applyAlignment="1">
      <alignment horizontal="center" vertical="center" wrapText="1"/>
    </xf>
    <xf numFmtId="2" fontId="21" fillId="0" borderId="0" xfId="6" applyNumberFormat="1" applyFont="1" applyFill="1" applyBorder="1" applyAlignment="1">
      <alignment horizontal="center" vertical="center" wrapText="1"/>
    </xf>
    <xf numFmtId="0" fontId="22" fillId="0" borderId="0" xfId="6" applyFont="1" applyBorder="1" applyAlignment="1">
      <alignment horizontal="center" vertical="center" textRotation="90" wrapText="1"/>
    </xf>
    <xf numFmtId="0" fontId="24" fillId="0" borderId="0" xfId="6" applyFont="1" applyFill="1" applyBorder="1" applyAlignment="1">
      <alignment vertical="center"/>
    </xf>
    <xf numFmtId="0" fontId="24" fillId="0" borderId="0" xfId="6" applyFont="1" applyFill="1" applyBorder="1" applyAlignment="1">
      <alignment horizontal="center" vertical="center"/>
    </xf>
    <xf numFmtId="0" fontId="25" fillId="0" borderId="0" xfId="6" applyFont="1" applyFill="1" applyBorder="1" applyAlignment="1">
      <alignment horizontal="left" vertical="center"/>
    </xf>
    <xf numFmtId="2" fontId="24" fillId="0" borderId="0" xfId="6" applyNumberFormat="1" applyFont="1" applyFill="1" applyBorder="1" applyAlignment="1">
      <alignment horizontal="center" vertical="center"/>
    </xf>
    <xf numFmtId="165" fontId="24" fillId="0" borderId="0" xfId="6" applyNumberFormat="1" applyFont="1" applyFill="1" applyBorder="1" applyAlignment="1">
      <alignment vertical="center"/>
    </xf>
    <xf numFmtId="2" fontId="24" fillId="0" borderId="0" xfId="6" applyNumberFormat="1" applyFont="1" applyFill="1" applyBorder="1" applyAlignment="1">
      <alignment vertical="center"/>
    </xf>
    <xf numFmtId="0" fontId="24" fillId="0" borderId="0" xfId="6" applyFont="1" applyFill="1" applyAlignment="1">
      <alignment vertical="center"/>
    </xf>
    <xf numFmtId="0" fontId="24" fillId="0" borderId="0" xfId="6" applyFont="1" applyFill="1" applyBorder="1" applyAlignment="1">
      <alignment horizontal="left" vertical="center" wrapText="1"/>
    </xf>
    <xf numFmtId="0" fontId="25" fillId="0" borderId="0" xfId="6" applyFont="1" applyFill="1" applyBorder="1" applyAlignment="1">
      <alignment vertical="center"/>
    </xf>
    <xf numFmtId="1" fontId="22" fillId="0" borderId="1" xfId="6" applyNumberFormat="1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Border="1" applyAlignment="1">
      <alignment horizontal="center" vertical="center" wrapText="1"/>
    </xf>
    <xf numFmtId="0" fontId="21" fillId="0" borderId="6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6" xfId="6" applyFont="1" applyFill="1" applyBorder="1" applyAlignment="1">
      <alignment horizontal="center" vertical="center"/>
    </xf>
    <xf numFmtId="0" fontId="22" fillId="2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1" xfId="6" applyFont="1" applyFill="1" applyBorder="1" applyAlignment="1">
      <alignment horizontal="center" vertical="center" wrapText="1"/>
    </xf>
    <xf numFmtId="0" fontId="25" fillId="0" borderId="6" xfId="6" applyFont="1" applyFill="1" applyBorder="1" applyAlignment="1">
      <alignment horizontal="right" vertical="center"/>
    </xf>
    <xf numFmtId="1" fontId="24" fillId="0" borderId="1" xfId="6" applyNumberFormat="1" applyFont="1" applyFill="1" applyBorder="1" applyAlignment="1">
      <alignment horizontal="center" vertical="center"/>
    </xf>
    <xf numFmtId="0" fontId="25" fillId="0" borderId="9" xfId="6" applyFont="1" applyFill="1" applyBorder="1" applyAlignment="1">
      <alignment vertical="center"/>
    </xf>
    <xf numFmtId="0" fontId="24" fillId="0" borderId="1" xfId="6" applyFont="1" applyFill="1" applyBorder="1" applyAlignment="1">
      <alignment horizontal="right" vertical="center"/>
    </xf>
    <xf numFmtId="0" fontId="24" fillId="0" borderId="9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6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5" fillId="0" borderId="6" xfId="6" applyFont="1" applyFill="1" applyBorder="1" applyAlignment="1">
      <alignment horizontal="right" vertical="center"/>
    </xf>
    <xf numFmtId="0" fontId="21" fillId="0" borderId="1" xfId="6" applyFont="1" applyBorder="1" applyAlignment="1">
      <alignment horizontal="center" vertical="center" wrapText="1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6" xfId="6" applyFont="1" applyFill="1" applyBorder="1" applyAlignment="1">
      <alignment horizontal="center" vertical="center"/>
    </xf>
    <xf numFmtId="0" fontId="22" fillId="2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8" fillId="0" borderId="1" xfId="6" applyFont="1" applyFill="1" applyBorder="1" applyAlignment="1">
      <alignment horizontal="center" vertical="center"/>
    </xf>
    <xf numFmtId="165" fontId="21" fillId="0" borderId="1" xfId="0" applyNumberFormat="1" applyFont="1" applyFill="1" applyBorder="1" applyAlignment="1">
      <alignment horizontal="center" vertical="center"/>
    </xf>
    <xf numFmtId="11" fontId="21" fillId="0" borderId="1" xfId="6" applyNumberFormat="1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6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5" fillId="0" borderId="6" xfId="6" applyFont="1" applyFill="1" applyBorder="1" applyAlignment="1">
      <alignment horizontal="right" vertical="center"/>
    </xf>
    <xf numFmtId="0" fontId="21" fillId="0" borderId="1" xfId="6" applyFont="1" applyBorder="1" applyAlignment="1">
      <alignment horizontal="center" vertical="center" wrapText="1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6" xfId="6" applyFont="1" applyFill="1" applyBorder="1" applyAlignment="1">
      <alignment horizontal="center" vertical="center"/>
    </xf>
    <xf numFmtId="0" fontId="22" fillId="2" borderId="1" xfId="6" applyFont="1" applyFill="1" applyBorder="1" applyAlignment="1">
      <alignment horizontal="center" vertical="center" textRotation="90" wrapText="1"/>
    </xf>
    <xf numFmtId="0" fontId="29" fillId="0" borderId="0" xfId="0" applyFont="1"/>
    <xf numFmtId="0" fontId="29" fillId="0" borderId="1" xfId="6" applyFont="1" applyFill="1" applyBorder="1" applyAlignment="1">
      <alignment horizontal="left" vertical="center"/>
    </xf>
    <xf numFmtId="0" fontId="25" fillId="0" borderId="6" xfId="6" applyFont="1" applyFill="1" applyBorder="1" applyAlignment="1">
      <alignment horizontal="righ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6" xfId="6" applyFont="1" applyFill="1" applyBorder="1" applyAlignment="1">
      <alignment horizontal="center" vertical="center"/>
    </xf>
    <xf numFmtId="0" fontId="22" fillId="2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5" fillId="0" borderId="0" xfId="6" applyFont="1" applyFill="1" applyAlignment="1">
      <alignment vertical="center"/>
    </xf>
    <xf numFmtId="0" fontId="24" fillId="0" borderId="0" xfId="6" applyFont="1" applyFill="1" applyBorder="1" applyAlignment="1">
      <alignment horizontal="left" vertical="center"/>
    </xf>
    <xf numFmtId="0" fontId="24" fillId="2" borderId="3" xfId="6" applyFont="1" applyFill="1" applyBorder="1" applyAlignment="1">
      <alignment horizontal="center" vertical="center"/>
    </xf>
    <xf numFmtId="0" fontId="0" fillId="0" borderId="1" xfId="0" applyBorder="1"/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5" fillId="0" borderId="6" xfId="6" applyFont="1" applyFill="1" applyBorder="1" applyAlignment="1">
      <alignment horizontal="right" vertical="center"/>
    </xf>
    <xf numFmtId="0" fontId="21" fillId="0" borderId="1" xfId="6" applyFont="1" applyBorder="1" applyAlignment="1">
      <alignment horizontal="center" vertical="center" wrapText="1"/>
    </xf>
    <xf numFmtId="0" fontId="22" fillId="0" borderId="1" xfId="6" applyFont="1" applyBorder="1" applyAlignment="1">
      <alignment horizontal="center" vertical="center" textRotation="90" wrapText="1"/>
    </xf>
    <xf numFmtId="0" fontId="22" fillId="2" borderId="1" xfId="6" applyFont="1" applyFill="1" applyBorder="1" applyAlignment="1">
      <alignment horizontal="center" vertical="center" textRotation="90" wrapText="1"/>
    </xf>
    <xf numFmtId="0" fontId="25" fillId="0" borderId="0" xfId="6" applyFont="1" applyFill="1" applyAlignment="1">
      <alignment vertical="center"/>
    </xf>
    <xf numFmtId="0" fontId="21" fillId="0" borderId="1" xfId="6" applyFont="1" applyFill="1" applyBorder="1" applyAlignment="1">
      <alignment horizontal="center" vertical="center"/>
    </xf>
    <xf numFmtId="0" fontId="24" fillId="0" borderId="0" xfId="0" applyFont="1"/>
    <xf numFmtId="0" fontId="30" fillId="0" borderId="0" xfId="0" applyFont="1"/>
    <xf numFmtId="0" fontId="24" fillId="0" borderId="0" xfId="6" applyFont="1" applyFill="1" applyAlignment="1">
      <alignment horizontal="center" vertical="center"/>
    </xf>
    <xf numFmtId="0" fontId="24" fillId="0" borderId="0" xfId="6" applyFont="1" applyFill="1" applyAlignment="1">
      <alignment horizontal="center" vertical="center"/>
    </xf>
    <xf numFmtId="0" fontId="24" fillId="0" borderId="0" xfId="6" applyFont="1" applyFill="1" applyAlignment="1">
      <alignment horizontal="left" vertical="center"/>
    </xf>
    <xf numFmtId="0" fontId="25" fillId="0" borderId="0" xfId="6" applyFont="1" applyFill="1" applyAlignment="1">
      <alignment horizontal="right" vertical="center"/>
    </xf>
    <xf numFmtId="0" fontId="25" fillId="0" borderId="0" xfId="6" applyFont="1" applyFill="1" applyAlignment="1">
      <alignment horizontal="center" vertical="center"/>
    </xf>
    <xf numFmtId="0" fontId="24" fillId="0" borderId="0" xfId="6" applyFont="1" applyFill="1" applyAlignment="1">
      <alignment horizontal="right" vertical="center"/>
    </xf>
    <xf numFmtId="165" fontId="24" fillId="0" borderId="0" xfId="6" applyNumberFormat="1" applyFont="1" applyFill="1" applyAlignment="1">
      <alignment vertical="center"/>
    </xf>
    <xf numFmtId="2" fontId="24" fillId="0" borderId="0" xfId="6" applyNumberFormat="1" applyFont="1" applyFill="1" applyAlignment="1">
      <alignment vertical="center"/>
    </xf>
    <xf numFmtId="0" fontId="24" fillId="0" borderId="0" xfId="6" applyFont="1" applyFill="1" applyBorder="1" applyAlignment="1">
      <alignment horizontal="right" vertical="center"/>
    </xf>
    <xf numFmtId="0" fontId="25" fillId="0" borderId="0" xfId="6" applyFont="1" applyFill="1" applyBorder="1" applyAlignment="1">
      <alignment horizontal="right" vertical="center"/>
    </xf>
    <xf numFmtId="0" fontId="24" fillId="0" borderId="0" xfId="6" applyFont="1"/>
    <xf numFmtId="0" fontId="25" fillId="0" borderId="1" xfId="6" applyFont="1" applyFill="1" applyBorder="1" applyAlignment="1">
      <alignment horizontal="center" vertical="center"/>
    </xf>
    <xf numFmtId="0" fontId="25" fillId="2" borderId="1" xfId="6" applyFont="1" applyFill="1" applyBorder="1" applyAlignment="1">
      <alignment horizontal="center" vertical="center" textRotation="90" wrapText="1"/>
    </xf>
    <xf numFmtId="2" fontId="25" fillId="0" borderId="1" xfId="6" applyNumberFormat="1" applyFont="1" applyFill="1" applyBorder="1" applyAlignment="1">
      <alignment horizontal="center" vertical="center" textRotation="90" wrapText="1"/>
    </xf>
    <xf numFmtId="0" fontId="24" fillId="0" borderId="1" xfId="6" applyFont="1" applyFill="1" applyBorder="1" applyAlignment="1">
      <alignment horizontal="center" vertical="center" wrapText="1"/>
    </xf>
    <xf numFmtId="0" fontId="25" fillId="0" borderId="1" xfId="6" applyFont="1" applyFill="1" applyBorder="1" applyAlignment="1">
      <alignment horizontal="center" vertical="center" textRotation="90" wrapText="1"/>
    </xf>
    <xf numFmtId="0" fontId="24" fillId="2" borderId="1" xfId="6" applyFont="1" applyFill="1" applyBorder="1" applyAlignment="1">
      <alignment horizontal="center" vertical="center" wrapText="1"/>
    </xf>
    <xf numFmtId="165" fontId="24" fillId="2" borderId="1" xfId="6" applyNumberFormat="1" applyFont="1" applyFill="1" applyBorder="1" applyAlignment="1">
      <alignment horizontal="center" vertical="center" wrapText="1"/>
    </xf>
    <xf numFmtId="2" fontId="24" fillId="0" borderId="1" xfId="6" applyNumberFormat="1" applyFont="1" applyFill="1" applyBorder="1" applyAlignment="1">
      <alignment horizontal="center" vertical="center" wrapText="1"/>
    </xf>
    <xf numFmtId="2" fontId="24" fillId="2" borderId="1" xfId="6" applyNumberFormat="1" applyFont="1" applyFill="1" applyBorder="1" applyAlignment="1">
      <alignment horizontal="center" vertical="center"/>
    </xf>
    <xf numFmtId="11" fontId="24" fillId="0" borderId="1" xfId="6" applyNumberFormat="1" applyFont="1" applyFill="1" applyBorder="1" applyAlignment="1">
      <alignment horizontal="center" vertical="center"/>
    </xf>
    <xf numFmtId="0" fontId="24" fillId="0" borderId="1" xfId="4" applyFont="1" applyFill="1" applyBorder="1" applyAlignment="1">
      <alignment horizontal="center" vertical="center" wrapText="1"/>
    </xf>
    <xf numFmtId="165" fontId="24" fillId="0" borderId="1" xfId="4" applyNumberFormat="1" applyFont="1" applyFill="1" applyBorder="1" applyAlignment="1">
      <alignment horizontal="center" vertical="center" wrapText="1"/>
    </xf>
    <xf numFmtId="0" fontId="24" fillId="0" borderId="1" xfId="6" quotePrefix="1" applyFont="1" applyFill="1" applyBorder="1" applyAlignment="1">
      <alignment horizontal="center" vertical="center" wrapText="1"/>
    </xf>
    <xf numFmtId="0" fontId="24" fillId="0" borderId="9" xfId="6" applyFont="1" applyFill="1" applyBorder="1" applyAlignment="1">
      <alignment horizontal="center" vertical="center" wrapText="1"/>
    </xf>
    <xf numFmtId="165" fontId="24" fillId="0" borderId="1" xfId="6" applyNumberFormat="1" applyFont="1" applyFill="1" applyBorder="1" applyAlignment="1">
      <alignment horizontal="center" vertical="center" wrapText="1"/>
    </xf>
    <xf numFmtId="0" fontId="24" fillId="0" borderId="3" xfId="6" applyFont="1" applyFill="1" applyBorder="1" applyAlignment="1">
      <alignment horizontal="center" vertical="center" wrapText="1"/>
    </xf>
    <xf numFmtId="0" fontId="24" fillId="0" borderId="5" xfId="6" applyFont="1" applyFill="1" applyBorder="1" applyAlignment="1">
      <alignment vertical="center"/>
    </xf>
    <xf numFmtId="0" fontId="30" fillId="0" borderId="0" xfId="0" applyFont="1" applyFill="1"/>
    <xf numFmtId="0" fontId="24" fillId="0" borderId="1" xfId="0" applyFont="1" applyFill="1" applyBorder="1"/>
    <xf numFmtId="0" fontId="27" fillId="0" borderId="1" xfId="6" applyFont="1" applyFill="1" applyBorder="1" applyAlignment="1">
      <alignment horizontal="left" vertical="center"/>
    </xf>
    <xf numFmtId="0" fontId="30" fillId="0" borderId="1" xfId="0" applyFont="1" applyBorder="1"/>
    <xf numFmtId="1" fontId="25" fillId="0" borderId="1" xfId="6" applyNumberFormat="1" applyFont="1" applyFill="1" applyBorder="1" applyAlignment="1">
      <alignment horizontal="center" vertical="center" wrapText="1"/>
    </xf>
    <xf numFmtId="2" fontId="25" fillId="2" borderId="1" xfId="6" applyNumberFormat="1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center" vertical="center"/>
    </xf>
    <xf numFmtId="0" fontId="25" fillId="0" borderId="1" xfId="6" applyNumberFormat="1" applyFont="1" applyFill="1" applyBorder="1" applyAlignment="1">
      <alignment horizontal="center" vertical="center" wrapText="1"/>
    </xf>
    <xf numFmtId="1" fontId="24" fillId="0" borderId="8" xfId="6" applyNumberFormat="1" applyFont="1" applyFill="1" applyBorder="1" applyAlignment="1">
      <alignment horizontal="center" vertical="center" wrapText="1"/>
    </xf>
    <xf numFmtId="0" fontId="25" fillId="0" borderId="1" xfId="6" applyFont="1" applyFill="1" applyBorder="1" applyAlignment="1">
      <alignment horizontal="center" vertical="center" wrapText="1"/>
    </xf>
    <xf numFmtId="0" fontId="27" fillId="0" borderId="0" xfId="0" applyFont="1"/>
    <xf numFmtId="165" fontId="24" fillId="0" borderId="1" xfId="0" applyNumberFormat="1" applyFont="1" applyFill="1" applyBorder="1" applyAlignment="1">
      <alignment horizontal="center" vertical="center"/>
    </xf>
    <xf numFmtId="0" fontId="25" fillId="0" borderId="1" xfId="6" applyFont="1" applyFill="1" applyBorder="1" applyAlignment="1">
      <alignment horizontal="left" vertical="center" wrapText="1"/>
    </xf>
    <xf numFmtId="0" fontId="25" fillId="0" borderId="1" xfId="6" applyFont="1" applyBorder="1" applyAlignment="1">
      <alignment horizontal="center" vertical="center" textRotation="90" wrapText="1"/>
    </xf>
    <xf numFmtId="0" fontId="24" fillId="0" borderId="9" xfId="6" applyFont="1" applyBorder="1" applyAlignment="1">
      <alignment horizontal="center" vertical="center" wrapText="1"/>
    </xf>
    <xf numFmtId="0" fontId="24" fillId="0" borderId="1" xfId="6" applyFont="1" applyBorder="1" applyAlignment="1">
      <alignment horizontal="center" vertical="center" wrapText="1"/>
    </xf>
    <xf numFmtId="0" fontId="24" fillId="0" borderId="1" xfId="6" applyNumberFormat="1" applyFont="1" applyBorder="1" applyAlignment="1">
      <alignment horizontal="center" vertical="center" wrapText="1"/>
    </xf>
    <xf numFmtId="0" fontId="25" fillId="0" borderId="1" xfId="6" applyFont="1" applyBorder="1" applyAlignment="1">
      <alignment horizontal="center" vertical="center" wrapText="1"/>
    </xf>
    <xf numFmtId="0" fontId="24" fillId="2" borderId="9" xfId="6" applyFont="1" applyFill="1" applyBorder="1" applyAlignment="1">
      <alignment horizontal="center" vertical="center"/>
    </xf>
    <xf numFmtId="0" fontId="24" fillId="0" borderId="1" xfId="6" applyFont="1" applyBorder="1" applyAlignment="1">
      <alignment horizontal="center" vertical="center"/>
    </xf>
    <xf numFmtId="0" fontId="25" fillId="0" borderId="1" xfId="6" applyNumberFormat="1" applyFont="1" applyBorder="1" applyAlignment="1">
      <alignment horizontal="center" vertical="center" wrapText="1"/>
    </xf>
    <xf numFmtId="1" fontId="25" fillId="0" borderId="8" xfId="6" applyNumberFormat="1" applyFont="1" applyBorder="1" applyAlignment="1">
      <alignment horizontal="center" vertical="center" wrapText="1"/>
    </xf>
    <xf numFmtId="0" fontId="24" fillId="0" borderId="1" xfId="6" applyFont="1" applyBorder="1" applyAlignment="1">
      <alignment horizontal="center" wrapText="1"/>
    </xf>
    <xf numFmtId="1" fontId="24" fillId="0" borderId="1" xfId="6" applyNumberFormat="1" applyFont="1" applyFill="1" applyBorder="1" applyAlignment="1">
      <alignment horizontal="center" vertical="center" wrapText="1"/>
    </xf>
    <xf numFmtId="0" fontId="24" fillId="0" borderId="1" xfId="6" applyNumberFormat="1" applyFont="1" applyFill="1" applyBorder="1" applyAlignment="1">
      <alignment horizontal="center" vertical="center" wrapText="1"/>
    </xf>
    <xf numFmtId="0" fontId="24" fillId="0" borderId="0" xfId="6" applyFont="1" applyBorder="1" applyAlignment="1">
      <alignment horizontal="center" vertical="center" wrapText="1"/>
    </xf>
    <xf numFmtId="0" fontId="24" fillId="0" borderId="0" xfId="6" applyFont="1" applyFill="1" applyBorder="1" applyAlignment="1">
      <alignment horizontal="center" vertical="center" wrapText="1"/>
    </xf>
    <xf numFmtId="0" fontId="25" fillId="0" borderId="0" xfId="6" applyFont="1" applyFill="1" applyBorder="1" applyAlignment="1">
      <alignment horizontal="center" vertical="center" textRotation="90" wrapText="1"/>
    </xf>
    <xf numFmtId="0" fontId="25" fillId="0" borderId="0" xfId="6" applyFont="1" applyFill="1" applyBorder="1" applyAlignment="1">
      <alignment horizontal="center" vertical="center" wrapText="1"/>
    </xf>
    <xf numFmtId="165" fontId="24" fillId="0" borderId="0" xfId="6" applyNumberFormat="1" applyFont="1" applyFill="1" applyBorder="1" applyAlignment="1">
      <alignment horizontal="center" vertical="center" wrapText="1"/>
    </xf>
    <xf numFmtId="2" fontId="24" fillId="0" borderId="0" xfId="6" applyNumberFormat="1" applyFont="1" applyFill="1" applyBorder="1" applyAlignment="1">
      <alignment horizontal="center" vertical="center" wrapText="1"/>
    </xf>
    <xf numFmtId="0" fontId="25" fillId="0" borderId="0" xfId="6" applyFont="1" applyBorder="1" applyAlignment="1">
      <alignment horizontal="center" vertical="center" textRotation="90" wrapText="1"/>
    </xf>
    <xf numFmtId="0" fontId="29" fillId="0" borderId="3" xfId="6" applyFont="1" applyFill="1" applyBorder="1" applyAlignment="1">
      <alignment horizontal="center" vertical="center"/>
    </xf>
    <xf numFmtId="0" fontId="21" fillId="0" borderId="0" xfId="0" applyFont="1" applyFill="1"/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4" fillId="0" borderId="0" xfId="0" applyFont="1" applyFill="1"/>
    <xf numFmtId="0" fontId="21" fillId="0" borderId="0" xfId="6" applyFont="1" applyFill="1"/>
    <xf numFmtId="165" fontId="21" fillId="0" borderId="1" xfId="6" applyNumberFormat="1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left" vertical="center"/>
    </xf>
    <xf numFmtId="1" fontId="21" fillId="0" borderId="1" xfId="6" applyNumberFormat="1" applyFont="1" applyFill="1" applyBorder="1" applyAlignment="1">
      <alignment horizontal="center" vertical="center"/>
    </xf>
    <xf numFmtId="165" fontId="21" fillId="0" borderId="9" xfId="6" applyNumberFormat="1" applyFont="1" applyFill="1" applyBorder="1" applyAlignment="1">
      <alignment horizontal="center" vertical="center"/>
    </xf>
    <xf numFmtId="2" fontId="21" fillId="0" borderId="9" xfId="6" applyNumberFormat="1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vertical="center"/>
    </xf>
    <xf numFmtId="0" fontId="21" fillId="0" borderId="10" xfId="6" applyFont="1" applyFill="1" applyBorder="1" applyAlignment="1">
      <alignment horizontal="center" vertical="center"/>
    </xf>
    <xf numFmtId="165" fontId="21" fillId="0" borderId="3" xfId="6" applyNumberFormat="1" applyFont="1" applyFill="1" applyBorder="1" applyAlignment="1">
      <alignment horizontal="center" vertical="center"/>
    </xf>
    <xf numFmtId="2" fontId="21" fillId="0" borderId="1" xfId="6" applyNumberFormat="1" applyFont="1" applyFill="1" applyBorder="1" applyAlignment="1">
      <alignment horizontal="left" vertical="center"/>
    </xf>
    <xf numFmtId="0" fontId="4" fillId="0" borderId="1" xfId="0" applyFont="1" applyFill="1" applyBorder="1"/>
    <xf numFmtId="1" fontId="22" fillId="0" borderId="1" xfId="6" applyNumberFormat="1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 shrinkToFit="1"/>
    </xf>
    <xf numFmtId="0" fontId="22" fillId="0" borderId="1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right" vertical="center"/>
    </xf>
    <xf numFmtId="165" fontId="22" fillId="0" borderId="1" xfId="6" applyNumberFormat="1" applyFont="1" applyFill="1" applyBorder="1" applyAlignment="1">
      <alignment horizontal="center" vertical="center"/>
    </xf>
    <xf numFmtId="1" fontId="22" fillId="0" borderId="8" xfId="6" applyNumberFormat="1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wrapText="1"/>
    </xf>
    <xf numFmtId="9" fontId="21" fillId="0" borderId="1" xfId="6" applyNumberFormat="1" applyFont="1" applyFill="1" applyBorder="1" applyAlignment="1">
      <alignment horizontal="center" vertical="center"/>
    </xf>
    <xf numFmtId="4" fontId="22" fillId="0" borderId="1" xfId="6" applyNumberFormat="1" applyFont="1" applyFill="1" applyBorder="1" applyAlignment="1">
      <alignment horizontal="center" vertical="center"/>
    </xf>
    <xf numFmtId="0" fontId="22" fillId="0" borderId="0" xfId="6" applyFont="1" applyFill="1" applyBorder="1" applyAlignment="1">
      <alignment horizontal="left" vertical="center"/>
    </xf>
    <xf numFmtId="2" fontId="21" fillId="0" borderId="0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horizontal="center" vertical="center"/>
    </xf>
    <xf numFmtId="165" fontId="21" fillId="0" borderId="0" xfId="6" applyNumberFormat="1" applyFont="1" applyFill="1" applyBorder="1" applyAlignment="1">
      <alignment vertical="center"/>
    </xf>
    <xf numFmtId="2" fontId="21" fillId="0" borderId="0" xfId="6" applyNumberFormat="1" applyFont="1" applyFill="1" applyBorder="1" applyAlignment="1">
      <alignment vertical="center"/>
    </xf>
    <xf numFmtId="0" fontId="21" fillId="0" borderId="0" xfId="6" applyFont="1" applyFill="1" applyBorder="1" applyAlignment="1">
      <alignment horizontal="left" vertical="center" wrapText="1"/>
    </xf>
    <xf numFmtId="0" fontId="22" fillId="0" borderId="0" xfId="6" applyFont="1" applyFill="1" applyBorder="1" applyAlignment="1">
      <alignment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1" fontId="21" fillId="0" borderId="9" xfId="6" applyNumberFormat="1" applyFont="1" applyFill="1" applyBorder="1" applyAlignment="1">
      <alignment horizontal="center" vertical="center"/>
    </xf>
    <xf numFmtId="1" fontId="21" fillId="0" borderId="3" xfId="6" applyNumberFormat="1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center" vertical="center"/>
    </xf>
    <xf numFmtId="0" fontId="15" fillId="0" borderId="0" xfId="0" applyFont="1" applyFill="1"/>
    <xf numFmtId="2" fontId="22" fillId="0" borderId="8" xfId="6" applyNumberFormat="1" applyFont="1" applyFill="1" applyBorder="1" applyAlignment="1">
      <alignment horizontal="center" vertical="center"/>
    </xf>
    <xf numFmtId="0" fontId="4" fillId="0" borderId="11" xfId="0" applyFont="1" applyFill="1" applyBorder="1"/>
    <xf numFmtId="0" fontId="4" fillId="0" borderId="13" xfId="0" applyFont="1" applyFill="1" applyBorder="1"/>
    <xf numFmtId="165" fontId="22" fillId="0" borderId="8" xfId="6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2" xfId="0" applyBorder="1"/>
    <xf numFmtId="0" fontId="30" fillId="0" borderId="13" xfId="0" applyFont="1" applyBorder="1"/>
    <xf numFmtId="0" fontId="30" fillId="0" borderId="2" xfId="0" applyFont="1" applyBorder="1"/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4" fillId="0" borderId="2" xfId="0" applyFont="1" applyFill="1" applyBorder="1"/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9" fillId="0" borderId="1" xfId="6" applyFont="1" applyFill="1" applyBorder="1" applyAlignment="1">
      <alignment horizontal="center" vertical="center"/>
    </xf>
    <xf numFmtId="166" fontId="22" fillId="0" borderId="0" xfId="6" applyNumberFormat="1" applyFont="1" applyFill="1" applyAlignment="1">
      <alignment vertical="center"/>
    </xf>
    <xf numFmtId="166" fontId="21" fillId="0" borderId="0" xfId="6" applyNumberFormat="1" applyFont="1" applyFill="1" applyAlignment="1">
      <alignment vertical="center"/>
    </xf>
    <xf numFmtId="166" fontId="21" fillId="0" borderId="0" xfId="6" applyNumberFormat="1" applyFont="1" applyFill="1" applyAlignment="1">
      <alignment horizontal="center" vertical="center"/>
    </xf>
    <xf numFmtId="166" fontId="22" fillId="0" borderId="1" xfId="6" applyNumberFormat="1" applyFont="1" applyFill="1" applyBorder="1" applyAlignment="1">
      <alignment horizontal="center" vertical="center" textRotation="90" wrapText="1"/>
    </xf>
    <xf numFmtId="166" fontId="21" fillId="0" borderId="1" xfId="6" applyNumberFormat="1" applyFont="1" applyFill="1" applyBorder="1" applyAlignment="1">
      <alignment horizontal="center" vertical="center" wrapText="1"/>
    </xf>
    <xf numFmtId="166" fontId="21" fillId="0" borderId="1" xfId="6" applyNumberFormat="1" applyFont="1" applyFill="1" applyBorder="1" applyAlignment="1">
      <alignment horizontal="center" vertical="center"/>
    </xf>
    <xf numFmtId="166" fontId="21" fillId="0" borderId="3" xfId="6" applyNumberFormat="1" applyFont="1" applyFill="1" applyBorder="1" applyAlignment="1">
      <alignment horizontal="center" vertical="center"/>
    </xf>
    <xf numFmtId="166" fontId="22" fillId="0" borderId="1" xfId="6" applyNumberFormat="1" applyFont="1" applyFill="1" applyBorder="1" applyAlignment="1">
      <alignment horizontal="center" vertical="center"/>
    </xf>
    <xf numFmtId="166" fontId="21" fillId="0" borderId="0" xfId="6" applyNumberFormat="1" applyFont="1" applyFill="1" applyBorder="1" applyAlignment="1">
      <alignment horizontal="center" vertical="center" wrapText="1"/>
    </xf>
    <xf numFmtId="166" fontId="21" fillId="0" borderId="0" xfId="6" applyNumberFormat="1" applyFont="1" applyFill="1" applyBorder="1" applyAlignment="1">
      <alignment vertical="center"/>
    </xf>
    <xf numFmtId="166" fontId="4" fillId="0" borderId="0" xfId="0" applyNumberFormat="1" applyFont="1" applyFill="1"/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3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3" fillId="0" borderId="1" xfId="6" applyFont="1" applyFill="1" applyBorder="1" applyAlignment="1">
      <alignment horizontal="left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Alignment="1">
      <alignment vertical="center"/>
    </xf>
    <xf numFmtId="49" fontId="21" fillId="0" borderId="1" xfId="6" applyNumberFormat="1" applyFont="1" applyFill="1" applyBorder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6" xfId="6" applyFont="1" applyFill="1" applyBorder="1" applyAlignment="1">
      <alignment vertical="center"/>
    </xf>
    <xf numFmtId="0" fontId="22" fillId="0" borderId="9" xfId="6" applyFont="1" applyFill="1" applyBorder="1" applyAlignment="1">
      <alignment vertical="center"/>
    </xf>
    <xf numFmtId="0" fontId="22" fillId="0" borderId="9" xfId="6" applyFont="1" applyFill="1" applyBorder="1" applyAlignment="1">
      <alignment vertical="center" wrapText="1"/>
    </xf>
    <xf numFmtId="0" fontId="21" fillId="0" borderId="1" xfId="6" applyFont="1" applyFill="1" applyBorder="1" applyAlignment="1">
      <alignment vertical="center" wrapText="1"/>
    </xf>
    <xf numFmtId="0" fontId="22" fillId="0" borderId="1" xfId="6" applyFont="1" applyFill="1" applyBorder="1" applyAlignment="1">
      <alignment vertical="center" wrapText="1"/>
    </xf>
    <xf numFmtId="0" fontId="22" fillId="0" borderId="1" xfId="6" applyFont="1" applyFill="1" applyBorder="1" applyAlignment="1">
      <alignment vertical="center"/>
    </xf>
    <xf numFmtId="0" fontId="21" fillId="0" borderId="9" xfId="6" applyFont="1" applyFill="1" applyBorder="1" applyAlignment="1">
      <alignment vertical="center" wrapText="1"/>
    </xf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33" fillId="0" borderId="0" xfId="0" applyFont="1" applyFill="1"/>
    <xf numFmtId="0" fontId="33" fillId="0" borderId="1" xfId="0" applyFont="1" applyFill="1" applyBorder="1"/>
    <xf numFmtId="0" fontId="33" fillId="0" borderId="2" xfId="0" applyFont="1" applyFill="1" applyBorder="1"/>
    <xf numFmtId="0" fontId="33" fillId="0" borderId="13" xfId="0" applyFont="1" applyFill="1" applyBorder="1"/>
    <xf numFmtId="0" fontId="21" fillId="0" borderId="1" xfId="6" applyFont="1" applyFill="1" applyBorder="1" applyAlignment="1">
      <alignment horizontal="center" vertical="center"/>
    </xf>
    <xf numFmtId="0" fontId="34" fillId="0" borderId="1" xfId="6" applyFont="1" applyFill="1" applyBorder="1" applyAlignment="1">
      <alignment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166" fontId="22" fillId="4" borderId="0" xfId="6" applyNumberFormat="1" applyFont="1" applyFill="1" applyAlignment="1">
      <alignment vertical="center"/>
    </xf>
    <xf numFmtId="166" fontId="21" fillId="4" borderId="0" xfId="6" applyNumberFormat="1" applyFont="1" applyFill="1" applyAlignment="1">
      <alignment vertical="center"/>
    </xf>
    <xf numFmtId="166" fontId="21" fillId="4" borderId="0" xfId="6" applyNumberFormat="1" applyFont="1" applyFill="1" applyAlignment="1">
      <alignment horizontal="center" vertical="center"/>
    </xf>
    <xf numFmtId="166" fontId="22" fillId="4" borderId="1" xfId="6" applyNumberFormat="1" applyFont="1" applyFill="1" applyBorder="1" applyAlignment="1">
      <alignment horizontal="center" vertical="center" textRotation="90" wrapText="1"/>
    </xf>
    <xf numFmtId="166" fontId="21" fillId="4" borderId="1" xfId="6" applyNumberFormat="1" applyFont="1" applyFill="1" applyBorder="1" applyAlignment="1">
      <alignment horizontal="center" vertical="center" wrapText="1"/>
    </xf>
    <xf numFmtId="165" fontId="21" fillId="4" borderId="1" xfId="6" applyNumberFormat="1" applyFont="1" applyFill="1" applyBorder="1" applyAlignment="1">
      <alignment horizontal="center" vertical="center"/>
    </xf>
    <xf numFmtId="165" fontId="21" fillId="4" borderId="3" xfId="6" applyNumberFormat="1" applyFont="1" applyFill="1" applyBorder="1" applyAlignment="1">
      <alignment horizontal="center" vertical="center"/>
    </xf>
    <xf numFmtId="165" fontId="21" fillId="4" borderId="1" xfId="6" applyNumberFormat="1" applyFont="1" applyFill="1" applyBorder="1" applyAlignment="1">
      <alignment horizontal="center" vertical="center" wrapText="1"/>
    </xf>
    <xf numFmtId="165" fontId="22" fillId="4" borderId="1" xfId="6" applyNumberFormat="1" applyFont="1" applyFill="1" applyBorder="1" applyAlignment="1">
      <alignment horizontal="center" vertical="center"/>
    </xf>
    <xf numFmtId="166" fontId="21" fillId="4" borderId="1" xfId="6" applyNumberFormat="1" applyFont="1" applyFill="1" applyBorder="1" applyAlignment="1">
      <alignment horizontal="center" vertical="center"/>
    </xf>
    <xf numFmtId="166" fontId="22" fillId="4" borderId="1" xfId="6" applyNumberFormat="1" applyFont="1" applyFill="1" applyBorder="1" applyAlignment="1">
      <alignment horizontal="center" vertical="center"/>
    </xf>
    <xf numFmtId="166" fontId="21" fillId="4" borderId="0" xfId="6" applyNumberFormat="1" applyFont="1" applyFill="1" applyBorder="1" applyAlignment="1">
      <alignment horizontal="center" vertical="center" wrapText="1"/>
    </xf>
    <xf numFmtId="166" fontId="21" fillId="4" borderId="0" xfId="6" applyNumberFormat="1" applyFont="1" applyFill="1" applyBorder="1" applyAlignment="1">
      <alignment vertical="center"/>
    </xf>
    <xf numFmtId="166" fontId="4" fillId="4" borderId="0" xfId="0" applyNumberFormat="1" applyFont="1" applyFill="1"/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3" fillId="0" borderId="1" xfId="6" applyFont="1" applyFill="1" applyBorder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2" fontId="21" fillId="0" borderId="8" xfId="6" applyNumberFormat="1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1" fillId="0" borderId="1" xfId="6" applyNumberFormat="1" applyFont="1" applyFill="1" applyBorder="1" applyAlignment="1">
      <alignment horizontal="center" vertical="center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165" fontId="33" fillId="0" borderId="0" xfId="0" applyNumberFormat="1" applyFont="1" applyFill="1"/>
    <xf numFmtId="0" fontId="21" fillId="0" borderId="1" xfId="0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2" fontId="4" fillId="0" borderId="0" xfId="0" applyNumberFormat="1" applyFont="1" applyFill="1"/>
    <xf numFmtId="0" fontId="21" fillId="0" borderId="2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0" xfId="6" applyFont="1" applyFill="1" applyAlignment="1">
      <alignment vertical="center"/>
    </xf>
    <xf numFmtId="11" fontId="21" fillId="0" borderId="3" xfId="6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/>
    </xf>
    <xf numFmtId="0" fontId="13" fillId="0" borderId="0" xfId="0" applyFont="1" applyAlignment="1">
      <alignment horizontal="right"/>
    </xf>
    <xf numFmtId="167" fontId="21" fillId="0" borderId="1" xfId="6" applyNumberFormat="1" applyFont="1" applyFill="1" applyBorder="1" applyAlignment="1">
      <alignment horizontal="center" vertical="center"/>
    </xf>
    <xf numFmtId="2" fontId="21" fillId="0" borderId="17" xfId="6" applyNumberFormat="1" applyFont="1" applyFill="1" applyBorder="1" applyAlignment="1">
      <alignment horizontal="center" vertical="center"/>
    </xf>
    <xf numFmtId="0" fontId="21" fillId="0" borderId="18" xfId="6" applyFont="1" applyFill="1" applyBorder="1" applyAlignment="1">
      <alignment horizontal="left" vertical="center"/>
    </xf>
    <xf numFmtId="0" fontId="21" fillId="0" borderId="18" xfId="6" applyFont="1" applyFill="1" applyBorder="1" applyAlignment="1">
      <alignment horizontal="left" vertical="center" wrapText="1"/>
    </xf>
    <xf numFmtId="0" fontId="21" fillId="0" borderId="18" xfId="6" applyFont="1" applyFill="1" applyBorder="1" applyAlignment="1">
      <alignment vertical="center"/>
    </xf>
    <xf numFmtId="0" fontId="21" fillId="0" borderId="18" xfId="0" applyFont="1" applyFill="1" applyBorder="1"/>
    <xf numFmtId="2" fontId="21" fillId="0" borderId="18" xfId="6" applyNumberFormat="1" applyFont="1" applyFill="1" applyBorder="1" applyAlignment="1">
      <alignment horizontal="left" vertical="center"/>
    </xf>
    <xf numFmtId="2" fontId="22" fillId="0" borderId="17" xfId="6" applyNumberFormat="1" applyFont="1" applyFill="1" applyBorder="1" applyAlignment="1">
      <alignment horizontal="center" vertical="center"/>
    </xf>
    <xf numFmtId="0" fontId="33" fillId="0" borderId="17" xfId="0" applyFont="1" applyFill="1" applyBorder="1"/>
    <xf numFmtId="2" fontId="22" fillId="0" borderId="17" xfId="6" applyNumberFormat="1" applyFont="1" applyFill="1" applyBorder="1" applyAlignment="1">
      <alignment horizontal="center" vertical="center" textRotation="90" wrapText="1"/>
    </xf>
    <xf numFmtId="0" fontId="22" fillId="0" borderId="18" xfId="6" applyFont="1" applyFill="1" applyBorder="1" applyAlignment="1">
      <alignment horizontal="center" vertical="center" wrapText="1"/>
    </xf>
    <xf numFmtId="0" fontId="22" fillId="0" borderId="18" xfId="6" applyFont="1" applyFill="1" applyBorder="1" applyAlignment="1">
      <alignment horizontal="left" vertical="center"/>
    </xf>
    <xf numFmtId="0" fontId="22" fillId="0" borderId="17" xfId="6" applyFont="1" applyFill="1" applyBorder="1" applyAlignment="1">
      <alignment horizontal="center" vertical="center" textRotation="90" wrapText="1"/>
    </xf>
    <xf numFmtId="0" fontId="22" fillId="0" borderId="18" xfId="6" applyFont="1" applyFill="1" applyBorder="1" applyAlignment="1">
      <alignment horizontal="left" vertical="center" wrapText="1"/>
    </xf>
    <xf numFmtId="9" fontId="21" fillId="0" borderId="17" xfId="6" applyNumberFormat="1" applyFont="1" applyFill="1" applyBorder="1" applyAlignment="1">
      <alignment horizontal="center" vertical="center"/>
    </xf>
    <xf numFmtId="2" fontId="22" fillId="0" borderId="20" xfId="6" applyNumberFormat="1" applyFont="1" applyFill="1" applyBorder="1" applyAlignment="1">
      <alignment horizontal="center" vertical="center"/>
    </xf>
    <xf numFmtId="2" fontId="22" fillId="0" borderId="21" xfId="6" applyNumberFormat="1" applyFont="1" applyFill="1" applyBorder="1" applyAlignment="1">
      <alignment horizontal="center" vertical="center"/>
    </xf>
    <xf numFmtId="1" fontId="22" fillId="0" borderId="21" xfId="6" applyNumberFormat="1" applyFont="1" applyFill="1" applyBorder="1" applyAlignment="1">
      <alignment horizontal="center" vertical="center"/>
    </xf>
    <xf numFmtId="4" fontId="22" fillId="0" borderId="21" xfId="6" applyNumberFormat="1" applyFont="1" applyFill="1" applyBorder="1" applyAlignment="1">
      <alignment horizontal="center" vertical="center"/>
    </xf>
    <xf numFmtId="0" fontId="22" fillId="0" borderId="22" xfId="6" applyFont="1" applyFill="1" applyBorder="1" applyAlignment="1">
      <alignment horizontal="left" vertical="center"/>
    </xf>
    <xf numFmtId="0" fontId="21" fillId="0" borderId="17" xfId="6" applyFont="1" applyFill="1" applyBorder="1" applyAlignment="1">
      <alignment horizontal="center" vertical="center"/>
    </xf>
    <xf numFmtId="165" fontId="21" fillId="0" borderId="18" xfId="6" applyNumberFormat="1" applyFont="1" applyFill="1" applyBorder="1" applyAlignment="1">
      <alignment horizontal="center" vertical="center"/>
    </xf>
    <xf numFmtId="165" fontId="21" fillId="0" borderId="19" xfId="6" applyNumberFormat="1" applyFont="1" applyFill="1" applyBorder="1" applyAlignment="1">
      <alignment horizontal="center" vertical="center"/>
    </xf>
    <xf numFmtId="165" fontId="33" fillId="0" borderId="0" xfId="0" applyNumberFormat="1" applyFont="1" applyFill="1" applyBorder="1"/>
    <xf numFmtId="165" fontId="21" fillId="0" borderId="23" xfId="6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2" fontId="22" fillId="0" borderId="18" xfId="6" applyNumberFormat="1" applyFont="1" applyFill="1" applyBorder="1" applyAlignment="1">
      <alignment horizontal="center" vertical="center"/>
    </xf>
    <xf numFmtId="2" fontId="21" fillId="0" borderId="18" xfId="6" applyNumberFormat="1" applyFont="1" applyFill="1" applyBorder="1" applyAlignment="1">
      <alignment horizontal="center" vertical="center"/>
    </xf>
    <xf numFmtId="0" fontId="33" fillId="0" borderId="18" xfId="0" applyFont="1" applyFill="1" applyBorder="1"/>
    <xf numFmtId="0" fontId="33" fillId="0" borderId="24" xfId="0" applyFont="1" applyFill="1" applyBorder="1"/>
    <xf numFmtId="0" fontId="22" fillId="0" borderId="18" xfId="6" applyFont="1" applyFill="1" applyBorder="1" applyAlignment="1">
      <alignment horizontal="center" vertical="center" textRotation="90" wrapText="1"/>
    </xf>
    <xf numFmtId="0" fontId="33" fillId="0" borderId="25" xfId="0" applyFont="1" applyFill="1" applyBorder="1"/>
    <xf numFmtId="0" fontId="22" fillId="0" borderId="21" xfId="6" applyFont="1" applyFill="1" applyBorder="1" applyAlignment="1">
      <alignment horizontal="center" vertical="center"/>
    </xf>
    <xf numFmtId="0" fontId="21" fillId="0" borderId="21" xfId="6" applyFont="1" applyFill="1" applyBorder="1" applyAlignment="1">
      <alignment horizontal="center" vertical="center"/>
    </xf>
    <xf numFmtId="2" fontId="21" fillId="0" borderId="21" xfId="6" applyNumberFormat="1" applyFont="1" applyFill="1" applyBorder="1" applyAlignment="1">
      <alignment horizontal="center" vertical="center"/>
    </xf>
    <xf numFmtId="165" fontId="21" fillId="0" borderId="21" xfId="6" applyNumberFormat="1" applyFont="1" applyFill="1" applyBorder="1" applyAlignment="1">
      <alignment horizontal="center" vertical="center"/>
    </xf>
    <xf numFmtId="165" fontId="22" fillId="0" borderId="21" xfId="6" applyNumberFormat="1" applyFont="1" applyFill="1" applyBorder="1" applyAlignment="1">
      <alignment horizontal="center" vertical="center"/>
    </xf>
    <xf numFmtId="166" fontId="22" fillId="0" borderId="21" xfId="6" applyNumberFormat="1" applyFont="1" applyFill="1" applyBorder="1" applyAlignment="1">
      <alignment horizontal="center" vertical="center"/>
    </xf>
    <xf numFmtId="2" fontId="22" fillId="0" borderId="22" xfId="6" applyNumberFormat="1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1" fontId="21" fillId="0" borderId="6" xfId="6" applyNumberFormat="1" applyFont="1" applyFill="1" applyBorder="1" applyAlignment="1">
      <alignment horizontal="center" vertical="center"/>
    </xf>
    <xf numFmtId="1" fontId="33" fillId="0" borderId="0" xfId="0" applyNumberFormat="1" applyFont="1" applyFill="1" applyBorder="1"/>
    <xf numFmtId="1" fontId="21" fillId="0" borderId="1" xfId="0" applyNumberFormat="1" applyFont="1" applyFill="1" applyBorder="1" applyAlignment="1">
      <alignment horizontal="center" vertical="center"/>
    </xf>
    <xf numFmtId="1" fontId="21" fillId="0" borderId="0" xfId="0" applyNumberFormat="1" applyFont="1" applyFill="1" applyBorder="1" applyAlignment="1">
      <alignment horizontal="center"/>
    </xf>
    <xf numFmtId="0" fontId="21" fillId="0" borderId="19" xfId="6" applyFont="1" applyFill="1" applyBorder="1" applyAlignment="1">
      <alignment horizontal="left" vertical="center"/>
    </xf>
    <xf numFmtId="14" fontId="4" fillId="0" borderId="0" xfId="0" applyNumberFormat="1" applyFont="1" applyFill="1"/>
    <xf numFmtId="0" fontId="15" fillId="0" borderId="0" xfId="0" applyFont="1" applyAlignment="1"/>
    <xf numFmtId="0" fontId="4" fillId="0" borderId="0" xfId="0" applyFont="1" applyFill="1" applyAlignment="1"/>
    <xf numFmtId="0" fontId="15" fillId="0" borderId="0" xfId="0" applyFont="1" applyFill="1" applyAlignment="1"/>
    <xf numFmtId="0" fontId="15" fillId="0" borderId="0" xfId="0" applyFont="1" applyAlignment="1">
      <alignment horizontal="left"/>
    </xf>
    <xf numFmtId="0" fontId="4" fillId="0" borderId="0" xfId="0" applyFont="1" applyFill="1" applyAlignment="1">
      <alignment wrapText="1"/>
    </xf>
    <xf numFmtId="2" fontId="22" fillId="0" borderId="0" xfId="6" applyNumberFormat="1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textRotation="90" wrapText="1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2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1" fillId="0" borderId="2" xfId="6" applyFont="1" applyFill="1" applyBorder="1" applyAlignment="1">
      <alignment horizontal="center" vertical="center"/>
    </xf>
    <xf numFmtId="0" fontId="22" fillId="0" borderId="1" xfId="6" applyFont="1" applyFill="1" applyBorder="1" applyAlignment="1">
      <alignment horizontal="center" vertical="center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horizontal="center" vertical="center"/>
    </xf>
    <xf numFmtId="0" fontId="22" fillId="0" borderId="18" xfId="6" applyFont="1" applyFill="1" applyBorder="1" applyAlignment="1">
      <alignment horizontal="center" vertical="center" wrapText="1"/>
    </xf>
    <xf numFmtId="0" fontId="22" fillId="0" borderId="18" xfId="6" applyFont="1" applyFill="1" applyBorder="1" applyAlignment="1">
      <alignment horizontal="center" vertical="center" textRotation="90" wrapText="1"/>
    </xf>
    <xf numFmtId="0" fontId="22" fillId="0" borderId="17" xfId="6" applyFont="1" applyFill="1" applyBorder="1" applyAlignment="1">
      <alignment horizontal="center" vertical="center" textRotation="90" wrapText="1"/>
    </xf>
    <xf numFmtId="0" fontId="22" fillId="0" borderId="0" xfId="6" applyFont="1" applyFill="1" applyBorder="1" applyAlignment="1">
      <alignment horizontal="left" vertical="center"/>
    </xf>
    <xf numFmtId="0" fontId="21" fillId="0" borderId="0" xfId="6" applyFont="1" applyFill="1" applyBorder="1" applyAlignment="1">
      <alignment horizontal="center"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" fillId="0" borderId="0" xfId="0" applyFont="1" applyFill="1"/>
    <xf numFmtId="0" fontId="11" fillId="0" borderId="0" xfId="0" applyFont="1" applyFill="1"/>
    <xf numFmtId="0" fontId="2" fillId="0" borderId="0" xfId="6" applyFont="1" applyFill="1" applyAlignment="1">
      <alignment vertical="center"/>
    </xf>
    <xf numFmtId="0" fontId="2" fillId="2" borderId="0" xfId="6" applyFont="1" applyFill="1" applyAlignment="1">
      <alignment vertical="center"/>
    </xf>
    <xf numFmtId="0" fontId="1" fillId="2" borderId="0" xfId="6" applyFont="1" applyFill="1" applyAlignment="1">
      <alignment vertical="center"/>
    </xf>
    <xf numFmtId="166" fontId="1" fillId="0" borderId="0" xfId="6" applyNumberFormat="1" applyFont="1" applyFill="1" applyAlignment="1">
      <alignment vertical="center"/>
    </xf>
    <xf numFmtId="166" fontId="2" fillId="0" borderId="0" xfId="6" applyNumberFormat="1" applyFont="1" applyFill="1" applyAlignment="1">
      <alignment vertical="center"/>
    </xf>
    <xf numFmtId="0" fontId="2" fillId="0" borderId="0" xfId="0" applyFont="1" applyFill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166" fontId="2" fillId="0" borderId="0" xfId="6" applyNumberFormat="1" applyFont="1" applyFill="1" applyAlignment="1">
      <alignment horizontal="center" vertical="center"/>
    </xf>
    <xf numFmtId="0" fontId="1" fillId="0" borderId="1" xfId="6" applyFont="1" applyFill="1" applyBorder="1" applyAlignment="1">
      <alignment vertical="center" wrapText="1"/>
    </xf>
    <xf numFmtId="0" fontId="1" fillId="2" borderId="1" xfId="6" applyFont="1" applyFill="1" applyBorder="1" applyAlignment="1">
      <alignment horizontal="center" vertical="center" textRotation="90" wrapText="1"/>
    </xf>
    <xf numFmtId="166" fontId="1" fillId="0" borderId="1" xfId="6" applyNumberFormat="1" applyFont="1" applyFill="1" applyBorder="1" applyAlignment="1">
      <alignment horizontal="center" vertical="center" textRotation="90" wrapText="1"/>
    </xf>
    <xf numFmtId="0" fontId="1" fillId="2" borderId="2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textRotation="90" wrapText="1"/>
    </xf>
    <xf numFmtId="14" fontId="11" fillId="0" borderId="0" xfId="0" applyNumberFormat="1" applyFont="1" applyFill="1"/>
    <xf numFmtId="0" fontId="2" fillId="2" borderId="1" xfId="6" applyFont="1" applyFill="1" applyBorder="1" applyAlignment="1">
      <alignment horizontal="center" vertical="center" wrapText="1"/>
    </xf>
    <xf numFmtId="165" fontId="2" fillId="0" borderId="1" xfId="6" applyNumberFormat="1" applyFont="1" applyFill="1" applyBorder="1" applyAlignment="1">
      <alignment horizontal="center" vertical="center" wrapText="1"/>
    </xf>
    <xf numFmtId="166" fontId="2" fillId="0" borderId="1" xfId="6" applyNumberFormat="1" applyFont="1" applyFill="1" applyBorder="1" applyAlignment="1">
      <alignment horizontal="center" vertical="center" wrapText="1"/>
    </xf>
    <xf numFmtId="0" fontId="2" fillId="2" borderId="2" xfId="6" applyFont="1" applyFill="1" applyBorder="1" applyAlignment="1">
      <alignment horizontal="center" vertical="center" wrapText="1"/>
    </xf>
    <xf numFmtId="0" fontId="11" fillId="0" borderId="0" xfId="0" applyFont="1" applyFill="1" applyAlignment="1">
      <alignment wrapText="1"/>
    </xf>
    <xf numFmtId="0" fontId="2" fillId="0" borderId="17" xfId="6" applyFont="1" applyFill="1" applyBorder="1" applyAlignment="1">
      <alignment horizontal="center" vertical="center"/>
    </xf>
    <xf numFmtId="0" fontId="2" fillId="0" borderId="9" xfId="6" applyFont="1" applyFill="1" applyBorder="1" applyAlignment="1">
      <alignment horizontal="center" vertical="center"/>
    </xf>
    <xf numFmtId="0" fontId="2" fillId="0" borderId="3" xfId="6" applyFont="1" applyFill="1" applyBorder="1" applyAlignment="1">
      <alignment horizontal="center" vertical="center"/>
    </xf>
    <xf numFmtId="0" fontId="2" fillId="2" borderId="1" xfId="6" applyNumberFormat="1" applyFont="1" applyFill="1" applyBorder="1" applyAlignment="1">
      <alignment horizontal="center" vertical="center"/>
    </xf>
    <xf numFmtId="1" fontId="2" fillId="0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horizontal="center" vertical="center"/>
    </xf>
    <xf numFmtId="165" fontId="2" fillId="0" borderId="18" xfId="6" applyNumberFormat="1" applyFont="1" applyFill="1" applyBorder="1" applyAlignment="1">
      <alignment horizontal="center" vertical="center"/>
    </xf>
    <xf numFmtId="0" fontId="2" fillId="2" borderId="2" xfId="6" applyNumberFormat="1" applyFont="1" applyFill="1" applyBorder="1" applyAlignment="1">
      <alignment horizontal="center" vertical="center"/>
    </xf>
    <xf numFmtId="0" fontId="2" fillId="0" borderId="18" xfId="6" applyFont="1" applyFill="1" applyBorder="1" applyAlignment="1">
      <alignment horizontal="left" vertical="center"/>
    </xf>
    <xf numFmtId="2" fontId="11" fillId="0" borderId="0" xfId="0" applyNumberFormat="1" applyFont="1" applyFill="1"/>
    <xf numFmtId="0" fontId="2" fillId="2" borderId="1" xfId="6" applyFont="1" applyFill="1" applyBorder="1" applyAlignment="1">
      <alignment horizontal="center" vertical="center"/>
    </xf>
    <xf numFmtId="0" fontId="2" fillId="2" borderId="2" xfId="6" applyFont="1" applyFill="1" applyBorder="1" applyAlignment="1">
      <alignment horizontal="center" vertical="center"/>
    </xf>
    <xf numFmtId="0" fontId="2" fillId="0" borderId="18" xfId="6" applyFont="1" applyFill="1" applyBorder="1" applyAlignment="1">
      <alignment horizontal="left" vertical="center" wrapText="1"/>
    </xf>
    <xf numFmtId="0" fontId="2" fillId="4" borderId="17" xfId="6" applyFont="1" applyFill="1" applyBorder="1" applyAlignment="1">
      <alignment horizontal="center" vertical="center"/>
    </xf>
    <xf numFmtId="0" fontId="2" fillId="4" borderId="9" xfId="6" applyFont="1" applyFill="1" applyBorder="1" applyAlignment="1">
      <alignment horizontal="center" vertical="center"/>
    </xf>
    <xf numFmtId="0" fontId="2" fillId="4" borderId="1" xfId="6" applyFont="1" applyFill="1" applyBorder="1" applyAlignment="1">
      <alignment horizontal="center" vertical="center"/>
    </xf>
    <xf numFmtId="11" fontId="2" fillId="4" borderId="1" xfId="6" applyNumberFormat="1" applyFont="1" applyFill="1" applyBorder="1" applyAlignment="1">
      <alignment horizontal="center" vertical="center"/>
    </xf>
    <xf numFmtId="0" fontId="2" fillId="4" borderId="1" xfId="6" applyFont="1" applyFill="1" applyBorder="1" applyAlignment="1">
      <alignment horizontal="center" vertical="center" wrapText="1"/>
    </xf>
    <xf numFmtId="1" fontId="2" fillId="4" borderId="1" xfId="6" applyNumberFormat="1" applyFont="1" applyFill="1" applyBorder="1" applyAlignment="1">
      <alignment horizontal="center" vertical="center"/>
    </xf>
    <xf numFmtId="165" fontId="2" fillId="4" borderId="1" xfId="6" applyNumberFormat="1" applyFont="1" applyFill="1" applyBorder="1" applyAlignment="1">
      <alignment horizontal="center" vertical="center"/>
    </xf>
    <xf numFmtId="2" fontId="2" fillId="4" borderId="1" xfId="6" applyNumberFormat="1" applyFont="1" applyFill="1" applyBorder="1" applyAlignment="1">
      <alignment horizontal="center" vertical="center"/>
    </xf>
    <xf numFmtId="165" fontId="2" fillId="4" borderId="18" xfId="6" applyNumberFormat="1" applyFont="1" applyFill="1" applyBorder="1" applyAlignment="1">
      <alignment horizontal="center" vertical="center"/>
    </xf>
    <xf numFmtId="0" fontId="36" fillId="2" borderId="2" xfId="6" applyFont="1" applyFill="1" applyBorder="1" applyAlignment="1">
      <alignment horizontal="center" vertical="center"/>
    </xf>
    <xf numFmtId="0" fontId="2" fillId="4" borderId="18" xfId="6" applyFont="1" applyFill="1" applyBorder="1" applyAlignment="1">
      <alignment horizontal="left" vertical="center"/>
    </xf>
    <xf numFmtId="0" fontId="11" fillId="4" borderId="0" xfId="0" applyFont="1" applyFill="1"/>
    <xf numFmtId="2" fontId="11" fillId="4" borderId="0" xfId="0" applyNumberFormat="1" applyFont="1" applyFill="1"/>
    <xf numFmtId="11" fontId="2" fillId="0" borderId="1" xfId="6" applyNumberFormat="1" applyFont="1" applyFill="1" applyBorder="1" applyAlignment="1">
      <alignment horizontal="center" vertical="center"/>
    </xf>
    <xf numFmtId="0" fontId="2" fillId="0" borderId="1" xfId="4" applyFont="1" applyFill="1" applyBorder="1" applyAlignment="1">
      <alignment horizontal="center" vertical="center" wrapText="1"/>
    </xf>
    <xf numFmtId="2" fontId="2" fillId="0" borderId="1" xfId="6" applyNumberFormat="1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/>
    </xf>
    <xf numFmtId="49" fontId="2" fillId="0" borderId="1" xfId="6" applyNumberFormat="1" applyFont="1" applyFill="1" applyBorder="1" applyAlignment="1">
      <alignment horizontal="center" vertical="center"/>
    </xf>
    <xf numFmtId="0" fontId="2" fillId="2" borderId="9" xfId="6" applyFont="1" applyFill="1" applyBorder="1" applyAlignment="1">
      <alignment horizontal="center" vertical="center"/>
    </xf>
    <xf numFmtId="1" fontId="2" fillId="0" borderId="9" xfId="6" applyNumberFormat="1" applyFont="1" applyFill="1" applyBorder="1" applyAlignment="1">
      <alignment horizontal="center" vertical="center"/>
    </xf>
    <xf numFmtId="165" fontId="2" fillId="0" borderId="9" xfId="6" applyNumberFormat="1" applyFont="1" applyFill="1" applyBorder="1" applyAlignment="1">
      <alignment horizontal="center" vertical="center"/>
    </xf>
    <xf numFmtId="2" fontId="2" fillId="0" borderId="9" xfId="6" applyNumberFormat="1" applyFont="1" applyFill="1" applyBorder="1" applyAlignment="1">
      <alignment horizontal="center" vertical="center"/>
    </xf>
    <xf numFmtId="165" fontId="2" fillId="0" borderId="19" xfId="6" applyNumberFormat="1" applyFont="1" applyFill="1" applyBorder="1" applyAlignment="1">
      <alignment horizontal="center" vertical="center"/>
    </xf>
    <xf numFmtId="0" fontId="2" fillId="2" borderId="6" xfId="6" applyFont="1" applyFill="1" applyBorder="1" applyAlignment="1">
      <alignment horizontal="center" vertical="center"/>
    </xf>
    <xf numFmtId="0" fontId="2" fillId="0" borderId="19" xfId="6" applyFont="1" applyFill="1" applyBorder="1" applyAlignment="1">
      <alignment horizontal="left" vertical="center"/>
    </xf>
    <xf numFmtId="165" fontId="2" fillId="0" borderId="1" xfId="4" applyNumberFormat="1" applyFont="1" applyFill="1" applyBorder="1" applyAlignment="1">
      <alignment horizontal="center" vertical="center" wrapText="1"/>
    </xf>
    <xf numFmtId="0" fontId="36" fillId="2" borderId="2" xfId="6" applyNumberFormat="1" applyFont="1" applyFill="1" applyBorder="1" applyAlignment="1">
      <alignment horizontal="center" vertical="center"/>
    </xf>
    <xf numFmtId="1" fontId="2" fillId="4" borderId="9" xfId="6" applyNumberFormat="1" applyFont="1" applyFill="1" applyBorder="1" applyAlignment="1">
      <alignment horizontal="center" vertical="center"/>
    </xf>
    <xf numFmtId="0" fontId="2" fillId="0" borderId="18" xfId="6" applyFont="1" applyFill="1" applyBorder="1" applyAlignment="1">
      <alignment vertical="center"/>
    </xf>
    <xf numFmtId="0" fontId="2" fillId="0" borderId="1" xfId="6" quotePrefix="1" applyFont="1" applyFill="1" applyBorder="1" applyAlignment="1">
      <alignment horizontal="center" vertical="center" wrapText="1"/>
    </xf>
    <xf numFmtId="0" fontId="2" fillId="0" borderId="2" xfId="6" applyFont="1" applyFill="1" applyBorder="1" applyAlignment="1">
      <alignment horizontal="center" vertical="center"/>
    </xf>
    <xf numFmtId="0" fontId="2" fillId="0" borderId="9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 shrinkToFit="1"/>
    </xf>
    <xf numFmtId="1" fontId="2" fillId="0" borderId="1" xfId="6" applyNumberFormat="1" applyFont="1" applyFill="1" applyBorder="1" applyAlignment="1">
      <alignment horizontal="center" vertical="center" wrapText="1"/>
    </xf>
    <xf numFmtId="0" fontId="2" fillId="2" borderId="1" xfId="6" applyNumberFormat="1" applyFont="1" applyFill="1" applyBorder="1" applyAlignment="1">
      <alignment horizontal="center" vertical="center" wrapText="1"/>
    </xf>
    <xf numFmtId="0" fontId="2" fillId="2" borderId="2" xfId="6" applyNumberFormat="1" applyFont="1" applyFill="1" applyBorder="1" applyAlignment="1">
      <alignment horizontal="center" vertical="center" wrapText="1"/>
    </xf>
    <xf numFmtId="1" fontId="2" fillId="0" borderId="6" xfId="6" applyNumberFormat="1" applyFont="1" applyFill="1" applyBorder="1" applyAlignment="1">
      <alignment horizontal="center" vertical="center"/>
    </xf>
    <xf numFmtId="1" fontId="2" fillId="0" borderId="3" xfId="6" applyNumberFormat="1" applyFont="1" applyFill="1" applyBorder="1" applyAlignment="1">
      <alignment horizontal="center" vertical="center"/>
    </xf>
    <xf numFmtId="1" fontId="11" fillId="0" borderId="0" xfId="0" applyNumberFormat="1" applyFont="1" applyFill="1" applyBorder="1"/>
    <xf numFmtId="165" fontId="2" fillId="0" borderId="3" xfId="6" applyNumberFormat="1" applyFont="1" applyFill="1" applyBorder="1" applyAlignment="1">
      <alignment horizontal="center" vertical="center"/>
    </xf>
    <xf numFmtId="165" fontId="11" fillId="0" borderId="0" xfId="0" applyNumberFormat="1" applyFont="1" applyFill="1" applyBorder="1"/>
    <xf numFmtId="0" fontId="2" fillId="4" borderId="10" xfId="6" applyFont="1" applyFill="1" applyBorder="1" applyAlignment="1">
      <alignment horizontal="center" vertical="center"/>
    </xf>
    <xf numFmtId="0" fontId="2" fillId="4" borderId="3" xfId="6" applyFont="1" applyFill="1" applyBorder="1" applyAlignment="1">
      <alignment horizontal="center" vertical="center"/>
    </xf>
    <xf numFmtId="11" fontId="2" fillId="4" borderId="3" xfId="6" applyNumberFormat="1" applyFont="1" applyFill="1" applyBorder="1" applyAlignment="1">
      <alignment horizontal="center" vertical="center"/>
    </xf>
    <xf numFmtId="0" fontId="2" fillId="4" borderId="3" xfId="6" applyFont="1" applyFill="1" applyBorder="1" applyAlignment="1">
      <alignment horizontal="center" vertical="center" wrapText="1"/>
    </xf>
    <xf numFmtId="0" fontId="2" fillId="2" borderId="3" xfId="6" applyFont="1" applyFill="1" applyBorder="1" applyAlignment="1">
      <alignment horizontal="center" vertical="center"/>
    </xf>
    <xf numFmtId="1" fontId="2" fillId="4" borderId="3" xfId="6" applyNumberFormat="1" applyFont="1" applyFill="1" applyBorder="1" applyAlignment="1">
      <alignment horizontal="center" vertical="center"/>
    </xf>
    <xf numFmtId="2" fontId="2" fillId="4" borderId="3" xfId="6" applyNumberFormat="1" applyFont="1" applyFill="1" applyBorder="1" applyAlignment="1">
      <alignment horizontal="center" vertical="center"/>
    </xf>
    <xf numFmtId="165" fontId="2" fillId="4" borderId="23" xfId="6" applyNumberFormat="1" applyFont="1" applyFill="1" applyBorder="1" applyAlignment="1">
      <alignment horizontal="center" vertical="center"/>
    </xf>
    <xf numFmtId="0" fontId="36" fillId="2" borderId="13" xfId="6" applyFont="1" applyFill="1" applyBorder="1" applyAlignment="1">
      <alignment horizontal="center" vertical="center"/>
    </xf>
    <xf numFmtId="0" fontId="2" fillId="4" borderId="18" xfId="6" applyFont="1" applyFill="1" applyBorder="1" applyAlignment="1">
      <alignment horizontal="left" vertical="center" wrapText="1"/>
    </xf>
    <xf numFmtId="165" fontId="2" fillId="4" borderId="3" xfId="6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18" xfId="0" applyFont="1" applyFill="1" applyBorder="1"/>
    <xf numFmtId="2" fontId="2" fillId="0" borderId="18" xfId="6" applyNumberFormat="1" applyFont="1" applyFill="1" applyBorder="1" applyAlignment="1">
      <alignment horizontal="left" vertical="center"/>
    </xf>
    <xf numFmtId="1" fontId="2" fillId="2" borderId="1" xfId="6" applyNumberFormat="1" applyFont="1" applyFill="1" applyBorder="1" applyAlignment="1">
      <alignment horizontal="center" vertical="center"/>
    </xf>
    <xf numFmtId="1" fontId="2" fillId="2" borderId="2" xfId="6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1" fillId="0" borderId="17" xfId="0" applyFont="1" applyFill="1" applyBorder="1"/>
    <xf numFmtId="2" fontId="1" fillId="0" borderId="1" xfId="6" applyNumberFormat="1" applyFont="1" applyFill="1" applyBorder="1" applyAlignment="1">
      <alignment horizontal="center" vertical="center"/>
    </xf>
    <xf numFmtId="1" fontId="1" fillId="0" borderId="1" xfId="6" applyNumberFormat="1" applyFont="1" applyFill="1" applyBorder="1" applyAlignment="1">
      <alignment horizontal="center" vertical="center" wrapText="1"/>
    </xf>
    <xf numFmtId="2" fontId="1" fillId="0" borderId="18" xfId="6" applyNumberFormat="1" applyFont="1" applyFill="1" applyBorder="1" applyAlignment="1">
      <alignment horizontal="center" vertical="center"/>
    </xf>
    <xf numFmtId="1" fontId="1" fillId="0" borderId="1" xfId="6" applyNumberFormat="1" applyFont="1" applyFill="1" applyBorder="1" applyAlignment="1">
      <alignment horizontal="center" vertical="center"/>
    </xf>
    <xf numFmtId="2" fontId="1" fillId="0" borderId="8" xfId="6" applyNumberFormat="1" applyFont="1" applyFill="1" applyBorder="1" applyAlignment="1">
      <alignment horizontal="center" vertical="center"/>
    </xf>
    <xf numFmtId="0" fontId="1" fillId="0" borderId="1" xfId="6" applyFont="1" applyFill="1" applyBorder="1" applyAlignment="1">
      <alignment horizontal="center" vertical="center" wrapText="1"/>
    </xf>
    <xf numFmtId="167" fontId="2" fillId="0" borderId="1" xfId="6" applyNumberFormat="1" applyFont="1" applyFill="1" applyBorder="1" applyAlignment="1">
      <alignment horizontal="center" vertical="center"/>
    </xf>
    <xf numFmtId="2" fontId="2" fillId="0" borderId="18" xfId="6" applyNumberFormat="1" applyFont="1" applyFill="1" applyBorder="1" applyAlignment="1">
      <alignment horizontal="center" vertical="center"/>
    </xf>
    <xf numFmtId="0" fontId="11" fillId="0" borderId="1" xfId="0" applyFont="1" applyFill="1" applyBorder="1"/>
    <xf numFmtId="0" fontId="11" fillId="0" borderId="18" xfId="0" applyFont="1" applyFill="1" applyBorder="1"/>
    <xf numFmtId="0" fontId="2" fillId="0" borderId="1" xfId="6" applyFont="1" applyFill="1" applyBorder="1" applyAlignment="1">
      <alignment vertical="center"/>
    </xf>
    <xf numFmtId="0" fontId="11" fillId="0" borderId="24" xfId="0" applyFont="1" applyFill="1" applyBorder="1"/>
    <xf numFmtId="0" fontId="1" fillId="0" borderId="4" xfId="6" applyFont="1" applyFill="1" applyBorder="1" applyAlignment="1">
      <alignment horizontal="center" vertical="center" wrapText="1"/>
    </xf>
    <xf numFmtId="1" fontId="2" fillId="2" borderId="1" xfId="6" applyNumberFormat="1" applyFont="1" applyFill="1" applyBorder="1" applyAlignment="1">
      <alignment horizontal="center" vertical="center" wrapText="1"/>
    </xf>
    <xf numFmtId="1" fontId="2" fillId="2" borderId="2" xfId="6" applyNumberFormat="1" applyFont="1" applyFill="1" applyBorder="1" applyAlignment="1">
      <alignment horizontal="center" vertical="center" wrapText="1"/>
    </xf>
    <xf numFmtId="0" fontId="1" fillId="0" borderId="18" xfId="6" applyFont="1" applyFill="1" applyBorder="1" applyAlignment="1">
      <alignment horizontal="left" vertical="center"/>
    </xf>
    <xf numFmtId="0" fontId="1" fillId="0" borderId="6" xfId="6" applyFont="1" applyFill="1" applyBorder="1" applyAlignment="1">
      <alignment vertical="center"/>
    </xf>
    <xf numFmtId="0" fontId="1" fillId="0" borderId="1" xfId="6" applyFont="1" applyFill="1" applyBorder="1" applyAlignment="1">
      <alignment vertical="center"/>
    </xf>
    <xf numFmtId="0" fontId="1" fillId="0" borderId="9" xfId="6" applyFont="1" applyFill="1" applyBorder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left" vertical="center" wrapText="1"/>
    </xf>
    <xf numFmtId="165" fontId="1" fillId="0" borderId="1" xfId="6" applyNumberFormat="1" applyFont="1" applyFill="1" applyBorder="1" applyAlignment="1">
      <alignment horizontal="center" vertical="center"/>
    </xf>
    <xf numFmtId="0" fontId="1" fillId="0" borderId="9" xfId="6" applyFont="1" applyFill="1" applyBorder="1" applyAlignment="1">
      <alignment vertical="center" wrapText="1"/>
    </xf>
    <xf numFmtId="0" fontId="2" fillId="0" borderId="1" xfId="6" applyFont="1" applyFill="1" applyBorder="1" applyAlignment="1">
      <alignment vertical="center" wrapText="1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NumberFormat="1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wrapText="1"/>
    </xf>
    <xf numFmtId="9" fontId="2" fillId="0" borderId="1" xfId="6" applyNumberFormat="1" applyFont="1" applyFill="1" applyBorder="1" applyAlignment="1">
      <alignment horizontal="center" vertical="center"/>
    </xf>
    <xf numFmtId="2" fontId="1" fillId="0" borderId="1" xfId="6" applyNumberFormat="1" applyFont="1" applyFill="1" applyBorder="1" applyAlignment="1">
      <alignment horizontal="center" vertical="center" textRotation="90" wrapText="1"/>
    </xf>
    <xf numFmtId="166" fontId="2" fillId="0" borderId="1" xfId="6" applyNumberFormat="1" applyFont="1" applyFill="1" applyBorder="1" applyAlignment="1">
      <alignment horizontal="center" vertical="center"/>
    </xf>
    <xf numFmtId="0" fontId="11" fillId="0" borderId="25" xfId="0" applyFont="1" applyFill="1" applyBorder="1"/>
    <xf numFmtId="0" fontId="1" fillId="0" borderId="21" xfId="6" applyFont="1" applyFill="1" applyBorder="1" applyAlignment="1">
      <alignment horizontal="center" vertical="center"/>
    </xf>
    <xf numFmtId="0" fontId="2" fillId="0" borderId="21" xfId="6" applyFont="1" applyFill="1" applyBorder="1" applyAlignment="1">
      <alignment horizontal="center" vertical="center"/>
    </xf>
    <xf numFmtId="2" fontId="2" fillId="0" borderId="21" xfId="6" applyNumberFormat="1" applyFont="1" applyFill="1" applyBorder="1" applyAlignment="1">
      <alignment horizontal="center" vertical="center"/>
    </xf>
    <xf numFmtId="0" fontId="2" fillId="2" borderId="21" xfId="6" applyFont="1" applyFill="1" applyBorder="1" applyAlignment="1">
      <alignment horizontal="center" vertical="center"/>
    </xf>
    <xf numFmtId="165" fontId="2" fillId="0" borderId="21" xfId="6" applyNumberFormat="1" applyFont="1" applyFill="1" applyBorder="1" applyAlignment="1">
      <alignment horizontal="center" vertical="center"/>
    </xf>
    <xf numFmtId="165" fontId="1" fillId="0" borderId="21" xfId="6" applyNumberFormat="1" applyFont="1" applyFill="1" applyBorder="1" applyAlignment="1">
      <alignment horizontal="center" vertical="center"/>
    </xf>
    <xf numFmtId="166" fontId="1" fillId="0" borderId="21" xfId="6" applyNumberFormat="1" applyFont="1" applyFill="1" applyBorder="1" applyAlignment="1">
      <alignment horizontal="center" vertical="center"/>
    </xf>
    <xf numFmtId="2" fontId="1" fillId="0" borderId="21" xfId="6" applyNumberFormat="1" applyFont="1" applyFill="1" applyBorder="1" applyAlignment="1">
      <alignment horizontal="center" vertical="center"/>
    </xf>
    <xf numFmtId="1" fontId="1" fillId="0" borderId="21" xfId="6" applyNumberFormat="1" applyFont="1" applyFill="1" applyBorder="1" applyAlignment="1">
      <alignment horizontal="center" vertical="center"/>
    </xf>
    <xf numFmtId="2" fontId="1" fillId="0" borderId="22" xfId="6" applyNumberFormat="1" applyFont="1" applyFill="1" applyBorder="1" applyAlignment="1">
      <alignment horizontal="center" vertical="center"/>
    </xf>
    <xf numFmtId="0" fontId="2" fillId="2" borderId="31" xfId="6" applyFont="1" applyFill="1" applyBorder="1" applyAlignment="1">
      <alignment horizontal="center" vertical="center"/>
    </xf>
    <xf numFmtId="4" fontId="1" fillId="0" borderId="21" xfId="6" applyNumberFormat="1" applyFont="1" applyFill="1" applyBorder="1" applyAlignment="1">
      <alignment horizontal="center" vertical="center"/>
    </xf>
    <xf numFmtId="0" fontId="1" fillId="0" borderId="22" xfId="6" applyFont="1" applyFill="1" applyBorder="1" applyAlignment="1">
      <alignment horizontal="left" vertical="center"/>
    </xf>
    <xf numFmtId="0" fontId="2" fillId="2" borderId="0" xfId="6" applyFont="1" applyFill="1" applyBorder="1" applyAlignment="1">
      <alignment horizontal="center" vertical="center" wrapText="1"/>
    </xf>
    <xf numFmtId="166" fontId="2" fillId="0" borderId="0" xfId="6" applyNumberFormat="1" applyFont="1" applyFill="1" applyBorder="1" applyAlignment="1">
      <alignment horizontal="center" vertical="center" wrapText="1"/>
    </xf>
    <xf numFmtId="2" fontId="1" fillId="0" borderId="0" xfId="6" applyNumberFormat="1" applyFont="1" applyFill="1" applyBorder="1" applyAlignment="1">
      <alignment horizontal="left" vertical="center"/>
    </xf>
    <xf numFmtId="2" fontId="2" fillId="0" borderId="0" xfId="6" applyNumberFormat="1" applyFont="1" applyFill="1" applyBorder="1" applyAlignment="1">
      <alignment horizontal="center" vertical="center"/>
    </xf>
    <xf numFmtId="0" fontId="2" fillId="2" borderId="0" xfId="6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horizontal="center" vertical="center"/>
    </xf>
    <xf numFmtId="165" fontId="2" fillId="0" borderId="0" xfId="6" applyNumberFormat="1" applyFont="1" applyFill="1" applyBorder="1" applyAlignment="1">
      <alignment vertical="center"/>
    </xf>
    <xf numFmtId="166" fontId="2" fillId="0" borderId="0" xfId="6" applyNumberFormat="1" applyFont="1" applyFill="1" applyBorder="1" applyAlignment="1">
      <alignment vertical="center"/>
    </xf>
    <xf numFmtId="0" fontId="2" fillId="0" borderId="0" xfId="6" applyFont="1" applyFill="1" applyBorder="1" applyAlignment="1">
      <alignment horizontal="left" vertical="center" wrapText="1"/>
    </xf>
    <xf numFmtId="0" fontId="1" fillId="0" borderId="0" xfId="6" applyFont="1" applyFill="1" applyBorder="1" applyAlignment="1">
      <alignment vertical="center"/>
    </xf>
    <xf numFmtId="0" fontId="11" fillId="2" borderId="0" xfId="0" applyFont="1" applyFill="1"/>
    <xf numFmtId="166" fontId="11" fillId="0" borderId="0" xfId="0" applyNumberFormat="1" applyFont="1" applyFill="1"/>
    <xf numFmtId="49" fontId="2" fillId="0" borderId="1" xfId="6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right"/>
    </xf>
    <xf numFmtId="0" fontId="22" fillId="0" borderId="0" xfId="6" applyFont="1" applyFill="1" applyAlignment="1">
      <alignment horizontal="right" vertical="center" wrapText="1"/>
    </xf>
    <xf numFmtId="0" fontId="22" fillId="0" borderId="0" xfId="6" applyFont="1" applyFill="1" applyBorder="1" applyAlignment="1">
      <alignment vertical="center" wrapText="1"/>
    </xf>
    <xf numFmtId="0" fontId="15" fillId="0" borderId="0" xfId="6" applyFont="1" applyFill="1" applyBorder="1" applyAlignment="1">
      <alignment vertical="center"/>
    </xf>
    <xf numFmtId="0" fontId="2" fillId="0" borderId="1" xfId="6" applyFont="1" applyFill="1" applyBorder="1" applyAlignment="1">
      <alignment horizontal="center" vertical="center" wrapText="1"/>
    </xf>
    <xf numFmtId="0" fontId="2" fillId="0" borderId="2" xfId="6" applyFont="1" applyFill="1" applyBorder="1" applyAlignment="1">
      <alignment horizontal="center" vertical="center" wrapText="1"/>
    </xf>
    <xf numFmtId="0" fontId="29" fillId="4" borderId="18" xfId="6" applyFont="1" applyFill="1" applyBorder="1" applyAlignment="1">
      <alignment horizontal="left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9" fillId="0" borderId="1" xfId="6" applyFont="1" applyFill="1" applyBorder="1" applyAlignment="1">
      <alignment horizontal="center" vertical="center"/>
    </xf>
    <xf numFmtId="0" fontId="9" fillId="0" borderId="3" xfId="6" applyFont="1" applyFill="1" applyBorder="1" applyAlignment="1">
      <alignment horizontal="center"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21" fillId="4" borderId="0" xfId="6" applyFont="1" applyFill="1" applyAlignment="1">
      <alignment vertical="center"/>
    </xf>
    <xf numFmtId="0" fontId="22" fillId="4" borderId="0" xfId="6" applyFont="1" applyFill="1" applyAlignment="1">
      <alignment horizontal="center" vertical="center"/>
    </xf>
    <xf numFmtId="0" fontId="21" fillId="4" borderId="0" xfId="6" applyFont="1" applyFill="1" applyAlignment="1">
      <alignment horizontal="center" vertical="center"/>
    </xf>
    <xf numFmtId="0" fontId="21" fillId="4" borderId="1" xfId="6" applyFont="1" applyFill="1" applyBorder="1" applyAlignment="1">
      <alignment horizontal="center" vertical="center" wrapText="1"/>
    </xf>
    <xf numFmtId="2" fontId="21" fillId="4" borderId="1" xfId="6" applyNumberFormat="1" applyFont="1" applyFill="1" applyBorder="1" applyAlignment="1">
      <alignment horizontal="center" vertical="center"/>
    </xf>
    <xf numFmtId="2" fontId="21" fillId="4" borderId="9" xfId="6" applyNumberFormat="1" applyFont="1" applyFill="1" applyBorder="1" applyAlignment="1">
      <alignment horizontal="center" vertical="center"/>
    </xf>
    <xf numFmtId="2" fontId="21" fillId="4" borderId="3" xfId="6" applyNumberFormat="1" applyFont="1" applyFill="1" applyBorder="1" applyAlignment="1">
      <alignment horizontal="center" vertical="center"/>
    </xf>
    <xf numFmtId="2" fontId="22" fillId="4" borderId="1" xfId="6" applyNumberFormat="1" applyFont="1" applyFill="1" applyBorder="1" applyAlignment="1">
      <alignment horizontal="center" vertical="center"/>
    </xf>
    <xf numFmtId="0" fontId="33" fillId="4" borderId="1" xfId="0" applyFont="1" applyFill="1" applyBorder="1"/>
    <xf numFmtId="2" fontId="21" fillId="4" borderId="1" xfId="6" applyNumberFormat="1" applyFont="1" applyFill="1" applyBorder="1" applyAlignment="1">
      <alignment horizontal="center" vertical="center" wrapText="1"/>
    </xf>
    <xf numFmtId="2" fontId="22" fillId="4" borderId="21" xfId="6" applyNumberFormat="1" applyFont="1" applyFill="1" applyBorder="1" applyAlignment="1">
      <alignment horizontal="center" vertical="center"/>
    </xf>
    <xf numFmtId="0" fontId="21" fillId="4" borderId="0" xfId="6" applyFont="1" applyFill="1" applyBorder="1" applyAlignment="1">
      <alignment horizontal="center" vertical="center" wrapText="1"/>
    </xf>
    <xf numFmtId="0" fontId="21" fillId="4" borderId="0" xfId="6" applyFont="1" applyFill="1" applyBorder="1" applyAlignment="1">
      <alignment vertical="center"/>
    </xf>
    <xf numFmtId="2" fontId="4" fillId="4" borderId="0" xfId="0" applyNumberFormat="1" applyFont="1" applyFill="1"/>
    <xf numFmtId="0" fontId="4" fillId="4" borderId="0" xfId="0" applyFont="1" applyFill="1"/>
    <xf numFmtId="0" fontId="2" fillId="0" borderId="1" xfId="6" applyNumberFormat="1" applyFont="1" applyFill="1" applyBorder="1" applyAlignment="1">
      <alignment horizontal="center" vertical="center"/>
    </xf>
    <xf numFmtId="0" fontId="2" fillId="0" borderId="2" xfId="6" applyNumberFormat="1" applyFont="1" applyFill="1" applyBorder="1" applyAlignment="1">
      <alignment horizontal="center" vertical="center"/>
    </xf>
    <xf numFmtId="0" fontId="29" fillId="0" borderId="18" xfId="6" applyFont="1" applyFill="1" applyBorder="1" applyAlignment="1">
      <alignment horizontal="left" vertical="center"/>
    </xf>
    <xf numFmtId="0" fontId="1" fillId="0" borderId="2" xfId="6" applyFont="1" applyFill="1" applyBorder="1" applyAlignment="1">
      <alignment horizontal="center" vertical="center" textRotation="90" wrapText="1"/>
    </xf>
    <xf numFmtId="0" fontId="2" fillId="0" borderId="2" xfId="6" applyNumberFormat="1" applyFont="1" applyFill="1" applyBorder="1" applyAlignment="1">
      <alignment horizontal="center" vertical="center" wrapText="1"/>
    </xf>
    <xf numFmtId="0" fontId="2" fillId="0" borderId="13" xfId="6" applyFont="1" applyFill="1" applyBorder="1" applyAlignment="1">
      <alignment horizontal="center" vertical="center"/>
    </xf>
    <xf numFmtId="1" fontId="2" fillId="0" borderId="2" xfId="6" applyNumberFormat="1" applyFont="1" applyFill="1" applyBorder="1" applyAlignment="1">
      <alignment horizontal="center" vertical="center"/>
    </xf>
    <xf numFmtId="1" fontId="2" fillId="0" borderId="2" xfId="6" applyNumberFormat="1" applyFont="1" applyFill="1" applyBorder="1" applyAlignment="1">
      <alignment horizontal="center" vertical="center" wrapText="1"/>
    </xf>
    <xf numFmtId="0" fontId="2" fillId="0" borderId="31" xfId="6" applyFont="1" applyFill="1" applyBorder="1" applyAlignment="1">
      <alignment horizontal="center" vertical="center"/>
    </xf>
    <xf numFmtId="0" fontId="1" fillId="0" borderId="2" xfId="6" applyFont="1" applyFill="1" applyBorder="1" applyAlignment="1">
      <alignment horizontal="center" vertical="center"/>
    </xf>
    <xf numFmtId="0" fontId="1" fillId="0" borderId="6" xfId="6" applyFont="1" applyFill="1" applyBorder="1" applyAlignment="1">
      <alignment horizontal="center" vertical="center"/>
    </xf>
    <xf numFmtId="2" fontId="2" fillId="0" borderId="3" xfId="6" applyNumberFormat="1" applyFont="1" applyFill="1" applyBorder="1" applyAlignment="1">
      <alignment horizontal="center" vertical="center"/>
    </xf>
    <xf numFmtId="165" fontId="2" fillId="0" borderId="23" xfId="6" applyNumberFormat="1" applyFont="1" applyFill="1" applyBorder="1" applyAlignment="1">
      <alignment horizontal="center" vertical="center"/>
    </xf>
    <xf numFmtId="0" fontId="1" fillId="0" borderId="2" xfId="6" applyNumberFormat="1" applyFont="1" applyFill="1" applyBorder="1" applyAlignment="1">
      <alignment horizontal="center" vertical="center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2" fillId="0" borderId="0" xfId="6" applyFont="1" applyFill="1" applyBorder="1" applyAlignment="1">
      <alignment horizontal="lef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2" fillId="0" borderId="10" xfId="6" applyFont="1" applyFill="1" applyBorder="1" applyAlignment="1">
      <alignment horizontal="center" vertical="center"/>
    </xf>
    <xf numFmtId="11" fontId="2" fillId="0" borderId="3" xfId="6" applyNumberFormat="1" applyFont="1" applyFill="1" applyBorder="1" applyAlignment="1">
      <alignment horizontal="center" vertical="center"/>
    </xf>
    <xf numFmtId="0" fontId="2" fillId="0" borderId="3" xfId="6" applyFont="1" applyFill="1" applyBorder="1" applyAlignment="1">
      <alignment horizontal="center" vertical="center" wrapText="1"/>
    </xf>
    <xf numFmtId="11" fontId="9" fillId="0" borderId="1" xfId="6" applyNumberFormat="1" applyFont="1" applyFill="1" applyBorder="1" applyAlignment="1">
      <alignment horizontal="center" vertical="center"/>
    </xf>
    <xf numFmtId="0" fontId="9" fillId="0" borderId="18" xfId="6" applyFont="1" applyFill="1" applyBorder="1" applyAlignment="1">
      <alignment horizontal="left" vertical="center"/>
    </xf>
    <xf numFmtId="0" fontId="40" fillId="0" borderId="0" xfId="0" applyFont="1" applyFill="1"/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" fillId="0" borderId="0" xfId="6" applyFont="1" applyFill="1" applyAlignment="1">
      <alignment vertical="center"/>
    </xf>
    <xf numFmtId="0" fontId="2" fillId="0" borderId="1" xfId="6" applyFont="1" applyFill="1" applyBorder="1" applyAlignment="1">
      <alignment horizontal="center" vertical="center" wrapText="1"/>
    </xf>
    <xf numFmtId="0" fontId="1" fillId="0" borderId="18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vertical="center"/>
    </xf>
    <xf numFmtId="1" fontId="2" fillId="4" borderId="1" xfId="6" applyNumberFormat="1" applyFont="1" applyFill="1" applyBorder="1" applyAlignment="1">
      <alignment horizontal="center" vertical="center" wrapText="1"/>
    </xf>
    <xf numFmtId="0" fontId="1" fillId="4" borderId="2" xfId="6" applyFont="1" applyFill="1" applyBorder="1" applyAlignment="1">
      <alignment horizontal="center" vertical="center" wrapText="1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2" fillId="0" borderId="0" xfId="0" applyFont="1" applyFill="1"/>
    <xf numFmtId="0" fontId="13" fillId="0" borderId="0" xfId="0" applyFont="1" applyFill="1"/>
    <xf numFmtId="0" fontId="12" fillId="0" borderId="0" xfId="0" applyFont="1" applyFill="1"/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4" borderId="0" xfId="6" applyFont="1" applyFill="1" applyAlignment="1">
      <alignment vertical="center"/>
    </xf>
    <xf numFmtId="0" fontId="1" fillId="4" borderId="0" xfId="6" applyFont="1" applyFill="1" applyAlignment="1">
      <alignment horizontal="center" vertical="center"/>
    </xf>
    <xf numFmtId="2" fontId="1" fillId="4" borderId="1" xfId="6" applyNumberFormat="1" applyFont="1" applyFill="1" applyBorder="1" applyAlignment="1">
      <alignment horizontal="center" vertical="center"/>
    </xf>
    <xf numFmtId="0" fontId="11" fillId="4" borderId="1" xfId="0" applyFont="1" applyFill="1" applyBorder="1"/>
    <xf numFmtId="0" fontId="1" fillId="4" borderId="1" xfId="6" applyFont="1" applyFill="1" applyBorder="1" applyAlignment="1">
      <alignment horizontal="center" vertical="center" textRotation="90" wrapText="1"/>
    </xf>
    <xf numFmtId="2" fontId="1" fillId="4" borderId="21" xfId="6" applyNumberFormat="1" applyFont="1" applyFill="1" applyBorder="1" applyAlignment="1">
      <alignment horizontal="center" vertical="center"/>
    </xf>
    <xf numFmtId="0" fontId="1" fillId="4" borderId="0" xfId="6" applyFont="1" applyFill="1" applyBorder="1" applyAlignment="1">
      <alignment horizontal="center" vertical="center" textRotation="90" wrapText="1"/>
    </xf>
    <xf numFmtId="0" fontId="2" fillId="4" borderId="0" xfId="6" applyFont="1" applyFill="1" applyBorder="1" applyAlignment="1">
      <alignment vertical="center"/>
    </xf>
    <xf numFmtId="0" fontId="1" fillId="0" borderId="0" xfId="6" applyFont="1" applyFill="1" applyAlignment="1">
      <alignment horizontal="center"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Alignment="1">
      <alignment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1" fontId="9" fillId="0" borderId="1" xfId="6" applyNumberFormat="1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2" fontId="2" fillId="0" borderId="18" xfId="6" applyNumberFormat="1" applyFont="1" applyFill="1" applyBorder="1" applyAlignment="1">
      <alignment horizontal="left" vertical="center" wrapText="1"/>
    </xf>
    <xf numFmtId="0" fontId="2" fillId="4" borderId="0" xfId="0" applyFont="1" applyFill="1"/>
    <xf numFmtId="0" fontId="1" fillId="4" borderId="1" xfId="6" applyFont="1" applyFill="1" applyBorder="1" applyAlignment="1">
      <alignment horizontal="center" vertical="center" wrapText="1"/>
    </xf>
    <xf numFmtId="2" fontId="2" fillId="4" borderId="1" xfId="6" applyNumberFormat="1" applyFont="1" applyFill="1" applyBorder="1" applyAlignment="1">
      <alignment horizontal="center" vertical="center" wrapText="1"/>
    </xf>
    <xf numFmtId="0" fontId="2" fillId="4" borderId="0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Alignment="1">
      <alignment vertical="center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22" fillId="0" borderId="0" xfId="6" applyFont="1" applyFill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left" vertical="center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wrapText="1"/>
    </xf>
    <xf numFmtId="0" fontId="1" fillId="0" borderId="0" xfId="6" applyFont="1" applyFill="1" applyAlignment="1">
      <alignment horizontal="center" vertical="center"/>
    </xf>
    <xf numFmtId="0" fontId="2" fillId="0" borderId="0" xfId="6" applyFont="1" applyFill="1" applyAlignment="1">
      <alignment horizontal="center"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1" fillId="0" borderId="18" xfId="6" applyFont="1" applyFill="1" applyBorder="1" applyAlignment="1">
      <alignment horizontal="center" vertical="center" wrapText="1"/>
    </xf>
    <xf numFmtId="0" fontId="9" fillId="0" borderId="9" xfId="6" applyFont="1" applyFill="1" applyBorder="1" applyAlignment="1">
      <alignment horizontal="center" vertical="center"/>
    </xf>
    <xf numFmtId="0" fontId="2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Alignment="1">
      <alignment vertical="center"/>
    </xf>
    <xf numFmtId="0" fontId="1" fillId="0" borderId="1" xfId="6" applyFont="1" applyFill="1" applyBorder="1" applyAlignment="1">
      <alignment horizontal="center"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wrapText="1"/>
    </xf>
    <xf numFmtId="0" fontId="13" fillId="0" borderId="1" xfId="6" applyFont="1" applyFill="1" applyBorder="1" applyAlignment="1">
      <alignment horizontal="center" vertical="center" textRotation="90" wrapText="1"/>
    </xf>
    <xf numFmtId="0" fontId="1" fillId="0" borderId="0" xfId="6" applyFont="1" applyFill="1" applyAlignment="1">
      <alignment horizontal="center" vertical="center"/>
    </xf>
    <xf numFmtId="0" fontId="11" fillId="0" borderId="0" xfId="6" applyFont="1" applyFill="1" applyAlignment="1">
      <alignment vertical="center"/>
    </xf>
    <xf numFmtId="0" fontId="2" fillId="0" borderId="0" xfId="6" applyFont="1" applyFill="1" applyAlignment="1">
      <alignment horizontal="center" vertical="center"/>
    </xf>
    <xf numFmtId="0" fontId="11" fillId="0" borderId="0" xfId="6" applyFont="1" applyAlignment="1">
      <alignment vertical="center"/>
    </xf>
    <xf numFmtId="0" fontId="1" fillId="0" borderId="0" xfId="6" applyFont="1" applyFill="1" applyAlignment="1">
      <alignment horizontal="left" vertical="center"/>
    </xf>
    <xf numFmtId="0" fontId="2" fillId="0" borderId="0" xfId="6" applyFont="1" applyFill="1" applyBorder="1" applyAlignment="1">
      <alignment horizontal="left" vertical="center"/>
    </xf>
    <xf numFmtId="0" fontId="13" fillId="0" borderId="2" xfId="6" applyFont="1" applyBorder="1" applyAlignment="1">
      <alignment horizontal="center" vertical="center" wrapText="1"/>
    </xf>
    <xf numFmtId="0" fontId="13" fillId="0" borderId="6" xfId="6" applyFont="1" applyBorder="1" applyAlignment="1">
      <alignment horizontal="center" vertical="center" wrapText="1"/>
    </xf>
    <xf numFmtId="0" fontId="13" fillId="0" borderId="9" xfId="6" applyFont="1" applyBorder="1" applyAlignment="1">
      <alignment horizontal="center" vertical="center" wrapText="1"/>
    </xf>
    <xf numFmtId="0" fontId="16" fillId="0" borderId="1" xfId="6" applyFont="1" applyFill="1" applyBorder="1" applyAlignment="1">
      <alignment horizontal="center" vertical="center" textRotation="90" wrapText="1"/>
    </xf>
    <xf numFmtId="0" fontId="13" fillId="2" borderId="1" xfId="6" applyFont="1" applyFill="1" applyBorder="1" applyAlignment="1">
      <alignment horizontal="center" vertical="center" textRotation="90" wrapText="1"/>
    </xf>
    <xf numFmtId="0" fontId="13" fillId="0" borderId="1" xfId="6" applyFont="1" applyFill="1" applyBorder="1" applyAlignment="1">
      <alignment horizontal="center" vertical="center"/>
    </xf>
    <xf numFmtId="0" fontId="14" fillId="0" borderId="1" xfId="6" applyFont="1" applyFill="1" applyBorder="1" applyAlignment="1">
      <alignment horizontal="center" vertical="center" wrapText="1"/>
    </xf>
    <xf numFmtId="0" fontId="18" fillId="0" borderId="6" xfId="6" applyFont="1" applyFill="1" applyBorder="1" applyAlignment="1">
      <alignment horizontal="right" vertical="center"/>
    </xf>
    <xf numFmtId="0" fontId="18" fillId="0" borderId="9" xfId="6" applyFont="1" applyFill="1" applyBorder="1" applyAlignment="1">
      <alignment horizontal="right" vertical="center"/>
    </xf>
    <xf numFmtId="0" fontId="13" fillId="0" borderId="6" xfId="6" applyFont="1" applyFill="1" applyBorder="1" applyAlignment="1">
      <alignment horizontal="center" vertical="center" wrapText="1"/>
    </xf>
    <xf numFmtId="0" fontId="14" fillId="0" borderId="6" xfId="6" applyFont="1" applyBorder="1" applyAlignment="1">
      <alignment horizontal="center" vertical="center" wrapText="1"/>
    </xf>
    <xf numFmtId="0" fontId="14" fillId="0" borderId="9" xfId="6" applyFont="1" applyBorder="1" applyAlignment="1">
      <alignment horizontal="center" vertical="center" wrapText="1"/>
    </xf>
    <xf numFmtId="0" fontId="14" fillId="0" borderId="1" xfId="6" applyFont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textRotation="90" wrapText="1"/>
    </xf>
    <xf numFmtId="0" fontId="7" fillId="0" borderId="0" xfId="6" applyFont="1" applyFill="1" applyAlignment="1">
      <alignment horizontal="left" vertical="center"/>
    </xf>
    <xf numFmtId="0" fontId="8" fillId="0" borderId="0" xfId="6" applyFont="1" applyFill="1" applyAlignment="1">
      <alignment vertical="center"/>
    </xf>
    <xf numFmtId="0" fontId="13" fillId="0" borderId="9" xfId="6" applyFont="1" applyFill="1" applyBorder="1" applyAlignment="1">
      <alignment horizontal="center" vertical="center" wrapText="1"/>
    </xf>
    <xf numFmtId="0" fontId="8" fillId="0" borderId="6" xfId="6" applyFont="1" applyFill="1" applyBorder="1" applyAlignment="1">
      <alignment horizontal="right" vertical="center"/>
    </xf>
    <xf numFmtId="0" fontId="8" fillId="0" borderId="9" xfId="6" applyFont="1" applyFill="1" applyBorder="1" applyAlignment="1">
      <alignment horizontal="right" vertical="center"/>
    </xf>
    <xf numFmtId="4" fontId="8" fillId="0" borderId="0" xfId="6" applyNumberFormat="1" applyFont="1" applyFill="1" applyAlignment="1">
      <alignment horizontal="right" vertical="center"/>
    </xf>
    <xf numFmtId="4" fontId="11" fillId="0" borderId="0" xfId="6" applyNumberFormat="1" applyFont="1" applyFill="1" applyAlignment="1">
      <alignment vertical="center"/>
    </xf>
    <xf numFmtId="4" fontId="11" fillId="0" borderId="0" xfId="6" applyNumberFormat="1" applyFont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3" fillId="0" borderId="1" xfId="0" applyFont="1" applyFill="1" applyBorder="1" applyAlignment="1">
      <alignment horizontal="center" vertical="center" textRotation="90" wrapText="1"/>
    </xf>
    <xf numFmtId="0" fontId="16" fillId="0" borderId="1" xfId="0" applyFont="1" applyFill="1" applyBorder="1" applyAlignment="1">
      <alignment horizontal="center" vertical="center" textRotation="90" wrapText="1"/>
    </xf>
    <xf numFmtId="0" fontId="13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textRotation="90" wrapText="1"/>
    </xf>
    <xf numFmtId="0" fontId="16" fillId="0" borderId="1" xfId="0" applyFont="1" applyBorder="1" applyAlignment="1">
      <alignment horizontal="center" vertical="center" textRotation="90" wrapText="1"/>
    </xf>
    <xf numFmtId="0" fontId="8" fillId="0" borderId="0" xfId="0" applyFont="1" applyFill="1" applyAlignment="1">
      <alignment vertical="center"/>
    </xf>
    <xf numFmtId="0" fontId="7" fillId="0" borderId="0" xfId="0" applyFont="1" applyFill="1" applyAlignment="1">
      <alignment horizontal="left" vertical="center"/>
    </xf>
    <xf numFmtId="4" fontId="8" fillId="0" borderId="0" xfId="0" applyNumberFormat="1" applyFont="1" applyFill="1" applyAlignment="1">
      <alignment horizontal="right" vertical="center"/>
    </xf>
    <xf numFmtId="4" fontId="11" fillId="0" borderId="0" xfId="0" applyNumberFormat="1" applyFont="1" applyFill="1" applyAlignment="1">
      <alignment vertical="center"/>
    </xf>
    <xf numFmtId="4" fontId="11" fillId="0" borderId="0" xfId="0" applyNumberFormat="1" applyFont="1" applyAlignment="1">
      <alignment vertical="center"/>
    </xf>
    <xf numFmtId="0" fontId="18" fillId="0" borderId="6" xfId="0" applyFont="1" applyFill="1" applyBorder="1" applyAlignment="1">
      <alignment horizontal="right" vertical="center"/>
    </xf>
    <xf numFmtId="0" fontId="18" fillId="0" borderId="9" xfId="0" applyFont="1" applyFill="1" applyBorder="1" applyAlignment="1">
      <alignment horizontal="right" vertical="center"/>
    </xf>
    <xf numFmtId="0" fontId="14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8" fillId="0" borderId="6" xfId="0" applyFont="1" applyFill="1" applyBorder="1" applyAlignment="1">
      <alignment horizontal="right" vertical="center"/>
    </xf>
    <xf numFmtId="0" fontId="8" fillId="0" borderId="9" xfId="0" applyFont="1" applyFill="1" applyBorder="1" applyAlignment="1">
      <alignment horizontal="right" vertical="center"/>
    </xf>
    <xf numFmtId="0" fontId="13" fillId="0" borderId="6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3" fillId="0" borderId="9" xfId="0" applyFont="1" applyFill="1" applyBorder="1" applyAlignment="1">
      <alignment horizontal="center" vertical="center" wrapText="1"/>
    </xf>
    <xf numFmtId="0" fontId="18" fillId="0" borderId="2" xfId="6" applyFont="1" applyFill="1" applyBorder="1" applyAlignment="1">
      <alignment horizontal="right" vertical="center"/>
    </xf>
    <xf numFmtId="0" fontId="13" fillId="0" borderId="2" xfId="6" applyFont="1" applyFill="1" applyBorder="1" applyAlignment="1">
      <alignment horizontal="center" vertical="center" wrapText="1"/>
    </xf>
    <xf numFmtId="0" fontId="7" fillId="0" borderId="0" xfId="6" applyFont="1" applyFill="1" applyBorder="1" applyAlignment="1">
      <alignment horizontal="left" vertical="center"/>
    </xf>
    <xf numFmtId="0" fontId="8" fillId="0" borderId="2" xfId="6" applyFont="1" applyFill="1" applyBorder="1" applyAlignment="1">
      <alignment horizontal="right" vertical="center"/>
    </xf>
    <xf numFmtId="4" fontId="8" fillId="0" borderId="0" xfId="6" applyNumberFormat="1" applyFont="1" applyFill="1" applyBorder="1" applyAlignment="1">
      <alignment horizontal="right" vertical="center"/>
    </xf>
    <xf numFmtId="4" fontId="11" fillId="0" borderId="0" xfId="6" applyNumberFormat="1" applyFont="1" applyFill="1" applyBorder="1" applyAlignment="1">
      <alignment vertical="center"/>
    </xf>
    <xf numFmtId="4" fontId="11" fillId="0" borderId="0" xfId="6" applyNumberFormat="1" applyFont="1" applyBorder="1" applyAlignment="1">
      <alignment vertical="center"/>
    </xf>
    <xf numFmtId="0" fontId="13" fillId="3" borderId="1" xfId="6" applyFont="1" applyFill="1" applyBorder="1" applyAlignment="1">
      <alignment horizontal="center" vertical="center" wrapText="1"/>
    </xf>
    <xf numFmtId="0" fontId="14" fillId="0" borderId="6" xfId="6" applyFont="1" applyFill="1" applyBorder="1" applyAlignment="1">
      <alignment horizontal="center" vertical="center" wrapText="1"/>
    </xf>
    <xf numFmtId="0" fontId="14" fillId="0" borderId="9" xfId="6" applyFont="1" applyFill="1" applyBorder="1" applyAlignment="1">
      <alignment horizontal="center" vertical="center" wrapText="1"/>
    </xf>
    <xf numFmtId="0" fontId="25" fillId="0" borderId="6" xfId="6" applyFont="1" applyFill="1" applyBorder="1" applyAlignment="1">
      <alignment horizontal="right" vertical="center"/>
    </xf>
    <xf numFmtId="0" fontId="25" fillId="0" borderId="9" xfId="6" applyFont="1" applyFill="1" applyBorder="1" applyAlignment="1">
      <alignment horizontal="right" vertical="center"/>
    </xf>
    <xf numFmtId="0" fontId="22" fillId="0" borderId="1" xfId="6" applyFont="1" applyFill="1" applyBorder="1" applyAlignment="1">
      <alignment horizontal="center" vertical="center" wrapText="1"/>
    </xf>
    <xf numFmtId="0" fontId="25" fillId="0" borderId="0" xfId="6" applyFont="1" applyFill="1" applyAlignment="1">
      <alignment vertical="center"/>
    </xf>
    <xf numFmtId="0" fontId="21" fillId="0" borderId="0" xfId="6" applyFont="1" applyAlignment="1">
      <alignment vertical="center"/>
    </xf>
    <xf numFmtId="0" fontId="22" fillId="0" borderId="9" xfId="6" applyFont="1" applyFill="1" applyBorder="1" applyAlignment="1">
      <alignment horizontal="center" vertical="center" wrapText="1"/>
    </xf>
    <xf numFmtId="0" fontId="21" fillId="0" borderId="1" xfId="6" applyFont="1" applyBorder="1" applyAlignment="1">
      <alignment horizontal="center" vertical="center" wrapText="1"/>
    </xf>
    <xf numFmtId="4" fontId="25" fillId="0" borderId="0" xfId="6" applyNumberFormat="1" applyFont="1" applyFill="1" applyBorder="1" applyAlignment="1">
      <alignment horizontal="right" vertical="center"/>
    </xf>
    <xf numFmtId="4" fontId="21" fillId="0" borderId="0" xfId="6" applyNumberFormat="1" applyFont="1" applyFill="1" applyBorder="1" applyAlignment="1">
      <alignment vertical="center"/>
    </xf>
    <xf numFmtId="4" fontId="21" fillId="0" borderId="0" xfId="6" applyNumberFormat="1" applyFont="1" applyBorder="1" applyAlignment="1">
      <alignment vertical="center"/>
    </xf>
    <xf numFmtId="0" fontId="24" fillId="0" borderId="0" xfId="6" applyFont="1" applyFill="1" applyBorder="1" applyAlignment="1">
      <alignment horizontal="left" vertical="center"/>
    </xf>
    <xf numFmtId="0" fontId="22" fillId="0" borderId="6" xfId="6" applyFont="1" applyFill="1" applyBorder="1" applyAlignment="1">
      <alignment horizontal="center" vertical="center" wrapText="1"/>
    </xf>
    <xf numFmtId="0" fontId="21" fillId="0" borderId="6" xfId="6" applyFont="1" applyFill="1" applyBorder="1" applyAlignment="1">
      <alignment horizontal="center" vertical="center" wrapText="1"/>
    </xf>
    <xf numFmtId="0" fontId="21" fillId="0" borderId="9" xfId="6" applyFont="1" applyFill="1" applyBorder="1" applyAlignment="1">
      <alignment horizontal="center" vertical="center" wrapText="1"/>
    </xf>
    <xf numFmtId="0" fontId="22" fillId="0" borderId="1" xfId="6" applyFont="1" applyFill="1" applyBorder="1" applyAlignment="1">
      <alignment horizontal="center" vertical="center" textRotation="90" wrapText="1"/>
    </xf>
    <xf numFmtId="0" fontId="22" fillId="0" borderId="1" xfId="6" applyFont="1" applyBorder="1" applyAlignment="1">
      <alignment horizontal="center" vertical="center" textRotation="90" wrapText="1"/>
    </xf>
    <xf numFmtId="0" fontId="21" fillId="0" borderId="2" xfId="6" applyFont="1" applyFill="1" applyBorder="1" applyAlignment="1">
      <alignment horizontal="center" vertical="center"/>
    </xf>
    <xf numFmtId="0" fontId="21" fillId="0" borderId="6" xfId="6" applyFont="1" applyFill="1" applyBorder="1" applyAlignment="1">
      <alignment horizontal="center" vertical="center"/>
    </xf>
    <xf numFmtId="0" fontId="22" fillId="2" borderId="1" xfId="6" applyFont="1" applyFill="1" applyBorder="1" applyAlignment="1">
      <alignment horizontal="center" vertical="center" textRotation="90" wrapText="1"/>
    </xf>
    <xf numFmtId="0" fontId="22" fillId="0" borderId="1" xfId="6" applyFont="1" applyFill="1" applyBorder="1" applyAlignment="1">
      <alignment horizontal="center" vertical="center"/>
    </xf>
    <xf numFmtId="0" fontId="21" fillId="0" borderId="0" xfId="6" applyFont="1" applyFill="1" applyAlignment="1">
      <alignment horizontal="center" vertical="center"/>
    </xf>
    <xf numFmtId="0" fontId="22" fillId="0" borderId="0" xfId="6" applyFont="1" applyFill="1" applyAlignment="1">
      <alignment horizontal="left" vertical="center"/>
    </xf>
    <xf numFmtId="0" fontId="21" fillId="0" borderId="0" xfId="6" applyFont="1" applyFill="1" applyBorder="1" applyAlignment="1">
      <alignment horizontal="left" vertical="center"/>
    </xf>
    <xf numFmtId="0" fontId="21" fillId="0" borderId="1" xfId="6" applyFont="1" applyFill="1" applyBorder="1" applyAlignment="1">
      <alignment horizontal="center" vertical="center" wrapText="1"/>
    </xf>
    <xf numFmtId="0" fontId="21" fillId="0" borderId="1" xfId="6" applyFont="1" applyFill="1" applyBorder="1" applyAlignment="1">
      <alignment horizontal="center" vertical="center"/>
    </xf>
    <xf numFmtId="0" fontId="22" fillId="0" borderId="4" xfId="6" applyFont="1" applyFill="1" applyBorder="1" applyAlignment="1">
      <alignment horizontal="center" vertical="center" wrapText="1"/>
    </xf>
    <xf numFmtId="0" fontId="21" fillId="0" borderId="4" xfId="6" applyFont="1" applyFill="1" applyBorder="1" applyAlignment="1">
      <alignment horizontal="center" vertical="center" wrapText="1"/>
    </xf>
    <xf numFmtId="0" fontId="25" fillId="0" borderId="9" xfId="6" applyFont="1" applyFill="1" applyBorder="1" applyAlignment="1">
      <alignment horizontal="center" vertical="center" wrapText="1"/>
    </xf>
    <xf numFmtId="0" fontId="24" fillId="0" borderId="1" xfId="6" applyFont="1" applyBorder="1" applyAlignment="1">
      <alignment horizontal="center" vertical="center" wrapText="1"/>
    </xf>
    <xf numFmtId="0" fontId="25" fillId="0" borderId="4" xfId="6" applyFont="1" applyFill="1" applyBorder="1" applyAlignment="1">
      <alignment horizontal="right" vertical="center"/>
    </xf>
    <xf numFmtId="0" fontId="25" fillId="0" borderId="10" xfId="6" applyFont="1" applyFill="1" applyBorder="1" applyAlignment="1">
      <alignment horizontal="right" vertical="center"/>
    </xf>
    <xf numFmtId="4" fontId="24" fillId="0" borderId="0" xfId="6" applyNumberFormat="1" applyFont="1" applyFill="1" applyBorder="1" applyAlignment="1">
      <alignment vertical="center"/>
    </xf>
    <xf numFmtId="4" fontId="24" fillId="0" borderId="0" xfId="6" applyNumberFormat="1" applyFont="1" applyBorder="1" applyAlignment="1">
      <alignment vertical="center"/>
    </xf>
    <xf numFmtId="0" fontId="24" fillId="0" borderId="0" xfId="6" applyFont="1" applyAlignment="1">
      <alignment vertical="center"/>
    </xf>
    <xf numFmtId="0" fontId="25" fillId="0" borderId="1" xfId="6" applyFont="1" applyFill="1" applyBorder="1" applyAlignment="1">
      <alignment horizontal="center" vertical="center" wrapText="1"/>
    </xf>
    <xf numFmtId="0" fontId="24" fillId="0" borderId="1" xfId="6" applyFont="1" applyFill="1" applyBorder="1" applyAlignment="1">
      <alignment horizontal="center" vertical="center"/>
    </xf>
    <xf numFmtId="0" fontId="25" fillId="0" borderId="4" xfId="6" applyFont="1" applyFill="1" applyBorder="1" applyAlignment="1">
      <alignment horizontal="center" vertical="center" wrapText="1"/>
    </xf>
    <xf numFmtId="0" fontId="24" fillId="0" borderId="4" xfId="6" applyFont="1" applyFill="1" applyBorder="1" applyAlignment="1">
      <alignment horizontal="center" vertical="center" wrapText="1"/>
    </xf>
    <xf numFmtId="0" fontId="24" fillId="0" borderId="9" xfId="6" applyFont="1" applyFill="1" applyBorder="1" applyAlignment="1">
      <alignment horizontal="center" vertical="center" wrapText="1"/>
    </xf>
    <xf numFmtId="0" fontId="25" fillId="2" borderId="1" xfId="6" applyFont="1" applyFill="1" applyBorder="1" applyAlignment="1">
      <alignment horizontal="center" vertical="center" textRotation="90" wrapText="1"/>
    </xf>
    <xf numFmtId="0" fontId="25" fillId="0" borderId="1" xfId="6" applyFont="1" applyFill="1" applyBorder="1" applyAlignment="1">
      <alignment horizontal="center" vertical="center" textRotation="90" wrapText="1"/>
    </xf>
    <xf numFmtId="0" fontId="25" fillId="0" borderId="1" xfId="6" applyFont="1" applyBorder="1" applyAlignment="1">
      <alignment horizontal="center" vertical="center" textRotation="90" wrapText="1"/>
    </xf>
    <xf numFmtId="0" fontId="25" fillId="0" borderId="1" xfId="6" applyFont="1" applyFill="1" applyBorder="1" applyAlignment="1">
      <alignment horizontal="center" vertical="center"/>
    </xf>
    <xf numFmtId="0" fontId="24" fillId="0" borderId="1" xfId="6" applyFont="1" applyFill="1" applyBorder="1" applyAlignment="1">
      <alignment horizontal="center" vertical="center" wrapText="1"/>
    </xf>
    <xf numFmtId="0" fontId="8" fillId="0" borderId="0" xfId="6" applyFont="1" applyFill="1" applyAlignment="1">
      <alignment horizontal="center" vertical="center"/>
    </xf>
    <xf numFmtId="0" fontId="31" fillId="0" borderId="0" xfId="6" applyFont="1" applyFill="1" applyAlignment="1">
      <alignment vertical="center"/>
    </xf>
    <xf numFmtId="0" fontId="24" fillId="0" borderId="0" xfId="6" applyFont="1" applyFill="1" applyAlignment="1">
      <alignment horizontal="center" vertical="center"/>
    </xf>
    <xf numFmtId="0" fontId="25" fillId="0" borderId="0" xfId="6" applyFont="1" applyFill="1" applyAlignment="1">
      <alignment horizontal="left" vertical="center"/>
    </xf>
    <xf numFmtId="0" fontId="21" fillId="0" borderId="0" xfId="6" applyFont="1" applyFill="1" applyAlignment="1">
      <alignment vertical="center"/>
    </xf>
    <xf numFmtId="0" fontId="22" fillId="0" borderId="0" xfId="6" applyFont="1" applyFill="1" applyAlignment="1">
      <alignment vertical="center"/>
    </xf>
    <xf numFmtId="0" fontId="22" fillId="0" borderId="6" xfId="6" applyFont="1" applyFill="1" applyBorder="1" applyAlignment="1">
      <alignment horizontal="right" vertical="center"/>
    </xf>
    <xf numFmtId="0" fontId="22" fillId="0" borderId="9" xfId="6" applyFont="1" applyFill="1" applyBorder="1" applyAlignment="1">
      <alignment horizontal="right" vertical="center"/>
    </xf>
    <xf numFmtId="4" fontId="22" fillId="0" borderId="0" xfId="6" applyNumberFormat="1" applyFont="1" applyFill="1" applyBorder="1" applyAlignment="1">
      <alignment horizontal="right" vertical="center"/>
    </xf>
    <xf numFmtId="0" fontId="22" fillId="0" borderId="0" xfId="6" applyFont="1" applyFill="1" applyAlignment="1">
      <alignment horizontal="center" vertical="center"/>
    </xf>
    <xf numFmtId="0" fontId="33" fillId="0" borderId="0" xfId="6" applyFont="1" applyFill="1" applyAlignment="1">
      <alignment vertical="center"/>
    </xf>
    <xf numFmtId="0" fontId="22" fillId="0" borderId="14" xfId="6" applyFont="1" applyFill="1" applyBorder="1" applyAlignment="1">
      <alignment horizontal="center" vertical="center" wrapText="1"/>
    </xf>
    <xf numFmtId="0" fontId="22" fillId="0" borderId="17" xfId="6" applyFont="1" applyFill="1" applyBorder="1" applyAlignment="1">
      <alignment horizontal="center" vertical="center" wrapText="1"/>
    </xf>
    <xf numFmtId="0" fontId="22" fillId="0" borderId="15" xfId="6" applyFont="1" applyFill="1" applyBorder="1" applyAlignment="1">
      <alignment horizontal="center" vertical="center" wrapText="1"/>
    </xf>
    <xf numFmtId="0" fontId="22" fillId="0" borderId="15" xfId="6" applyFont="1" applyFill="1" applyBorder="1" applyAlignment="1">
      <alignment horizontal="center" vertical="center" textRotation="90" wrapText="1"/>
    </xf>
    <xf numFmtId="0" fontId="22" fillId="0" borderId="18" xfId="6" applyFont="1" applyFill="1" applyBorder="1" applyAlignment="1">
      <alignment horizontal="center" vertical="center" textRotation="90" wrapText="1"/>
    </xf>
    <xf numFmtId="0" fontId="22" fillId="0" borderId="17" xfId="6" applyFont="1" applyFill="1" applyBorder="1" applyAlignment="1">
      <alignment horizontal="center" vertical="center" textRotation="90" wrapText="1"/>
    </xf>
    <xf numFmtId="0" fontId="22" fillId="0" borderId="15" xfId="6" applyFont="1" applyFill="1" applyBorder="1" applyAlignment="1">
      <alignment horizontal="center" vertical="center"/>
    </xf>
    <xf numFmtId="0" fontId="22" fillId="0" borderId="16" xfId="6" applyFont="1" applyFill="1" applyBorder="1" applyAlignment="1">
      <alignment horizontal="center" vertical="center"/>
    </xf>
    <xf numFmtId="0" fontId="22" fillId="0" borderId="14" xfId="6" applyFont="1" applyFill="1" applyBorder="1" applyAlignment="1">
      <alignment horizontal="center" vertical="center"/>
    </xf>
    <xf numFmtId="0" fontId="22" fillId="0" borderId="8" xfId="6" applyFont="1" applyFill="1" applyBorder="1" applyAlignment="1">
      <alignment horizontal="center" vertical="center" textRotation="90" wrapText="1"/>
    </xf>
    <xf numFmtId="0" fontId="22" fillId="0" borderId="3" xfId="6" applyFont="1" applyFill="1" applyBorder="1" applyAlignment="1">
      <alignment horizontal="center" vertical="center" textRotation="90" wrapText="1"/>
    </xf>
    <xf numFmtId="0" fontId="15" fillId="0" borderId="0" xfId="0" applyFont="1" applyAlignment="1">
      <alignment horizontal="center"/>
    </xf>
    <xf numFmtId="0" fontId="22" fillId="0" borderId="18" xfId="6" applyFont="1" applyFill="1" applyBorder="1" applyAlignment="1">
      <alignment horizontal="center" vertical="center" wrapText="1"/>
    </xf>
    <xf numFmtId="0" fontId="22" fillId="0" borderId="26" xfId="6" applyFont="1" applyFill="1" applyBorder="1" applyAlignment="1">
      <alignment horizontal="right" vertical="center"/>
    </xf>
    <xf numFmtId="0" fontId="22" fillId="0" borderId="27" xfId="6" applyFont="1" applyFill="1" applyBorder="1" applyAlignment="1">
      <alignment horizontal="right" vertical="center"/>
    </xf>
    <xf numFmtId="0" fontId="21" fillId="0" borderId="0" xfId="6" applyFont="1" applyFill="1" applyBorder="1" applyAlignment="1">
      <alignment horizontal="center" vertical="center"/>
    </xf>
    <xf numFmtId="0" fontId="22" fillId="0" borderId="0" xfId="6" applyFont="1" applyFill="1" applyBorder="1" applyAlignment="1">
      <alignment horizontal="left" vertical="center"/>
    </xf>
    <xf numFmtId="0" fontId="4" fillId="0" borderId="0" xfId="0" applyFont="1" applyFill="1" applyAlignment="1">
      <alignment horizontal="center" wrapText="1" shrinkToFit="1"/>
    </xf>
    <xf numFmtId="0" fontId="37" fillId="0" borderId="0" xfId="6" applyFont="1" applyFill="1" applyAlignment="1">
      <alignment horizontal="center" vertical="center"/>
    </xf>
    <xf numFmtId="0" fontId="38" fillId="0" borderId="0" xfId="6" applyFont="1" applyFill="1" applyAlignment="1">
      <alignment vertical="center"/>
    </xf>
    <xf numFmtId="0" fontId="39" fillId="0" borderId="0" xfId="6" applyFont="1" applyFill="1" applyAlignment="1">
      <alignment horizontal="center" vertical="center"/>
    </xf>
    <xf numFmtId="0" fontId="39" fillId="0" borderId="0" xfId="6" applyFont="1" applyFill="1" applyAlignment="1">
      <alignment vertical="center"/>
    </xf>
    <xf numFmtId="0" fontId="11" fillId="0" borderId="0" xfId="0" applyFont="1" applyFill="1" applyAlignment="1">
      <alignment horizontal="center" wrapText="1" shrinkToFit="1"/>
    </xf>
    <xf numFmtId="0" fontId="1" fillId="0" borderId="18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textRotation="90" wrapText="1"/>
    </xf>
    <xf numFmtId="0" fontId="1" fillId="0" borderId="14" xfId="6" applyFont="1" applyFill="1" applyBorder="1" applyAlignment="1">
      <alignment horizontal="center" vertical="center" wrapText="1"/>
    </xf>
    <xf numFmtId="0" fontId="1" fillId="0" borderId="17" xfId="6" applyFont="1" applyFill="1" applyBorder="1" applyAlignment="1">
      <alignment horizontal="center" vertical="center" wrapText="1"/>
    </xf>
    <xf numFmtId="0" fontId="1" fillId="0" borderId="15" xfId="6" applyFont="1" applyFill="1" applyBorder="1" applyAlignment="1">
      <alignment horizontal="center" vertical="center" wrapText="1"/>
    </xf>
    <xf numFmtId="0" fontId="1" fillId="0" borderId="1" xfId="6" applyFont="1" applyFill="1" applyBorder="1" applyAlignment="1">
      <alignment horizontal="center" vertical="center" wrapText="1"/>
    </xf>
    <xf numFmtId="0" fontId="1" fillId="0" borderId="15" xfId="6" applyFont="1" applyFill="1" applyBorder="1" applyAlignment="1">
      <alignment horizontal="center" vertical="center" textRotation="90" wrapText="1"/>
    </xf>
    <xf numFmtId="0" fontId="1" fillId="0" borderId="1" xfId="6" applyFont="1" applyFill="1" applyBorder="1" applyAlignment="1">
      <alignment vertical="center" textRotation="90" wrapText="1"/>
    </xf>
    <xf numFmtId="0" fontId="2" fillId="0" borderId="1" xfId="6" applyFont="1" applyFill="1" applyBorder="1" applyAlignment="1">
      <alignment horizontal="center" vertical="center" wrapText="1"/>
    </xf>
    <xf numFmtId="0" fontId="2" fillId="0" borderId="0" xfId="6" applyFont="1" applyFill="1" applyBorder="1" applyAlignment="1">
      <alignment horizontal="center" vertical="center"/>
    </xf>
    <xf numFmtId="0" fontId="22" fillId="0" borderId="0" xfId="6" applyFont="1" applyFill="1" applyBorder="1" applyAlignment="1">
      <alignment horizontal="center" vertical="center" wrapText="1"/>
    </xf>
    <xf numFmtId="0" fontId="1" fillId="0" borderId="29" xfId="6" applyFont="1" applyFill="1" applyBorder="1" applyAlignment="1">
      <alignment horizontal="center" vertical="center"/>
    </xf>
    <xf numFmtId="0" fontId="1" fillId="0" borderId="28" xfId="6" applyFont="1" applyFill="1" applyBorder="1" applyAlignment="1">
      <alignment horizontal="center" vertical="center"/>
    </xf>
    <xf numFmtId="0" fontId="1" fillId="0" borderId="30" xfId="6" applyFont="1" applyFill="1" applyBorder="1" applyAlignment="1">
      <alignment horizontal="center" vertical="center"/>
    </xf>
    <xf numFmtId="0" fontId="1" fillId="0" borderId="26" xfId="6" applyFont="1" applyFill="1" applyBorder="1" applyAlignment="1">
      <alignment horizontal="right" vertical="center"/>
    </xf>
    <xf numFmtId="0" fontId="1" fillId="0" borderId="27" xfId="6" applyFont="1" applyFill="1" applyBorder="1" applyAlignment="1">
      <alignment horizontal="right" vertical="center"/>
    </xf>
    <xf numFmtId="4" fontId="1" fillId="0" borderId="0" xfId="6" applyNumberFormat="1" applyFont="1" applyFill="1" applyBorder="1" applyAlignment="1">
      <alignment horizontal="right" vertical="center"/>
    </xf>
    <xf numFmtId="4" fontId="2" fillId="0" borderId="0" xfId="6" applyNumberFormat="1" applyFont="1" applyFill="1" applyBorder="1" applyAlignment="1">
      <alignment vertical="center"/>
    </xf>
    <xf numFmtId="0" fontId="1" fillId="0" borderId="0" xfId="6" applyFont="1" applyFill="1" applyAlignment="1">
      <alignment vertical="center"/>
    </xf>
    <xf numFmtId="0" fontId="2" fillId="0" borderId="0" xfId="6" applyFont="1" applyFill="1" applyAlignment="1">
      <alignment vertical="center"/>
    </xf>
    <xf numFmtId="0" fontId="1" fillId="0" borderId="18" xfId="6" applyFont="1" applyFill="1" applyBorder="1" applyAlignment="1">
      <alignment horizontal="center" vertical="center" textRotation="90" wrapText="1"/>
    </xf>
    <xf numFmtId="0" fontId="1" fillId="0" borderId="15" xfId="6" applyFont="1" applyFill="1" applyBorder="1" applyAlignment="1">
      <alignment horizontal="center" vertical="center"/>
    </xf>
    <xf numFmtId="0" fontId="1" fillId="0" borderId="16" xfId="6" applyFont="1" applyFill="1" applyBorder="1" applyAlignment="1">
      <alignment horizontal="center" vertical="center"/>
    </xf>
    <xf numFmtId="0" fontId="1" fillId="0" borderId="8" xfId="6" applyFont="1" applyFill="1" applyBorder="1" applyAlignment="1">
      <alignment horizontal="center" vertical="center" textRotation="90" wrapText="1"/>
    </xf>
    <xf numFmtId="0" fontId="1" fillId="0" borderId="3" xfId="6" applyFont="1" applyFill="1" applyBorder="1" applyAlignment="1">
      <alignment horizontal="center" vertical="center" textRotation="90" wrapText="1"/>
    </xf>
    <xf numFmtId="0" fontId="1" fillId="0" borderId="32" xfId="6" applyFont="1" applyFill="1" applyBorder="1" applyAlignment="1">
      <alignment horizontal="center" vertical="center" textRotation="90" wrapText="1"/>
    </xf>
    <xf numFmtId="0" fontId="1" fillId="0" borderId="5" xfId="6" applyFont="1" applyFill="1" applyBorder="1" applyAlignment="1">
      <alignment horizontal="center" vertical="center" textRotation="90" wrapText="1"/>
    </xf>
    <xf numFmtId="0" fontId="1" fillId="0" borderId="32" xfId="6" applyFont="1" applyFill="1" applyBorder="1" applyAlignment="1">
      <alignment horizontal="center" vertical="center" wrapText="1"/>
    </xf>
    <xf numFmtId="0" fontId="1" fillId="0" borderId="5" xfId="6" applyFont="1" applyFill="1" applyBorder="1" applyAlignment="1">
      <alignment horizontal="center" vertical="center" wrapText="1"/>
    </xf>
    <xf numFmtId="0" fontId="1" fillId="0" borderId="3" xfId="6" applyFont="1" applyFill="1" applyBorder="1" applyAlignment="1">
      <alignment horizontal="center" vertical="center" wrapText="1"/>
    </xf>
    <xf numFmtId="0" fontId="22" fillId="0" borderId="0" xfId="6" applyFont="1" applyFill="1" applyAlignment="1">
      <alignment horizontal="center" vertical="center" wrapText="1"/>
    </xf>
    <xf numFmtId="0" fontId="22" fillId="0" borderId="0" xfId="6" applyFont="1" applyFill="1" applyAlignment="1">
      <alignment horizontal="left" vertical="center" wrapText="1"/>
    </xf>
    <xf numFmtId="0" fontId="1" fillId="4" borderId="1" xfId="6" applyFont="1" applyFill="1" applyBorder="1" applyAlignment="1">
      <alignment horizontal="center" vertical="center" textRotation="90" wrapText="1"/>
    </xf>
  </cellXfs>
  <cellStyles count="8">
    <cellStyle name="Normal" xfId="7" xr:uid="{CD571620-A968-4421-BF57-20B2A4A0B5FF}"/>
    <cellStyle name="Гиперссылка 2" xfId="1" xr:uid="{00000000-0005-0000-0000-000000000000}"/>
    <cellStyle name="Гиперссылка 2 2" xfId="2" xr:uid="{00000000-0005-0000-0000-000001000000}"/>
    <cellStyle name="Денежный 2" xfId="3" xr:uid="{00000000-0005-0000-0000-000002000000}"/>
    <cellStyle name="Обычный" xfId="0" builtinId="0"/>
    <cellStyle name="Обычный 10" xfId="5" xr:uid="{00000000-0005-0000-0000-000004000000}"/>
    <cellStyle name="Обычный 2" xfId="6" xr:uid="{00000000-0005-0000-0000-000005000000}"/>
    <cellStyle name="Обычный_Лист1" xfId="4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C121"/>
  <sheetViews>
    <sheetView view="pageBreakPreview" zoomScale="70" zoomScaleNormal="90" zoomScaleSheetLayoutView="7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H66" sqref="E66:H66"/>
    </sheetView>
  </sheetViews>
  <sheetFormatPr defaultColWidth="8.85546875" defaultRowHeight="15" x14ac:dyDescent="0.2"/>
  <cols>
    <col min="1" max="1" width="8.85546875" style="138"/>
    <col min="2" max="2" width="10.140625" style="139" customWidth="1"/>
    <col min="3" max="3" width="15.5703125" style="139" customWidth="1"/>
    <col min="4" max="4" width="7.85546875" style="138" customWidth="1"/>
    <col min="5" max="5" width="76.28515625" style="138" customWidth="1"/>
    <col min="6" max="6" width="8.42578125" style="138" customWidth="1"/>
    <col min="7" max="7" width="6.28515625" style="139" customWidth="1"/>
    <col min="8" max="8" width="10.42578125" style="139" bestFit="1" customWidth="1"/>
    <col min="9" max="9" width="12.5703125" style="138" customWidth="1"/>
    <col min="10" max="10" width="9.140625" style="138" customWidth="1"/>
    <col min="11" max="11" width="6.7109375" style="139" customWidth="1"/>
    <col min="12" max="12" width="7.28515625" style="139" customWidth="1"/>
    <col min="13" max="13" width="5.7109375" style="138" customWidth="1"/>
    <col min="14" max="14" width="7.42578125" style="138" customWidth="1"/>
    <col min="15" max="15" width="6" style="138" customWidth="1"/>
    <col min="16" max="16" width="6.85546875" style="149" bestFit="1" customWidth="1"/>
    <col min="17" max="17" width="9.42578125" style="150" customWidth="1"/>
    <col min="18" max="18" width="8.85546875" style="138" customWidth="1"/>
    <col min="19" max="19" width="8.7109375" style="138" customWidth="1"/>
    <col min="20" max="20" width="11" style="138" customWidth="1"/>
    <col min="21" max="21" width="9.85546875" style="138" customWidth="1"/>
    <col min="22" max="22" width="11.28515625" style="138" customWidth="1"/>
    <col min="23" max="23" width="8" style="138" bestFit="1" customWidth="1"/>
    <col min="24" max="24" width="10.85546875" style="138" customWidth="1"/>
    <col min="25" max="25" width="8.7109375" style="138" customWidth="1"/>
    <col min="26" max="26" width="10.85546875" style="138" bestFit="1" customWidth="1"/>
    <col min="27" max="27" width="12.85546875" style="138" customWidth="1"/>
    <col min="28" max="28" width="11.5703125" style="138" customWidth="1"/>
    <col min="29" max="29" width="9.42578125" style="138" bestFit="1" customWidth="1"/>
    <col min="30" max="30" width="6" style="138" customWidth="1"/>
    <col min="31" max="31" width="11.28515625" style="138" customWidth="1"/>
    <col min="32" max="32" width="60.28515625" style="140" customWidth="1"/>
    <col min="33" max="16384" width="8.85546875" style="138"/>
  </cols>
  <sheetData>
    <row r="1" spans="1:35" x14ac:dyDescent="0.2"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</row>
    <row r="2" spans="1:35" x14ac:dyDescent="0.2">
      <c r="J2" s="1823" t="s">
        <v>265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1:35" ht="24" customHeight="1" x14ac:dyDescent="0.2">
      <c r="A3" s="1825" t="s">
        <v>54</v>
      </c>
      <c r="B3" s="1825"/>
      <c r="C3" s="1825"/>
      <c r="D3" s="1825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2"/>
      <c r="S3" s="142"/>
      <c r="T3" s="142"/>
      <c r="U3" s="142"/>
      <c r="V3" s="142"/>
      <c r="W3" s="142"/>
      <c r="X3" s="142"/>
      <c r="Y3" s="142"/>
      <c r="AC3" s="143"/>
      <c r="AD3" s="143"/>
      <c r="AE3" s="143"/>
      <c r="AF3" s="144" t="s">
        <v>55</v>
      </c>
    </row>
    <row r="4" spans="1:35" ht="24" customHeight="1" x14ac:dyDescent="0.2">
      <c r="A4" s="145" t="s">
        <v>202</v>
      </c>
      <c r="B4" s="145"/>
      <c r="C4" s="145"/>
      <c r="D4" s="145"/>
      <c r="E4" s="145"/>
      <c r="I4" s="141"/>
      <c r="J4" s="141"/>
      <c r="K4" s="141"/>
      <c r="L4" s="141"/>
      <c r="M4" s="141"/>
      <c r="N4" s="141"/>
      <c r="O4" s="141"/>
      <c r="P4" s="141"/>
      <c r="Q4" s="141"/>
      <c r="R4" s="146"/>
      <c r="S4" s="146"/>
      <c r="T4" s="146"/>
      <c r="U4" s="146"/>
      <c r="V4" s="146"/>
      <c r="W4" s="146"/>
      <c r="AC4" s="143"/>
      <c r="AD4" s="143"/>
      <c r="AE4" s="143"/>
      <c r="AF4" s="147" t="s">
        <v>266</v>
      </c>
    </row>
    <row r="5" spans="1:35" ht="24" customHeight="1" x14ac:dyDescent="0.2">
      <c r="A5" s="145" t="s">
        <v>228</v>
      </c>
      <c r="B5" s="148"/>
      <c r="C5" s="148"/>
      <c r="D5" s="148"/>
      <c r="AC5" s="143"/>
      <c r="AD5" s="143"/>
      <c r="AE5" s="143"/>
      <c r="AF5" s="151" t="s">
        <v>229</v>
      </c>
    </row>
    <row r="6" spans="1:35" ht="24" customHeight="1" x14ac:dyDescent="0.2">
      <c r="B6" s="145"/>
      <c r="C6" s="145"/>
      <c r="D6" s="145"/>
      <c r="I6" s="140"/>
      <c r="W6" s="147"/>
      <c r="Y6" s="148"/>
      <c r="Z6" s="148"/>
      <c r="AA6" s="148"/>
      <c r="AB6" s="148"/>
      <c r="AC6" s="152"/>
      <c r="AD6" s="152"/>
      <c r="AE6" s="152"/>
      <c r="AF6" s="153"/>
      <c r="AG6" s="139"/>
      <c r="AH6" s="139"/>
      <c r="AI6" s="139"/>
    </row>
    <row r="7" spans="1:35" ht="24" customHeight="1" x14ac:dyDescent="0.2">
      <c r="A7" s="1826" t="s">
        <v>267</v>
      </c>
      <c r="B7" s="1826"/>
      <c r="C7" s="1826"/>
      <c r="D7" s="1826"/>
      <c r="E7" s="1826"/>
      <c r="I7" s="140"/>
      <c r="W7" s="147"/>
      <c r="Y7" s="148"/>
      <c r="Z7" s="148"/>
      <c r="AA7" s="148"/>
      <c r="AB7" s="148"/>
      <c r="AC7" s="152"/>
      <c r="AD7" s="152"/>
      <c r="AE7" s="152"/>
      <c r="AF7" s="147"/>
      <c r="AG7" s="139"/>
      <c r="AH7" s="139"/>
      <c r="AI7" s="139"/>
    </row>
    <row r="8" spans="1:35" ht="24" customHeight="1" x14ac:dyDescent="0.2">
      <c r="A8" s="1826" t="s">
        <v>228</v>
      </c>
      <c r="B8" s="1826"/>
      <c r="C8" s="1826"/>
      <c r="D8" s="1826"/>
      <c r="E8" s="1826"/>
      <c r="I8" s="140"/>
      <c r="W8" s="147"/>
      <c r="Y8" s="148"/>
      <c r="Z8" s="148"/>
      <c r="AA8" s="148"/>
      <c r="AB8" s="148"/>
      <c r="AC8" s="152"/>
      <c r="AD8" s="152"/>
      <c r="AE8" s="152"/>
      <c r="AF8" s="151"/>
      <c r="AG8" s="139"/>
      <c r="AH8" s="139"/>
      <c r="AI8" s="139"/>
    </row>
    <row r="9" spans="1:35" ht="24" customHeight="1" x14ac:dyDescent="0.2">
      <c r="B9" s="154"/>
      <c r="C9" s="154"/>
      <c r="D9" s="154"/>
      <c r="E9" s="154"/>
      <c r="M9" s="139"/>
      <c r="N9" s="139"/>
      <c r="O9" s="139"/>
      <c r="P9" s="139"/>
      <c r="Q9" s="139"/>
      <c r="R9" s="139"/>
      <c r="S9" s="139"/>
      <c r="T9" s="139"/>
      <c r="U9" s="139"/>
      <c r="V9" s="139"/>
      <c r="Y9" s="148"/>
      <c r="Z9" s="148"/>
      <c r="AA9" s="148"/>
      <c r="AB9" s="148"/>
      <c r="AC9" s="152"/>
      <c r="AD9" s="152"/>
      <c r="AE9" s="152"/>
      <c r="AF9" s="153"/>
      <c r="AG9" s="139"/>
      <c r="AH9" s="139"/>
      <c r="AI9" s="139"/>
    </row>
    <row r="10" spans="1:35" ht="24" customHeight="1" x14ac:dyDescent="0.2">
      <c r="D10" s="139"/>
      <c r="I10" s="140"/>
      <c r="W10" s="147"/>
      <c r="Y10" s="148"/>
      <c r="Z10" s="148"/>
      <c r="AA10" s="148"/>
      <c r="AB10" s="148"/>
      <c r="AC10" s="152"/>
      <c r="AD10" s="152"/>
      <c r="AE10" s="152"/>
      <c r="AF10" s="155"/>
      <c r="AG10" s="139"/>
      <c r="AH10" s="139"/>
      <c r="AI10" s="139"/>
    </row>
    <row r="11" spans="1:35" ht="15.75" customHeight="1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5" s="139" customFormat="1" ht="90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156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156" t="s">
        <v>18</v>
      </c>
      <c r="AE12" s="156" t="s">
        <v>20</v>
      </c>
      <c r="AF12" s="1819" t="s">
        <v>21</v>
      </c>
    </row>
    <row r="13" spans="1:35" s="162" customFormat="1" ht="30" customHeight="1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8" t="s">
        <v>7</v>
      </c>
      <c r="K13" s="158" t="s">
        <v>30</v>
      </c>
      <c r="L13" s="159" t="s">
        <v>29</v>
      </c>
      <c r="M13" s="159" t="s">
        <v>31</v>
      </c>
      <c r="N13" s="159" t="s">
        <v>32</v>
      </c>
      <c r="O13" s="158" t="s">
        <v>12</v>
      </c>
      <c r="P13" s="160" t="s">
        <v>13</v>
      </c>
      <c r="Q13" s="161" t="s">
        <v>26</v>
      </c>
      <c r="R13" s="158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5" s="173" customFormat="1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100</v>
      </c>
      <c r="K14" s="166"/>
      <c r="L14" s="166">
        <v>402</v>
      </c>
      <c r="M14" s="166"/>
      <c r="N14" s="163">
        <v>6.7</v>
      </c>
      <c r="O14" s="166"/>
      <c r="P14" s="167">
        <v>21.479550199965303</v>
      </c>
      <c r="Q14" s="168">
        <f t="shared" ref="Q14:Q37" si="0">LEFT(H14,(FIND("K",H14,1)-1))*J14/100</f>
        <v>22</v>
      </c>
      <c r="R14" s="169">
        <v>1.431</v>
      </c>
      <c r="S14" s="168">
        <v>3.0330000000000004</v>
      </c>
      <c r="T14" s="168">
        <v>0</v>
      </c>
      <c r="U14" s="168">
        <f>T14/R14</f>
        <v>0</v>
      </c>
      <c r="V14" s="169">
        <f>(S14-R14)/S14*100</f>
        <v>52.818991097922854</v>
      </c>
      <c r="W14" s="170">
        <v>0.4</v>
      </c>
      <c r="X14" s="171">
        <f t="shared" ref="X14:X45" si="1">S14/Q14</f>
        <v>0.13786363636363638</v>
      </c>
      <c r="Y14" s="171">
        <f>R14</f>
        <v>1.431</v>
      </c>
      <c r="Z14" s="171">
        <f>S14</f>
        <v>3.0330000000000004</v>
      </c>
      <c r="AA14" s="171">
        <f>T14</f>
        <v>0</v>
      </c>
      <c r="AB14" s="171">
        <f>U14</f>
        <v>0</v>
      </c>
      <c r="AC14" s="171">
        <f t="shared" ref="AC14:AC73" si="2">V14</f>
        <v>52.818991097922854</v>
      </c>
      <c r="AD14" s="163">
        <v>31</v>
      </c>
      <c r="AE14" s="171">
        <f>Y14*AD14</f>
        <v>44.361000000000004</v>
      </c>
      <c r="AF14" s="172"/>
    </row>
    <row r="15" spans="1:35" s="173" customFormat="1" ht="15.9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/>
      <c r="K15" s="163">
        <v>318</v>
      </c>
      <c r="L15" s="166"/>
      <c r="M15" s="166">
        <v>0.3</v>
      </c>
      <c r="N15" s="163"/>
      <c r="O15" s="166"/>
      <c r="P15" s="167">
        <v>0</v>
      </c>
      <c r="Q15" s="168">
        <f t="shared" si="0"/>
        <v>0</v>
      </c>
      <c r="R15" s="169">
        <v>0</v>
      </c>
      <c r="S15" s="168">
        <v>0</v>
      </c>
      <c r="T15" s="168">
        <v>0</v>
      </c>
      <c r="U15" s="168"/>
      <c r="V15" s="169"/>
      <c r="W15" s="170"/>
      <c r="X15" s="171"/>
      <c r="Y15" s="171">
        <f t="shared" ref="Y15:AB73" si="3">R15</f>
        <v>0</v>
      </c>
      <c r="Z15" s="171">
        <f t="shared" si="3"/>
        <v>0</v>
      </c>
      <c r="AA15" s="171">
        <f t="shared" si="3"/>
        <v>0</v>
      </c>
      <c r="AB15" s="171">
        <f t="shared" si="3"/>
        <v>0</v>
      </c>
      <c r="AC15" s="171">
        <f t="shared" si="2"/>
        <v>0</v>
      </c>
      <c r="AD15" s="163">
        <v>31</v>
      </c>
      <c r="AE15" s="171">
        <f t="shared" ref="AE15:AE56" si="4">Y15*AD15</f>
        <v>0</v>
      </c>
      <c r="AF15" s="172" t="s">
        <v>215</v>
      </c>
    </row>
    <row r="16" spans="1:35" s="173" customFormat="1" ht="15.9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>
        <v>225</v>
      </c>
      <c r="K16" s="163"/>
      <c r="L16" s="166">
        <v>56</v>
      </c>
      <c r="M16" s="166"/>
      <c r="N16" s="163">
        <v>9</v>
      </c>
      <c r="O16" s="166"/>
      <c r="P16" s="167">
        <v>52.661950712001982</v>
      </c>
      <c r="Q16" s="168">
        <f>LEFT(H16,(FIND("K",H16,1)-1))*J16/100</f>
        <v>72</v>
      </c>
      <c r="R16" s="169">
        <v>30</v>
      </c>
      <c r="S16" s="168">
        <v>36</v>
      </c>
      <c r="T16" s="168">
        <v>3415</v>
      </c>
      <c r="U16" s="168">
        <f t="shared" ref="U16:U73" si="5">T16/R16</f>
        <v>113.83333333333333</v>
      </c>
      <c r="V16" s="169">
        <f t="shared" ref="V16:V73" si="6">(S16-R16)/S16*100</f>
        <v>16.666666666666664</v>
      </c>
      <c r="W16" s="170">
        <v>0.3</v>
      </c>
      <c r="X16" s="171">
        <f t="shared" si="1"/>
        <v>0.5</v>
      </c>
      <c r="Y16" s="171">
        <f t="shared" si="3"/>
        <v>30</v>
      </c>
      <c r="Z16" s="171">
        <f t="shared" si="3"/>
        <v>36</v>
      </c>
      <c r="AA16" s="171">
        <f t="shared" si="3"/>
        <v>3415</v>
      </c>
      <c r="AB16" s="171">
        <f t="shared" si="3"/>
        <v>113.83333333333333</v>
      </c>
      <c r="AC16" s="171">
        <f t="shared" si="2"/>
        <v>16.666666666666664</v>
      </c>
      <c r="AD16" s="163">
        <v>31</v>
      </c>
      <c r="AE16" s="171">
        <f>Y16*AD16</f>
        <v>930</v>
      </c>
      <c r="AF16" s="172"/>
    </row>
    <row r="17" spans="1:32" s="173" customFormat="1" ht="15.9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175</v>
      </c>
      <c r="K17" s="163"/>
      <c r="L17" s="166">
        <v>467</v>
      </c>
      <c r="M17" s="166"/>
      <c r="N17" s="163">
        <v>4.2</v>
      </c>
      <c r="O17" s="166"/>
      <c r="P17" s="167">
        <v>13.170757258544619</v>
      </c>
      <c r="Q17" s="168">
        <f t="shared" si="0"/>
        <v>22.75</v>
      </c>
      <c r="R17" s="169">
        <v>5.7240000000000002</v>
      </c>
      <c r="S17" s="168">
        <v>6.9640000000000004</v>
      </c>
      <c r="T17" s="168">
        <v>30</v>
      </c>
      <c r="U17" s="168">
        <f t="shared" si="5"/>
        <v>5.2410901467505235</v>
      </c>
      <c r="V17" s="169">
        <f t="shared" si="6"/>
        <v>17.805858701895463</v>
      </c>
      <c r="W17" s="170">
        <v>0.2</v>
      </c>
      <c r="X17" s="171">
        <f t="shared" si="1"/>
        <v>0.30610989010989015</v>
      </c>
      <c r="Y17" s="171">
        <f t="shared" si="3"/>
        <v>5.7240000000000002</v>
      </c>
      <c r="Z17" s="171">
        <f t="shared" si="3"/>
        <v>6.9640000000000004</v>
      </c>
      <c r="AA17" s="171">
        <f t="shared" si="3"/>
        <v>30</v>
      </c>
      <c r="AB17" s="171">
        <f t="shared" si="3"/>
        <v>5.2410901467505235</v>
      </c>
      <c r="AC17" s="171">
        <f t="shared" si="2"/>
        <v>17.805858701895463</v>
      </c>
      <c r="AD17" s="163">
        <v>31</v>
      </c>
      <c r="AE17" s="171">
        <f t="shared" si="4"/>
        <v>177.44400000000002</v>
      </c>
      <c r="AF17" s="172"/>
    </row>
    <row r="18" spans="1:32" s="173" customFormat="1" ht="15.75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436</v>
      </c>
      <c r="M18" s="166"/>
      <c r="N18" s="163">
        <v>5</v>
      </c>
      <c r="O18" s="166"/>
      <c r="P18" s="167">
        <v>16.571837019610626</v>
      </c>
      <c r="Q18" s="168">
        <f t="shared" si="0"/>
        <v>9</v>
      </c>
      <c r="R18" s="169">
        <v>4.6260000000000003</v>
      </c>
      <c r="S18" s="168">
        <v>6.2610000000000001</v>
      </c>
      <c r="T18" s="168">
        <v>20</v>
      </c>
      <c r="U18" s="168">
        <f t="shared" si="5"/>
        <v>4.3233895373973192</v>
      </c>
      <c r="V18" s="169">
        <f t="shared" si="6"/>
        <v>26.114039290848101</v>
      </c>
      <c r="W18" s="170">
        <v>0.4</v>
      </c>
      <c r="X18" s="171">
        <f t="shared" si="1"/>
        <v>0.69566666666666666</v>
      </c>
      <c r="Y18" s="171">
        <f t="shared" si="3"/>
        <v>4.6260000000000003</v>
      </c>
      <c r="Z18" s="171">
        <f t="shared" si="3"/>
        <v>6.2610000000000001</v>
      </c>
      <c r="AA18" s="171">
        <f t="shared" si="3"/>
        <v>20</v>
      </c>
      <c r="AB18" s="171">
        <f t="shared" si="3"/>
        <v>4.3233895373973192</v>
      </c>
      <c r="AC18" s="171">
        <f t="shared" si="2"/>
        <v>26.114039290848101</v>
      </c>
      <c r="AD18" s="163">
        <v>31</v>
      </c>
      <c r="AE18" s="171">
        <f t="shared" si="4"/>
        <v>143.40600000000001</v>
      </c>
      <c r="AF18" s="172"/>
    </row>
    <row r="19" spans="1:32" s="173" customFormat="1" ht="15.75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200</v>
      </c>
      <c r="K19" s="163"/>
      <c r="L19" s="166">
        <v>423</v>
      </c>
      <c r="M19" s="166"/>
      <c r="N19" s="163">
        <v>1.7</v>
      </c>
      <c r="O19" s="166"/>
      <c r="P19" s="167">
        <v>16.025546582909506</v>
      </c>
      <c r="Q19" s="168">
        <f t="shared" si="0"/>
        <v>12</v>
      </c>
      <c r="R19" s="169">
        <v>1.3109999999999999</v>
      </c>
      <c r="S19" s="168">
        <v>1.56</v>
      </c>
      <c r="T19" s="168">
        <v>0</v>
      </c>
      <c r="U19" s="168">
        <f t="shared" si="5"/>
        <v>0</v>
      </c>
      <c r="V19" s="169">
        <f t="shared" si="6"/>
        <v>15.961538461538469</v>
      </c>
      <c r="W19" s="170">
        <v>0.4</v>
      </c>
      <c r="X19" s="171">
        <f>S19/Q19</f>
        <v>0.13</v>
      </c>
      <c r="Y19" s="171">
        <f t="shared" si="3"/>
        <v>1.3109999999999999</v>
      </c>
      <c r="Z19" s="171">
        <f t="shared" si="3"/>
        <v>1.56</v>
      </c>
      <c r="AA19" s="171">
        <f t="shared" si="3"/>
        <v>0</v>
      </c>
      <c r="AB19" s="171">
        <f t="shared" si="3"/>
        <v>0</v>
      </c>
      <c r="AC19" s="171">
        <f t="shared" si="2"/>
        <v>15.961538461538469</v>
      </c>
      <c r="AD19" s="163">
        <v>31</v>
      </c>
      <c r="AE19" s="171">
        <f t="shared" si="4"/>
        <v>40.640999999999998</v>
      </c>
      <c r="AF19" s="172"/>
    </row>
    <row r="20" spans="1:32" s="173" customFormat="1" ht="15.75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396</v>
      </c>
      <c r="M20" s="166"/>
      <c r="N20" s="163">
        <v>6.9</v>
      </c>
      <c r="O20" s="166"/>
      <c r="P20" s="167">
        <v>22.806727529413813</v>
      </c>
      <c r="Q20" s="168">
        <f t="shared" si="0"/>
        <v>22</v>
      </c>
      <c r="R20" s="169">
        <v>5.8</v>
      </c>
      <c r="S20" s="168">
        <v>6.8</v>
      </c>
      <c r="T20" s="168">
        <v>7</v>
      </c>
      <c r="U20" s="168">
        <f t="shared" si="5"/>
        <v>1.2068965517241379</v>
      </c>
      <c r="V20" s="169">
        <f t="shared" si="6"/>
        <v>14.705882352941178</v>
      </c>
      <c r="W20" s="170">
        <v>0.4</v>
      </c>
      <c r="X20" s="171">
        <f t="shared" si="1"/>
        <v>0.30909090909090908</v>
      </c>
      <c r="Y20" s="171">
        <f t="shared" si="3"/>
        <v>5.8</v>
      </c>
      <c r="Z20" s="171">
        <f t="shared" si="3"/>
        <v>6.8</v>
      </c>
      <c r="AA20" s="171">
        <f t="shared" si="3"/>
        <v>7</v>
      </c>
      <c r="AB20" s="171">
        <f t="shared" si="3"/>
        <v>1.2068965517241379</v>
      </c>
      <c r="AC20" s="171">
        <f t="shared" si="2"/>
        <v>14.705882352941178</v>
      </c>
      <c r="AD20" s="163">
        <v>31</v>
      </c>
      <c r="AE20" s="171">
        <f t="shared" si="4"/>
        <v>179.79999999999998</v>
      </c>
      <c r="AF20" s="172"/>
    </row>
    <row r="21" spans="1:32" s="178" customFormat="1" ht="15.9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180</v>
      </c>
      <c r="K21" s="175"/>
      <c r="L21" s="166">
        <v>488</v>
      </c>
      <c r="M21" s="176"/>
      <c r="N21" s="163">
        <v>8.6999999999999993</v>
      </c>
      <c r="O21" s="176"/>
      <c r="P21" s="167">
        <v>16.397197680734937</v>
      </c>
      <c r="Q21" s="168">
        <f t="shared" si="0"/>
        <v>39.6</v>
      </c>
      <c r="R21" s="169">
        <v>14.003</v>
      </c>
      <c r="S21" s="168">
        <v>18.318999999999999</v>
      </c>
      <c r="T21" s="168">
        <v>207</v>
      </c>
      <c r="U21" s="168">
        <f t="shared" si="5"/>
        <v>14.782546597157753</v>
      </c>
      <c r="V21" s="169">
        <f t="shared" si="6"/>
        <v>23.560238004257869</v>
      </c>
      <c r="W21" s="170">
        <v>0.2</v>
      </c>
      <c r="X21" s="171">
        <f t="shared" si="1"/>
        <v>0.46260101010101007</v>
      </c>
      <c r="Y21" s="171">
        <f t="shared" si="3"/>
        <v>14.003</v>
      </c>
      <c r="Z21" s="171">
        <f t="shared" si="3"/>
        <v>18.318999999999999</v>
      </c>
      <c r="AA21" s="171">
        <f t="shared" si="3"/>
        <v>207</v>
      </c>
      <c r="AB21" s="171">
        <f t="shared" si="3"/>
        <v>14.782546597157753</v>
      </c>
      <c r="AC21" s="171">
        <f t="shared" si="2"/>
        <v>23.560238004257869</v>
      </c>
      <c r="AD21" s="163">
        <v>31</v>
      </c>
      <c r="AE21" s="171">
        <f t="shared" si="4"/>
        <v>434.09300000000002</v>
      </c>
      <c r="AF21" s="177"/>
    </row>
    <row r="22" spans="1:32" s="173" customFormat="1" ht="15.75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476</v>
      </c>
      <c r="M22" s="166"/>
      <c r="N22" s="163">
        <v>7.3</v>
      </c>
      <c r="O22" s="166"/>
      <c r="P22" s="167">
        <v>15.830134798105714</v>
      </c>
      <c r="Q22" s="168">
        <f t="shared" si="0"/>
        <v>22</v>
      </c>
      <c r="R22" s="169">
        <v>5.8330000000000002</v>
      </c>
      <c r="S22" s="168">
        <v>8.6490000000000009</v>
      </c>
      <c r="T22" s="168">
        <v>30</v>
      </c>
      <c r="U22" s="168">
        <v>0</v>
      </c>
      <c r="V22" s="169">
        <f t="shared" si="6"/>
        <v>32.558677303734541</v>
      </c>
      <c r="W22" s="170">
        <v>0.2</v>
      </c>
      <c r="X22" s="171">
        <v>0</v>
      </c>
      <c r="Y22" s="171">
        <f t="shared" si="3"/>
        <v>5.8330000000000002</v>
      </c>
      <c r="Z22" s="171">
        <f t="shared" si="3"/>
        <v>8.6490000000000009</v>
      </c>
      <c r="AA22" s="171">
        <f t="shared" si="3"/>
        <v>30</v>
      </c>
      <c r="AB22" s="171">
        <f t="shared" si="3"/>
        <v>0</v>
      </c>
      <c r="AC22" s="171">
        <f t="shared" si="2"/>
        <v>32.558677303734541</v>
      </c>
      <c r="AD22" s="163">
        <v>31</v>
      </c>
      <c r="AE22" s="171">
        <f t="shared" si="4"/>
        <v>180.82300000000001</v>
      </c>
      <c r="AF22" s="172"/>
    </row>
    <row r="23" spans="1:32" s="173" customFormat="1" ht="15.75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304</v>
      </c>
      <c r="M23" s="166"/>
      <c r="N23" s="163">
        <v>6.2</v>
      </c>
      <c r="O23" s="166"/>
      <c r="P23" s="167">
        <v>30.387742274984891</v>
      </c>
      <c r="Q23" s="168">
        <f t="shared" si="0"/>
        <v>27.5</v>
      </c>
      <c r="R23" s="169">
        <v>1.0640000000000001</v>
      </c>
      <c r="S23" s="168">
        <v>1.6260000000000001</v>
      </c>
      <c r="T23" s="168">
        <v>0</v>
      </c>
      <c r="U23" s="168">
        <f t="shared" si="5"/>
        <v>0</v>
      </c>
      <c r="V23" s="169">
        <f t="shared" si="6"/>
        <v>34.563345633456336</v>
      </c>
      <c r="W23" s="170">
        <v>0.3</v>
      </c>
      <c r="X23" s="171">
        <f t="shared" si="1"/>
        <v>5.912727272727273E-2</v>
      </c>
      <c r="Y23" s="171">
        <f t="shared" si="3"/>
        <v>1.0640000000000001</v>
      </c>
      <c r="Z23" s="171">
        <f t="shared" si="3"/>
        <v>1.6260000000000001</v>
      </c>
      <c r="AA23" s="171">
        <f t="shared" si="3"/>
        <v>0</v>
      </c>
      <c r="AB23" s="171">
        <f t="shared" si="3"/>
        <v>0</v>
      </c>
      <c r="AC23" s="171">
        <f t="shared" si="2"/>
        <v>34.563345633456336</v>
      </c>
      <c r="AD23" s="163">
        <v>31</v>
      </c>
      <c r="AE23" s="171">
        <f t="shared" si="4"/>
        <v>32.984000000000002</v>
      </c>
      <c r="AF23" s="179"/>
    </row>
    <row r="24" spans="1:32" s="173" customFormat="1" ht="15.75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396</v>
      </c>
      <c r="M24" s="166"/>
      <c r="N24" s="163">
        <v>0.4</v>
      </c>
      <c r="O24" s="166"/>
      <c r="P24" s="167">
        <v>17.908608781943826</v>
      </c>
      <c r="Q24" s="168">
        <f t="shared" si="0"/>
        <v>11.18</v>
      </c>
      <c r="R24" s="169">
        <v>0.247</v>
      </c>
      <c r="S24" s="168">
        <v>0.58000000000000007</v>
      </c>
      <c r="T24" s="168">
        <v>0</v>
      </c>
      <c r="U24" s="168">
        <f t="shared" si="5"/>
        <v>0</v>
      </c>
      <c r="V24" s="169">
        <f t="shared" si="6"/>
        <v>57.413793103448285</v>
      </c>
      <c r="W24" s="170">
        <v>0.2</v>
      </c>
      <c r="X24" s="171">
        <f t="shared" si="1"/>
        <v>5.1878354203935606E-2</v>
      </c>
      <c r="Y24" s="171">
        <f t="shared" si="3"/>
        <v>0.247</v>
      </c>
      <c r="Z24" s="171">
        <f t="shared" si="3"/>
        <v>0.58000000000000007</v>
      </c>
      <c r="AA24" s="171">
        <f t="shared" si="3"/>
        <v>0</v>
      </c>
      <c r="AB24" s="171">
        <f t="shared" si="3"/>
        <v>0</v>
      </c>
      <c r="AC24" s="171">
        <f t="shared" si="2"/>
        <v>57.413793103448285</v>
      </c>
      <c r="AD24" s="163">
        <v>31</v>
      </c>
      <c r="AE24" s="171">
        <f t="shared" si="4"/>
        <v>7.657</v>
      </c>
      <c r="AF24" s="172"/>
    </row>
    <row r="25" spans="1:32" s="173" customFormat="1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85</v>
      </c>
      <c r="K25" s="163"/>
      <c r="L25" s="166">
        <v>269</v>
      </c>
      <c r="M25" s="166"/>
      <c r="N25" s="163">
        <v>2.8</v>
      </c>
      <c r="O25" s="166"/>
      <c r="P25" s="167">
        <v>31.828541115413287</v>
      </c>
      <c r="Q25" s="168">
        <f t="shared" si="0"/>
        <v>18.7</v>
      </c>
      <c r="R25" s="169">
        <v>10.7</v>
      </c>
      <c r="S25" s="168">
        <v>13</v>
      </c>
      <c r="T25" s="168">
        <v>6</v>
      </c>
      <c r="U25" s="168">
        <f t="shared" si="5"/>
        <v>0.56074766355140193</v>
      </c>
      <c r="V25" s="169">
        <f t="shared" si="6"/>
        <v>17.692307692307701</v>
      </c>
      <c r="W25" s="170">
        <v>2</v>
      </c>
      <c r="X25" s="171">
        <f t="shared" si="1"/>
        <v>0.69518716577540107</v>
      </c>
      <c r="Y25" s="171">
        <f t="shared" si="3"/>
        <v>10.7</v>
      </c>
      <c r="Z25" s="171">
        <f t="shared" si="3"/>
        <v>13</v>
      </c>
      <c r="AA25" s="171">
        <f t="shared" si="3"/>
        <v>6</v>
      </c>
      <c r="AB25" s="171">
        <f t="shared" si="3"/>
        <v>0.56074766355140193</v>
      </c>
      <c r="AC25" s="171">
        <f t="shared" si="2"/>
        <v>17.692307692307701</v>
      </c>
      <c r="AD25" s="163">
        <v>31</v>
      </c>
      <c r="AE25" s="171">
        <f t="shared" si="4"/>
        <v>331.7</v>
      </c>
      <c r="AF25" s="172"/>
    </row>
    <row r="26" spans="1:32" s="173" customFormat="1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526.69000000000005</v>
      </c>
      <c r="J26" s="163">
        <v>180</v>
      </c>
      <c r="K26" s="163"/>
      <c r="L26" s="166">
        <v>444</v>
      </c>
      <c r="M26" s="166"/>
      <c r="N26" s="163">
        <v>7.4</v>
      </c>
      <c r="O26" s="166"/>
      <c r="P26" s="167">
        <v>16.111252096414869</v>
      </c>
      <c r="Q26" s="168">
        <f t="shared" si="0"/>
        <v>57.6</v>
      </c>
      <c r="R26" s="169">
        <v>9.3149999999999995</v>
      </c>
      <c r="S26" s="168">
        <v>12.756</v>
      </c>
      <c r="T26" s="168">
        <v>1486</v>
      </c>
      <c r="U26" s="168">
        <f t="shared" si="5"/>
        <v>159.52764358561461</v>
      </c>
      <c r="V26" s="169">
        <f t="shared" si="6"/>
        <v>26.975540921919102</v>
      </c>
      <c r="W26" s="170">
        <v>0.3</v>
      </c>
      <c r="X26" s="171">
        <f t="shared" si="1"/>
        <v>0.22145833333333334</v>
      </c>
      <c r="Y26" s="171">
        <f t="shared" si="3"/>
        <v>9.3149999999999995</v>
      </c>
      <c r="Z26" s="171">
        <f t="shared" si="3"/>
        <v>12.756</v>
      </c>
      <c r="AA26" s="171">
        <f t="shared" si="3"/>
        <v>1486</v>
      </c>
      <c r="AB26" s="171">
        <f t="shared" si="3"/>
        <v>159.52764358561461</v>
      </c>
      <c r="AC26" s="171">
        <f t="shared" si="2"/>
        <v>26.975540921919102</v>
      </c>
      <c r="AD26" s="163">
        <v>31</v>
      </c>
      <c r="AE26" s="171">
        <f t="shared" si="4"/>
        <v>288.76499999999999</v>
      </c>
      <c r="AF26" s="172"/>
    </row>
    <row r="27" spans="1:32" s="173" customFormat="1" ht="16.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41</v>
      </c>
      <c r="M27" s="166"/>
      <c r="N27" s="163">
        <v>10.1</v>
      </c>
      <c r="O27" s="166"/>
      <c r="P27" s="167">
        <v>54.672801789746934</v>
      </c>
      <c r="Q27" s="168">
        <f t="shared" si="0"/>
        <v>74.8</v>
      </c>
      <c r="R27" s="169">
        <v>27</v>
      </c>
      <c r="S27" s="168">
        <v>31</v>
      </c>
      <c r="T27" s="168">
        <v>3119</v>
      </c>
      <c r="U27" s="168">
        <f t="shared" si="5"/>
        <v>115.51851851851852</v>
      </c>
      <c r="V27" s="169">
        <f t="shared" si="6"/>
        <v>12.903225806451612</v>
      </c>
      <c r="W27" s="170">
        <v>0.4</v>
      </c>
      <c r="X27" s="171">
        <f t="shared" si="1"/>
        <v>0.41443850267379678</v>
      </c>
      <c r="Y27" s="171">
        <f t="shared" si="3"/>
        <v>27</v>
      </c>
      <c r="Z27" s="171">
        <f t="shared" si="3"/>
        <v>31</v>
      </c>
      <c r="AA27" s="171">
        <f t="shared" si="3"/>
        <v>3119</v>
      </c>
      <c r="AB27" s="171">
        <f t="shared" si="3"/>
        <v>115.51851851851852</v>
      </c>
      <c r="AC27" s="171">
        <f t="shared" si="2"/>
        <v>12.903225806451612</v>
      </c>
      <c r="AD27" s="163">
        <v>31</v>
      </c>
      <c r="AE27" s="171">
        <f t="shared" si="4"/>
        <v>837</v>
      </c>
      <c r="AF27" s="172"/>
    </row>
    <row r="28" spans="1:32" s="173" customFormat="1" ht="15.75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453</v>
      </c>
      <c r="M28" s="166"/>
      <c r="N28" s="163">
        <v>6.7</v>
      </c>
      <c r="O28" s="166"/>
      <c r="P28" s="167">
        <v>18.825055935403586</v>
      </c>
      <c r="Q28" s="168">
        <f t="shared" si="0"/>
        <v>11.05</v>
      </c>
      <c r="R28" s="169">
        <v>5.1040000000000001</v>
      </c>
      <c r="S28" s="168">
        <v>6.6260000000000003</v>
      </c>
      <c r="T28" s="168">
        <v>9</v>
      </c>
      <c r="U28" s="168">
        <f t="shared" si="5"/>
        <v>1.7633228840125392</v>
      </c>
      <c r="V28" s="169">
        <f t="shared" si="6"/>
        <v>22.970117718080292</v>
      </c>
      <c r="W28" s="170">
        <v>0.4</v>
      </c>
      <c r="X28" s="171">
        <f t="shared" si="1"/>
        <v>0.59963800904977371</v>
      </c>
      <c r="Y28" s="171">
        <f t="shared" si="3"/>
        <v>5.1040000000000001</v>
      </c>
      <c r="Z28" s="171">
        <f t="shared" si="3"/>
        <v>6.6260000000000003</v>
      </c>
      <c r="AA28" s="171">
        <f t="shared" si="3"/>
        <v>9</v>
      </c>
      <c r="AB28" s="171">
        <f t="shared" si="3"/>
        <v>1.7633228840125392</v>
      </c>
      <c r="AC28" s="171">
        <f t="shared" si="2"/>
        <v>22.970117718080292</v>
      </c>
      <c r="AD28" s="163">
        <v>31</v>
      </c>
      <c r="AE28" s="171">
        <f>Y28*AD28</f>
        <v>158.22399999999999</v>
      </c>
      <c r="AF28" s="179"/>
    </row>
    <row r="29" spans="1:32" s="178" customFormat="1" ht="15.75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507</v>
      </c>
      <c r="M29" s="164"/>
      <c r="N29" s="164">
        <v>10.4</v>
      </c>
      <c r="O29" s="164"/>
      <c r="P29" s="164">
        <v>15.31144887312186</v>
      </c>
      <c r="Q29" s="164">
        <f t="shared" si="0"/>
        <v>96</v>
      </c>
      <c r="R29" s="181">
        <v>21.077999999999999</v>
      </c>
      <c r="S29" s="181">
        <v>25.132999999999999</v>
      </c>
      <c r="T29" s="164">
        <v>1040</v>
      </c>
      <c r="U29" s="181">
        <f t="shared" si="5"/>
        <v>49.340544643704341</v>
      </c>
      <c r="V29" s="181">
        <f t="shared" si="6"/>
        <v>16.134166235626466</v>
      </c>
      <c r="W29" s="164">
        <v>0.3</v>
      </c>
      <c r="X29" s="181">
        <f t="shared" si="1"/>
        <v>0.26180208333333332</v>
      </c>
      <c r="Y29" s="181">
        <f t="shared" si="3"/>
        <v>21.077999999999999</v>
      </c>
      <c r="Z29" s="181">
        <f t="shared" si="3"/>
        <v>25.132999999999999</v>
      </c>
      <c r="AA29" s="164">
        <f t="shared" si="3"/>
        <v>1040</v>
      </c>
      <c r="AB29" s="181">
        <f t="shared" si="3"/>
        <v>49.340544643704341</v>
      </c>
      <c r="AC29" s="181">
        <f t="shared" si="2"/>
        <v>16.134166235626466</v>
      </c>
      <c r="AD29" s="164">
        <v>31</v>
      </c>
      <c r="AE29" s="181">
        <f>Y29*AD29</f>
        <v>653.41800000000001</v>
      </c>
      <c r="AF29" s="164"/>
    </row>
    <row r="30" spans="1:32" s="178" customFormat="1" ht="15.75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75</v>
      </c>
      <c r="L30" s="166"/>
      <c r="M30" s="166">
        <v>0.5</v>
      </c>
      <c r="N30" s="166"/>
      <c r="O30" s="166"/>
      <c r="P30" s="166"/>
      <c r="Q30" s="168">
        <v>0</v>
      </c>
      <c r="R30" s="169">
        <v>0</v>
      </c>
      <c r="S30" s="168"/>
      <c r="T30" s="168"/>
      <c r="U30" s="168"/>
      <c r="V30" s="169"/>
      <c r="W30" s="170"/>
      <c r="X30" s="171"/>
      <c r="Y30" s="171">
        <f t="shared" si="3"/>
        <v>0</v>
      </c>
      <c r="Z30" s="171">
        <v>0</v>
      </c>
      <c r="AA30" s="171">
        <v>0</v>
      </c>
      <c r="AB30" s="171">
        <v>0</v>
      </c>
      <c r="AC30" s="171">
        <v>0</v>
      </c>
      <c r="AD30" s="163"/>
      <c r="AE30" s="171">
        <v>0</v>
      </c>
      <c r="AF30" s="172" t="s">
        <v>237</v>
      </c>
    </row>
    <row r="31" spans="1:32" s="173" customFormat="1" ht="15.75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108</v>
      </c>
      <c r="L31" s="166"/>
      <c r="M31" s="166">
        <v>0.5</v>
      </c>
      <c r="N31" s="166"/>
      <c r="O31" s="166"/>
      <c r="P31" s="167"/>
      <c r="Q31" s="168">
        <f t="shared" si="0"/>
        <v>0</v>
      </c>
      <c r="R31" s="169">
        <v>0</v>
      </c>
      <c r="S31" s="168"/>
      <c r="T31" s="168"/>
      <c r="U31" s="168"/>
      <c r="V31" s="169"/>
      <c r="W31" s="170"/>
      <c r="X31" s="171"/>
      <c r="Y31" s="171">
        <f t="shared" si="3"/>
        <v>0</v>
      </c>
      <c r="Z31" s="171">
        <f t="shared" si="3"/>
        <v>0</v>
      </c>
      <c r="AA31" s="171">
        <f t="shared" si="3"/>
        <v>0</v>
      </c>
      <c r="AB31" s="171">
        <f>U31</f>
        <v>0</v>
      </c>
      <c r="AC31" s="171">
        <f t="shared" si="2"/>
        <v>0</v>
      </c>
      <c r="AD31" s="163"/>
      <c r="AE31" s="171">
        <f t="shared" si="4"/>
        <v>0</v>
      </c>
      <c r="AF31" s="172" t="s">
        <v>215</v>
      </c>
    </row>
    <row r="32" spans="1:32" s="173" customFormat="1" ht="15.9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125</v>
      </c>
      <c r="K32" s="163"/>
      <c r="L32" s="166">
        <v>408</v>
      </c>
      <c r="M32" s="166"/>
      <c r="N32" s="163">
        <v>6.7</v>
      </c>
      <c r="O32" s="166"/>
      <c r="P32" s="167">
        <v>20.264544204940041</v>
      </c>
      <c r="Q32" s="168">
        <f t="shared" si="0"/>
        <v>27.5</v>
      </c>
      <c r="R32" s="169">
        <v>13.8</v>
      </c>
      <c r="S32" s="168">
        <v>19</v>
      </c>
      <c r="T32" s="168">
        <v>448</v>
      </c>
      <c r="U32" s="168">
        <f t="shared" si="5"/>
        <v>32.463768115942024</v>
      </c>
      <c r="V32" s="169">
        <f t="shared" si="6"/>
        <v>27.368421052631575</v>
      </c>
      <c r="W32" s="170">
        <v>0.3</v>
      </c>
      <c r="X32" s="171">
        <f t="shared" si="1"/>
        <v>0.69090909090909092</v>
      </c>
      <c r="Y32" s="171">
        <f t="shared" si="3"/>
        <v>13.8</v>
      </c>
      <c r="Z32" s="171">
        <f t="shared" si="3"/>
        <v>19</v>
      </c>
      <c r="AA32" s="171">
        <f t="shared" si="3"/>
        <v>448</v>
      </c>
      <c r="AB32" s="171">
        <f t="shared" si="3"/>
        <v>32.463768115942024</v>
      </c>
      <c r="AC32" s="171">
        <f t="shared" si="2"/>
        <v>27.368421052631575</v>
      </c>
      <c r="AD32" s="163">
        <v>31</v>
      </c>
      <c r="AE32" s="171">
        <f t="shared" si="4"/>
        <v>427.8</v>
      </c>
      <c r="AF32" s="172"/>
    </row>
    <row r="33" spans="1:32" s="173" customFormat="1" ht="15.9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100</v>
      </c>
      <c r="K33" s="163"/>
      <c r="L33" s="166">
        <v>475</v>
      </c>
      <c r="M33" s="166"/>
      <c r="N33" s="163">
        <v>4.7</v>
      </c>
      <c r="O33" s="166"/>
      <c r="P33" s="167">
        <v>14.230860675417341</v>
      </c>
      <c r="Q33" s="168">
        <f>LEFT(H33,(FIND("K",H33,1)-1))*J33/100</f>
        <v>13</v>
      </c>
      <c r="R33" s="169">
        <v>3.855</v>
      </c>
      <c r="S33" s="168">
        <v>7.7409999999999997</v>
      </c>
      <c r="T33" s="168">
        <v>0</v>
      </c>
      <c r="U33" s="168">
        <v>0</v>
      </c>
      <c r="V33" s="169">
        <f t="shared" si="6"/>
        <v>50.200232528097146</v>
      </c>
      <c r="W33" s="170">
        <v>0.5</v>
      </c>
      <c r="X33" s="171">
        <v>0</v>
      </c>
      <c r="Y33" s="171">
        <f t="shared" si="3"/>
        <v>3.855</v>
      </c>
      <c r="Z33" s="171">
        <f t="shared" si="3"/>
        <v>7.7409999999999997</v>
      </c>
      <c r="AA33" s="171">
        <f t="shared" si="3"/>
        <v>0</v>
      </c>
      <c r="AB33" s="171">
        <f t="shared" si="3"/>
        <v>0</v>
      </c>
      <c r="AC33" s="171">
        <f t="shared" si="2"/>
        <v>50.200232528097146</v>
      </c>
      <c r="AD33" s="163">
        <v>31</v>
      </c>
      <c r="AE33" s="171">
        <f>Y33*AD33</f>
        <v>119.505</v>
      </c>
      <c r="AF33" s="172"/>
    </row>
    <row r="34" spans="1:32" s="173" customFormat="1" ht="16.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465</v>
      </c>
      <c r="M34" s="166"/>
      <c r="N34" s="163">
        <v>6.9</v>
      </c>
      <c r="O34" s="166"/>
      <c r="P34" s="167">
        <v>14.592518877585457</v>
      </c>
      <c r="Q34" s="168">
        <f t="shared" si="0"/>
        <v>66</v>
      </c>
      <c r="R34" s="169">
        <v>5.2320000000000002</v>
      </c>
      <c r="S34" s="168">
        <v>7.0250000000000004</v>
      </c>
      <c r="T34" s="168">
        <v>824</v>
      </c>
      <c r="U34" s="168">
        <f t="shared" si="5"/>
        <v>157.49235474006116</v>
      </c>
      <c r="V34" s="169">
        <f t="shared" si="6"/>
        <v>25.523131672597867</v>
      </c>
      <c r="W34" s="170">
        <v>0.3</v>
      </c>
      <c r="X34" s="171">
        <f t="shared" si="1"/>
        <v>0.10643939393939394</v>
      </c>
      <c r="Y34" s="171">
        <f t="shared" si="3"/>
        <v>5.2320000000000002</v>
      </c>
      <c r="Z34" s="171">
        <f t="shared" si="3"/>
        <v>7.0250000000000004</v>
      </c>
      <c r="AA34" s="171">
        <f t="shared" si="3"/>
        <v>824</v>
      </c>
      <c r="AB34" s="171">
        <f t="shared" si="3"/>
        <v>157.49235474006116</v>
      </c>
      <c r="AC34" s="171">
        <f t="shared" si="2"/>
        <v>25.523131672597867</v>
      </c>
      <c r="AD34" s="163">
        <v>31</v>
      </c>
      <c r="AE34" s="171">
        <f t="shared" si="4"/>
        <v>162.19200000000001</v>
      </c>
      <c r="AF34" s="183"/>
    </row>
    <row r="35" spans="1:32" s="173" customFormat="1" ht="15.9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469</v>
      </c>
      <c r="M35" s="166"/>
      <c r="N35" s="163">
        <v>6.1</v>
      </c>
      <c r="O35" s="166"/>
      <c r="P35" s="167">
        <v>15.683973513693058</v>
      </c>
      <c r="Q35" s="168">
        <f t="shared" si="0"/>
        <v>16.25</v>
      </c>
      <c r="R35" s="169">
        <v>6.6</v>
      </c>
      <c r="S35" s="168">
        <v>7.5</v>
      </c>
      <c r="T35" s="168">
        <v>21</v>
      </c>
      <c r="U35" s="168">
        <f t="shared" si="5"/>
        <v>3.1818181818181821</v>
      </c>
      <c r="V35" s="169">
        <f t="shared" si="6"/>
        <v>12.000000000000005</v>
      </c>
      <c r="W35" s="170">
        <v>2</v>
      </c>
      <c r="X35" s="171">
        <f t="shared" si="1"/>
        <v>0.46153846153846156</v>
      </c>
      <c r="Y35" s="171">
        <f t="shared" si="3"/>
        <v>6.6</v>
      </c>
      <c r="Z35" s="171">
        <f t="shared" si="3"/>
        <v>7.5</v>
      </c>
      <c r="AA35" s="171">
        <f t="shared" si="3"/>
        <v>21</v>
      </c>
      <c r="AB35" s="171">
        <f t="shared" si="3"/>
        <v>3.1818181818181821</v>
      </c>
      <c r="AC35" s="171">
        <f t="shared" si="2"/>
        <v>12.000000000000005</v>
      </c>
      <c r="AD35" s="163">
        <v>31</v>
      </c>
      <c r="AE35" s="171">
        <f t="shared" si="4"/>
        <v>204.6</v>
      </c>
      <c r="AF35" s="179"/>
    </row>
    <row r="36" spans="1:32" s="173" customFormat="1" ht="15.9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5">
        <v>551.13</v>
      </c>
      <c r="J36" s="163">
        <v>85</v>
      </c>
      <c r="K36" s="163"/>
      <c r="L36" s="166">
        <v>273</v>
      </c>
      <c r="M36" s="166"/>
      <c r="N36" s="163">
        <v>1.2</v>
      </c>
      <c r="O36" s="166"/>
      <c r="P36" s="167">
        <v>30.352465436501934</v>
      </c>
      <c r="Q36" s="168">
        <f t="shared" si="0"/>
        <v>18.7</v>
      </c>
      <c r="R36" s="169">
        <v>6.0549999999999997</v>
      </c>
      <c r="S36" s="168">
        <v>7.4989999999999997</v>
      </c>
      <c r="T36" s="168">
        <v>11</v>
      </c>
      <c r="U36" s="168">
        <v>0</v>
      </c>
      <c r="V36" s="169">
        <f t="shared" si="6"/>
        <v>19.255900786771569</v>
      </c>
      <c r="W36" s="170">
        <v>1</v>
      </c>
      <c r="X36" s="171">
        <v>0</v>
      </c>
      <c r="Y36" s="171">
        <f t="shared" si="3"/>
        <v>6.0549999999999997</v>
      </c>
      <c r="Z36" s="171">
        <f t="shared" si="3"/>
        <v>7.4989999999999997</v>
      </c>
      <c r="AA36" s="171">
        <f t="shared" si="3"/>
        <v>11</v>
      </c>
      <c r="AB36" s="171">
        <f t="shared" si="3"/>
        <v>0</v>
      </c>
      <c r="AC36" s="171">
        <f t="shared" si="2"/>
        <v>19.255900786771569</v>
      </c>
      <c r="AD36" s="163">
        <v>31</v>
      </c>
      <c r="AE36" s="171">
        <f t="shared" si="4"/>
        <v>187.70499999999998</v>
      </c>
      <c r="AF36" s="172"/>
    </row>
    <row r="37" spans="1:32" s="173" customFormat="1" ht="15.9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185</v>
      </c>
      <c r="K37" s="163"/>
      <c r="L37" s="166">
        <v>219</v>
      </c>
      <c r="M37" s="166"/>
      <c r="N37" s="163">
        <v>8.1999999999999993</v>
      </c>
      <c r="O37" s="166"/>
      <c r="P37" s="167">
        <v>41.611872276020542</v>
      </c>
      <c r="Q37" s="168">
        <f t="shared" si="0"/>
        <v>40.700000000000003</v>
      </c>
      <c r="R37" s="169">
        <v>6.0620000000000003</v>
      </c>
      <c r="S37" s="168">
        <v>15.539000000000001</v>
      </c>
      <c r="T37" s="168">
        <v>98</v>
      </c>
      <c r="U37" s="168">
        <f t="shared" si="5"/>
        <v>16.166281755196305</v>
      </c>
      <c r="V37" s="169">
        <f t="shared" si="6"/>
        <v>60.98848059720703</v>
      </c>
      <c r="W37" s="170">
        <v>0.6</v>
      </c>
      <c r="X37" s="171">
        <f t="shared" si="1"/>
        <v>0.38179361179361182</v>
      </c>
      <c r="Y37" s="171">
        <f t="shared" si="3"/>
        <v>6.0620000000000003</v>
      </c>
      <c r="Z37" s="171">
        <f t="shared" si="3"/>
        <v>15.539000000000001</v>
      </c>
      <c r="AA37" s="171">
        <f t="shared" si="3"/>
        <v>98</v>
      </c>
      <c r="AB37" s="171">
        <f t="shared" si="3"/>
        <v>16.166281755196305</v>
      </c>
      <c r="AC37" s="171">
        <f t="shared" si="2"/>
        <v>60.98848059720703</v>
      </c>
      <c r="AD37" s="163">
        <v>31</v>
      </c>
      <c r="AE37" s="171">
        <f t="shared" si="4"/>
        <v>187.922</v>
      </c>
      <c r="AF37" s="172"/>
    </row>
    <row r="38" spans="1:32" s="173" customFormat="1" ht="15.9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493</v>
      </c>
      <c r="M38" s="166"/>
      <c r="N38" s="163">
        <v>8.5</v>
      </c>
      <c r="O38" s="166"/>
      <c r="P38" s="167">
        <v>15.423101969906783</v>
      </c>
      <c r="Q38" s="168">
        <f>LEFT(H38,(FIND("K",H38,1)-1))*J38/100</f>
        <v>62.7</v>
      </c>
      <c r="R38" s="169">
        <v>19.5</v>
      </c>
      <c r="S38" s="168">
        <v>26</v>
      </c>
      <c r="T38" s="168">
        <v>1821</v>
      </c>
      <c r="U38" s="168">
        <f t="shared" si="5"/>
        <v>93.384615384615387</v>
      </c>
      <c r="V38" s="169">
        <f t="shared" si="6"/>
        <v>25</v>
      </c>
      <c r="W38" s="170">
        <v>0.3</v>
      </c>
      <c r="X38" s="171">
        <f t="shared" si="1"/>
        <v>0.41467304625199358</v>
      </c>
      <c r="Y38" s="171">
        <f t="shared" si="3"/>
        <v>19.5</v>
      </c>
      <c r="Z38" s="171">
        <f t="shared" si="3"/>
        <v>26</v>
      </c>
      <c r="AA38" s="171">
        <f t="shared" si="3"/>
        <v>1821</v>
      </c>
      <c r="AB38" s="171">
        <f t="shared" si="3"/>
        <v>93.384615384615387</v>
      </c>
      <c r="AC38" s="171">
        <f t="shared" si="2"/>
        <v>25</v>
      </c>
      <c r="AD38" s="163">
        <v>31</v>
      </c>
      <c r="AE38" s="171">
        <f t="shared" si="4"/>
        <v>604.5</v>
      </c>
      <c r="AF38" s="172"/>
    </row>
    <row r="39" spans="1:32" s="173" customFormat="1" ht="15.9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115</v>
      </c>
      <c r="K39" s="163"/>
      <c r="L39" s="163">
        <v>307</v>
      </c>
      <c r="M39" s="166"/>
      <c r="N39" s="163">
        <v>8.6</v>
      </c>
      <c r="O39" s="166"/>
      <c r="P39" s="182">
        <v>31.606526550767015</v>
      </c>
      <c r="Q39" s="171">
        <f t="shared" ref="Q39:Q71" si="7">LEFT(H39,(FIND("K",H39,1)-1))*J39/100</f>
        <v>9.1999999999999993</v>
      </c>
      <c r="R39" s="170">
        <v>5.7480000000000002</v>
      </c>
      <c r="S39" s="171">
        <v>7.7610000000000001</v>
      </c>
      <c r="T39" s="171">
        <v>48</v>
      </c>
      <c r="U39" s="171">
        <f t="shared" si="5"/>
        <v>8.3507306889352808</v>
      </c>
      <c r="V39" s="169">
        <f t="shared" si="6"/>
        <v>25.937379203710858</v>
      </c>
      <c r="W39" s="170">
        <v>0.4</v>
      </c>
      <c r="X39" s="171">
        <f t="shared" si="1"/>
        <v>0.84358695652173921</v>
      </c>
      <c r="Y39" s="171">
        <f t="shared" si="3"/>
        <v>5.7480000000000002</v>
      </c>
      <c r="Z39" s="171">
        <f t="shared" si="3"/>
        <v>7.7610000000000001</v>
      </c>
      <c r="AA39" s="171">
        <f t="shared" si="3"/>
        <v>48</v>
      </c>
      <c r="AB39" s="171">
        <f t="shared" si="3"/>
        <v>8.3507306889352808</v>
      </c>
      <c r="AC39" s="171">
        <f t="shared" si="2"/>
        <v>25.937379203710858</v>
      </c>
      <c r="AD39" s="163">
        <v>31</v>
      </c>
      <c r="AE39" s="171">
        <f t="shared" si="4"/>
        <v>178.18800000000002</v>
      </c>
      <c r="AF39" s="172"/>
    </row>
    <row r="40" spans="1:32" s="178" customFormat="1" ht="15.95" customHeight="1" x14ac:dyDescent="0.2">
      <c r="A40" s="163">
        <v>27</v>
      </c>
      <c r="B40" s="187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429</v>
      </c>
      <c r="M40" s="159"/>
      <c r="N40" s="163">
        <v>7.8</v>
      </c>
      <c r="O40" s="159"/>
      <c r="P40" s="160">
        <v>19.025266615552038</v>
      </c>
      <c r="Q40" s="171">
        <f t="shared" si="7"/>
        <v>25.3</v>
      </c>
      <c r="R40" s="170">
        <v>7.79</v>
      </c>
      <c r="S40" s="174">
        <v>10.77</v>
      </c>
      <c r="T40" s="174">
        <v>605</v>
      </c>
      <c r="U40" s="171">
        <f t="shared" si="5"/>
        <v>77.663671373555843</v>
      </c>
      <c r="V40" s="169">
        <f t="shared" si="6"/>
        <v>27.669452181986998</v>
      </c>
      <c r="W40" s="165">
        <v>0.3</v>
      </c>
      <c r="X40" s="171">
        <f t="shared" si="1"/>
        <v>0.42569169960474307</v>
      </c>
      <c r="Y40" s="171">
        <f t="shared" si="3"/>
        <v>7.79</v>
      </c>
      <c r="Z40" s="171">
        <f t="shared" si="3"/>
        <v>10.77</v>
      </c>
      <c r="AA40" s="171">
        <f t="shared" si="3"/>
        <v>605</v>
      </c>
      <c r="AB40" s="171">
        <f t="shared" si="3"/>
        <v>77.663671373555843</v>
      </c>
      <c r="AC40" s="171">
        <f t="shared" si="2"/>
        <v>27.669452181986998</v>
      </c>
      <c r="AD40" s="163">
        <v>31</v>
      </c>
      <c r="AE40" s="171">
        <f t="shared" si="4"/>
        <v>241.49</v>
      </c>
      <c r="AF40" s="190"/>
    </row>
    <row r="41" spans="1:32" s="178" customFormat="1" ht="15.95" customHeight="1" x14ac:dyDescent="0.2">
      <c r="A41" s="163">
        <v>28</v>
      </c>
      <c r="B41" s="187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/>
      <c r="K41" s="159">
        <v>128</v>
      </c>
      <c r="L41" s="163"/>
      <c r="M41" s="159">
        <v>0</v>
      </c>
      <c r="N41" s="163"/>
      <c r="O41" s="159"/>
      <c r="P41" s="160">
        <v>0</v>
      </c>
      <c r="Q41" s="171">
        <v>0</v>
      </c>
      <c r="R41" s="170">
        <v>0</v>
      </c>
      <c r="S41" s="174">
        <v>0</v>
      </c>
      <c r="T41" s="174">
        <v>0</v>
      </c>
      <c r="U41" s="171">
        <v>0</v>
      </c>
      <c r="V41" s="169"/>
      <c r="W41" s="165"/>
      <c r="X41" s="171">
        <v>0</v>
      </c>
      <c r="Y41" s="171">
        <f t="shared" si="3"/>
        <v>0</v>
      </c>
      <c r="Z41" s="171">
        <f t="shared" si="3"/>
        <v>0</v>
      </c>
      <c r="AA41" s="171">
        <f t="shared" si="3"/>
        <v>0</v>
      </c>
      <c r="AB41" s="171">
        <f t="shared" si="3"/>
        <v>0</v>
      </c>
      <c r="AC41" s="171">
        <f t="shared" si="2"/>
        <v>0</v>
      </c>
      <c r="AD41" s="163"/>
      <c r="AE41" s="171">
        <f t="shared" si="4"/>
        <v>0</v>
      </c>
      <c r="AF41" s="190" t="s">
        <v>215</v>
      </c>
    </row>
    <row r="42" spans="1:32" s="178" customFormat="1" ht="15.95" customHeight="1" x14ac:dyDescent="0.2">
      <c r="A42" s="163">
        <v>29</v>
      </c>
      <c r="B42" s="187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197</v>
      </c>
      <c r="M42" s="159"/>
      <c r="N42" s="163">
        <v>0.3</v>
      </c>
      <c r="O42" s="159"/>
      <c r="P42" s="160">
        <v>38.500544476955355</v>
      </c>
      <c r="Q42" s="171">
        <f t="shared" si="7"/>
        <v>5.0999999999999996</v>
      </c>
      <c r="R42" s="170">
        <v>4.7300000000000004</v>
      </c>
      <c r="S42" s="174">
        <v>6.8670000000000009</v>
      </c>
      <c r="T42" s="174">
        <v>0</v>
      </c>
      <c r="U42" s="171">
        <f>T42/R42</f>
        <v>0</v>
      </c>
      <c r="V42" s="169">
        <f t="shared" si="6"/>
        <v>31.119848551041212</v>
      </c>
      <c r="W42" s="165">
        <v>0.4</v>
      </c>
      <c r="X42" s="171">
        <f t="shared" si="1"/>
        <v>1.3464705882352943</v>
      </c>
      <c r="Y42" s="171">
        <f t="shared" si="3"/>
        <v>4.7300000000000004</v>
      </c>
      <c r="Z42" s="171">
        <f t="shared" si="3"/>
        <v>6.8670000000000009</v>
      </c>
      <c r="AA42" s="171">
        <f t="shared" si="3"/>
        <v>0</v>
      </c>
      <c r="AB42" s="171">
        <f t="shared" si="3"/>
        <v>0</v>
      </c>
      <c r="AC42" s="171">
        <f t="shared" si="2"/>
        <v>31.119848551041212</v>
      </c>
      <c r="AD42" s="163">
        <v>31</v>
      </c>
      <c r="AE42" s="171">
        <f t="shared" si="4"/>
        <v>146.63000000000002</v>
      </c>
      <c r="AF42" s="190"/>
    </row>
    <row r="43" spans="1:32" s="173" customFormat="1" ht="15.75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420</v>
      </c>
      <c r="M43" s="166"/>
      <c r="N43" s="163">
        <v>7</v>
      </c>
      <c r="O43" s="166"/>
      <c r="P43" s="182">
        <v>20.506743955239525</v>
      </c>
      <c r="Q43" s="171">
        <f t="shared" si="7"/>
        <v>11.05</v>
      </c>
      <c r="R43" s="170">
        <v>5.7729999999999997</v>
      </c>
      <c r="S43" s="171">
        <v>7.0510000000000002</v>
      </c>
      <c r="T43" s="171">
        <v>54</v>
      </c>
      <c r="U43" s="171">
        <f t="shared" si="5"/>
        <v>9.3538887926554661</v>
      </c>
      <c r="V43" s="169">
        <f t="shared" si="6"/>
        <v>18.12508863990924</v>
      </c>
      <c r="W43" s="170">
        <v>0.5</v>
      </c>
      <c r="X43" s="171">
        <f t="shared" si="1"/>
        <v>0.63809954751131215</v>
      </c>
      <c r="Y43" s="171">
        <f t="shared" si="3"/>
        <v>5.7729999999999997</v>
      </c>
      <c r="Z43" s="171">
        <f t="shared" si="3"/>
        <v>7.0510000000000002</v>
      </c>
      <c r="AA43" s="171">
        <f t="shared" si="3"/>
        <v>54</v>
      </c>
      <c r="AB43" s="171">
        <f>U43</f>
        <v>9.3538887926554661</v>
      </c>
      <c r="AC43" s="171">
        <f t="shared" si="2"/>
        <v>18.12508863990924</v>
      </c>
      <c r="AD43" s="163">
        <v>31</v>
      </c>
      <c r="AE43" s="171">
        <f t="shared" si="4"/>
        <v>178.96299999999999</v>
      </c>
      <c r="AF43" s="179"/>
    </row>
    <row r="44" spans="1:32" s="173" customFormat="1" ht="15.75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85</v>
      </c>
      <c r="K44" s="163"/>
      <c r="L44" s="163">
        <v>186</v>
      </c>
      <c r="M44" s="166"/>
      <c r="N44" s="163">
        <v>3.8</v>
      </c>
      <c r="O44" s="166"/>
      <c r="P44" s="182">
        <v>40.265732278322766</v>
      </c>
      <c r="Q44" s="171">
        <f t="shared" si="7"/>
        <v>5.0999999999999996</v>
      </c>
      <c r="R44" s="170">
        <v>1.4359999999999999</v>
      </c>
      <c r="S44" s="171">
        <v>2.7469999999999999</v>
      </c>
      <c r="T44" s="171">
        <v>0</v>
      </c>
      <c r="U44" s="171">
        <f t="shared" si="5"/>
        <v>0</v>
      </c>
      <c r="V44" s="169">
        <f t="shared" si="6"/>
        <v>47.724790680742629</v>
      </c>
      <c r="W44" s="170">
        <v>0.3</v>
      </c>
      <c r="X44" s="171">
        <f t="shared" si="1"/>
        <v>0.53862745098039222</v>
      </c>
      <c r="Y44" s="171">
        <f t="shared" si="3"/>
        <v>1.4359999999999999</v>
      </c>
      <c r="Z44" s="171">
        <f t="shared" si="3"/>
        <v>2.7469999999999999</v>
      </c>
      <c r="AA44" s="171">
        <f t="shared" si="3"/>
        <v>0</v>
      </c>
      <c r="AB44" s="171">
        <f>U44</f>
        <v>0</v>
      </c>
      <c r="AC44" s="171">
        <f t="shared" si="2"/>
        <v>47.724790680742629</v>
      </c>
      <c r="AD44" s="163">
        <v>31</v>
      </c>
      <c r="AE44" s="171">
        <f t="shared" si="4"/>
        <v>44.515999999999998</v>
      </c>
      <c r="AF44" s="179"/>
    </row>
    <row r="45" spans="1:32" s="173" customFormat="1" ht="15.75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465</v>
      </c>
      <c r="M45" s="166"/>
      <c r="N45" s="163">
        <v>7.3</v>
      </c>
      <c r="O45" s="166"/>
      <c r="P45" s="167">
        <v>15.532229266807002</v>
      </c>
      <c r="Q45" s="168">
        <f t="shared" si="7"/>
        <v>13</v>
      </c>
      <c r="R45" s="169">
        <v>3.1760000000000002</v>
      </c>
      <c r="S45" s="168">
        <v>7.6000000000000005</v>
      </c>
      <c r="T45" s="168">
        <v>112</v>
      </c>
      <c r="U45" s="168">
        <f t="shared" si="5"/>
        <v>35.264483627204029</v>
      </c>
      <c r="V45" s="169">
        <f t="shared" si="6"/>
        <v>58.21052631578948</v>
      </c>
      <c r="W45" s="170">
        <v>0.3</v>
      </c>
      <c r="X45" s="171">
        <f t="shared" si="1"/>
        <v>0.58461538461538465</v>
      </c>
      <c r="Y45" s="171">
        <f t="shared" si="3"/>
        <v>3.1760000000000002</v>
      </c>
      <c r="Z45" s="171">
        <f t="shared" si="3"/>
        <v>7.6000000000000005</v>
      </c>
      <c r="AA45" s="171">
        <f t="shared" si="3"/>
        <v>112</v>
      </c>
      <c r="AB45" s="171">
        <f t="shared" si="3"/>
        <v>35.264483627204029</v>
      </c>
      <c r="AC45" s="171">
        <f t="shared" si="2"/>
        <v>58.21052631578948</v>
      </c>
      <c r="AD45" s="163">
        <v>31</v>
      </c>
      <c r="AE45" s="171">
        <f t="shared" si="4"/>
        <v>98.456000000000003</v>
      </c>
      <c r="AF45" s="179"/>
    </row>
    <row r="46" spans="1:32" s="173" customFormat="1" ht="15.75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/>
      <c r="K46" s="166">
        <v>268</v>
      </c>
      <c r="L46" s="163"/>
      <c r="M46" s="166">
        <v>0.4</v>
      </c>
      <c r="N46" s="163"/>
      <c r="O46" s="166"/>
      <c r="P46" s="167">
        <v>0</v>
      </c>
      <c r="Q46" s="168">
        <f t="shared" si="7"/>
        <v>0</v>
      </c>
      <c r="R46" s="169">
        <v>0</v>
      </c>
      <c r="S46" s="168">
        <v>0</v>
      </c>
      <c r="T46" s="168">
        <v>0</v>
      </c>
      <c r="U46" s="168"/>
      <c r="V46" s="169"/>
      <c r="W46" s="170"/>
      <c r="X46" s="171">
        <v>0</v>
      </c>
      <c r="Y46" s="171">
        <f t="shared" si="3"/>
        <v>0</v>
      </c>
      <c r="Z46" s="171">
        <f t="shared" si="3"/>
        <v>0</v>
      </c>
      <c r="AA46" s="171">
        <f t="shared" si="3"/>
        <v>0</v>
      </c>
      <c r="AB46" s="171">
        <f t="shared" si="3"/>
        <v>0</v>
      </c>
      <c r="AC46" s="171">
        <f t="shared" si="2"/>
        <v>0</v>
      </c>
      <c r="AD46" s="163">
        <v>31</v>
      </c>
      <c r="AE46" s="171">
        <f t="shared" si="4"/>
        <v>0</v>
      </c>
      <c r="AF46" s="190" t="s">
        <v>215</v>
      </c>
    </row>
    <row r="47" spans="1:32" s="173" customFormat="1" ht="15.75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404</v>
      </c>
      <c r="M47" s="166"/>
      <c r="N47" s="163">
        <v>7.6</v>
      </c>
      <c r="O47" s="166"/>
      <c r="P47" s="167">
        <v>23.576537874072446</v>
      </c>
      <c r="Q47" s="168">
        <f t="shared" si="7"/>
        <v>13</v>
      </c>
      <c r="R47" s="169">
        <v>7.0309999999999997</v>
      </c>
      <c r="S47" s="168">
        <v>12.111000000000001</v>
      </c>
      <c r="T47" s="168">
        <v>101</v>
      </c>
      <c r="U47" s="168">
        <f>T47/R47</f>
        <v>14.364955198407054</v>
      </c>
      <c r="V47" s="169">
        <f t="shared" si="6"/>
        <v>41.94533894806375</v>
      </c>
      <c r="W47" s="170">
        <v>0.4</v>
      </c>
      <c r="X47" s="171">
        <f t="shared" ref="X47:X53" si="8">S47/Q47</f>
        <v>0.93161538461538462</v>
      </c>
      <c r="Y47" s="171">
        <f t="shared" si="3"/>
        <v>7.0309999999999997</v>
      </c>
      <c r="Z47" s="171">
        <f t="shared" si="3"/>
        <v>12.111000000000001</v>
      </c>
      <c r="AA47" s="171">
        <f t="shared" si="3"/>
        <v>101</v>
      </c>
      <c r="AB47" s="171">
        <f t="shared" si="3"/>
        <v>14.364955198407054</v>
      </c>
      <c r="AC47" s="171">
        <f t="shared" si="2"/>
        <v>41.94533894806375</v>
      </c>
      <c r="AD47" s="163">
        <v>31</v>
      </c>
      <c r="AE47" s="171">
        <f t="shared" si="4"/>
        <v>217.96099999999998</v>
      </c>
      <c r="AF47" s="179"/>
    </row>
    <row r="48" spans="1:32" s="173" customFormat="1" ht="15.75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250</v>
      </c>
      <c r="K48" s="163"/>
      <c r="L48" s="166">
        <v>413</v>
      </c>
      <c r="M48" s="166"/>
      <c r="N48" s="163">
        <v>0.3</v>
      </c>
      <c r="O48" s="166"/>
      <c r="P48" s="167">
        <v>15.246465477979003</v>
      </c>
      <c r="Q48" s="168">
        <f t="shared" si="7"/>
        <v>15</v>
      </c>
      <c r="R48" s="169">
        <v>1.331</v>
      </c>
      <c r="S48" s="168">
        <v>1.853</v>
      </c>
      <c r="T48" s="168">
        <v>3</v>
      </c>
      <c r="U48" s="168">
        <f t="shared" ref="U48:U56" si="9">T48/R48</f>
        <v>2.2539444027047333</v>
      </c>
      <c r="V48" s="169">
        <f t="shared" si="6"/>
        <v>28.170534268753372</v>
      </c>
      <c r="W48" s="170">
        <v>0.2</v>
      </c>
      <c r="X48" s="171">
        <v>0</v>
      </c>
      <c r="Y48" s="171">
        <f t="shared" si="3"/>
        <v>1.331</v>
      </c>
      <c r="Z48" s="171">
        <f t="shared" si="3"/>
        <v>1.853</v>
      </c>
      <c r="AA48" s="171">
        <f t="shared" si="3"/>
        <v>3</v>
      </c>
      <c r="AB48" s="171">
        <f t="shared" si="3"/>
        <v>2.2539444027047333</v>
      </c>
      <c r="AC48" s="171">
        <f t="shared" si="2"/>
        <v>28.170534268753372</v>
      </c>
      <c r="AD48" s="163">
        <v>31</v>
      </c>
      <c r="AE48" s="171">
        <f t="shared" si="4"/>
        <v>41.260999999999996</v>
      </c>
      <c r="AF48" s="172"/>
    </row>
    <row r="49" spans="1:5203" s="192" customFormat="1" ht="15.75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86</v>
      </c>
      <c r="M49" s="166"/>
      <c r="N49" s="163">
        <v>4</v>
      </c>
      <c r="O49" s="166"/>
      <c r="P49" s="167">
        <v>51.371014286244183</v>
      </c>
      <c r="Q49" s="168">
        <f t="shared" si="7"/>
        <v>11.05</v>
      </c>
      <c r="R49" s="169">
        <v>3.5379999999999998</v>
      </c>
      <c r="S49" s="168">
        <v>9.9380000000000006</v>
      </c>
      <c r="T49" s="168">
        <v>0</v>
      </c>
      <c r="U49" s="168">
        <f t="shared" si="9"/>
        <v>0</v>
      </c>
      <c r="V49" s="169">
        <f t="shared" si="6"/>
        <v>64.399275508150538</v>
      </c>
      <c r="W49" s="170"/>
      <c r="X49" s="171">
        <v>0</v>
      </c>
      <c r="Y49" s="171">
        <f t="shared" si="3"/>
        <v>3.5379999999999998</v>
      </c>
      <c r="Z49" s="171">
        <f t="shared" si="3"/>
        <v>9.9380000000000006</v>
      </c>
      <c r="AA49" s="171">
        <f t="shared" si="3"/>
        <v>0</v>
      </c>
      <c r="AB49" s="171">
        <f t="shared" si="3"/>
        <v>0</v>
      </c>
      <c r="AC49" s="171">
        <f t="shared" si="2"/>
        <v>64.399275508150538</v>
      </c>
      <c r="AD49" s="163">
        <v>31</v>
      </c>
      <c r="AE49" s="171">
        <f t="shared" si="4"/>
        <v>109.678</v>
      </c>
      <c r="AF49" s="172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1"/>
      <c r="IP49" s="191"/>
      <c r="IQ49" s="191"/>
      <c r="IR49" s="191"/>
      <c r="IS49" s="191"/>
      <c r="IT49" s="191"/>
      <c r="IU49" s="191"/>
      <c r="IV49" s="191"/>
      <c r="IW49" s="191"/>
      <c r="IX49" s="191"/>
      <c r="IY49" s="191"/>
      <c r="IZ49" s="191"/>
      <c r="JA49" s="191"/>
      <c r="JB49" s="191"/>
      <c r="JC49" s="191"/>
      <c r="JD49" s="191"/>
      <c r="JE49" s="191"/>
      <c r="JF49" s="191"/>
      <c r="JG49" s="191"/>
      <c r="JH49" s="191"/>
      <c r="JI49" s="191"/>
      <c r="JJ49" s="191"/>
      <c r="JK49" s="191"/>
      <c r="JL49" s="191"/>
      <c r="JM49" s="191"/>
      <c r="JN49" s="191"/>
      <c r="JO49" s="191"/>
      <c r="JP49" s="191"/>
      <c r="JQ49" s="191"/>
      <c r="JR49" s="191"/>
      <c r="JS49" s="191"/>
      <c r="JT49" s="191"/>
      <c r="JU49" s="191"/>
      <c r="JV49" s="191"/>
      <c r="JW49" s="191"/>
      <c r="JX49" s="191"/>
      <c r="JY49" s="191"/>
      <c r="JZ49" s="191"/>
      <c r="KA49" s="191"/>
      <c r="KB49" s="191"/>
      <c r="KC49" s="191"/>
      <c r="KD49" s="191"/>
      <c r="KE49" s="191"/>
      <c r="KF49" s="191"/>
      <c r="KG49" s="191"/>
      <c r="KH49" s="191"/>
      <c r="KI49" s="191"/>
      <c r="KJ49" s="191"/>
      <c r="KK49" s="191"/>
      <c r="KL49" s="191"/>
      <c r="KM49" s="191"/>
      <c r="KN49" s="191"/>
      <c r="KO49" s="191"/>
      <c r="KP49" s="191"/>
      <c r="KQ49" s="191"/>
      <c r="KR49" s="191"/>
      <c r="KS49" s="191"/>
      <c r="KT49" s="191"/>
      <c r="KU49" s="191"/>
      <c r="KV49" s="191"/>
      <c r="KW49" s="191"/>
      <c r="KX49" s="191"/>
      <c r="KY49" s="191"/>
      <c r="KZ49" s="191"/>
      <c r="LA49" s="191"/>
      <c r="LB49" s="191"/>
      <c r="LC49" s="191"/>
      <c r="LD49" s="191"/>
      <c r="LE49" s="191"/>
      <c r="LF49" s="191"/>
      <c r="LG49" s="191"/>
      <c r="LH49" s="191"/>
      <c r="LI49" s="191"/>
      <c r="LJ49" s="191"/>
      <c r="LK49" s="191"/>
      <c r="LL49" s="191"/>
      <c r="LM49" s="191"/>
      <c r="LN49" s="191"/>
      <c r="LO49" s="191"/>
      <c r="LP49" s="191"/>
      <c r="LQ49" s="191"/>
      <c r="LR49" s="191"/>
      <c r="LS49" s="191"/>
      <c r="LT49" s="191"/>
      <c r="LU49" s="191"/>
      <c r="LV49" s="191"/>
      <c r="LW49" s="191"/>
      <c r="LX49" s="191"/>
      <c r="LY49" s="191"/>
      <c r="LZ49" s="191"/>
      <c r="MA49" s="191"/>
      <c r="MB49" s="191"/>
      <c r="MC49" s="191"/>
      <c r="MD49" s="191"/>
      <c r="ME49" s="191"/>
      <c r="MF49" s="191"/>
      <c r="MG49" s="191"/>
      <c r="MH49" s="191"/>
      <c r="MI49" s="191"/>
      <c r="MJ49" s="191"/>
      <c r="MK49" s="191"/>
      <c r="ML49" s="191"/>
      <c r="MM49" s="191"/>
      <c r="MN49" s="191"/>
      <c r="MO49" s="191"/>
      <c r="MP49" s="191"/>
      <c r="MQ49" s="191"/>
      <c r="MR49" s="191"/>
      <c r="MS49" s="191"/>
      <c r="MT49" s="191"/>
      <c r="MU49" s="191"/>
      <c r="MV49" s="191"/>
      <c r="MW49" s="191"/>
      <c r="MX49" s="191"/>
      <c r="MY49" s="191"/>
      <c r="MZ49" s="191"/>
      <c r="NA49" s="191"/>
      <c r="NB49" s="191"/>
      <c r="NC49" s="191"/>
      <c r="ND49" s="191"/>
      <c r="NE49" s="191"/>
      <c r="NF49" s="191"/>
      <c r="NG49" s="191"/>
      <c r="NH49" s="191"/>
      <c r="NI49" s="191"/>
      <c r="NJ49" s="191"/>
      <c r="NK49" s="191"/>
      <c r="NL49" s="191"/>
      <c r="NM49" s="191"/>
      <c r="NN49" s="191"/>
      <c r="NO49" s="191"/>
      <c r="NP49" s="191"/>
      <c r="NQ49" s="191"/>
      <c r="NR49" s="191"/>
      <c r="NS49" s="191"/>
      <c r="NT49" s="191"/>
      <c r="NU49" s="191"/>
      <c r="NV49" s="191"/>
      <c r="NW49" s="191"/>
      <c r="NX49" s="191"/>
      <c r="NY49" s="191"/>
      <c r="NZ49" s="191"/>
      <c r="OA49" s="191"/>
      <c r="OB49" s="191"/>
      <c r="OC49" s="191"/>
      <c r="OD49" s="191"/>
      <c r="OE49" s="191"/>
      <c r="OF49" s="191"/>
      <c r="OG49" s="191"/>
      <c r="OH49" s="191"/>
      <c r="OI49" s="191"/>
      <c r="OJ49" s="191"/>
      <c r="OK49" s="191"/>
      <c r="OL49" s="191"/>
      <c r="OM49" s="191"/>
      <c r="ON49" s="191"/>
      <c r="OO49" s="191"/>
      <c r="OP49" s="191"/>
      <c r="OQ49" s="191"/>
      <c r="OR49" s="191"/>
      <c r="OS49" s="191"/>
      <c r="OT49" s="191"/>
      <c r="OU49" s="191"/>
      <c r="OV49" s="191"/>
      <c r="OW49" s="191"/>
      <c r="OX49" s="191"/>
      <c r="OY49" s="191"/>
      <c r="OZ49" s="191"/>
      <c r="PA49" s="191"/>
      <c r="PB49" s="191"/>
      <c r="PC49" s="191"/>
      <c r="PD49" s="191"/>
      <c r="PE49" s="191"/>
      <c r="PF49" s="191"/>
      <c r="PG49" s="191"/>
      <c r="PH49" s="191"/>
      <c r="PI49" s="191"/>
      <c r="PJ49" s="191"/>
      <c r="PK49" s="191"/>
      <c r="PL49" s="191"/>
      <c r="PM49" s="191"/>
      <c r="PN49" s="191"/>
      <c r="PO49" s="191"/>
      <c r="PP49" s="191"/>
      <c r="PQ49" s="191"/>
      <c r="PR49" s="191"/>
      <c r="PS49" s="191"/>
      <c r="PT49" s="191"/>
      <c r="PU49" s="191"/>
      <c r="PV49" s="191"/>
      <c r="PW49" s="191"/>
      <c r="PX49" s="191"/>
      <c r="PY49" s="191"/>
      <c r="PZ49" s="191"/>
      <c r="QA49" s="191"/>
      <c r="QB49" s="191"/>
      <c r="QC49" s="191"/>
      <c r="QD49" s="191"/>
      <c r="QE49" s="191"/>
      <c r="QF49" s="191"/>
      <c r="QG49" s="191"/>
      <c r="QH49" s="191"/>
      <c r="QI49" s="191"/>
      <c r="QJ49" s="191"/>
      <c r="QK49" s="191"/>
      <c r="QL49" s="191"/>
      <c r="QM49" s="191"/>
      <c r="QN49" s="191"/>
      <c r="QO49" s="191"/>
      <c r="QP49" s="191"/>
      <c r="QQ49" s="191"/>
      <c r="QR49" s="191"/>
      <c r="QS49" s="191"/>
      <c r="QT49" s="191"/>
      <c r="QU49" s="191"/>
      <c r="QV49" s="191"/>
      <c r="QW49" s="191"/>
      <c r="QX49" s="191"/>
      <c r="QY49" s="191"/>
      <c r="QZ49" s="191"/>
      <c r="RA49" s="191"/>
      <c r="RB49" s="191"/>
      <c r="RC49" s="191"/>
      <c r="RD49" s="191"/>
      <c r="RE49" s="191"/>
      <c r="RF49" s="191"/>
      <c r="RG49" s="191"/>
      <c r="RH49" s="191"/>
      <c r="RI49" s="191"/>
      <c r="RJ49" s="191"/>
      <c r="RK49" s="191"/>
      <c r="RL49" s="191"/>
      <c r="RM49" s="191"/>
      <c r="RN49" s="191"/>
      <c r="RO49" s="191"/>
      <c r="RP49" s="191"/>
      <c r="RQ49" s="191"/>
      <c r="RR49" s="191"/>
      <c r="RS49" s="191"/>
      <c r="RT49" s="191"/>
      <c r="RU49" s="191"/>
      <c r="RV49" s="191"/>
      <c r="RW49" s="191"/>
      <c r="RX49" s="191"/>
      <c r="RY49" s="191"/>
      <c r="RZ49" s="191"/>
      <c r="SA49" s="191"/>
      <c r="SB49" s="191"/>
      <c r="SC49" s="191"/>
      <c r="SD49" s="191"/>
      <c r="SE49" s="191"/>
      <c r="SF49" s="191"/>
      <c r="SG49" s="191"/>
      <c r="SH49" s="191"/>
      <c r="SI49" s="191"/>
      <c r="SJ49" s="191"/>
      <c r="SK49" s="191"/>
      <c r="SL49" s="191"/>
      <c r="SM49" s="191"/>
      <c r="SN49" s="191"/>
      <c r="SO49" s="191"/>
      <c r="SP49" s="191"/>
      <c r="SQ49" s="191"/>
      <c r="SR49" s="191"/>
      <c r="SS49" s="191"/>
      <c r="ST49" s="191"/>
      <c r="SU49" s="191"/>
      <c r="SV49" s="191"/>
      <c r="SW49" s="191"/>
      <c r="SX49" s="191"/>
      <c r="SY49" s="191"/>
      <c r="SZ49" s="191"/>
      <c r="TA49" s="191"/>
      <c r="TB49" s="191"/>
      <c r="TC49" s="191"/>
      <c r="TD49" s="191"/>
      <c r="TE49" s="191"/>
      <c r="TF49" s="191"/>
      <c r="TG49" s="191"/>
      <c r="TH49" s="191"/>
      <c r="TI49" s="191"/>
      <c r="TJ49" s="191"/>
      <c r="TK49" s="191"/>
      <c r="TL49" s="191"/>
      <c r="TM49" s="191"/>
      <c r="TN49" s="191"/>
      <c r="TO49" s="191"/>
      <c r="TP49" s="191"/>
      <c r="TQ49" s="191"/>
      <c r="TR49" s="191"/>
      <c r="TS49" s="191"/>
      <c r="TT49" s="191"/>
      <c r="TU49" s="191"/>
      <c r="TV49" s="191"/>
      <c r="TW49" s="191"/>
      <c r="TX49" s="191"/>
      <c r="TY49" s="191"/>
      <c r="TZ49" s="191"/>
      <c r="UA49" s="191"/>
      <c r="UB49" s="191"/>
      <c r="UC49" s="191"/>
      <c r="UD49" s="191"/>
      <c r="UE49" s="191"/>
      <c r="UF49" s="191"/>
      <c r="UG49" s="191"/>
      <c r="UH49" s="191"/>
      <c r="UI49" s="191"/>
      <c r="UJ49" s="191"/>
      <c r="UK49" s="191"/>
      <c r="UL49" s="191"/>
      <c r="UM49" s="191"/>
      <c r="UN49" s="191"/>
      <c r="UO49" s="191"/>
      <c r="UP49" s="191"/>
      <c r="UQ49" s="191"/>
      <c r="UR49" s="191"/>
      <c r="US49" s="191"/>
      <c r="UT49" s="191"/>
      <c r="UU49" s="191"/>
      <c r="UV49" s="191"/>
      <c r="UW49" s="191"/>
      <c r="UX49" s="191"/>
      <c r="UY49" s="191"/>
      <c r="UZ49" s="191"/>
      <c r="VA49" s="191"/>
      <c r="VB49" s="191"/>
      <c r="VC49" s="191"/>
      <c r="VD49" s="191"/>
      <c r="VE49" s="191"/>
      <c r="VF49" s="191"/>
      <c r="VG49" s="191"/>
      <c r="VH49" s="191"/>
      <c r="VI49" s="191"/>
      <c r="VJ49" s="191"/>
      <c r="VK49" s="191"/>
      <c r="VL49" s="191"/>
      <c r="VM49" s="191"/>
      <c r="VN49" s="191"/>
      <c r="VO49" s="191"/>
      <c r="VP49" s="191"/>
      <c r="VQ49" s="191"/>
      <c r="VR49" s="191"/>
      <c r="VS49" s="191"/>
      <c r="VT49" s="191"/>
      <c r="VU49" s="191"/>
      <c r="VV49" s="191"/>
      <c r="VW49" s="191"/>
      <c r="VX49" s="191"/>
      <c r="VY49" s="191"/>
      <c r="VZ49" s="191"/>
      <c r="WA49" s="191"/>
      <c r="WB49" s="191"/>
      <c r="WC49" s="191"/>
      <c r="WD49" s="191"/>
      <c r="WE49" s="191"/>
      <c r="WF49" s="191"/>
      <c r="WG49" s="191"/>
      <c r="WH49" s="191"/>
      <c r="WI49" s="191"/>
      <c r="WJ49" s="191"/>
      <c r="WK49" s="191"/>
      <c r="WL49" s="191"/>
      <c r="WM49" s="191"/>
      <c r="WN49" s="191"/>
      <c r="WO49" s="191"/>
      <c r="WP49" s="191"/>
      <c r="WQ49" s="191"/>
      <c r="WR49" s="191"/>
      <c r="WS49" s="191"/>
      <c r="WT49" s="191"/>
      <c r="WU49" s="191"/>
      <c r="WV49" s="191"/>
      <c r="WW49" s="191"/>
      <c r="WX49" s="191"/>
      <c r="WY49" s="191"/>
      <c r="WZ49" s="191"/>
      <c r="XA49" s="191"/>
      <c r="XB49" s="191"/>
      <c r="XC49" s="191"/>
      <c r="XD49" s="191"/>
      <c r="XE49" s="191"/>
      <c r="XF49" s="191"/>
      <c r="XG49" s="191"/>
      <c r="XH49" s="191"/>
      <c r="XI49" s="191"/>
      <c r="XJ49" s="191"/>
      <c r="XK49" s="191"/>
      <c r="XL49" s="191"/>
      <c r="XM49" s="191"/>
      <c r="XN49" s="191"/>
      <c r="XO49" s="191"/>
      <c r="XP49" s="191"/>
      <c r="XQ49" s="191"/>
      <c r="XR49" s="191"/>
      <c r="XS49" s="191"/>
      <c r="XT49" s="191"/>
      <c r="XU49" s="191"/>
      <c r="XV49" s="191"/>
      <c r="XW49" s="191"/>
      <c r="XX49" s="191"/>
      <c r="XY49" s="191"/>
      <c r="XZ49" s="191"/>
      <c r="YA49" s="191"/>
      <c r="YB49" s="191"/>
      <c r="YC49" s="191"/>
      <c r="YD49" s="191"/>
      <c r="YE49" s="191"/>
      <c r="YF49" s="191"/>
      <c r="YG49" s="191"/>
      <c r="YH49" s="191"/>
      <c r="YI49" s="191"/>
      <c r="YJ49" s="191"/>
      <c r="YK49" s="191"/>
      <c r="YL49" s="191"/>
      <c r="YM49" s="191"/>
      <c r="YN49" s="191"/>
      <c r="YO49" s="191"/>
      <c r="YP49" s="191"/>
      <c r="YQ49" s="191"/>
      <c r="YR49" s="191"/>
      <c r="YS49" s="191"/>
      <c r="YT49" s="191"/>
      <c r="YU49" s="191"/>
      <c r="YV49" s="191"/>
      <c r="YW49" s="191"/>
      <c r="YX49" s="191"/>
      <c r="YY49" s="191"/>
      <c r="YZ49" s="191"/>
      <c r="ZA49" s="191"/>
      <c r="ZB49" s="191"/>
      <c r="ZC49" s="191"/>
      <c r="ZD49" s="191"/>
      <c r="ZE49" s="191"/>
      <c r="ZF49" s="191"/>
      <c r="ZG49" s="191"/>
      <c r="ZH49" s="191"/>
      <c r="ZI49" s="191"/>
      <c r="ZJ49" s="191"/>
      <c r="ZK49" s="191"/>
      <c r="ZL49" s="191"/>
      <c r="ZM49" s="191"/>
      <c r="ZN49" s="191"/>
      <c r="ZO49" s="191"/>
      <c r="ZP49" s="191"/>
      <c r="ZQ49" s="191"/>
      <c r="ZR49" s="191"/>
      <c r="ZS49" s="191"/>
      <c r="ZT49" s="191"/>
      <c r="ZU49" s="191"/>
      <c r="ZV49" s="191"/>
      <c r="ZW49" s="191"/>
      <c r="ZX49" s="191"/>
      <c r="ZY49" s="191"/>
      <c r="ZZ49" s="191"/>
      <c r="AAA49" s="191"/>
      <c r="AAB49" s="191"/>
      <c r="AAC49" s="191"/>
      <c r="AAD49" s="191"/>
      <c r="AAE49" s="191"/>
      <c r="AAF49" s="191"/>
      <c r="AAG49" s="191"/>
      <c r="AAH49" s="191"/>
      <c r="AAI49" s="191"/>
      <c r="AAJ49" s="191"/>
      <c r="AAK49" s="191"/>
      <c r="AAL49" s="191"/>
      <c r="AAM49" s="191"/>
      <c r="AAN49" s="191"/>
      <c r="AAO49" s="191"/>
      <c r="AAP49" s="191"/>
      <c r="AAQ49" s="191"/>
      <c r="AAR49" s="191"/>
      <c r="AAS49" s="191"/>
      <c r="AAT49" s="191"/>
      <c r="AAU49" s="191"/>
      <c r="AAV49" s="191"/>
      <c r="AAW49" s="191"/>
      <c r="AAX49" s="191"/>
      <c r="AAY49" s="191"/>
      <c r="AAZ49" s="191"/>
      <c r="ABA49" s="191"/>
      <c r="ABB49" s="191"/>
      <c r="ABC49" s="191"/>
      <c r="ABD49" s="191"/>
      <c r="ABE49" s="191"/>
      <c r="ABF49" s="191"/>
      <c r="ABG49" s="191"/>
      <c r="ABH49" s="191"/>
      <c r="ABI49" s="191"/>
      <c r="ABJ49" s="191"/>
      <c r="ABK49" s="191"/>
      <c r="ABL49" s="191"/>
      <c r="ABM49" s="191"/>
      <c r="ABN49" s="191"/>
      <c r="ABO49" s="191"/>
      <c r="ABP49" s="191"/>
      <c r="ABQ49" s="191"/>
      <c r="ABR49" s="191"/>
      <c r="ABS49" s="191"/>
      <c r="ABT49" s="191"/>
      <c r="ABU49" s="191"/>
      <c r="ABV49" s="191"/>
      <c r="ABW49" s="191"/>
      <c r="ABX49" s="191"/>
      <c r="ABY49" s="191"/>
      <c r="ABZ49" s="191"/>
      <c r="ACA49" s="191"/>
      <c r="ACB49" s="191"/>
      <c r="ACC49" s="191"/>
      <c r="ACD49" s="191"/>
      <c r="ACE49" s="191"/>
      <c r="ACF49" s="191"/>
      <c r="ACG49" s="191"/>
      <c r="ACH49" s="191"/>
      <c r="ACI49" s="191"/>
      <c r="ACJ49" s="191"/>
      <c r="ACK49" s="191"/>
      <c r="ACL49" s="191"/>
      <c r="ACM49" s="191"/>
      <c r="ACN49" s="191"/>
      <c r="ACO49" s="191"/>
      <c r="ACP49" s="191"/>
      <c r="ACQ49" s="191"/>
      <c r="ACR49" s="191"/>
      <c r="ACS49" s="191"/>
      <c r="ACT49" s="191"/>
      <c r="ACU49" s="191"/>
      <c r="ACV49" s="191"/>
      <c r="ACW49" s="191"/>
      <c r="ACX49" s="191"/>
      <c r="ACY49" s="191"/>
      <c r="ACZ49" s="191"/>
      <c r="ADA49" s="191"/>
      <c r="ADB49" s="191"/>
      <c r="ADC49" s="191"/>
      <c r="ADD49" s="191"/>
      <c r="ADE49" s="191"/>
      <c r="ADF49" s="191"/>
      <c r="ADG49" s="191"/>
      <c r="ADH49" s="191"/>
      <c r="ADI49" s="191"/>
      <c r="ADJ49" s="191"/>
      <c r="ADK49" s="191"/>
      <c r="ADL49" s="191"/>
      <c r="ADM49" s="191"/>
      <c r="ADN49" s="191"/>
      <c r="ADO49" s="191"/>
      <c r="ADP49" s="191"/>
      <c r="ADQ49" s="191"/>
      <c r="ADR49" s="191"/>
      <c r="ADS49" s="191"/>
      <c r="ADT49" s="191"/>
      <c r="ADU49" s="191"/>
      <c r="ADV49" s="191"/>
      <c r="ADW49" s="191"/>
      <c r="ADX49" s="191"/>
      <c r="ADY49" s="191"/>
      <c r="ADZ49" s="191"/>
      <c r="AEA49" s="191"/>
      <c r="AEB49" s="191"/>
      <c r="AEC49" s="191"/>
      <c r="AED49" s="191"/>
      <c r="AEE49" s="191"/>
      <c r="AEF49" s="191"/>
      <c r="AEG49" s="191"/>
      <c r="AEH49" s="191"/>
      <c r="AEI49" s="191"/>
      <c r="AEJ49" s="191"/>
      <c r="AEK49" s="191"/>
      <c r="AEL49" s="191"/>
      <c r="AEM49" s="191"/>
      <c r="AEN49" s="191"/>
      <c r="AEO49" s="191"/>
      <c r="AEP49" s="191"/>
      <c r="AEQ49" s="191"/>
      <c r="AER49" s="191"/>
      <c r="AES49" s="191"/>
      <c r="AET49" s="191"/>
      <c r="AEU49" s="191"/>
      <c r="AEV49" s="191"/>
      <c r="AEW49" s="191"/>
      <c r="AEX49" s="191"/>
      <c r="AEY49" s="191"/>
      <c r="AEZ49" s="191"/>
      <c r="AFA49" s="191"/>
      <c r="AFB49" s="191"/>
      <c r="AFC49" s="191"/>
      <c r="AFD49" s="191"/>
      <c r="AFE49" s="191"/>
      <c r="AFF49" s="191"/>
      <c r="AFG49" s="191"/>
      <c r="AFH49" s="191"/>
      <c r="AFI49" s="191"/>
      <c r="AFJ49" s="191"/>
      <c r="AFK49" s="191"/>
      <c r="AFL49" s="191"/>
      <c r="AFM49" s="191"/>
      <c r="AFN49" s="191"/>
      <c r="AFO49" s="191"/>
      <c r="AFP49" s="191"/>
      <c r="AFQ49" s="191"/>
      <c r="AFR49" s="191"/>
      <c r="AFS49" s="191"/>
      <c r="AFT49" s="191"/>
      <c r="AFU49" s="191"/>
      <c r="AFV49" s="191"/>
      <c r="AFW49" s="191"/>
      <c r="AFX49" s="191"/>
      <c r="AFY49" s="191"/>
      <c r="AFZ49" s="191"/>
      <c r="AGA49" s="191"/>
      <c r="AGB49" s="191"/>
      <c r="AGC49" s="191"/>
      <c r="AGD49" s="191"/>
      <c r="AGE49" s="191"/>
      <c r="AGF49" s="191"/>
      <c r="AGG49" s="191"/>
      <c r="AGH49" s="191"/>
      <c r="AGI49" s="191"/>
      <c r="AGJ49" s="191"/>
      <c r="AGK49" s="191"/>
      <c r="AGL49" s="191"/>
      <c r="AGM49" s="191"/>
      <c r="AGN49" s="191"/>
      <c r="AGO49" s="191"/>
      <c r="AGP49" s="191"/>
      <c r="AGQ49" s="191"/>
      <c r="AGR49" s="191"/>
      <c r="AGS49" s="191"/>
      <c r="AGT49" s="191"/>
      <c r="AGU49" s="191"/>
      <c r="AGV49" s="191"/>
      <c r="AGW49" s="191"/>
      <c r="AGX49" s="191"/>
      <c r="AGY49" s="191"/>
      <c r="AGZ49" s="191"/>
      <c r="AHA49" s="191"/>
      <c r="AHB49" s="191"/>
      <c r="AHC49" s="191"/>
      <c r="AHD49" s="191"/>
      <c r="AHE49" s="191"/>
      <c r="AHF49" s="191"/>
      <c r="AHG49" s="191"/>
      <c r="AHH49" s="191"/>
      <c r="AHI49" s="191"/>
      <c r="AHJ49" s="191"/>
      <c r="AHK49" s="191"/>
      <c r="AHL49" s="191"/>
      <c r="AHM49" s="191"/>
      <c r="AHN49" s="191"/>
      <c r="AHO49" s="191"/>
      <c r="AHP49" s="191"/>
      <c r="AHQ49" s="191"/>
      <c r="AHR49" s="191"/>
      <c r="AHS49" s="191"/>
      <c r="AHT49" s="191"/>
      <c r="AHU49" s="191"/>
      <c r="AHV49" s="191"/>
      <c r="AHW49" s="191"/>
      <c r="AHX49" s="191"/>
      <c r="AHY49" s="191"/>
      <c r="AHZ49" s="191"/>
      <c r="AIA49" s="191"/>
      <c r="AIB49" s="191"/>
      <c r="AIC49" s="191"/>
      <c r="AID49" s="191"/>
      <c r="AIE49" s="191"/>
      <c r="AIF49" s="191"/>
      <c r="AIG49" s="191"/>
      <c r="AIH49" s="191"/>
      <c r="AII49" s="191"/>
      <c r="AIJ49" s="191"/>
      <c r="AIK49" s="191"/>
      <c r="AIL49" s="191"/>
      <c r="AIM49" s="191"/>
      <c r="AIN49" s="191"/>
      <c r="AIO49" s="191"/>
      <c r="AIP49" s="191"/>
      <c r="AIQ49" s="191"/>
      <c r="AIR49" s="191"/>
      <c r="AIS49" s="191"/>
      <c r="AIT49" s="191"/>
      <c r="AIU49" s="191"/>
      <c r="AIV49" s="191"/>
      <c r="AIW49" s="191"/>
      <c r="AIX49" s="191"/>
      <c r="AIY49" s="191"/>
      <c r="AIZ49" s="191"/>
      <c r="AJA49" s="191"/>
      <c r="AJB49" s="191"/>
      <c r="AJC49" s="191"/>
      <c r="AJD49" s="191"/>
      <c r="AJE49" s="191"/>
      <c r="AJF49" s="191"/>
      <c r="AJG49" s="191"/>
      <c r="AJH49" s="191"/>
      <c r="AJI49" s="191"/>
      <c r="AJJ49" s="191"/>
      <c r="AJK49" s="191"/>
      <c r="AJL49" s="191"/>
      <c r="AJM49" s="191"/>
      <c r="AJN49" s="191"/>
      <c r="AJO49" s="191"/>
      <c r="AJP49" s="191"/>
      <c r="AJQ49" s="191"/>
      <c r="AJR49" s="191"/>
      <c r="AJS49" s="191"/>
      <c r="AJT49" s="191"/>
      <c r="AJU49" s="191"/>
      <c r="AJV49" s="191"/>
      <c r="AJW49" s="191"/>
      <c r="AJX49" s="191"/>
      <c r="AJY49" s="191"/>
      <c r="AJZ49" s="191"/>
      <c r="AKA49" s="191"/>
      <c r="AKB49" s="191"/>
      <c r="AKC49" s="191"/>
      <c r="AKD49" s="191"/>
      <c r="AKE49" s="191"/>
      <c r="AKF49" s="191"/>
      <c r="AKG49" s="191"/>
      <c r="AKH49" s="191"/>
      <c r="AKI49" s="191"/>
      <c r="AKJ49" s="191"/>
      <c r="AKK49" s="191"/>
      <c r="AKL49" s="191"/>
      <c r="AKM49" s="191"/>
      <c r="AKN49" s="191"/>
      <c r="AKO49" s="191"/>
      <c r="AKP49" s="191"/>
      <c r="AKQ49" s="191"/>
      <c r="AKR49" s="191"/>
      <c r="AKS49" s="191"/>
      <c r="AKT49" s="191"/>
      <c r="AKU49" s="191"/>
      <c r="AKV49" s="191"/>
      <c r="AKW49" s="191"/>
      <c r="AKX49" s="191"/>
      <c r="AKY49" s="191"/>
      <c r="AKZ49" s="191"/>
      <c r="ALA49" s="191"/>
      <c r="ALB49" s="191"/>
      <c r="ALC49" s="191"/>
      <c r="ALD49" s="191"/>
      <c r="ALE49" s="191"/>
      <c r="ALF49" s="191"/>
      <c r="ALG49" s="191"/>
      <c r="ALH49" s="191"/>
      <c r="ALI49" s="191"/>
      <c r="ALJ49" s="191"/>
      <c r="ALK49" s="191"/>
      <c r="ALL49" s="191"/>
      <c r="ALM49" s="191"/>
      <c r="ALN49" s="191"/>
      <c r="ALO49" s="191"/>
      <c r="ALP49" s="191"/>
      <c r="ALQ49" s="191"/>
      <c r="ALR49" s="191"/>
      <c r="ALS49" s="191"/>
      <c r="ALT49" s="191"/>
      <c r="ALU49" s="191"/>
      <c r="ALV49" s="191"/>
      <c r="ALW49" s="191"/>
      <c r="ALX49" s="191"/>
      <c r="ALY49" s="191"/>
      <c r="ALZ49" s="191"/>
      <c r="AMA49" s="191"/>
      <c r="AMB49" s="191"/>
      <c r="AMC49" s="191"/>
      <c r="AMD49" s="191"/>
      <c r="AME49" s="191"/>
      <c r="AMF49" s="191"/>
      <c r="AMG49" s="191"/>
      <c r="AMH49" s="191"/>
      <c r="AMI49" s="191"/>
      <c r="AMJ49" s="191"/>
      <c r="AMK49" s="191"/>
      <c r="AML49" s="191"/>
      <c r="AMM49" s="191"/>
      <c r="AMN49" s="191"/>
      <c r="AMO49" s="191"/>
      <c r="AMP49" s="191"/>
      <c r="AMQ49" s="191"/>
      <c r="AMR49" s="191"/>
      <c r="AMS49" s="191"/>
      <c r="AMT49" s="191"/>
      <c r="AMU49" s="191"/>
      <c r="AMV49" s="191"/>
      <c r="AMW49" s="191"/>
      <c r="AMX49" s="191"/>
      <c r="AMY49" s="191"/>
      <c r="AMZ49" s="191"/>
      <c r="ANA49" s="191"/>
      <c r="ANB49" s="191"/>
      <c r="ANC49" s="191"/>
      <c r="AND49" s="191"/>
      <c r="ANE49" s="191"/>
      <c r="ANF49" s="191"/>
      <c r="ANG49" s="191"/>
      <c r="ANH49" s="191"/>
      <c r="ANI49" s="191"/>
      <c r="ANJ49" s="191"/>
      <c r="ANK49" s="191"/>
      <c r="ANL49" s="191"/>
      <c r="ANM49" s="191"/>
      <c r="ANN49" s="191"/>
      <c r="ANO49" s="191"/>
      <c r="ANP49" s="191"/>
      <c r="ANQ49" s="191"/>
      <c r="ANR49" s="191"/>
      <c r="ANS49" s="191"/>
      <c r="ANT49" s="191"/>
      <c r="ANU49" s="191"/>
      <c r="ANV49" s="191"/>
      <c r="ANW49" s="191"/>
      <c r="ANX49" s="191"/>
      <c r="ANY49" s="191"/>
      <c r="ANZ49" s="191"/>
      <c r="AOA49" s="191"/>
      <c r="AOB49" s="191"/>
      <c r="AOC49" s="191"/>
      <c r="AOD49" s="191"/>
      <c r="AOE49" s="191"/>
      <c r="AOF49" s="191"/>
      <c r="AOG49" s="191"/>
      <c r="AOH49" s="191"/>
      <c r="AOI49" s="191"/>
      <c r="AOJ49" s="191"/>
      <c r="AOK49" s="191"/>
      <c r="AOL49" s="191"/>
      <c r="AOM49" s="191"/>
      <c r="AON49" s="191"/>
      <c r="AOO49" s="191"/>
      <c r="AOP49" s="191"/>
      <c r="AOQ49" s="191"/>
      <c r="AOR49" s="191"/>
      <c r="AOS49" s="191"/>
      <c r="AOT49" s="191"/>
      <c r="AOU49" s="191"/>
      <c r="AOV49" s="191"/>
      <c r="AOW49" s="191"/>
      <c r="AOX49" s="191"/>
      <c r="AOY49" s="191"/>
      <c r="AOZ49" s="191"/>
      <c r="APA49" s="191"/>
      <c r="APB49" s="191"/>
      <c r="APC49" s="191"/>
      <c r="APD49" s="191"/>
      <c r="APE49" s="191"/>
      <c r="APF49" s="191"/>
      <c r="APG49" s="191"/>
      <c r="APH49" s="191"/>
      <c r="API49" s="191"/>
      <c r="APJ49" s="191"/>
      <c r="APK49" s="191"/>
      <c r="APL49" s="191"/>
      <c r="APM49" s="191"/>
      <c r="APN49" s="191"/>
      <c r="APO49" s="191"/>
      <c r="APP49" s="191"/>
      <c r="APQ49" s="191"/>
      <c r="APR49" s="191"/>
      <c r="APS49" s="191"/>
      <c r="APT49" s="191"/>
      <c r="APU49" s="191"/>
      <c r="APV49" s="191"/>
      <c r="APW49" s="191"/>
      <c r="APX49" s="191"/>
      <c r="APY49" s="191"/>
      <c r="APZ49" s="191"/>
      <c r="AQA49" s="191"/>
      <c r="AQB49" s="191"/>
      <c r="AQC49" s="191"/>
      <c r="AQD49" s="191"/>
      <c r="AQE49" s="191"/>
      <c r="AQF49" s="191"/>
      <c r="AQG49" s="191"/>
      <c r="AQH49" s="191"/>
      <c r="AQI49" s="191"/>
      <c r="AQJ49" s="191"/>
      <c r="AQK49" s="191"/>
      <c r="AQL49" s="191"/>
      <c r="AQM49" s="191"/>
      <c r="AQN49" s="191"/>
      <c r="AQO49" s="191"/>
      <c r="AQP49" s="191"/>
      <c r="AQQ49" s="191"/>
      <c r="AQR49" s="191"/>
      <c r="AQS49" s="191"/>
      <c r="AQT49" s="191"/>
      <c r="AQU49" s="191"/>
      <c r="AQV49" s="191"/>
      <c r="AQW49" s="191"/>
      <c r="AQX49" s="191"/>
      <c r="AQY49" s="191"/>
      <c r="AQZ49" s="191"/>
      <c r="ARA49" s="191"/>
      <c r="ARB49" s="191"/>
      <c r="ARC49" s="191"/>
      <c r="ARD49" s="191"/>
      <c r="ARE49" s="191"/>
      <c r="ARF49" s="191"/>
      <c r="ARG49" s="191"/>
      <c r="ARH49" s="191"/>
      <c r="ARI49" s="191"/>
      <c r="ARJ49" s="191"/>
      <c r="ARK49" s="191"/>
      <c r="ARL49" s="191"/>
      <c r="ARM49" s="191"/>
      <c r="ARN49" s="191"/>
      <c r="ARO49" s="191"/>
      <c r="ARP49" s="191"/>
      <c r="ARQ49" s="191"/>
      <c r="ARR49" s="191"/>
      <c r="ARS49" s="191"/>
      <c r="ART49" s="191"/>
      <c r="ARU49" s="191"/>
      <c r="ARV49" s="191"/>
      <c r="ARW49" s="191"/>
      <c r="ARX49" s="191"/>
      <c r="ARY49" s="191"/>
      <c r="ARZ49" s="191"/>
      <c r="ASA49" s="191"/>
      <c r="ASB49" s="191"/>
      <c r="ASC49" s="191"/>
      <c r="ASD49" s="191"/>
      <c r="ASE49" s="191"/>
      <c r="ASF49" s="191"/>
      <c r="ASG49" s="191"/>
      <c r="ASH49" s="191"/>
      <c r="ASI49" s="191"/>
      <c r="ASJ49" s="191"/>
      <c r="ASK49" s="191"/>
      <c r="ASL49" s="191"/>
      <c r="ASM49" s="191"/>
      <c r="ASN49" s="191"/>
      <c r="ASO49" s="191"/>
      <c r="ASP49" s="191"/>
      <c r="ASQ49" s="191"/>
      <c r="ASR49" s="191"/>
      <c r="ASS49" s="191"/>
      <c r="AST49" s="191"/>
      <c r="ASU49" s="191"/>
      <c r="ASV49" s="191"/>
      <c r="ASW49" s="191"/>
      <c r="ASX49" s="191"/>
      <c r="ASY49" s="191"/>
      <c r="ASZ49" s="191"/>
      <c r="ATA49" s="191"/>
      <c r="ATB49" s="191"/>
      <c r="ATC49" s="191"/>
      <c r="ATD49" s="191"/>
      <c r="ATE49" s="191"/>
      <c r="ATF49" s="191"/>
      <c r="ATG49" s="191"/>
      <c r="ATH49" s="191"/>
      <c r="ATI49" s="191"/>
      <c r="ATJ49" s="191"/>
      <c r="ATK49" s="191"/>
      <c r="ATL49" s="191"/>
      <c r="ATM49" s="191"/>
      <c r="ATN49" s="191"/>
      <c r="ATO49" s="191"/>
      <c r="ATP49" s="191"/>
      <c r="ATQ49" s="191"/>
      <c r="ATR49" s="191"/>
      <c r="ATS49" s="191"/>
      <c r="ATT49" s="191"/>
      <c r="ATU49" s="191"/>
      <c r="ATV49" s="191"/>
      <c r="ATW49" s="191"/>
      <c r="ATX49" s="191"/>
      <c r="ATY49" s="191"/>
      <c r="ATZ49" s="191"/>
      <c r="AUA49" s="191"/>
      <c r="AUB49" s="191"/>
      <c r="AUC49" s="191"/>
      <c r="AUD49" s="191"/>
      <c r="AUE49" s="191"/>
      <c r="AUF49" s="191"/>
      <c r="AUG49" s="191"/>
      <c r="AUH49" s="191"/>
      <c r="AUI49" s="191"/>
      <c r="AUJ49" s="191"/>
      <c r="AUK49" s="191"/>
      <c r="AUL49" s="191"/>
      <c r="AUM49" s="191"/>
      <c r="AUN49" s="191"/>
      <c r="AUO49" s="191"/>
      <c r="AUP49" s="191"/>
      <c r="AUQ49" s="191"/>
      <c r="AUR49" s="191"/>
      <c r="AUS49" s="191"/>
      <c r="AUT49" s="191"/>
      <c r="AUU49" s="191"/>
      <c r="AUV49" s="191"/>
      <c r="AUW49" s="191"/>
      <c r="AUX49" s="191"/>
      <c r="AUY49" s="191"/>
      <c r="AUZ49" s="191"/>
      <c r="AVA49" s="191"/>
      <c r="AVB49" s="191"/>
      <c r="AVC49" s="191"/>
      <c r="AVD49" s="191"/>
      <c r="AVE49" s="191"/>
      <c r="AVF49" s="191"/>
      <c r="AVG49" s="191"/>
      <c r="AVH49" s="191"/>
      <c r="AVI49" s="191"/>
      <c r="AVJ49" s="191"/>
      <c r="AVK49" s="191"/>
      <c r="AVL49" s="191"/>
      <c r="AVM49" s="191"/>
      <c r="AVN49" s="191"/>
      <c r="AVO49" s="191"/>
      <c r="AVP49" s="191"/>
      <c r="AVQ49" s="191"/>
      <c r="AVR49" s="191"/>
      <c r="AVS49" s="191"/>
      <c r="AVT49" s="191"/>
      <c r="AVU49" s="191"/>
      <c r="AVV49" s="191"/>
      <c r="AVW49" s="191"/>
      <c r="AVX49" s="191"/>
      <c r="AVY49" s="191"/>
      <c r="AVZ49" s="191"/>
      <c r="AWA49" s="191"/>
      <c r="AWB49" s="191"/>
      <c r="AWC49" s="191"/>
      <c r="AWD49" s="191"/>
      <c r="AWE49" s="191"/>
      <c r="AWF49" s="191"/>
      <c r="AWG49" s="191"/>
      <c r="AWH49" s="191"/>
      <c r="AWI49" s="191"/>
      <c r="AWJ49" s="191"/>
      <c r="AWK49" s="191"/>
      <c r="AWL49" s="191"/>
      <c r="AWM49" s="191"/>
      <c r="AWN49" s="191"/>
      <c r="AWO49" s="191"/>
      <c r="AWP49" s="191"/>
      <c r="AWQ49" s="191"/>
      <c r="AWR49" s="191"/>
      <c r="AWS49" s="191"/>
      <c r="AWT49" s="191"/>
      <c r="AWU49" s="191"/>
      <c r="AWV49" s="191"/>
      <c r="AWW49" s="191"/>
      <c r="AWX49" s="191"/>
      <c r="AWY49" s="191"/>
      <c r="AWZ49" s="191"/>
      <c r="AXA49" s="191"/>
      <c r="AXB49" s="191"/>
      <c r="AXC49" s="191"/>
      <c r="AXD49" s="191"/>
      <c r="AXE49" s="191"/>
      <c r="AXF49" s="191"/>
      <c r="AXG49" s="191"/>
      <c r="AXH49" s="191"/>
      <c r="AXI49" s="191"/>
      <c r="AXJ49" s="191"/>
      <c r="AXK49" s="191"/>
      <c r="AXL49" s="191"/>
      <c r="AXM49" s="191"/>
      <c r="AXN49" s="191"/>
      <c r="AXO49" s="191"/>
      <c r="AXP49" s="191"/>
      <c r="AXQ49" s="191"/>
      <c r="AXR49" s="191"/>
      <c r="AXS49" s="191"/>
      <c r="AXT49" s="191"/>
      <c r="AXU49" s="191"/>
      <c r="AXV49" s="191"/>
      <c r="AXW49" s="191"/>
      <c r="AXX49" s="191"/>
      <c r="AXY49" s="191"/>
      <c r="AXZ49" s="191"/>
      <c r="AYA49" s="191"/>
      <c r="AYB49" s="191"/>
      <c r="AYC49" s="191"/>
      <c r="AYD49" s="191"/>
      <c r="AYE49" s="191"/>
      <c r="AYF49" s="191"/>
      <c r="AYG49" s="191"/>
      <c r="AYH49" s="191"/>
      <c r="AYI49" s="191"/>
      <c r="AYJ49" s="191"/>
      <c r="AYK49" s="191"/>
      <c r="AYL49" s="191"/>
      <c r="AYM49" s="191"/>
      <c r="AYN49" s="191"/>
      <c r="AYO49" s="191"/>
      <c r="AYP49" s="191"/>
      <c r="AYQ49" s="191"/>
      <c r="AYR49" s="191"/>
      <c r="AYS49" s="191"/>
      <c r="AYT49" s="191"/>
      <c r="AYU49" s="191"/>
      <c r="AYV49" s="191"/>
      <c r="AYW49" s="191"/>
      <c r="AYX49" s="191"/>
      <c r="AYY49" s="191"/>
      <c r="AYZ49" s="191"/>
      <c r="AZA49" s="191"/>
      <c r="AZB49" s="191"/>
      <c r="AZC49" s="191"/>
      <c r="AZD49" s="191"/>
      <c r="AZE49" s="191"/>
      <c r="AZF49" s="191"/>
      <c r="AZG49" s="191"/>
      <c r="AZH49" s="191"/>
      <c r="AZI49" s="191"/>
      <c r="AZJ49" s="191"/>
      <c r="AZK49" s="191"/>
      <c r="AZL49" s="191"/>
      <c r="AZM49" s="191"/>
      <c r="AZN49" s="191"/>
      <c r="AZO49" s="191"/>
      <c r="AZP49" s="191"/>
      <c r="AZQ49" s="191"/>
      <c r="AZR49" s="191"/>
      <c r="AZS49" s="191"/>
      <c r="AZT49" s="191"/>
      <c r="AZU49" s="191"/>
      <c r="AZV49" s="191"/>
      <c r="AZW49" s="191"/>
      <c r="AZX49" s="191"/>
      <c r="AZY49" s="191"/>
      <c r="AZZ49" s="191"/>
      <c r="BAA49" s="191"/>
      <c r="BAB49" s="191"/>
      <c r="BAC49" s="191"/>
      <c r="BAD49" s="191"/>
      <c r="BAE49" s="191"/>
      <c r="BAF49" s="191"/>
      <c r="BAG49" s="191"/>
      <c r="BAH49" s="191"/>
      <c r="BAI49" s="191"/>
      <c r="BAJ49" s="191"/>
      <c r="BAK49" s="191"/>
      <c r="BAL49" s="191"/>
      <c r="BAM49" s="191"/>
      <c r="BAN49" s="191"/>
      <c r="BAO49" s="191"/>
      <c r="BAP49" s="191"/>
      <c r="BAQ49" s="191"/>
      <c r="BAR49" s="191"/>
      <c r="BAS49" s="191"/>
      <c r="BAT49" s="191"/>
      <c r="BAU49" s="191"/>
      <c r="BAV49" s="191"/>
      <c r="BAW49" s="191"/>
      <c r="BAX49" s="191"/>
      <c r="BAY49" s="191"/>
      <c r="BAZ49" s="191"/>
      <c r="BBA49" s="191"/>
      <c r="BBB49" s="191"/>
      <c r="BBC49" s="191"/>
      <c r="BBD49" s="191"/>
      <c r="BBE49" s="191"/>
      <c r="BBF49" s="191"/>
      <c r="BBG49" s="191"/>
      <c r="BBH49" s="191"/>
      <c r="BBI49" s="191"/>
      <c r="BBJ49" s="191"/>
      <c r="BBK49" s="191"/>
      <c r="BBL49" s="191"/>
      <c r="BBM49" s="191"/>
      <c r="BBN49" s="191"/>
      <c r="BBO49" s="191"/>
      <c r="BBP49" s="191"/>
      <c r="BBQ49" s="191"/>
      <c r="BBR49" s="191"/>
      <c r="BBS49" s="191"/>
      <c r="BBT49" s="191"/>
      <c r="BBU49" s="191"/>
      <c r="BBV49" s="191"/>
      <c r="BBW49" s="191"/>
      <c r="BBX49" s="191"/>
      <c r="BBY49" s="191"/>
      <c r="BBZ49" s="191"/>
      <c r="BCA49" s="191"/>
      <c r="BCB49" s="191"/>
      <c r="BCC49" s="191"/>
      <c r="BCD49" s="191"/>
      <c r="BCE49" s="191"/>
      <c r="BCF49" s="191"/>
      <c r="BCG49" s="191"/>
      <c r="BCH49" s="191"/>
      <c r="BCI49" s="191"/>
      <c r="BCJ49" s="191"/>
      <c r="BCK49" s="191"/>
      <c r="BCL49" s="191"/>
      <c r="BCM49" s="191"/>
      <c r="BCN49" s="191"/>
      <c r="BCO49" s="191"/>
      <c r="BCP49" s="191"/>
      <c r="BCQ49" s="191"/>
      <c r="BCR49" s="191"/>
      <c r="BCS49" s="191"/>
      <c r="BCT49" s="191"/>
      <c r="BCU49" s="191"/>
      <c r="BCV49" s="191"/>
      <c r="BCW49" s="191"/>
      <c r="BCX49" s="191"/>
      <c r="BCY49" s="191"/>
      <c r="BCZ49" s="191"/>
      <c r="BDA49" s="191"/>
      <c r="BDB49" s="191"/>
      <c r="BDC49" s="191"/>
      <c r="BDD49" s="191"/>
      <c r="BDE49" s="191"/>
      <c r="BDF49" s="191"/>
      <c r="BDG49" s="191"/>
      <c r="BDH49" s="191"/>
      <c r="BDI49" s="191"/>
      <c r="BDJ49" s="191"/>
      <c r="BDK49" s="191"/>
      <c r="BDL49" s="191"/>
      <c r="BDM49" s="191"/>
      <c r="BDN49" s="191"/>
      <c r="BDO49" s="191"/>
      <c r="BDP49" s="191"/>
      <c r="BDQ49" s="191"/>
      <c r="BDR49" s="191"/>
      <c r="BDS49" s="191"/>
      <c r="BDT49" s="191"/>
      <c r="BDU49" s="191"/>
      <c r="BDV49" s="191"/>
      <c r="BDW49" s="191"/>
      <c r="BDX49" s="191"/>
      <c r="BDY49" s="191"/>
      <c r="BDZ49" s="191"/>
      <c r="BEA49" s="191"/>
      <c r="BEB49" s="191"/>
      <c r="BEC49" s="191"/>
      <c r="BED49" s="191"/>
      <c r="BEE49" s="191"/>
      <c r="BEF49" s="191"/>
      <c r="BEG49" s="191"/>
      <c r="BEH49" s="191"/>
      <c r="BEI49" s="191"/>
      <c r="BEJ49" s="191"/>
      <c r="BEK49" s="191"/>
      <c r="BEL49" s="191"/>
      <c r="BEM49" s="191"/>
      <c r="BEN49" s="191"/>
      <c r="BEO49" s="191"/>
      <c r="BEP49" s="191"/>
      <c r="BEQ49" s="191"/>
      <c r="BER49" s="191"/>
      <c r="BES49" s="191"/>
      <c r="BET49" s="191"/>
      <c r="BEU49" s="191"/>
      <c r="BEV49" s="191"/>
      <c r="BEW49" s="191"/>
      <c r="BEX49" s="191"/>
      <c r="BEY49" s="191"/>
      <c r="BEZ49" s="191"/>
      <c r="BFA49" s="191"/>
      <c r="BFB49" s="191"/>
      <c r="BFC49" s="191"/>
      <c r="BFD49" s="191"/>
      <c r="BFE49" s="191"/>
      <c r="BFF49" s="191"/>
      <c r="BFG49" s="191"/>
      <c r="BFH49" s="191"/>
      <c r="BFI49" s="191"/>
      <c r="BFJ49" s="191"/>
      <c r="BFK49" s="191"/>
      <c r="BFL49" s="191"/>
      <c r="BFM49" s="191"/>
      <c r="BFN49" s="191"/>
      <c r="BFO49" s="191"/>
      <c r="BFP49" s="191"/>
      <c r="BFQ49" s="191"/>
      <c r="BFR49" s="191"/>
      <c r="BFS49" s="191"/>
      <c r="BFT49" s="191"/>
      <c r="BFU49" s="191"/>
      <c r="BFV49" s="191"/>
      <c r="BFW49" s="191"/>
      <c r="BFX49" s="191"/>
      <c r="BFY49" s="191"/>
      <c r="BFZ49" s="191"/>
      <c r="BGA49" s="191"/>
      <c r="BGB49" s="191"/>
      <c r="BGC49" s="191"/>
      <c r="BGD49" s="191"/>
      <c r="BGE49" s="191"/>
      <c r="BGF49" s="191"/>
      <c r="BGG49" s="191"/>
      <c r="BGH49" s="191"/>
      <c r="BGI49" s="191"/>
      <c r="BGJ49" s="191"/>
      <c r="BGK49" s="191"/>
      <c r="BGL49" s="191"/>
      <c r="BGM49" s="191"/>
      <c r="BGN49" s="191"/>
      <c r="BGO49" s="191"/>
      <c r="BGP49" s="191"/>
      <c r="BGQ49" s="191"/>
      <c r="BGR49" s="191"/>
      <c r="BGS49" s="191"/>
      <c r="BGT49" s="191"/>
      <c r="BGU49" s="191"/>
      <c r="BGV49" s="191"/>
      <c r="BGW49" s="191"/>
      <c r="BGX49" s="191"/>
      <c r="BGY49" s="191"/>
      <c r="BGZ49" s="191"/>
      <c r="BHA49" s="191"/>
      <c r="BHB49" s="191"/>
      <c r="BHC49" s="191"/>
      <c r="BHD49" s="191"/>
      <c r="BHE49" s="191"/>
      <c r="BHF49" s="191"/>
      <c r="BHG49" s="191"/>
      <c r="BHH49" s="191"/>
      <c r="BHI49" s="191"/>
      <c r="BHJ49" s="191"/>
      <c r="BHK49" s="191"/>
      <c r="BHL49" s="191"/>
      <c r="BHM49" s="191"/>
      <c r="BHN49" s="191"/>
      <c r="BHO49" s="191"/>
      <c r="BHP49" s="191"/>
      <c r="BHQ49" s="191"/>
      <c r="BHR49" s="191"/>
      <c r="BHS49" s="191"/>
      <c r="BHT49" s="191"/>
      <c r="BHU49" s="191"/>
      <c r="BHV49" s="191"/>
      <c r="BHW49" s="191"/>
      <c r="BHX49" s="191"/>
      <c r="BHY49" s="191"/>
      <c r="BHZ49" s="191"/>
      <c r="BIA49" s="191"/>
      <c r="BIB49" s="191"/>
      <c r="BIC49" s="191"/>
      <c r="BID49" s="191"/>
      <c r="BIE49" s="191"/>
      <c r="BIF49" s="191"/>
      <c r="BIG49" s="191"/>
      <c r="BIH49" s="191"/>
      <c r="BII49" s="191"/>
      <c r="BIJ49" s="191"/>
      <c r="BIK49" s="191"/>
      <c r="BIL49" s="191"/>
      <c r="BIM49" s="191"/>
      <c r="BIN49" s="191"/>
      <c r="BIO49" s="191"/>
      <c r="BIP49" s="191"/>
      <c r="BIQ49" s="191"/>
      <c r="BIR49" s="191"/>
      <c r="BIS49" s="191"/>
      <c r="BIT49" s="191"/>
      <c r="BIU49" s="191"/>
      <c r="BIV49" s="191"/>
      <c r="BIW49" s="191"/>
      <c r="BIX49" s="191"/>
      <c r="BIY49" s="191"/>
      <c r="BIZ49" s="191"/>
      <c r="BJA49" s="191"/>
      <c r="BJB49" s="191"/>
      <c r="BJC49" s="191"/>
      <c r="BJD49" s="191"/>
      <c r="BJE49" s="191"/>
      <c r="BJF49" s="191"/>
      <c r="BJG49" s="191"/>
      <c r="BJH49" s="191"/>
      <c r="BJI49" s="191"/>
      <c r="BJJ49" s="191"/>
      <c r="BJK49" s="191"/>
      <c r="BJL49" s="191"/>
      <c r="BJM49" s="191"/>
      <c r="BJN49" s="191"/>
      <c r="BJO49" s="191"/>
      <c r="BJP49" s="191"/>
      <c r="BJQ49" s="191"/>
      <c r="BJR49" s="191"/>
      <c r="BJS49" s="191"/>
      <c r="BJT49" s="191"/>
      <c r="BJU49" s="191"/>
      <c r="BJV49" s="191"/>
      <c r="BJW49" s="191"/>
      <c r="BJX49" s="191"/>
      <c r="BJY49" s="191"/>
      <c r="BJZ49" s="191"/>
      <c r="BKA49" s="191"/>
      <c r="BKB49" s="191"/>
      <c r="BKC49" s="191"/>
      <c r="BKD49" s="191"/>
      <c r="BKE49" s="191"/>
      <c r="BKF49" s="191"/>
      <c r="BKG49" s="191"/>
      <c r="BKH49" s="191"/>
      <c r="BKI49" s="191"/>
      <c r="BKJ49" s="191"/>
      <c r="BKK49" s="191"/>
      <c r="BKL49" s="191"/>
      <c r="BKM49" s="191"/>
      <c r="BKN49" s="191"/>
      <c r="BKO49" s="191"/>
      <c r="BKP49" s="191"/>
      <c r="BKQ49" s="191"/>
      <c r="BKR49" s="191"/>
      <c r="BKS49" s="191"/>
      <c r="BKT49" s="191"/>
      <c r="BKU49" s="191"/>
      <c r="BKV49" s="191"/>
      <c r="BKW49" s="191"/>
      <c r="BKX49" s="191"/>
      <c r="BKY49" s="191"/>
      <c r="BKZ49" s="191"/>
      <c r="BLA49" s="191"/>
      <c r="BLB49" s="191"/>
      <c r="BLC49" s="191"/>
      <c r="BLD49" s="191"/>
      <c r="BLE49" s="191"/>
      <c r="BLF49" s="191"/>
      <c r="BLG49" s="191"/>
      <c r="BLH49" s="191"/>
      <c r="BLI49" s="191"/>
      <c r="BLJ49" s="191"/>
      <c r="BLK49" s="191"/>
      <c r="BLL49" s="191"/>
      <c r="BLM49" s="191"/>
      <c r="BLN49" s="191"/>
      <c r="BLO49" s="191"/>
      <c r="BLP49" s="191"/>
      <c r="BLQ49" s="191"/>
      <c r="BLR49" s="191"/>
      <c r="BLS49" s="191"/>
      <c r="BLT49" s="191"/>
      <c r="BLU49" s="191"/>
      <c r="BLV49" s="191"/>
      <c r="BLW49" s="191"/>
      <c r="BLX49" s="191"/>
      <c r="BLY49" s="191"/>
      <c r="BLZ49" s="191"/>
      <c r="BMA49" s="191"/>
      <c r="BMB49" s="191"/>
      <c r="BMC49" s="191"/>
      <c r="BMD49" s="191"/>
      <c r="BME49" s="191"/>
      <c r="BMF49" s="191"/>
      <c r="BMG49" s="191"/>
      <c r="BMH49" s="191"/>
      <c r="BMI49" s="191"/>
      <c r="BMJ49" s="191"/>
      <c r="BMK49" s="191"/>
      <c r="BML49" s="191"/>
      <c r="BMM49" s="191"/>
      <c r="BMN49" s="191"/>
      <c r="BMO49" s="191"/>
      <c r="BMP49" s="191"/>
      <c r="BMQ49" s="191"/>
      <c r="BMR49" s="191"/>
      <c r="BMS49" s="191"/>
      <c r="BMT49" s="191"/>
      <c r="BMU49" s="191"/>
      <c r="BMV49" s="191"/>
      <c r="BMW49" s="191"/>
      <c r="BMX49" s="191"/>
      <c r="BMY49" s="191"/>
      <c r="BMZ49" s="191"/>
      <c r="BNA49" s="191"/>
      <c r="BNB49" s="191"/>
      <c r="BNC49" s="191"/>
      <c r="BND49" s="191"/>
      <c r="BNE49" s="191"/>
      <c r="BNF49" s="191"/>
      <c r="BNG49" s="191"/>
      <c r="BNH49" s="191"/>
      <c r="BNI49" s="191"/>
      <c r="BNJ49" s="191"/>
      <c r="BNK49" s="191"/>
      <c r="BNL49" s="191"/>
      <c r="BNM49" s="191"/>
      <c r="BNN49" s="191"/>
      <c r="BNO49" s="191"/>
      <c r="BNP49" s="191"/>
      <c r="BNQ49" s="191"/>
      <c r="BNR49" s="191"/>
      <c r="BNS49" s="191"/>
      <c r="BNT49" s="191"/>
      <c r="BNU49" s="191"/>
      <c r="BNV49" s="191"/>
      <c r="BNW49" s="191"/>
      <c r="BNX49" s="191"/>
      <c r="BNY49" s="191"/>
      <c r="BNZ49" s="191"/>
      <c r="BOA49" s="191"/>
      <c r="BOB49" s="191"/>
      <c r="BOC49" s="191"/>
      <c r="BOD49" s="191"/>
      <c r="BOE49" s="191"/>
      <c r="BOF49" s="191"/>
      <c r="BOG49" s="191"/>
      <c r="BOH49" s="191"/>
      <c r="BOI49" s="191"/>
      <c r="BOJ49" s="191"/>
      <c r="BOK49" s="191"/>
      <c r="BOL49" s="191"/>
      <c r="BOM49" s="191"/>
      <c r="BON49" s="191"/>
      <c r="BOO49" s="191"/>
      <c r="BOP49" s="191"/>
      <c r="BOQ49" s="191"/>
      <c r="BOR49" s="191"/>
      <c r="BOS49" s="191"/>
      <c r="BOT49" s="191"/>
      <c r="BOU49" s="191"/>
      <c r="BOV49" s="191"/>
      <c r="BOW49" s="191"/>
      <c r="BOX49" s="191"/>
      <c r="BOY49" s="191"/>
      <c r="BOZ49" s="191"/>
      <c r="BPA49" s="191"/>
      <c r="BPB49" s="191"/>
      <c r="BPC49" s="191"/>
      <c r="BPD49" s="191"/>
      <c r="BPE49" s="191"/>
      <c r="BPF49" s="191"/>
      <c r="BPG49" s="191"/>
      <c r="BPH49" s="191"/>
      <c r="BPI49" s="191"/>
      <c r="BPJ49" s="191"/>
      <c r="BPK49" s="191"/>
      <c r="BPL49" s="191"/>
      <c r="BPM49" s="191"/>
      <c r="BPN49" s="191"/>
      <c r="BPO49" s="191"/>
      <c r="BPP49" s="191"/>
      <c r="BPQ49" s="191"/>
      <c r="BPR49" s="191"/>
      <c r="BPS49" s="191"/>
      <c r="BPT49" s="191"/>
      <c r="BPU49" s="191"/>
      <c r="BPV49" s="191"/>
      <c r="BPW49" s="191"/>
      <c r="BPX49" s="191"/>
      <c r="BPY49" s="191"/>
      <c r="BPZ49" s="191"/>
      <c r="BQA49" s="191"/>
      <c r="BQB49" s="191"/>
      <c r="BQC49" s="191"/>
      <c r="BQD49" s="191"/>
      <c r="BQE49" s="191"/>
      <c r="BQF49" s="191"/>
      <c r="BQG49" s="191"/>
      <c r="BQH49" s="191"/>
      <c r="BQI49" s="191"/>
      <c r="BQJ49" s="191"/>
      <c r="BQK49" s="191"/>
      <c r="BQL49" s="191"/>
      <c r="BQM49" s="191"/>
      <c r="BQN49" s="191"/>
      <c r="BQO49" s="191"/>
      <c r="BQP49" s="191"/>
      <c r="BQQ49" s="191"/>
      <c r="BQR49" s="191"/>
      <c r="BQS49" s="191"/>
      <c r="BQT49" s="191"/>
      <c r="BQU49" s="191"/>
      <c r="BQV49" s="191"/>
      <c r="BQW49" s="191"/>
      <c r="BQX49" s="191"/>
      <c r="BQY49" s="191"/>
      <c r="BQZ49" s="191"/>
      <c r="BRA49" s="191"/>
      <c r="BRB49" s="191"/>
      <c r="BRC49" s="191"/>
      <c r="BRD49" s="191"/>
      <c r="BRE49" s="191"/>
      <c r="BRF49" s="191"/>
      <c r="BRG49" s="191"/>
      <c r="BRH49" s="191"/>
      <c r="BRI49" s="191"/>
      <c r="BRJ49" s="191"/>
      <c r="BRK49" s="191"/>
      <c r="BRL49" s="191"/>
      <c r="BRM49" s="191"/>
      <c r="BRN49" s="191"/>
      <c r="BRO49" s="191"/>
      <c r="BRP49" s="191"/>
      <c r="BRQ49" s="191"/>
      <c r="BRR49" s="191"/>
      <c r="BRS49" s="191"/>
      <c r="BRT49" s="191"/>
      <c r="BRU49" s="191"/>
      <c r="BRV49" s="191"/>
      <c r="BRW49" s="191"/>
      <c r="BRX49" s="191"/>
      <c r="BRY49" s="191"/>
      <c r="BRZ49" s="191"/>
      <c r="BSA49" s="191"/>
      <c r="BSB49" s="191"/>
      <c r="BSC49" s="191"/>
      <c r="BSD49" s="191"/>
      <c r="BSE49" s="191"/>
      <c r="BSF49" s="191"/>
      <c r="BSG49" s="191"/>
      <c r="BSH49" s="191"/>
      <c r="BSI49" s="191"/>
      <c r="BSJ49" s="191"/>
      <c r="BSK49" s="191"/>
      <c r="BSL49" s="191"/>
      <c r="BSM49" s="191"/>
      <c r="BSN49" s="191"/>
      <c r="BSO49" s="191"/>
      <c r="BSP49" s="191"/>
      <c r="BSQ49" s="191"/>
      <c r="BSR49" s="191"/>
      <c r="BSS49" s="191"/>
      <c r="BST49" s="191"/>
      <c r="BSU49" s="191"/>
      <c r="BSV49" s="191"/>
      <c r="BSW49" s="191"/>
      <c r="BSX49" s="191"/>
      <c r="BSY49" s="191"/>
      <c r="BSZ49" s="191"/>
      <c r="BTA49" s="191"/>
      <c r="BTB49" s="191"/>
      <c r="BTC49" s="191"/>
      <c r="BTD49" s="191"/>
      <c r="BTE49" s="191"/>
      <c r="BTF49" s="191"/>
      <c r="BTG49" s="191"/>
      <c r="BTH49" s="191"/>
      <c r="BTI49" s="191"/>
      <c r="BTJ49" s="191"/>
      <c r="BTK49" s="191"/>
      <c r="BTL49" s="191"/>
      <c r="BTM49" s="191"/>
      <c r="BTN49" s="191"/>
      <c r="BTO49" s="191"/>
      <c r="BTP49" s="191"/>
      <c r="BTQ49" s="191"/>
      <c r="BTR49" s="191"/>
      <c r="BTS49" s="191"/>
      <c r="BTT49" s="191"/>
      <c r="BTU49" s="191"/>
      <c r="BTV49" s="191"/>
      <c r="BTW49" s="191"/>
      <c r="BTX49" s="191"/>
      <c r="BTY49" s="191"/>
      <c r="BTZ49" s="191"/>
      <c r="BUA49" s="191"/>
      <c r="BUB49" s="191"/>
      <c r="BUC49" s="191"/>
      <c r="BUD49" s="191"/>
      <c r="BUE49" s="191"/>
      <c r="BUF49" s="191"/>
      <c r="BUG49" s="191"/>
      <c r="BUH49" s="191"/>
      <c r="BUI49" s="191"/>
      <c r="BUJ49" s="191"/>
      <c r="BUK49" s="191"/>
      <c r="BUL49" s="191"/>
      <c r="BUM49" s="191"/>
      <c r="BUN49" s="191"/>
      <c r="BUO49" s="191"/>
      <c r="BUP49" s="191"/>
      <c r="BUQ49" s="191"/>
      <c r="BUR49" s="191"/>
      <c r="BUS49" s="191"/>
      <c r="BUT49" s="191"/>
      <c r="BUU49" s="191"/>
      <c r="BUV49" s="191"/>
      <c r="BUW49" s="191"/>
      <c r="BUX49" s="191"/>
      <c r="BUY49" s="191"/>
      <c r="BUZ49" s="191"/>
      <c r="BVA49" s="191"/>
      <c r="BVB49" s="191"/>
      <c r="BVC49" s="191"/>
      <c r="BVD49" s="191"/>
      <c r="BVE49" s="191"/>
      <c r="BVF49" s="191"/>
      <c r="BVG49" s="191"/>
      <c r="BVH49" s="191"/>
      <c r="BVI49" s="191"/>
      <c r="BVJ49" s="191"/>
      <c r="BVK49" s="191"/>
      <c r="BVL49" s="191"/>
      <c r="BVM49" s="191"/>
      <c r="BVN49" s="191"/>
      <c r="BVO49" s="191"/>
      <c r="BVP49" s="191"/>
      <c r="BVQ49" s="191"/>
      <c r="BVR49" s="191"/>
      <c r="BVS49" s="191"/>
      <c r="BVT49" s="191"/>
      <c r="BVU49" s="191"/>
      <c r="BVV49" s="191"/>
      <c r="BVW49" s="191"/>
      <c r="BVX49" s="191"/>
      <c r="BVY49" s="191"/>
      <c r="BVZ49" s="191"/>
      <c r="BWA49" s="191"/>
      <c r="BWB49" s="191"/>
      <c r="BWC49" s="191"/>
      <c r="BWD49" s="191"/>
      <c r="BWE49" s="191"/>
      <c r="BWF49" s="191"/>
      <c r="BWG49" s="191"/>
      <c r="BWH49" s="191"/>
      <c r="BWI49" s="191"/>
      <c r="BWJ49" s="191"/>
      <c r="BWK49" s="191"/>
      <c r="BWL49" s="191"/>
      <c r="BWM49" s="191"/>
      <c r="BWN49" s="191"/>
      <c r="BWO49" s="191"/>
      <c r="BWP49" s="191"/>
      <c r="BWQ49" s="191"/>
      <c r="BWR49" s="191"/>
      <c r="BWS49" s="191"/>
      <c r="BWT49" s="191"/>
      <c r="BWU49" s="191"/>
      <c r="BWV49" s="191"/>
      <c r="BWW49" s="191"/>
      <c r="BWX49" s="191"/>
      <c r="BWY49" s="191"/>
      <c r="BWZ49" s="191"/>
      <c r="BXA49" s="191"/>
      <c r="BXB49" s="191"/>
      <c r="BXC49" s="191"/>
      <c r="BXD49" s="191"/>
      <c r="BXE49" s="191"/>
      <c r="BXF49" s="191"/>
      <c r="BXG49" s="191"/>
      <c r="BXH49" s="191"/>
      <c r="BXI49" s="191"/>
      <c r="BXJ49" s="191"/>
      <c r="BXK49" s="191"/>
      <c r="BXL49" s="191"/>
      <c r="BXM49" s="191"/>
      <c r="BXN49" s="191"/>
      <c r="BXO49" s="191"/>
      <c r="BXP49" s="191"/>
      <c r="BXQ49" s="191"/>
      <c r="BXR49" s="191"/>
      <c r="BXS49" s="191"/>
      <c r="BXT49" s="191"/>
      <c r="BXU49" s="191"/>
      <c r="BXV49" s="191"/>
      <c r="BXW49" s="191"/>
      <c r="BXX49" s="191"/>
      <c r="BXY49" s="191"/>
      <c r="BXZ49" s="191"/>
      <c r="BYA49" s="191"/>
      <c r="BYB49" s="191"/>
      <c r="BYC49" s="191"/>
      <c r="BYD49" s="191"/>
      <c r="BYE49" s="191"/>
      <c r="BYF49" s="191"/>
      <c r="BYG49" s="191"/>
      <c r="BYH49" s="191"/>
      <c r="BYI49" s="191"/>
      <c r="BYJ49" s="191"/>
      <c r="BYK49" s="191"/>
      <c r="BYL49" s="191"/>
      <c r="BYM49" s="191"/>
      <c r="BYN49" s="191"/>
      <c r="BYO49" s="191"/>
      <c r="BYP49" s="191"/>
      <c r="BYQ49" s="191"/>
      <c r="BYR49" s="191"/>
      <c r="BYS49" s="191"/>
      <c r="BYT49" s="191"/>
      <c r="BYU49" s="191"/>
      <c r="BYV49" s="191"/>
      <c r="BYW49" s="191"/>
      <c r="BYX49" s="191"/>
      <c r="BYY49" s="191"/>
      <c r="BYZ49" s="191"/>
      <c r="BZA49" s="191"/>
      <c r="BZB49" s="191"/>
      <c r="BZC49" s="191"/>
      <c r="BZD49" s="191"/>
      <c r="BZE49" s="191"/>
      <c r="BZF49" s="191"/>
      <c r="BZG49" s="191"/>
      <c r="BZH49" s="191"/>
      <c r="BZI49" s="191"/>
      <c r="BZJ49" s="191"/>
      <c r="BZK49" s="191"/>
      <c r="BZL49" s="191"/>
      <c r="BZM49" s="191"/>
      <c r="BZN49" s="191"/>
      <c r="BZO49" s="191"/>
      <c r="BZP49" s="191"/>
      <c r="BZQ49" s="191"/>
      <c r="BZR49" s="191"/>
      <c r="BZS49" s="191"/>
      <c r="BZT49" s="191"/>
      <c r="BZU49" s="191"/>
      <c r="BZV49" s="191"/>
      <c r="BZW49" s="191"/>
      <c r="BZX49" s="191"/>
      <c r="BZY49" s="191"/>
      <c r="BZZ49" s="191"/>
      <c r="CAA49" s="191"/>
      <c r="CAB49" s="191"/>
      <c r="CAC49" s="191"/>
      <c r="CAD49" s="191"/>
      <c r="CAE49" s="191"/>
      <c r="CAF49" s="191"/>
      <c r="CAG49" s="191"/>
      <c r="CAH49" s="191"/>
      <c r="CAI49" s="191"/>
      <c r="CAJ49" s="191"/>
      <c r="CAK49" s="191"/>
      <c r="CAL49" s="191"/>
      <c r="CAM49" s="191"/>
      <c r="CAN49" s="191"/>
      <c r="CAO49" s="191"/>
      <c r="CAP49" s="191"/>
      <c r="CAQ49" s="191"/>
      <c r="CAR49" s="191"/>
      <c r="CAS49" s="191"/>
      <c r="CAT49" s="191"/>
      <c r="CAU49" s="191"/>
      <c r="CAV49" s="191"/>
      <c r="CAW49" s="191"/>
      <c r="CAX49" s="191"/>
      <c r="CAY49" s="191"/>
      <c r="CAZ49" s="191"/>
      <c r="CBA49" s="191"/>
      <c r="CBB49" s="191"/>
      <c r="CBC49" s="191"/>
      <c r="CBD49" s="191"/>
      <c r="CBE49" s="191"/>
      <c r="CBF49" s="191"/>
      <c r="CBG49" s="191"/>
      <c r="CBH49" s="191"/>
      <c r="CBI49" s="191"/>
      <c r="CBJ49" s="191"/>
      <c r="CBK49" s="191"/>
      <c r="CBL49" s="191"/>
      <c r="CBM49" s="191"/>
      <c r="CBN49" s="191"/>
      <c r="CBO49" s="191"/>
      <c r="CBP49" s="191"/>
      <c r="CBQ49" s="191"/>
      <c r="CBR49" s="191"/>
      <c r="CBS49" s="191"/>
      <c r="CBT49" s="191"/>
      <c r="CBU49" s="191"/>
      <c r="CBV49" s="191"/>
      <c r="CBW49" s="191"/>
      <c r="CBX49" s="191"/>
      <c r="CBY49" s="191"/>
      <c r="CBZ49" s="191"/>
      <c r="CCA49" s="191"/>
      <c r="CCB49" s="191"/>
      <c r="CCC49" s="191"/>
      <c r="CCD49" s="191"/>
      <c r="CCE49" s="191"/>
      <c r="CCF49" s="191"/>
      <c r="CCG49" s="191"/>
      <c r="CCH49" s="191"/>
      <c r="CCI49" s="191"/>
      <c r="CCJ49" s="191"/>
      <c r="CCK49" s="191"/>
      <c r="CCL49" s="191"/>
      <c r="CCM49" s="191"/>
      <c r="CCN49" s="191"/>
      <c r="CCO49" s="191"/>
      <c r="CCP49" s="191"/>
      <c r="CCQ49" s="191"/>
      <c r="CCR49" s="191"/>
      <c r="CCS49" s="191"/>
      <c r="CCT49" s="191"/>
      <c r="CCU49" s="191"/>
      <c r="CCV49" s="191"/>
      <c r="CCW49" s="191"/>
      <c r="CCX49" s="191"/>
      <c r="CCY49" s="191"/>
      <c r="CCZ49" s="191"/>
      <c r="CDA49" s="191"/>
      <c r="CDB49" s="191"/>
      <c r="CDC49" s="191"/>
      <c r="CDD49" s="191"/>
      <c r="CDE49" s="191"/>
      <c r="CDF49" s="191"/>
      <c r="CDG49" s="191"/>
      <c r="CDH49" s="191"/>
      <c r="CDI49" s="191"/>
      <c r="CDJ49" s="191"/>
      <c r="CDK49" s="191"/>
      <c r="CDL49" s="191"/>
      <c r="CDM49" s="191"/>
      <c r="CDN49" s="191"/>
      <c r="CDO49" s="191"/>
      <c r="CDP49" s="191"/>
      <c r="CDQ49" s="191"/>
      <c r="CDR49" s="191"/>
      <c r="CDS49" s="191"/>
      <c r="CDT49" s="191"/>
      <c r="CDU49" s="191"/>
      <c r="CDV49" s="191"/>
      <c r="CDW49" s="191"/>
      <c r="CDX49" s="191"/>
      <c r="CDY49" s="191"/>
      <c r="CDZ49" s="191"/>
      <c r="CEA49" s="191"/>
      <c r="CEB49" s="191"/>
      <c r="CEC49" s="191"/>
      <c r="CED49" s="191"/>
      <c r="CEE49" s="191"/>
      <c r="CEF49" s="191"/>
      <c r="CEG49" s="191"/>
      <c r="CEH49" s="191"/>
      <c r="CEI49" s="191"/>
      <c r="CEJ49" s="191"/>
      <c r="CEK49" s="191"/>
      <c r="CEL49" s="191"/>
      <c r="CEM49" s="191"/>
      <c r="CEN49" s="191"/>
      <c r="CEO49" s="191"/>
      <c r="CEP49" s="191"/>
      <c r="CEQ49" s="191"/>
      <c r="CER49" s="191"/>
      <c r="CES49" s="191"/>
      <c r="CET49" s="191"/>
      <c r="CEU49" s="191"/>
      <c r="CEV49" s="191"/>
      <c r="CEW49" s="191"/>
      <c r="CEX49" s="191"/>
      <c r="CEY49" s="191"/>
      <c r="CEZ49" s="191"/>
      <c r="CFA49" s="191"/>
      <c r="CFB49" s="191"/>
      <c r="CFC49" s="191"/>
      <c r="CFD49" s="191"/>
      <c r="CFE49" s="191"/>
      <c r="CFF49" s="191"/>
      <c r="CFG49" s="191"/>
      <c r="CFH49" s="191"/>
      <c r="CFI49" s="191"/>
      <c r="CFJ49" s="191"/>
      <c r="CFK49" s="191"/>
      <c r="CFL49" s="191"/>
      <c r="CFM49" s="191"/>
      <c r="CFN49" s="191"/>
      <c r="CFO49" s="191"/>
      <c r="CFP49" s="191"/>
      <c r="CFQ49" s="191"/>
      <c r="CFR49" s="191"/>
      <c r="CFS49" s="191"/>
      <c r="CFT49" s="191"/>
      <c r="CFU49" s="191"/>
      <c r="CFV49" s="191"/>
      <c r="CFW49" s="191"/>
      <c r="CFX49" s="191"/>
      <c r="CFY49" s="191"/>
      <c r="CFZ49" s="191"/>
      <c r="CGA49" s="191"/>
      <c r="CGB49" s="191"/>
      <c r="CGC49" s="191"/>
      <c r="CGD49" s="191"/>
      <c r="CGE49" s="191"/>
      <c r="CGF49" s="191"/>
      <c r="CGG49" s="191"/>
      <c r="CGH49" s="191"/>
      <c r="CGI49" s="191"/>
      <c r="CGJ49" s="191"/>
      <c r="CGK49" s="191"/>
      <c r="CGL49" s="191"/>
      <c r="CGM49" s="191"/>
      <c r="CGN49" s="191"/>
      <c r="CGO49" s="191"/>
      <c r="CGP49" s="191"/>
      <c r="CGQ49" s="191"/>
      <c r="CGR49" s="191"/>
      <c r="CGS49" s="191"/>
      <c r="CGT49" s="191"/>
      <c r="CGU49" s="191"/>
      <c r="CGV49" s="191"/>
      <c r="CGW49" s="191"/>
      <c r="CGX49" s="191"/>
      <c r="CGY49" s="191"/>
      <c r="CGZ49" s="191"/>
      <c r="CHA49" s="191"/>
      <c r="CHB49" s="191"/>
      <c r="CHC49" s="191"/>
      <c r="CHD49" s="191"/>
      <c r="CHE49" s="191"/>
      <c r="CHF49" s="191"/>
      <c r="CHG49" s="191"/>
      <c r="CHH49" s="191"/>
      <c r="CHI49" s="191"/>
      <c r="CHJ49" s="191"/>
      <c r="CHK49" s="191"/>
      <c r="CHL49" s="191"/>
      <c r="CHM49" s="191"/>
      <c r="CHN49" s="191"/>
      <c r="CHO49" s="191"/>
      <c r="CHP49" s="191"/>
      <c r="CHQ49" s="191"/>
      <c r="CHR49" s="191"/>
      <c r="CHS49" s="191"/>
      <c r="CHT49" s="191"/>
      <c r="CHU49" s="191"/>
      <c r="CHV49" s="191"/>
      <c r="CHW49" s="191"/>
      <c r="CHX49" s="191"/>
      <c r="CHY49" s="191"/>
      <c r="CHZ49" s="191"/>
      <c r="CIA49" s="191"/>
      <c r="CIB49" s="191"/>
      <c r="CIC49" s="191"/>
      <c r="CID49" s="191"/>
      <c r="CIE49" s="191"/>
      <c r="CIF49" s="191"/>
      <c r="CIG49" s="191"/>
      <c r="CIH49" s="191"/>
      <c r="CII49" s="191"/>
      <c r="CIJ49" s="191"/>
      <c r="CIK49" s="191"/>
      <c r="CIL49" s="191"/>
      <c r="CIM49" s="191"/>
      <c r="CIN49" s="191"/>
      <c r="CIO49" s="191"/>
      <c r="CIP49" s="191"/>
      <c r="CIQ49" s="191"/>
      <c r="CIR49" s="191"/>
      <c r="CIS49" s="191"/>
      <c r="CIT49" s="191"/>
      <c r="CIU49" s="191"/>
      <c r="CIV49" s="191"/>
      <c r="CIW49" s="191"/>
      <c r="CIX49" s="191"/>
      <c r="CIY49" s="191"/>
      <c r="CIZ49" s="191"/>
      <c r="CJA49" s="191"/>
      <c r="CJB49" s="191"/>
      <c r="CJC49" s="191"/>
      <c r="CJD49" s="191"/>
      <c r="CJE49" s="191"/>
      <c r="CJF49" s="191"/>
      <c r="CJG49" s="191"/>
      <c r="CJH49" s="191"/>
      <c r="CJI49" s="191"/>
      <c r="CJJ49" s="191"/>
      <c r="CJK49" s="191"/>
      <c r="CJL49" s="191"/>
      <c r="CJM49" s="191"/>
      <c r="CJN49" s="191"/>
      <c r="CJO49" s="191"/>
      <c r="CJP49" s="191"/>
      <c r="CJQ49" s="191"/>
      <c r="CJR49" s="191"/>
      <c r="CJS49" s="191"/>
      <c r="CJT49" s="191"/>
      <c r="CJU49" s="191"/>
      <c r="CJV49" s="191"/>
      <c r="CJW49" s="191"/>
      <c r="CJX49" s="191"/>
      <c r="CJY49" s="191"/>
      <c r="CJZ49" s="191"/>
      <c r="CKA49" s="191"/>
      <c r="CKB49" s="191"/>
      <c r="CKC49" s="191"/>
      <c r="CKD49" s="191"/>
      <c r="CKE49" s="191"/>
      <c r="CKF49" s="191"/>
      <c r="CKG49" s="191"/>
      <c r="CKH49" s="191"/>
      <c r="CKI49" s="191"/>
      <c r="CKJ49" s="191"/>
      <c r="CKK49" s="191"/>
      <c r="CKL49" s="191"/>
      <c r="CKM49" s="191"/>
      <c r="CKN49" s="191"/>
      <c r="CKO49" s="191"/>
      <c r="CKP49" s="191"/>
      <c r="CKQ49" s="191"/>
      <c r="CKR49" s="191"/>
      <c r="CKS49" s="191"/>
      <c r="CKT49" s="191"/>
      <c r="CKU49" s="191"/>
      <c r="CKV49" s="191"/>
      <c r="CKW49" s="191"/>
      <c r="CKX49" s="191"/>
      <c r="CKY49" s="191"/>
      <c r="CKZ49" s="191"/>
      <c r="CLA49" s="191"/>
      <c r="CLB49" s="191"/>
      <c r="CLC49" s="191"/>
      <c r="CLD49" s="191"/>
      <c r="CLE49" s="191"/>
      <c r="CLF49" s="191"/>
      <c r="CLG49" s="191"/>
      <c r="CLH49" s="191"/>
      <c r="CLI49" s="191"/>
      <c r="CLJ49" s="191"/>
      <c r="CLK49" s="191"/>
      <c r="CLL49" s="191"/>
      <c r="CLM49" s="191"/>
      <c r="CLN49" s="191"/>
      <c r="CLO49" s="191"/>
      <c r="CLP49" s="191"/>
      <c r="CLQ49" s="191"/>
      <c r="CLR49" s="191"/>
      <c r="CLS49" s="191"/>
      <c r="CLT49" s="191"/>
      <c r="CLU49" s="191"/>
      <c r="CLV49" s="191"/>
      <c r="CLW49" s="191"/>
      <c r="CLX49" s="191"/>
      <c r="CLY49" s="191"/>
      <c r="CLZ49" s="191"/>
      <c r="CMA49" s="191"/>
      <c r="CMB49" s="191"/>
      <c r="CMC49" s="191"/>
      <c r="CMD49" s="191"/>
      <c r="CME49" s="191"/>
      <c r="CMF49" s="191"/>
      <c r="CMG49" s="191"/>
      <c r="CMH49" s="191"/>
      <c r="CMI49" s="191"/>
      <c r="CMJ49" s="191"/>
      <c r="CMK49" s="191"/>
      <c r="CML49" s="191"/>
      <c r="CMM49" s="191"/>
      <c r="CMN49" s="191"/>
      <c r="CMO49" s="191"/>
      <c r="CMP49" s="191"/>
      <c r="CMQ49" s="191"/>
      <c r="CMR49" s="191"/>
      <c r="CMS49" s="191"/>
      <c r="CMT49" s="191"/>
      <c r="CMU49" s="191"/>
      <c r="CMV49" s="191"/>
      <c r="CMW49" s="191"/>
      <c r="CMX49" s="191"/>
      <c r="CMY49" s="191"/>
      <c r="CMZ49" s="191"/>
      <c r="CNA49" s="191"/>
      <c r="CNB49" s="191"/>
      <c r="CNC49" s="191"/>
      <c r="CND49" s="191"/>
      <c r="CNE49" s="191"/>
      <c r="CNF49" s="191"/>
      <c r="CNG49" s="191"/>
      <c r="CNH49" s="191"/>
      <c r="CNI49" s="191"/>
      <c r="CNJ49" s="191"/>
      <c r="CNK49" s="191"/>
      <c r="CNL49" s="191"/>
      <c r="CNM49" s="191"/>
      <c r="CNN49" s="191"/>
      <c r="CNO49" s="191"/>
      <c r="CNP49" s="191"/>
      <c r="CNQ49" s="191"/>
      <c r="CNR49" s="191"/>
      <c r="CNS49" s="191"/>
      <c r="CNT49" s="191"/>
      <c r="CNU49" s="191"/>
      <c r="CNV49" s="191"/>
      <c r="CNW49" s="191"/>
      <c r="CNX49" s="191"/>
      <c r="CNY49" s="191"/>
      <c r="CNZ49" s="191"/>
      <c r="COA49" s="191"/>
      <c r="COB49" s="191"/>
      <c r="COC49" s="191"/>
      <c r="COD49" s="191"/>
      <c r="COE49" s="191"/>
      <c r="COF49" s="191"/>
      <c r="COG49" s="191"/>
      <c r="COH49" s="191"/>
      <c r="COI49" s="191"/>
      <c r="COJ49" s="191"/>
      <c r="COK49" s="191"/>
      <c r="COL49" s="191"/>
      <c r="COM49" s="191"/>
      <c r="CON49" s="191"/>
      <c r="COO49" s="191"/>
      <c r="COP49" s="191"/>
      <c r="COQ49" s="191"/>
      <c r="COR49" s="191"/>
      <c r="COS49" s="191"/>
      <c r="COT49" s="191"/>
      <c r="COU49" s="191"/>
      <c r="COV49" s="191"/>
      <c r="COW49" s="191"/>
      <c r="COX49" s="191"/>
      <c r="COY49" s="191"/>
      <c r="COZ49" s="191"/>
      <c r="CPA49" s="191"/>
      <c r="CPB49" s="191"/>
      <c r="CPC49" s="191"/>
      <c r="CPD49" s="191"/>
      <c r="CPE49" s="191"/>
      <c r="CPF49" s="191"/>
      <c r="CPG49" s="191"/>
      <c r="CPH49" s="191"/>
      <c r="CPI49" s="191"/>
      <c r="CPJ49" s="191"/>
      <c r="CPK49" s="191"/>
      <c r="CPL49" s="191"/>
      <c r="CPM49" s="191"/>
      <c r="CPN49" s="191"/>
      <c r="CPO49" s="191"/>
      <c r="CPP49" s="191"/>
      <c r="CPQ49" s="191"/>
      <c r="CPR49" s="191"/>
      <c r="CPS49" s="191"/>
      <c r="CPT49" s="191"/>
      <c r="CPU49" s="191"/>
      <c r="CPV49" s="191"/>
      <c r="CPW49" s="191"/>
      <c r="CPX49" s="191"/>
      <c r="CPY49" s="191"/>
      <c r="CPZ49" s="191"/>
      <c r="CQA49" s="191"/>
      <c r="CQB49" s="191"/>
      <c r="CQC49" s="191"/>
      <c r="CQD49" s="191"/>
      <c r="CQE49" s="191"/>
      <c r="CQF49" s="191"/>
      <c r="CQG49" s="191"/>
      <c r="CQH49" s="191"/>
      <c r="CQI49" s="191"/>
      <c r="CQJ49" s="191"/>
      <c r="CQK49" s="191"/>
      <c r="CQL49" s="191"/>
      <c r="CQM49" s="191"/>
      <c r="CQN49" s="191"/>
      <c r="CQO49" s="191"/>
      <c r="CQP49" s="191"/>
      <c r="CQQ49" s="191"/>
      <c r="CQR49" s="191"/>
      <c r="CQS49" s="191"/>
      <c r="CQT49" s="191"/>
      <c r="CQU49" s="191"/>
      <c r="CQV49" s="191"/>
      <c r="CQW49" s="191"/>
      <c r="CQX49" s="191"/>
      <c r="CQY49" s="191"/>
      <c r="CQZ49" s="191"/>
      <c r="CRA49" s="191"/>
      <c r="CRB49" s="191"/>
      <c r="CRC49" s="191"/>
      <c r="CRD49" s="191"/>
      <c r="CRE49" s="191"/>
      <c r="CRF49" s="191"/>
      <c r="CRG49" s="191"/>
      <c r="CRH49" s="191"/>
      <c r="CRI49" s="191"/>
      <c r="CRJ49" s="191"/>
      <c r="CRK49" s="191"/>
      <c r="CRL49" s="191"/>
      <c r="CRM49" s="191"/>
      <c r="CRN49" s="191"/>
      <c r="CRO49" s="191"/>
      <c r="CRP49" s="191"/>
      <c r="CRQ49" s="191"/>
      <c r="CRR49" s="191"/>
      <c r="CRS49" s="191"/>
      <c r="CRT49" s="191"/>
      <c r="CRU49" s="191"/>
      <c r="CRV49" s="191"/>
      <c r="CRW49" s="191"/>
      <c r="CRX49" s="191"/>
      <c r="CRY49" s="191"/>
      <c r="CRZ49" s="191"/>
      <c r="CSA49" s="191"/>
      <c r="CSB49" s="191"/>
      <c r="CSC49" s="191"/>
      <c r="CSD49" s="191"/>
      <c r="CSE49" s="191"/>
      <c r="CSF49" s="191"/>
      <c r="CSG49" s="191"/>
      <c r="CSH49" s="191"/>
      <c r="CSI49" s="191"/>
      <c r="CSJ49" s="191"/>
      <c r="CSK49" s="191"/>
      <c r="CSL49" s="191"/>
      <c r="CSM49" s="191"/>
      <c r="CSN49" s="191"/>
      <c r="CSO49" s="191"/>
      <c r="CSP49" s="191"/>
      <c r="CSQ49" s="191"/>
      <c r="CSR49" s="191"/>
      <c r="CSS49" s="191"/>
      <c r="CST49" s="191"/>
      <c r="CSU49" s="191"/>
      <c r="CSV49" s="191"/>
      <c r="CSW49" s="191"/>
      <c r="CSX49" s="191"/>
      <c r="CSY49" s="191"/>
      <c r="CSZ49" s="191"/>
      <c r="CTA49" s="191"/>
      <c r="CTB49" s="191"/>
      <c r="CTC49" s="191"/>
      <c r="CTD49" s="191"/>
      <c r="CTE49" s="191"/>
      <c r="CTF49" s="191"/>
      <c r="CTG49" s="191"/>
      <c r="CTH49" s="191"/>
      <c r="CTI49" s="191"/>
      <c r="CTJ49" s="191"/>
      <c r="CTK49" s="191"/>
      <c r="CTL49" s="191"/>
      <c r="CTM49" s="191"/>
      <c r="CTN49" s="191"/>
      <c r="CTO49" s="191"/>
      <c r="CTP49" s="191"/>
      <c r="CTQ49" s="191"/>
      <c r="CTR49" s="191"/>
      <c r="CTS49" s="191"/>
      <c r="CTT49" s="191"/>
      <c r="CTU49" s="191"/>
      <c r="CTV49" s="191"/>
      <c r="CTW49" s="191"/>
      <c r="CTX49" s="191"/>
      <c r="CTY49" s="191"/>
      <c r="CTZ49" s="191"/>
      <c r="CUA49" s="191"/>
      <c r="CUB49" s="191"/>
      <c r="CUC49" s="191"/>
      <c r="CUD49" s="191"/>
      <c r="CUE49" s="191"/>
      <c r="CUF49" s="191"/>
      <c r="CUG49" s="191"/>
      <c r="CUH49" s="191"/>
      <c r="CUI49" s="191"/>
      <c r="CUJ49" s="191"/>
      <c r="CUK49" s="191"/>
      <c r="CUL49" s="191"/>
      <c r="CUM49" s="191"/>
      <c r="CUN49" s="191"/>
      <c r="CUO49" s="191"/>
      <c r="CUP49" s="191"/>
      <c r="CUQ49" s="191"/>
      <c r="CUR49" s="191"/>
      <c r="CUS49" s="191"/>
      <c r="CUT49" s="191"/>
      <c r="CUU49" s="191"/>
      <c r="CUV49" s="191"/>
      <c r="CUW49" s="191"/>
      <c r="CUX49" s="191"/>
      <c r="CUY49" s="191"/>
      <c r="CUZ49" s="191"/>
      <c r="CVA49" s="191"/>
      <c r="CVB49" s="191"/>
      <c r="CVC49" s="191"/>
      <c r="CVD49" s="191"/>
      <c r="CVE49" s="191"/>
      <c r="CVF49" s="191"/>
      <c r="CVG49" s="191"/>
      <c r="CVH49" s="191"/>
      <c r="CVI49" s="191"/>
      <c r="CVJ49" s="191"/>
      <c r="CVK49" s="191"/>
      <c r="CVL49" s="191"/>
      <c r="CVM49" s="191"/>
      <c r="CVN49" s="191"/>
      <c r="CVO49" s="191"/>
      <c r="CVP49" s="191"/>
      <c r="CVQ49" s="191"/>
      <c r="CVR49" s="191"/>
      <c r="CVS49" s="191"/>
      <c r="CVT49" s="191"/>
      <c r="CVU49" s="191"/>
      <c r="CVV49" s="191"/>
      <c r="CVW49" s="191"/>
      <c r="CVX49" s="191"/>
      <c r="CVY49" s="191"/>
      <c r="CVZ49" s="191"/>
      <c r="CWA49" s="191"/>
      <c r="CWB49" s="191"/>
      <c r="CWC49" s="191"/>
      <c r="CWD49" s="191"/>
      <c r="CWE49" s="191"/>
      <c r="CWF49" s="191"/>
      <c r="CWG49" s="191"/>
      <c r="CWH49" s="191"/>
      <c r="CWI49" s="191"/>
      <c r="CWJ49" s="191"/>
      <c r="CWK49" s="191"/>
      <c r="CWL49" s="191"/>
      <c r="CWM49" s="191"/>
      <c r="CWN49" s="191"/>
      <c r="CWO49" s="191"/>
      <c r="CWP49" s="191"/>
      <c r="CWQ49" s="191"/>
      <c r="CWR49" s="191"/>
      <c r="CWS49" s="191"/>
      <c r="CWT49" s="191"/>
      <c r="CWU49" s="191"/>
      <c r="CWV49" s="191"/>
      <c r="CWW49" s="191"/>
      <c r="CWX49" s="191"/>
      <c r="CWY49" s="191"/>
      <c r="CWZ49" s="191"/>
      <c r="CXA49" s="191"/>
      <c r="CXB49" s="191"/>
      <c r="CXC49" s="191"/>
      <c r="CXD49" s="191"/>
      <c r="CXE49" s="191"/>
      <c r="CXF49" s="191"/>
      <c r="CXG49" s="191"/>
      <c r="CXH49" s="191"/>
      <c r="CXI49" s="191"/>
      <c r="CXJ49" s="191"/>
      <c r="CXK49" s="191"/>
      <c r="CXL49" s="191"/>
      <c r="CXM49" s="191"/>
      <c r="CXN49" s="191"/>
      <c r="CXO49" s="191"/>
      <c r="CXP49" s="191"/>
      <c r="CXQ49" s="191"/>
      <c r="CXR49" s="191"/>
      <c r="CXS49" s="191"/>
      <c r="CXT49" s="191"/>
      <c r="CXU49" s="191"/>
      <c r="CXV49" s="191"/>
      <c r="CXW49" s="191"/>
      <c r="CXX49" s="191"/>
      <c r="CXY49" s="191"/>
      <c r="CXZ49" s="191"/>
      <c r="CYA49" s="191"/>
      <c r="CYB49" s="191"/>
      <c r="CYC49" s="191"/>
      <c r="CYD49" s="191"/>
      <c r="CYE49" s="191"/>
      <c r="CYF49" s="191"/>
      <c r="CYG49" s="191"/>
      <c r="CYH49" s="191"/>
      <c r="CYI49" s="191"/>
      <c r="CYJ49" s="191"/>
      <c r="CYK49" s="191"/>
      <c r="CYL49" s="191"/>
      <c r="CYM49" s="191"/>
      <c r="CYN49" s="191"/>
      <c r="CYO49" s="191"/>
      <c r="CYP49" s="191"/>
      <c r="CYQ49" s="191"/>
      <c r="CYR49" s="191"/>
      <c r="CYS49" s="191"/>
      <c r="CYT49" s="191"/>
      <c r="CYU49" s="191"/>
      <c r="CYV49" s="191"/>
      <c r="CYW49" s="191"/>
      <c r="CYX49" s="191"/>
      <c r="CYY49" s="191"/>
      <c r="CYZ49" s="191"/>
      <c r="CZA49" s="191"/>
      <c r="CZB49" s="191"/>
      <c r="CZC49" s="191"/>
      <c r="CZD49" s="191"/>
      <c r="CZE49" s="191"/>
      <c r="CZF49" s="191"/>
      <c r="CZG49" s="191"/>
      <c r="CZH49" s="191"/>
      <c r="CZI49" s="191"/>
      <c r="CZJ49" s="191"/>
      <c r="CZK49" s="191"/>
      <c r="CZL49" s="191"/>
      <c r="CZM49" s="191"/>
      <c r="CZN49" s="191"/>
      <c r="CZO49" s="191"/>
      <c r="CZP49" s="191"/>
      <c r="CZQ49" s="191"/>
      <c r="CZR49" s="191"/>
      <c r="CZS49" s="191"/>
      <c r="CZT49" s="191"/>
      <c r="CZU49" s="191"/>
      <c r="CZV49" s="191"/>
      <c r="CZW49" s="191"/>
      <c r="CZX49" s="191"/>
      <c r="CZY49" s="191"/>
      <c r="CZZ49" s="191"/>
      <c r="DAA49" s="191"/>
      <c r="DAB49" s="191"/>
      <c r="DAC49" s="191"/>
      <c r="DAD49" s="191"/>
      <c r="DAE49" s="191"/>
      <c r="DAF49" s="191"/>
      <c r="DAG49" s="191"/>
      <c r="DAH49" s="191"/>
      <c r="DAI49" s="191"/>
      <c r="DAJ49" s="191"/>
      <c r="DAK49" s="191"/>
      <c r="DAL49" s="191"/>
      <c r="DAM49" s="191"/>
      <c r="DAN49" s="191"/>
      <c r="DAO49" s="191"/>
      <c r="DAP49" s="191"/>
      <c r="DAQ49" s="191"/>
      <c r="DAR49" s="191"/>
      <c r="DAS49" s="191"/>
      <c r="DAT49" s="191"/>
      <c r="DAU49" s="191"/>
      <c r="DAV49" s="191"/>
      <c r="DAW49" s="191"/>
      <c r="DAX49" s="191"/>
      <c r="DAY49" s="191"/>
      <c r="DAZ49" s="191"/>
      <c r="DBA49" s="191"/>
      <c r="DBB49" s="191"/>
      <c r="DBC49" s="191"/>
      <c r="DBD49" s="191"/>
      <c r="DBE49" s="191"/>
      <c r="DBF49" s="191"/>
      <c r="DBG49" s="191"/>
      <c r="DBH49" s="191"/>
      <c r="DBI49" s="191"/>
      <c r="DBJ49" s="191"/>
      <c r="DBK49" s="191"/>
      <c r="DBL49" s="191"/>
      <c r="DBM49" s="191"/>
      <c r="DBN49" s="191"/>
      <c r="DBO49" s="191"/>
      <c r="DBP49" s="191"/>
      <c r="DBQ49" s="191"/>
      <c r="DBR49" s="191"/>
      <c r="DBS49" s="191"/>
      <c r="DBT49" s="191"/>
      <c r="DBU49" s="191"/>
      <c r="DBV49" s="191"/>
      <c r="DBW49" s="191"/>
      <c r="DBX49" s="191"/>
      <c r="DBY49" s="191"/>
      <c r="DBZ49" s="191"/>
      <c r="DCA49" s="191"/>
      <c r="DCB49" s="191"/>
      <c r="DCC49" s="191"/>
      <c r="DCD49" s="191"/>
      <c r="DCE49" s="191"/>
      <c r="DCF49" s="191"/>
      <c r="DCG49" s="191"/>
      <c r="DCH49" s="191"/>
      <c r="DCI49" s="191"/>
      <c r="DCJ49" s="191"/>
      <c r="DCK49" s="191"/>
      <c r="DCL49" s="191"/>
      <c r="DCM49" s="191"/>
      <c r="DCN49" s="191"/>
      <c r="DCO49" s="191"/>
      <c r="DCP49" s="191"/>
      <c r="DCQ49" s="191"/>
      <c r="DCR49" s="191"/>
      <c r="DCS49" s="191"/>
      <c r="DCT49" s="191"/>
      <c r="DCU49" s="191"/>
      <c r="DCV49" s="191"/>
      <c r="DCW49" s="191"/>
      <c r="DCX49" s="191"/>
      <c r="DCY49" s="191"/>
      <c r="DCZ49" s="191"/>
      <c r="DDA49" s="191"/>
      <c r="DDB49" s="191"/>
      <c r="DDC49" s="191"/>
      <c r="DDD49" s="191"/>
      <c r="DDE49" s="191"/>
      <c r="DDF49" s="191"/>
      <c r="DDG49" s="191"/>
      <c r="DDH49" s="191"/>
      <c r="DDI49" s="191"/>
      <c r="DDJ49" s="191"/>
      <c r="DDK49" s="191"/>
      <c r="DDL49" s="191"/>
      <c r="DDM49" s="191"/>
      <c r="DDN49" s="191"/>
      <c r="DDO49" s="191"/>
      <c r="DDP49" s="191"/>
      <c r="DDQ49" s="191"/>
      <c r="DDR49" s="191"/>
      <c r="DDS49" s="191"/>
      <c r="DDT49" s="191"/>
      <c r="DDU49" s="191"/>
      <c r="DDV49" s="191"/>
      <c r="DDW49" s="191"/>
      <c r="DDX49" s="191"/>
      <c r="DDY49" s="191"/>
      <c r="DDZ49" s="191"/>
      <c r="DEA49" s="191"/>
      <c r="DEB49" s="191"/>
      <c r="DEC49" s="191"/>
      <c r="DED49" s="191"/>
      <c r="DEE49" s="191"/>
      <c r="DEF49" s="191"/>
      <c r="DEG49" s="191"/>
      <c r="DEH49" s="191"/>
      <c r="DEI49" s="191"/>
      <c r="DEJ49" s="191"/>
      <c r="DEK49" s="191"/>
      <c r="DEL49" s="191"/>
      <c r="DEM49" s="191"/>
      <c r="DEN49" s="191"/>
      <c r="DEO49" s="191"/>
      <c r="DEP49" s="191"/>
      <c r="DEQ49" s="191"/>
      <c r="DER49" s="191"/>
      <c r="DES49" s="191"/>
      <c r="DET49" s="191"/>
      <c r="DEU49" s="191"/>
      <c r="DEV49" s="191"/>
      <c r="DEW49" s="191"/>
      <c r="DEX49" s="191"/>
      <c r="DEY49" s="191"/>
      <c r="DEZ49" s="191"/>
      <c r="DFA49" s="191"/>
      <c r="DFB49" s="191"/>
      <c r="DFC49" s="191"/>
      <c r="DFD49" s="191"/>
      <c r="DFE49" s="191"/>
      <c r="DFF49" s="191"/>
      <c r="DFG49" s="191"/>
      <c r="DFH49" s="191"/>
      <c r="DFI49" s="191"/>
      <c r="DFJ49" s="191"/>
      <c r="DFK49" s="191"/>
      <c r="DFL49" s="191"/>
      <c r="DFM49" s="191"/>
      <c r="DFN49" s="191"/>
      <c r="DFO49" s="191"/>
      <c r="DFP49" s="191"/>
      <c r="DFQ49" s="191"/>
      <c r="DFR49" s="191"/>
      <c r="DFS49" s="191"/>
      <c r="DFT49" s="191"/>
      <c r="DFU49" s="191"/>
      <c r="DFV49" s="191"/>
      <c r="DFW49" s="191"/>
      <c r="DFX49" s="191"/>
      <c r="DFY49" s="191"/>
      <c r="DFZ49" s="191"/>
      <c r="DGA49" s="191"/>
      <c r="DGB49" s="191"/>
      <c r="DGC49" s="191"/>
      <c r="DGD49" s="191"/>
      <c r="DGE49" s="191"/>
      <c r="DGF49" s="191"/>
      <c r="DGG49" s="191"/>
      <c r="DGH49" s="191"/>
      <c r="DGI49" s="191"/>
      <c r="DGJ49" s="191"/>
      <c r="DGK49" s="191"/>
      <c r="DGL49" s="191"/>
      <c r="DGM49" s="191"/>
      <c r="DGN49" s="191"/>
      <c r="DGO49" s="191"/>
      <c r="DGP49" s="191"/>
      <c r="DGQ49" s="191"/>
      <c r="DGR49" s="191"/>
      <c r="DGS49" s="191"/>
      <c r="DGT49" s="191"/>
      <c r="DGU49" s="191"/>
      <c r="DGV49" s="191"/>
      <c r="DGW49" s="191"/>
      <c r="DGX49" s="191"/>
      <c r="DGY49" s="191"/>
      <c r="DGZ49" s="191"/>
      <c r="DHA49" s="191"/>
      <c r="DHB49" s="191"/>
      <c r="DHC49" s="191"/>
      <c r="DHD49" s="191"/>
      <c r="DHE49" s="191"/>
      <c r="DHF49" s="191"/>
      <c r="DHG49" s="191"/>
      <c r="DHH49" s="191"/>
      <c r="DHI49" s="191"/>
      <c r="DHJ49" s="191"/>
      <c r="DHK49" s="191"/>
      <c r="DHL49" s="191"/>
      <c r="DHM49" s="191"/>
      <c r="DHN49" s="191"/>
      <c r="DHO49" s="191"/>
      <c r="DHP49" s="191"/>
      <c r="DHQ49" s="191"/>
      <c r="DHR49" s="191"/>
      <c r="DHS49" s="191"/>
      <c r="DHT49" s="191"/>
      <c r="DHU49" s="191"/>
      <c r="DHV49" s="191"/>
      <c r="DHW49" s="191"/>
      <c r="DHX49" s="191"/>
      <c r="DHY49" s="191"/>
      <c r="DHZ49" s="191"/>
      <c r="DIA49" s="191"/>
      <c r="DIB49" s="191"/>
      <c r="DIC49" s="191"/>
      <c r="DID49" s="191"/>
      <c r="DIE49" s="191"/>
      <c r="DIF49" s="191"/>
      <c r="DIG49" s="191"/>
      <c r="DIH49" s="191"/>
      <c r="DII49" s="191"/>
      <c r="DIJ49" s="191"/>
      <c r="DIK49" s="191"/>
      <c r="DIL49" s="191"/>
      <c r="DIM49" s="191"/>
      <c r="DIN49" s="191"/>
      <c r="DIO49" s="191"/>
      <c r="DIP49" s="191"/>
      <c r="DIQ49" s="191"/>
      <c r="DIR49" s="191"/>
      <c r="DIS49" s="191"/>
      <c r="DIT49" s="191"/>
      <c r="DIU49" s="191"/>
      <c r="DIV49" s="191"/>
      <c r="DIW49" s="191"/>
      <c r="DIX49" s="191"/>
      <c r="DIY49" s="191"/>
      <c r="DIZ49" s="191"/>
      <c r="DJA49" s="191"/>
      <c r="DJB49" s="191"/>
      <c r="DJC49" s="191"/>
      <c r="DJD49" s="191"/>
      <c r="DJE49" s="191"/>
      <c r="DJF49" s="191"/>
      <c r="DJG49" s="191"/>
      <c r="DJH49" s="191"/>
      <c r="DJI49" s="191"/>
      <c r="DJJ49" s="191"/>
      <c r="DJK49" s="191"/>
      <c r="DJL49" s="191"/>
      <c r="DJM49" s="191"/>
      <c r="DJN49" s="191"/>
      <c r="DJO49" s="191"/>
      <c r="DJP49" s="191"/>
      <c r="DJQ49" s="191"/>
      <c r="DJR49" s="191"/>
      <c r="DJS49" s="191"/>
      <c r="DJT49" s="191"/>
      <c r="DJU49" s="191"/>
      <c r="DJV49" s="191"/>
      <c r="DJW49" s="191"/>
      <c r="DJX49" s="191"/>
      <c r="DJY49" s="191"/>
      <c r="DJZ49" s="191"/>
      <c r="DKA49" s="191"/>
      <c r="DKB49" s="191"/>
      <c r="DKC49" s="191"/>
      <c r="DKD49" s="191"/>
      <c r="DKE49" s="191"/>
      <c r="DKF49" s="191"/>
      <c r="DKG49" s="191"/>
      <c r="DKH49" s="191"/>
      <c r="DKI49" s="191"/>
      <c r="DKJ49" s="191"/>
      <c r="DKK49" s="191"/>
      <c r="DKL49" s="191"/>
      <c r="DKM49" s="191"/>
      <c r="DKN49" s="191"/>
      <c r="DKO49" s="191"/>
      <c r="DKP49" s="191"/>
      <c r="DKQ49" s="191"/>
      <c r="DKR49" s="191"/>
      <c r="DKS49" s="191"/>
      <c r="DKT49" s="191"/>
      <c r="DKU49" s="191"/>
      <c r="DKV49" s="191"/>
      <c r="DKW49" s="191"/>
      <c r="DKX49" s="191"/>
      <c r="DKY49" s="191"/>
      <c r="DKZ49" s="191"/>
      <c r="DLA49" s="191"/>
      <c r="DLB49" s="191"/>
      <c r="DLC49" s="191"/>
      <c r="DLD49" s="191"/>
      <c r="DLE49" s="191"/>
      <c r="DLF49" s="191"/>
      <c r="DLG49" s="191"/>
      <c r="DLH49" s="191"/>
      <c r="DLI49" s="191"/>
      <c r="DLJ49" s="191"/>
      <c r="DLK49" s="191"/>
      <c r="DLL49" s="191"/>
      <c r="DLM49" s="191"/>
      <c r="DLN49" s="191"/>
      <c r="DLO49" s="191"/>
      <c r="DLP49" s="191"/>
      <c r="DLQ49" s="191"/>
      <c r="DLR49" s="191"/>
      <c r="DLS49" s="191"/>
      <c r="DLT49" s="191"/>
      <c r="DLU49" s="191"/>
      <c r="DLV49" s="191"/>
      <c r="DLW49" s="191"/>
      <c r="DLX49" s="191"/>
      <c r="DLY49" s="191"/>
      <c r="DLZ49" s="191"/>
      <c r="DMA49" s="191"/>
      <c r="DMB49" s="191"/>
      <c r="DMC49" s="191"/>
      <c r="DMD49" s="191"/>
      <c r="DME49" s="191"/>
      <c r="DMF49" s="191"/>
      <c r="DMG49" s="191"/>
      <c r="DMH49" s="191"/>
      <c r="DMI49" s="191"/>
      <c r="DMJ49" s="191"/>
      <c r="DMK49" s="191"/>
      <c r="DML49" s="191"/>
      <c r="DMM49" s="191"/>
      <c r="DMN49" s="191"/>
      <c r="DMO49" s="191"/>
      <c r="DMP49" s="191"/>
      <c r="DMQ49" s="191"/>
      <c r="DMR49" s="191"/>
      <c r="DMS49" s="191"/>
      <c r="DMT49" s="191"/>
      <c r="DMU49" s="191"/>
      <c r="DMV49" s="191"/>
      <c r="DMW49" s="191"/>
      <c r="DMX49" s="191"/>
      <c r="DMY49" s="191"/>
      <c r="DMZ49" s="191"/>
      <c r="DNA49" s="191"/>
      <c r="DNB49" s="191"/>
      <c r="DNC49" s="191"/>
      <c r="DND49" s="191"/>
      <c r="DNE49" s="191"/>
      <c r="DNF49" s="191"/>
      <c r="DNG49" s="191"/>
      <c r="DNH49" s="191"/>
      <c r="DNI49" s="191"/>
      <c r="DNJ49" s="191"/>
      <c r="DNK49" s="191"/>
      <c r="DNL49" s="191"/>
      <c r="DNM49" s="191"/>
      <c r="DNN49" s="191"/>
      <c r="DNO49" s="191"/>
      <c r="DNP49" s="191"/>
      <c r="DNQ49" s="191"/>
      <c r="DNR49" s="191"/>
      <c r="DNS49" s="191"/>
      <c r="DNT49" s="191"/>
      <c r="DNU49" s="191"/>
      <c r="DNV49" s="191"/>
      <c r="DNW49" s="191"/>
      <c r="DNX49" s="191"/>
      <c r="DNY49" s="191"/>
      <c r="DNZ49" s="191"/>
      <c r="DOA49" s="191"/>
      <c r="DOB49" s="191"/>
      <c r="DOC49" s="191"/>
      <c r="DOD49" s="191"/>
      <c r="DOE49" s="191"/>
      <c r="DOF49" s="191"/>
      <c r="DOG49" s="191"/>
      <c r="DOH49" s="191"/>
      <c r="DOI49" s="191"/>
      <c r="DOJ49" s="191"/>
      <c r="DOK49" s="191"/>
      <c r="DOL49" s="191"/>
      <c r="DOM49" s="191"/>
      <c r="DON49" s="191"/>
      <c r="DOO49" s="191"/>
      <c r="DOP49" s="191"/>
      <c r="DOQ49" s="191"/>
      <c r="DOR49" s="191"/>
      <c r="DOS49" s="191"/>
      <c r="DOT49" s="191"/>
      <c r="DOU49" s="191"/>
      <c r="DOV49" s="191"/>
      <c r="DOW49" s="191"/>
      <c r="DOX49" s="191"/>
      <c r="DOY49" s="191"/>
      <c r="DOZ49" s="191"/>
      <c r="DPA49" s="191"/>
      <c r="DPB49" s="191"/>
      <c r="DPC49" s="191"/>
      <c r="DPD49" s="191"/>
      <c r="DPE49" s="191"/>
      <c r="DPF49" s="191"/>
      <c r="DPG49" s="191"/>
      <c r="DPH49" s="191"/>
      <c r="DPI49" s="191"/>
      <c r="DPJ49" s="191"/>
      <c r="DPK49" s="191"/>
      <c r="DPL49" s="191"/>
      <c r="DPM49" s="191"/>
      <c r="DPN49" s="191"/>
      <c r="DPO49" s="191"/>
      <c r="DPP49" s="191"/>
      <c r="DPQ49" s="191"/>
      <c r="DPR49" s="191"/>
      <c r="DPS49" s="191"/>
      <c r="DPT49" s="191"/>
      <c r="DPU49" s="191"/>
      <c r="DPV49" s="191"/>
      <c r="DPW49" s="191"/>
      <c r="DPX49" s="191"/>
      <c r="DPY49" s="191"/>
      <c r="DPZ49" s="191"/>
      <c r="DQA49" s="191"/>
      <c r="DQB49" s="191"/>
      <c r="DQC49" s="191"/>
      <c r="DQD49" s="191"/>
      <c r="DQE49" s="191"/>
      <c r="DQF49" s="191"/>
      <c r="DQG49" s="191"/>
      <c r="DQH49" s="191"/>
      <c r="DQI49" s="191"/>
      <c r="DQJ49" s="191"/>
      <c r="DQK49" s="191"/>
      <c r="DQL49" s="191"/>
      <c r="DQM49" s="191"/>
      <c r="DQN49" s="191"/>
      <c r="DQO49" s="191"/>
      <c r="DQP49" s="191"/>
      <c r="DQQ49" s="191"/>
      <c r="DQR49" s="191"/>
      <c r="DQS49" s="191"/>
      <c r="DQT49" s="191"/>
      <c r="DQU49" s="191"/>
      <c r="DQV49" s="191"/>
      <c r="DQW49" s="191"/>
      <c r="DQX49" s="191"/>
      <c r="DQY49" s="191"/>
      <c r="DQZ49" s="191"/>
      <c r="DRA49" s="191"/>
      <c r="DRB49" s="191"/>
      <c r="DRC49" s="191"/>
      <c r="DRD49" s="191"/>
      <c r="DRE49" s="191"/>
      <c r="DRF49" s="191"/>
      <c r="DRG49" s="191"/>
      <c r="DRH49" s="191"/>
      <c r="DRI49" s="191"/>
      <c r="DRJ49" s="191"/>
      <c r="DRK49" s="191"/>
      <c r="DRL49" s="191"/>
      <c r="DRM49" s="191"/>
      <c r="DRN49" s="191"/>
      <c r="DRO49" s="191"/>
      <c r="DRP49" s="191"/>
      <c r="DRQ49" s="191"/>
      <c r="DRR49" s="191"/>
      <c r="DRS49" s="191"/>
      <c r="DRT49" s="191"/>
      <c r="DRU49" s="191"/>
      <c r="DRV49" s="191"/>
      <c r="DRW49" s="191"/>
      <c r="DRX49" s="191"/>
      <c r="DRY49" s="191"/>
      <c r="DRZ49" s="191"/>
      <c r="DSA49" s="191"/>
      <c r="DSB49" s="191"/>
      <c r="DSC49" s="191"/>
      <c r="DSD49" s="191"/>
      <c r="DSE49" s="191"/>
      <c r="DSF49" s="191"/>
      <c r="DSG49" s="191"/>
      <c r="DSH49" s="191"/>
      <c r="DSI49" s="191"/>
      <c r="DSJ49" s="191"/>
      <c r="DSK49" s="191"/>
      <c r="DSL49" s="191"/>
      <c r="DSM49" s="191"/>
      <c r="DSN49" s="191"/>
      <c r="DSO49" s="191"/>
      <c r="DSP49" s="191"/>
      <c r="DSQ49" s="191"/>
      <c r="DSR49" s="191"/>
      <c r="DSS49" s="191"/>
      <c r="DST49" s="191"/>
      <c r="DSU49" s="191"/>
      <c r="DSV49" s="191"/>
      <c r="DSW49" s="191"/>
      <c r="DSX49" s="191"/>
      <c r="DSY49" s="191"/>
      <c r="DSZ49" s="191"/>
      <c r="DTA49" s="191"/>
      <c r="DTB49" s="191"/>
      <c r="DTC49" s="191"/>
      <c r="DTD49" s="191"/>
      <c r="DTE49" s="191"/>
      <c r="DTF49" s="191"/>
      <c r="DTG49" s="191"/>
      <c r="DTH49" s="191"/>
      <c r="DTI49" s="191"/>
      <c r="DTJ49" s="191"/>
      <c r="DTK49" s="191"/>
      <c r="DTL49" s="191"/>
      <c r="DTM49" s="191"/>
      <c r="DTN49" s="191"/>
      <c r="DTO49" s="191"/>
      <c r="DTP49" s="191"/>
      <c r="DTQ49" s="191"/>
      <c r="DTR49" s="191"/>
      <c r="DTS49" s="191"/>
      <c r="DTT49" s="191"/>
      <c r="DTU49" s="191"/>
      <c r="DTV49" s="191"/>
      <c r="DTW49" s="191"/>
      <c r="DTX49" s="191"/>
      <c r="DTY49" s="191"/>
      <c r="DTZ49" s="191"/>
      <c r="DUA49" s="191"/>
      <c r="DUB49" s="191"/>
      <c r="DUC49" s="191"/>
      <c r="DUD49" s="191"/>
      <c r="DUE49" s="191"/>
      <c r="DUF49" s="191"/>
      <c r="DUG49" s="191"/>
      <c r="DUH49" s="191"/>
      <c r="DUI49" s="191"/>
      <c r="DUJ49" s="191"/>
      <c r="DUK49" s="191"/>
      <c r="DUL49" s="191"/>
      <c r="DUM49" s="191"/>
      <c r="DUN49" s="191"/>
      <c r="DUO49" s="191"/>
      <c r="DUP49" s="191"/>
      <c r="DUQ49" s="191"/>
      <c r="DUR49" s="191"/>
      <c r="DUS49" s="191"/>
      <c r="DUT49" s="191"/>
      <c r="DUU49" s="191"/>
      <c r="DUV49" s="191"/>
      <c r="DUW49" s="191"/>
      <c r="DUX49" s="191"/>
      <c r="DUY49" s="191"/>
      <c r="DUZ49" s="191"/>
      <c r="DVA49" s="191"/>
      <c r="DVB49" s="191"/>
      <c r="DVC49" s="191"/>
      <c r="DVD49" s="191"/>
      <c r="DVE49" s="191"/>
      <c r="DVF49" s="191"/>
      <c r="DVG49" s="191"/>
      <c r="DVH49" s="191"/>
      <c r="DVI49" s="191"/>
      <c r="DVJ49" s="191"/>
      <c r="DVK49" s="191"/>
      <c r="DVL49" s="191"/>
      <c r="DVM49" s="191"/>
      <c r="DVN49" s="191"/>
      <c r="DVO49" s="191"/>
      <c r="DVP49" s="191"/>
      <c r="DVQ49" s="191"/>
      <c r="DVR49" s="191"/>
      <c r="DVS49" s="191"/>
      <c r="DVT49" s="191"/>
      <c r="DVU49" s="191"/>
      <c r="DVV49" s="191"/>
      <c r="DVW49" s="191"/>
      <c r="DVX49" s="191"/>
      <c r="DVY49" s="191"/>
      <c r="DVZ49" s="191"/>
      <c r="DWA49" s="191"/>
      <c r="DWB49" s="191"/>
      <c r="DWC49" s="191"/>
      <c r="DWD49" s="191"/>
      <c r="DWE49" s="191"/>
      <c r="DWF49" s="191"/>
      <c r="DWG49" s="191"/>
      <c r="DWH49" s="191"/>
      <c r="DWI49" s="191"/>
      <c r="DWJ49" s="191"/>
      <c r="DWK49" s="191"/>
      <c r="DWL49" s="191"/>
      <c r="DWM49" s="191"/>
      <c r="DWN49" s="191"/>
      <c r="DWO49" s="191"/>
      <c r="DWP49" s="191"/>
      <c r="DWQ49" s="191"/>
      <c r="DWR49" s="191"/>
      <c r="DWS49" s="191"/>
      <c r="DWT49" s="191"/>
      <c r="DWU49" s="191"/>
      <c r="DWV49" s="191"/>
      <c r="DWW49" s="191"/>
      <c r="DWX49" s="191"/>
      <c r="DWY49" s="191"/>
      <c r="DWZ49" s="191"/>
      <c r="DXA49" s="191"/>
      <c r="DXB49" s="191"/>
      <c r="DXC49" s="191"/>
      <c r="DXD49" s="191"/>
      <c r="DXE49" s="191"/>
      <c r="DXF49" s="191"/>
      <c r="DXG49" s="191"/>
      <c r="DXH49" s="191"/>
      <c r="DXI49" s="191"/>
      <c r="DXJ49" s="191"/>
      <c r="DXK49" s="191"/>
      <c r="DXL49" s="191"/>
      <c r="DXM49" s="191"/>
      <c r="DXN49" s="191"/>
      <c r="DXO49" s="191"/>
      <c r="DXP49" s="191"/>
      <c r="DXQ49" s="191"/>
      <c r="DXR49" s="191"/>
      <c r="DXS49" s="191"/>
      <c r="DXT49" s="191"/>
      <c r="DXU49" s="191"/>
      <c r="DXV49" s="191"/>
      <c r="DXW49" s="191"/>
      <c r="DXX49" s="191"/>
      <c r="DXY49" s="191"/>
      <c r="DXZ49" s="191"/>
      <c r="DYA49" s="191"/>
      <c r="DYB49" s="191"/>
      <c r="DYC49" s="191"/>
      <c r="DYD49" s="191"/>
      <c r="DYE49" s="191"/>
      <c r="DYF49" s="191"/>
      <c r="DYG49" s="191"/>
      <c r="DYH49" s="191"/>
      <c r="DYI49" s="191"/>
      <c r="DYJ49" s="191"/>
      <c r="DYK49" s="191"/>
      <c r="DYL49" s="191"/>
      <c r="DYM49" s="191"/>
      <c r="DYN49" s="191"/>
      <c r="DYO49" s="191"/>
      <c r="DYP49" s="191"/>
      <c r="DYQ49" s="191"/>
      <c r="DYR49" s="191"/>
      <c r="DYS49" s="191"/>
      <c r="DYT49" s="191"/>
      <c r="DYU49" s="191"/>
      <c r="DYV49" s="191"/>
      <c r="DYW49" s="191"/>
      <c r="DYX49" s="191"/>
      <c r="DYY49" s="191"/>
      <c r="DYZ49" s="191"/>
      <c r="DZA49" s="191"/>
      <c r="DZB49" s="191"/>
      <c r="DZC49" s="191"/>
      <c r="DZD49" s="191"/>
      <c r="DZE49" s="191"/>
      <c r="DZF49" s="191"/>
      <c r="DZG49" s="191"/>
      <c r="DZH49" s="191"/>
      <c r="DZI49" s="191"/>
      <c r="DZJ49" s="191"/>
      <c r="DZK49" s="191"/>
      <c r="DZL49" s="191"/>
      <c r="DZM49" s="191"/>
      <c r="DZN49" s="191"/>
      <c r="DZO49" s="191"/>
      <c r="DZP49" s="191"/>
      <c r="DZQ49" s="191"/>
      <c r="DZR49" s="191"/>
      <c r="DZS49" s="191"/>
      <c r="DZT49" s="191"/>
      <c r="DZU49" s="191"/>
      <c r="DZV49" s="191"/>
      <c r="DZW49" s="191"/>
      <c r="DZX49" s="191"/>
      <c r="DZY49" s="191"/>
      <c r="DZZ49" s="191"/>
      <c r="EAA49" s="191"/>
      <c r="EAB49" s="191"/>
      <c r="EAC49" s="191"/>
      <c r="EAD49" s="191"/>
      <c r="EAE49" s="191"/>
      <c r="EAF49" s="191"/>
      <c r="EAG49" s="191"/>
      <c r="EAH49" s="191"/>
      <c r="EAI49" s="191"/>
      <c r="EAJ49" s="191"/>
      <c r="EAK49" s="191"/>
      <c r="EAL49" s="191"/>
      <c r="EAM49" s="191"/>
      <c r="EAN49" s="191"/>
      <c r="EAO49" s="191"/>
      <c r="EAP49" s="191"/>
      <c r="EAQ49" s="191"/>
      <c r="EAR49" s="191"/>
      <c r="EAS49" s="191"/>
      <c r="EAT49" s="191"/>
      <c r="EAU49" s="191"/>
      <c r="EAV49" s="191"/>
      <c r="EAW49" s="191"/>
      <c r="EAX49" s="191"/>
      <c r="EAY49" s="191"/>
      <c r="EAZ49" s="191"/>
      <c r="EBA49" s="191"/>
      <c r="EBB49" s="191"/>
      <c r="EBC49" s="191"/>
      <c r="EBD49" s="191"/>
      <c r="EBE49" s="191"/>
      <c r="EBF49" s="191"/>
      <c r="EBG49" s="191"/>
      <c r="EBH49" s="191"/>
      <c r="EBI49" s="191"/>
      <c r="EBJ49" s="191"/>
      <c r="EBK49" s="191"/>
      <c r="EBL49" s="191"/>
      <c r="EBM49" s="191"/>
      <c r="EBN49" s="191"/>
      <c r="EBO49" s="191"/>
      <c r="EBP49" s="191"/>
      <c r="EBQ49" s="191"/>
      <c r="EBR49" s="191"/>
      <c r="EBS49" s="191"/>
      <c r="EBT49" s="191"/>
      <c r="EBU49" s="191"/>
      <c r="EBV49" s="191"/>
      <c r="EBW49" s="191"/>
      <c r="EBX49" s="191"/>
      <c r="EBY49" s="191"/>
      <c r="EBZ49" s="191"/>
      <c r="ECA49" s="191"/>
      <c r="ECB49" s="191"/>
      <c r="ECC49" s="191"/>
      <c r="ECD49" s="191"/>
      <c r="ECE49" s="191"/>
      <c r="ECF49" s="191"/>
      <c r="ECG49" s="191"/>
      <c r="ECH49" s="191"/>
      <c r="ECI49" s="191"/>
      <c r="ECJ49" s="191"/>
      <c r="ECK49" s="191"/>
      <c r="ECL49" s="191"/>
      <c r="ECM49" s="191"/>
      <c r="ECN49" s="191"/>
      <c r="ECO49" s="191"/>
      <c r="ECP49" s="191"/>
      <c r="ECQ49" s="191"/>
      <c r="ECR49" s="191"/>
      <c r="ECS49" s="191"/>
      <c r="ECT49" s="191"/>
      <c r="ECU49" s="191"/>
      <c r="ECV49" s="191"/>
      <c r="ECW49" s="191"/>
      <c r="ECX49" s="191"/>
      <c r="ECY49" s="191"/>
      <c r="ECZ49" s="191"/>
      <c r="EDA49" s="191"/>
      <c r="EDB49" s="191"/>
      <c r="EDC49" s="191"/>
      <c r="EDD49" s="191"/>
      <c r="EDE49" s="191"/>
      <c r="EDF49" s="191"/>
      <c r="EDG49" s="191"/>
      <c r="EDH49" s="191"/>
      <c r="EDI49" s="191"/>
      <c r="EDJ49" s="191"/>
      <c r="EDK49" s="191"/>
      <c r="EDL49" s="191"/>
      <c r="EDM49" s="191"/>
      <c r="EDN49" s="191"/>
      <c r="EDO49" s="191"/>
      <c r="EDP49" s="191"/>
      <c r="EDQ49" s="191"/>
      <c r="EDR49" s="191"/>
      <c r="EDS49" s="191"/>
      <c r="EDT49" s="191"/>
      <c r="EDU49" s="191"/>
      <c r="EDV49" s="191"/>
      <c r="EDW49" s="191"/>
      <c r="EDX49" s="191"/>
      <c r="EDY49" s="191"/>
      <c r="EDZ49" s="191"/>
      <c r="EEA49" s="191"/>
      <c r="EEB49" s="191"/>
      <c r="EEC49" s="191"/>
      <c r="EED49" s="191"/>
      <c r="EEE49" s="191"/>
      <c r="EEF49" s="191"/>
      <c r="EEG49" s="191"/>
      <c r="EEH49" s="191"/>
      <c r="EEI49" s="191"/>
      <c r="EEJ49" s="191"/>
      <c r="EEK49" s="191"/>
      <c r="EEL49" s="191"/>
      <c r="EEM49" s="191"/>
      <c r="EEN49" s="191"/>
      <c r="EEO49" s="191"/>
      <c r="EEP49" s="191"/>
      <c r="EEQ49" s="191"/>
      <c r="EER49" s="191"/>
      <c r="EES49" s="191"/>
      <c r="EET49" s="191"/>
      <c r="EEU49" s="191"/>
      <c r="EEV49" s="191"/>
      <c r="EEW49" s="191"/>
      <c r="EEX49" s="191"/>
      <c r="EEY49" s="191"/>
      <c r="EEZ49" s="191"/>
      <c r="EFA49" s="191"/>
      <c r="EFB49" s="191"/>
      <c r="EFC49" s="191"/>
      <c r="EFD49" s="191"/>
      <c r="EFE49" s="191"/>
      <c r="EFF49" s="191"/>
      <c r="EFG49" s="191"/>
      <c r="EFH49" s="191"/>
      <c r="EFI49" s="191"/>
      <c r="EFJ49" s="191"/>
      <c r="EFK49" s="191"/>
      <c r="EFL49" s="191"/>
      <c r="EFM49" s="191"/>
      <c r="EFN49" s="191"/>
      <c r="EFO49" s="191"/>
      <c r="EFP49" s="191"/>
      <c r="EFQ49" s="191"/>
      <c r="EFR49" s="191"/>
      <c r="EFS49" s="191"/>
      <c r="EFT49" s="191"/>
      <c r="EFU49" s="191"/>
      <c r="EFV49" s="191"/>
      <c r="EFW49" s="191"/>
      <c r="EFX49" s="191"/>
      <c r="EFY49" s="191"/>
      <c r="EFZ49" s="191"/>
      <c r="EGA49" s="191"/>
      <c r="EGB49" s="191"/>
      <c r="EGC49" s="191"/>
      <c r="EGD49" s="191"/>
      <c r="EGE49" s="191"/>
      <c r="EGF49" s="191"/>
      <c r="EGG49" s="191"/>
      <c r="EGH49" s="191"/>
      <c r="EGI49" s="191"/>
      <c r="EGJ49" s="191"/>
      <c r="EGK49" s="191"/>
      <c r="EGL49" s="191"/>
      <c r="EGM49" s="191"/>
      <c r="EGN49" s="191"/>
      <c r="EGO49" s="191"/>
      <c r="EGP49" s="191"/>
      <c r="EGQ49" s="191"/>
      <c r="EGR49" s="191"/>
      <c r="EGS49" s="191"/>
      <c r="EGT49" s="191"/>
      <c r="EGU49" s="191"/>
      <c r="EGV49" s="191"/>
      <c r="EGW49" s="191"/>
      <c r="EGX49" s="191"/>
      <c r="EGY49" s="191"/>
      <c r="EGZ49" s="191"/>
      <c r="EHA49" s="191"/>
      <c r="EHB49" s="191"/>
      <c r="EHC49" s="191"/>
      <c r="EHD49" s="191"/>
      <c r="EHE49" s="191"/>
      <c r="EHF49" s="191"/>
      <c r="EHG49" s="191"/>
      <c r="EHH49" s="191"/>
      <c r="EHI49" s="191"/>
      <c r="EHJ49" s="191"/>
      <c r="EHK49" s="191"/>
      <c r="EHL49" s="191"/>
      <c r="EHM49" s="191"/>
      <c r="EHN49" s="191"/>
      <c r="EHO49" s="191"/>
      <c r="EHP49" s="191"/>
      <c r="EHQ49" s="191"/>
      <c r="EHR49" s="191"/>
      <c r="EHS49" s="191"/>
      <c r="EHT49" s="191"/>
      <c r="EHU49" s="191"/>
      <c r="EHV49" s="191"/>
      <c r="EHW49" s="191"/>
      <c r="EHX49" s="191"/>
      <c r="EHY49" s="191"/>
      <c r="EHZ49" s="191"/>
      <c r="EIA49" s="191"/>
      <c r="EIB49" s="191"/>
      <c r="EIC49" s="191"/>
      <c r="EID49" s="191"/>
      <c r="EIE49" s="191"/>
      <c r="EIF49" s="191"/>
      <c r="EIG49" s="191"/>
      <c r="EIH49" s="191"/>
      <c r="EII49" s="191"/>
      <c r="EIJ49" s="191"/>
      <c r="EIK49" s="191"/>
      <c r="EIL49" s="191"/>
      <c r="EIM49" s="191"/>
      <c r="EIN49" s="191"/>
      <c r="EIO49" s="191"/>
      <c r="EIP49" s="191"/>
      <c r="EIQ49" s="191"/>
      <c r="EIR49" s="191"/>
      <c r="EIS49" s="191"/>
      <c r="EIT49" s="191"/>
      <c r="EIU49" s="191"/>
      <c r="EIV49" s="191"/>
      <c r="EIW49" s="191"/>
      <c r="EIX49" s="191"/>
      <c r="EIY49" s="191"/>
      <c r="EIZ49" s="191"/>
      <c r="EJA49" s="191"/>
      <c r="EJB49" s="191"/>
      <c r="EJC49" s="191"/>
      <c r="EJD49" s="191"/>
      <c r="EJE49" s="191"/>
      <c r="EJF49" s="191"/>
      <c r="EJG49" s="191"/>
      <c r="EJH49" s="191"/>
      <c r="EJI49" s="191"/>
      <c r="EJJ49" s="191"/>
      <c r="EJK49" s="191"/>
      <c r="EJL49" s="191"/>
      <c r="EJM49" s="191"/>
      <c r="EJN49" s="191"/>
      <c r="EJO49" s="191"/>
      <c r="EJP49" s="191"/>
      <c r="EJQ49" s="191"/>
      <c r="EJR49" s="191"/>
      <c r="EJS49" s="191"/>
      <c r="EJT49" s="191"/>
      <c r="EJU49" s="191"/>
      <c r="EJV49" s="191"/>
      <c r="EJW49" s="191"/>
      <c r="EJX49" s="191"/>
      <c r="EJY49" s="191"/>
      <c r="EJZ49" s="191"/>
      <c r="EKA49" s="191"/>
      <c r="EKB49" s="191"/>
      <c r="EKC49" s="191"/>
      <c r="EKD49" s="191"/>
      <c r="EKE49" s="191"/>
      <c r="EKF49" s="191"/>
      <c r="EKG49" s="191"/>
      <c r="EKH49" s="191"/>
      <c r="EKI49" s="191"/>
      <c r="EKJ49" s="191"/>
      <c r="EKK49" s="191"/>
      <c r="EKL49" s="191"/>
      <c r="EKM49" s="191"/>
      <c r="EKN49" s="191"/>
      <c r="EKO49" s="191"/>
      <c r="EKP49" s="191"/>
      <c r="EKQ49" s="191"/>
      <c r="EKR49" s="191"/>
      <c r="EKS49" s="191"/>
      <c r="EKT49" s="191"/>
      <c r="EKU49" s="191"/>
      <c r="EKV49" s="191"/>
      <c r="EKW49" s="191"/>
      <c r="EKX49" s="191"/>
      <c r="EKY49" s="191"/>
      <c r="EKZ49" s="191"/>
      <c r="ELA49" s="191"/>
      <c r="ELB49" s="191"/>
      <c r="ELC49" s="191"/>
      <c r="ELD49" s="191"/>
      <c r="ELE49" s="191"/>
      <c r="ELF49" s="191"/>
      <c r="ELG49" s="191"/>
      <c r="ELH49" s="191"/>
      <c r="ELI49" s="191"/>
      <c r="ELJ49" s="191"/>
      <c r="ELK49" s="191"/>
      <c r="ELL49" s="191"/>
      <c r="ELM49" s="191"/>
      <c r="ELN49" s="191"/>
      <c r="ELO49" s="191"/>
      <c r="ELP49" s="191"/>
      <c r="ELQ49" s="191"/>
      <c r="ELR49" s="191"/>
      <c r="ELS49" s="191"/>
      <c r="ELT49" s="191"/>
      <c r="ELU49" s="191"/>
      <c r="ELV49" s="191"/>
      <c r="ELW49" s="191"/>
      <c r="ELX49" s="191"/>
      <c r="ELY49" s="191"/>
      <c r="ELZ49" s="191"/>
      <c r="EMA49" s="191"/>
      <c r="EMB49" s="191"/>
      <c r="EMC49" s="191"/>
      <c r="EMD49" s="191"/>
      <c r="EME49" s="191"/>
      <c r="EMF49" s="191"/>
      <c r="EMG49" s="191"/>
      <c r="EMH49" s="191"/>
      <c r="EMI49" s="191"/>
      <c r="EMJ49" s="191"/>
      <c r="EMK49" s="191"/>
      <c r="EML49" s="191"/>
      <c r="EMM49" s="191"/>
      <c r="EMN49" s="191"/>
      <c r="EMO49" s="191"/>
      <c r="EMP49" s="191"/>
      <c r="EMQ49" s="191"/>
      <c r="EMR49" s="191"/>
      <c r="EMS49" s="191"/>
      <c r="EMT49" s="191"/>
      <c r="EMU49" s="191"/>
      <c r="EMV49" s="191"/>
      <c r="EMW49" s="191"/>
      <c r="EMX49" s="191"/>
      <c r="EMY49" s="191"/>
      <c r="EMZ49" s="191"/>
      <c r="ENA49" s="191"/>
      <c r="ENB49" s="191"/>
      <c r="ENC49" s="191"/>
      <c r="END49" s="191"/>
      <c r="ENE49" s="191"/>
      <c r="ENF49" s="191"/>
      <c r="ENG49" s="191"/>
      <c r="ENH49" s="191"/>
      <c r="ENI49" s="191"/>
      <c r="ENJ49" s="191"/>
      <c r="ENK49" s="191"/>
      <c r="ENL49" s="191"/>
      <c r="ENM49" s="191"/>
      <c r="ENN49" s="191"/>
      <c r="ENO49" s="191"/>
      <c r="ENP49" s="191"/>
      <c r="ENQ49" s="191"/>
      <c r="ENR49" s="191"/>
      <c r="ENS49" s="191"/>
      <c r="ENT49" s="191"/>
      <c r="ENU49" s="191"/>
      <c r="ENV49" s="191"/>
      <c r="ENW49" s="191"/>
      <c r="ENX49" s="191"/>
      <c r="ENY49" s="191"/>
      <c r="ENZ49" s="191"/>
      <c r="EOA49" s="191"/>
      <c r="EOB49" s="191"/>
      <c r="EOC49" s="191"/>
      <c r="EOD49" s="191"/>
      <c r="EOE49" s="191"/>
      <c r="EOF49" s="191"/>
      <c r="EOG49" s="191"/>
      <c r="EOH49" s="191"/>
      <c r="EOI49" s="191"/>
      <c r="EOJ49" s="191"/>
      <c r="EOK49" s="191"/>
      <c r="EOL49" s="191"/>
      <c r="EOM49" s="191"/>
      <c r="EON49" s="191"/>
      <c r="EOO49" s="191"/>
      <c r="EOP49" s="191"/>
      <c r="EOQ49" s="191"/>
      <c r="EOR49" s="191"/>
      <c r="EOS49" s="191"/>
      <c r="EOT49" s="191"/>
      <c r="EOU49" s="191"/>
      <c r="EOV49" s="191"/>
      <c r="EOW49" s="191"/>
      <c r="EOX49" s="191"/>
      <c r="EOY49" s="191"/>
      <c r="EOZ49" s="191"/>
      <c r="EPA49" s="191"/>
      <c r="EPB49" s="191"/>
      <c r="EPC49" s="191"/>
      <c r="EPD49" s="191"/>
      <c r="EPE49" s="191"/>
      <c r="EPF49" s="191"/>
      <c r="EPG49" s="191"/>
      <c r="EPH49" s="191"/>
      <c r="EPI49" s="191"/>
      <c r="EPJ49" s="191"/>
      <c r="EPK49" s="191"/>
      <c r="EPL49" s="191"/>
      <c r="EPM49" s="191"/>
      <c r="EPN49" s="191"/>
      <c r="EPO49" s="191"/>
      <c r="EPP49" s="191"/>
      <c r="EPQ49" s="191"/>
      <c r="EPR49" s="191"/>
      <c r="EPS49" s="191"/>
      <c r="EPT49" s="191"/>
      <c r="EPU49" s="191"/>
      <c r="EPV49" s="191"/>
      <c r="EPW49" s="191"/>
      <c r="EPX49" s="191"/>
      <c r="EPY49" s="191"/>
      <c r="EPZ49" s="191"/>
      <c r="EQA49" s="191"/>
      <c r="EQB49" s="191"/>
      <c r="EQC49" s="191"/>
      <c r="EQD49" s="191"/>
      <c r="EQE49" s="191"/>
      <c r="EQF49" s="191"/>
      <c r="EQG49" s="191"/>
      <c r="EQH49" s="191"/>
      <c r="EQI49" s="191"/>
      <c r="EQJ49" s="191"/>
      <c r="EQK49" s="191"/>
      <c r="EQL49" s="191"/>
      <c r="EQM49" s="191"/>
      <c r="EQN49" s="191"/>
      <c r="EQO49" s="191"/>
      <c r="EQP49" s="191"/>
      <c r="EQQ49" s="191"/>
      <c r="EQR49" s="191"/>
      <c r="EQS49" s="191"/>
      <c r="EQT49" s="191"/>
      <c r="EQU49" s="191"/>
      <c r="EQV49" s="191"/>
      <c r="EQW49" s="191"/>
      <c r="EQX49" s="191"/>
      <c r="EQY49" s="191"/>
      <c r="EQZ49" s="191"/>
      <c r="ERA49" s="191"/>
      <c r="ERB49" s="191"/>
      <c r="ERC49" s="191"/>
      <c r="ERD49" s="191"/>
      <c r="ERE49" s="191"/>
      <c r="ERF49" s="191"/>
      <c r="ERG49" s="191"/>
      <c r="ERH49" s="191"/>
      <c r="ERI49" s="191"/>
      <c r="ERJ49" s="191"/>
      <c r="ERK49" s="191"/>
      <c r="ERL49" s="191"/>
      <c r="ERM49" s="191"/>
      <c r="ERN49" s="191"/>
      <c r="ERO49" s="191"/>
      <c r="ERP49" s="191"/>
      <c r="ERQ49" s="191"/>
      <c r="ERR49" s="191"/>
      <c r="ERS49" s="191"/>
      <c r="ERT49" s="191"/>
      <c r="ERU49" s="191"/>
      <c r="ERV49" s="191"/>
      <c r="ERW49" s="191"/>
      <c r="ERX49" s="191"/>
      <c r="ERY49" s="191"/>
      <c r="ERZ49" s="191"/>
      <c r="ESA49" s="191"/>
      <c r="ESB49" s="191"/>
      <c r="ESC49" s="191"/>
      <c r="ESD49" s="191"/>
      <c r="ESE49" s="191"/>
      <c r="ESF49" s="191"/>
      <c r="ESG49" s="191"/>
      <c r="ESH49" s="191"/>
      <c r="ESI49" s="191"/>
      <c r="ESJ49" s="191"/>
      <c r="ESK49" s="191"/>
      <c r="ESL49" s="191"/>
      <c r="ESM49" s="191"/>
      <c r="ESN49" s="191"/>
      <c r="ESO49" s="191"/>
      <c r="ESP49" s="191"/>
      <c r="ESQ49" s="191"/>
      <c r="ESR49" s="191"/>
      <c r="ESS49" s="191"/>
      <c r="EST49" s="191"/>
      <c r="ESU49" s="191"/>
      <c r="ESV49" s="191"/>
      <c r="ESW49" s="191"/>
      <c r="ESX49" s="191"/>
      <c r="ESY49" s="191"/>
      <c r="ESZ49" s="191"/>
      <c r="ETA49" s="191"/>
      <c r="ETB49" s="191"/>
      <c r="ETC49" s="191"/>
      <c r="ETD49" s="191"/>
      <c r="ETE49" s="191"/>
      <c r="ETF49" s="191"/>
      <c r="ETG49" s="191"/>
      <c r="ETH49" s="191"/>
      <c r="ETI49" s="191"/>
      <c r="ETJ49" s="191"/>
      <c r="ETK49" s="191"/>
      <c r="ETL49" s="191"/>
      <c r="ETM49" s="191"/>
      <c r="ETN49" s="191"/>
      <c r="ETO49" s="191"/>
      <c r="ETP49" s="191"/>
      <c r="ETQ49" s="191"/>
      <c r="ETR49" s="191"/>
      <c r="ETS49" s="191"/>
      <c r="ETT49" s="191"/>
      <c r="ETU49" s="191"/>
      <c r="ETV49" s="191"/>
      <c r="ETW49" s="191"/>
      <c r="ETX49" s="191"/>
      <c r="ETY49" s="191"/>
      <c r="ETZ49" s="191"/>
      <c r="EUA49" s="191"/>
      <c r="EUB49" s="191"/>
      <c r="EUC49" s="191"/>
      <c r="EUD49" s="191"/>
      <c r="EUE49" s="191"/>
      <c r="EUF49" s="191"/>
      <c r="EUG49" s="191"/>
      <c r="EUH49" s="191"/>
      <c r="EUI49" s="191"/>
      <c r="EUJ49" s="191"/>
      <c r="EUK49" s="191"/>
      <c r="EUL49" s="191"/>
      <c r="EUM49" s="191"/>
      <c r="EUN49" s="191"/>
      <c r="EUO49" s="191"/>
      <c r="EUP49" s="191"/>
      <c r="EUQ49" s="191"/>
      <c r="EUR49" s="191"/>
      <c r="EUS49" s="191"/>
      <c r="EUT49" s="191"/>
      <c r="EUU49" s="191"/>
      <c r="EUV49" s="191"/>
      <c r="EUW49" s="191"/>
      <c r="EUX49" s="191"/>
      <c r="EUY49" s="191"/>
      <c r="EUZ49" s="191"/>
      <c r="EVA49" s="191"/>
      <c r="EVB49" s="191"/>
      <c r="EVC49" s="191"/>
      <c r="EVD49" s="191"/>
      <c r="EVE49" s="191"/>
      <c r="EVF49" s="191"/>
      <c r="EVG49" s="191"/>
      <c r="EVH49" s="191"/>
      <c r="EVI49" s="191"/>
      <c r="EVJ49" s="191"/>
      <c r="EVK49" s="191"/>
      <c r="EVL49" s="191"/>
      <c r="EVM49" s="191"/>
      <c r="EVN49" s="191"/>
      <c r="EVO49" s="191"/>
      <c r="EVP49" s="191"/>
      <c r="EVQ49" s="191"/>
      <c r="EVR49" s="191"/>
      <c r="EVS49" s="191"/>
      <c r="EVT49" s="191"/>
      <c r="EVU49" s="191"/>
      <c r="EVV49" s="191"/>
      <c r="EVW49" s="191"/>
      <c r="EVX49" s="191"/>
      <c r="EVY49" s="191"/>
      <c r="EVZ49" s="191"/>
      <c r="EWA49" s="191"/>
      <c r="EWB49" s="191"/>
      <c r="EWC49" s="191"/>
      <c r="EWD49" s="191"/>
      <c r="EWE49" s="191"/>
      <c r="EWF49" s="191"/>
      <c r="EWG49" s="191"/>
      <c r="EWH49" s="191"/>
      <c r="EWI49" s="191"/>
      <c r="EWJ49" s="191"/>
      <c r="EWK49" s="191"/>
      <c r="EWL49" s="191"/>
      <c r="EWM49" s="191"/>
      <c r="EWN49" s="191"/>
      <c r="EWO49" s="191"/>
      <c r="EWP49" s="191"/>
      <c r="EWQ49" s="191"/>
      <c r="EWR49" s="191"/>
      <c r="EWS49" s="191"/>
      <c r="EWT49" s="191"/>
      <c r="EWU49" s="191"/>
      <c r="EWV49" s="191"/>
      <c r="EWW49" s="191"/>
      <c r="EWX49" s="191"/>
      <c r="EWY49" s="191"/>
      <c r="EWZ49" s="191"/>
      <c r="EXA49" s="191"/>
      <c r="EXB49" s="191"/>
      <c r="EXC49" s="191"/>
      <c r="EXD49" s="191"/>
      <c r="EXE49" s="191"/>
      <c r="EXF49" s="191"/>
      <c r="EXG49" s="191"/>
      <c r="EXH49" s="191"/>
      <c r="EXI49" s="191"/>
      <c r="EXJ49" s="191"/>
      <c r="EXK49" s="191"/>
      <c r="EXL49" s="191"/>
      <c r="EXM49" s="191"/>
      <c r="EXN49" s="191"/>
      <c r="EXO49" s="191"/>
      <c r="EXP49" s="191"/>
      <c r="EXQ49" s="191"/>
      <c r="EXR49" s="191"/>
      <c r="EXS49" s="191"/>
      <c r="EXT49" s="191"/>
      <c r="EXU49" s="191"/>
      <c r="EXV49" s="191"/>
      <c r="EXW49" s="191"/>
      <c r="EXX49" s="191"/>
      <c r="EXY49" s="191"/>
      <c r="EXZ49" s="191"/>
      <c r="EYA49" s="191"/>
      <c r="EYB49" s="191"/>
      <c r="EYC49" s="191"/>
      <c r="EYD49" s="191"/>
      <c r="EYE49" s="191"/>
      <c r="EYF49" s="191"/>
      <c r="EYG49" s="191"/>
      <c r="EYH49" s="191"/>
      <c r="EYI49" s="191"/>
      <c r="EYJ49" s="191"/>
      <c r="EYK49" s="191"/>
      <c r="EYL49" s="191"/>
      <c r="EYM49" s="191"/>
      <c r="EYN49" s="191"/>
      <c r="EYO49" s="191"/>
      <c r="EYP49" s="191"/>
      <c r="EYQ49" s="191"/>
      <c r="EYR49" s="191"/>
      <c r="EYS49" s="191"/>
      <c r="EYT49" s="191"/>
      <c r="EYU49" s="191"/>
      <c r="EYV49" s="191"/>
      <c r="EYW49" s="191"/>
      <c r="EYX49" s="191"/>
      <c r="EYY49" s="191"/>
      <c r="EYZ49" s="191"/>
      <c r="EZA49" s="191"/>
      <c r="EZB49" s="191"/>
      <c r="EZC49" s="191"/>
      <c r="EZD49" s="191"/>
      <c r="EZE49" s="191"/>
      <c r="EZF49" s="191"/>
      <c r="EZG49" s="191"/>
      <c r="EZH49" s="191"/>
      <c r="EZI49" s="191"/>
      <c r="EZJ49" s="191"/>
      <c r="EZK49" s="191"/>
      <c r="EZL49" s="191"/>
      <c r="EZM49" s="191"/>
      <c r="EZN49" s="191"/>
      <c r="EZO49" s="191"/>
      <c r="EZP49" s="191"/>
      <c r="EZQ49" s="191"/>
      <c r="EZR49" s="191"/>
      <c r="EZS49" s="191"/>
      <c r="EZT49" s="191"/>
      <c r="EZU49" s="191"/>
      <c r="EZV49" s="191"/>
      <c r="EZW49" s="191"/>
      <c r="EZX49" s="191"/>
      <c r="EZY49" s="191"/>
      <c r="EZZ49" s="191"/>
      <c r="FAA49" s="191"/>
      <c r="FAB49" s="191"/>
      <c r="FAC49" s="191"/>
      <c r="FAD49" s="191"/>
      <c r="FAE49" s="191"/>
      <c r="FAF49" s="191"/>
      <c r="FAG49" s="191"/>
      <c r="FAH49" s="191"/>
      <c r="FAI49" s="191"/>
      <c r="FAJ49" s="191"/>
      <c r="FAK49" s="191"/>
      <c r="FAL49" s="191"/>
      <c r="FAM49" s="191"/>
      <c r="FAN49" s="191"/>
      <c r="FAO49" s="191"/>
      <c r="FAP49" s="191"/>
      <c r="FAQ49" s="191"/>
      <c r="FAR49" s="191"/>
      <c r="FAS49" s="191"/>
      <c r="FAT49" s="191"/>
      <c r="FAU49" s="191"/>
      <c r="FAV49" s="191"/>
      <c r="FAW49" s="191"/>
      <c r="FAX49" s="191"/>
      <c r="FAY49" s="191"/>
      <c r="FAZ49" s="191"/>
      <c r="FBA49" s="191"/>
      <c r="FBB49" s="191"/>
      <c r="FBC49" s="191"/>
      <c r="FBD49" s="191"/>
      <c r="FBE49" s="191"/>
      <c r="FBF49" s="191"/>
      <c r="FBG49" s="191"/>
      <c r="FBH49" s="191"/>
      <c r="FBI49" s="191"/>
      <c r="FBJ49" s="191"/>
      <c r="FBK49" s="191"/>
      <c r="FBL49" s="191"/>
      <c r="FBM49" s="191"/>
      <c r="FBN49" s="191"/>
      <c r="FBO49" s="191"/>
      <c r="FBP49" s="191"/>
      <c r="FBQ49" s="191"/>
      <c r="FBR49" s="191"/>
      <c r="FBS49" s="191"/>
      <c r="FBT49" s="191"/>
      <c r="FBU49" s="191"/>
      <c r="FBV49" s="191"/>
      <c r="FBW49" s="191"/>
      <c r="FBX49" s="191"/>
      <c r="FBY49" s="191"/>
      <c r="FBZ49" s="191"/>
      <c r="FCA49" s="191"/>
      <c r="FCB49" s="191"/>
      <c r="FCC49" s="191"/>
      <c r="FCD49" s="191"/>
      <c r="FCE49" s="191"/>
      <c r="FCF49" s="191"/>
      <c r="FCG49" s="191"/>
      <c r="FCH49" s="191"/>
      <c r="FCI49" s="191"/>
      <c r="FCJ49" s="191"/>
      <c r="FCK49" s="191"/>
      <c r="FCL49" s="191"/>
      <c r="FCM49" s="191"/>
      <c r="FCN49" s="191"/>
      <c r="FCO49" s="191"/>
      <c r="FCP49" s="191"/>
      <c r="FCQ49" s="191"/>
      <c r="FCR49" s="191"/>
      <c r="FCS49" s="191"/>
      <c r="FCT49" s="191"/>
      <c r="FCU49" s="191"/>
      <c r="FCV49" s="191"/>
      <c r="FCW49" s="191"/>
      <c r="FCX49" s="191"/>
      <c r="FCY49" s="191"/>
      <c r="FCZ49" s="191"/>
      <c r="FDA49" s="191"/>
      <c r="FDB49" s="191"/>
      <c r="FDC49" s="191"/>
      <c r="FDD49" s="191"/>
      <c r="FDE49" s="191"/>
      <c r="FDF49" s="191"/>
      <c r="FDG49" s="191"/>
      <c r="FDH49" s="191"/>
      <c r="FDI49" s="191"/>
      <c r="FDJ49" s="191"/>
      <c r="FDK49" s="191"/>
      <c r="FDL49" s="191"/>
      <c r="FDM49" s="191"/>
      <c r="FDN49" s="191"/>
      <c r="FDO49" s="191"/>
      <c r="FDP49" s="191"/>
      <c r="FDQ49" s="191"/>
      <c r="FDR49" s="191"/>
      <c r="FDS49" s="191"/>
      <c r="FDT49" s="191"/>
      <c r="FDU49" s="191"/>
      <c r="FDV49" s="191"/>
      <c r="FDW49" s="191"/>
      <c r="FDX49" s="191"/>
      <c r="FDY49" s="191"/>
      <c r="FDZ49" s="191"/>
      <c r="FEA49" s="191"/>
      <c r="FEB49" s="191"/>
      <c r="FEC49" s="191"/>
      <c r="FED49" s="191"/>
      <c r="FEE49" s="191"/>
      <c r="FEF49" s="191"/>
      <c r="FEG49" s="191"/>
      <c r="FEH49" s="191"/>
      <c r="FEI49" s="191"/>
      <c r="FEJ49" s="191"/>
      <c r="FEK49" s="191"/>
      <c r="FEL49" s="191"/>
      <c r="FEM49" s="191"/>
      <c r="FEN49" s="191"/>
      <c r="FEO49" s="191"/>
      <c r="FEP49" s="191"/>
      <c r="FEQ49" s="191"/>
      <c r="FER49" s="191"/>
      <c r="FES49" s="191"/>
      <c r="FET49" s="191"/>
      <c r="FEU49" s="191"/>
      <c r="FEV49" s="191"/>
      <c r="FEW49" s="191"/>
      <c r="FEX49" s="191"/>
      <c r="FEY49" s="191"/>
      <c r="FEZ49" s="191"/>
      <c r="FFA49" s="191"/>
      <c r="FFB49" s="191"/>
      <c r="FFC49" s="191"/>
      <c r="FFD49" s="191"/>
      <c r="FFE49" s="191"/>
      <c r="FFF49" s="191"/>
      <c r="FFG49" s="191"/>
      <c r="FFH49" s="191"/>
      <c r="FFI49" s="191"/>
      <c r="FFJ49" s="191"/>
      <c r="FFK49" s="191"/>
      <c r="FFL49" s="191"/>
      <c r="FFM49" s="191"/>
      <c r="FFN49" s="191"/>
      <c r="FFO49" s="191"/>
      <c r="FFP49" s="191"/>
      <c r="FFQ49" s="191"/>
      <c r="FFR49" s="191"/>
      <c r="FFS49" s="191"/>
      <c r="FFT49" s="191"/>
      <c r="FFU49" s="191"/>
      <c r="FFV49" s="191"/>
      <c r="FFW49" s="191"/>
      <c r="FFX49" s="191"/>
      <c r="FFY49" s="191"/>
      <c r="FFZ49" s="191"/>
      <c r="FGA49" s="191"/>
      <c r="FGB49" s="191"/>
      <c r="FGC49" s="191"/>
      <c r="FGD49" s="191"/>
      <c r="FGE49" s="191"/>
      <c r="FGF49" s="191"/>
      <c r="FGG49" s="191"/>
      <c r="FGH49" s="191"/>
      <c r="FGI49" s="191"/>
      <c r="FGJ49" s="191"/>
      <c r="FGK49" s="191"/>
      <c r="FGL49" s="191"/>
      <c r="FGM49" s="191"/>
      <c r="FGN49" s="191"/>
      <c r="FGO49" s="191"/>
      <c r="FGP49" s="191"/>
      <c r="FGQ49" s="191"/>
      <c r="FGR49" s="191"/>
      <c r="FGS49" s="191"/>
      <c r="FGT49" s="191"/>
      <c r="FGU49" s="191"/>
      <c r="FGV49" s="191"/>
      <c r="FGW49" s="191"/>
      <c r="FGX49" s="191"/>
      <c r="FGY49" s="191"/>
      <c r="FGZ49" s="191"/>
      <c r="FHA49" s="191"/>
      <c r="FHB49" s="191"/>
      <c r="FHC49" s="191"/>
      <c r="FHD49" s="191"/>
      <c r="FHE49" s="191"/>
      <c r="FHF49" s="191"/>
      <c r="FHG49" s="191"/>
      <c r="FHH49" s="191"/>
      <c r="FHI49" s="191"/>
      <c r="FHJ49" s="191"/>
      <c r="FHK49" s="191"/>
      <c r="FHL49" s="191"/>
      <c r="FHM49" s="191"/>
      <c r="FHN49" s="191"/>
      <c r="FHO49" s="191"/>
      <c r="FHP49" s="191"/>
      <c r="FHQ49" s="191"/>
      <c r="FHR49" s="191"/>
      <c r="FHS49" s="191"/>
      <c r="FHT49" s="191"/>
      <c r="FHU49" s="191"/>
      <c r="FHV49" s="191"/>
      <c r="FHW49" s="191"/>
      <c r="FHX49" s="191"/>
      <c r="FHY49" s="191"/>
      <c r="FHZ49" s="191"/>
      <c r="FIA49" s="191"/>
      <c r="FIB49" s="191"/>
      <c r="FIC49" s="191"/>
      <c r="FID49" s="191"/>
      <c r="FIE49" s="191"/>
      <c r="FIF49" s="191"/>
      <c r="FIG49" s="191"/>
      <c r="FIH49" s="191"/>
      <c r="FII49" s="191"/>
      <c r="FIJ49" s="191"/>
      <c r="FIK49" s="191"/>
      <c r="FIL49" s="191"/>
      <c r="FIM49" s="191"/>
      <c r="FIN49" s="191"/>
      <c r="FIO49" s="191"/>
      <c r="FIP49" s="191"/>
      <c r="FIQ49" s="191"/>
      <c r="FIR49" s="191"/>
      <c r="FIS49" s="191"/>
      <c r="FIT49" s="191"/>
      <c r="FIU49" s="191"/>
      <c r="FIV49" s="191"/>
      <c r="FIW49" s="191"/>
      <c r="FIX49" s="191"/>
      <c r="FIY49" s="191"/>
      <c r="FIZ49" s="191"/>
      <c r="FJA49" s="191"/>
      <c r="FJB49" s="191"/>
      <c r="FJC49" s="191"/>
      <c r="FJD49" s="191"/>
      <c r="FJE49" s="191"/>
      <c r="FJF49" s="191"/>
      <c r="FJG49" s="191"/>
      <c r="FJH49" s="191"/>
      <c r="FJI49" s="191"/>
      <c r="FJJ49" s="191"/>
      <c r="FJK49" s="191"/>
      <c r="FJL49" s="191"/>
      <c r="FJM49" s="191"/>
      <c r="FJN49" s="191"/>
      <c r="FJO49" s="191"/>
      <c r="FJP49" s="191"/>
      <c r="FJQ49" s="191"/>
      <c r="FJR49" s="191"/>
      <c r="FJS49" s="191"/>
      <c r="FJT49" s="191"/>
      <c r="FJU49" s="191"/>
      <c r="FJV49" s="191"/>
      <c r="FJW49" s="191"/>
      <c r="FJX49" s="191"/>
      <c r="FJY49" s="191"/>
      <c r="FJZ49" s="191"/>
      <c r="FKA49" s="191"/>
      <c r="FKB49" s="191"/>
      <c r="FKC49" s="191"/>
      <c r="FKD49" s="191"/>
      <c r="FKE49" s="191"/>
      <c r="FKF49" s="191"/>
      <c r="FKG49" s="191"/>
      <c r="FKH49" s="191"/>
      <c r="FKI49" s="191"/>
      <c r="FKJ49" s="191"/>
      <c r="FKK49" s="191"/>
      <c r="FKL49" s="191"/>
      <c r="FKM49" s="191"/>
      <c r="FKN49" s="191"/>
      <c r="FKO49" s="191"/>
      <c r="FKP49" s="191"/>
      <c r="FKQ49" s="191"/>
      <c r="FKR49" s="191"/>
      <c r="FKS49" s="191"/>
      <c r="FKT49" s="191"/>
      <c r="FKU49" s="191"/>
      <c r="FKV49" s="191"/>
      <c r="FKW49" s="191"/>
      <c r="FKX49" s="191"/>
      <c r="FKY49" s="191"/>
      <c r="FKZ49" s="191"/>
      <c r="FLA49" s="191"/>
      <c r="FLB49" s="191"/>
      <c r="FLC49" s="191"/>
      <c r="FLD49" s="191"/>
      <c r="FLE49" s="191"/>
      <c r="FLF49" s="191"/>
      <c r="FLG49" s="191"/>
      <c r="FLH49" s="191"/>
      <c r="FLI49" s="191"/>
      <c r="FLJ49" s="191"/>
      <c r="FLK49" s="191"/>
      <c r="FLL49" s="191"/>
      <c r="FLM49" s="191"/>
      <c r="FLN49" s="191"/>
      <c r="FLO49" s="191"/>
      <c r="FLP49" s="191"/>
      <c r="FLQ49" s="191"/>
      <c r="FLR49" s="191"/>
      <c r="FLS49" s="191"/>
      <c r="FLT49" s="191"/>
      <c r="FLU49" s="191"/>
      <c r="FLV49" s="191"/>
      <c r="FLW49" s="191"/>
      <c r="FLX49" s="191"/>
      <c r="FLY49" s="191"/>
      <c r="FLZ49" s="191"/>
      <c r="FMA49" s="191"/>
      <c r="FMB49" s="191"/>
      <c r="FMC49" s="191"/>
      <c r="FMD49" s="191"/>
      <c r="FME49" s="191"/>
      <c r="FMF49" s="191"/>
      <c r="FMG49" s="191"/>
      <c r="FMH49" s="191"/>
      <c r="FMI49" s="191"/>
      <c r="FMJ49" s="191"/>
      <c r="FMK49" s="191"/>
      <c r="FML49" s="191"/>
      <c r="FMM49" s="191"/>
      <c r="FMN49" s="191"/>
      <c r="FMO49" s="191"/>
      <c r="FMP49" s="191"/>
      <c r="FMQ49" s="191"/>
      <c r="FMR49" s="191"/>
      <c r="FMS49" s="191"/>
      <c r="FMT49" s="191"/>
      <c r="FMU49" s="191"/>
      <c r="FMV49" s="191"/>
      <c r="FMW49" s="191"/>
      <c r="FMX49" s="191"/>
      <c r="FMY49" s="191"/>
      <c r="FMZ49" s="191"/>
      <c r="FNA49" s="191"/>
      <c r="FNB49" s="191"/>
      <c r="FNC49" s="191"/>
      <c r="FND49" s="191"/>
      <c r="FNE49" s="191"/>
      <c r="FNF49" s="191"/>
      <c r="FNG49" s="191"/>
      <c r="FNH49" s="191"/>
      <c r="FNI49" s="191"/>
      <c r="FNJ49" s="191"/>
      <c r="FNK49" s="191"/>
      <c r="FNL49" s="191"/>
      <c r="FNM49" s="191"/>
      <c r="FNN49" s="191"/>
      <c r="FNO49" s="191"/>
      <c r="FNP49" s="191"/>
      <c r="FNQ49" s="191"/>
      <c r="FNR49" s="191"/>
      <c r="FNS49" s="191"/>
      <c r="FNT49" s="191"/>
      <c r="FNU49" s="191"/>
      <c r="FNV49" s="191"/>
      <c r="FNW49" s="191"/>
      <c r="FNX49" s="191"/>
      <c r="FNY49" s="191"/>
      <c r="FNZ49" s="191"/>
      <c r="FOA49" s="191"/>
      <c r="FOB49" s="191"/>
      <c r="FOC49" s="191"/>
      <c r="FOD49" s="191"/>
      <c r="FOE49" s="191"/>
      <c r="FOF49" s="191"/>
      <c r="FOG49" s="191"/>
      <c r="FOH49" s="191"/>
      <c r="FOI49" s="191"/>
      <c r="FOJ49" s="191"/>
      <c r="FOK49" s="191"/>
      <c r="FOL49" s="191"/>
      <c r="FOM49" s="191"/>
      <c r="FON49" s="191"/>
      <c r="FOO49" s="191"/>
      <c r="FOP49" s="191"/>
      <c r="FOQ49" s="191"/>
      <c r="FOR49" s="191"/>
      <c r="FOS49" s="191"/>
      <c r="FOT49" s="191"/>
      <c r="FOU49" s="191"/>
      <c r="FOV49" s="191"/>
      <c r="FOW49" s="191"/>
      <c r="FOX49" s="191"/>
      <c r="FOY49" s="191"/>
      <c r="FOZ49" s="191"/>
      <c r="FPA49" s="191"/>
      <c r="FPB49" s="191"/>
      <c r="FPC49" s="191"/>
      <c r="FPD49" s="191"/>
      <c r="FPE49" s="191"/>
      <c r="FPF49" s="191"/>
      <c r="FPG49" s="191"/>
      <c r="FPH49" s="191"/>
      <c r="FPI49" s="191"/>
      <c r="FPJ49" s="191"/>
      <c r="FPK49" s="191"/>
      <c r="FPL49" s="191"/>
      <c r="FPM49" s="191"/>
      <c r="FPN49" s="191"/>
      <c r="FPO49" s="191"/>
      <c r="FPP49" s="191"/>
      <c r="FPQ49" s="191"/>
      <c r="FPR49" s="191"/>
      <c r="FPS49" s="191"/>
      <c r="FPT49" s="191"/>
      <c r="FPU49" s="191"/>
      <c r="FPV49" s="191"/>
      <c r="FPW49" s="191"/>
      <c r="FPX49" s="191"/>
      <c r="FPY49" s="191"/>
      <c r="FPZ49" s="191"/>
      <c r="FQA49" s="191"/>
      <c r="FQB49" s="191"/>
      <c r="FQC49" s="191"/>
      <c r="FQD49" s="191"/>
      <c r="FQE49" s="191"/>
      <c r="FQF49" s="191"/>
      <c r="FQG49" s="191"/>
      <c r="FQH49" s="191"/>
      <c r="FQI49" s="191"/>
      <c r="FQJ49" s="191"/>
      <c r="FQK49" s="191"/>
      <c r="FQL49" s="191"/>
      <c r="FQM49" s="191"/>
      <c r="FQN49" s="191"/>
      <c r="FQO49" s="191"/>
      <c r="FQP49" s="191"/>
      <c r="FQQ49" s="191"/>
      <c r="FQR49" s="191"/>
      <c r="FQS49" s="191"/>
      <c r="FQT49" s="191"/>
      <c r="FQU49" s="191"/>
      <c r="FQV49" s="191"/>
      <c r="FQW49" s="191"/>
      <c r="FQX49" s="191"/>
      <c r="FQY49" s="191"/>
      <c r="FQZ49" s="191"/>
      <c r="FRA49" s="191"/>
      <c r="FRB49" s="191"/>
      <c r="FRC49" s="191"/>
      <c r="FRD49" s="191"/>
      <c r="FRE49" s="191"/>
      <c r="FRF49" s="191"/>
      <c r="FRG49" s="191"/>
      <c r="FRH49" s="191"/>
      <c r="FRI49" s="191"/>
      <c r="FRJ49" s="191"/>
      <c r="FRK49" s="191"/>
      <c r="FRL49" s="191"/>
      <c r="FRM49" s="191"/>
      <c r="FRN49" s="191"/>
      <c r="FRO49" s="191"/>
      <c r="FRP49" s="191"/>
      <c r="FRQ49" s="191"/>
      <c r="FRR49" s="191"/>
      <c r="FRS49" s="191"/>
      <c r="FRT49" s="191"/>
      <c r="FRU49" s="191"/>
      <c r="FRV49" s="191"/>
      <c r="FRW49" s="191"/>
      <c r="FRX49" s="191"/>
      <c r="FRY49" s="191"/>
      <c r="FRZ49" s="191"/>
      <c r="FSA49" s="191"/>
      <c r="FSB49" s="191"/>
      <c r="FSC49" s="191"/>
      <c r="FSD49" s="191"/>
      <c r="FSE49" s="191"/>
      <c r="FSF49" s="191"/>
      <c r="FSG49" s="191"/>
      <c r="FSH49" s="191"/>
      <c r="FSI49" s="191"/>
      <c r="FSJ49" s="191"/>
      <c r="FSK49" s="191"/>
      <c r="FSL49" s="191"/>
      <c r="FSM49" s="191"/>
      <c r="FSN49" s="191"/>
      <c r="FSO49" s="191"/>
      <c r="FSP49" s="191"/>
      <c r="FSQ49" s="191"/>
      <c r="FSR49" s="191"/>
      <c r="FSS49" s="191"/>
      <c r="FST49" s="191"/>
      <c r="FSU49" s="191"/>
      <c r="FSV49" s="191"/>
      <c r="FSW49" s="191"/>
      <c r="FSX49" s="191"/>
      <c r="FSY49" s="191"/>
      <c r="FSZ49" s="191"/>
      <c r="FTA49" s="191"/>
      <c r="FTB49" s="191"/>
      <c r="FTC49" s="191"/>
      <c r="FTD49" s="191"/>
      <c r="FTE49" s="191"/>
      <c r="FTF49" s="191"/>
      <c r="FTG49" s="191"/>
      <c r="FTH49" s="191"/>
      <c r="FTI49" s="191"/>
      <c r="FTJ49" s="191"/>
      <c r="FTK49" s="191"/>
      <c r="FTL49" s="191"/>
      <c r="FTM49" s="191"/>
      <c r="FTN49" s="191"/>
      <c r="FTO49" s="191"/>
      <c r="FTP49" s="191"/>
      <c r="FTQ49" s="191"/>
      <c r="FTR49" s="191"/>
      <c r="FTS49" s="191"/>
      <c r="FTT49" s="191"/>
      <c r="FTU49" s="191"/>
      <c r="FTV49" s="191"/>
      <c r="FTW49" s="191"/>
      <c r="FTX49" s="191"/>
      <c r="FTY49" s="191"/>
      <c r="FTZ49" s="191"/>
      <c r="FUA49" s="191"/>
      <c r="FUB49" s="191"/>
      <c r="FUC49" s="191"/>
      <c r="FUD49" s="191"/>
      <c r="FUE49" s="191"/>
      <c r="FUF49" s="191"/>
      <c r="FUG49" s="191"/>
      <c r="FUH49" s="191"/>
      <c r="FUI49" s="191"/>
      <c r="FUJ49" s="191"/>
      <c r="FUK49" s="191"/>
      <c r="FUL49" s="191"/>
      <c r="FUM49" s="191"/>
      <c r="FUN49" s="191"/>
      <c r="FUO49" s="191"/>
      <c r="FUP49" s="191"/>
      <c r="FUQ49" s="191"/>
      <c r="FUR49" s="191"/>
      <c r="FUS49" s="191"/>
      <c r="FUT49" s="191"/>
      <c r="FUU49" s="191"/>
      <c r="FUV49" s="191"/>
      <c r="FUW49" s="191"/>
      <c r="FUX49" s="191"/>
      <c r="FUY49" s="191"/>
      <c r="FUZ49" s="191"/>
      <c r="FVA49" s="191"/>
      <c r="FVB49" s="191"/>
      <c r="FVC49" s="191"/>
      <c r="FVD49" s="191"/>
      <c r="FVE49" s="191"/>
      <c r="FVF49" s="191"/>
      <c r="FVG49" s="191"/>
      <c r="FVH49" s="191"/>
      <c r="FVI49" s="191"/>
      <c r="FVJ49" s="191"/>
      <c r="FVK49" s="191"/>
      <c r="FVL49" s="191"/>
      <c r="FVM49" s="191"/>
      <c r="FVN49" s="191"/>
      <c r="FVO49" s="191"/>
      <c r="FVP49" s="191"/>
      <c r="FVQ49" s="191"/>
      <c r="FVR49" s="191"/>
      <c r="FVS49" s="191"/>
      <c r="FVT49" s="191"/>
      <c r="FVU49" s="191"/>
      <c r="FVV49" s="191"/>
      <c r="FVW49" s="191"/>
      <c r="FVX49" s="191"/>
      <c r="FVY49" s="191"/>
      <c r="FVZ49" s="191"/>
      <c r="FWA49" s="191"/>
      <c r="FWB49" s="191"/>
      <c r="FWC49" s="191"/>
      <c r="FWD49" s="191"/>
      <c r="FWE49" s="191"/>
      <c r="FWF49" s="191"/>
      <c r="FWG49" s="191"/>
      <c r="FWH49" s="191"/>
      <c r="FWI49" s="191"/>
      <c r="FWJ49" s="191"/>
      <c r="FWK49" s="191"/>
      <c r="FWL49" s="191"/>
      <c r="FWM49" s="191"/>
      <c r="FWN49" s="191"/>
      <c r="FWO49" s="191"/>
      <c r="FWP49" s="191"/>
      <c r="FWQ49" s="191"/>
      <c r="FWR49" s="191"/>
      <c r="FWS49" s="191"/>
      <c r="FWT49" s="191"/>
      <c r="FWU49" s="191"/>
      <c r="FWV49" s="191"/>
      <c r="FWW49" s="191"/>
      <c r="FWX49" s="191"/>
      <c r="FWY49" s="191"/>
      <c r="FWZ49" s="191"/>
      <c r="FXA49" s="191"/>
      <c r="FXB49" s="191"/>
      <c r="FXC49" s="191"/>
      <c r="FXD49" s="191"/>
      <c r="FXE49" s="191"/>
      <c r="FXF49" s="191"/>
      <c r="FXG49" s="191"/>
      <c r="FXH49" s="191"/>
      <c r="FXI49" s="191"/>
      <c r="FXJ49" s="191"/>
      <c r="FXK49" s="191"/>
      <c r="FXL49" s="191"/>
      <c r="FXM49" s="191"/>
      <c r="FXN49" s="191"/>
      <c r="FXO49" s="191"/>
      <c r="FXP49" s="191"/>
      <c r="FXQ49" s="191"/>
      <c r="FXR49" s="191"/>
      <c r="FXS49" s="191"/>
      <c r="FXT49" s="191"/>
      <c r="FXU49" s="191"/>
      <c r="FXV49" s="191"/>
      <c r="FXW49" s="191"/>
      <c r="FXX49" s="191"/>
      <c r="FXY49" s="191"/>
      <c r="FXZ49" s="191"/>
      <c r="FYA49" s="191"/>
      <c r="FYB49" s="191"/>
      <c r="FYC49" s="191"/>
      <c r="FYD49" s="191"/>
      <c r="FYE49" s="191"/>
      <c r="FYF49" s="191"/>
      <c r="FYG49" s="191"/>
      <c r="FYH49" s="191"/>
      <c r="FYI49" s="191"/>
      <c r="FYJ49" s="191"/>
      <c r="FYK49" s="191"/>
      <c r="FYL49" s="191"/>
      <c r="FYM49" s="191"/>
      <c r="FYN49" s="191"/>
      <c r="FYO49" s="191"/>
      <c r="FYP49" s="191"/>
      <c r="FYQ49" s="191"/>
      <c r="FYR49" s="191"/>
      <c r="FYS49" s="191"/>
      <c r="FYT49" s="191"/>
      <c r="FYU49" s="191"/>
      <c r="FYV49" s="191"/>
      <c r="FYW49" s="191"/>
      <c r="FYX49" s="191"/>
      <c r="FYY49" s="191"/>
      <c r="FYZ49" s="191"/>
      <c r="FZA49" s="191"/>
      <c r="FZB49" s="191"/>
      <c r="FZC49" s="191"/>
      <c r="FZD49" s="191"/>
      <c r="FZE49" s="191"/>
      <c r="FZF49" s="191"/>
      <c r="FZG49" s="191"/>
      <c r="FZH49" s="191"/>
      <c r="FZI49" s="191"/>
      <c r="FZJ49" s="191"/>
      <c r="FZK49" s="191"/>
      <c r="FZL49" s="191"/>
      <c r="FZM49" s="191"/>
      <c r="FZN49" s="191"/>
      <c r="FZO49" s="191"/>
      <c r="FZP49" s="191"/>
      <c r="FZQ49" s="191"/>
      <c r="FZR49" s="191"/>
      <c r="FZS49" s="191"/>
      <c r="FZT49" s="191"/>
      <c r="FZU49" s="191"/>
      <c r="FZV49" s="191"/>
      <c r="FZW49" s="191"/>
      <c r="FZX49" s="191"/>
      <c r="FZY49" s="191"/>
      <c r="FZZ49" s="191"/>
      <c r="GAA49" s="191"/>
      <c r="GAB49" s="191"/>
      <c r="GAC49" s="191"/>
      <c r="GAD49" s="191"/>
      <c r="GAE49" s="191"/>
      <c r="GAF49" s="191"/>
      <c r="GAG49" s="191"/>
      <c r="GAH49" s="191"/>
      <c r="GAI49" s="191"/>
      <c r="GAJ49" s="191"/>
      <c r="GAK49" s="191"/>
      <c r="GAL49" s="191"/>
      <c r="GAM49" s="191"/>
      <c r="GAN49" s="191"/>
      <c r="GAO49" s="191"/>
      <c r="GAP49" s="191"/>
      <c r="GAQ49" s="191"/>
      <c r="GAR49" s="191"/>
      <c r="GAS49" s="191"/>
      <c r="GAT49" s="191"/>
      <c r="GAU49" s="191"/>
      <c r="GAV49" s="191"/>
      <c r="GAW49" s="191"/>
      <c r="GAX49" s="191"/>
      <c r="GAY49" s="191"/>
      <c r="GAZ49" s="191"/>
      <c r="GBA49" s="191"/>
      <c r="GBB49" s="191"/>
      <c r="GBC49" s="191"/>
      <c r="GBD49" s="191"/>
      <c r="GBE49" s="191"/>
      <c r="GBF49" s="191"/>
      <c r="GBG49" s="191"/>
      <c r="GBH49" s="191"/>
      <c r="GBI49" s="191"/>
      <c r="GBJ49" s="191"/>
      <c r="GBK49" s="191"/>
      <c r="GBL49" s="191"/>
      <c r="GBM49" s="191"/>
      <c r="GBN49" s="191"/>
      <c r="GBO49" s="191"/>
      <c r="GBP49" s="191"/>
      <c r="GBQ49" s="191"/>
      <c r="GBR49" s="191"/>
      <c r="GBS49" s="191"/>
      <c r="GBT49" s="191"/>
      <c r="GBU49" s="191"/>
      <c r="GBV49" s="191"/>
      <c r="GBW49" s="191"/>
      <c r="GBX49" s="191"/>
      <c r="GBY49" s="191"/>
      <c r="GBZ49" s="191"/>
      <c r="GCA49" s="191"/>
      <c r="GCB49" s="191"/>
      <c r="GCC49" s="191"/>
      <c r="GCD49" s="191"/>
      <c r="GCE49" s="191"/>
      <c r="GCF49" s="191"/>
      <c r="GCG49" s="191"/>
      <c r="GCH49" s="191"/>
      <c r="GCI49" s="191"/>
      <c r="GCJ49" s="191"/>
      <c r="GCK49" s="191"/>
      <c r="GCL49" s="191"/>
      <c r="GCM49" s="191"/>
      <c r="GCN49" s="191"/>
      <c r="GCO49" s="191"/>
      <c r="GCP49" s="191"/>
      <c r="GCQ49" s="191"/>
      <c r="GCR49" s="191"/>
      <c r="GCS49" s="191"/>
      <c r="GCT49" s="191"/>
      <c r="GCU49" s="191"/>
      <c r="GCV49" s="191"/>
      <c r="GCW49" s="191"/>
      <c r="GCX49" s="191"/>
      <c r="GCY49" s="191"/>
      <c r="GCZ49" s="191"/>
      <c r="GDA49" s="191"/>
      <c r="GDB49" s="191"/>
      <c r="GDC49" s="191"/>
      <c r="GDD49" s="191"/>
      <c r="GDE49" s="191"/>
      <c r="GDF49" s="191"/>
      <c r="GDG49" s="191"/>
      <c r="GDH49" s="191"/>
      <c r="GDI49" s="191"/>
      <c r="GDJ49" s="191"/>
      <c r="GDK49" s="191"/>
      <c r="GDL49" s="191"/>
      <c r="GDM49" s="191"/>
      <c r="GDN49" s="191"/>
      <c r="GDO49" s="191"/>
      <c r="GDP49" s="191"/>
      <c r="GDQ49" s="191"/>
      <c r="GDR49" s="191"/>
      <c r="GDS49" s="191"/>
      <c r="GDT49" s="191"/>
      <c r="GDU49" s="191"/>
      <c r="GDV49" s="191"/>
      <c r="GDW49" s="191"/>
      <c r="GDX49" s="191"/>
      <c r="GDY49" s="191"/>
      <c r="GDZ49" s="191"/>
      <c r="GEA49" s="191"/>
      <c r="GEB49" s="191"/>
      <c r="GEC49" s="191"/>
      <c r="GED49" s="191"/>
      <c r="GEE49" s="191"/>
      <c r="GEF49" s="191"/>
      <c r="GEG49" s="191"/>
      <c r="GEH49" s="191"/>
      <c r="GEI49" s="191"/>
      <c r="GEJ49" s="191"/>
      <c r="GEK49" s="191"/>
      <c r="GEL49" s="191"/>
      <c r="GEM49" s="191"/>
      <c r="GEN49" s="191"/>
      <c r="GEO49" s="191"/>
      <c r="GEP49" s="191"/>
      <c r="GEQ49" s="191"/>
      <c r="GER49" s="191"/>
      <c r="GES49" s="191"/>
      <c r="GET49" s="191"/>
      <c r="GEU49" s="191"/>
      <c r="GEV49" s="191"/>
      <c r="GEW49" s="191"/>
      <c r="GEX49" s="191"/>
      <c r="GEY49" s="191"/>
      <c r="GEZ49" s="191"/>
      <c r="GFA49" s="191"/>
      <c r="GFB49" s="191"/>
      <c r="GFC49" s="191"/>
      <c r="GFD49" s="191"/>
      <c r="GFE49" s="191"/>
      <c r="GFF49" s="191"/>
      <c r="GFG49" s="191"/>
      <c r="GFH49" s="191"/>
      <c r="GFI49" s="191"/>
      <c r="GFJ49" s="191"/>
      <c r="GFK49" s="191"/>
      <c r="GFL49" s="191"/>
      <c r="GFM49" s="191"/>
      <c r="GFN49" s="191"/>
      <c r="GFO49" s="191"/>
      <c r="GFP49" s="191"/>
      <c r="GFQ49" s="191"/>
      <c r="GFR49" s="191"/>
      <c r="GFS49" s="191"/>
      <c r="GFT49" s="191"/>
      <c r="GFU49" s="191"/>
      <c r="GFV49" s="191"/>
      <c r="GFW49" s="191"/>
      <c r="GFX49" s="191"/>
      <c r="GFY49" s="191"/>
      <c r="GFZ49" s="191"/>
      <c r="GGA49" s="191"/>
      <c r="GGB49" s="191"/>
      <c r="GGC49" s="191"/>
      <c r="GGD49" s="191"/>
      <c r="GGE49" s="191"/>
      <c r="GGF49" s="191"/>
      <c r="GGG49" s="191"/>
      <c r="GGH49" s="191"/>
      <c r="GGI49" s="191"/>
      <c r="GGJ49" s="191"/>
      <c r="GGK49" s="191"/>
      <c r="GGL49" s="191"/>
      <c r="GGM49" s="191"/>
      <c r="GGN49" s="191"/>
      <c r="GGO49" s="191"/>
      <c r="GGP49" s="191"/>
      <c r="GGQ49" s="191"/>
      <c r="GGR49" s="191"/>
      <c r="GGS49" s="191"/>
      <c r="GGT49" s="191"/>
      <c r="GGU49" s="191"/>
      <c r="GGV49" s="191"/>
      <c r="GGW49" s="191"/>
      <c r="GGX49" s="191"/>
      <c r="GGY49" s="191"/>
      <c r="GGZ49" s="191"/>
      <c r="GHA49" s="191"/>
      <c r="GHB49" s="191"/>
      <c r="GHC49" s="191"/>
      <c r="GHD49" s="191"/>
      <c r="GHE49" s="191"/>
      <c r="GHF49" s="191"/>
      <c r="GHG49" s="191"/>
      <c r="GHH49" s="191"/>
      <c r="GHI49" s="191"/>
      <c r="GHJ49" s="191"/>
      <c r="GHK49" s="191"/>
      <c r="GHL49" s="191"/>
      <c r="GHM49" s="191"/>
      <c r="GHN49" s="191"/>
      <c r="GHO49" s="191"/>
      <c r="GHP49" s="191"/>
      <c r="GHQ49" s="191"/>
      <c r="GHR49" s="191"/>
      <c r="GHS49" s="191"/>
      <c r="GHT49" s="191"/>
      <c r="GHU49" s="191"/>
      <c r="GHV49" s="191"/>
      <c r="GHW49" s="191"/>
      <c r="GHX49" s="191"/>
      <c r="GHY49" s="191"/>
      <c r="GHZ49" s="191"/>
      <c r="GIA49" s="191"/>
      <c r="GIB49" s="191"/>
      <c r="GIC49" s="191"/>
      <c r="GID49" s="191"/>
      <c r="GIE49" s="191"/>
      <c r="GIF49" s="191"/>
      <c r="GIG49" s="191"/>
      <c r="GIH49" s="191"/>
      <c r="GII49" s="191"/>
      <c r="GIJ49" s="191"/>
      <c r="GIK49" s="191"/>
      <c r="GIL49" s="191"/>
      <c r="GIM49" s="191"/>
      <c r="GIN49" s="191"/>
      <c r="GIO49" s="191"/>
      <c r="GIP49" s="191"/>
      <c r="GIQ49" s="191"/>
      <c r="GIR49" s="191"/>
      <c r="GIS49" s="191"/>
      <c r="GIT49" s="191"/>
      <c r="GIU49" s="191"/>
      <c r="GIV49" s="191"/>
      <c r="GIW49" s="191"/>
      <c r="GIX49" s="191"/>
      <c r="GIY49" s="191"/>
      <c r="GIZ49" s="191"/>
      <c r="GJA49" s="191"/>
      <c r="GJB49" s="191"/>
      <c r="GJC49" s="191"/>
      <c r="GJD49" s="191"/>
      <c r="GJE49" s="191"/>
      <c r="GJF49" s="191"/>
      <c r="GJG49" s="191"/>
      <c r="GJH49" s="191"/>
      <c r="GJI49" s="191"/>
      <c r="GJJ49" s="191"/>
      <c r="GJK49" s="191"/>
      <c r="GJL49" s="191"/>
      <c r="GJM49" s="191"/>
      <c r="GJN49" s="191"/>
      <c r="GJO49" s="191"/>
      <c r="GJP49" s="191"/>
      <c r="GJQ49" s="191"/>
      <c r="GJR49" s="191"/>
      <c r="GJS49" s="191"/>
      <c r="GJT49" s="191"/>
      <c r="GJU49" s="191"/>
      <c r="GJV49" s="191"/>
      <c r="GJW49" s="191"/>
      <c r="GJX49" s="191"/>
      <c r="GJY49" s="191"/>
      <c r="GJZ49" s="191"/>
      <c r="GKA49" s="191"/>
      <c r="GKB49" s="191"/>
      <c r="GKC49" s="191"/>
      <c r="GKD49" s="191"/>
      <c r="GKE49" s="191"/>
      <c r="GKF49" s="191"/>
      <c r="GKG49" s="191"/>
      <c r="GKH49" s="191"/>
      <c r="GKI49" s="191"/>
      <c r="GKJ49" s="191"/>
      <c r="GKK49" s="191"/>
      <c r="GKL49" s="191"/>
      <c r="GKM49" s="191"/>
      <c r="GKN49" s="191"/>
      <c r="GKO49" s="191"/>
      <c r="GKP49" s="191"/>
      <c r="GKQ49" s="191"/>
      <c r="GKR49" s="191"/>
      <c r="GKS49" s="191"/>
      <c r="GKT49" s="191"/>
      <c r="GKU49" s="191"/>
      <c r="GKV49" s="191"/>
      <c r="GKW49" s="191"/>
      <c r="GKX49" s="191"/>
      <c r="GKY49" s="191"/>
      <c r="GKZ49" s="191"/>
      <c r="GLA49" s="191"/>
      <c r="GLB49" s="191"/>
      <c r="GLC49" s="191"/>
      <c r="GLD49" s="191"/>
      <c r="GLE49" s="191"/>
      <c r="GLF49" s="191"/>
      <c r="GLG49" s="191"/>
      <c r="GLH49" s="191"/>
      <c r="GLI49" s="191"/>
      <c r="GLJ49" s="191"/>
      <c r="GLK49" s="191"/>
      <c r="GLL49" s="191"/>
      <c r="GLM49" s="191"/>
      <c r="GLN49" s="191"/>
      <c r="GLO49" s="191"/>
      <c r="GLP49" s="191"/>
      <c r="GLQ49" s="191"/>
      <c r="GLR49" s="191"/>
      <c r="GLS49" s="191"/>
      <c r="GLT49" s="191"/>
      <c r="GLU49" s="191"/>
      <c r="GLV49" s="191"/>
      <c r="GLW49" s="191"/>
      <c r="GLX49" s="191"/>
      <c r="GLY49" s="191"/>
      <c r="GLZ49" s="191"/>
      <c r="GMA49" s="191"/>
      <c r="GMB49" s="191"/>
      <c r="GMC49" s="191"/>
      <c r="GMD49" s="191"/>
      <c r="GME49" s="191"/>
      <c r="GMF49" s="191"/>
      <c r="GMG49" s="191"/>
      <c r="GMH49" s="191"/>
      <c r="GMI49" s="191"/>
      <c r="GMJ49" s="191"/>
      <c r="GMK49" s="191"/>
      <c r="GML49" s="191"/>
      <c r="GMM49" s="191"/>
      <c r="GMN49" s="191"/>
      <c r="GMO49" s="191"/>
      <c r="GMP49" s="191"/>
      <c r="GMQ49" s="191"/>
      <c r="GMR49" s="191"/>
      <c r="GMS49" s="191"/>
      <c r="GMT49" s="191"/>
      <c r="GMU49" s="191"/>
      <c r="GMV49" s="191"/>
      <c r="GMW49" s="191"/>
      <c r="GMX49" s="191"/>
      <c r="GMY49" s="191"/>
      <c r="GMZ49" s="191"/>
      <c r="GNA49" s="191"/>
      <c r="GNB49" s="191"/>
      <c r="GNC49" s="191"/>
      <c r="GND49" s="191"/>
      <c r="GNE49" s="191"/>
      <c r="GNF49" s="191"/>
      <c r="GNG49" s="191"/>
      <c r="GNH49" s="191"/>
      <c r="GNI49" s="191"/>
      <c r="GNJ49" s="191"/>
      <c r="GNK49" s="191"/>
      <c r="GNL49" s="191"/>
      <c r="GNM49" s="191"/>
      <c r="GNN49" s="191"/>
      <c r="GNO49" s="191"/>
      <c r="GNP49" s="191"/>
      <c r="GNQ49" s="191"/>
      <c r="GNR49" s="191"/>
      <c r="GNS49" s="191"/>
      <c r="GNT49" s="191"/>
      <c r="GNU49" s="191"/>
      <c r="GNV49" s="191"/>
      <c r="GNW49" s="191"/>
      <c r="GNX49" s="191"/>
      <c r="GNY49" s="191"/>
      <c r="GNZ49" s="191"/>
      <c r="GOA49" s="191"/>
      <c r="GOB49" s="191"/>
      <c r="GOC49" s="191"/>
      <c r="GOD49" s="191"/>
      <c r="GOE49" s="191"/>
      <c r="GOF49" s="191"/>
      <c r="GOG49" s="191"/>
      <c r="GOH49" s="191"/>
      <c r="GOI49" s="191"/>
      <c r="GOJ49" s="191"/>
      <c r="GOK49" s="191"/>
      <c r="GOL49" s="191"/>
      <c r="GOM49" s="191"/>
      <c r="GON49" s="191"/>
      <c r="GOO49" s="191"/>
      <c r="GOP49" s="191"/>
      <c r="GOQ49" s="191"/>
      <c r="GOR49" s="191"/>
      <c r="GOS49" s="191"/>
      <c r="GOT49" s="191"/>
      <c r="GOU49" s="191"/>
      <c r="GOV49" s="191"/>
      <c r="GOW49" s="191"/>
      <c r="GOX49" s="191"/>
      <c r="GOY49" s="191"/>
      <c r="GOZ49" s="191"/>
      <c r="GPA49" s="191"/>
      <c r="GPB49" s="191"/>
      <c r="GPC49" s="191"/>
      <c r="GPD49" s="191"/>
      <c r="GPE49" s="191"/>
      <c r="GPF49" s="191"/>
      <c r="GPG49" s="191"/>
      <c r="GPH49" s="191"/>
      <c r="GPI49" s="191"/>
      <c r="GPJ49" s="191"/>
      <c r="GPK49" s="191"/>
      <c r="GPL49" s="191"/>
      <c r="GPM49" s="191"/>
      <c r="GPN49" s="191"/>
      <c r="GPO49" s="191"/>
      <c r="GPP49" s="191"/>
      <c r="GPQ49" s="191"/>
      <c r="GPR49" s="191"/>
      <c r="GPS49" s="191"/>
      <c r="GPT49" s="191"/>
      <c r="GPU49" s="191"/>
      <c r="GPV49" s="191"/>
      <c r="GPW49" s="191"/>
      <c r="GPX49" s="191"/>
      <c r="GPY49" s="191"/>
      <c r="GPZ49" s="191"/>
      <c r="GQA49" s="191"/>
      <c r="GQB49" s="191"/>
      <c r="GQC49" s="191"/>
      <c r="GQD49" s="191"/>
      <c r="GQE49" s="191"/>
      <c r="GQF49" s="191"/>
      <c r="GQG49" s="191"/>
      <c r="GQH49" s="191"/>
      <c r="GQI49" s="191"/>
      <c r="GQJ49" s="191"/>
      <c r="GQK49" s="191"/>
      <c r="GQL49" s="191"/>
      <c r="GQM49" s="191"/>
      <c r="GQN49" s="191"/>
      <c r="GQO49" s="191"/>
      <c r="GQP49" s="191"/>
      <c r="GQQ49" s="191"/>
      <c r="GQR49" s="191"/>
      <c r="GQS49" s="191"/>
      <c r="GQT49" s="191"/>
      <c r="GQU49" s="191"/>
      <c r="GQV49" s="191"/>
      <c r="GQW49" s="191"/>
      <c r="GQX49" s="191"/>
      <c r="GQY49" s="191"/>
      <c r="GQZ49" s="191"/>
      <c r="GRA49" s="191"/>
      <c r="GRB49" s="191"/>
      <c r="GRC49" s="191"/>
    </row>
    <row r="50" spans="1:5203" s="173" customFormat="1" ht="15.75" x14ac:dyDescent="0.2">
      <c r="A50" s="163">
        <v>37</v>
      </c>
      <c r="B50" s="193" t="s">
        <v>115</v>
      </c>
      <c r="C50" s="194" t="s">
        <v>46</v>
      </c>
      <c r="D50" s="195">
        <v>671.43</v>
      </c>
      <c r="E50" s="194" t="s">
        <v>129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>
        <v>175</v>
      </c>
      <c r="K50" s="194"/>
      <c r="L50" s="197">
        <v>449</v>
      </c>
      <c r="M50" s="197"/>
      <c r="N50" s="163">
        <v>5.6</v>
      </c>
      <c r="O50" s="197"/>
      <c r="P50" s="198">
        <v>17.166167576775027</v>
      </c>
      <c r="Q50" s="199">
        <f t="shared" si="7"/>
        <v>5.25</v>
      </c>
      <c r="R50" s="200">
        <v>2.6240000000000001</v>
      </c>
      <c r="S50" s="199">
        <v>3.5510000000000002</v>
      </c>
      <c r="T50" s="199">
        <v>4</v>
      </c>
      <c r="U50" s="168">
        <f t="shared" si="9"/>
        <v>1.524390243902439</v>
      </c>
      <c r="V50" s="169">
        <f t="shared" si="6"/>
        <v>26.105322444381862</v>
      </c>
      <c r="W50" s="201">
        <v>0.3</v>
      </c>
      <c r="X50" s="202">
        <v>0</v>
      </c>
      <c r="Y50" s="171">
        <f t="shared" si="3"/>
        <v>2.6240000000000001</v>
      </c>
      <c r="Z50" s="171">
        <f t="shared" si="3"/>
        <v>3.5510000000000002</v>
      </c>
      <c r="AA50" s="171">
        <f t="shared" si="3"/>
        <v>4</v>
      </c>
      <c r="AB50" s="202">
        <f t="shared" si="3"/>
        <v>1.524390243902439</v>
      </c>
      <c r="AC50" s="171">
        <f t="shared" si="2"/>
        <v>26.105322444381862</v>
      </c>
      <c r="AD50" s="163">
        <v>31</v>
      </c>
      <c r="AE50" s="202">
        <f t="shared" si="4"/>
        <v>81.344000000000008</v>
      </c>
      <c r="AF50" s="172"/>
    </row>
    <row r="51" spans="1:5203" s="173" customFormat="1" ht="15.75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135</v>
      </c>
      <c r="K51" s="163"/>
      <c r="L51" s="166">
        <v>406</v>
      </c>
      <c r="M51" s="166"/>
      <c r="N51" s="163">
        <v>0.3</v>
      </c>
      <c r="O51" s="166"/>
      <c r="P51" s="167">
        <v>15.660233430172754</v>
      </c>
      <c r="Q51" s="199">
        <f t="shared" si="7"/>
        <v>17.55</v>
      </c>
      <c r="R51" s="169">
        <v>3.508</v>
      </c>
      <c r="S51" s="168">
        <v>4.8330000000000002</v>
      </c>
      <c r="T51" s="168">
        <v>2</v>
      </c>
      <c r="U51" s="168">
        <f t="shared" si="9"/>
        <v>0.5701254275940707</v>
      </c>
      <c r="V51" s="169">
        <f t="shared" si="6"/>
        <v>27.415683840264848</v>
      </c>
      <c r="W51" s="170">
        <v>4</v>
      </c>
      <c r="X51" s="171">
        <v>0</v>
      </c>
      <c r="Y51" s="171">
        <f t="shared" si="3"/>
        <v>3.508</v>
      </c>
      <c r="Z51" s="171">
        <f t="shared" si="3"/>
        <v>4.8330000000000002</v>
      </c>
      <c r="AA51" s="171">
        <f t="shared" si="3"/>
        <v>2</v>
      </c>
      <c r="AB51" s="171">
        <f t="shared" si="3"/>
        <v>0.5701254275940707</v>
      </c>
      <c r="AC51" s="171">
        <f t="shared" si="2"/>
        <v>27.415683840264848</v>
      </c>
      <c r="AD51" s="163">
        <v>31</v>
      </c>
      <c r="AE51" s="171">
        <f t="shared" si="4"/>
        <v>108.748</v>
      </c>
      <c r="AF51" s="172"/>
    </row>
    <row r="52" spans="1:5203" s="173" customFormat="1" ht="15.75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127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95</v>
      </c>
      <c r="K52" s="163"/>
      <c r="L52" s="166">
        <v>437</v>
      </c>
      <c r="M52" s="166"/>
      <c r="N52" s="163">
        <v>2.5</v>
      </c>
      <c r="O52" s="166"/>
      <c r="P52" s="167">
        <v>15.539674823250612</v>
      </c>
      <c r="Q52" s="168">
        <f t="shared" si="7"/>
        <v>12.35</v>
      </c>
      <c r="R52" s="169">
        <v>4.76</v>
      </c>
      <c r="S52" s="168">
        <v>6.5179999999999998</v>
      </c>
      <c r="T52" s="168">
        <v>4</v>
      </c>
      <c r="U52" s="168">
        <f t="shared" si="9"/>
        <v>0.84033613445378152</v>
      </c>
      <c r="V52" s="169">
        <f t="shared" si="6"/>
        <v>26.971463639153114</v>
      </c>
      <c r="W52" s="170">
        <v>1</v>
      </c>
      <c r="X52" s="171">
        <v>0</v>
      </c>
      <c r="Y52" s="171">
        <f t="shared" si="3"/>
        <v>4.76</v>
      </c>
      <c r="Z52" s="171">
        <f t="shared" si="3"/>
        <v>6.5179999999999998</v>
      </c>
      <c r="AA52" s="171">
        <f t="shared" si="3"/>
        <v>4</v>
      </c>
      <c r="AB52" s="171">
        <f t="shared" si="3"/>
        <v>0.84033613445378152</v>
      </c>
      <c r="AC52" s="171">
        <f t="shared" si="2"/>
        <v>26.971463639153114</v>
      </c>
      <c r="AD52" s="163">
        <v>31</v>
      </c>
      <c r="AE52" s="171">
        <f t="shared" si="4"/>
        <v>147.56</v>
      </c>
      <c r="AF52" s="172"/>
    </row>
    <row r="53" spans="1:5203" s="173" customFormat="1" ht="15.75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200</v>
      </c>
      <c r="K53" s="163"/>
      <c r="L53" s="166">
        <v>48</v>
      </c>
      <c r="M53" s="166"/>
      <c r="N53" s="163">
        <v>0.3</v>
      </c>
      <c r="O53" s="166"/>
      <c r="P53" s="167">
        <v>50.595858138876729</v>
      </c>
      <c r="Q53" s="168">
        <f t="shared" si="7"/>
        <v>6</v>
      </c>
      <c r="R53" s="169">
        <v>8.4000000000000005E-2</v>
      </c>
      <c r="S53" s="168">
        <v>0.52900000000000003</v>
      </c>
      <c r="T53" s="168">
        <v>0</v>
      </c>
      <c r="U53" s="168">
        <f t="shared" si="9"/>
        <v>0</v>
      </c>
      <c r="V53" s="169">
        <f t="shared" si="6"/>
        <v>84.120982986767473</v>
      </c>
      <c r="W53" s="170">
        <v>0.2</v>
      </c>
      <c r="X53" s="171">
        <f t="shared" si="8"/>
        <v>8.8166666666666671E-2</v>
      </c>
      <c r="Y53" s="171">
        <f t="shared" si="3"/>
        <v>8.4000000000000005E-2</v>
      </c>
      <c r="Z53" s="171">
        <f t="shared" si="3"/>
        <v>0.52900000000000003</v>
      </c>
      <c r="AA53" s="171">
        <f t="shared" si="3"/>
        <v>0</v>
      </c>
      <c r="AB53" s="171">
        <f t="shared" si="3"/>
        <v>0</v>
      </c>
      <c r="AC53" s="171">
        <f t="shared" si="2"/>
        <v>84.120982986767473</v>
      </c>
      <c r="AD53" s="163">
        <v>31</v>
      </c>
      <c r="AE53" s="171">
        <f t="shared" si="4"/>
        <v>2.6040000000000001</v>
      </c>
      <c r="AF53" s="203"/>
    </row>
    <row r="54" spans="1:5203" s="173" customFormat="1" ht="15.75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559.03</v>
      </c>
      <c r="J54" s="163">
        <v>85</v>
      </c>
      <c r="K54" s="163"/>
      <c r="L54" s="163">
        <v>346</v>
      </c>
      <c r="M54" s="163"/>
      <c r="N54" s="163">
        <v>7.7</v>
      </c>
      <c r="O54" s="163"/>
      <c r="P54" s="182">
        <v>29.935008965569324</v>
      </c>
      <c r="Q54" s="171">
        <f t="shared" si="7"/>
        <v>18.7</v>
      </c>
      <c r="R54" s="170">
        <v>3.9159999999999999</v>
      </c>
      <c r="S54" s="171">
        <v>12.425000000000001</v>
      </c>
      <c r="T54" s="171">
        <v>51</v>
      </c>
      <c r="U54" s="168">
        <f t="shared" si="9"/>
        <v>13.023493360572013</v>
      </c>
      <c r="V54" s="169">
        <f t="shared" si="6"/>
        <v>68.482897384305829</v>
      </c>
      <c r="W54" s="170"/>
      <c r="X54" s="171">
        <f>S54/Q54</f>
        <v>0.66443850267379689</v>
      </c>
      <c r="Y54" s="171">
        <f t="shared" si="3"/>
        <v>3.9159999999999999</v>
      </c>
      <c r="Z54" s="171">
        <f t="shared" si="3"/>
        <v>12.425000000000001</v>
      </c>
      <c r="AA54" s="171">
        <f t="shared" si="3"/>
        <v>51</v>
      </c>
      <c r="AB54" s="171">
        <f t="shared" si="3"/>
        <v>13.023493360572013</v>
      </c>
      <c r="AC54" s="171">
        <f t="shared" si="2"/>
        <v>68.482897384305829</v>
      </c>
      <c r="AD54" s="163">
        <v>31</v>
      </c>
      <c r="AE54" s="171">
        <f t="shared" si="4"/>
        <v>121.396</v>
      </c>
      <c r="AF54" s="179"/>
    </row>
    <row r="55" spans="1:5203" s="173" customFormat="1" ht="15.75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>
        <v>85</v>
      </c>
      <c r="K55" s="163"/>
      <c r="L55" s="163">
        <v>338</v>
      </c>
      <c r="M55" s="163"/>
      <c r="N55" s="163">
        <v>8.8000000000000007</v>
      </c>
      <c r="O55" s="163"/>
      <c r="P55" s="182">
        <v>29.110317220447342</v>
      </c>
      <c r="Q55" s="171">
        <f t="shared" si="7"/>
        <v>18.7</v>
      </c>
      <c r="R55" s="170">
        <v>16.835999999999999</v>
      </c>
      <c r="S55" s="171">
        <v>29.756999999999998</v>
      </c>
      <c r="T55" s="171">
        <v>569</v>
      </c>
      <c r="U55" s="168">
        <f t="shared" si="9"/>
        <v>33.796626277025425</v>
      </c>
      <c r="V55" s="169">
        <f t="shared" si="6"/>
        <v>43.421715898780121</v>
      </c>
      <c r="W55" s="170">
        <v>0.3</v>
      </c>
      <c r="X55" s="171">
        <f>S55/Q55</f>
        <v>1.5912834224598931</v>
      </c>
      <c r="Y55" s="171">
        <f t="shared" si="3"/>
        <v>16.835999999999999</v>
      </c>
      <c r="Z55" s="171">
        <f t="shared" si="3"/>
        <v>29.756999999999998</v>
      </c>
      <c r="AA55" s="171">
        <f t="shared" si="3"/>
        <v>569</v>
      </c>
      <c r="AB55" s="171">
        <f t="shared" si="3"/>
        <v>33.796626277025425</v>
      </c>
      <c r="AC55" s="171">
        <f t="shared" si="2"/>
        <v>43.421715898780121</v>
      </c>
      <c r="AD55" s="163">
        <v>31</v>
      </c>
      <c r="AE55" s="171">
        <f t="shared" si="4"/>
        <v>521.91599999999994</v>
      </c>
      <c r="AF55" s="179"/>
    </row>
    <row r="56" spans="1:5203" s="173" customFormat="1" ht="15.75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459</v>
      </c>
      <c r="M56" s="163"/>
      <c r="N56" s="163">
        <v>12.8</v>
      </c>
      <c r="O56" s="163"/>
      <c r="P56" s="182">
        <v>23.327945841504953</v>
      </c>
      <c r="Q56" s="171">
        <f t="shared" si="7"/>
        <v>18.7</v>
      </c>
      <c r="R56" s="170">
        <v>5.6870000000000003</v>
      </c>
      <c r="S56" s="171">
        <v>10.756</v>
      </c>
      <c r="T56" s="171">
        <v>110</v>
      </c>
      <c r="U56" s="171">
        <f t="shared" si="9"/>
        <v>19.342359767891683</v>
      </c>
      <c r="V56" s="169">
        <f t="shared" si="6"/>
        <v>47.127184827073258</v>
      </c>
      <c r="W56" s="170">
        <v>0.5</v>
      </c>
      <c r="X56" s="171">
        <f>S56/Q56</f>
        <v>0.57518716577540108</v>
      </c>
      <c r="Y56" s="171">
        <f t="shared" si="3"/>
        <v>5.6870000000000003</v>
      </c>
      <c r="Z56" s="171">
        <f t="shared" si="3"/>
        <v>10.756</v>
      </c>
      <c r="AA56" s="171">
        <f t="shared" si="3"/>
        <v>110</v>
      </c>
      <c r="AB56" s="171">
        <f t="shared" si="3"/>
        <v>19.342359767891683</v>
      </c>
      <c r="AC56" s="171">
        <f t="shared" si="2"/>
        <v>47.127184827073258</v>
      </c>
      <c r="AD56" s="163">
        <v>31</v>
      </c>
      <c r="AE56" s="171">
        <f t="shared" si="4"/>
        <v>176.297</v>
      </c>
      <c r="AF56" s="179"/>
    </row>
    <row r="57" spans="1:5203" s="178" customFormat="1" ht="15.95" customHeight="1" x14ac:dyDescent="0.2">
      <c r="A57" s="163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360</v>
      </c>
      <c r="M57" s="158"/>
      <c r="N57" s="163">
        <v>8.4</v>
      </c>
      <c r="O57" s="158"/>
      <c r="P57" s="160">
        <v>26.422489318435371</v>
      </c>
      <c r="Q57" s="171">
        <f t="shared" si="7"/>
        <v>33</v>
      </c>
      <c r="R57" s="170">
        <v>7.7830000000000004</v>
      </c>
      <c r="S57" s="205">
        <v>8.8309999999999995</v>
      </c>
      <c r="T57" s="174">
        <v>999</v>
      </c>
      <c r="U57" s="171">
        <f>T57/R57</f>
        <v>128.35667480406013</v>
      </c>
      <c r="V57" s="169">
        <f t="shared" si="6"/>
        <v>11.867285698108926</v>
      </c>
      <c r="W57" s="170">
        <v>0.3</v>
      </c>
      <c r="X57" s="171">
        <f t="shared" ref="X57:X73" si="10">S57/Q57</f>
        <v>0.26760606060606057</v>
      </c>
      <c r="Y57" s="171">
        <f t="shared" si="3"/>
        <v>7.7830000000000004</v>
      </c>
      <c r="Z57" s="171">
        <f t="shared" si="3"/>
        <v>8.8309999999999995</v>
      </c>
      <c r="AA57" s="171">
        <f t="shared" si="3"/>
        <v>999</v>
      </c>
      <c r="AB57" s="171">
        <f t="shared" si="3"/>
        <v>128.35667480406013</v>
      </c>
      <c r="AC57" s="171">
        <f t="shared" si="2"/>
        <v>11.867285698108926</v>
      </c>
      <c r="AD57" s="163">
        <v>31</v>
      </c>
      <c r="AE57" s="171">
        <f>Y57*AD57</f>
        <v>241.27300000000002</v>
      </c>
      <c r="AF57" s="172"/>
    </row>
    <row r="58" spans="1:5203" s="178" customFormat="1" ht="15.95" customHeight="1" x14ac:dyDescent="0.2">
      <c r="A58" s="163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/>
      <c r="K58" s="158">
        <v>169</v>
      </c>
      <c r="L58" s="163">
        <v>0</v>
      </c>
      <c r="M58" s="158">
        <v>0.3</v>
      </c>
      <c r="N58" s="163">
        <v>0</v>
      </c>
      <c r="O58" s="158"/>
      <c r="P58" s="160">
        <v>0</v>
      </c>
      <c r="Q58" s="171">
        <f t="shared" si="7"/>
        <v>0</v>
      </c>
      <c r="R58" s="170">
        <v>0</v>
      </c>
      <c r="S58" s="174">
        <v>0</v>
      </c>
      <c r="T58" s="174">
        <v>0</v>
      </c>
      <c r="U58" s="171">
        <v>0</v>
      </c>
      <c r="V58" s="169"/>
      <c r="W58" s="170"/>
      <c r="X58" s="171"/>
      <c r="Y58" s="171">
        <f t="shared" si="3"/>
        <v>0</v>
      </c>
      <c r="Z58" s="171">
        <v>0</v>
      </c>
      <c r="AA58" s="171">
        <f t="shared" si="3"/>
        <v>0</v>
      </c>
      <c r="AB58" s="171">
        <f t="shared" si="3"/>
        <v>0</v>
      </c>
      <c r="AC58" s="171">
        <v>0</v>
      </c>
      <c r="AD58" s="163"/>
      <c r="AE58" s="171">
        <f>Y58*AD58</f>
        <v>0</v>
      </c>
      <c r="AF58" s="172" t="s">
        <v>237</v>
      </c>
    </row>
    <row r="59" spans="1:5203" s="178" customFormat="1" ht="15.9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436</v>
      </c>
      <c r="M59" s="158"/>
      <c r="N59" s="163">
        <v>4</v>
      </c>
      <c r="O59" s="158"/>
      <c r="P59" s="182">
        <v>17.51427283020108</v>
      </c>
      <c r="Q59" s="171">
        <f t="shared" si="7"/>
        <v>11.05</v>
      </c>
      <c r="R59" s="170">
        <v>2.883</v>
      </c>
      <c r="S59" s="171">
        <v>3.56</v>
      </c>
      <c r="T59" s="171">
        <v>16</v>
      </c>
      <c r="U59" s="171">
        <f>T59/R59</f>
        <v>5.5497745404092962</v>
      </c>
      <c r="V59" s="169">
        <f t="shared" si="6"/>
        <v>19.016853932584272</v>
      </c>
      <c r="W59" s="170">
        <v>1</v>
      </c>
      <c r="X59" s="171">
        <v>1</v>
      </c>
      <c r="Y59" s="171">
        <f t="shared" si="3"/>
        <v>2.883</v>
      </c>
      <c r="Z59" s="171">
        <f t="shared" si="3"/>
        <v>3.56</v>
      </c>
      <c r="AA59" s="171">
        <f t="shared" si="3"/>
        <v>16</v>
      </c>
      <c r="AB59" s="171">
        <f t="shared" si="3"/>
        <v>5.5497745404092962</v>
      </c>
      <c r="AC59" s="171">
        <f t="shared" si="2"/>
        <v>19.016853932584272</v>
      </c>
      <c r="AD59" s="163">
        <v>31</v>
      </c>
      <c r="AE59" s="171">
        <f t="shared" ref="AE59:AE71" si="11">Y59*AD59</f>
        <v>89.373000000000005</v>
      </c>
      <c r="AF59" s="172"/>
    </row>
    <row r="60" spans="1:5203" s="173" customFormat="1" ht="15.75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49</v>
      </c>
      <c r="I60" s="158">
        <v>542.91</v>
      </c>
      <c r="J60" s="163">
        <v>340</v>
      </c>
      <c r="K60" s="163"/>
      <c r="L60" s="163">
        <v>412</v>
      </c>
      <c r="M60" s="163"/>
      <c r="N60" s="163">
        <v>8.4</v>
      </c>
      <c r="O60" s="163"/>
      <c r="P60" s="182">
        <v>21.662694857923807</v>
      </c>
      <c r="Q60" s="171">
        <f t="shared" si="7"/>
        <v>108.8</v>
      </c>
      <c r="R60" s="170">
        <v>16.7</v>
      </c>
      <c r="S60" s="171">
        <v>19</v>
      </c>
      <c r="T60" s="171">
        <v>1269</v>
      </c>
      <c r="U60" s="171">
        <f t="shared" si="5"/>
        <v>75.988023952095816</v>
      </c>
      <c r="V60" s="169">
        <f t="shared" si="6"/>
        <v>12.105263157894742</v>
      </c>
      <c r="W60" s="170">
        <v>0.3</v>
      </c>
      <c r="X60" s="171">
        <f t="shared" si="10"/>
        <v>0.17463235294117649</v>
      </c>
      <c r="Y60" s="171">
        <f t="shared" si="3"/>
        <v>16.7</v>
      </c>
      <c r="Z60" s="171">
        <f t="shared" si="3"/>
        <v>19</v>
      </c>
      <c r="AA60" s="171">
        <f t="shared" si="3"/>
        <v>1269</v>
      </c>
      <c r="AB60" s="171">
        <f>U60</f>
        <v>75.988023952095816</v>
      </c>
      <c r="AC60" s="171">
        <f t="shared" si="2"/>
        <v>12.105263157894742</v>
      </c>
      <c r="AD60" s="163">
        <v>31</v>
      </c>
      <c r="AE60" s="171">
        <f t="shared" si="11"/>
        <v>517.69999999999993</v>
      </c>
      <c r="AF60" s="179"/>
    </row>
    <row r="61" spans="1:5203" s="173" customFormat="1" ht="15.75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360</v>
      </c>
      <c r="K61" s="163"/>
      <c r="L61" s="163">
        <v>337</v>
      </c>
      <c r="M61" s="163"/>
      <c r="N61" s="163">
        <v>9.4</v>
      </c>
      <c r="O61" s="163"/>
      <c r="P61" s="182">
        <v>29.672055652054723</v>
      </c>
      <c r="Q61" s="171">
        <f t="shared" si="7"/>
        <v>115.2</v>
      </c>
      <c r="R61" s="170">
        <v>46</v>
      </c>
      <c r="S61" s="171">
        <v>55</v>
      </c>
      <c r="T61" s="171">
        <v>1139</v>
      </c>
      <c r="U61" s="171">
        <f>T61/R61</f>
        <v>24.760869565217391</v>
      </c>
      <c r="V61" s="169">
        <f t="shared" si="6"/>
        <v>16.363636363636363</v>
      </c>
      <c r="W61" s="170">
        <v>0.3</v>
      </c>
      <c r="X61" s="171">
        <f t="shared" si="10"/>
        <v>0.47743055555555552</v>
      </c>
      <c r="Y61" s="171">
        <f t="shared" si="3"/>
        <v>46</v>
      </c>
      <c r="Z61" s="171">
        <f t="shared" si="3"/>
        <v>55</v>
      </c>
      <c r="AA61" s="171">
        <f t="shared" si="3"/>
        <v>1139</v>
      </c>
      <c r="AB61" s="171">
        <f t="shared" si="3"/>
        <v>24.760869565217391</v>
      </c>
      <c r="AC61" s="171">
        <f t="shared" si="2"/>
        <v>16.363636363636363</v>
      </c>
      <c r="AD61" s="163">
        <v>31</v>
      </c>
      <c r="AE61" s="171">
        <f t="shared" si="11"/>
        <v>1426</v>
      </c>
      <c r="AF61" s="179"/>
    </row>
    <row r="62" spans="1:5203" s="173" customFormat="1" ht="15.75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391</v>
      </c>
      <c r="M62" s="163"/>
      <c r="N62" s="163">
        <v>8.5</v>
      </c>
      <c r="O62" s="163"/>
      <c r="P62" s="182">
        <v>23.652912937391019</v>
      </c>
      <c r="Q62" s="171">
        <f t="shared" si="7"/>
        <v>34.1</v>
      </c>
      <c r="R62" s="170">
        <v>15</v>
      </c>
      <c r="S62" s="171">
        <v>18</v>
      </c>
      <c r="T62" s="171">
        <v>746</v>
      </c>
      <c r="U62" s="171">
        <f>T62/R62</f>
        <v>49.733333333333334</v>
      </c>
      <c r="V62" s="169">
        <f t="shared" si="6"/>
        <v>16.666666666666664</v>
      </c>
      <c r="W62" s="170">
        <v>0.5</v>
      </c>
      <c r="X62" s="171">
        <f t="shared" si="10"/>
        <v>0.52785923753665687</v>
      </c>
      <c r="Y62" s="171">
        <f t="shared" si="3"/>
        <v>15</v>
      </c>
      <c r="Z62" s="171">
        <f t="shared" si="3"/>
        <v>18</v>
      </c>
      <c r="AA62" s="171">
        <f t="shared" si="3"/>
        <v>746</v>
      </c>
      <c r="AB62" s="171">
        <f t="shared" si="3"/>
        <v>49.733333333333334</v>
      </c>
      <c r="AC62" s="171">
        <f t="shared" si="2"/>
        <v>16.666666666666664</v>
      </c>
      <c r="AD62" s="163">
        <v>31</v>
      </c>
      <c r="AE62" s="171">
        <f t="shared" si="11"/>
        <v>465</v>
      </c>
      <c r="AF62" s="179"/>
    </row>
    <row r="63" spans="1:5203" s="173" customFormat="1" ht="15.75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439</v>
      </c>
      <c r="M63" s="163"/>
      <c r="N63" s="163">
        <v>8.5</v>
      </c>
      <c r="O63" s="163"/>
      <c r="P63" s="182">
        <v>20.801871120491317</v>
      </c>
      <c r="Q63" s="171">
        <f t="shared" si="7"/>
        <v>25.3</v>
      </c>
      <c r="R63" s="170">
        <v>7.2</v>
      </c>
      <c r="S63" s="171">
        <v>9</v>
      </c>
      <c r="T63" s="171">
        <v>153</v>
      </c>
      <c r="U63" s="171">
        <f>T63/R63</f>
        <v>21.25</v>
      </c>
      <c r="V63" s="169">
        <f t="shared" si="6"/>
        <v>20</v>
      </c>
      <c r="W63" s="170">
        <v>0.3</v>
      </c>
      <c r="X63" s="171">
        <f t="shared" si="10"/>
        <v>0.35573122529644269</v>
      </c>
      <c r="Y63" s="171">
        <f t="shared" si="3"/>
        <v>7.2</v>
      </c>
      <c r="Z63" s="171">
        <f t="shared" si="3"/>
        <v>9</v>
      </c>
      <c r="AA63" s="171">
        <f t="shared" si="3"/>
        <v>153</v>
      </c>
      <c r="AB63" s="171">
        <f t="shared" si="3"/>
        <v>21.25</v>
      </c>
      <c r="AC63" s="171">
        <f t="shared" si="2"/>
        <v>20</v>
      </c>
      <c r="AD63" s="163">
        <v>31</v>
      </c>
      <c r="AE63" s="171">
        <f>Y63*AD63</f>
        <v>223.20000000000002</v>
      </c>
      <c r="AF63" s="179"/>
    </row>
    <row r="64" spans="1:5203" s="173" customFormat="1" ht="15.75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454</v>
      </c>
      <c r="M64" s="163"/>
      <c r="N64" s="163">
        <v>7.5</v>
      </c>
      <c r="O64" s="163"/>
      <c r="P64" s="182">
        <v>17.592465729929547</v>
      </c>
      <c r="Q64" s="171">
        <f t="shared" si="7"/>
        <v>91.2</v>
      </c>
      <c r="R64" s="170">
        <v>16.3</v>
      </c>
      <c r="S64" s="171">
        <v>19.100000000000001</v>
      </c>
      <c r="T64" s="171">
        <v>350</v>
      </c>
      <c r="U64" s="171">
        <f t="shared" si="5"/>
        <v>21.472392638036808</v>
      </c>
      <c r="V64" s="169">
        <f t="shared" si="6"/>
        <v>14.659685863874348</v>
      </c>
      <c r="W64" s="170">
        <v>0.6</v>
      </c>
      <c r="X64" s="171">
        <f t="shared" si="10"/>
        <v>0.20942982456140352</v>
      </c>
      <c r="Y64" s="171">
        <f t="shared" si="3"/>
        <v>16.3</v>
      </c>
      <c r="Z64" s="171">
        <f t="shared" si="3"/>
        <v>19.100000000000001</v>
      </c>
      <c r="AA64" s="171">
        <f t="shared" si="3"/>
        <v>350</v>
      </c>
      <c r="AB64" s="171">
        <f t="shared" si="3"/>
        <v>21.472392638036808</v>
      </c>
      <c r="AC64" s="171">
        <f t="shared" si="2"/>
        <v>14.659685863874348</v>
      </c>
      <c r="AD64" s="163">
        <v>31</v>
      </c>
      <c r="AE64" s="171">
        <f t="shared" si="11"/>
        <v>505.3</v>
      </c>
      <c r="AF64" s="179"/>
    </row>
    <row r="65" spans="1:32" s="173" customFormat="1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49</v>
      </c>
      <c r="I65" s="158">
        <v>534.24</v>
      </c>
      <c r="J65" s="163">
        <v>325</v>
      </c>
      <c r="K65" s="163"/>
      <c r="L65" s="163">
        <v>341</v>
      </c>
      <c r="M65" s="163"/>
      <c r="N65" s="163">
        <v>9.5</v>
      </c>
      <c r="O65" s="163"/>
      <c r="P65" s="182">
        <v>29.104324981095296</v>
      </c>
      <c r="Q65" s="171">
        <f t="shared" si="7"/>
        <v>104</v>
      </c>
      <c r="R65" s="170">
        <v>38</v>
      </c>
      <c r="S65" s="171">
        <v>58</v>
      </c>
      <c r="T65" s="171">
        <v>919</v>
      </c>
      <c r="U65" s="171">
        <f t="shared" si="5"/>
        <v>24.184210526315791</v>
      </c>
      <c r="V65" s="169">
        <f t="shared" si="6"/>
        <v>34.482758620689658</v>
      </c>
      <c r="W65" s="170">
        <v>0.3</v>
      </c>
      <c r="X65" s="171">
        <f t="shared" si="10"/>
        <v>0.55769230769230771</v>
      </c>
      <c r="Y65" s="171">
        <f t="shared" si="3"/>
        <v>38</v>
      </c>
      <c r="Z65" s="171">
        <f t="shared" si="3"/>
        <v>58</v>
      </c>
      <c r="AA65" s="171">
        <f t="shared" si="3"/>
        <v>919</v>
      </c>
      <c r="AB65" s="171">
        <f t="shared" si="3"/>
        <v>24.184210526315791</v>
      </c>
      <c r="AC65" s="171">
        <f t="shared" si="2"/>
        <v>34.482758620689658</v>
      </c>
      <c r="AD65" s="163">
        <v>31</v>
      </c>
      <c r="AE65" s="171">
        <f t="shared" si="11"/>
        <v>1178</v>
      </c>
      <c r="AF65" s="190"/>
    </row>
    <row r="66" spans="1:32" s="173" customFormat="1" ht="15.75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168</v>
      </c>
      <c r="I66" s="158">
        <v>509.7</v>
      </c>
      <c r="J66" s="163">
        <v>370</v>
      </c>
      <c r="K66" s="163"/>
      <c r="L66" s="163">
        <v>296</v>
      </c>
      <c r="M66" s="163"/>
      <c r="N66" s="163">
        <v>9.3000000000000007</v>
      </c>
      <c r="O66" s="163"/>
      <c r="P66" s="182">
        <v>29.489758464476765</v>
      </c>
      <c r="Q66" s="171">
        <f t="shared" si="7"/>
        <v>148</v>
      </c>
      <c r="R66" s="170">
        <v>37.200000000000003</v>
      </c>
      <c r="S66" s="171">
        <v>44</v>
      </c>
      <c r="T66" s="171">
        <v>2523</v>
      </c>
      <c r="U66" s="171">
        <f t="shared" si="5"/>
        <v>67.822580645161281</v>
      </c>
      <c r="V66" s="169">
        <f t="shared" si="6"/>
        <v>15.454545454545448</v>
      </c>
      <c r="W66" s="170">
        <v>0.5</v>
      </c>
      <c r="X66" s="171">
        <f t="shared" si="10"/>
        <v>0.29729729729729731</v>
      </c>
      <c r="Y66" s="171">
        <f t="shared" si="3"/>
        <v>37.200000000000003</v>
      </c>
      <c r="Z66" s="171">
        <f t="shared" si="3"/>
        <v>44</v>
      </c>
      <c r="AA66" s="171">
        <f t="shared" si="3"/>
        <v>2523</v>
      </c>
      <c r="AB66" s="171">
        <f t="shared" si="3"/>
        <v>67.822580645161281</v>
      </c>
      <c r="AC66" s="171">
        <f t="shared" si="2"/>
        <v>15.454545454545448</v>
      </c>
      <c r="AD66" s="163">
        <v>21</v>
      </c>
      <c r="AE66" s="171">
        <f t="shared" si="11"/>
        <v>781.2</v>
      </c>
      <c r="AF66" s="179"/>
    </row>
    <row r="67" spans="1:32" s="173" customFormat="1" ht="15.75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>
        <v>125</v>
      </c>
      <c r="K67" s="163"/>
      <c r="L67" s="163">
        <v>223</v>
      </c>
      <c r="M67" s="163"/>
      <c r="N67" s="163">
        <v>11.2</v>
      </c>
      <c r="O67" s="163"/>
      <c r="P67" s="182">
        <v>39.357691052929297</v>
      </c>
      <c r="Q67" s="171">
        <f t="shared" si="7"/>
        <v>40</v>
      </c>
      <c r="R67" s="170">
        <v>21.3</v>
      </c>
      <c r="S67" s="171">
        <v>25</v>
      </c>
      <c r="T67" s="171">
        <v>291</v>
      </c>
      <c r="U67" s="171">
        <f t="shared" si="5"/>
        <v>13.661971830985914</v>
      </c>
      <c r="V67" s="169">
        <f t="shared" si="6"/>
        <v>14.799999999999997</v>
      </c>
      <c r="W67" s="170">
        <v>0.4</v>
      </c>
      <c r="X67" s="171">
        <f t="shared" si="10"/>
        <v>0.625</v>
      </c>
      <c r="Y67" s="171">
        <f t="shared" si="3"/>
        <v>21.3</v>
      </c>
      <c r="Z67" s="171">
        <f t="shared" si="3"/>
        <v>25</v>
      </c>
      <c r="AA67" s="171">
        <f t="shared" si="3"/>
        <v>291</v>
      </c>
      <c r="AB67" s="171">
        <f t="shared" si="3"/>
        <v>13.661971830985914</v>
      </c>
      <c r="AC67" s="171">
        <f t="shared" si="2"/>
        <v>14.799999999999997</v>
      </c>
      <c r="AD67" s="163">
        <v>31</v>
      </c>
      <c r="AE67" s="171">
        <f t="shared" si="11"/>
        <v>660.30000000000007</v>
      </c>
      <c r="AF67" s="179"/>
    </row>
    <row r="68" spans="1:32" s="173" customFormat="1" ht="15.75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454</v>
      </c>
      <c r="M68" s="163"/>
      <c r="N68" s="163">
        <v>9.4</v>
      </c>
      <c r="O68" s="163"/>
      <c r="P68" s="182">
        <v>18.996560546404041</v>
      </c>
      <c r="Q68" s="171">
        <f t="shared" si="7"/>
        <v>104</v>
      </c>
      <c r="R68" s="170">
        <v>14.7</v>
      </c>
      <c r="S68" s="171">
        <v>16.5</v>
      </c>
      <c r="T68" s="171">
        <v>505</v>
      </c>
      <c r="U68" s="171">
        <f t="shared" si="5"/>
        <v>34.353741496598644</v>
      </c>
      <c r="V68" s="169">
        <f t="shared" si="6"/>
        <v>10.909090909090914</v>
      </c>
      <c r="W68" s="170">
        <v>0.5</v>
      </c>
      <c r="X68" s="171">
        <f t="shared" si="10"/>
        <v>0.15865384615384615</v>
      </c>
      <c r="Y68" s="171">
        <f t="shared" si="3"/>
        <v>14.7</v>
      </c>
      <c r="Z68" s="171">
        <f t="shared" si="3"/>
        <v>16.5</v>
      </c>
      <c r="AA68" s="171">
        <f t="shared" si="3"/>
        <v>505</v>
      </c>
      <c r="AB68" s="171">
        <f t="shared" si="3"/>
        <v>34.353741496598644</v>
      </c>
      <c r="AC68" s="171">
        <f t="shared" si="2"/>
        <v>10.909090909090914</v>
      </c>
      <c r="AD68" s="163">
        <v>31</v>
      </c>
      <c r="AE68" s="171">
        <f t="shared" si="11"/>
        <v>455.7</v>
      </c>
      <c r="AF68" s="179"/>
    </row>
    <row r="69" spans="1:32" s="173" customFormat="1" ht="15.75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>
        <v>85</v>
      </c>
      <c r="K69" s="163"/>
      <c r="L69" s="163">
        <v>297</v>
      </c>
      <c r="M69" s="163"/>
      <c r="N69" s="163">
        <v>10.4</v>
      </c>
      <c r="O69" s="163"/>
      <c r="P69" s="182">
        <v>37.826967686631512</v>
      </c>
      <c r="Q69" s="171">
        <f t="shared" si="7"/>
        <v>10.199999999999999</v>
      </c>
      <c r="R69" s="170">
        <v>1.665</v>
      </c>
      <c r="S69" s="171">
        <v>1.8860000000000001</v>
      </c>
      <c r="T69" s="171">
        <v>3</v>
      </c>
      <c r="U69" s="171">
        <f t="shared" si="5"/>
        <v>1.8018018018018018</v>
      </c>
      <c r="V69" s="169">
        <f t="shared" si="6"/>
        <v>11.71792152704136</v>
      </c>
      <c r="W69" s="170"/>
      <c r="X69" s="171">
        <f t="shared" si="10"/>
        <v>0.18490196078431376</v>
      </c>
      <c r="Y69" s="171">
        <f t="shared" si="3"/>
        <v>1.665</v>
      </c>
      <c r="Z69" s="171">
        <f t="shared" si="3"/>
        <v>1.8860000000000001</v>
      </c>
      <c r="AA69" s="171">
        <f t="shared" si="3"/>
        <v>3</v>
      </c>
      <c r="AB69" s="171">
        <f t="shared" si="3"/>
        <v>1.8018018018018018</v>
      </c>
      <c r="AC69" s="171">
        <f t="shared" si="2"/>
        <v>11.71792152704136</v>
      </c>
      <c r="AD69" s="163">
        <v>31</v>
      </c>
      <c r="AE69" s="171">
        <f t="shared" si="11"/>
        <v>51.615000000000002</v>
      </c>
      <c r="AF69" s="179"/>
    </row>
    <row r="70" spans="1:32" s="173" customFormat="1" ht="15.75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75</v>
      </c>
      <c r="K70" s="163"/>
      <c r="L70" s="163">
        <v>443</v>
      </c>
      <c r="M70" s="163"/>
      <c r="N70" s="163">
        <v>3.2</v>
      </c>
      <c r="O70" s="163"/>
      <c r="P70" s="182">
        <v>15.381983825389101</v>
      </c>
      <c r="Q70" s="171">
        <f t="shared" si="7"/>
        <v>16.5</v>
      </c>
      <c r="R70" s="170">
        <v>2.984</v>
      </c>
      <c r="S70" s="171">
        <v>3.3769999999999998</v>
      </c>
      <c r="T70" s="171">
        <v>0</v>
      </c>
      <c r="U70" s="171">
        <f t="shared" si="5"/>
        <v>0</v>
      </c>
      <c r="V70" s="169">
        <f t="shared" si="6"/>
        <v>11.637548119632806</v>
      </c>
      <c r="W70" s="170">
        <v>0.8</v>
      </c>
      <c r="X70" s="171">
        <f t="shared" si="10"/>
        <v>0.20466666666666666</v>
      </c>
      <c r="Y70" s="171">
        <f t="shared" si="3"/>
        <v>2.984</v>
      </c>
      <c r="Z70" s="171">
        <f t="shared" si="3"/>
        <v>3.3769999999999998</v>
      </c>
      <c r="AA70" s="171">
        <f t="shared" si="3"/>
        <v>0</v>
      </c>
      <c r="AB70" s="171">
        <f t="shared" si="3"/>
        <v>0</v>
      </c>
      <c r="AC70" s="171">
        <f t="shared" si="2"/>
        <v>11.637548119632806</v>
      </c>
      <c r="AD70" s="163">
        <v>31</v>
      </c>
      <c r="AE70" s="171">
        <f t="shared" si="11"/>
        <v>92.504000000000005</v>
      </c>
      <c r="AF70" s="179"/>
    </row>
    <row r="71" spans="1:32" s="173" customFormat="1" ht="15.75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06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85</v>
      </c>
      <c r="K71" s="163"/>
      <c r="L71" s="163">
        <v>476</v>
      </c>
      <c r="M71" s="163"/>
      <c r="N71" s="163">
        <v>3.4</v>
      </c>
      <c r="O71" s="163"/>
      <c r="P71" s="182">
        <v>12.611764009973879</v>
      </c>
      <c r="Q71" s="171">
        <f t="shared" si="7"/>
        <v>11.05</v>
      </c>
      <c r="R71" s="170">
        <v>2.431</v>
      </c>
      <c r="S71" s="171">
        <v>2.7730000000000001</v>
      </c>
      <c r="T71" s="171">
        <v>4</v>
      </c>
      <c r="U71" s="171">
        <f t="shared" si="5"/>
        <v>1.6454134101192925</v>
      </c>
      <c r="V71" s="169">
        <f t="shared" si="6"/>
        <v>12.333213126577716</v>
      </c>
      <c r="W71" s="170">
        <v>0.4</v>
      </c>
      <c r="X71" s="171">
        <f t="shared" si="10"/>
        <v>0.25095022624434388</v>
      </c>
      <c r="Y71" s="171">
        <f t="shared" si="3"/>
        <v>2.431</v>
      </c>
      <c r="Z71" s="171">
        <f t="shared" si="3"/>
        <v>2.7730000000000001</v>
      </c>
      <c r="AA71" s="171">
        <f t="shared" si="3"/>
        <v>4</v>
      </c>
      <c r="AB71" s="171">
        <f t="shared" si="3"/>
        <v>1.6454134101192925</v>
      </c>
      <c r="AC71" s="171">
        <f t="shared" si="2"/>
        <v>12.333213126577716</v>
      </c>
      <c r="AD71" s="163">
        <v>31</v>
      </c>
      <c r="AE71" s="171">
        <f t="shared" si="11"/>
        <v>75.361000000000004</v>
      </c>
      <c r="AF71" s="179"/>
    </row>
    <row r="72" spans="1:32" s="173" customFormat="1" ht="15.75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281</v>
      </c>
      <c r="M72" s="163"/>
      <c r="N72" s="163">
        <v>8.9</v>
      </c>
      <c r="O72" s="163"/>
      <c r="P72" s="160">
        <v>37.137196550319182</v>
      </c>
      <c r="Q72" s="171">
        <f>LEFT(H72,(FIND("K",H72,1)-1))*J72/100</f>
        <v>9</v>
      </c>
      <c r="R72" s="170">
        <v>4.6100000000000003</v>
      </c>
      <c r="S72" s="171">
        <v>7.0449999999999999</v>
      </c>
      <c r="T72" s="171">
        <v>8</v>
      </c>
      <c r="U72" s="171">
        <f t="shared" si="5"/>
        <v>1.7353579175704987</v>
      </c>
      <c r="V72" s="169">
        <f t="shared" si="6"/>
        <v>34.563520227111425</v>
      </c>
      <c r="W72" s="170">
        <v>0.3</v>
      </c>
      <c r="X72" s="171">
        <f t="shared" si="10"/>
        <v>0.78277777777777779</v>
      </c>
      <c r="Y72" s="171">
        <f t="shared" si="3"/>
        <v>4.6100000000000003</v>
      </c>
      <c r="Z72" s="171">
        <f t="shared" si="3"/>
        <v>7.0449999999999999</v>
      </c>
      <c r="AA72" s="171">
        <f t="shared" si="3"/>
        <v>8</v>
      </c>
      <c r="AB72" s="171">
        <f t="shared" si="3"/>
        <v>1.7353579175704987</v>
      </c>
      <c r="AC72" s="171">
        <f t="shared" si="2"/>
        <v>34.563520227111425</v>
      </c>
      <c r="AD72" s="163">
        <v>31</v>
      </c>
      <c r="AE72" s="171">
        <f>Y72*AD72</f>
        <v>142.91</v>
      </c>
      <c r="AF72" s="179"/>
    </row>
    <row r="73" spans="1:32" s="178" customFormat="1" ht="15.95" customHeight="1" x14ac:dyDescent="0.2">
      <c r="A73" s="163">
        <v>60</v>
      </c>
      <c r="B73" s="207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348</v>
      </c>
      <c r="M73" s="158"/>
      <c r="N73" s="163">
        <v>9.4</v>
      </c>
      <c r="O73" s="158"/>
      <c r="P73" s="208">
        <v>31.983919138947133</v>
      </c>
      <c r="Q73" s="174">
        <f>LEFT(H73,(FIND("K",H73,1)-1))*J73/100</f>
        <v>13</v>
      </c>
      <c r="R73" s="170">
        <v>0.56299999999999994</v>
      </c>
      <c r="S73" s="158">
        <v>1.6839999999999999</v>
      </c>
      <c r="T73" s="174">
        <v>0</v>
      </c>
      <c r="U73" s="171">
        <f t="shared" si="5"/>
        <v>0</v>
      </c>
      <c r="V73" s="169">
        <f t="shared" si="6"/>
        <v>66.567695961995256</v>
      </c>
      <c r="W73" s="170">
        <v>0.4</v>
      </c>
      <c r="X73" s="171">
        <f t="shared" si="10"/>
        <v>0.12953846153846155</v>
      </c>
      <c r="Y73" s="171">
        <f t="shared" si="3"/>
        <v>0.56299999999999994</v>
      </c>
      <c r="Z73" s="171">
        <f t="shared" si="3"/>
        <v>1.6839999999999999</v>
      </c>
      <c r="AA73" s="171">
        <f t="shared" si="3"/>
        <v>0</v>
      </c>
      <c r="AB73" s="171">
        <f t="shared" si="3"/>
        <v>0</v>
      </c>
      <c r="AC73" s="171">
        <f t="shared" si="2"/>
        <v>66.567695961995256</v>
      </c>
      <c r="AD73" s="163">
        <v>31</v>
      </c>
      <c r="AE73" s="171">
        <f>Y73*AD73</f>
        <v>17.452999999999999</v>
      </c>
      <c r="AF73" s="172"/>
    </row>
    <row r="74" spans="1:32" s="211" customFormat="1" ht="15.95" customHeight="1" x14ac:dyDescent="0.2">
      <c r="A74" s="183"/>
      <c r="B74" s="1834" t="s">
        <v>205</v>
      </c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517.62699999999995</v>
      </c>
      <c r="S74" s="209">
        <f>SUM(S14:S73)</f>
        <v>696.43399999999986</v>
      </c>
      <c r="T74" s="209">
        <f>SUM(T14:T73)</f>
        <v>23180</v>
      </c>
      <c r="U74" s="209">
        <f>T74/R74</f>
        <v>44.781280729173716</v>
      </c>
      <c r="V74" s="209"/>
      <c r="W74" s="209"/>
      <c r="X74" s="209"/>
      <c r="Y74" s="209">
        <f>SUM(Y14:Y73)</f>
        <v>517.62699999999995</v>
      </c>
      <c r="Z74" s="209">
        <f>SUM(Z14:Z73)</f>
        <v>696.43399999999986</v>
      </c>
      <c r="AA74" s="209">
        <f>SUM(AA14:AA73)</f>
        <v>23180</v>
      </c>
      <c r="AB74" s="209">
        <f>AA74/Y74</f>
        <v>44.781280729173716</v>
      </c>
      <c r="AC74" s="209"/>
      <c r="AD74" s="209"/>
      <c r="AE74" s="210">
        <f>SUM(AE14:AE73)</f>
        <v>15674.437000000002</v>
      </c>
      <c r="AF74" s="177"/>
    </row>
    <row r="75" spans="1:32" s="178" customFormat="1" ht="15.95" customHeight="1" x14ac:dyDescent="0.2">
      <c r="A75" s="163"/>
      <c r="B75" s="1836" t="s">
        <v>200</v>
      </c>
      <c r="C75" s="1837"/>
      <c r="D75" s="1837"/>
      <c r="E75" s="1837"/>
      <c r="F75" s="1838"/>
      <c r="G75" s="156"/>
      <c r="H75" s="212"/>
      <c r="I75" s="212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213"/>
      <c r="V75" s="156"/>
      <c r="W75" s="156"/>
      <c r="X75" s="157"/>
      <c r="Y75" s="158"/>
      <c r="Z75" s="158"/>
      <c r="AA75" s="158"/>
      <c r="AB75" s="214"/>
      <c r="AC75" s="156"/>
      <c r="AD75" s="158"/>
      <c r="AE75" s="158"/>
      <c r="AF75" s="212"/>
    </row>
    <row r="76" spans="1:32" s="178" customFormat="1" ht="15.95" customHeight="1" x14ac:dyDescent="0.2">
      <c r="A76" s="163">
        <v>61</v>
      </c>
      <c r="B76" s="215" t="s">
        <v>131</v>
      </c>
      <c r="C76" s="216" t="s">
        <v>177</v>
      </c>
      <c r="D76" s="165">
        <v>389.74</v>
      </c>
      <c r="E76" s="16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100</v>
      </c>
      <c r="K76" s="163"/>
      <c r="L76" s="163">
        <v>26</v>
      </c>
      <c r="M76" s="163"/>
      <c r="N76" s="163">
        <v>0.1</v>
      </c>
      <c r="O76" s="163"/>
      <c r="P76" s="182">
        <v>14.995680670613053</v>
      </c>
      <c r="Q76" s="171"/>
      <c r="R76" s="170">
        <v>0.83699999999999997</v>
      </c>
      <c r="S76" s="171">
        <v>0.83699999999999997</v>
      </c>
      <c r="T76" s="171">
        <v>0</v>
      </c>
      <c r="U76" s="171">
        <f>T76/R76</f>
        <v>0</v>
      </c>
      <c r="V76" s="170">
        <v>0</v>
      </c>
      <c r="W76" s="170">
        <v>2</v>
      </c>
      <c r="X76" s="171"/>
      <c r="Y76" s="171">
        <f>R76</f>
        <v>0.83699999999999997</v>
      </c>
      <c r="Z76" s="171">
        <f t="shared" ref="Z76:AC79" si="12">S76</f>
        <v>0.83699999999999997</v>
      </c>
      <c r="AA76" s="171">
        <f t="shared" si="12"/>
        <v>0</v>
      </c>
      <c r="AB76" s="171">
        <f t="shared" si="12"/>
        <v>0</v>
      </c>
      <c r="AC76" s="171">
        <f t="shared" si="12"/>
        <v>0</v>
      </c>
      <c r="AD76" s="163">
        <v>31</v>
      </c>
      <c r="AE76" s="171">
        <f>Y76*AD76</f>
        <v>25.946999999999999</v>
      </c>
      <c r="AF76" s="179"/>
    </row>
    <row r="77" spans="1:32" s="178" customFormat="1" ht="15.95" customHeight="1" x14ac:dyDescent="0.2">
      <c r="A77" s="163">
        <v>62</v>
      </c>
      <c r="B77" s="215" t="s">
        <v>132</v>
      </c>
      <c r="C77" s="216" t="s">
        <v>177</v>
      </c>
      <c r="D77" s="163">
        <v>387.72</v>
      </c>
      <c r="E77" s="163" t="s">
        <v>135</v>
      </c>
      <c r="F77" s="163">
        <v>177.8</v>
      </c>
      <c r="G77" s="163" t="s">
        <v>28</v>
      </c>
      <c r="H77" s="165" t="s">
        <v>58</v>
      </c>
      <c r="I77" s="158">
        <v>135.1</v>
      </c>
      <c r="J77" s="163">
        <v>140</v>
      </c>
      <c r="K77" s="163"/>
      <c r="L77" s="163">
        <v>49</v>
      </c>
      <c r="M77" s="163"/>
      <c r="N77" s="163">
        <v>0.6</v>
      </c>
      <c r="O77" s="163"/>
      <c r="P77" s="182">
        <v>12.152252892941325</v>
      </c>
      <c r="Q77" s="171"/>
      <c r="R77" s="170">
        <v>2.5049999999999999</v>
      </c>
      <c r="S77" s="171">
        <v>2.5089999999999999</v>
      </c>
      <c r="T77" s="171">
        <v>0</v>
      </c>
      <c r="U77" s="171">
        <f>T77/R77</f>
        <v>0</v>
      </c>
      <c r="V77" s="170">
        <v>0.2</v>
      </c>
      <c r="W77" s="170">
        <v>0.4</v>
      </c>
      <c r="X77" s="171"/>
      <c r="Y77" s="171">
        <f>R77</f>
        <v>2.5049999999999999</v>
      </c>
      <c r="Z77" s="171">
        <f t="shared" si="12"/>
        <v>2.5089999999999999</v>
      </c>
      <c r="AA77" s="171">
        <f t="shared" si="12"/>
        <v>0</v>
      </c>
      <c r="AB77" s="171">
        <f t="shared" si="12"/>
        <v>0</v>
      </c>
      <c r="AC77" s="171">
        <f t="shared" si="12"/>
        <v>0.2</v>
      </c>
      <c r="AD77" s="163">
        <v>31</v>
      </c>
      <c r="AE77" s="171">
        <f>Y77*AD77</f>
        <v>77.655000000000001</v>
      </c>
      <c r="AF77" s="179" t="s">
        <v>215</v>
      </c>
    </row>
    <row r="78" spans="1:32" s="178" customFormat="1" ht="15.95" customHeight="1" x14ac:dyDescent="0.2">
      <c r="A78" s="163">
        <v>63</v>
      </c>
      <c r="B78" s="217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/>
      <c r="J78" s="163"/>
      <c r="K78" s="163">
        <v>10</v>
      </c>
      <c r="L78" s="163"/>
      <c r="M78" s="163">
        <v>0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/>
      <c r="V78" s="170">
        <v>0</v>
      </c>
      <c r="W78" s="170"/>
      <c r="X78" s="171"/>
      <c r="Y78" s="171">
        <f>R78</f>
        <v>0</v>
      </c>
      <c r="Z78" s="171">
        <f t="shared" si="12"/>
        <v>0</v>
      </c>
      <c r="AA78" s="171">
        <f t="shared" si="12"/>
        <v>0</v>
      </c>
      <c r="AB78" s="171">
        <f t="shared" si="12"/>
        <v>0</v>
      </c>
      <c r="AC78" s="171">
        <f t="shared" si="12"/>
        <v>0</v>
      </c>
      <c r="AD78" s="163">
        <v>31</v>
      </c>
      <c r="AE78" s="171">
        <f>Y78*AD78</f>
        <v>0</v>
      </c>
      <c r="AF78" s="179" t="s">
        <v>238</v>
      </c>
    </row>
    <row r="79" spans="1:32" s="211" customFormat="1" ht="15.9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150</v>
      </c>
      <c r="K79" s="175"/>
      <c r="L79" s="163">
        <v>49</v>
      </c>
      <c r="M79" s="175"/>
      <c r="N79" s="163">
        <v>0.4</v>
      </c>
      <c r="O79" s="175"/>
      <c r="P79" s="182">
        <v>13.203577764194755</v>
      </c>
      <c r="Q79" s="171"/>
      <c r="R79" s="170">
        <v>2.4039999999999999</v>
      </c>
      <c r="S79" s="171">
        <v>2.4049999999999998</v>
      </c>
      <c r="T79" s="171">
        <v>0</v>
      </c>
      <c r="U79" s="171">
        <f>T79/R79</f>
        <v>0</v>
      </c>
      <c r="V79" s="171">
        <v>0.06</v>
      </c>
      <c r="W79" s="171">
        <v>0.4</v>
      </c>
      <c r="X79" s="171"/>
      <c r="Y79" s="171">
        <f>R79</f>
        <v>2.4039999999999999</v>
      </c>
      <c r="Z79" s="171">
        <f t="shared" si="12"/>
        <v>2.4049999999999998</v>
      </c>
      <c r="AA79" s="171">
        <f t="shared" si="12"/>
        <v>0</v>
      </c>
      <c r="AB79" s="171">
        <f t="shared" si="12"/>
        <v>0</v>
      </c>
      <c r="AC79" s="171">
        <f t="shared" si="12"/>
        <v>0.06</v>
      </c>
      <c r="AD79" s="163">
        <v>31</v>
      </c>
      <c r="AE79" s="171">
        <f>Y79*AD79</f>
        <v>74.524000000000001</v>
      </c>
      <c r="AF79" s="177"/>
    </row>
    <row r="80" spans="1:32" s="178" customFormat="1" ht="15.95" customHeight="1" x14ac:dyDescent="0.2">
      <c r="A80" s="163"/>
      <c r="B80" s="1834" t="s">
        <v>205</v>
      </c>
      <c r="C80" s="1834"/>
      <c r="D80" s="1834"/>
      <c r="E80" s="1835"/>
      <c r="F80" s="158"/>
      <c r="G80" s="156"/>
      <c r="H80" s="212"/>
      <c r="I80" s="212"/>
      <c r="J80" s="158"/>
      <c r="K80" s="158"/>
      <c r="L80" s="158"/>
      <c r="M80" s="158"/>
      <c r="N80" s="158"/>
      <c r="O80" s="158"/>
      <c r="P80" s="160"/>
      <c r="Q80" s="174"/>
      <c r="R80" s="209">
        <f>SUM(R76:R79)</f>
        <v>5.7459999999999996</v>
      </c>
      <c r="S80" s="209">
        <f>SUM(S76:S79)</f>
        <v>5.7509999999999994</v>
      </c>
      <c r="T80" s="209">
        <f>SUM(T76:T79)</f>
        <v>0</v>
      </c>
      <c r="U80" s="209">
        <f>SUM(U76:U79)</f>
        <v>0</v>
      </c>
      <c r="V80" s="156"/>
      <c r="W80" s="156"/>
      <c r="X80" s="156"/>
      <c r="Y80" s="209">
        <f>SUM(Y76:Y79)</f>
        <v>5.7459999999999996</v>
      </c>
      <c r="Z80" s="209">
        <f>SUM(Z76:Z79)</f>
        <v>5.7509999999999994</v>
      </c>
      <c r="AA80" s="209">
        <f>SUM(AA76:AA79)</f>
        <v>0</v>
      </c>
      <c r="AB80" s="209">
        <f>SUM(AB76:AB79)</f>
        <v>0</v>
      </c>
      <c r="AC80" s="156"/>
      <c r="AD80" s="158"/>
      <c r="AE80" s="209">
        <f>SUM(AE76:AE79)</f>
        <v>178.126</v>
      </c>
      <c r="AF80" s="218"/>
    </row>
    <row r="81" spans="1:32" s="178" customFormat="1" ht="15.95" customHeight="1" x14ac:dyDescent="0.2">
      <c r="A81" s="163"/>
      <c r="B81" s="1827" t="s">
        <v>208</v>
      </c>
      <c r="C81" s="1828"/>
      <c r="D81" s="1828"/>
      <c r="E81" s="1828"/>
      <c r="F81" s="1829"/>
      <c r="G81" s="156"/>
      <c r="H81" s="212"/>
      <c r="I81" s="212"/>
      <c r="J81" s="158"/>
      <c r="K81" s="158"/>
      <c r="L81" s="158"/>
      <c r="M81" s="158"/>
      <c r="N81" s="158"/>
      <c r="O81" s="158"/>
      <c r="P81" s="160"/>
      <c r="Q81" s="174"/>
      <c r="R81" s="209"/>
      <c r="S81" s="209"/>
      <c r="T81" s="209"/>
      <c r="U81" s="209"/>
      <c r="V81" s="156"/>
      <c r="W81" s="156"/>
      <c r="X81" s="156"/>
      <c r="Y81" s="209"/>
      <c r="Z81" s="209"/>
      <c r="AA81" s="209"/>
      <c r="AB81" s="209"/>
      <c r="AC81" s="156"/>
      <c r="AD81" s="158"/>
      <c r="AE81" s="209"/>
      <c r="AF81" s="218"/>
    </row>
    <row r="82" spans="1:32" s="178" customFormat="1" ht="15.95" customHeight="1" x14ac:dyDescent="0.2">
      <c r="A82" s="163">
        <v>65</v>
      </c>
      <c r="B82" s="219" t="s">
        <v>220</v>
      </c>
      <c r="C82" s="163" t="s">
        <v>46</v>
      </c>
      <c r="D82" s="165">
        <v>685.69</v>
      </c>
      <c r="E82" s="220" t="s">
        <v>222</v>
      </c>
      <c r="F82" s="163">
        <v>177.8</v>
      </c>
      <c r="G82" s="163" t="s">
        <v>28</v>
      </c>
      <c r="H82" s="165" t="s">
        <v>221</v>
      </c>
      <c r="I82" s="165">
        <v>570.09</v>
      </c>
      <c r="J82" s="158"/>
      <c r="K82" s="158"/>
      <c r="L82" s="158"/>
      <c r="M82" s="158"/>
      <c r="N82" s="158"/>
      <c r="O82" s="158"/>
      <c r="P82" s="160"/>
      <c r="Q82" s="174"/>
      <c r="R82" s="158"/>
      <c r="S82" s="158"/>
      <c r="T82" s="158"/>
      <c r="U82" s="213"/>
      <c r="V82" s="156"/>
      <c r="W82" s="156"/>
      <c r="X82" s="156"/>
      <c r="Y82" s="221"/>
      <c r="Z82" s="222"/>
      <c r="AA82" s="212"/>
      <c r="AB82" s="213"/>
      <c r="AC82" s="158"/>
      <c r="AD82" s="163"/>
      <c r="AE82" s="171"/>
      <c r="AF82" s="172" t="s">
        <v>236</v>
      </c>
    </row>
    <row r="83" spans="1:32" s="178" customFormat="1" ht="15.6" customHeight="1" x14ac:dyDescent="0.2">
      <c r="A83" s="163"/>
      <c r="B83" s="219"/>
      <c r="C83" s="163"/>
      <c r="D83" s="223"/>
      <c r="E83" s="158"/>
      <c r="F83" s="163"/>
      <c r="G83" s="163"/>
      <c r="H83" s="165"/>
      <c r="I83" s="165"/>
      <c r="J83" s="158"/>
      <c r="K83" s="158"/>
      <c r="L83" s="158"/>
      <c r="M83" s="158"/>
      <c r="N83" s="158"/>
      <c r="O83" s="158"/>
      <c r="P83" s="160"/>
      <c r="Q83" s="174"/>
      <c r="R83" s="158"/>
      <c r="S83" s="158"/>
      <c r="T83" s="158"/>
      <c r="U83" s="213"/>
      <c r="V83" s="156"/>
      <c r="W83" s="156"/>
      <c r="X83" s="156"/>
      <c r="Y83" s="221"/>
      <c r="Z83" s="222"/>
      <c r="AA83" s="212"/>
      <c r="AB83" s="213"/>
      <c r="AC83" s="158"/>
      <c r="AD83" s="163"/>
      <c r="AE83" s="171"/>
      <c r="AF83" s="172"/>
    </row>
    <row r="84" spans="1:32" s="178" customFormat="1" ht="14.45" customHeight="1" x14ac:dyDescent="0.2">
      <c r="A84" s="163"/>
      <c r="B84" s="219"/>
      <c r="C84" s="163"/>
      <c r="D84" s="223"/>
      <c r="E84" s="165"/>
      <c r="F84" s="163"/>
      <c r="G84" s="163"/>
      <c r="H84" s="165"/>
      <c r="I84" s="165"/>
      <c r="J84" s="158"/>
      <c r="K84" s="158"/>
      <c r="L84" s="158"/>
      <c r="M84" s="158"/>
      <c r="N84" s="158"/>
      <c r="O84" s="158"/>
      <c r="P84" s="160"/>
      <c r="Q84" s="174"/>
      <c r="R84" s="158"/>
      <c r="S84" s="158"/>
      <c r="T84" s="158"/>
      <c r="U84" s="213"/>
      <c r="V84" s="156"/>
      <c r="W84" s="156"/>
      <c r="X84" s="156"/>
      <c r="Y84" s="221"/>
      <c r="Z84" s="222"/>
      <c r="AA84" s="212"/>
      <c r="AB84" s="213"/>
      <c r="AC84" s="158"/>
      <c r="AD84" s="163"/>
      <c r="AE84" s="171"/>
      <c r="AF84" s="172"/>
    </row>
    <row r="85" spans="1:32" s="211" customFormat="1" ht="15.95" customHeight="1" x14ac:dyDescent="0.2">
      <c r="A85" s="183"/>
      <c r="B85" s="1834" t="s">
        <v>205</v>
      </c>
      <c r="C85" s="1834"/>
      <c r="D85" s="1834"/>
      <c r="E85" s="1835"/>
      <c r="F85" s="175"/>
      <c r="G85" s="163"/>
      <c r="H85" s="165"/>
      <c r="I85" s="171"/>
      <c r="J85" s="163"/>
      <c r="K85" s="175"/>
      <c r="L85" s="163"/>
      <c r="M85" s="175"/>
      <c r="N85" s="182"/>
      <c r="O85" s="175"/>
      <c r="P85" s="224"/>
      <c r="Q85" s="209"/>
      <c r="R85" s="209"/>
      <c r="S85" s="209"/>
      <c r="T85" s="209"/>
      <c r="U85" s="209"/>
      <c r="V85" s="209"/>
      <c r="W85" s="209"/>
      <c r="X85" s="209"/>
      <c r="Y85" s="209"/>
      <c r="Z85" s="225"/>
      <c r="AA85" s="209"/>
      <c r="AB85" s="209"/>
      <c r="AC85" s="209"/>
      <c r="AD85" s="209"/>
      <c r="AE85" s="209"/>
      <c r="AF85" s="177"/>
    </row>
    <row r="86" spans="1:32" s="178" customFormat="1" ht="15.95" customHeight="1" x14ac:dyDescent="0.2">
      <c r="A86" s="163"/>
      <c r="B86" s="1843" t="s">
        <v>199</v>
      </c>
      <c r="C86" s="1839"/>
      <c r="D86" s="1839"/>
      <c r="E86" s="1839"/>
      <c r="F86" s="1839"/>
      <c r="G86" s="156"/>
      <c r="H86" s="212"/>
      <c r="I86" s="212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213"/>
      <c r="V86" s="156"/>
      <c r="W86" s="156"/>
      <c r="X86" s="156"/>
      <c r="Y86" s="158"/>
      <c r="Z86" s="158"/>
      <c r="AA86" s="158"/>
      <c r="AB86" s="214"/>
      <c r="AC86" s="156"/>
      <c r="AD86" s="158"/>
      <c r="AE86" s="158"/>
      <c r="AF86" s="212"/>
    </row>
    <row r="87" spans="1:32" s="178" customFormat="1" ht="15.95" customHeight="1" x14ac:dyDescent="0.2">
      <c r="A87" s="163">
        <v>66</v>
      </c>
      <c r="B87" s="226" t="s">
        <v>107</v>
      </c>
      <c r="C87" s="188" t="s">
        <v>109</v>
      </c>
      <c r="D87" s="227"/>
      <c r="E87" s="227"/>
      <c r="F87" s="158"/>
      <c r="G87" s="156"/>
      <c r="H87" s="212"/>
      <c r="I87" s="212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213"/>
      <c r="V87" s="156"/>
      <c r="W87" s="156"/>
      <c r="X87" s="156"/>
      <c r="Y87" s="212"/>
      <c r="Z87" s="212"/>
      <c r="AA87" s="158"/>
      <c r="AB87" s="214"/>
      <c r="AC87" s="156"/>
      <c r="AD87" s="228"/>
      <c r="AE87" s="158"/>
      <c r="AF87" s="229"/>
    </row>
    <row r="88" spans="1:32" s="178" customFormat="1" ht="15.95" customHeight="1" x14ac:dyDescent="0.2">
      <c r="A88" s="163">
        <v>67</v>
      </c>
      <c r="B88" s="226" t="s">
        <v>108</v>
      </c>
      <c r="C88" s="188" t="s">
        <v>109</v>
      </c>
      <c r="D88" s="227"/>
      <c r="E88" s="227"/>
      <c r="F88" s="158"/>
      <c r="G88" s="156"/>
      <c r="H88" s="212"/>
      <c r="I88" s="21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213"/>
      <c r="V88" s="156"/>
      <c r="W88" s="156"/>
      <c r="X88" s="156"/>
      <c r="Y88" s="212"/>
      <c r="Z88" s="212"/>
      <c r="AA88" s="158"/>
      <c r="AB88" s="214"/>
      <c r="AC88" s="156"/>
      <c r="AD88" s="228"/>
      <c r="AE88" s="158"/>
      <c r="AF88" s="229"/>
    </row>
    <row r="89" spans="1:32" s="178" customFormat="1" ht="15.95" customHeight="1" x14ac:dyDescent="0.2">
      <c r="A89" s="163">
        <v>68</v>
      </c>
      <c r="B89" s="226" t="s">
        <v>195</v>
      </c>
      <c r="C89" s="216" t="s">
        <v>193</v>
      </c>
      <c r="D89" s="227"/>
      <c r="E89" s="227"/>
      <c r="F89" s="158"/>
      <c r="G89" s="156"/>
      <c r="H89" s="212"/>
      <c r="I89" s="21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213"/>
      <c r="V89" s="156"/>
      <c r="W89" s="156"/>
      <c r="X89" s="156"/>
      <c r="Y89" s="212"/>
      <c r="Z89" s="212"/>
      <c r="AA89" s="158"/>
      <c r="AB89" s="214"/>
      <c r="AC89" s="156"/>
      <c r="AD89" s="228"/>
      <c r="AE89" s="158"/>
      <c r="AF89" s="229"/>
    </row>
    <row r="90" spans="1:32" s="178" customFormat="1" ht="15.95" customHeight="1" x14ac:dyDescent="0.2">
      <c r="A90" s="163">
        <v>69</v>
      </c>
      <c r="B90" s="226" t="s">
        <v>192</v>
      </c>
      <c r="C90" s="216" t="s">
        <v>193</v>
      </c>
      <c r="D90" s="227"/>
      <c r="E90" s="227"/>
      <c r="F90" s="158"/>
      <c r="G90" s="156"/>
      <c r="H90" s="212"/>
      <c r="I90" s="21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213"/>
      <c r="V90" s="156"/>
      <c r="W90" s="156"/>
      <c r="X90" s="156"/>
      <c r="Y90" s="212"/>
      <c r="Z90" s="212"/>
      <c r="AA90" s="158"/>
      <c r="AB90" s="214"/>
      <c r="AC90" s="156"/>
      <c r="AD90" s="228"/>
      <c r="AE90" s="158"/>
      <c r="AF90" s="229"/>
    </row>
    <row r="91" spans="1:32" s="178" customFormat="1" ht="15.95" customHeight="1" x14ac:dyDescent="0.2">
      <c r="A91" s="163"/>
      <c r="B91" s="1843" t="s">
        <v>198</v>
      </c>
      <c r="C91" s="1839"/>
      <c r="D91" s="1839"/>
      <c r="E91" s="1839"/>
      <c r="F91" s="1839"/>
      <c r="G91" s="156"/>
      <c r="H91" s="212"/>
      <c r="I91" s="212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213"/>
      <c r="V91" s="156"/>
      <c r="W91" s="156"/>
      <c r="X91" s="156"/>
      <c r="Y91" s="158"/>
      <c r="Z91" s="158"/>
      <c r="AA91" s="158"/>
      <c r="AB91" s="214"/>
      <c r="AC91" s="156"/>
      <c r="AD91" s="158"/>
      <c r="AE91" s="158"/>
      <c r="AF91" s="212"/>
    </row>
    <row r="92" spans="1:32" s="178" customFormat="1" ht="15.95" customHeight="1" x14ac:dyDescent="0.2">
      <c r="A92" s="163">
        <v>70</v>
      </c>
      <c r="B92" s="207" t="s">
        <v>189</v>
      </c>
      <c r="C92" s="163" t="s">
        <v>46</v>
      </c>
      <c r="D92" s="189">
        <v>673</v>
      </c>
      <c r="E92" s="189" t="s">
        <v>190</v>
      </c>
      <c r="F92" s="163">
        <v>177.8</v>
      </c>
      <c r="G92" s="163"/>
      <c r="H92" s="165"/>
      <c r="I92" s="158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213"/>
      <c r="V92" s="156"/>
      <c r="W92" s="156"/>
      <c r="X92" s="156"/>
      <c r="Y92" s="230"/>
      <c r="Z92" s="231"/>
      <c r="AA92" s="212"/>
      <c r="AB92" s="214"/>
      <c r="AC92" s="158"/>
      <c r="AD92" s="163"/>
      <c r="AE92" s="171"/>
      <c r="AF92" s="179"/>
    </row>
    <row r="93" spans="1:32" s="178" customFormat="1" ht="15.95" customHeight="1" x14ac:dyDescent="0.25">
      <c r="A93" s="163">
        <v>71</v>
      </c>
      <c r="B93" s="164" t="s">
        <v>181</v>
      </c>
      <c r="C93" s="232" t="s">
        <v>183</v>
      </c>
      <c r="D93" s="165">
        <v>374.5</v>
      </c>
      <c r="E93" s="163" t="s">
        <v>182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s="178" customFormat="1" ht="15.95" customHeight="1" x14ac:dyDescent="0.2">
      <c r="A94" s="163">
        <v>72</v>
      </c>
      <c r="B94" s="164" t="s">
        <v>57</v>
      </c>
      <c r="C94" s="216" t="s">
        <v>176</v>
      </c>
      <c r="D94" s="165">
        <v>681.52</v>
      </c>
      <c r="E94" s="163" t="s">
        <v>93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s="178" customFormat="1" ht="15.95" customHeight="1" x14ac:dyDescent="0.2">
      <c r="A95" s="163">
        <v>73</v>
      </c>
      <c r="B95" s="164" t="s">
        <v>188</v>
      </c>
      <c r="C95" s="216" t="s">
        <v>183</v>
      </c>
      <c r="D95" s="165">
        <v>408.86</v>
      </c>
      <c r="E95" s="164" t="s">
        <v>235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s="178" customFormat="1" ht="15.95" customHeight="1" x14ac:dyDescent="0.2">
      <c r="A96" s="163">
        <v>74</v>
      </c>
      <c r="B96" s="164" t="s">
        <v>184</v>
      </c>
      <c r="C96" s="216" t="s">
        <v>176</v>
      </c>
      <c r="D96" s="165">
        <v>422.78</v>
      </c>
      <c r="E96" s="163" t="s">
        <v>185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s="178" customFormat="1" ht="15.95" customHeight="1" x14ac:dyDescent="0.2">
      <c r="A97" s="163">
        <v>75</v>
      </c>
      <c r="B97" s="164" t="s">
        <v>186</v>
      </c>
      <c r="C97" s="216" t="s">
        <v>176</v>
      </c>
      <c r="D97" s="165">
        <v>387.56</v>
      </c>
      <c r="E97" s="163"/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70"/>
      <c r="Q97" s="171"/>
      <c r="R97" s="170"/>
      <c r="S97" s="171"/>
      <c r="T97" s="171"/>
      <c r="U97" s="171"/>
      <c r="V97" s="170"/>
      <c r="W97" s="170"/>
      <c r="X97" s="233"/>
      <c r="Y97" s="171"/>
      <c r="Z97" s="171"/>
      <c r="AA97" s="171"/>
      <c r="AB97" s="171"/>
      <c r="AC97" s="171"/>
      <c r="AD97" s="163"/>
      <c r="AE97" s="171"/>
      <c r="AF97" s="179"/>
    </row>
    <row r="98" spans="1:32" s="178" customFormat="1" ht="15.95" customHeight="1" x14ac:dyDescent="0.2">
      <c r="A98" s="163">
        <v>76</v>
      </c>
      <c r="B98" s="164" t="s">
        <v>196</v>
      </c>
      <c r="C98" s="163" t="s">
        <v>46</v>
      </c>
      <c r="D98" s="165">
        <v>622.02</v>
      </c>
      <c r="E98" s="163" t="s">
        <v>197</v>
      </c>
      <c r="F98" s="163">
        <v>177.8</v>
      </c>
      <c r="G98" s="163"/>
      <c r="H98" s="165"/>
      <c r="I98" s="158"/>
      <c r="J98" s="163"/>
      <c r="K98" s="163"/>
      <c r="L98" s="163"/>
      <c r="M98" s="163"/>
      <c r="N98" s="182"/>
      <c r="O98" s="163"/>
      <c r="P98" s="170"/>
      <c r="Q98" s="171"/>
      <c r="R98" s="170"/>
      <c r="S98" s="171"/>
      <c r="T98" s="171"/>
      <c r="U98" s="171"/>
      <c r="V98" s="170"/>
      <c r="W98" s="170"/>
      <c r="X98" s="233"/>
      <c r="Y98" s="171"/>
      <c r="Z98" s="171"/>
      <c r="AA98" s="171"/>
      <c r="AB98" s="171"/>
      <c r="AC98" s="171"/>
      <c r="AD98" s="163"/>
      <c r="AE98" s="171"/>
      <c r="AF98" s="179"/>
    </row>
    <row r="99" spans="1:32" s="173" customFormat="1" ht="15.75" x14ac:dyDescent="0.2">
      <c r="A99" s="163">
        <v>77</v>
      </c>
      <c r="B99" s="164" t="s">
        <v>174</v>
      </c>
      <c r="C99" s="163" t="s">
        <v>46</v>
      </c>
      <c r="D99" s="165">
        <v>672</v>
      </c>
      <c r="E99" s="163" t="s">
        <v>175</v>
      </c>
      <c r="F99" s="163">
        <v>177.8</v>
      </c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s="178" customFormat="1" ht="15.95" customHeight="1" x14ac:dyDescent="0.2">
      <c r="A100" s="163">
        <v>78</v>
      </c>
      <c r="B100" s="204" t="s">
        <v>103</v>
      </c>
      <c r="C100" s="163" t="s">
        <v>46</v>
      </c>
      <c r="D100" s="158">
        <v>582</v>
      </c>
      <c r="E100" s="158" t="s">
        <v>112</v>
      </c>
      <c r="F100" s="163">
        <v>177.8</v>
      </c>
      <c r="G100" s="163"/>
      <c r="H100" s="165"/>
      <c r="I100" s="158"/>
      <c r="J100" s="158"/>
      <c r="K100" s="159"/>
      <c r="L100" s="158"/>
      <c r="M100" s="159"/>
      <c r="N100" s="158"/>
      <c r="O100" s="158"/>
      <c r="P100" s="160"/>
      <c r="Q100" s="174"/>
      <c r="R100" s="158"/>
      <c r="S100" s="158"/>
      <c r="T100" s="158"/>
      <c r="U100" s="213"/>
      <c r="V100" s="156"/>
      <c r="W100" s="156"/>
      <c r="X100" s="157"/>
      <c r="Y100" s="234"/>
      <c r="Z100" s="158"/>
      <c r="AA100" s="158"/>
      <c r="AB100" s="213"/>
      <c r="AC100" s="158"/>
      <c r="AD100" s="235"/>
      <c r="AE100" s="174"/>
      <c r="AF100" s="179"/>
    </row>
    <row r="101" spans="1:32" s="173" customFormat="1" ht="15.75" x14ac:dyDescent="0.2">
      <c r="A101" s="163"/>
      <c r="B101" s="1843" t="s">
        <v>209</v>
      </c>
      <c r="C101" s="1839"/>
      <c r="D101" s="1839"/>
      <c r="E101" s="1839"/>
      <c r="F101" s="1839"/>
      <c r="G101" s="163"/>
      <c r="H101" s="165"/>
      <c r="I101" s="158"/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s="173" customFormat="1" ht="15.75" x14ac:dyDescent="0.2">
      <c r="A102" s="163">
        <v>79</v>
      </c>
      <c r="B102" s="164" t="s">
        <v>148</v>
      </c>
      <c r="C102" s="163" t="s">
        <v>46</v>
      </c>
      <c r="D102" s="163">
        <v>650</v>
      </c>
      <c r="E102" s="163" t="s">
        <v>75</v>
      </c>
      <c r="F102" s="163">
        <v>177.8</v>
      </c>
      <c r="G102" s="163"/>
      <c r="H102" s="165"/>
      <c r="I102" s="159">
        <v>536.14</v>
      </c>
      <c r="J102" s="163"/>
      <c r="K102" s="163"/>
      <c r="L102" s="163"/>
      <c r="M102" s="163"/>
      <c r="N102" s="182"/>
      <c r="O102" s="163"/>
      <c r="P102" s="182"/>
      <c r="Q102" s="171"/>
      <c r="R102" s="170"/>
      <c r="S102" s="171"/>
      <c r="T102" s="171"/>
      <c r="U102" s="171"/>
      <c r="V102" s="170"/>
      <c r="W102" s="170"/>
      <c r="X102" s="171"/>
      <c r="Y102" s="171"/>
      <c r="Z102" s="171"/>
      <c r="AA102" s="171"/>
      <c r="AB102" s="171"/>
      <c r="AC102" s="171"/>
      <c r="AD102" s="163"/>
      <c r="AE102" s="171"/>
      <c r="AF102" s="179"/>
    </row>
    <row r="103" spans="1:32" s="173" customFormat="1" ht="15.75" x14ac:dyDescent="0.2">
      <c r="A103" s="163">
        <v>80</v>
      </c>
      <c r="B103" s="164" t="s">
        <v>155</v>
      </c>
      <c r="C103" s="163" t="s">
        <v>46</v>
      </c>
      <c r="D103" s="163">
        <v>674.13</v>
      </c>
      <c r="E103" s="163" t="s">
        <v>83</v>
      </c>
      <c r="F103" s="163">
        <v>177.8</v>
      </c>
      <c r="G103" s="163"/>
      <c r="H103" s="165"/>
      <c r="I103" s="158">
        <v>527.75</v>
      </c>
      <c r="J103" s="163"/>
      <c r="K103" s="163"/>
      <c r="L103" s="163"/>
      <c r="M103" s="163"/>
      <c r="N103" s="182"/>
      <c r="O103" s="163"/>
      <c r="P103" s="182"/>
      <c r="Q103" s="171"/>
      <c r="R103" s="170"/>
      <c r="S103" s="171"/>
      <c r="T103" s="171"/>
      <c r="U103" s="171"/>
      <c r="V103" s="170"/>
      <c r="W103" s="170"/>
      <c r="X103" s="171"/>
      <c r="Y103" s="171"/>
      <c r="Z103" s="171"/>
      <c r="AA103" s="171"/>
      <c r="AB103" s="171"/>
      <c r="AC103" s="171"/>
      <c r="AD103" s="163"/>
      <c r="AE103" s="171"/>
      <c r="AF103" s="179"/>
    </row>
    <row r="104" spans="1:32" s="178" customFormat="1" ht="15.95" customHeight="1" x14ac:dyDescent="0.2">
      <c r="A104" s="163">
        <v>81</v>
      </c>
      <c r="B104" s="164" t="s">
        <v>56</v>
      </c>
      <c r="C104" s="163" t="s">
        <v>46</v>
      </c>
      <c r="D104" s="165">
        <v>680.52</v>
      </c>
      <c r="E104" s="163" t="s">
        <v>92</v>
      </c>
      <c r="F104" s="163">
        <v>177.8</v>
      </c>
      <c r="G104" s="163"/>
      <c r="H104" s="165"/>
      <c r="I104" s="158">
        <v>555.95000000000005</v>
      </c>
      <c r="J104" s="163"/>
      <c r="K104" s="163"/>
      <c r="L104" s="163"/>
      <c r="M104" s="163"/>
      <c r="N104" s="182"/>
      <c r="O104" s="163"/>
      <c r="P104" s="170"/>
      <c r="Q104" s="171"/>
      <c r="R104" s="170"/>
      <c r="S104" s="171"/>
      <c r="T104" s="171"/>
      <c r="U104" s="171"/>
      <c r="V104" s="170"/>
      <c r="W104" s="170"/>
      <c r="X104" s="233"/>
      <c r="Y104" s="171"/>
      <c r="Z104" s="171"/>
      <c r="AA104" s="171"/>
      <c r="AB104" s="171"/>
      <c r="AC104" s="171"/>
      <c r="AD104" s="163"/>
      <c r="AE104" s="171"/>
      <c r="AF104" s="179"/>
    </row>
    <row r="105" spans="1:32" s="178" customFormat="1" ht="15.95" customHeight="1" x14ac:dyDescent="0.2">
      <c r="A105" s="236"/>
      <c r="B105" s="237"/>
      <c r="C105" s="237"/>
      <c r="D105" s="238"/>
      <c r="E105" s="239"/>
      <c r="F105" s="240"/>
      <c r="G105" s="240"/>
      <c r="H105" s="241"/>
      <c r="I105" s="242"/>
      <c r="J105" s="240"/>
      <c r="K105" s="240"/>
      <c r="L105" s="240"/>
      <c r="M105" s="240"/>
      <c r="N105" s="243"/>
      <c r="O105" s="240"/>
      <c r="P105" s="244"/>
      <c r="Q105" s="245"/>
      <c r="R105" s="244"/>
      <c r="S105" s="245"/>
      <c r="T105" s="245"/>
      <c r="U105" s="245"/>
      <c r="V105" s="244"/>
      <c r="W105" s="244"/>
      <c r="X105" s="246"/>
      <c r="Y105" s="245"/>
      <c r="Z105" s="245"/>
      <c r="AA105" s="245"/>
      <c r="AB105" s="245"/>
      <c r="AC105" s="245"/>
      <c r="AD105" s="240"/>
      <c r="AE105" s="245"/>
      <c r="AF105" s="247"/>
    </row>
    <row r="106" spans="1:32" s="211" customFormat="1" ht="15.95" customHeight="1" x14ac:dyDescent="0.2">
      <c r="A106" s="236"/>
      <c r="B106" s="1844" t="s">
        <v>205</v>
      </c>
      <c r="C106" s="1844"/>
      <c r="D106" s="1844"/>
      <c r="E106" s="1845"/>
      <c r="F106" s="248"/>
      <c r="G106" s="240"/>
      <c r="H106" s="241"/>
      <c r="I106" s="245"/>
      <c r="J106" s="240"/>
      <c r="K106" s="248"/>
      <c r="L106" s="240"/>
      <c r="M106" s="248"/>
      <c r="N106" s="243"/>
      <c r="O106" s="248"/>
      <c r="P106" s="249"/>
      <c r="Q106" s="250"/>
      <c r="R106" s="250">
        <f>R74+R80</f>
        <v>523.37299999999993</v>
      </c>
      <c r="S106" s="250">
        <f>S74+S80</f>
        <v>702.18499999999983</v>
      </c>
      <c r="T106" s="250">
        <f>T74+T80</f>
        <v>23180</v>
      </c>
      <c r="U106" s="250">
        <f>U74+U80</f>
        <v>44.781280729173716</v>
      </c>
      <c r="V106" s="250"/>
      <c r="W106" s="250"/>
      <c r="X106" s="250"/>
      <c r="Y106" s="250">
        <f>Y74+Y80+Y85</f>
        <v>523.37299999999993</v>
      </c>
      <c r="Z106" s="250">
        <f>Z74+Z80+Z85</f>
        <v>702.18499999999983</v>
      </c>
      <c r="AA106" s="250">
        <f>AA74+AA80</f>
        <v>23180</v>
      </c>
      <c r="AB106" s="250">
        <f>AB74+AB80</f>
        <v>44.781280729173716</v>
      </c>
      <c r="AC106" s="250"/>
      <c r="AD106" s="250"/>
      <c r="AE106" s="251">
        <f>AE74+AE80+AE85</f>
        <v>15852.563000000002</v>
      </c>
      <c r="AF106" s="252"/>
    </row>
    <row r="107" spans="1:32" s="178" customFormat="1" ht="15.95" customHeight="1" x14ac:dyDescent="0.2">
      <c r="B107" s="253"/>
      <c r="C107" s="253"/>
      <c r="D107" s="253"/>
      <c r="E107" s="253"/>
      <c r="F107" s="254"/>
      <c r="G107" s="255"/>
      <c r="H107" s="256"/>
      <c r="I107" s="256"/>
      <c r="J107" s="254"/>
      <c r="K107" s="254"/>
      <c r="L107" s="254"/>
      <c r="M107" s="254"/>
      <c r="N107" s="254"/>
      <c r="O107" s="254"/>
      <c r="P107" s="257"/>
      <c r="Q107" s="258"/>
      <c r="R107" s="254"/>
      <c r="S107" s="254"/>
      <c r="T107" s="254"/>
      <c r="U107" s="259"/>
      <c r="V107" s="255"/>
      <c r="W107" s="255"/>
      <c r="X107" s="255"/>
      <c r="Y107" s="254"/>
      <c r="Z107" s="254"/>
      <c r="AA107" s="254"/>
      <c r="AB107" s="260"/>
      <c r="AC107" s="255"/>
      <c r="AD107" s="254"/>
      <c r="AE107" s="254"/>
      <c r="AF107" s="256"/>
    </row>
    <row r="108" spans="1:32" s="178" customFormat="1" ht="15.95" customHeight="1" x14ac:dyDescent="0.2">
      <c r="B108" s="211" t="s">
        <v>101</v>
      </c>
      <c r="C108" s="173"/>
      <c r="D108" s="211"/>
      <c r="E108" s="261">
        <v>0.95</v>
      </c>
      <c r="F108" s="211"/>
      <c r="G108" s="211" t="s">
        <v>102</v>
      </c>
      <c r="H108" s="139"/>
      <c r="I108" s="262"/>
      <c r="J108" s="211"/>
      <c r="K108" s="1846">
        <f>AE106*E108</f>
        <v>15059.934850000001</v>
      </c>
      <c r="L108" s="1847"/>
      <c r="M108" s="1848"/>
      <c r="N108" s="191" t="s">
        <v>27</v>
      </c>
      <c r="O108" s="254"/>
      <c r="P108" s="257"/>
      <c r="Q108" s="258"/>
      <c r="R108" s="254"/>
      <c r="S108" s="254"/>
      <c r="T108" s="254"/>
      <c r="U108" s="259"/>
      <c r="V108" s="255"/>
      <c r="W108" s="255"/>
      <c r="X108" s="255"/>
      <c r="Y108" s="254"/>
      <c r="Z108" s="254"/>
      <c r="AA108" s="254"/>
      <c r="AB108" s="260"/>
      <c r="AC108" s="255"/>
      <c r="AD108" s="254"/>
      <c r="AE108" s="254"/>
      <c r="AF108" s="256"/>
    </row>
    <row r="109" spans="1:32" x14ac:dyDescent="0.2">
      <c r="B109" s="211"/>
      <c r="C109" s="173"/>
      <c r="D109" s="211"/>
      <c r="E109" s="261"/>
      <c r="F109" s="211"/>
      <c r="G109" s="173"/>
      <c r="I109" s="262"/>
      <c r="J109" s="211"/>
      <c r="K109" s="191"/>
      <c r="L109" s="263"/>
      <c r="M109" s="211"/>
      <c r="N109" s="211"/>
      <c r="O109" s="211"/>
      <c r="P109" s="264"/>
      <c r="Q109" s="265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66"/>
    </row>
    <row r="110" spans="1:32" x14ac:dyDescent="0.2">
      <c r="B110" s="211"/>
      <c r="C110" s="211"/>
      <c r="D110" s="211"/>
      <c r="E110" s="267" t="s">
        <v>214</v>
      </c>
      <c r="F110" s="1841" t="s">
        <v>268</v>
      </c>
      <c r="G110" s="1841"/>
      <c r="H110" s="1841"/>
      <c r="I110" s="211"/>
      <c r="J110" s="211"/>
      <c r="K110" s="173"/>
      <c r="L110" s="173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1842" t="s">
        <v>99</v>
      </c>
      <c r="Y110" s="1824"/>
      <c r="Z110" s="1824"/>
      <c r="AA110" s="1824"/>
      <c r="AB110" s="211" t="s">
        <v>216</v>
      </c>
      <c r="AC110" s="211"/>
      <c r="AD110" s="211"/>
      <c r="AE110" s="211"/>
      <c r="AF110" s="211"/>
    </row>
    <row r="111" spans="1:32" x14ac:dyDescent="0.2">
      <c r="B111" s="211"/>
      <c r="C111" s="211"/>
      <c r="D111" s="211"/>
      <c r="E111" s="211"/>
      <c r="F111" s="211"/>
      <c r="G111" s="211"/>
      <c r="H111" s="138"/>
      <c r="I111" s="211"/>
      <c r="J111" s="211"/>
      <c r="K111" s="173"/>
      <c r="L111" s="173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</row>
    <row r="112" spans="1:32" x14ac:dyDescent="0.2">
      <c r="B112" s="211"/>
      <c r="C112" s="211"/>
      <c r="D112" s="211"/>
      <c r="E112" s="211"/>
      <c r="F112" s="211"/>
      <c r="G112" s="211"/>
      <c r="H112" s="138"/>
      <c r="I112" s="211"/>
      <c r="J112" s="211"/>
      <c r="K112" s="173"/>
      <c r="L112" s="173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</row>
    <row r="114" spans="2:32" s="211" customFormat="1" ht="15.95" customHeight="1" x14ac:dyDescent="0.2">
      <c r="B114" s="139"/>
      <c r="C114" s="139"/>
      <c r="D114" s="138"/>
      <c r="E114" s="138"/>
      <c r="F114" s="138"/>
      <c r="G114" s="139"/>
      <c r="H114" s="139"/>
      <c r="I114" s="138"/>
      <c r="J114" s="138"/>
      <c r="K114" s="139"/>
      <c r="L114" s="139"/>
      <c r="M114" s="138"/>
      <c r="N114" s="138"/>
      <c r="O114" s="138"/>
      <c r="P114" s="149"/>
      <c r="Q114" s="150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40"/>
    </row>
    <row r="115" spans="2:32" s="211" customFormat="1" ht="15" customHeight="1" x14ac:dyDescent="0.2">
      <c r="B115" s="139"/>
      <c r="C115" s="139"/>
      <c r="D115" s="138"/>
      <c r="E115" s="138"/>
      <c r="F115" s="138"/>
      <c r="G115" s="139"/>
      <c r="H115" s="139"/>
      <c r="I115" s="138"/>
      <c r="J115" s="138"/>
      <c r="K115" s="139"/>
      <c r="L115" s="139"/>
      <c r="M115" s="138"/>
      <c r="N115" s="138"/>
      <c r="O115" s="138"/>
      <c r="P115" s="149"/>
      <c r="Q115" s="150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40"/>
    </row>
    <row r="116" spans="2:32" s="211" customFormat="1" ht="15" customHeight="1" x14ac:dyDescent="0.2">
      <c r="B116" s="139"/>
      <c r="C116" s="139"/>
      <c r="D116" s="138"/>
      <c r="E116" s="138"/>
      <c r="F116" s="138"/>
      <c r="G116" s="139"/>
      <c r="H116" s="139"/>
      <c r="I116" s="138"/>
      <c r="J116" s="138"/>
      <c r="K116" s="139"/>
      <c r="L116" s="139"/>
      <c r="M116" s="138"/>
      <c r="N116" s="138"/>
      <c r="O116" s="138"/>
      <c r="P116" s="149"/>
      <c r="Q116" s="150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40"/>
    </row>
    <row r="117" spans="2:32" s="211" customFormat="1" ht="15" customHeight="1" x14ac:dyDescent="0.2">
      <c r="B117" s="173"/>
      <c r="C117" s="173"/>
      <c r="G117" s="173"/>
      <c r="H117" s="139"/>
      <c r="K117" s="173"/>
      <c r="L117" s="173"/>
      <c r="P117" s="264"/>
      <c r="Q117" s="265"/>
      <c r="AF117" s="268"/>
    </row>
    <row r="118" spans="2:32" s="211" customFormat="1" ht="15" customHeight="1" x14ac:dyDescent="0.2">
      <c r="B118" s="173"/>
      <c r="C118" s="173"/>
      <c r="G118" s="173"/>
      <c r="H118" s="139"/>
      <c r="K118" s="173"/>
      <c r="L118" s="173"/>
      <c r="P118" s="264"/>
      <c r="Q118" s="265"/>
      <c r="AF118" s="269"/>
    </row>
    <row r="119" spans="2:32" x14ac:dyDescent="0.2">
      <c r="B119" s="173"/>
      <c r="C119" s="173"/>
      <c r="D119" s="211"/>
      <c r="E119" s="211"/>
      <c r="F119" s="211"/>
      <c r="G119" s="173"/>
      <c r="I119" s="211"/>
      <c r="J119" s="211"/>
      <c r="K119" s="173"/>
      <c r="L119" s="173"/>
      <c r="M119" s="211"/>
      <c r="N119" s="211"/>
      <c r="O119" s="211"/>
      <c r="P119" s="264"/>
      <c r="Q119" s="265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69"/>
    </row>
    <row r="120" spans="2:32" x14ac:dyDescent="0.2">
      <c r="B120" s="173"/>
      <c r="C120" s="173"/>
      <c r="D120" s="211"/>
      <c r="E120" s="211"/>
      <c r="F120" s="211"/>
      <c r="G120" s="173"/>
      <c r="I120" s="211"/>
      <c r="J120" s="211"/>
      <c r="K120" s="173"/>
      <c r="L120" s="173"/>
      <c r="M120" s="211"/>
      <c r="N120" s="211"/>
      <c r="O120" s="211"/>
      <c r="P120" s="264"/>
      <c r="Q120" s="265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69"/>
    </row>
    <row r="121" spans="2:32" x14ac:dyDescent="0.2">
      <c r="B121" s="173"/>
      <c r="C121" s="173"/>
      <c r="D121" s="211"/>
      <c r="E121" s="211"/>
      <c r="F121" s="211"/>
      <c r="G121" s="173"/>
      <c r="I121" s="211"/>
      <c r="J121" s="211"/>
      <c r="K121" s="173"/>
      <c r="L121" s="173"/>
      <c r="M121" s="211"/>
      <c r="N121" s="211"/>
      <c r="O121" s="211"/>
      <c r="P121" s="264"/>
      <c r="Q121" s="265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69"/>
    </row>
  </sheetData>
  <mergeCells count="40">
    <mergeCell ref="F110:H110"/>
    <mergeCell ref="X110:AA110"/>
    <mergeCell ref="B85:E85"/>
    <mergeCell ref="B86:F86"/>
    <mergeCell ref="B91:F91"/>
    <mergeCell ref="B101:F101"/>
    <mergeCell ref="B106:E106"/>
    <mergeCell ref="K108:M108"/>
    <mergeCell ref="AF12:AF13"/>
    <mergeCell ref="B74:E74"/>
    <mergeCell ref="B75:F75"/>
    <mergeCell ref="B80:E80"/>
    <mergeCell ref="Y12:AA12"/>
    <mergeCell ref="AB12:AB13"/>
    <mergeCell ref="B81:F81"/>
    <mergeCell ref="U12:U13"/>
    <mergeCell ref="V12:V13"/>
    <mergeCell ref="W12:W13"/>
    <mergeCell ref="X12:X13"/>
    <mergeCell ref="F11:F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AC12:AC13"/>
    <mergeCell ref="I1:X1"/>
    <mergeCell ref="J2:W2"/>
    <mergeCell ref="A3:D3"/>
    <mergeCell ref="A7:E7"/>
    <mergeCell ref="A8:E8"/>
    <mergeCell ref="A11:A13"/>
    <mergeCell ref="B11:B13"/>
    <mergeCell ref="C11:C13"/>
    <mergeCell ref="D11:D12"/>
    <mergeCell ref="E11:E12"/>
  </mergeCells>
  <pageMargins left="0.25" right="0.25" top="0.75" bottom="0.75" header="0.3" footer="0.3"/>
  <pageSetup paperSize="8" scale="35" orientation="landscape" r:id="rId1"/>
  <rowBreaks count="1" manualBreakCount="1">
    <brk id="74" max="31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RC121"/>
  <sheetViews>
    <sheetView view="pageBreakPreview" topLeftCell="R76" zoomScale="90" zoomScaleNormal="90" zoomScaleSheetLayoutView="90" workbookViewId="0">
      <selection activeCell="Y14" sqref="Y14:AA80"/>
    </sheetView>
  </sheetViews>
  <sheetFormatPr defaultColWidth="8.85546875" defaultRowHeight="15" x14ac:dyDescent="0.2"/>
  <cols>
    <col min="1" max="1" width="8.85546875" style="138"/>
    <col min="2" max="2" width="10.140625" style="139" customWidth="1"/>
    <col min="3" max="3" width="15.5703125" style="139" customWidth="1"/>
    <col min="4" max="4" width="7.85546875" style="138" customWidth="1"/>
    <col min="5" max="5" width="76.28515625" style="138" customWidth="1"/>
    <col min="6" max="6" width="8.42578125" style="138" customWidth="1"/>
    <col min="7" max="7" width="6.28515625" style="139" customWidth="1"/>
    <col min="8" max="8" width="10.42578125" style="139" bestFit="1" customWidth="1"/>
    <col min="9" max="9" width="12.5703125" style="138" customWidth="1"/>
    <col min="10" max="10" width="9.140625" style="138" customWidth="1"/>
    <col min="11" max="11" width="6.7109375" style="139" customWidth="1"/>
    <col min="12" max="12" width="7.28515625" style="139" customWidth="1"/>
    <col min="13" max="13" width="5.7109375" style="138" customWidth="1"/>
    <col min="14" max="14" width="7.42578125" style="138" customWidth="1"/>
    <col min="15" max="15" width="6" style="138" customWidth="1"/>
    <col min="16" max="16" width="6.85546875" style="149" bestFit="1" customWidth="1"/>
    <col min="17" max="17" width="9.42578125" style="150" customWidth="1"/>
    <col min="18" max="18" width="8.85546875" style="138" customWidth="1"/>
    <col min="19" max="19" width="8.7109375" style="138" customWidth="1"/>
    <col min="20" max="20" width="11" style="138" customWidth="1"/>
    <col min="21" max="21" width="9.85546875" style="138" customWidth="1"/>
    <col min="22" max="22" width="11.28515625" style="138" customWidth="1"/>
    <col min="23" max="23" width="8" style="138" bestFit="1" customWidth="1"/>
    <col min="24" max="24" width="10.85546875" style="138" customWidth="1"/>
    <col min="25" max="25" width="8.7109375" style="138" customWidth="1"/>
    <col min="26" max="26" width="10.85546875" style="138" bestFit="1" customWidth="1"/>
    <col min="27" max="27" width="12.85546875" style="138" customWidth="1"/>
    <col min="28" max="28" width="11.5703125" style="138" customWidth="1"/>
    <col min="29" max="29" width="9.42578125" style="138" bestFit="1" customWidth="1"/>
    <col min="30" max="30" width="6" style="138" customWidth="1"/>
    <col min="31" max="31" width="11.28515625" style="138" customWidth="1"/>
    <col min="32" max="32" width="60.28515625" style="140" customWidth="1"/>
    <col min="33" max="16384" width="8.85546875" style="138"/>
  </cols>
  <sheetData>
    <row r="1" spans="1:35" x14ac:dyDescent="0.2"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</row>
    <row r="2" spans="1:35" x14ac:dyDescent="0.2">
      <c r="J2" s="1823" t="s">
        <v>269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1:35" ht="24" customHeight="1" x14ac:dyDescent="0.2">
      <c r="A3" s="1825" t="s">
        <v>54</v>
      </c>
      <c r="B3" s="1825"/>
      <c r="C3" s="1825"/>
      <c r="D3" s="1825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2"/>
      <c r="S3" s="142"/>
      <c r="T3" s="142"/>
      <c r="U3" s="142"/>
      <c r="V3" s="142"/>
      <c r="W3" s="142"/>
      <c r="X3" s="142"/>
      <c r="Y3" s="142"/>
      <c r="AC3" s="143"/>
      <c r="AD3" s="143"/>
      <c r="AE3" s="143"/>
      <c r="AF3" s="144" t="s">
        <v>55</v>
      </c>
    </row>
    <row r="4" spans="1:35" ht="24" customHeight="1" x14ac:dyDescent="0.2">
      <c r="A4" s="145" t="s">
        <v>202</v>
      </c>
      <c r="B4" s="145"/>
      <c r="C4" s="145"/>
      <c r="D4" s="145"/>
      <c r="E4" s="145"/>
      <c r="I4" s="141"/>
      <c r="J4" s="141"/>
      <c r="K4" s="141"/>
      <c r="L4" s="141"/>
      <c r="M4" s="141"/>
      <c r="N4" s="141"/>
      <c r="O4" s="141"/>
      <c r="P4" s="141"/>
      <c r="Q4" s="141"/>
      <c r="R4" s="146"/>
      <c r="S4" s="146"/>
      <c r="T4" s="146"/>
      <c r="U4" s="146"/>
      <c r="V4" s="146"/>
      <c r="W4" s="146"/>
      <c r="AC4" s="143"/>
      <c r="AD4" s="143"/>
      <c r="AE4" s="143"/>
      <c r="AF4" s="147" t="s">
        <v>262</v>
      </c>
    </row>
    <row r="5" spans="1:35" ht="24" customHeight="1" x14ac:dyDescent="0.2">
      <c r="A5" s="145" t="s">
        <v>228</v>
      </c>
      <c r="B5" s="148"/>
      <c r="C5" s="148"/>
      <c r="D5" s="148"/>
      <c r="AC5" s="143"/>
      <c r="AD5" s="143"/>
      <c r="AE5" s="143"/>
      <c r="AF5" s="151" t="s">
        <v>229</v>
      </c>
    </row>
    <row r="6" spans="1:35" ht="24" customHeight="1" x14ac:dyDescent="0.2">
      <c r="B6" s="145"/>
      <c r="C6" s="145"/>
      <c r="D6" s="145"/>
      <c r="I6" s="140"/>
      <c r="W6" s="147"/>
      <c r="Y6" s="148"/>
      <c r="Z6" s="148"/>
      <c r="AA6" s="148"/>
      <c r="AB6" s="148"/>
      <c r="AC6" s="152"/>
      <c r="AD6" s="152"/>
      <c r="AE6" s="152"/>
      <c r="AF6" s="153"/>
      <c r="AG6" s="139"/>
      <c r="AH6" s="139"/>
      <c r="AI6" s="139"/>
    </row>
    <row r="7" spans="1:35" ht="24" customHeight="1" x14ac:dyDescent="0.2">
      <c r="A7" s="1826" t="s">
        <v>261</v>
      </c>
      <c r="B7" s="1826"/>
      <c r="C7" s="1826"/>
      <c r="D7" s="1826"/>
      <c r="E7" s="1826"/>
      <c r="I7" s="140"/>
      <c r="W7" s="147"/>
      <c r="Y7" s="148"/>
      <c r="Z7" s="148"/>
      <c r="AA7" s="148"/>
      <c r="AB7" s="148"/>
      <c r="AC7" s="152"/>
      <c r="AD7" s="152"/>
      <c r="AE7" s="152"/>
      <c r="AF7" s="147"/>
      <c r="AG7" s="139"/>
      <c r="AH7" s="139"/>
      <c r="AI7" s="139"/>
    </row>
    <row r="8" spans="1:35" ht="24" customHeight="1" x14ac:dyDescent="0.2">
      <c r="A8" s="1826" t="s">
        <v>228</v>
      </c>
      <c r="B8" s="1826"/>
      <c r="C8" s="1826"/>
      <c r="D8" s="1826"/>
      <c r="E8" s="1826"/>
      <c r="I8" s="140"/>
      <c r="W8" s="147"/>
      <c r="Y8" s="148"/>
      <c r="Z8" s="148"/>
      <c r="AA8" s="148"/>
      <c r="AB8" s="148"/>
      <c r="AC8" s="152"/>
      <c r="AD8" s="152"/>
      <c r="AE8" s="152"/>
      <c r="AF8" s="151"/>
      <c r="AG8" s="139"/>
      <c r="AH8" s="139"/>
      <c r="AI8" s="139"/>
    </row>
    <row r="9" spans="1:35" ht="24" customHeight="1" x14ac:dyDescent="0.2">
      <c r="B9" s="154"/>
      <c r="C9" s="154"/>
      <c r="D9" s="154"/>
      <c r="E9" s="154"/>
      <c r="M9" s="139"/>
      <c r="N9" s="139"/>
      <c r="O9" s="139"/>
      <c r="P9" s="139"/>
      <c r="Q9" s="139"/>
      <c r="R9" s="139"/>
      <c r="S9" s="139"/>
      <c r="T9" s="139"/>
      <c r="U9" s="139"/>
      <c r="V9" s="139"/>
      <c r="Y9" s="148"/>
      <c r="Z9" s="148"/>
      <c r="AA9" s="148"/>
      <c r="AB9" s="148"/>
      <c r="AC9" s="152"/>
      <c r="AD9" s="152"/>
      <c r="AE9" s="152"/>
      <c r="AF9" s="153"/>
      <c r="AG9" s="139"/>
      <c r="AH9" s="139"/>
      <c r="AI9" s="139"/>
    </row>
    <row r="10" spans="1:35" ht="24" customHeight="1" x14ac:dyDescent="0.2">
      <c r="D10" s="139"/>
      <c r="I10" s="140"/>
      <c r="W10" s="147"/>
      <c r="Y10" s="148"/>
      <c r="Z10" s="148"/>
      <c r="AA10" s="148"/>
      <c r="AB10" s="148"/>
      <c r="AC10" s="152"/>
      <c r="AD10" s="152"/>
      <c r="AE10" s="152"/>
      <c r="AF10" s="155"/>
      <c r="AG10" s="139"/>
      <c r="AH10" s="139"/>
      <c r="AI10" s="139"/>
    </row>
    <row r="11" spans="1:35" ht="15.75" customHeight="1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5" s="139" customFormat="1" ht="90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156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156" t="s">
        <v>18</v>
      </c>
      <c r="AE12" s="156" t="s">
        <v>20</v>
      </c>
      <c r="AF12" s="1819" t="s">
        <v>21</v>
      </c>
    </row>
    <row r="13" spans="1:35" s="162" customFormat="1" ht="30" customHeight="1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8" t="s">
        <v>7</v>
      </c>
      <c r="K13" s="158" t="s">
        <v>30</v>
      </c>
      <c r="L13" s="159" t="s">
        <v>29</v>
      </c>
      <c r="M13" s="159" t="s">
        <v>31</v>
      </c>
      <c r="N13" s="159" t="s">
        <v>32</v>
      </c>
      <c r="O13" s="158" t="s">
        <v>12</v>
      </c>
      <c r="P13" s="160" t="s">
        <v>13</v>
      </c>
      <c r="Q13" s="161" t="s">
        <v>26</v>
      </c>
      <c r="R13" s="158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5" s="173" customFormat="1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 t="s">
        <v>239</v>
      </c>
      <c r="K14" s="166"/>
      <c r="L14" s="166">
        <v>281</v>
      </c>
      <c r="M14" s="166"/>
      <c r="N14" s="163">
        <v>6.3</v>
      </c>
      <c r="O14" s="166"/>
      <c r="P14" s="167">
        <v>32.700000000000003</v>
      </c>
      <c r="Q14" s="168">
        <f t="shared" ref="Q14:Q37" si="0">LEFT(H14,(FIND("K",H14,1)-1))*J14/100</f>
        <v>22</v>
      </c>
      <c r="R14" s="169">
        <v>1.946</v>
      </c>
      <c r="S14" s="168">
        <v>8.5909999999999993</v>
      </c>
      <c r="T14" s="168">
        <v>3</v>
      </c>
      <c r="U14" s="168">
        <f>T14/R14</f>
        <v>1.5416238437821173</v>
      </c>
      <c r="V14" s="169">
        <f>(S14-R14)/S14*100</f>
        <v>77.348387847747645</v>
      </c>
      <c r="W14" s="170">
        <v>0.3</v>
      </c>
      <c r="X14" s="171">
        <f t="shared" ref="X14:X45" si="1">S14/Q14</f>
        <v>0.39049999999999996</v>
      </c>
      <c r="Y14" s="171">
        <f>R14*0.98</f>
        <v>1.9070799999999999</v>
      </c>
      <c r="Z14" s="171">
        <f>S14*0.98</f>
        <v>8.419179999999999</v>
      </c>
      <c r="AA14" s="171">
        <f>T14*0.98</f>
        <v>2.94</v>
      </c>
      <c r="AB14" s="171">
        <f>U14</f>
        <v>1.5416238437821173</v>
      </c>
      <c r="AC14" s="171">
        <f t="shared" ref="AC14:AC73" si="2">V14</f>
        <v>77.348387847747645</v>
      </c>
      <c r="AD14" s="163">
        <v>29</v>
      </c>
      <c r="AE14" s="171">
        <f>Y14*AD14</f>
        <v>55.305319999999995</v>
      </c>
      <c r="AF14" s="172"/>
    </row>
    <row r="15" spans="1:35" s="173" customFormat="1" ht="15.9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 t="s">
        <v>240</v>
      </c>
      <c r="K15" s="163">
        <v>318</v>
      </c>
      <c r="L15" s="166">
        <v>0</v>
      </c>
      <c r="M15" s="166">
        <v>0.3</v>
      </c>
      <c r="N15" s="163"/>
      <c r="O15" s="166"/>
      <c r="P15" s="167"/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>R15*0.98</f>
        <v>0</v>
      </c>
      <c r="Z15" s="171">
        <f t="shared" ref="Z15:AA73" si="3">S15*0.98</f>
        <v>0</v>
      </c>
      <c r="AA15" s="171">
        <f t="shared" si="3"/>
        <v>0</v>
      </c>
      <c r="AB15" s="171">
        <f t="shared" ref="AB15:AB29" si="4">U15</f>
        <v>0</v>
      </c>
      <c r="AC15" s="171">
        <f t="shared" si="2"/>
        <v>0</v>
      </c>
      <c r="AD15" s="163">
        <v>0</v>
      </c>
      <c r="AE15" s="171">
        <f t="shared" ref="AE15:AE56" si="5">Y15*AD15</f>
        <v>0</v>
      </c>
      <c r="AF15" s="172" t="s">
        <v>215</v>
      </c>
    </row>
    <row r="16" spans="1:35" s="173" customFormat="1" ht="15.9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 t="s">
        <v>241</v>
      </c>
      <c r="K16" s="163"/>
      <c r="L16" s="166">
        <v>59</v>
      </c>
      <c r="M16" s="166"/>
      <c r="N16" s="182">
        <v>9</v>
      </c>
      <c r="O16" s="166"/>
      <c r="P16" s="167">
        <v>52.27</v>
      </c>
      <c r="Q16" s="168">
        <f>LEFT(H16,(FIND("K",H16,1)-1))*J16/100</f>
        <v>72</v>
      </c>
      <c r="R16" s="169">
        <v>25</v>
      </c>
      <c r="S16" s="168">
        <v>33.958999999999996</v>
      </c>
      <c r="T16" s="168">
        <v>4900</v>
      </c>
      <c r="U16" s="168">
        <f t="shared" ref="U16:U73" si="6">T16/R16</f>
        <v>196</v>
      </c>
      <c r="V16" s="169">
        <f t="shared" ref="V16:V73" si="7">(S16-R16)/S16*100</f>
        <v>26.381813363173229</v>
      </c>
      <c r="W16" s="170">
        <v>0.3</v>
      </c>
      <c r="X16" s="171">
        <f t="shared" si="1"/>
        <v>0.4716527777777777</v>
      </c>
      <c r="Y16" s="171">
        <f>R16*0.98</f>
        <v>24.5</v>
      </c>
      <c r="Z16" s="171">
        <f t="shared" si="3"/>
        <v>33.279819999999994</v>
      </c>
      <c r="AA16" s="171">
        <f t="shared" si="3"/>
        <v>4802</v>
      </c>
      <c r="AB16" s="171">
        <f t="shared" si="4"/>
        <v>196</v>
      </c>
      <c r="AC16" s="171">
        <f t="shared" si="2"/>
        <v>26.381813363173229</v>
      </c>
      <c r="AD16" s="163">
        <v>29</v>
      </c>
      <c r="AE16" s="171">
        <f>Y16*AD16</f>
        <v>710.5</v>
      </c>
      <c r="AF16" s="172"/>
    </row>
    <row r="17" spans="1:32" s="173" customFormat="1" ht="15.9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 t="s">
        <v>242</v>
      </c>
      <c r="K17" s="163"/>
      <c r="L17" s="166">
        <v>468</v>
      </c>
      <c r="M17" s="166"/>
      <c r="N17" s="182">
        <v>3.8</v>
      </c>
      <c r="O17" s="166"/>
      <c r="P17" s="167">
        <v>12.77</v>
      </c>
      <c r="Q17" s="168">
        <f t="shared" si="0"/>
        <v>22.75</v>
      </c>
      <c r="R17" s="169">
        <v>4.9269999999999996</v>
      </c>
      <c r="S17" s="168">
        <v>6.8829999999999991</v>
      </c>
      <c r="T17" s="168">
        <v>29</v>
      </c>
      <c r="U17" s="168">
        <f t="shared" si="6"/>
        <v>5.8859346458291055</v>
      </c>
      <c r="V17" s="169">
        <f t="shared" si="7"/>
        <v>28.417841057678334</v>
      </c>
      <c r="W17" s="170">
        <v>0.3</v>
      </c>
      <c r="X17" s="171">
        <f t="shared" si="1"/>
        <v>0.30254945054945054</v>
      </c>
      <c r="Y17" s="171">
        <f t="shared" ref="Y17:Y73" si="8">R17*0.98</f>
        <v>4.8284599999999998</v>
      </c>
      <c r="Z17" s="171">
        <f t="shared" si="3"/>
        <v>6.7453399999999988</v>
      </c>
      <c r="AA17" s="171">
        <f t="shared" si="3"/>
        <v>28.419999999999998</v>
      </c>
      <c r="AB17" s="171">
        <f t="shared" si="4"/>
        <v>5.8859346458291055</v>
      </c>
      <c r="AC17" s="171">
        <f t="shared" si="2"/>
        <v>28.417841057678334</v>
      </c>
      <c r="AD17" s="163">
        <v>29</v>
      </c>
      <c r="AE17" s="171">
        <f t="shared" si="5"/>
        <v>140.02534</v>
      </c>
      <c r="AF17" s="172"/>
    </row>
    <row r="18" spans="1:32" s="173" customFormat="1" ht="15.75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 t="s">
        <v>243</v>
      </c>
      <c r="K18" s="163"/>
      <c r="L18" s="166">
        <v>436</v>
      </c>
      <c r="M18" s="166"/>
      <c r="N18" s="163">
        <v>5.2</v>
      </c>
      <c r="O18" s="166"/>
      <c r="P18" s="167">
        <v>16.637873027244048</v>
      </c>
      <c r="Q18" s="168">
        <f t="shared" si="0"/>
        <v>9</v>
      </c>
      <c r="R18" s="169">
        <v>4.2320000000000002</v>
      </c>
      <c r="S18" s="168">
        <v>5.63</v>
      </c>
      <c r="T18" s="168">
        <v>24</v>
      </c>
      <c r="U18" s="168">
        <f t="shared" si="6"/>
        <v>5.6710775047258979</v>
      </c>
      <c r="V18" s="169">
        <f t="shared" si="7"/>
        <v>24.831261101243335</v>
      </c>
      <c r="W18" s="170">
        <v>0.3</v>
      </c>
      <c r="X18" s="171">
        <f t="shared" si="1"/>
        <v>0.62555555555555553</v>
      </c>
      <c r="Y18" s="171">
        <f t="shared" si="8"/>
        <v>4.1473599999999999</v>
      </c>
      <c r="Z18" s="171">
        <f t="shared" si="3"/>
        <v>5.5173999999999994</v>
      </c>
      <c r="AA18" s="171">
        <f t="shared" si="3"/>
        <v>23.52</v>
      </c>
      <c r="AB18" s="171">
        <f t="shared" si="4"/>
        <v>5.6710775047258979</v>
      </c>
      <c r="AC18" s="171">
        <f t="shared" si="2"/>
        <v>24.831261101243335</v>
      </c>
      <c r="AD18" s="163">
        <v>29</v>
      </c>
      <c r="AE18" s="171">
        <f t="shared" si="5"/>
        <v>120.27343999999999</v>
      </c>
      <c r="AF18" s="172"/>
    </row>
    <row r="19" spans="1:32" s="173" customFormat="1" ht="15.75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 t="s">
        <v>244</v>
      </c>
      <c r="K19" s="163"/>
      <c r="L19" s="166">
        <v>425</v>
      </c>
      <c r="M19" s="166"/>
      <c r="N19" s="163">
        <v>1.7</v>
      </c>
      <c r="O19" s="166"/>
      <c r="P19" s="167">
        <v>15.96</v>
      </c>
      <c r="Q19" s="168">
        <f t="shared" si="0"/>
        <v>12</v>
      </c>
      <c r="R19" s="169">
        <v>1.49</v>
      </c>
      <c r="S19" s="168">
        <v>1.911</v>
      </c>
      <c r="T19" s="168">
        <v>0</v>
      </c>
      <c r="U19" s="168">
        <f t="shared" si="6"/>
        <v>0</v>
      </c>
      <c r="V19" s="169">
        <f t="shared" si="7"/>
        <v>22.030350601779176</v>
      </c>
      <c r="W19" s="170">
        <v>0.4</v>
      </c>
      <c r="X19" s="171">
        <f>S19/Q19</f>
        <v>0.15925</v>
      </c>
      <c r="Y19" s="171">
        <f t="shared" si="8"/>
        <v>1.4601999999999999</v>
      </c>
      <c r="Z19" s="171">
        <f t="shared" si="3"/>
        <v>1.8727799999999999</v>
      </c>
      <c r="AA19" s="171">
        <f t="shared" si="3"/>
        <v>0</v>
      </c>
      <c r="AB19" s="171">
        <f t="shared" si="4"/>
        <v>0</v>
      </c>
      <c r="AC19" s="171">
        <f t="shared" si="2"/>
        <v>22.030350601779176</v>
      </c>
      <c r="AD19" s="163">
        <v>29</v>
      </c>
      <c r="AE19" s="171">
        <f t="shared" si="5"/>
        <v>42.345799999999997</v>
      </c>
      <c r="AF19" s="172"/>
    </row>
    <row r="20" spans="1:32" s="173" customFormat="1" ht="15.75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 t="s">
        <v>239</v>
      </c>
      <c r="K20" s="163"/>
      <c r="L20" s="166">
        <v>388</v>
      </c>
      <c r="M20" s="166"/>
      <c r="N20" s="163">
        <v>5.0999999999999996</v>
      </c>
      <c r="O20" s="166"/>
      <c r="P20" s="167">
        <v>21.78</v>
      </c>
      <c r="Q20" s="168">
        <f t="shared" si="0"/>
        <v>22</v>
      </c>
      <c r="R20" s="169">
        <v>8.1950000000000003</v>
      </c>
      <c r="S20" s="168">
        <v>9.34</v>
      </c>
      <c r="T20" s="168">
        <v>5</v>
      </c>
      <c r="U20" s="168">
        <f t="shared" si="6"/>
        <v>0.61012812690665041</v>
      </c>
      <c r="V20" s="169">
        <f t="shared" si="7"/>
        <v>12.259100642398282</v>
      </c>
      <c r="W20" s="170">
        <v>0.7</v>
      </c>
      <c r="X20" s="171">
        <f t="shared" si="1"/>
        <v>0.42454545454545456</v>
      </c>
      <c r="Y20" s="171">
        <f t="shared" si="8"/>
        <v>8.0311000000000003</v>
      </c>
      <c r="Z20" s="171">
        <f t="shared" si="3"/>
        <v>9.1532</v>
      </c>
      <c r="AA20" s="171">
        <f t="shared" si="3"/>
        <v>4.9000000000000004</v>
      </c>
      <c r="AB20" s="171">
        <f t="shared" si="4"/>
        <v>0.61012812690665041</v>
      </c>
      <c r="AC20" s="171">
        <f t="shared" si="2"/>
        <v>12.259100642398282</v>
      </c>
      <c r="AD20" s="163">
        <v>29</v>
      </c>
      <c r="AE20" s="171">
        <f t="shared" si="5"/>
        <v>232.90190000000001</v>
      </c>
      <c r="AF20" s="172"/>
    </row>
    <row r="21" spans="1:32" s="178" customFormat="1" ht="15.9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 t="s">
        <v>245</v>
      </c>
      <c r="K21" s="175"/>
      <c r="L21" s="166">
        <v>489</v>
      </c>
      <c r="M21" s="176"/>
      <c r="N21" s="163">
        <v>8.6</v>
      </c>
      <c r="O21" s="176"/>
      <c r="P21" s="167">
        <v>16.36</v>
      </c>
      <c r="Q21" s="168">
        <f t="shared" si="0"/>
        <v>39.6</v>
      </c>
      <c r="R21" s="169">
        <v>11.964</v>
      </c>
      <c r="S21" s="168">
        <v>17.963000000000001</v>
      </c>
      <c r="T21" s="168">
        <v>203</v>
      </c>
      <c r="U21" s="168">
        <f t="shared" si="6"/>
        <v>16.96756937479104</v>
      </c>
      <c r="V21" s="169">
        <f t="shared" si="7"/>
        <v>33.396425986750543</v>
      </c>
      <c r="W21" s="170">
        <v>0.2</v>
      </c>
      <c r="X21" s="171">
        <f t="shared" si="1"/>
        <v>0.45361111111111113</v>
      </c>
      <c r="Y21" s="171">
        <f t="shared" si="8"/>
        <v>11.72472</v>
      </c>
      <c r="Z21" s="171">
        <f t="shared" si="3"/>
        <v>17.603740000000002</v>
      </c>
      <c r="AA21" s="171">
        <f t="shared" si="3"/>
        <v>198.94</v>
      </c>
      <c r="AB21" s="171">
        <f t="shared" si="4"/>
        <v>16.96756937479104</v>
      </c>
      <c r="AC21" s="171">
        <f t="shared" si="2"/>
        <v>33.396425986750543</v>
      </c>
      <c r="AD21" s="163">
        <v>29</v>
      </c>
      <c r="AE21" s="171">
        <f t="shared" si="5"/>
        <v>340.01688000000001</v>
      </c>
      <c r="AF21" s="177"/>
    </row>
    <row r="22" spans="1:32" s="173" customFormat="1" ht="15.75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 t="s">
        <v>239</v>
      </c>
      <c r="K22" s="163"/>
      <c r="L22" s="166">
        <v>479</v>
      </c>
      <c r="M22" s="166"/>
      <c r="N22" s="163">
        <v>6.9</v>
      </c>
      <c r="O22" s="166"/>
      <c r="P22" s="167">
        <v>15.19</v>
      </c>
      <c r="Q22" s="168">
        <f t="shared" si="0"/>
        <v>22</v>
      </c>
      <c r="R22" s="169">
        <v>5.1509999999999998</v>
      </c>
      <c r="S22" s="168">
        <v>7.5019999999999998</v>
      </c>
      <c r="T22" s="168">
        <v>25</v>
      </c>
      <c r="U22" s="168">
        <v>0</v>
      </c>
      <c r="V22" s="169">
        <f t="shared" si="7"/>
        <v>31.338309784057582</v>
      </c>
      <c r="W22" s="170">
        <v>0.3</v>
      </c>
      <c r="X22" s="171">
        <v>0</v>
      </c>
      <c r="Y22" s="171">
        <f t="shared" si="8"/>
        <v>5.0479799999999999</v>
      </c>
      <c r="Z22" s="171">
        <f t="shared" si="3"/>
        <v>7.3519600000000001</v>
      </c>
      <c r="AA22" s="171">
        <f t="shared" si="3"/>
        <v>24.5</v>
      </c>
      <c r="AB22" s="171">
        <f t="shared" si="4"/>
        <v>0</v>
      </c>
      <c r="AC22" s="171">
        <f t="shared" si="2"/>
        <v>31.338309784057582</v>
      </c>
      <c r="AD22" s="163">
        <v>29</v>
      </c>
      <c r="AE22" s="171">
        <f t="shared" si="5"/>
        <v>146.39142000000001</v>
      </c>
      <c r="AF22" s="172"/>
    </row>
    <row r="23" spans="1:32" s="173" customFormat="1" ht="15.75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 t="s">
        <v>246</v>
      </c>
      <c r="K23" s="163"/>
      <c r="L23" s="166">
        <v>315</v>
      </c>
      <c r="M23" s="166"/>
      <c r="N23" s="163">
        <v>6.4</v>
      </c>
      <c r="O23" s="166"/>
      <c r="P23" s="167">
        <v>30.04</v>
      </c>
      <c r="Q23" s="168">
        <f t="shared" si="0"/>
        <v>27.5</v>
      </c>
      <c r="R23" s="169">
        <v>4.1000000000000002E-2</v>
      </c>
      <c r="S23" s="168">
        <v>0.17600000000000002</v>
      </c>
      <c r="T23" s="168">
        <v>0</v>
      </c>
      <c r="U23" s="168">
        <f t="shared" si="6"/>
        <v>0</v>
      </c>
      <c r="V23" s="169">
        <f t="shared" si="7"/>
        <v>76.704545454545453</v>
      </c>
      <c r="W23" s="170">
        <v>0.2</v>
      </c>
      <c r="X23" s="171">
        <f t="shared" si="1"/>
        <v>6.4000000000000003E-3</v>
      </c>
      <c r="Y23" s="171">
        <f t="shared" si="8"/>
        <v>4.018E-2</v>
      </c>
      <c r="Z23" s="171">
        <f t="shared" si="3"/>
        <v>0.17248000000000002</v>
      </c>
      <c r="AA23" s="171">
        <f t="shared" si="3"/>
        <v>0</v>
      </c>
      <c r="AB23" s="171">
        <f t="shared" si="4"/>
        <v>0</v>
      </c>
      <c r="AC23" s="171">
        <f t="shared" si="2"/>
        <v>76.704545454545453</v>
      </c>
      <c r="AD23" s="163">
        <v>29</v>
      </c>
      <c r="AE23" s="171">
        <f t="shared" si="5"/>
        <v>1.1652199999999999</v>
      </c>
      <c r="AF23" s="179"/>
    </row>
    <row r="24" spans="1:32" s="173" customFormat="1" ht="15.75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 t="s">
        <v>247</v>
      </c>
      <c r="K24" s="163"/>
      <c r="L24" s="166">
        <v>403</v>
      </c>
      <c r="M24" s="166"/>
      <c r="N24" s="163">
        <v>0.6</v>
      </c>
      <c r="O24" s="166"/>
      <c r="P24" s="167">
        <v>18</v>
      </c>
      <c r="Q24" s="168">
        <f t="shared" si="0"/>
        <v>11.18</v>
      </c>
      <c r="R24" s="169">
        <v>2.4700000000000002</v>
      </c>
      <c r="S24" s="168">
        <v>3.1830000000000003</v>
      </c>
      <c r="T24" s="168">
        <v>0</v>
      </c>
      <c r="U24" s="168">
        <f t="shared" si="6"/>
        <v>0</v>
      </c>
      <c r="V24" s="169">
        <f t="shared" si="7"/>
        <v>22.40025133521835</v>
      </c>
      <c r="W24" s="170">
        <v>0.1</v>
      </c>
      <c r="X24" s="171">
        <f t="shared" si="1"/>
        <v>0.28470483005366731</v>
      </c>
      <c r="Y24" s="171">
        <f t="shared" si="8"/>
        <v>2.4206000000000003</v>
      </c>
      <c r="Z24" s="171">
        <f t="shared" si="3"/>
        <v>3.1193400000000002</v>
      </c>
      <c r="AA24" s="171">
        <f t="shared" si="3"/>
        <v>0</v>
      </c>
      <c r="AB24" s="171">
        <f t="shared" si="4"/>
        <v>0</v>
      </c>
      <c r="AC24" s="171">
        <f t="shared" si="2"/>
        <v>22.40025133521835</v>
      </c>
      <c r="AD24" s="163">
        <v>29</v>
      </c>
      <c r="AE24" s="171">
        <f t="shared" si="5"/>
        <v>70.197400000000016</v>
      </c>
      <c r="AF24" s="172"/>
    </row>
    <row r="25" spans="1:32" s="173" customFormat="1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 t="s">
        <v>248</v>
      </c>
      <c r="K25" s="163"/>
      <c r="L25" s="166">
        <v>245</v>
      </c>
      <c r="M25" s="166"/>
      <c r="N25" s="163">
        <v>2.6</v>
      </c>
      <c r="O25" s="166"/>
      <c r="P25" s="167">
        <v>33.18</v>
      </c>
      <c r="Q25" s="168">
        <f t="shared" si="0"/>
        <v>18.7</v>
      </c>
      <c r="R25" s="169">
        <v>8.2789999999999999</v>
      </c>
      <c r="S25" s="168">
        <v>12.11</v>
      </c>
      <c r="T25" s="168">
        <v>3</v>
      </c>
      <c r="U25" s="168">
        <f t="shared" si="6"/>
        <v>0.3623626041792487</v>
      </c>
      <c r="V25" s="169">
        <f t="shared" si="7"/>
        <v>31.635012386457472</v>
      </c>
      <c r="W25" s="170">
        <v>0.4</v>
      </c>
      <c r="X25" s="171">
        <f t="shared" si="1"/>
        <v>0.64759358288770053</v>
      </c>
      <c r="Y25" s="171">
        <f t="shared" si="8"/>
        <v>8.1134199999999996</v>
      </c>
      <c r="Z25" s="171">
        <f t="shared" si="3"/>
        <v>11.867799999999999</v>
      </c>
      <c r="AA25" s="171">
        <f t="shared" si="3"/>
        <v>2.94</v>
      </c>
      <c r="AB25" s="171">
        <f t="shared" si="4"/>
        <v>0.3623626041792487</v>
      </c>
      <c r="AC25" s="171">
        <f t="shared" si="2"/>
        <v>31.635012386457472</v>
      </c>
      <c r="AD25" s="163">
        <v>29</v>
      </c>
      <c r="AE25" s="171">
        <f t="shared" si="5"/>
        <v>235.28917999999999</v>
      </c>
      <c r="AF25" s="172"/>
    </row>
    <row r="26" spans="1:32" s="173" customFormat="1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526.69000000000005</v>
      </c>
      <c r="J26" s="163" t="s">
        <v>245</v>
      </c>
      <c r="K26" s="163"/>
      <c r="L26" s="166">
        <v>444</v>
      </c>
      <c r="M26" s="166"/>
      <c r="N26" s="163">
        <v>7.6</v>
      </c>
      <c r="O26" s="166"/>
      <c r="P26" s="167">
        <v>16.32</v>
      </c>
      <c r="Q26" s="168">
        <f t="shared" si="0"/>
        <v>57.6</v>
      </c>
      <c r="R26" s="169">
        <v>11.406000000000001</v>
      </c>
      <c r="S26" s="168">
        <v>15.077</v>
      </c>
      <c r="T26" s="168">
        <v>1335</v>
      </c>
      <c r="U26" s="168">
        <f t="shared" si="6"/>
        <v>117.04366123093108</v>
      </c>
      <c r="V26" s="169">
        <f t="shared" si="7"/>
        <v>24.348345161504273</v>
      </c>
      <c r="W26" s="170">
        <v>0.2</v>
      </c>
      <c r="X26" s="171">
        <f t="shared" si="1"/>
        <v>0.26175347222222223</v>
      </c>
      <c r="Y26" s="171">
        <f t="shared" si="8"/>
        <v>11.17788</v>
      </c>
      <c r="Z26" s="171">
        <f t="shared" si="3"/>
        <v>14.775459999999999</v>
      </c>
      <c r="AA26" s="171">
        <f t="shared" si="3"/>
        <v>1308.3</v>
      </c>
      <c r="AB26" s="171">
        <f t="shared" si="4"/>
        <v>117.04366123093108</v>
      </c>
      <c r="AC26" s="171">
        <f t="shared" si="2"/>
        <v>24.348345161504273</v>
      </c>
      <c r="AD26" s="163">
        <v>29</v>
      </c>
      <c r="AE26" s="171">
        <f t="shared" si="5"/>
        <v>324.15852000000001</v>
      </c>
      <c r="AF26" s="172"/>
    </row>
    <row r="27" spans="1:32" s="173" customFormat="1" ht="16.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 t="s">
        <v>249</v>
      </c>
      <c r="K27" s="163"/>
      <c r="L27" s="166">
        <v>55</v>
      </c>
      <c r="M27" s="166"/>
      <c r="N27" s="163">
        <v>10.199999999999999</v>
      </c>
      <c r="O27" s="166"/>
      <c r="P27" s="167">
        <v>53.84</v>
      </c>
      <c r="Q27" s="168">
        <f t="shared" si="0"/>
        <v>74.8</v>
      </c>
      <c r="R27" s="169">
        <v>24.245999999999999</v>
      </c>
      <c r="S27" s="168">
        <v>29.122999999999998</v>
      </c>
      <c r="T27" s="168">
        <v>3055</v>
      </c>
      <c r="U27" s="168">
        <f t="shared" si="6"/>
        <v>126.0001649756661</v>
      </c>
      <c r="V27" s="169">
        <f t="shared" si="7"/>
        <v>16.746214332314661</v>
      </c>
      <c r="W27" s="170">
        <v>0.3</v>
      </c>
      <c r="X27" s="171">
        <f t="shared" si="1"/>
        <v>0.38934491978609626</v>
      </c>
      <c r="Y27" s="171">
        <f t="shared" si="8"/>
        <v>23.76108</v>
      </c>
      <c r="Z27" s="171">
        <f t="shared" si="3"/>
        <v>28.540539999999996</v>
      </c>
      <c r="AA27" s="171">
        <f t="shared" si="3"/>
        <v>2993.9</v>
      </c>
      <c r="AB27" s="171">
        <f t="shared" si="4"/>
        <v>126.0001649756661</v>
      </c>
      <c r="AC27" s="171">
        <f t="shared" si="2"/>
        <v>16.746214332314661</v>
      </c>
      <c r="AD27" s="163">
        <v>29</v>
      </c>
      <c r="AE27" s="171">
        <f t="shared" si="5"/>
        <v>689.07132000000001</v>
      </c>
      <c r="AF27" s="172"/>
    </row>
    <row r="28" spans="1:32" s="173" customFormat="1" ht="15.75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 t="s">
        <v>248</v>
      </c>
      <c r="K28" s="163"/>
      <c r="L28" s="166">
        <v>451</v>
      </c>
      <c r="M28" s="166"/>
      <c r="N28" s="163">
        <v>6.9</v>
      </c>
      <c r="O28" s="166"/>
      <c r="P28" s="167">
        <v>19.25</v>
      </c>
      <c r="Q28" s="168">
        <f t="shared" si="0"/>
        <v>11.05</v>
      </c>
      <c r="R28" s="169">
        <v>3.605</v>
      </c>
      <c r="S28" s="168">
        <v>5.0709999999999997</v>
      </c>
      <c r="T28" s="168">
        <v>18</v>
      </c>
      <c r="U28" s="168">
        <f t="shared" si="6"/>
        <v>4.993065187239945</v>
      </c>
      <c r="V28" s="169">
        <f t="shared" si="7"/>
        <v>28.909485308617626</v>
      </c>
      <c r="W28" s="170">
        <v>0.6</v>
      </c>
      <c r="X28" s="171">
        <f t="shared" si="1"/>
        <v>0.45891402714932122</v>
      </c>
      <c r="Y28" s="171">
        <f t="shared" si="8"/>
        <v>3.5328999999999997</v>
      </c>
      <c r="Z28" s="171">
        <f t="shared" si="3"/>
        <v>4.9695799999999997</v>
      </c>
      <c r="AA28" s="171">
        <f t="shared" si="3"/>
        <v>17.64</v>
      </c>
      <c r="AB28" s="171">
        <f t="shared" si="4"/>
        <v>4.993065187239945</v>
      </c>
      <c r="AC28" s="171">
        <f t="shared" si="2"/>
        <v>28.909485308617626</v>
      </c>
      <c r="AD28" s="163">
        <v>29</v>
      </c>
      <c r="AE28" s="171">
        <f>Y28*AD28</f>
        <v>102.4541</v>
      </c>
      <c r="AF28" s="179"/>
    </row>
    <row r="29" spans="1:32" s="178" customFormat="1" ht="15.75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 t="s">
        <v>250</v>
      </c>
      <c r="K29" s="164"/>
      <c r="L29" s="164">
        <v>505</v>
      </c>
      <c r="M29" s="164"/>
      <c r="N29" s="164">
        <v>10.6</v>
      </c>
      <c r="O29" s="164"/>
      <c r="P29" s="164">
        <v>15.7</v>
      </c>
      <c r="Q29" s="164">
        <f t="shared" si="0"/>
        <v>96</v>
      </c>
      <c r="R29" s="181">
        <v>19.86</v>
      </c>
      <c r="S29" s="181">
        <v>25.471</v>
      </c>
      <c r="T29" s="164">
        <v>991</v>
      </c>
      <c r="U29" s="181">
        <f t="shared" si="6"/>
        <v>49.899295065458212</v>
      </c>
      <c r="V29" s="181">
        <f t="shared" si="7"/>
        <v>22.028974127439053</v>
      </c>
      <c r="W29" s="164">
        <v>0.4</v>
      </c>
      <c r="X29" s="181">
        <f t="shared" si="1"/>
        <v>0.26532291666666669</v>
      </c>
      <c r="Y29" s="171">
        <f t="shared" si="8"/>
        <v>19.462799999999998</v>
      </c>
      <c r="Z29" s="171">
        <f t="shared" si="3"/>
        <v>24.961579999999998</v>
      </c>
      <c r="AA29" s="171">
        <f t="shared" si="3"/>
        <v>971.18</v>
      </c>
      <c r="AB29" s="181">
        <f t="shared" si="4"/>
        <v>49.899295065458212</v>
      </c>
      <c r="AC29" s="181">
        <f t="shared" si="2"/>
        <v>22.028974127439053</v>
      </c>
      <c r="AD29" s="164">
        <v>29</v>
      </c>
      <c r="AE29" s="181">
        <f>Y29*AD29</f>
        <v>564.42119999999989</v>
      </c>
      <c r="AF29" s="164"/>
    </row>
    <row r="30" spans="1:32" s="178" customFormat="1" ht="15.75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73</v>
      </c>
      <c r="L30" s="166"/>
      <c r="M30" s="166">
        <v>0.4</v>
      </c>
      <c r="N30" s="166"/>
      <c r="O30" s="166"/>
      <c r="P30" s="166"/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 t="shared" si="8"/>
        <v>0</v>
      </c>
      <c r="Z30" s="171">
        <f t="shared" si="3"/>
        <v>0</v>
      </c>
      <c r="AA30" s="171">
        <f t="shared" si="3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s="173" customFormat="1" ht="15.75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110</v>
      </c>
      <c r="L31" s="166"/>
      <c r="M31" s="166">
        <v>0.6</v>
      </c>
      <c r="N31" s="166"/>
      <c r="O31" s="166"/>
      <c r="P31" s="167"/>
      <c r="Q31" s="168">
        <f t="shared" si="0"/>
        <v>0</v>
      </c>
      <c r="R31" s="169">
        <v>0</v>
      </c>
      <c r="S31" s="169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si="8"/>
        <v>0</v>
      </c>
      <c r="Z31" s="171">
        <f t="shared" si="3"/>
        <v>0</v>
      </c>
      <c r="AA31" s="171">
        <f t="shared" si="3"/>
        <v>0</v>
      </c>
      <c r="AB31" s="171">
        <f>U31</f>
        <v>0</v>
      </c>
      <c r="AC31" s="171">
        <f t="shared" si="2"/>
        <v>0</v>
      </c>
      <c r="AD31" s="163">
        <v>0</v>
      </c>
      <c r="AE31" s="171">
        <f t="shared" si="5"/>
        <v>0</v>
      </c>
      <c r="AF31" s="172" t="s">
        <v>215</v>
      </c>
    </row>
    <row r="32" spans="1:32" s="173" customFormat="1" ht="15.9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 t="s">
        <v>246</v>
      </c>
      <c r="K32" s="163"/>
      <c r="L32" s="166">
        <v>420</v>
      </c>
      <c r="M32" s="166"/>
      <c r="N32" s="163">
        <v>6.6</v>
      </c>
      <c r="O32" s="166"/>
      <c r="P32" s="167">
        <v>19.45</v>
      </c>
      <c r="Q32" s="168">
        <f t="shared" si="0"/>
        <v>27.5</v>
      </c>
      <c r="R32" s="169">
        <v>13.964</v>
      </c>
      <c r="S32" s="168">
        <v>20.252000000000002</v>
      </c>
      <c r="T32" s="168">
        <v>393</v>
      </c>
      <c r="U32" s="168">
        <f t="shared" si="6"/>
        <v>28.143798338584933</v>
      </c>
      <c r="V32" s="169">
        <f t="shared" si="7"/>
        <v>31.048785305155054</v>
      </c>
      <c r="W32" s="170">
        <v>0.3</v>
      </c>
      <c r="X32" s="171">
        <f t="shared" si="1"/>
        <v>0.73643636363636378</v>
      </c>
      <c r="Y32" s="171">
        <f t="shared" si="8"/>
        <v>13.68472</v>
      </c>
      <c r="Z32" s="171">
        <f t="shared" si="3"/>
        <v>19.846960000000003</v>
      </c>
      <c r="AA32" s="171">
        <f t="shared" si="3"/>
        <v>385.14</v>
      </c>
      <c r="AB32" s="171">
        <f t="shared" ref="AB32:AB42" si="9">U32</f>
        <v>28.143798338584933</v>
      </c>
      <c r="AC32" s="171">
        <f t="shared" si="2"/>
        <v>31.048785305155054</v>
      </c>
      <c r="AD32" s="163">
        <v>29</v>
      </c>
      <c r="AE32" s="171">
        <f t="shared" si="5"/>
        <v>396.85687999999999</v>
      </c>
      <c r="AF32" s="172"/>
    </row>
    <row r="33" spans="1:32" s="173" customFormat="1" ht="15.9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 t="s">
        <v>239</v>
      </c>
      <c r="K33" s="163"/>
      <c r="L33" s="166">
        <v>476</v>
      </c>
      <c r="M33" s="166"/>
      <c r="N33" s="163">
        <v>6</v>
      </c>
      <c r="O33" s="166"/>
      <c r="P33" s="167">
        <v>15.49</v>
      </c>
      <c r="Q33" s="168">
        <f>LEFT(H33,(FIND("K",H33,1)-1))*J33/100</f>
        <v>13</v>
      </c>
      <c r="R33" s="169">
        <v>5.0890000000000004</v>
      </c>
      <c r="S33" s="168">
        <v>8.5350000000000001</v>
      </c>
      <c r="T33" s="168">
        <v>0</v>
      </c>
      <c r="U33" s="168">
        <v>0</v>
      </c>
      <c r="V33" s="169">
        <f t="shared" si="7"/>
        <v>40.374926772114819</v>
      </c>
      <c r="W33" s="170">
        <v>0.3</v>
      </c>
      <c r="X33" s="171">
        <v>0</v>
      </c>
      <c r="Y33" s="171">
        <f t="shared" si="8"/>
        <v>4.9872200000000007</v>
      </c>
      <c r="Z33" s="171">
        <f t="shared" si="3"/>
        <v>8.3643000000000001</v>
      </c>
      <c r="AA33" s="171">
        <f t="shared" si="3"/>
        <v>0</v>
      </c>
      <c r="AB33" s="171">
        <f t="shared" si="9"/>
        <v>0</v>
      </c>
      <c r="AC33" s="171">
        <f t="shared" si="2"/>
        <v>40.374926772114819</v>
      </c>
      <c r="AD33" s="163">
        <v>29</v>
      </c>
      <c r="AE33" s="171">
        <f>Y33*AD33</f>
        <v>144.62938000000003</v>
      </c>
      <c r="AF33" s="172"/>
    </row>
    <row r="34" spans="1:32" s="173" customFormat="1" ht="16.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 t="s">
        <v>250</v>
      </c>
      <c r="K34" s="163"/>
      <c r="L34" s="166">
        <v>468</v>
      </c>
      <c r="M34" s="166"/>
      <c r="N34" s="163">
        <v>6.7</v>
      </c>
      <c r="O34" s="166"/>
      <c r="P34" s="167">
        <v>14.21</v>
      </c>
      <c r="Q34" s="168">
        <f t="shared" si="0"/>
        <v>66</v>
      </c>
      <c r="R34" s="169">
        <v>4.9550000000000001</v>
      </c>
      <c r="S34" s="168">
        <v>6.7130000000000001</v>
      </c>
      <c r="T34" s="168">
        <v>647</v>
      </c>
      <c r="U34" s="168">
        <f t="shared" si="6"/>
        <v>130.57517658930374</v>
      </c>
      <c r="V34" s="169">
        <f t="shared" si="7"/>
        <v>26.187993445553403</v>
      </c>
      <c r="W34" s="170">
        <v>0.3</v>
      </c>
      <c r="X34" s="171">
        <f t="shared" si="1"/>
        <v>0.10171212121212121</v>
      </c>
      <c r="Y34" s="171">
        <f t="shared" si="8"/>
        <v>4.8559000000000001</v>
      </c>
      <c r="Z34" s="171">
        <f t="shared" si="3"/>
        <v>6.5787399999999998</v>
      </c>
      <c r="AA34" s="171">
        <f t="shared" si="3"/>
        <v>634.05999999999995</v>
      </c>
      <c r="AB34" s="171">
        <f t="shared" si="9"/>
        <v>130.57517658930374</v>
      </c>
      <c r="AC34" s="171">
        <f t="shared" si="2"/>
        <v>26.187993445553403</v>
      </c>
      <c r="AD34" s="163">
        <v>29</v>
      </c>
      <c r="AE34" s="171">
        <f t="shared" si="5"/>
        <v>140.8211</v>
      </c>
      <c r="AF34" s="183"/>
    </row>
    <row r="35" spans="1:32" s="173" customFormat="1" ht="15.9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 t="s">
        <v>246</v>
      </c>
      <c r="K35" s="163"/>
      <c r="L35" s="166">
        <v>471</v>
      </c>
      <c r="M35" s="166"/>
      <c r="N35" s="163">
        <v>7.7</v>
      </c>
      <c r="O35" s="166"/>
      <c r="P35" s="167">
        <v>17.11</v>
      </c>
      <c r="Q35" s="168">
        <f t="shared" si="0"/>
        <v>16.25</v>
      </c>
      <c r="R35" s="169">
        <v>7.1130000000000004</v>
      </c>
      <c r="S35" s="168">
        <v>8.8390000000000004</v>
      </c>
      <c r="T35" s="168">
        <v>21</v>
      </c>
      <c r="U35" s="168">
        <f t="shared" si="6"/>
        <v>2.9523407844791225</v>
      </c>
      <c r="V35" s="169">
        <f t="shared" si="7"/>
        <v>19.527095825319606</v>
      </c>
      <c r="W35" s="170">
        <v>0.7</v>
      </c>
      <c r="X35" s="171">
        <f t="shared" si="1"/>
        <v>0.54393846153846159</v>
      </c>
      <c r="Y35" s="171">
        <f t="shared" si="8"/>
        <v>6.9707400000000002</v>
      </c>
      <c r="Z35" s="171">
        <f t="shared" si="3"/>
        <v>8.6622199999999996</v>
      </c>
      <c r="AA35" s="171">
        <f t="shared" si="3"/>
        <v>20.58</v>
      </c>
      <c r="AB35" s="171">
        <f t="shared" si="9"/>
        <v>2.9523407844791225</v>
      </c>
      <c r="AC35" s="171">
        <f t="shared" si="2"/>
        <v>19.527095825319606</v>
      </c>
      <c r="AD35" s="163">
        <v>29</v>
      </c>
      <c r="AE35" s="171">
        <f t="shared" si="5"/>
        <v>202.15146000000001</v>
      </c>
      <c r="AF35" s="179"/>
    </row>
    <row r="36" spans="1:32" s="173" customFormat="1" ht="15.9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5">
        <v>551.13</v>
      </c>
      <c r="J36" s="163" t="s">
        <v>248</v>
      </c>
      <c r="K36" s="163"/>
      <c r="L36" s="166">
        <v>387</v>
      </c>
      <c r="M36" s="166"/>
      <c r="N36" s="163">
        <v>7.3</v>
      </c>
      <c r="O36" s="166"/>
      <c r="P36" s="167">
        <v>25.2</v>
      </c>
      <c r="Q36" s="168">
        <f t="shared" si="0"/>
        <v>18.7</v>
      </c>
      <c r="R36" s="169">
        <v>6.5019999999999998</v>
      </c>
      <c r="S36" s="168">
        <v>9.1449999999999996</v>
      </c>
      <c r="T36" s="168">
        <v>65</v>
      </c>
      <c r="U36" s="168">
        <v>0</v>
      </c>
      <c r="V36" s="169">
        <f t="shared" si="7"/>
        <v>28.901038819026791</v>
      </c>
      <c r="W36" s="170">
        <v>0.1</v>
      </c>
      <c r="X36" s="171">
        <v>0</v>
      </c>
      <c r="Y36" s="171">
        <f t="shared" si="8"/>
        <v>6.3719599999999996</v>
      </c>
      <c r="Z36" s="171">
        <f t="shared" si="3"/>
        <v>8.9620999999999995</v>
      </c>
      <c r="AA36" s="171">
        <f t="shared" si="3"/>
        <v>63.699999999999996</v>
      </c>
      <c r="AB36" s="171">
        <f t="shared" si="9"/>
        <v>0</v>
      </c>
      <c r="AC36" s="171">
        <f t="shared" si="2"/>
        <v>28.901038819026791</v>
      </c>
      <c r="AD36" s="163">
        <v>29</v>
      </c>
      <c r="AE36" s="171">
        <f t="shared" si="5"/>
        <v>184.78683999999998</v>
      </c>
      <c r="AF36" s="172"/>
    </row>
    <row r="37" spans="1:32" s="173" customFormat="1" ht="15.9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 t="s">
        <v>251</v>
      </c>
      <c r="K37" s="163"/>
      <c r="L37" s="166">
        <v>220</v>
      </c>
      <c r="M37" s="166"/>
      <c r="N37" s="163">
        <v>7.7</v>
      </c>
      <c r="O37" s="166"/>
      <c r="P37" s="167">
        <v>41.65</v>
      </c>
      <c r="Q37" s="168">
        <f t="shared" si="0"/>
        <v>40.700000000000003</v>
      </c>
      <c r="R37" s="169">
        <v>24.026</v>
      </c>
      <c r="S37" s="168">
        <v>38.697000000000003</v>
      </c>
      <c r="T37" s="168">
        <v>254</v>
      </c>
      <c r="U37" s="168">
        <f t="shared" si="6"/>
        <v>10.571880462831933</v>
      </c>
      <c r="V37" s="169">
        <f t="shared" si="7"/>
        <v>37.912499676977546</v>
      </c>
      <c r="W37" s="170">
        <v>0.3</v>
      </c>
      <c r="X37" s="171">
        <f t="shared" si="1"/>
        <v>0.95078624078624074</v>
      </c>
      <c r="Y37" s="171">
        <f t="shared" si="8"/>
        <v>23.545479999999998</v>
      </c>
      <c r="Z37" s="171">
        <f t="shared" si="3"/>
        <v>37.92306</v>
      </c>
      <c r="AA37" s="171">
        <f t="shared" si="3"/>
        <v>248.92</v>
      </c>
      <c r="AB37" s="171">
        <f t="shared" si="9"/>
        <v>10.571880462831933</v>
      </c>
      <c r="AC37" s="171">
        <f t="shared" si="2"/>
        <v>37.912499676977546</v>
      </c>
      <c r="AD37" s="163">
        <v>29</v>
      </c>
      <c r="AE37" s="171">
        <f t="shared" si="5"/>
        <v>682.81891999999993</v>
      </c>
      <c r="AF37" s="172"/>
    </row>
    <row r="38" spans="1:32" s="173" customFormat="1" ht="15.9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 t="s">
        <v>252</v>
      </c>
      <c r="K38" s="163"/>
      <c r="L38" s="166">
        <v>449</v>
      </c>
      <c r="M38" s="166"/>
      <c r="N38" s="163">
        <v>8.5</v>
      </c>
      <c r="O38" s="166"/>
      <c r="P38" s="167">
        <v>19.57</v>
      </c>
      <c r="Q38" s="168">
        <f>LEFT(H38,(FIND("K",H38,1)-1))*J38/100</f>
        <v>62.7</v>
      </c>
      <c r="R38" s="169">
        <v>15.247</v>
      </c>
      <c r="S38" s="168">
        <v>22.926000000000002</v>
      </c>
      <c r="T38" s="168">
        <v>1410</v>
      </c>
      <c r="U38" s="168">
        <f t="shared" si="6"/>
        <v>92.477208631206139</v>
      </c>
      <c r="V38" s="169">
        <f t="shared" si="7"/>
        <v>33.494722149524563</v>
      </c>
      <c r="W38" s="170">
        <v>0.3</v>
      </c>
      <c r="X38" s="171">
        <f t="shared" si="1"/>
        <v>0.36564593301435411</v>
      </c>
      <c r="Y38" s="171">
        <f t="shared" si="8"/>
        <v>14.94206</v>
      </c>
      <c r="Z38" s="171">
        <f t="shared" si="3"/>
        <v>22.467480000000002</v>
      </c>
      <c r="AA38" s="171">
        <f t="shared" si="3"/>
        <v>1381.8</v>
      </c>
      <c r="AB38" s="171">
        <f t="shared" si="9"/>
        <v>92.477208631206139</v>
      </c>
      <c r="AC38" s="171">
        <f t="shared" si="2"/>
        <v>33.494722149524563</v>
      </c>
      <c r="AD38" s="163">
        <v>29</v>
      </c>
      <c r="AE38" s="171">
        <f t="shared" si="5"/>
        <v>433.31973999999997</v>
      </c>
      <c r="AF38" s="172"/>
    </row>
    <row r="39" spans="1:32" s="173" customFormat="1" ht="15.9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 t="s">
        <v>253</v>
      </c>
      <c r="K39" s="163"/>
      <c r="L39" s="163">
        <v>294</v>
      </c>
      <c r="M39" s="166"/>
      <c r="N39" s="163">
        <v>7.8</v>
      </c>
      <c r="O39" s="166"/>
      <c r="P39" s="182">
        <v>31.92</v>
      </c>
      <c r="Q39" s="171">
        <f t="shared" ref="Q39:Q71" si="10">LEFT(H39,(FIND("K",H39,1)-1))*J39/100</f>
        <v>9.1999999999999993</v>
      </c>
      <c r="R39" s="170">
        <v>6.3019999999999996</v>
      </c>
      <c r="S39" s="171">
        <v>8.5269999999999992</v>
      </c>
      <c r="T39" s="171">
        <v>52</v>
      </c>
      <c r="U39" s="171">
        <f t="shared" si="6"/>
        <v>8.2513487781656618</v>
      </c>
      <c r="V39" s="169">
        <f t="shared" si="7"/>
        <v>26.093585082678551</v>
      </c>
      <c r="W39" s="170">
        <v>0.5</v>
      </c>
      <c r="X39" s="171">
        <f t="shared" si="1"/>
        <v>0.92684782608695648</v>
      </c>
      <c r="Y39" s="171">
        <f t="shared" si="8"/>
        <v>6.1759599999999999</v>
      </c>
      <c r="Z39" s="171">
        <f t="shared" si="3"/>
        <v>8.3564599999999984</v>
      </c>
      <c r="AA39" s="171">
        <f t="shared" si="3"/>
        <v>50.96</v>
      </c>
      <c r="AB39" s="171">
        <f t="shared" si="9"/>
        <v>8.2513487781656618</v>
      </c>
      <c r="AC39" s="171">
        <f t="shared" si="2"/>
        <v>26.093585082678551</v>
      </c>
      <c r="AD39" s="163">
        <v>29</v>
      </c>
      <c r="AE39" s="171">
        <f t="shared" si="5"/>
        <v>179.10283999999999</v>
      </c>
      <c r="AF39" s="172"/>
    </row>
    <row r="40" spans="1:32" s="178" customFormat="1" ht="15.95" customHeight="1" x14ac:dyDescent="0.2">
      <c r="A40" s="163">
        <v>27</v>
      </c>
      <c r="B40" s="187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 t="s">
        <v>253</v>
      </c>
      <c r="K40" s="158"/>
      <c r="L40" s="159">
        <v>423</v>
      </c>
      <c r="M40" s="159"/>
      <c r="N40" s="163">
        <v>6.9</v>
      </c>
      <c r="O40" s="159"/>
      <c r="P40" s="160">
        <v>18.73</v>
      </c>
      <c r="Q40" s="171">
        <f t="shared" si="10"/>
        <v>25.3</v>
      </c>
      <c r="R40" s="170">
        <v>7.9240000000000004</v>
      </c>
      <c r="S40" s="174">
        <v>10.878</v>
      </c>
      <c r="T40" s="174">
        <v>635</v>
      </c>
      <c r="U40" s="171">
        <f t="shared" si="6"/>
        <v>80.136294800605754</v>
      </c>
      <c r="V40" s="169">
        <f t="shared" si="7"/>
        <v>27.155727155727156</v>
      </c>
      <c r="W40" s="170">
        <v>0.3</v>
      </c>
      <c r="X40" s="171">
        <f t="shared" si="1"/>
        <v>0.42996047430830037</v>
      </c>
      <c r="Y40" s="171">
        <f t="shared" si="8"/>
        <v>7.7655200000000004</v>
      </c>
      <c r="Z40" s="171">
        <f t="shared" si="3"/>
        <v>10.660439999999999</v>
      </c>
      <c r="AA40" s="171">
        <f t="shared" si="3"/>
        <v>622.29999999999995</v>
      </c>
      <c r="AB40" s="171">
        <f t="shared" si="9"/>
        <v>80.136294800605754</v>
      </c>
      <c r="AC40" s="171">
        <f t="shared" si="2"/>
        <v>27.155727155727156</v>
      </c>
      <c r="AD40" s="163">
        <v>29</v>
      </c>
      <c r="AE40" s="171">
        <f t="shared" si="5"/>
        <v>225.20008000000001</v>
      </c>
      <c r="AF40" s="190"/>
    </row>
    <row r="41" spans="1:32" s="178" customFormat="1" ht="15.95" customHeight="1" x14ac:dyDescent="0.2">
      <c r="A41" s="163">
        <v>28</v>
      </c>
      <c r="B41" s="187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130</v>
      </c>
      <c r="L41" s="163"/>
      <c r="M41" s="159">
        <v>0</v>
      </c>
      <c r="N41" s="163"/>
      <c r="O41" s="159"/>
      <c r="P41" s="160"/>
      <c r="Q41" s="171">
        <v>0</v>
      </c>
      <c r="R41" s="170">
        <v>0</v>
      </c>
      <c r="S41" s="174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si="8"/>
        <v>0</v>
      </c>
      <c r="Z41" s="171">
        <f t="shared" si="3"/>
        <v>0</v>
      </c>
      <c r="AA41" s="171">
        <f t="shared" si="3"/>
        <v>0</v>
      </c>
      <c r="AB41" s="171">
        <f t="shared" si="9"/>
        <v>0</v>
      </c>
      <c r="AC41" s="171">
        <f t="shared" si="2"/>
        <v>0</v>
      </c>
      <c r="AD41" s="163">
        <v>0</v>
      </c>
      <c r="AE41" s="171">
        <f t="shared" si="5"/>
        <v>0</v>
      </c>
      <c r="AF41" s="190" t="s">
        <v>215</v>
      </c>
    </row>
    <row r="42" spans="1:32" s="178" customFormat="1" ht="15.95" customHeight="1" x14ac:dyDescent="0.2">
      <c r="A42" s="163">
        <v>29</v>
      </c>
      <c r="B42" s="187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 t="s">
        <v>248</v>
      </c>
      <c r="K42" s="158"/>
      <c r="L42" s="159">
        <v>192</v>
      </c>
      <c r="M42" s="159"/>
      <c r="N42" s="163">
        <v>0.1</v>
      </c>
      <c r="O42" s="159"/>
      <c r="P42" s="160">
        <v>39.29</v>
      </c>
      <c r="Q42" s="171">
        <f t="shared" si="10"/>
        <v>5.0999999999999996</v>
      </c>
      <c r="R42" s="170">
        <v>2.9820000000000002</v>
      </c>
      <c r="S42" s="174">
        <v>4.6840000000000002</v>
      </c>
      <c r="T42" s="174">
        <v>1</v>
      </c>
      <c r="U42" s="171">
        <f>T42/R42</f>
        <v>0.33534540576794097</v>
      </c>
      <c r="V42" s="169">
        <f t="shared" si="7"/>
        <v>36.336464560204952</v>
      </c>
      <c r="W42" s="170">
        <v>0.3</v>
      </c>
      <c r="X42" s="171">
        <f t="shared" si="1"/>
        <v>0.91843137254901974</v>
      </c>
      <c r="Y42" s="171">
        <f t="shared" si="8"/>
        <v>2.9223600000000003</v>
      </c>
      <c r="Z42" s="171">
        <f t="shared" si="3"/>
        <v>4.5903200000000002</v>
      </c>
      <c r="AA42" s="171">
        <f t="shared" si="3"/>
        <v>0.98</v>
      </c>
      <c r="AB42" s="171">
        <f t="shared" si="9"/>
        <v>0.33534540576794097</v>
      </c>
      <c r="AC42" s="171">
        <f t="shared" si="2"/>
        <v>36.336464560204952</v>
      </c>
      <c r="AD42" s="163">
        <v>29</v>
      </c>
      <c r="AE42" s="171">
        <f t="shared" si="5"/>
        <v>84.748440000000002</v>
      </c>
      <c r="AF42" s="190"/>
    </row>
    <row r="43" spans="1:32" s="173" customFormat="1" ht="15.75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 t="s">
        <v>248</v>
      </c>
      <c r="K43" s="163"/>
      <c r="L43" s="166">
        <v>440</v>
      </c>
      <c r="M43" s="166"/>
      <c r="N43" s="163">
        <v>5.0999999999999996</v>
      </c>
      <c r="O43" s="166"/>
      <c r="P43" s="182">
        <v>16.600000000000001</v>
      </c>
      <c r="Q43" s="171">
        <f t="shared" si="10"/>
        <v>11.05</v>
      </c>
      <c r="R43" s="170">
        <v>4.008</v>
      </c>
      <c r="S43" s="171">
        <v>6.2189999999999994</v>
      </c>
      <c r="T43" s="171">
        <v>4</v>
      </c>
      <c r="U43" s="171">
        <f t="shared" si="6"/>
        <v>0.99800399201596801</v>
      </c>
      <c r="V43" s="169">
        <f t="shared" si="7"/>
        <v>35.552339604438004</v>
      </c>
      <c r="W43" s="170">
        <v>0.4</v>
      </c>
      <c r="X43" s="171">
        <f t="shared" si="1"/>
        <v>0.5628054298642533</v>
      </c>
      <c r="Y43" s="171">
        <f t="shared" si="8"/>
        <v>3.9278399999999998</v>
      </c>
      <c r="Z43" s="171">
        <f t="shared" si="3"/>
        <v>6.094619999999999</v>
      </c>
      <c r="AA43" s="171">
        <f t="shared" si="3"/>
        <v>3.92</v>
      </c>
      <c r="AB43" s="171">
        <f>U43</f>
        <v>0.99800399201596801</v>
      </c>
      <c r="AC43" s="171">
        <f t="shared" si="2"/>
        <v>35.552339604438004</v>
      </c>
      <c r="AD43" s="163">
        <v>29</v>
      </c>
      <c r="AE43" s="171">
        <f t="shared" si="5"/>
        <v>113.90736</v>
      </c>
      <c r="AF43" s="179"/>
    </row>
    <row r="44" spans="1:32" s="173" customFormat="1" ht="15.75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 t="s">
        <v>248</v>
      </c>
      <c r="K44" s="163"/>
      <c r="L44" s="163">
        <v>176</v>
      </c>
      <c r="M44" s="166"/>
      <c r="N44" s="182">
        <v>4</v>
      </c>
      <c r="O44" s="166"/>
      <c r="P44" s="182">
        <v>41.88</v>
      </c>
      <c r="Q44" s="171">
        <f t="shared" si="10"/>
        <v>5.0999999999999996</v>
      </c>
      <c r="R44" s="170">
        <v>2.1389999999999998</v>
      </c>
      <c r="S44" s="171">
        <v>3.5939999999999999</v>
      </c>
      <c r="T44" s="171">
        <v>0</v>
      </c>
      <c r="U44" s="171">
        <f t="shared" si="6"/>
        <v>0</v>
      </c>
      <c r="V44" s="169">
        <f t="shared" si="7"/>
        <v>40.484140233722876</v>
      </c>
      <c r="W44" s="170">
        <v>0.4</v>
      </c>
      <c r="X44" s="171">
        <f t="shared" si="1"/>
        <v>0.70470588235294118</v>
      </c>
      <c r="Y44" s="171">
        <f t="shared" si="8"/>
        <v>2.0962199999999998</v>
      </c>
      <c r="Z44" s="171">
        <f t="shared" si="3"/>
        <v>3.5221199999999997</v>
      </c>
      <c r="AA44" s="171">
        <f t="shared" si="3"/>
        <v>0</v>
      </c>
      <c r="AB44" s="171">
        <f>U44</f>
        <v>0</v>
      </c>
      <c r="AC44" s="171">
        <f t="shared" si="2"/>
        <v>40.484140233722876</v>
      </c>
      <c r="AD44" s="163">
        <v>29</v>
      </c>
      <c r="AE44" s="171">
        <f t="shared" si="5"/>
        <v>60.790379999999992</v>
      </c>
      <c r="AF44" s="179"/>
    </row>
    <row r="45" spans="1:32" s="173" customFormat="1" ht="15.75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 t="s">
        <v>239</v>
      </c>
      <c r="K45" s="163"/>
      <c r="L45" s="166">
        <v>462</v>
      </c>
      <c r="M45" s="166"/>
      <c r="N45" s="163">
        <v>6.2</v>
      </c>
      <c r="O45" s="166"/>
      <c r="P45" s="167">
        <v>14.8</v>
      </c>
      <c r="Q45" s="168">
        <f t="shared" si="10"/>
        <v>13</v>
      </c>
      <c r="R45" s="169">
        <v>4.694</v>
      </c>
      <c r="S45" s="168">
        <v>7.6459999999999999</v>
      </c>
      <c r="T45" s="168">
        <v>109</v>
      </c>
      <c r="U45" s="168">
        <f t="shared" si="6"/>
        <v>23.221133361738389</v>
      </c>
      <c r="V45" s="169">
        <f t="shared" si="7"/>
        <v>38.608422704682191</v>
      </c>
      <c r="W45" s="170">
        <v>0.3</v>
      </c>
      <c r="X45" s="171">
        <f t="shared" si="1"/>
        <v>0.58815384615384614</v>
      </c>
      <c r="Y45" s="171">
        <f t="shared" si="8"/>
        <v>4.6001199999999995</v>
      </c>
      <c r="Z45" s="171">
        <f t="shared" si="3"/>
        <v>7.49308</v>
      </c>
      <c r="AA45" s="171">
        <f t="shared" si="3"/>
        <v>106.82</v>
      </c>
      <c r="AB45" s="171">
        <f t="shared" ref="AB45:AB59" si="11">U45</f>
        <v>23.221133361738389</v>
      </c>
      <c r="AC45" s="171">
        <f t="shared" si="2"/>
        <v>38.608422704682191</v>
      </c>
      <c r="AD45" s="163">
        <v>29</v>
      </c>
      <c r="AE45" s="171">
        <f t="shared" si="5"/>
        <v>133.40347999999997</v>
      </c>
      <c r="AF45" s="179"/>
    </row>
    <row r="46" spans="1:32" s="173" customFormat="1" ht="15.75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 t="s">
        <v>240</v>
      </c>
      <c r="K46" s="166">
        <v>263</v>
      </c>
      <c r="L46" s="163"/>
      <c r="M46" s="166">
        <v>0.5</v>
      </c>
      <c r="N46" s="163"/>
      <c r="O46" s="166"/>
      <c r="P46" s="167"/>
      <c r="Q46" s="168">
        <f t="shared" si="10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8"/>
        <v>0</v>
      </c>
      <c r="Z46" s="171">
        <f t="shared" si="3"/>
        <v>0</v>
      </c>
      <c r="AA46" s="171">
        <f t="shared" si="3"/>
        <v>0</v>
      </c>
      <c r="AB46" s="171">
        <f t="shared" si="11"/>
        <v>0</v>
      </c>
      <c r="AC46" s="171">
        <f t="shared" si="2"/>
        <v>0</v>
      </c>
      <c r="AD46" s="163">
        <v>29</v>
      </c>
      <c r="AE46" s="171">
        <f t="shared" si="5"/>
        <v>0</v>
      </c>
      <c r="AF46" s="190" t="s">
        <v>215</v>
      </c>
    </row>
    <row r="47" spans="1:32" s="173" customFormat="1" ht="15.75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 t="s">
        <v>239</v>
      </c>
      <c r="K47" s="163"/>
      <c r="L47" s="166">
        <v>419</v>
      </c>
      <c r="M47" s="166"/>
      <c r="N47" s="163">
        <v>7.8</v>
      </c>
      <c r="O47" s="166"/>
      <c r="P47" s="167">
        <v>21.61</v>
      </c>
      <c r="Q47" s="168">
        <f t="shared" si="10"/>
        <v>13</v>
      </c>
      <c r="R47" s="169">
        <v>5.9859999999999998</v>
      </c>
      <c r="S47" s="168">
        <v>11.010999999999999</v>
      </c>
      <c r="T47" s="168">
        <v>83</v>
      </c>
      <c r="U47" s="168">
        <f>T47/R47</f>
        <v>13.8656866020715</v>
      </c>
      <c r="V47" s="169">
        <f t="shared" si="7"/>
        <v>45.636181999818362</v>
      </c>
      <c r="W47" s="170">
        <v>0.3</v>
      </c>
      <c r="X47" s="171">
        <f t="shared" ref="X47:X53" si="12">S47/Q47</f>
        <v>0.84699999999999998</v>
      </c>
      <c r="Y47" s="171">
        <f t="shared" si="8"/>
        <v>5.8662799999999997</v>
      </c>
      <c r="Z47" s="171">
        <f t="shared" si="3"/>
        <v>10.79078</v>
      </c>
      <c r="AA47" s="171">
        <f t="shared" si="3"/>
        <v>81.34</v>
      </c>
      <c r="AB47" s="171">
        <f t="shared" si="11"/>
        <v>13.8656866020715</v>
      </c>
      <c r="AC47" s="171">
        <f t="shared" si="2"/>
        <v>45.636181999818362</v>
      </c>
      <c r="AD47" s="163">
        <v>29</v>
      </c>
      <c r="AE47" s="171">
        <f t="shared" si="5"/>
        <v>170.12212</v>
      </c>
      <c r="AF47" s="179"/>
    </row>
    <row r="48" spans="1:32" s="173" customFormat="1" ht="15.75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 t="s">
        <v>254</v>
      </c>
      <c r="K48" s="163"/>
      <c r="L48" s="166">
        <v>411</v>
      </c>
      <c r="M48" s="166"/>
      <c r="N48" s="163">
        <v>0.1</v>
      </c>
      <c r="O48" s="166"/>
      <c r="P48" s="167">
        <v>15.1</v>
      </c>
      <c r="Q48" s="168">
        <f t="shared" si="10"/>
        <v>15</v>
      </c>
      <c r="R48" s="169">
        <v>1.3819999999999999</v>
      </c>
      <c r="S48" s="168">
        <v>1.9899999999999998</v>
      </c>
      <c r="T48" s="168">
        <v>0</v>
      </c>
      <c r="U48" s="168">
        <f t="shared" ref="U48:U56" si="13">T48/R48</f>
        <v>0</v>
      </c>
      <c r="V48" s="169">
        <f t="shared" si="7"/>
        <v>30.552763819095475</v>
      </c>
      <c r="W48" s="170">
        <v>0.2</v>
      </c>
      <c r="X48" s="171">
        <v>0</v>
      </c>
      <c r="Y48" s="171">
        <f t="shared" si="8"/>
        <v>1.3543599999999998</v>
      </c>
      <c r="Z48" s="171">
        <f t="shared" si="3"/>
        <v>1.9501999999999997</v>
      </c>
      <c r="AA48" s="171">
        <f t="shared" si="3"/>
        <v>0</v>
      </c>
      <c r="AB48" s="171">
        <f t="shared" si="11"/>
        <v>0</v>
      </c>
      <c r="AC48" s="171">
        <f t="shared" si="2"/>
        <v>30.552763819095475</v>
      </c>
      <c r="AD48" s="163">
        <v>29</v>
      </c>
      <c r="AE48" s="171">
        <f t="shared" si="5"/>
        <v>39.276439999999994</v>
      </c>
      <c r="AF48" s="172"/>
    </row>
    <row r="49" spans="1:5203" s="192" customFormat="1" ht="15.75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 t="s">
        <v>248</v>
      </c>
      <c r="K49" s="163"/>
      <c r="L49" s="166">
        <v>86</v>
      </c>
      <c r="M49" s="166"/>
      <c r="N49" s="163">
        <v>4.2</v>
      </c>
      <c r="O49" s="166"/>
      <c r="P49" s="167">
        <v>52.54</v>
      </c>
      <c r="Q49" s="168">
        <f t="shared" si="10"/>
        <v>11.05</v>
      </c>
      <c r="R49" s="169">
        <v>4.4509999999999996</v>
      </c>
      <c r="S49" s="168">
        <v>10.393999999999998</v>
      </c>
      <c r="T49" s="168">
        <v>3</v>
      </c>
      <c r="U49" s="168">
        <f t="shared" si="13"/>
        <v>0.67400584138395869</v>
      </c>
      <c r="V49" s="169">
        <f t="shared" si="7"/>
        <v>57.177217625553197</v>
      </c>
      <c r="W49" s="170">
        <v>0</v>
      </c>
      <c r="X49" s="171">
        <v>0</v>
      </c>
      <c r="Y49" s="171">
        <f t="shared" si="8"/>
        <v>4.36198</v>
      </c>
      <c r="Z49" s="171">
        <f t="shared" si="3"/>
        <v>10.186119999999999</v>
      </c>
      <c r="AA49" s="171">
        <f t="shared" si="3"/>
        <v>2.94</v>
      </c>
      <c r="AB49" s="171">
        <f t="shared" si="11"/>
        <v>0.67400584138395869</v>
      </c>
      <c r="AC49" s="171">
        <f t="shared" si="2"/>
        <v>57.177217625553197</v>
      </c>
      <c r="AD49" s="163">
        <v>29</v>
      </c>
      <c r="AE49" s="171">
        <f t="shared" si="5"/>
        <v>126.49742000000001</v>
      </c>
      <c r="AF49" s="172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1"/>
      <c r="IP49" s="191"/>
      <c r="IQ49" s="191"/>
      <c r="IR49" s="191"/>
      <c r="IS49" s="191"/>
      <c r="IT49" s="191"/>
      <c r="IU49" s="191"/>
      <c r="IV49" s="191"/>
      <c r="IW49" s="191"/>
      <c r="IX49" s="191"/>
      <c r="IY49" s="191"/>
      <c r="IZ49" s="191"/>
      <c r="JA49" s="191"/>
      <c r="JB49" s="191"/>
      <c r="JC49" s="191"/>
      <c r="JD49" s="191"/>
      <c r="JE49" s="191"/>
      <c r="JF49" s="191"/>
      <c r="JG49" s="191"/>
      <c r="JH49" s="191"/>
      <c r="JI49" s="191"/>
      <c r="JJ49" s="191"/>
      <c r="JK49" s="191"/>
      <c r="JL49" s="191"/>
      <c r="JM49" s="191"/>
      <c r="JN49" s="191"/>
      <c r="JO49" s="191"/>
      <c r="JP49" s="191"/>
      <c r="JQ49" s="191"/>
      <c r="JR49" s="191"/>
      <c r="JS49" s="191"/>
      <c r="JT49" s="191"/>
      <c r="JU49" s="191"/>
      <c r="JV49" s="191"/>
      <c r="JW49" s="191"/>
      <c r="JX49" s="191"/>
      <c r="JY49" s="191"/>
      <c r="JZ49" s="191"/>
      <c r="KA49" s="191"/>
      <c r="KB49" s="191"/>
      <c r="KC49" s="191"/>
      <c r="KD49" s="191"/>
      <c r="KE49" s="191"/>
      <c r="KF49" s="191"/>
      <c r="KG49" s="191"/>
      <c r="KH49" s="191"/>
      <c r="KI49" s="191"/>
      <c r="KJ49" s="191"/>
      <c r="KK49" s="191"/>
      <c r="KL49" s="191"/>
      <c r="KM49" s="191"/>
      <c r="KN49" s="191"/>
      <c r="KO49" s="191"/>
      <c r="KP49" s="191"/>
      <c r="KQ49" s="191"/>
      <c r="KR49" s="191"/>
      <c r="KS49" s="191"/>
      <c r="KT49" s="191"/>
      <c r="KU49" s="191"/>
      <c r="KV49" s="191"/>
      <c r="KW49" s="191"/>
      <c r="KX49" s="191"/>
      <c r="KY49" s="191"/>
      <c r="KZ49" s="191"/>
      <c r="LA49" s="191"/>
      <c r="LB49" s="191"/>
      <c r="LC49" s="191"/>
      <c r="LD49" s="191"/>
      <c r="LE49" s="191"/>
      <c r="LF49" s="191"/>
      <c r="LG49" s="191"/>
      <c r="LH49" s="191"/>
      <c r="LI49" s="191"/>
      <c r="LJ49" s="191"/>
      <c r="LK49" s="191"/>
      <c r="LL49" s="191"/>
      <c r="LM49" s="191"/>
      <c r="LN49" s="191"/>
      <c r="LO49" s="191"/>
      <c r="LP49" s="191"/>
      <c r="LQ49" s="191"/>
      <c r="LR49" s="191"/>
      <c r="LS49" s="191"/>
      <c r="LT49" s="191"/>
      <c r="LU49" s="191"/>
      <c r="LV49" s="191"/>
      <c r="LW49" s="191"/>
      <c r="LX49" s="191"/>
      <c r="LY49" s="191"/>
      <c r="LZ49" s="191"/>
      <c r="MA49" s="191"/>
      <c r="MB49" s="191"/>
      <c r="MC49" s="191"/>
      <c r="MD49" s="191"/>
      <c r="ME49" s="191"/>
      <c r="MF49" s="191"/>
      <c r="MG49" s="191"/>
      <c r="MH49" s="191"/>
      <c r="MI49" s="191"/>
      <c r="MJ49" s="191"/>
      <c r="MK49" s="191"/>
      <c r="ML49" s="191"/>
      <c r="MM49" s="191"/>
      <c r="MN49" s="191"/>
      <c r="MO49" s="191"/>
      <c r="MP49" s="191"/>
      <c r="MQ49" s="191"/>
      <c r="MR49" s="191"/>
      <c r="MS49" s="191"/>
      <c r="MT49" s="191"/>
      <c r="MU49" s="191"/>
      <c r="MV49" s="191"/>
      <c r="MW49" s="191"/>
      <c r="MX49" s="191"/>
      <c r="MY49" s="191"/>
      <c r="MZ49" s="191"/>
      <c r="NA49" s="191"/>
      <c r="NB49" s="191"/>
      <c r="NC49" s="191"/>
      <c r="ND49" s="191"/>
      <c r="NE49" s="191"/>
      <c r="NF49" s="191"/>
      <c r="NG49" s="191"/>
      <c r="NH49" s="191"/>
      <c r="NI49" s="191"/>
      <c r="NJ49" s="191"/>
      <c r="NK49" s="191"/>
      <c r="NL49" s="191"/>
      <c r="NM49" s="191"/>
      <c r="NN49" s="191"/>
      <c r="NO49" s="191"/>
      <c r="NP49" s="191"/>
      <c r="NQ49" s="191"/>
      <c r="NR49" s="191"/>
      <c r="NS49" s="191"/>
      <c r="NT49" s="191"/>
      <c r="NU49" s="191"/>
      <c r="NV49" s="191"/>
      <c r="NW49" s="191"/>
      <c r="NX49" s="191"/>
      <c r="NY49" s="191"/>
      <c r="NZ49" s="191"/>
      <c r="OA49" s="191"/>
      <c r="OB49" s="191"/>
      <c r="OC49" s="191"/>
      <c r="OD49" s="191"/>
      <c r="OE49" s="191"/>
      <c r="OF49" s="191"/>
      <c r="OG49" s="191"/>
      <c r="OH49" s="191"/>
      <c r="OI49" s="191"/>
      <c r="OJ49" s="191"/>
      <c r="OK49" s="191"/>
      <c r="OL49" s="191"/>
      <c r="OM49" s="191"/>
      <c r="ON49" s="191"/>
      <c r="OO49" s="191"/>
      <c r="OP49" s="191"/>
      <c r="OQ49" s="191"/>
      <c r="OR49" s="191"/>
      <c r="OS49" s="191"/>
      <c r="OT49" s="191"/>
      <c r="OU49" s="191"/>
      <c r="OV49" s="191"/>
      <c r="OW49" s="191"/>
      <c r="OX49" s="191"/>
      <c r="OY49" s="191"/>
      <c r="OZ49" s="191"/>
      <c r="PA49" s="191"/>
      <c r="PB49" s="191"/>
      <c r="PC49" s="191"/>
      <c r="PD49" s="191"/>
      <c r="PE49" s="191"/>
      <c r="PF49" s="191"/>
      <c r="PG49" s="191"/>
      <c r="PH49" s="191"/>
      <c r="PI49" s="191"/>
      <c r="PJ49" s="191"/>
      <c r="PK49" s="191"/>
      <c r="PL49" s="191"/>
      <c r="PM49" s="191"/>
      <c r="PN49" s="191"/>
      <c r="PO49" s="191"/>
      <c r="PP49" s="191"/>
      <c r="PQ49" s="191"/>
      <c r="PR49" s="191"/>
      <c r="PS49" s="191"/>
      <c r="PT49" s="191"/>
      <c r="PU49" s="191"/>
      <c r="PV49" s="191"/>
      <c r="PW49" s="191"/>
      <c r="PX49" s="191"/>
      <c r="PY49" s="191"/>
      <c r="PZ49" s="191"/>
      <c r="QA49" s="191"/>
      <c r="QB49" s="191"/>
      <c r="QC49" s="191"/>
      <c r="QD49" s="191"/>
      <c r="QE49" s="191"/>
      <c r="QF49" s="191"/>
      <c r="QG49" s="191"/>
      <c r="QH49" s="191"/>
      <c r="QI49" s="191"/>
      <c r="QJ49" s="191"/>
      <c r="QK49" s="191"/>
      <c r="QL49" s="191"/>
      <c r="QM49" s="191"/>
      <c r="QN49" s="191"/>
      <c r="QO49" s="191"/>
      <c r="QP49" s="191"/>
      <c r="QQ49" s="191"/>
      <c r="QR49" s="191"/>
      <c r="QS49" s="191"/>
      <c r="QT49" s="191"/>
      <c r="QU49" s="191"/>
      <c r="QV49" s="191"/>
      <c r="QW49" s="191"/>
      <c r="QX49" s="191"/>
      <c r="QY49" s="191"/>
      <c r="QZ49" s="191"/>
      <c r="RA49" s="191"/>
      <c r="RB49" s="191"/>
      <c r="RC49" s="191"/>
      <c r="RD49" s="191"/>
      <c r="RE49" s="191"/>
      <c r="RF49" s="191"/>
      <c r="RG49" s="191"/>
      <c r="RH49" s="191"/>
      <c r="RI49" s="191"/>
      <c r="RJ49" s="191"/>
      <c r="RK49" s="191"/>
      <c r="RL49" s="191"/>
      <c r="RM49" s="191"/>
      <c r="RN49" s="191"/>
      <c r="RO49" s="191"/>
      <c r="RP49" s="191"/>
      <c r="RQ49" s="191"/>
      <c r="RR49" s="191"/>
      <c r="RS49" s="191"/>
      <c r="RT49" s="191"/>
      <c r="RU49" s="191"/>
      <c r="RV49" s="191"/>
      <c r="RW49" s="191"/>
      <c r="RX49" s="191"/>
      <c r="RY49" s="191"/>
      <c r="RZ49" s="191"/>
      <c r="SA49" s="191"/>
      <c r="SB49" s="191"/>
      <c r="SC49" s="191"/>
      <c r="SD49" s="191"/>
      <c r="SE49" s="191"/>
      <c r="SF49" s="191"/>
      <c r="SG49" s="191"/>
      <c r="SH49" s="191"/>
      <c r="SI49" s="191"/>
      <c r="SJ49" s="191"/>
      <c r="SK49" s="191"/>
      <c r="SL49" s="191"/>
      <c r="SM49" s="191"/>
      <c r="SN49" s="191"/>
      <c r="SO49" s="191"/>
      <c r="SP49" s="191"/>
      <c r="SQ49" s="191"/>
      <c r="SR49" s="191"/>
      <c r="SS49" s="191"/>
      <c r="ST49" s="191"/>
      <c r="SU49" s="191"/>
      <c r="SV49" s="191"/>
      <c r="SW49" s="191"/>
      <c r="SX49" s="191"/>
      <c r="SY49" s="191"/>
      <c r="SZ49" s="191"/>
      <c r="TA49" s="191"/>
      <c r="TB49" s="191"/>
      <c r="TC49" s="191"/>
      <c r="TD49" s="191"/>
      <c r="TE49" s="191"/>
      <c r="TF49" s="191"/>
      <c r="TG49" s="191"/>
      <c r="TH49" s="191"/>
      <c r="TI49" s="191"/>
      <c r="TJ49" s="191"/>
      <c r="TK49" s="191"/>
      <c r="TL49" s="191"/>
      <c r="TM49" s="191"/>
      <c r="TN49" s="191"/>
      <c r="TO49" s="191"/>
      <c r="TP49" s="191"/>
      <c r="TQ49" s="191"/>
      <c r="TR49" s="191"/>
      <c r="TS49" s="191"/>
      <c r="TT49" s="191"/>
      <c r="TU49" s="191"/>
      <c r="TV49" s="191"/>
      <c r="TW49" s="191"/>
      <c r="TX49" s="191"/>
      <c r="TY49" s="191"/>
      <c r="TZ49" s="191"/>
      <c r="UA49" s="191"/>
      <c r="UB49" s="191"/>
      <c r="UC49" s="191"/>
      <c r="UD49" s="191"/>
      <c r="UE49" s="191"/>
      <c r="UF49" s="191"/>
      <c r="UG49" s="191"/>
      <c r="UH49" s="191"/>
      <c r="UI49" s="191"/>
      <c r="UJ49" s="191"/>
      <c r="UK49" s="191"/>
      <c r="UL49" s="191"/>
      <c r="UM49" s="191"/>
      <c r="UN49" s="191"/>
      <c r="UO49" s="191"/>
      <c r="UP49" s="191"/>
      <c r="UQ49" s="191"/>
      <c r="UR49" s="191"/>
      <c r="US49" s="191"/>
      <c r="UT49" s="191"/>
      <c r="UU49" s="191"/>
      <c r="UV49" s="191"/>
      <c r="UW49" s="191"/>
      <c r="UX49" s="191"/>
      <c r="UY49" s="191"/>
      <c r="UZ49" s="191"/>
      <c r="VA49" s="191"/>
      <c r="VB49" s="191"/>
      <c r="VC49" s="191"/>
      <c r="VD49" s="191"/>
      <c r="VE49" s="191"/>
      <c r="VF49" s="191"/>
      <c r="VG49" s="191"/>
      <c r="VH49" s="191"/>
      <c r="VI49" s="191"/>
      <c r="VJ49" s="191"/>
      <c r="VK49" s="191"/>
      <c r="VL49" s="191"/>
      <c r="VM49" s="191"/>
      <c r="VN49" s="191"/>
      <c r="VO49" s="191"/>
      <c r="VP49" s="191"/>
      <c r="VQ49" s="191"/>
      <c r="VR49" s="191"/>
      <c r="VS49" s="191"/>
      <c r="VT49" s="191"/>
      <c r="VU49" s="191"/>
      <c r="VV49" s="191"/>
      <c r="VW49" s="191"/>
      <c r="VX49" s="191"/>
      <c r="VY49" s="191"/>
      <c r="VZ49" s="191"/>
      <c r="WA49" s="191"/>
      <c r="WB49" s="191"/>
      <c r="WC49" s="191"/>
      <c r="WD49" s="191"/>
      <c r="WE49" s="191"/>
      <c r="WF49" s="191"/>
      <c r="WG49" s="191"/>
      <c r="WH49" s="191"/>
      <c r="WI49" s="191"/>
      <c r="WJ49" s="191"/>
      <c r="WK49" s="191"/>
      <c r="WL49" s="191"/>
      <c r="WM49" s="191"/>
      <c r="WN49" s="191"/>
      <c r="WO49" s="191"/>
      <c r="WP49" s="191"/>
      <c r="WQ49" s="191"/>
      <c r="WR49" s="191"/>
      <c r="WS49" s="191"/>
      <c r="WT49" s="191"/>
      <c r="WU49" s="191"/>
      <c r="WV49" s="191"/>
      <c r="WW49" s="191"/>
      <c r="WX49" s="191"/>
      <c r="WY49" s="191"/>
      <c r="WZ49" s="191"/>
      <c r="XA49" s="191"/>
      <c r="XB49" s="191"/>
      <c r="XC49" s="191"/>
      <c r="XD49" s="191"/>
      <c r="XE49" s="191"/>
      <c r="XF49" s="191"/>
      <c r="XG49" s="191"/>
      <c r="XH49" s="191"/>
      <c r="XI49" s="191"/>
      <c r="XJ49" s="191"/>
      <c r="XK49" s="191"/>
      <c r="XL49" s="191"/>
      <c r="XM49" s="191"/>
      <c r="XN49" s="191"/>
      <c r="XO49" s="191"/>
      <c r="XP49" s="191"/>
      <c r="XQ49" s="191"/>
      <c r="XR49" s="191"/>
      <c r="XS49" s="191"/>
      <c r="XT49" s="191"/>
      <c r="XU49" s="191"/>
      <c r="XV49" s="191"/>
      <c r="XW49" s="191"/>
      <c r="XX49" s="191"/>
      <c r="XY49" s="191"/>
      <c r="XZ49" s="191"/>
      <c r="YA49" s="191"/>
      <c r="YB49" s="191"/>
      <c r="YC49" s="191"/>
      <c r="YD49" s="191"/>
      <c r="YE49" s="191"/>
      <c r="YF49" s="191"/>
      <c r="YG49" s="191"/>
      <c r="YH49" s="191"/>
      <c r="YI49" s="191"/>
      <c r="YJ49" s="191"/>
      <c r="YK49" s="191"/>
      <c r="YL49" s="191"/>
      <c r="YM49" s="191"/>
      <c r="YN49" s="191"/>
      <c r="YO49" s="191"/>
      <c r="YP49" s="191"/>
      <c r="YQ49" s="191"/>
      <c r="YR49" s="191"/>
      <c r="YS49" s="191"/>
      <c r="YT49" s="191"/>
      <c r="YU49" s="191"/>
      <c r="YV49" s="191"/>
      <c r="YW49" s="191"/>
      <c r="YX49" s="191"/>
      <c r="YY49" s="191"/>
      <c r="YZ49" s="191"/>
      <c r="ZA49" s="191"/>
      <c r="ZB49" s="191"/>
      <c r="ZC49" s="191"/>
      <c r="ZD49" s="191"/>
      <c r="ZE49" s="191"/>
      <c r="ZF49" s="191"/>
      <c r="ZG49" s="191"/>
      <c r="ZH49" s="191"/>
      <c r="ZI49" s="191"/>
      <c r="ZJ49" s="191"/>
      <c r="ZK49" s="191"/>
      <c r="ZL49" s="191"/>
      <c r="ZM49" s="191"/>
      <c r="ZN49" s="191"/>
      <c r="ZO49" s="191"/>
      <c r="ZP49" s="191"/>
      <c r="ZQ49" s="191"/>
      <c r="ZR49" s="191"/>
      <c r="ZS49" s="191"/>
      <c r="ZT49" s="191"/>
      <c r="ZU49" s="191"/>
      <c r="ZV49" s="191"/>
      <c r="ZW49" s="191"/>
      <c r="ZX49" s="191"/>
      <c r="ZY49" s="191"/>
      <c r="ZZ49" s="191"/>
      <c r="AAA49" s="191"/>
      <c r="AAB49" s="191"/>
      <c r="AAC49" s="191"/>
      <c r="AAD49" s="191"/>
      <c r="AAE49" s="191"/>
      <c r="AAF49" s="191"/>
      <c r="AAG49" s="191"/>
      <c r="AAH49" s="191"/>
      <c r="AAI49" s="191"/>
      <c r="AAJ49" s="191"/>
      <c r="AAK49" s="191"/>
      <c r="AAL49" s="191"/>
      <c r="AAM49" s="191"/>
      <c r="AAN49" s="191"/>
      <c r="AAO49" s="191"/>
      <c r="AAP49" s="191"/>
      <c r="AAQ49" s="191"/>
      <c r="AAR49" s="191"/>
      <c r="AAS49" s="191"/>
      <c r="AAT49" s="191"/>
      <c r="AAU49" s="191"/>
      <c r="AAV49" s="191"/>
      <c r="AAW49" s="191"/>
      <c r="AAX49" s="191"/>
      <c r="AAY49" s="191"/>
      <c r="AAZ49" s="191"/>
      <c r="ABA49" s="191"/>
      <c r="ABB49" s="191"/>
      <c r="ABC49" s="191"/>
      <c r="ABD49" s="191"/>
      <c r="ABE49" s="191"/>
      <c r="ABF49" s="191"/>
      <c r="ABG49" s="191"/>
      <c r="ABH49" s="191"/>
      <c r="ABI49" s="191"/>
      <c r="ABJ49" s="191"/>
      <c r="ABK49" s="191"/>
      <c r="ABL49" s="191"/>
      <c r="ABM49" s="191"/>
      <c r="ABN49" s="191"/>
      <c r="ABO49" s="191"/>
      <c r="ABP49" s="191"/>
      <c r="ABQ49" s="191"/>
      <c r="ABR49" s="191"/>
      <c r="ABS49" s="191"/>
      <c r="ABT49" s="191"/>
      <c r="ABU49" s="191"/>
      <c r="ABV49" s="191"/>
      <c r="ABW49" s="191"/>
      <c r="ABX49" s="191"/>
      <c r="ABY49" s="191"/>
      <c r="ABZ49" s="191"/>
      <c r="ACA49" s="191"/>
      <c r="ACB49" s="191"/>
      <c r="ACC49" s="191"/>
      <c r="ACD49" s="191"/>
      <c r="ACE49" s="191"/>
      <c r="ACF49" s="191"/>
      <c r="ACG49" s="191"/>
      <c r="ACH49" s="191"/>
      <c r="ACI49" s="191"/>
      <c r="ACJ49" s="191"/>
      <c r="ACK49" s="191"/>
      <c r="ACL49" s="191"/>
      <c r="ACM49" s="191"/>
      <c r="ACN49" s="191"/>
      <c r="ACO49" s="191"/>
      <c r="ACP49" s="191"/>
      <c r="ACQ49" s="191"/>
      <c r="ACR49" s="191"/>
      <c r="ACS49" s="191"/>
      <c r="ACT49" s="191"/>
      <c r="ACU49" s="191"/>
      <c r="ACV49" s="191"/>
      <c r="ACW49" s="191"/>
      <c r="ACX49" s="191"/>
      <c r="ACY49" s="191"/>
      <c r="ACZ49" s="191"/>
      <c r="ADA49" s="191"/>
      <c r="ADB49" s="191"/>
      <c r="ADC49" s="191"/>
      <c r="ADD49" s="191"/>
      <c r="ADE49" s="191"/>
      <c r="ADF49" s="191"/>
      <c r="ADG49" s="191"/>
      <c r="ADH49" s="191"/>
      <c r="ADI49" s="191"/>
      <c r="ADJ49" s="191"/>
      <c r="ADK49" s="191"/>
      <c r="ADL49" s="191"/>
      <c r="ADM49" s="191"/>
      <c r="ADN49" s="191"/>
      <c r="ADO49" s="191"/>
      <c r="ADP49" s="191"/>
      <c r="ADQ49" s="191"/>
      <c r="ADR49" s="191"/>
      <c r="ADS49" s="191"/>
      <c r="ADT49" s="191"/>
      <c r="ADU49" s="191"/>
      <c r="ADV49" s="191"/>
      <c r="ADW49" s="191"/>
      <c r="ADX49" s="191"/>
      <c r="ADY49" s="191"/>
      <c r="ADZ49" s="191"/>
      <c r="AEA49" s="191"/>
      <c r="AEB49" s="191"/>
      <c r="AEC49" s="191"/>
      <c r="AED49" s="191"/>
      <c r="AEE49" s="191"/>
      <c r="AEF49" s="191"/>
      <c r="AEG49" s="191"/>
      <c r="AEH49" s="191"/>
      <c r="AEI49" s="191"/>
      <c r="AEJ49" s="191"/>
      <c r="AEK49" s="191"/>
      <c r="AEL49" s="191"/>
      <c r="AEM49" s="191"/>
      <c r="AEN49" s="191"/>
      <c r="AEO49" s="191"/>
      <c r="AEP49" s="191"/>
      <c r="AEQ49" s="191"/>
      <c r="AER49" s="191"/>
      <c r="AES49" s="191"/>
      <c r="AET49" s="191"/>
      <c r="AEU49" s="191"/>
      <c r="AEV49" s="191"/>
      <c r="AEW49" s="191"/>
      <c r="AEX49" s="191"/>
      <c r="AEY49" s="191"/>
      <c r="AEZ49" s="191"/>
      <c r="AFA49" s="191"/>
      <c r="AFB49" s="191"/>
      <c r="AFC49" s="191"/>
      <c r="AFD49" s="191"/>
      <c r="AFE49" s="191"/>
      <c r="AFF49" s="191"/>
      <c r="AFG49" s="191"/>
      <c r="AFH49" s="191"/>
      <c r="AFI49" s="191"/>
      <c r="AFJ49" s="191"/>
      <c r="AFK49" s="191"/>
      <c r="AFL49" s="191"/>
      <c r="AFM49" s="191"/>
      <c r="AFN49" s="191"/>
      <c r="AFO49" s="191"/>
      <c r="AFP49" s="191"/>
      <c r="AFQ49" s="191"/>
      <c r="AFR49" s="191"/>
      <c r="AFS49" s="191"/>
      <c r="AFT49" s="191"/>
      <c r="AFU49" s="191"/>
      <c r="AFV49" s="191"/>
      <c r="AFW49" s="191"/>
      <c r="AFX49" s="191"/>
      <c r="AFY49" s="191"/>
      <c r="AFZ49" s="191"/>
      <c r="AGA49" s="191"/>
      <c r="AGB49" s="191"/>
      <c r="AGC49" s="191"/>
      <c r="AGD49" s="191"/>
      <c r="AGE49" s="191"/>
      <c r="AGF49" s="191"/>
      <c r="AGG49" s="191"/>
      <c r="AGH49" s="191"/>
      <c r="AGI49" s="191"/>
      <c r="AGJ49" s="191"/>
      <c r="AGK49" s="191"/>
      <c r="AGL49" s="191"/>
      <c r="AGM49" s="191"/>
      <c r="AGN49" s="191"/>
      <c r="AGO49" s="191"/>
      <c r="AGP49" s="191"/>
      <c r="AGQ49" s="191"/>
      <c r="AGR49" s="191"/>
      <c r="AGS49" s="191"/>
      <c r="AGT49" s="191"/>
      <c r="AGU49" s="191"/>
      <c r="AGV49" s="191"/>
      <c r="AGW49" s="191"/>
      <c r="AGX49" s="191"/>
      <c r="AGY49" s="191"/>
      <c r="AGZ49" s="191"/>
      <c r="AHA49" s="191"/>
      <c r="AHB49" s="191"/>
      <c r="AHC49" s="191"/>
      <c r="AHD49" s="191"/>
      <c r="AHE49" s="191"/>
      <c r="AHF49" s="191"/>
      <c r="AHG49" s="191"/>
      <c r="AHH49" s="191"/>
      <c r="AHI49" s="191"/>
      <c r="AHJ49" s="191"/>
      <c r="AHK49" s="191"/>
      <c r="AHL49" s="191"/>
      <c r="AHM49" s="191"/>
      <c r="AHN49" s="191"/>
      <c r="AHO49" s="191"/>
      <c r="AHP49" s="191"/>
      <c r="AHQ49" s="191"/>
      <c r="AHR49" s="191"/>
      <c r="AHS49" s="191"/>
      <c r="AHT49" s="191"/>
      <c r="AHU49" s="191"/>
      <c r="AHV49" s="191"/>
      <c r="AHW49" s="191"/>
      <c r="AHX49" s="191"/>
      <c r="AHY49" s="191"/>
      <c r="AHZ49" s="191"/>
      <c r="AIA49" s="191"/>
      <c r="AIB49" s="191"/>
      <c r="AIC49" s="191"/>
      <c r="AID49" s="191"/>
      <c r="AIE49" s="191"/>
      <c r="AIF49" s="191"/>
      <c r="AIG49" s="191"/>
      <c r="AIH49" s="191"/>
      <c r="AII49" s="191"/>
      <c r="AIJ49" s="191"/>
      <c r="AIK49" s="191"/>
      <c r="AIL49" s="191"/>
      <c r="AIM49" s="191"/>
      <c r="AIN49" s="191"/>
      <c r="AIO49" s="191"/>
      <c r="AIP49" s="191"/>
      <c r="AIQ49" s="191"/>
      <c r="AIR49" s="191"/>
      <c r="AIS49" s="191"/>
      <c r="AIT49" s="191"/>
      <c r="AIU49" s="191"/>
      <c r="AIV49" s="191"/>
      <c r="AIW49" s="191"/>
      <c r="AIX49" s="191"/>
      <c r="AIY49" s="191"/>
      <c r="AIZ49" s="191"/>
      <c r="AJA49" s="191"/>
      <c r="AJB49" s="191"/>
      <c r="AJC49" s="191"/>
      <c r="AJD49" s="191"/>
      <c r="AJE49" s="191"/>
      <c r="AJF49" s="191"/>
      <c r="AJG49" s="191"/>
      <c r="AJH49" s="191"/>
      <c r="AJI49" s="191"/>
      <c r="AJJ49" s="191"/>
      <c r="AJK49" s="191"/>
      <c r="AJL49" s="191"/>
      <c r="AJM49" s="191"/>
      <c r="AJN49" s="191"/>
      <c r="AJO49" s="191"/>
      <c r="AJP49" s="191"/>
      <c r="AJQ49" s="191"/>
      <c r="AJR49" s="191"/>
      <c r="AJS49" s="191"/>
      <c r="AJT49" s="191"/>
      <c r="AJU49" s="191"/>
      <c r="AJV49" s="191"/>
      <c r="AJW49" s="191"/>
      <c r="AJX49" s="191"/>
      <c r="AJY49" s="191"/>
      <c r="AJZ49" s="191"/>
      <c r="AKA49" s="191"/>
      <c r="AKB49" s="191"/>
      <c r="AKC49" s="191"/>
      <c r="AKD49" s="191"/>
      <c r="AKE49" s="191"/>
      <c r="AKF49" s="191"/>
      <c r="AKG49" s="191"/>
      <c r="AKH49" s="191"/>
      <c r="AKI49" s="191"/>
      <c r="AKJ49" s="191"/>
      <c r="AKK49" s="191"/>
      <c r="AKL49" s="191"/>
      <c r="AKM49" s="191"/>
      <c r="AKN49" s="191"/>
      <c r="AKO49" s="191"/>
      <c r="AKP49" s="191"/>
      <c r="AKQ49" s="191"/>
      <c r="AKR49" s="191"/>
      <c r="AKS49" s="191"/>
      <c r="AKT49" s="191"/>
      <c r="AKU49" s="191"/>
      <c r="AKV49" s="191"/>
      <c r="AKW49" s="191"/>
      <c r="AKX49" s="191"/>
      <c r="AKY49" s="191"/>
      <c r="AKZ49" s="191"/>
      <c r="ALA49" s="191"/>
      <c r="ALB49" s="191"/>
      <c r="ALC49" s="191"/>
      <c r="ALD49" s="191"/>
      <c r="ALE49" s="191"/>
      <c r="ALF49" s="191"/>
      <c r="ALG49" s="191"/>
      <c r="ALH49" s="191"/>
      <c r="ALI49" s="191"/>
      <c r="ALJ49" s="191"/>
      <c r="ALK49" s="191"/>
      <c r="ALL49" s="191"/>
      <c r="ALM49" s="191"/>
      <c r="ALN49" s="191"/>
      <c r="ALO49" s="191"/>
      <c r="ALP49" s="191"/>
      <c r="ALQ49" s="191"/>
      <c r="ALR49" s="191"/>
      <c r="ALS49" s="191"/>
      <c r="ALT49" s="191"/>
      <c r="ALU49" s="191"/>
      <c r="ALV49" s="191"/>
      <c r="ALW49" s="191"/>
      <c r="ALX49" s="191"/>
      <c r="ALY49" s="191"/>
      <c r="ALZ49" s="191"/>
      <c r="AMA49" s="191"/>
      <c r="AMB49" s="191"/>
      <c r="AMC49" s="191"/>
      <c r="AMD49" s="191"/>
      <c r="AME49" s="191"/>
      <c r="AMF49" s="191"/>
      <c r="AMG49" s="191"/>
      <c r="AMH49" s="191"/>
      <c r="AMI49" s="191"/>
      <c r="AMJ49" s="191"/>
      <c r="AMK49" s="191"/>
      <c r="AML49" s="191"/>
      <c r="AMM49" s="191"/>
      <c r="AMN49" s="191"/>
      <c r="AMO49" s="191"/>
      <c r="AMP49" s="191"/>
      <c r="AMQ49" s="191"/>
      <c r="AMR49" s="191"/>
      <c r="AMS49" s="191"/>
      <c r="AMT49" s="191"/>
      <c r="AMU49" s="191"/>
      <c r="AMV49" s="191"/>
      <c r="AMW49" s="191"/>
      <c r="AMX49" s="191"/>
      <c r="AMY49" s="191"/>
      <c r="AMZ49" s="191"/>
      <c r="ANA49" s="191"/>
      <c r="ANB49" s="191"/>
      <c r="ANC49" s="191"/>
      <c r="AND49" s="191"/>
      <c r="ANE49" s="191"/>
      <c r="ANF49" s="191"/>
      <c r="ANG49" s="191"/>
      <c r="ANH49" s="191"/>
      <c r="ANI49" s="191"/>
      <c r="ANJ49" s="191"/>
      <c r="ANK49" s="191"/>
      <c r="ANL49" s="191"/>
      <c r="ANM49" s="191"/>
      <c r="ANN49" s="191"/>
      <c r="ANO49" s="191"/>
      <c r="ANP49" s="191"/>
      <c r="ANQ49" s="191"/>
      <c r="ANR49" s="191"/>
      <c r="ANS49" s="191"/>
      <c r="ANT49" s="191"/>
      <c r="ANU49" s="191"/>
      <c r="ANV49" s="191"/>
      <c r="ANW49" s="191"/>
      <c r="ANX49" s="191"/>
      <c r="ANY49" s="191"/>
      <c r="ANZ49" s="191"/>
      <c r="AOA49" s="191"/>
      <c r="AOB49" s="191"/>
      <c r="AOC49" s="191"/>
      <c r="AOD49" s="191"/>
      <c r="AOE49" s="191"/>
      <c r="AOF49" s="191"/>
      <c r="AOG49" s="191"/>
      <c r="AOH49" s="191"/>
      <c r="AOI49" s="191"/>
      <c r="AOJ49" s="191"/>
      <c r="AOK49" s="191"/>
      <c r="AOL49" s="191"/>
      <c r="AOM49" s="191"/>
      <c r="AON49" s="191"/>
      <c r="AOO49" s="191"/>
      <c r="AOP49" s="191"/>
      <c r="AOQ49" s="191"/>
      <c r="AOR49" s="191"/>
      <c r="AOS49" s="191"/>
      <c r="AOT49" s="191"/>
      <c r="AOU49" s="191"/>
      <c r="AOV49" s="191"/>
      <c r="AOW49" s="191"/>
      <c r="AOX49" s="191"/>
      <c r="AOY49" s="191"/>
      <c r="AOZ49" s="191"/>
      <c r="APA49" s="191"/>
      <c r="APB49" s="191"/>
      <c r="APC49" s="191"/>
      <c r="APD49" s="191"/>
      <c r="APE49" s="191"/>
      <c r="APF49" s="191"/>
      <c r="APG49" s="191"/>
      <c r="APH49" s="191"/>
      <c r="API49" s="191"/>
      <c r="APJ49" s="191"/>
      <c r="APK49" s="191"/>
      <c r="APL49" s="191"/>
      <c r="APM49" s="191"/>
      <c r="APN49" s="191"/>
      <c r="APO49" s="191"/>
      <c r="APP49" s="191"/>
      <c r="APQ49" s="191"/>
      <c r="APR49" s="191"/>
      <c r="APS49" s="191"/>
      <c r="APT49" s="191"/>
      <c r="APU49" s="191"/>
      <c r="APV49" s="191"/>
      <c r="APW49" s="191"/>
      <c r="APX49" s="191"/>
      <c r="APY49" s="191"/>
      <c r="APZ49" s="191"/>
      <c r="AQA49" s="191"/>
      <c r="AQB49" s="191"/>
      <c r="AQC49" s="191"/>
      <c r="AQD49" s="191"/>
      <c r="AQE49" s="191"/>
      <c r="AQF49" s="191"/>
      <c r="AQG49" s="191"/>
      <c r="AQH49" s="191"/>
      <c r="AQI49" s="191"/>
      <c r="AQJ49" s="191"/>
      <c r="AQK49" s="191"/>
      <c r="AQL49" s="191"/>
      <c r="AQM49" s="191"/>
      <c r="AQN49" s="191"/>
      <c r="AQO49" s="191"/>
      <c r="AQP49" s="191"/>
      <c r="AQQ49" s="191"/>
      <c r="AQR49" s="191"/>
      <c r="AQS49" s="191"/>
      <c r="AQT49" s="191"/>
      <c r="AQU49" s="191"/>
      <c r="AQV49" s="191"/>
      <c r="AQW49" s="191"/>
      <c r="AQX49" s="191"/>
      <c r="AQY49" s="191"/>
      <c r="AQZ49" s="191"/>
      <c r="ARA49" s="191"/>
      <c r="ARB49" s="191"/>
      <c r="ARC49" s="191"/>
      <c r="ARD49" s="191"/>
      <c r="ARE49" s="191"/>
      <c r="ARF49" s="191"/>
      <c r="ARG49" s="191"/>
      <c r="ARH49" s="191"/>
      <c r="ARI49" s="191"/>
      <c r="ARJ49" s="191"/>
      <c r="ARK49" s="191"/>
      <c r="ARL49" s="191"/>
      <c r="ARM49" s="191"/>
      <c r="ARN49" s="191"/>
      <c r="ARO49" s="191"/>
      <c r="ARP49" s="191"/>
      <c r="ARQ49" s="191"/>
      <c r="ARR49" s="191"/>
      <c r="ARS49" s="191"/>
      <c r="ART49" s="191"/>
      <c r="ARU49" s="191"/>
      <c r="ARV49" s="191"/>
      <c r="ARW49" s="191"/>
      <c r="ARX49" s="191"/>
      <c r="ARY49" s="191"/>
      <c r="ARZ49" s="191"/>
      <c r="ASA49" s="191"/>
      <c r="ASB49" s="191"/>
      <c r="ASC49" s="191"/>
      <c r="ASD49" s="191"/>
      <c r="ASE49" s="191"/>
      <c r="ASF49" s="191"/>
      <c r="ASG49" s="191"/>
      <c r="ASH49" s="191"/>
      <c r="ASI49" s="191"/>
      <c r="ASJ49" s="191"/>
      <c r="ASK49" s="191"/>
      <c r="ASL49" s="191"/>
      <c r="ASM49" s="191"/>
      <c r="ASN49" s="191"/>
      <c r="ASO49" s="191"/>
      <c r="ASP49" s="191"/>
      <c r="ASQ49" s="191"/>
      <c r="ASR49" s="191"/>
      <c r="ASS49" s="191"/>
      <c r="AST49" s="191"/>
      <c r="ASU49" s="191"/>
      <c r="ASV49" s="191"/>
      <c r="ASW49" s="191"/>
      <c r="ASX49" s="191"/>
      <c r="ASY49" s="191"/>
      <c r="ASZ49" s="191"/>
      <c r="ATA49" s="191"/>
      <c r="ATB49" s="191"/>
      <c r="ATC49" s="191"/>
      <c r="ATD49" s="191"/>
      <c r="ATE49" s="191"/>
      <c r="ATF49" s="191"/>
      <c r="ATG49" s="191"/>
      <c r="ATH49" s="191"/>
      <c r="ATI49" s="191"/>
      <c r="ATJ49" s="191"/>
      <c r="ATK49" s="191"/>
      <c r="ATL49" s="191"/>
      <c r="ATM49" s="191"/>
      <c r="ATN49" s="191"/>
      <c r="ATO49" s="191"/>
      <c r="ATP49" s="191"/>
      <c r="ATQ49" s="191"/>
      <c r="ATR49" s="191"/>
      <c r="ATS49" s="191"/>
      <c r="ATT49" s="191"/>
      <c r="ATU49" s="191"/>
      <c r="ATV49" s="191"/>
      <c r="ATW49" s="191"/>
      <c r="ATX49" s="191"/>
      <c r="ATY49" s="191"/>
      <c r="ATZ49" s="191"/>
      <c r="AUA49" s="191"/>
      <c r="AUB49" s="191"/>
      <c r="AUC49" s="191"/>
      <c r="AUD49" s="191"/>
      <c r="AUE49" s="191"/>
      <c r="AUF49" s="191"/>
      <c r="AUG49" s="191"/>
      <c r="AUH49" s="191"/>
      <c r="AUI49" s="191"/>
      <c r="AUJ49" s="191"/>
      <c r="AUK49" s="191"/>
      <c r="AUL49" s="191"/>
      <c r="AUM49" s="191"/>
      <c r="AUN49" s="191"/>
      <c r="AUO49" s="191"/>
      <c r="AUP49" s="191"/>
      <c r="AUQ49" s="191"/>
      <c r="AUR49" s="191"/>
      <c r="AUS49" s="191"/>
      <c r="AUT49" s="191"/>
      <c r="AUU49" s="191"/>
      <c r="AUV49" s="191"/>
      <c r="AUW49" s="191"/>
      <c r="AUX49" s="191"/>
      <c r="AUY49" s="191"/>
      <c r="AUZ49" s="191"/>
      <c r="AVA49" s="191"/>
      <c r="AVB49" s="191"/>
      <c r="AVC49" s="191"/>
      <c r="AVD49" s="191"/>
      <c r="AVE49" s="191"/>
      <c r="AVF49" s="191"/>
      <c r="AVG49" s="191"/>
      <c r="AVH49" s="191"/>
      <c r="AVI49" s="191"/>
      <c r="AVJ49" s="191"/>
      <c r="AVK49" s="191"/>
      <c r="AVL49" s="191"/>
      <c r="AVM49" s="191"/>
      <c r="AVN49" s="191"/>
      <c r="AVO49" s="191"/>
      <c r="AVP49" s="191"/>
      <c r="AVQ49" s="191"/>
      <c r="AVR49" s="191"/>
      <c r="AVS49" s="191"/>
      <c r="AVT49" s="191"/>
      <c r="AVU49" s="191"/>
      <c r="AVV49" s="191"/>
      <c r="AVW49" s="191"/>
      <c r="AVX49" s="191"/>
      <c r="AVY49" s="191"/>
      <c r="AVZ49" s="191"/>
      <c r="AWA49" s="191"/>
      <c r="AWB49" s="191"/>
      <c r="AWC49" s="191"/>
      <c r="AWD49" s="191"/>
      <c r="AWE49" s="191"/>
      <c r="AWF49" s="191"/>
      <c r="AWG49" s="191"/>
      <c r="AWH49" s="191"/>
      <c r="AWI49" s="191"/>
      <c r="AWJ49" s="191"/>
      <c r="AWK49" s="191"/>
      <c r="AWL49" s="191"/>
      <c r="AWM49" s="191"/>
      <c r="AWN49" s="191"/>
      <c r="AWO49" s="191"/>
      <c r="AWP49" s="191"/>
      <c r="AWQ49" s="191"/>
      <c r="AWR49" s="191"/>
      <c r="AWS49" s="191"/>
      <c r="AWT49" s="191"/>
      <c r="AWU49" s="191"/>
      <c r="AWV49" s="191"/>
      <c r="AWW49" s="191"/>
      <c r="AWX49" s="191"/>
      <c r="AWY49" s="191"/>
      <c r="AWZ49" s="191"/>
      <c r="AXA49" s="191"/>
      <c r="AXB49" s="191"/>
      <c r="AXC49" s="191"/>
      <c r="AXD49" s="191"/>
      <c r="AXE49" s="191"/>
      <c r="AXF49" s="191"/>
      <c r="AXG49" s="191"/>
      <c r="AXH49" s="191"/>
      <c r="AXI49" s="191"/>
      <c r="AXJ49" s="191"/>
      <c r="AXK49" s="191"/>
      <c r="AXL49" s="191"/>
      <c r="AXM49" s="191"/>
      <c r="AXN49" s="191"/>
      <c r="AXO49" s="191"/>
      <c r="AXP49" s="191"/>
      <c r="AXQ49" s="191"/>
      <c r="AXR49" s="191"/>
      <c r="AXS49" s="191"/>
      <c r="AXT49" s="191"/>
      <c r="AXU49" s="191"/>
      <c r="AXV49" s="191"/>
      <c r="AXW49" s="191"/>
      <c r="AXX49" s="191"/>
      <c r="AXY49" s="191"/>
      <c r="AXZ49" s="191"/>
      <c r="AYA49" s="191"/>
      <c r="AYB49" s="191"/>
      <c r="AYC49" s="191"/>
      <c r="AYD49" s="191"/>
      <c r="AYE49" s="191"/>
      <c r="AYF49" s="191"/>
      <c r="AYG49" s="191"/>
      <c r="AYH49" s="191"/>
      <c r="AYI49" s="191"/>
      <c r="AYJ49" s="191"/>
      <c r="AYK49" s="191"/>
      <c r="AYL49" s="191"/>
      <c r="AYM49" s="191"/>
      <c r="AYN49" s="191"/>
      <c r="AYO49" s="191"/>
      <c r="AYP49" s="191"/>
      <c r="AYQ49" s="191"/>
      <c r="AYR49" s="191"/>
      <c r="AYS49" s="191"/>
      <c r="AYT49" s="191"/>
      <c r="AYU49" s="191"/>
      <c r="AYV49" s="191"/>
      <c r="AYW49" s="191"/>
      <c r="AYX49" s="191"/>
      <c r="AYY49" s="191"/>
      <c r="AYZ49" s="191"/>
      <c r="AZA49" s="191"/>
      <c r="AZB49" s="191"/>
      <c r="AZC49" s="191"/>
      <c r="AZD49" s="191"/>
      <c r="AZE49" s="191"/>
      <c r="AZF49" s="191"/>
      <c r="AZG49" s="191"/>
      <c r="AZH49" s="191"/>
      <c r="AZI49" s="191"/>
      <c r="AZJ49" s="191"/>
      <c r="AZK49" s="191"/>
      <c r="AZL49" s="191"/>
      <c r="AZM49" s="191"/>
      <c r="AZN49" s="191"/>
      <c r="AZO49" s="191"/>
      <c r="AZP49" s="191"/>
      <c r="AZQ49" s="191"/>
      <c r="AZR49" s="191"/>
      <c r="AZS49" s="191"/>
      <c r="AZT49" s="191"/>
      <c r="AZU49" s="191"/>
      <c r="AZV49" s="191"/>
      <c r="AZW49" s="191"/>
      <c r="AZX49" s="191"/>
      <c r="AZY49" s="191"/>
      <c r="AZZ49" s="191"/>
      <c r="BAA49" s="191"/>
      <c r="BAB49" s="191"/>
      <c r="BAC49" s="191"/>
      <c r="BAD49" s="191"/>
      <c r="BAE49" s="191"/>
      <c r="BAF49" s="191"/>
      <c r="BAG49" s="191"/>
      <c r="BAH49" s="191"/>
      <c r="BAI49" s="191"/>
      <c r="BAJ49" s="191"/>
      <c r="BAK49" s="191"/>
      <c r="BAL49" s="191"/>
      <c r="BAM49" s="191"/>
      <c r="BAN49" s="191"/>
      <c r="BAO49" s="191"/>
      <c r="BAP49" s="191"/>
      <c r="BAQ49" s="191"/>
      <c r="BAR49" s="191"/>
      <c r="BAS49" s="191"/>
      <c r="BAT49" s="191"/>
      <c r="BAU49" s="191"/>
      <c r="BAV49" s="191"/>
      <c r="BAW49" s="191"/>
      <c r="BAX49" s="191"/>
      <c r="BAY49" s="191"/>
      <c r="BAZ49" s="191"/>
      <c r="BBA49" s="191"/>
      <c r="BBB49" s="191"/>
      <c r="BBC49" s="191"/>
      <c r="BBD49" s="191"/>
      <c r="BBE49" s="191"/>
      <c r="BBF49" s="191"/>
      <c r="BBG49" s="191"/>
      <c r="BBH49" s="191"/>
      <c r="BBI49" s="191"/>
      <c r="BBJ49" s="191"/>
      <c r="BBK49" s="191"/>
      <c r="BBL49" s="191"/>
      <c r="BBM49" s="191"/>
      <c r="BBN49" s="191"/>
      <c r="BBO49" s="191"/>
      <c r="BBP49" s="191"/>
      <c r="BBQ49" s="191"/>
      <c r="BBR49" s="191"/>
      <c r="BBS49" s="191"/>
      <c r="BBT49" s="191"/>
      <c r="BBU49" s="191"/>
      <c r="BBV49" s="191"/>
      <c r="BBW49" s="191"/>
      <c r="BBX49" s="191"/>
      <c r="BBY49" s="191"/>
      <c r="BBZ49" s="191"/>
      <c r="BCA49" s="191"/>
      <c r="BCB49" s="191"/>
      <c r="BCC49" s="191"/>
      <c r="BCD49" s="191"/>
      <c r="BCE49" s="191"/>
      <c r="BCF49" s="191"/>
      <c r="BCG49" s="191"/>
      <c r="BCH49" s="191"/>
      <c r="BCI49" s="191"/>
      <c r="BCJ49" s="191"/>
      <c r="BCK49" s="191"/>
      <c r="BCL49" s="191"/>
      <c r="BCM49" s="191"/>
      <c r="BCN49" s="191"/>
      <c r="BCO49" s="191"/>
      <c r="BCP49" s="191"/>
      <c r="BCQ49" s="191"/>
      <c r="BCR49" s="191"/>
      <c r="BCS49" s="191"/>
      <c r="BCT49" s="191"/>
      <c r="BCU49" s="191"/>
      <c r="BCV49" s="191"/>
      <c r="BCW49" s="191"/>
      <c r="BCX49" s="191"/>
      <c r="BCY49" s="191"/>
      <c r="BCZ49" s="191"/>
      <c r="BDA49" s="191"/>
      <c r="BDB49" s="191"/>
      <c r="BDC49" s="191"/>
      <c r="BDD49" s="191"/>
      <c r="BDE49" s="191"/>
      <c r="BDF49" s="191"/>
      <c r="BDG49" s="191"/>
      <c r="BDH49" s="191"/>
      <c r="BDI49" s="191"/>
      <c r="BDJ49" s="191"/>
      <c r="BDK49" s="191"/>
      <c r="BDL49" s="191"/>
      <c r="BDM49" s="191"/>
      <c r="BDN49" s="191"/>
      <c r="BDO49" s="191"/>
      <c r="BDP49" s="191"/>
      <c r="BDQ49" s="191"/>
      <c r="BDR49" s="191"/>
      <c r="BDS49" s="191"/>
      <c r="BDT49" s="191"/>
      <c r="BDU49" s="191"/>
      <c r="BDV49" s="191"/>
      <c r="BDW49" s="191"/>
      <c r="BDX49" s="191"/>
      <c r="BDY49" s="191"/>
      <c r="BDZ49" s="191"/>
      <c r="BEA49" s="191"/>
      <c r="BEB49" s="191"/>
      <c r="BEC49" s="191"/>
      <c r="BED49" s="191"/>
      <c r="BEE49" s="191"/>
      <c r="BEF49" s="191"/>
      <c r="BEG49" s="191"/>
      <c r="BEH49" s="191"/>
      <c r="BEI49" s="191"/>
      <c r="BEJ49" s="191"/>
      <c r="BEK49" s="191"/>
      <c r="BEL49" s="191"/>
      <c r="BEM49" s="191"/>
      <c r="BEN49" s="191"/>
      <c r="BEO49" s="191"/>
      <c r="BEP49" s="191"/>
      <c r="BEQ49" s="191"/>
      <c r="BER49" s="191"/>
      <c r="BES49" s="191"/>
      <c r="BET49" s="191"/>
      <c r="BEU49" s="191"/>
      <c r="BEV49" s="191"/>
      <c r="BEW49" s="191"/>
      <c r="BEX49" s="191"/>
      <c r="BEY49" s="191"/>
      <c r="BEZ49" s="191"/>
      <c r="BFA49" s="191"/>
      <c r="BFB49" s="191"/>
      <c r="BFC49" s="191"/>
      <c r="BFD49" s="191"/>
      <c r="BFE49" s="191"/>
      <c r="BFF49" s="191"/>
      <c r="BFG49" s="191"/>
      <c r="BFH49" s="191"/>
      <c r="BFI49" s="191"/>
      <c r="BFJ49" s="191"/>
      <c r="BFK49" s="191"/>
      <c r="BFL49" s="191"/>
      <c r="BFM49" s="191"/>
      <c r="BFN49" s="191"/>
      <c r="BFO49" s="191"/>
      <c r="BFP49" s="191"/>
      <c r="BFQ49" s="191"/>
      <c r="BFR49" s="191"/>
      <c r="BFS49" s="191"/>
      <c r="BFT49" s="191"/>
      <c r="BFU49" s="191"/>
      <c r="BFV49" s="191"/>
      <c r="BFW49" s="191"/>
      <c r="BFX49" s="191"/>
      <c r="BFY49" s="191"/>
      <c r="BFZ49" s="191"/>
      <c r="BGA49" s="191"/>
      <c r="BGB49" s="191"/>
      <c r="BGC49" s="191"/>
      <c r="BGD49" s="191"/>
      <c r="BGE49" s="191"/>
      <c r="BGF49" s="191"/>
      <c r="BGG49" s="191"/>
      <c r="BGH49" s="191"/>
      <c r="BGI49" s="191"/>
      <c r="BGJ49" s="191"/>
      <c r="BGK49" s="191"/>
      <c r="BGL49" s="191"/>
      <c r="BGM49" s="191"/>
      <c r="BGN49" s="191"/>
      <c r="BGO49" s="191"/>
      <c r="BGP49" s="191"/>
      <c r="BGQ49" s="191"/>
      <c r="BGR49" s="191"/>
      <c r="BGS49" s="191"/>
      <c r="BGT49" s="191"/>
      <c r="BGU49" s="191"/>
      <c r="BGV49" s="191"/>
      <c r="BGW49" s="191"/>
      <c r="BGX49" s="191"/>
      <c r="BGY49" s="191"/>
      <c r="BGZ49" s="191"/>
      <c r="BHA49" s="191"/>
      <c r="BHB49" s="191"/>
      <c r="BHC49" s="191"/>
      <c r="BHD49" s="191"/>
      <c r="BHE49" s="191"/>
      <c r="BHF49" s="191"/>
      <c r="BHG49" s="191"/>
      <c r="BHH49" s="191"/>
      <c r="BHI49" s="191"/>
      <c r="BHJ49" s="191"/>
      <c r="BHK49" s="191"/>
      <c r="BHL49" s="191"/>
      <c r="BHM49" s="191"/>
      <c r="BHN49" s="191"/>
      <c r="BHO49" s="191"/>
      <c r="BHP49" s="191"/>
      <c r="BHQ49" s="191"/>
      <c r="BHR49" s="191"/>
      <c r="BHS49" s="191"/>
      <c r="BHT49" s="191"/>
      <c r="BHU49" s="191"/>
      <c r="BHV49" s="191"/>
      <c r="BHW49" s="191"/>
      <c r="BHX49" s="191"/>
      <c r="BHY49" s="191"/>
      <c r="BHZ49" s="191"/>
      <c r="BIA49" s="191"/>
      <c r="BIB49" s="191"/>
      <c r="BIC49" s="191"/>
      <c r="BID49" s="191"/>
      <c r="BIE49" s="191"/>
      <c r="BIF49" s="191"/>
      <c r="BIG49" s="191"/>
      <c r="BIH49" s="191"/>
      <c r="BII49" s="191"/>
      <c r="BIJ49" s="191"/>
      <c r="BIK49" s="191"/>
      <c r="BIL49" s="191"/>
      <c r="BIM49" s="191"/>
      <c r="BIN49" s="191"/>
      <c r="BIO49" s="191"/>
      <c r="BIP49" s="191"/>
      <c r="BIQ49" s="191"/>
      <c r="BIR49" s="191"/>
      <c r="BIS49" s="191"/>
      <c r="BIT49" s="191"/>
      <c r="BIU49" s="191"/>
      <c r="BIV49" s="191"/>
      <c r="BIW49" s="191"/>
      <c r="BIX49" s="191"/>
      <c r="BIY49" s="191"/>
      <c r="BIZ49" s="191"/>
      <c r="BJA49" s="191"/>
      <c r="BJB49" s="191"/>
      <c r="BJC49" s="191"/>
      <c r="BJD49" s="191"/>
      <c r="BJE49" s="191"/>
      <c r="BJF49" s="191"/>
      <c r="BJG49" s="191"/>
      <c r="BJH49" s="191"/>
      <c r="BJI49" s="191"/>
      <c r="BJJ49" s="191"/>
      <c r="BJK49" s="191"/>
      <c r="BJL49" s="191"/>
      <c r="BJM49" s="191"/>
      <c r="BJN49" s="191"/>
      <c r="BJO49" s="191"/>
      <c r="BJP49" s="191"/>
      <c r="BJQ49" s="191"/>
      <c r="BJR49" s="191"/>
      <c r="BJS49" s="191"/>
      <c r="BJT49" s="191"/>
      <c r="BJU49" s="191"/>
      <c r="BJV49" s="191"/>
      <c r="BJW49" s="191"/>
      <c r="BJX49" s="191"/>
      <c r="BJY49" s="191"/>
      <c r="BJZ49" s="191"/>
      <c r="BKA49" s="191"/>
      <c r="BKB49" s="191"/>
      <c r="BKC49" s="191"/>
      <c r="BKD49" s="191"/>
      <c r="BKE49" s="191"/>
      <c r="BKF49" s="191"/>
      <c r="BKG49" s="191"/>
      <c r="BKH49" s="191"/>
      <c r="BKI49" s="191"/>
      <c r="BKJ49" s="191"/>
      <c r="BKK49" s="191"/>
      <c r="BKL49" s="191"/>
      <c r="BKM49" s="191"/>
      <c r="BKN49" s="191"/>
      <c r="BKO49" s="191"/>
      <c r="BKP49" s="191"/>
      <c r="BKQ49" s="191"/>
      <c r="BKR49" s="191"/>
      <c r="BKS49" s="191"/>
      <c r="BKT49" s="191"/>
      <c r="BKU49" s="191"/>
      <c r="BKV49" s="191"/>
      <c r="BKW49" s="191"/>
      <c r="BKX49" s="191"/>
      <c r="BKY49" s="191"/>
      <c r="BKZ49" s="191"/>
      <c r="BLA49" s="191"/>
      <c r="BLB49" s="191"/>
      <c r="BLC49" s="191"/>
      <c r="BLD49" s="191"/>
      <c r="BLE49" s="191"/>
      <c r="BLF49" s="191"/>
      <c r="BLG49" s="191"/>
      <c r="BLH49" s="191"/>
      <c r="BLI49" s="191"/>
      <c r="BLJ49" s="191"/>
      <c r="BLK49" s="191"/>
      <c r="BLL49" s="191"/>
      <c r="BLM49" s="191"/>
      <c r="BLN49" s="191"/>
      <c r="BLO49" s="191"/>
      <c r="BLP49" s="191"/>
      <c r="BLQ49" s="191"/>
      <c r="BLR49" s="191"/>
      <c r="BLS49" s="191"/>
      <c r="BLT49" s="191"/>
      <c r="BLU49" s="191"/>
      <c r="BLV49" s="191"/>
      <c r="BLW49" s="191"/>
      <c r="BLX49" s="191"/>
      <c r="BLY49" s="191"/>
      <c r="BLZ49" s="191"/>
      <c r="BMA49" s="191"/>
      <c r="BMB49" s="191"/>
      <c r="BMC49" s="191"/>
      <c r="BMD49" s="191"/>
      <c r="BME49" s="191"/>
      <c r="BMF49" s="191"/>
      <c r="BMG49" s="191"/>
      <c r="BMH49" s="191"/>
      <c r="BMI49" s="191"/>
      <c r="BMJ49" s="191"/>
      <c r="BMK49" s="191"/>
      <c r="BML49" s="191"/>
      <c r="BMM49" s="191"/>
      <c r="BMN49" s="191"/>
      <c r="BMO49" s="191"/>
      <c r="BMP49" s="191"/>
      <c r="BMQ49" s="191"/>
      <c r="BMR49" s="191"/>
      <c r="BMS49" s="191"/>
      <c r="BMT49" s="191"/>
      <c r="BMU49" s="191"/>
      <c r="BMV49" s="191"/>
      <c r="BMW49" s="191"/>
      <c r="BMX49" s="191"/>
      <c r="BMY49" s="191"/>
      <c r="BMZ49" s="191"/>
      <c r="BNA49" s="191"/>
      <c r="BNB49" s="191"/>
      <c r="BNC49" s="191"/>
      <c r="BND49" s="191"/>
      <c r="BNE49" s="191"/>
      <c r="BNF49" s="191"/>
      <c r="BNG49" s="191"/>
      <c r="BNH49" s="191"/>
      <c r="BNI49" s="191"/>
      <c r="BNJ49" s="191"/>
      <c r="BNK49" s="191"/>
      <c r="BNL49" s="191"/>
      <c r="BNM49" s="191"/>
      <c r="BNN49" s="191"/>
      <c r="BNO49" s="191"/>
      <c r="BNP49" s="191"/>
      <c r="BNQ49" s="191"/>
      <c r="BNR49" s="191"/>
      <c r="BNS49" s="191"/>
      <c r="BNT49" s="191"/>
      <c r="BNU49" s="191"/>
      <c r="BNV49" s="191"/>
      <c r="BNW49" s="191"/>
      <c r="BNX49" s="191"/>
      <c r="BNY49" s="191"/>
      <c r="BNZ49" s="191"/>
      <c r="BOA49" s="191"/>
      <c r="BOB49" s="191"/>
      <c r="BOC49" s="191"/>
      <c r="BOD49" s="191"/>
      <c r="BOE49" s="191"/>
      <c r="BOF49" s="191"/>
      <c r="BOG49" s="191"/>
      <c r="BOH49" s="191"/>
      <c r="BOI49" s="191"/>
      <c r="BOJ49" s="191"/>
      <c r="BOK49" s="191"/>
      <c r="BOL49" s="191"/>
      <c r="BOM49" s="191"/>
      <c r="BON49" s="191"/>
      <c r="BOO49" s="191"/>
      <c r="BOP49" s="191"/>
      <c r="BOQ49" s="191"/>
      <c r="BOR49" s="191"/>
      <c r="BOS49" s="191"/>
      <c r="BOT49" s="191"/>
      <c r="BOU49" s="191"/>
      <c r="BOV49" s="191"/>
      <c r="BOW49" s="191"/>
      <c r="BOX49" s="191"/>
      <c r="BOY49" s="191"/>
      <c r="BOZ49" s="191"/>
      <c r="BPA49" s="191"/>
      <c r="BPB49" s="191"/>
      <c r="BPC49" s="191"/>
      <c r="BPD49" s="191"/>
      <c r="BPE49" s="191"/>
      <c r="BPF49" s="191"/>
      <c r="BPG49" s="191"/>
      <c r="BPH49" s="191"/>
      <c r="BPI49" s="191"/>
      <c r="BPJ49" s="191"/>
      <c r="BPK49" s="191"/>
      <c r="BPL49" s="191"/>
      <c r="BPM49" s="191"/>
      <c r="BPN49" s="191"/>
      <c r="BPO49" s="191"/>
      <c r="BPP49" s="191"/>
      <c r="BPQ49" s="191"/>
      <c r="BPR49" s="191"/>
      <c r="BPS49" s="191"/>
      <c r="BPT49" s="191"/>
      <c r="BPU49" s="191"/>
      <c r="BPV49" s="191"/>
      <c r="BPW49" s="191"/>
      <c r="BPX49" s="191"/>
      <c r="BPY49" s="191"/>
      <c r="BPZ49" s="191"/>
      <c r="BQA49" s="191"/>
      <c r="BQB49" s="191"/>
      <c r="BQC49" s="191"/>
      <c r="BQD49" s="191"/>
      <c r="BQE49" s="191"/>
      <c r="BQF49" s="191"/>
      <c r="BQG49" s="191"/>
      <c r="BQH49" s="191"/>
      <c r="BQI49" s="191"/>
      <c r="BQJ49" s="191"/>
      <c r="BQK49" s="191"/>
      <c r="BQL49" s="191"/>
      <c r="BQM49" s="191"/>
      <c r="BQN49" s="191"/>
      <c r="BQO49" s="191"/>
      <c r="BQP49" s="191"/>
      <c r="BQQ49" s="191"/>
      <c r="BQR49" s="191"/>
      <c r="BQS49" s="191"/>
      <c r="BQT49" s="191"/>
      <c r="BQU49" s="191"/>
      <c r="BQV49" s="191"/>
      <c r="BQW49" s="191"/>
      <c r="BQX49" s="191"/>
      <c r="BQY49" s="191"/>
      <c r="BQZ49" s="191"/>
      <c r="BRA49" s="191"/>
      <c r="BRB49" s="191"/>
      <c r="BRC49" s="191"/>
      <c r="BRD49" s="191"/>
      <c r="BRE49" s="191"/>
      <c r="BRF49" s="191"/>
      <c r="BRG49" s="191"/>
      <c r="BRH49" s="191"/>
      <c r="BRI49" s="191"/>
      <c r="BRJ49" s="191"/>
      <c r="BRK49" s="191"/>
      <c r="BRL49" s="191"/>
      <c r="BRM49" s="191"/>
      <c r="BRN49" s="191"/>
      <c r="BRO49" s="191"/>
      <c r="BRP49" s="191"/>
      <c r="BRQ49" s="191"/>
      <c r="BRR49" s="191"/>
      <c r="BRS49" s="191"/>
      <c r="BRT49" s="191"/>
      <c r="BRU49" s="191"/>
      <c r="BRV49" s="191"/>
      <c r="BRW49" s="191"/>
      <c r="BRX49" s="191"/>
      <c r="BRY49" s="191"/>
      <c r="BRZ49" s="191"/>
      <c r="BSA49" s="191"/>
      <c r="BSB49" s="191"/>
      <c r="BSC49" s="191"/>
      <c r="BSD49" s="191"/>
      <c r="BSE49" s="191"/>
      <c r="BSF49" s="191"/>
      <c r="BSG49" s="191"/>
      <c r="BSH49" s="191"/>
      <c r="BSI49" s="191"/>
      <c r="BSJ49" s="191"/>
      <c r="BSK49" s="191"/>
      <c r="BSL49" s="191"/>
      <c r="BSM49" s="191"/>
      <c r="BSN49" s="191"/>
      <c r="BSO49" s="191"/>
      <c r="BSP49" s="191"/>
      <c r="BSQ49" s="191"/>
      <c r="BSR49" s="191"/>
      <c r="BSS49" s="191"/>
      <c r="BST49" s="191"/>
      <c r="BSU49" s="191"/>
      <c r="BSV49" s="191"/>
      <c r="BSW49" s="191"/>
      <c r="BSX49" s="191"/>
      <c r="BSY49" s="191"/>
      <c r="BSZ49" s="191"/>
      <c r="BTA49" s="191"/>
      <c r="BTB49" s="191"/>
      <c r="BTC49" s="191"/>
      <c r="BTD49" s="191"/>
      <c r="BTE49" s="191"/>
      <c r="BTF49" s="191"/>
      <c r="BTG49" s="191"/>
      <c r="BTH49" s="191"/>
      <c r="BTI49" s="191"/>
      <c r="BTJ49" s="191"/>
      <c r="BTK49" s="191"/>
      <c r="BTL49" s="191"/>
      <c r="BTM49" s="191"/>
      <c r="BTN49" s="191"/>
      <c r="BTO49" s="191"/>
      <c r="BTP49" s="191"/>
      <c r="BTQ49" s="191"/>
      <c r="BTR49" s="191"/>
      <c r="BTS49" s="191"/>
      <c r="BTT49" s="191"/>
      <c r="BTU49" s="191"/>
      <c r="BTV49" s="191"/>
      <c r="BTW49" s="191"/>
      <c r="BTX49" s="191"/>
      <c r="BTY49" s="191"/>
      <c r="BTZ49" s="191"/>
      <c r="BUA49" s="191"/>
      <c r="BUB49" s="191"/>
      <c r="BUC49" s="191"/>
      <c r="BUD49" s="191"/>
      <c r="BUE49" s="191"/>
      <c r="BUF49" s="191"/>
      <c r="BUG49" s="191"/>
      <c r="BUH49" s="191"/>
      <c r="BUI49" s="191"/>
      <c r="BUJ49" s="191"/>
      <c r="BUK49" s="191"/>
      <c r="BUL49" s="191"/>
      <c r="BUM49" s="191"/>
      <c r="BUN49" s="191"/>
      <c r="BUO49" s="191"/>
      <c r="BUP49" s="191"/>
      <c r="BUQ49" s="191"/>
      <c r="BUR49" s="191"/>
      <c r="BUS49" s="191"/>
      <c r="BUT49" s="191"/>
      <c r="BUU49" s="191"/>
      <c r="BUV49" s="191"/>
      <c r="BUW49" s="191"/>
      <c r="BUX49" s="191"/>
      <c r="BUY49" s="191"/>
      <c r="BUZ49" s="191"/>
      <c r="BVA49" s="191"/>
      <c r="BVB49" s="191"/>
      <c r="BVC49" s="191"/>
      <c r="BVD49" s="191"/>
      <c r="BVE49" s="191"/>
      <c r="BVF49" s="191"/>
      <c r="BVG49" s="191"/>
      <c r="BVH49" s="191"/>
      <c r="BVI49" s="191"/>
      <c r="BVJ49" s="191"/>
      <c r="BVK49" s="191"/>
      <c r="BVL49" s="191"/>
      <c r="BVM49" s="191"/>
      <c r="BVN49" s="191"/>
      <c r="BVO49" s="191"/>
      <c r="BVP49" s="191"/>
      <c r="BVQ49" s="191"/>
      <c r="BVR49" s="191"/>
      <c r="BVS49" s="191"/>
      <c r="BVT49" s="191"/>
      <c r="BVU49" s="191"/>
      <c r="BVV49" s="191"/>
      <c r="BVW49" s="191"/>
      <c r="BVX49" s="191"/>
      <c r="BVY49" s="191"/>
      <c r="BVZ49" s="191"/>
      <c r="BWA49" s="191"/>
      <c r="BWB49" s="191"/>
      <c r="BWC49" s="191"/>
      <c r="BWD49" s="191"/>
      <c r="BWE49" s="191"/>
      <c r="BWF49" s="191"/>
      <c r="BWG49" s="191"/>
      <c r="BWH49" s="191"/>
      <c r="BWI49" s="191"/>
      <c r="BWJ49" s="191"/>
      <c r="BWK49" s="191"/>
      <c r="BWL49" s="191"/>
      <c r="BWM49" s="191"/>
      <c r="BWN49" s="191"/>
      <c r="BWO49" s="191"/>
      <c r="BWP49" s="191"/>
      <c r="BWQ49" s="191"/>
      <c r="BWR49" s="191"/>
      <c r="BWS49" s="191"/>
      <c r="BWT49" s="191"/>
      <c r="BWU49" s="191"/>
      <c r="BWV49" s="191"/>
      <c r="BWW49" s="191"/>
      <c r="BWX49" s="191"/>
      <c r="BWY49" s="191"/>
      <c r="BWZ49" s="191"/>
      <c r="BXA49" s="191"/>
      <c r="BXB49" s="191"/>
      <c r="BXC49" s="191"/>
      <c r="BXD49" s="191"/>
      <c r="BXE49" s="191"/>
      <c r="BXF49" s="191"/>
      <c r="BXG49" s="191"/>
      <c r="BXH49" s="191"/>
      <c r="BXI49" s="191"/>
      <c r="BXJ49" s="191"/>
      <c r="BXK49" s="191"/>
      <c r="BXL49" s="191"/>
      <c r="BXM49" s="191"/>
      <c r="BXN49" s="191"/>
      <c r="BXO49" s="191"/>
      <c r="BXP49" s="191"/>
      <c r="BXQ49" s="191"/>
      <c r="BXR49" s="191"/>
      <c r="BXS49" s="191"/>
      <c r="BXT49" s="191"/>
      <c r="BXU49" s="191"/>
      <c r="BXV49" s="191"/>
      <c r="BXW49" s="191"/>
      <c r="BXX49" s="191"/>
      <c r="BXY49" s="191"/>
      <c r="BXZ49" s="191"/>
      <c r="BYA49" s="191"/>
      <c r="BYB49" s="191"/>
      <c r="BYC49" s="191"/>
      <c r="BYD49" s="191"/>
      <c r="BYE49" s="191"/>
      <c r="BYF49" s="191"/>
      <c r="BYG49" s="191"/>
      <c r="BYH49" s="191"/>
      <c r="BYI49" s="191"/>
      <c r="BYJ49" s="191"/>
      <c r="BYK49" s="191"/>
      <c r="BYL49" s="191"/>
      <c r="BYM49" s="191"/>
      <c r="BYN49" s="191"/>
      <c r="BYO49" s="191"/>
      <c r="BYP49" s="191"/>
      <c r="BYQ49" s="191"/>
      <c r="BYR49" s="191"/>
      <c r="BYS49" s="191"/>
      <c r="BYT49" s="191"/>
      <c r="BYU49" s="191"/>
      <c r="BYV49" s="191"/>
      <c r="BYW49" s="191"/>
      <c r="BYX49" s="191"/>
      <c r="BYY49" s="191"/>
      <c r="BYZ49" s="191"/>
      <c r="BZA49" s="191"/>
      <c r="BZB49" s="191"/>
      <c r="BZC49" s="191"/>
      <c r="BZD49" s="191"/>
      <c r="BZE49" s="191"/>
      <c r="BZF49" s="191"/>
      <c r="BZG49" s="191"/>
      <c r="BZH49" s="191"/>
      <c r="BZI49" s="191"/>
      <c r="BZJ49" s="191"/>
      <c r="BZK49" s="191"/>
      <c r="BZL49" s="191"/>
      <c r="BZM49" s="191"/>
      <c r="BZN49" s="191"/>
      <c r="BZO49" s="191"/>
      <c r="BZP49" s="191"/>
      <c r="BZQ49" s="191"/>
      <c r="BZR49" s="191"/>
      <c r="BZS49" s="191"/>
      <c r="BZT49" s="191"/>
      <c r="BZU49" s="191"/>
      <c r="BZV49" s="191"/>
      <c r="BZW49" s="191"/>
      <c r="BZX49" s="191"/>
      <c r="BZY49" s="191"/>
      <c r="BZZ49" s="191"/>
      <c r="CAA49" s="191"/>
      <c r="CAB49" s="191"/>
      <c r="CAC49" s="191"/>
      <c r="CAD49" s="191"/>
      <c r="CAE49" s="191"/>
      <c r="CAF49" s="191"/>
      <c r="CAG49" s="191"/>
      <c r="CAH49" s="191"/>
      <c r="CAI49" s="191"/>
      <c r="CAJ49" s="191"/>
      <c r="CAK49" s="191"/>
      <c r="CAL49" s="191"/>
      <c r="CAM49" s="191"/>
      <c r="CAN49" s="191"/>
      <c r="CAO49" s="191"/>
      <c r="CAP49" s="191"/>
      <c r="CAQ49" s="191"/>
      <c r="CAR49" s="191"/>
      <c r="CAS49" s="191"/>
      <c r="CAT49" s="191"/>
      <c r="CAU49" s="191"/>
      <c r="CAV49" s="191"/>
      <c r="CAW49" s="191"/>
      <c r="CAX49" s="191"/>
      <c r="CAY49" s="191"/>
      <c r="CAZ49" s="191"/>
      <c r="CBA49" s="191"/>
      <c r="CBB49" s="191"/>
      <c r="CBC49" s="191"/>
      <c r="CBD49" s="191"/>
      <c r="CBE49" s="191"/>
      <c r="CBF49" s="191"/>
      <c r="CBG49" s="191"/>
      <c r="CBH49" s="191"/>
      <c r="CBI49" s="191"/>
      <c r="CBJ49" s="191"/>
      <c r="CBK49" s="191"/>
      <c r="CBL49" s="191"/>
      <c r="CBM49" s="191"/>
      <c r="CBN49" s="191"/>
      <c r="CBO49" s="191"/>
      <c r="CBP49" s="191"/>
      <c r="CBQ49" s="191"/>
      <c r="CBR49" s="191"/>
      <c r="CBS49" s="191"/>
      <c r="CBT49" s="191"/>
      <c r="CBU49" s="191"/>
      <c r="CBV49" s="191"/>
      <c r="CBW49" s="191"/>
      <c r="CBX49" s="191"/>
      <c r="CBY49" s="191"/>
      <c r="CBZ49" s="191"/>
      <c r="CCA49" s="191"/>
      <c r="CCB49" s="191"/>
      <c r="CCC49" s="191"/>
      <c r="CCD49" s="191"/>
      <c r="CCE49" s="191"/>
      <c r="CCF49" s="191"/>
      <c r="CCG49" s="191"/>
      <c r="CCH49" s="191"/>
      <c r="CCI49" s="191"/>
      <c r="CCJ49" s="191"/>
      <c r="CCK49" s="191"/>
      <c r="CCL49" s="191"/>
      <c r="CCM49" s="191"/>
      <c r="CCN49" s="191"/>
      <c r="CCO49" s="191"/>
      <c r="CCP49" s="191"/>
      <c r="CCQ49" s="191"/>
      <c r="CCR49" s="191"/>
      <c r="CCS49" s="191"/>
      <c r="CCT49" s="191"/>
      <c r="CCU49" s="191"/>
      <c r="CCV49" s="191"/>
      <c r="CCW49" s="191"/>
      <c r="CCX49" s="191"/>
      <c r="CCY49" s="191"/>
      <c r="CCZ49" s="191"/>
      <c r="CDA49" s="191"/>
      <c r="CDB49" s="191"/>
      <c r="CDC49" s="191"/>
      <c r="CDD49" s="191"/>
      <c r="CDE49" s="191"/>
      <c r="CDF49" s="191"/>
      <c r="CDG49" s="191"/>
      <c r="CDH49" s="191"/>
      <c r="CDI49" s="191"/>
      <c r="CDJ49" s="191"/>
      <c r="CDK49" s="191"/>
      <c r="CDL49" s="191"/>
      <c r="CDM49" s="191"/>
      <c r="CDN49" s="191"/>
      <c r="CDO49" s="191"/>
      <c r="CDP49" s="191"/>
      <c r="CDQ49" s="191"/>
      <c r="CDR49" s="191"/>
      <c r="CDS49" s="191"/>
      <c r="CDT49" s="191"/>
      <c r="CDU49" s="191"/>
      <c r="CDV49" s="191"/>
      <c r="CDW49" s="191"/>
      <c r="CDX49" s="191"/>
      <c r="CDY49" s="191"/>
      <c r="CDZ49" s="191"/>
      <c r="CEA49" s="191"/>
      <c r="CEB49" s="191"/>
      <c r="CEC49" s="191"/>
      <c r="CED49" s="191"/>
      <c r="CEE49" s="191"/>
      <c r="CEF49" s="191"/>
      <c r="CEG49" s="191"/>
      <c r="CEH49" s="191"/>
      <c r="CEI49" s="191"/>
      <c r="CEJ49" s="191"/>
      <c r="CEK49" s="191"/>
      <c r="CEL49" s="191"/>
      <c r="CEM49" s="191"/>
      <c r="CEN49" s="191"/>
      <c r="CEO49" s="191"/>
      <c r="CEP49" s="191"/>
      <c r="CEQ49" s="191"/>
      <c r="CER49" s="191"/>
      <c r="CES49" s="191"/>
      <c r="CET49" s="191"/>
      <c r="CEU49" s="191"/>
      <c r="CEV49" s="191"/>
      <c r="CEW49" s="191"/>
      <c r="CEX49" s="191"/>
      <c r="CEY49" s="191"/>
      <c r="CEZ49" s="191"/>
      <c r="CFA49" s="191"/>
      <c r="CFB49" s="191"/>
      <c r="CFC49" s="191"/>
      <c r="CFD49" s="191"/>
      <c r="CFE49" s="191"/>
      <c r="CFF49" s="191"/>
      <c r="CFG49" s="191"/>
      <c r="CFH49" s="191"/>
      <c r="CFI49" s="191"/>
      <c r="CFJ49" s="191"/>
      <c r="CFK49" s="191"/>
      <c r="CFL49" s="191"/>
      <c r="CFM49" s="191"/>
      <c r="CFN49" s="191"/>
      <c r="CFO49" s="191"/>
      <c r="CFP49" s="191"/>
      <c r="CFQ49" s="191"/>
      <c r="CFR49" s="191"/>
      <c r="CFS49" s="191"/>
      <c r="CFT49" s="191"/>
      <c r="CFU49" s="191"/>
      <c r="CFV49" s="191"/>
      <c r="CFW49" s="191"/>
      <c r="CFX49" s="191"/>
      <c r="CFY49" s="191"/>
      <c r="CFZ49" s="191"/>
      <c r="CGA49" s="191"/>
      <c r="CGB49" s="191"/>
      <c r="CGC49" s="191"/>
      <c r="CGD49" s="191"/>
      <c r="CGE49" s="191"/>
      <c r="CGF49" s="191"/>
      <c r="CGG49" s="191"/>
      <c r="CGH49" s="191"/>
      <c r="CGI49" s="191"/>
      <c r="CGJ49" s="191"/>
      <c r="CGK49" s="191"/>
      <c r="CGL49" s="191"/>
      <c r="CGM49" s="191"/>
      <c r="CGN49" s="191"/>
      <c r="CGO49" s="191"/>
      <c r="CGP49" s="191"/>
      <c r="CGQ49" s="191"/>
      <c r="CGR49" s="191"/>
      <c r="CGS49" s="191"/>
      <c r="CGT49" s="191"/>
      <c r="CGU49" s="191"/>
      <c r="CGV49" s="191"/>
      <c r="CGW49" s="191"/>
      <c r="CGX49" s="191"/>
      <c r="CGY49" s="191"/>
      <c r="CGZ49" s="191"/>
      <c r="CHA49" s="191"/>
      <c r="CHB49" s="191"/>
      <c r="CHC49" s="191"/>
      <c r="CHD49" s="191"/>
      <c r="CHE49" s="191"/>
      <c r="CHF49" s="191"/>
      <c r="CHG49" s="191"/>
      <c r="CHH49" s="191"/>
      <c r="CHI49" s="191"/>
      <c r="CHJ49" s="191"/>
      <c r="CHK49" s="191"/>
      <c r="CHL49" s="191"/>
      <c r="CHM49" s="191"/>
      <c r="CHN49" s="191"/>
      <c r="CHO49" s="191"/>
      <c r="CHP49" s="191"/>
      <c r="CHQ49" s="191"/>
      <c r="CHR49" s="191"/>
      <c r="CHS49" s="191"/>
      <c r="CHT49" s="191"/>
      <c r="CHU49" s="191"/>
      <c r="CHV49" s="191"/>
      <c r="CHW49" s="191"/>
      <c r="CHX49" s="191"/>
      <c r="CHY49" s="191"/>
      <c r="CHZ49" s="191"/>
      <c r="CIA49" s="191"/>
      <c r="CIB49" s="191"/>
      <c r="CIC49" s="191"/>
      <c r="CID49" s="191"/>
      <c r="CIE49" s="191"/>
      <c r="CIF49" s="191"/>
      <c r="CIG49" s="191"/>
      <c r="CIH49" s="191"/>
      <c r="CII49" s="191"/>
      <c r="CIJ49" s="191"/>
      <c r="CIK49" s="191"/>
      <c r="CIL49" s="191"/>
      <c r="CIM49" s="191"/>
      <c r="CIN49" s="191"/>
      <c r="CIO49" s="191"/>
      <c r="CIP49" s="191"/>
      <c r="CIQ49" s="191"/>
      <c r="CIR49" s="191"/>
      <c r="CIS49" s="191"/>
      <c r="CIT49" s="191"/>
      <c r="CIU49" s="191"/>
      <c r="CIV49" s="191"/>
      <c r="CIW49" s="191"/>
      <c r="CIX49" s="191"/>
      <c r="CIY49" s="191"/>
      <c r="CIZ49" s="191"/>
      <c r="CJA49" s="191"/>
      <c r="CJB49" s="191"/>
      <c r="CJC49" s="191"/>
      <c r="CJD49" s="191"/>
      <c r="CJE49" s="191"/>
      <c r="CJF49" s="191"/>
      <c r="CJG49" s="191"/>
      <c r="CJH49" s="191"/>
      <c r="CJI49" s="191"/>
      <c r="CJJ49" s="191"/>
      <c r="CJK49" s="191"/>
      <c r="CJL49" s="191"/>
      <c r="CJM49" s="191"/>
      <c r="CJN49" s="191"/>
      <c r="CJO49" s="191"/>
      <c r="CJP49" s="191"/>
      <c r="CJQ49" s="191"/>
      <c r="CJR49" s="191"/>
      <c r="CJS49" s="191"/>
      <c r="CJT49" s="191"/>
      <c r="CJU49" s="191"/>
      <c r="CJV49" s="191"/>
      <c r="CJW49" s="191"/>
      <c r="CJX49" s="191"/>
      <c r="CJY49" s="191"/>
      <c r="CJZ49" s="191"/>
      <c r="CKA49" s="191"/>
      <c r="CKB49" s="191"/>
      <c r="CKC49" s="191"/>
      <c r="CKD49" s="191"/>
      <c r="CKE49" s="191"/>
      <c r="CKF49" s="191"/>
      <c r="CKG49" s="191"/>
      <c r="CKH49" s="191"/>
      <c r="CKI49" s="191"/>
      <c r="CKJ49" s="191"/>
      <c r="CKK49" s="191"/>
      <c r="CKL49" s="191"/>
      <c r="CKM49" s="191"/>
      <c r="CKN49" s="191"/>
      <c r="CKO49" s="191"/>
      <c r="CKP49" s="191"/>
      <c r="CKQ49" s="191"/>
      <c r="CKR49" s="191"/>
      <c r="CKS49" s="191"/>
      <c r="CKT49" s="191"/>
      <c r="CKU49" s="191"/>
      <c r="CKV49" s="191"/>
      <c r="CKW49" s="191"/>
      <c r="CKX49" s="191"/>
      <c r="CKY49" s="191"/>
      <c r="CKZ49" s="191"/>
      <c r="CLA49" s="191"/>
      <c r="CLB49" s="191"/>
      <c r="CLC49" s="191"/>
      <c r="CLD49" s="191"/>
      <c r="CLE49" s="191"/>
      <c r="CLF49" s="191"/>
      <c r="CLG49" s="191"/>
      <c r="CLH49" s="191"/>
      <c r="CLI49" s="191"/>
      <c r="CLJ49" s="191"/>
      <c r="CLK49" s="191"/>
      <c r="CLL49" s="191"/>
      <c r="CLM49" s="191"/>
      <c r="CLN49" s="191"/>
      <c r="CLO49" s="191"/>
      <c r="CLP49" s="191"/>
      <c r="CLQ49" s="191"/>
      <c r="CLR49" s="191"/>
      <c r="CLS49" s="191"/>
      <c r="CLT49" s="191"/>
      <c r="CLU49" s="191"/>
      <c r="CLV49" s="191"/>
      <c r="CLW49" s="191"/>
      <c r="CLX49" s="191"/>
      <c r="CLY49" s="191"/>
      <c r="CLZ49" s="191"/>
      <c r="CMA49" s="191"/>
      <c r="CMB49" s="191"/>
      <c r="CMC49" s="191"/>
      <c r="CMD49" s="191"/>
      <c r="CME49" s="191"/>
      <c r="CMF49" s="191"/>
      <c r="CMG49" s="191"/>
      <c r="CMH49" s="191"/>
      <c r="CMI49" s="191"/>
      <c r="CMJ49" s="191"/>
      <c r="CMK49" s="191"/>
      <c r="CML49" s="191"/>
      <c r="CMM49" s="191"/>
      <c r="CMN49" s="191"/>
      <c r="CMO49" s="191"/>
      <c r="CMP49" s="191"/>
      <c r="CMQ49" s="191"/>
      <c r="CMR49" s="191"/>
      <c r="CMS49" s="191"/>
      <c r="CMT49" s="191"/>
      <c r="CMU49" s="191"/>
      <c r="CMV49" s="191"/>
      <c r="CMW49" s="191"/>
      <c r="CMX49" s="191"/>
      <c r="CMY49" s="191"/>
      <c r="CMZ49" s="191"/>
      <c r="CNA49" s="191"/>
      <c r="CNB49" s="191"/>
      <c r="CNC49" s="191"/>
      <c r="CND49" s="191"/>
      <c r="CNE49" s="191"/>
      <c r="CNF49" s="191"/>
      <c r="CNG49" s="191"/>
      <c r="CNH49" s="191"/>
      <c r="CNI49" s="191"/>
      <c r="CNJ49" s="191"/>
      <c r="CNK49" s="191"/>
      <c r="CNL49" s="191"/>
      <c r="CNM49" s="191"/>
      <c r="CNN49" s="191"/>
      <c r="CNO49" s="191"/>
      <c r="CNP49" s="191"/>
      <c r="CNQ49" s="191"/>
      <c r="CNR49" s="191"/>
      <c r="CNS49" s="191"/>
      <c r="CNT49" s="191"/>
      <c r="CNU49" s="191"/>
      <c r="CNV49" s="191"/>
      <c r="CNW49" s="191"/>
      <c r="CNX49" s="191"/>
      <c r="CNY49" s="191"/>
      <c r="CNZ49" s="191"/>
      <c r="COA49" s="191"/>
      <c r="COB49" s="191"/>
      <c r="COC49" s="191"/>
      <c r="COD49" s="191"/>
      <c r="COE49" s="191"/>
      <c r="COF49" s="191"/>
      <c r="COG49" s="191"/>
      <c r="COH49" s="191"/>
      <c r="COI49" s="191"/>
      <c r="COJ49" s="191"/>
      <c r="COK49" s="191"/>
      <c r="COL49" s="191"/>
      <c r="COM49" s="191"/>
      <c r="CON49" s="191"/>
      <c r="COO49" s="191"/>
      <c r="COP49" s="191"/>
      <c r="COQ49" s="191"/>
      <c r="COR49" s="191"/>
      <c r="COS49" s="191"/>
      <c r="COT49" s="191"/>
      <c r="COU49" s="191"/>
      <c r="COV49" s="191"/>
      <c r="COW49" s="191"/>
      <c r="COX49" s="191"/>
      <c r="COY49" s="191"/>
      <c r="COZ49" s="191"/>
      <c r="CPA49" s="191"/>
      <c r="CPB49" s="191"/>
      <c r="CPC49" s="191"/>
      <c r="CPD49" s="191"/>
      <c r="CPE49" s="191"/>
      <c r="CPF49" s="191"/>
      <c r="CPG49" s="191"/>
      <c r="CPH49" s="191"/>
      <c r="CPI49" s="191"/>
      <c r="CPJ49" s="191"/>
      <c r="CPK49" s="191"/>
      <c r="CPL49" s="191"/>
      <c r="CPM49" s="191"/>
      <c r="CPN49" s="191"/>
      <c r="CPO49" s="191"/>
      <c r="CPP49" s="191"/>
      <c r="CPQ49" s="191"/>
      <c r="CPR49" s="191"/>
      <c r="CPS49" s="191"/>
      <c r="CPT49" s="191"/>
      <c r="CPU49" s="191"/>
      <c r="CPV49" s="191"/>
      <c r="CPW49" s="191"/>
      <c r="CPX49" s="191"/>
      <c r="CPY49" s="191"/>
      <c r="CPZ49" s="191"/>
      <c r="CQA49" s="191"/>
      <c r="CQB49" s="191"/>
      <c r="CQC49" s="191"/>
      <c r="CQD49" s="191"/>
      <c r="CQE49" s="191"/>
      <c r="CQF49" s="191"/>
      <c r="CQG49" s="191"/>
      <c r="CQH49" s="191"/>
      <c r="CQI49" s="191"/>
      <c r="CQJ49" s="191"/>
      <c r="CQK49" s="191"/>
      <c r="CQL49" s="191"/>
      <c r="CQM49" s="191"/>
      <c r="CQN49" s="191"/>
      <c r="CQO49" s="191"/>
      <c r="CQP49" s="191"/>
      <c r="CQQ49" s="191"/>
      <c r="CQR49" s="191"/>
      <c r="CQS49" s="191"/>
      <c r="CQT49" s="191"/>
      <c r="CQU49" s="191"/>
      <c r="CQV49" s="191"/>
      <c r="CQW49" s="191"/>
      <c r="CQX49" s="191"/>
      <c r="CQY49" s="191"/>
      <c r="CQZ49" s="191"/>
      <c r="CRA49" s="191"/>
      <c r="CRB49" s="191"/>
      <c r="CRC49" s="191"/>
      <c r="CRD49" s="191"/>
      <c r="CRE49" s="191"/>
      <c r="CRF49" s="191"/>
      <c r="CRG49" s="191"/>
      <c r="CRH49" s="191"/>
      <c r="CRI49" s="191"/>
      <c r="CRJ49" s="191"/>
      <c r="CRK49" s="191"/>
      <c r="CRL49" s="191"/>
      <c r="CRM49" s="191"/>
      <c r="CRN49" s="191"/>
      <c r="CRO49" s="191"/>
      <c r="CRP49" s="191"/>
      <c r="CRQ49" s="191"/>
      <c r="CRR49" s="191"/>
      <c r="CRS49" s="191"/>
      <c r="CRT49" s="191"/>
      <c r="CRU49" s="191"/>
      <c r="CRV49" s="191"/>
      <c r="CRW49" s="191"/>
      <c r="CRX49" s="191"/>
      <c r="CRY49" s="191"/>
      <c r="CRZ49" s="191"/>
      <c r="CSA49" s="191"/>
      <c r="CSB49" s="191"/>
      <c r="CSC49" s="191"/>
      <c r="CSD49" s="191"/>
      <c r="CSE49" s="191"/>
      <c r="CSF49" s="191"/>
      <c r="CSG49" s="191"/>
      <c r="CSH49" s="191"/>
      <c r="CSI49" s="191"/>
      <c r="CSJ49" s="191"/>
      <c r="CSK49" s="191"/>
      <c r="CSL49" s="191"/>
      <c r="CSM49" s="191"/>
      <c r="CSN49" s="191"/>
      <c r="CSO49" s="191"/>
      <c r="CSP49" s="191"/>
      <c r="CSQ49" s="191"/>
      <c r="CSR49" s="191"/>
      <c r="CSS49" s="191"/>
      <c r="CST49" s="191"/>
      <c r="CSU49" s="191"/>
      <c r="CSV49" s="191"/>
      <c r="CSW49" s="191"/>
      <c r="CSX49" s="191"/>
      <c r="CSY49" s="191"/>
      <c r="CSZ49" s="191"/>
      <c r="CTA49" s="191"/>
      <c r="CTB49" s="191"/>
      <c r="CTC49" s="191"/>
      <c r="CTD49" s="191"/>
      <c r="CTE49" s="191"/>
      <c r="CTF49" s="191"/>
      <c r="CTG49" s="191"/>
      <c r="CTH49" s="191"/>
      <c r="CTI49" s="191"/>
      <c r="CTJ49" s="191"/>
      <c r="CTK49" s="191"/>
      <c r="CTL49" s="191"/>
      <c r="CTM49" s="191"/>
      <c r="CTN49" s="191"/>
      <c r="CTO49" s="191"/>
      <c r="CTP49" s="191"/>
      <c r="CTQ49" s="191"/>
      <c r="CTR49" s="191"/>
      <c r="CTS49" s="191"/>
      <c r="CTT49" s="191"/>
      <c r="CTU49" s="191"/>
      <c r="CTV49" s="191"/>
      <c r="CTW49" s="191"/>
      <c r="CTX49" s="191"/>
      <c r="CTY49" s="191"/>
      <c r="CTZ49" s="191"/>
      <c r="CUA49" s="191"/>
      <c r="CUB49" s="191"/>
      <c r="CUC49" s="191"/>
      <c r="CUD49" s="191"/>
      <c r="CUE49" s="191"/>
      <c r="CUF49" s="191"/>
      <c r="CUG49" s="191"/>
      <c r="CUH49" s="191"/>
      <c r="CUI49" s="191"/>
      <c r="CUJ49" s="191"/>
      <c r="CUK49" s="191"/>
      <c r="CUL49" s="191"/>
      <c r="CUM49" s="191"/>
      <c r="CUN49" s="191"/>
      <c r="CUO49" s="191"/>
      <c r="CUP49" s="191"/>
      <c r="CUQ49" s="191"/>
      <c r="CUR49" s="191"/>
      <c r="CUS49" s="191"/>
      <c r="CUT49" s="191"/>
      <c r="CUU49" s="191"/>
      <c r="CUV49" s="191"/>
      <c r="CUW49" s="191"/>
      <c r="CUX49" s="191"/>
      <c r="CUY49" s="191"/>
      <c r="CUZ49" s="191"/>
      <c r="CVA49" s="191"/>
      <c r="CVB49" s="191"/>
      <c r="CVC49" s="191"/>
      <c r="CVD49" s="191"/>
      <c r="CVE49" s="191"/>
      <c r="CVF49" s="191"/>
      <c r="CVG49" s="191"/>
      <c r="CVH49" s="191"/>
      <c r="CVI49" s="191"/>
      <c r="CVJ49" s="191"/>
      <c r="CVK49" s="191"/>
      <c r="CVL49" s="191"/>
      <c r="CVM49" s="191"/>
      <c r="CVN49" s="191"/>
      <c r="CVO49" s="191"/>
      <c r="CVP49" s="191"/>
      <c r="CVQ49" s="191"/>
      <c r="CVR49" s="191"/>
      <c r="CVS49" s="191"/>
      <c r="CVT49" s="191"/>
      <c r="CVU49" s="191"/>
      <c r="CVV49" s="191"/>
      <c r="CVW49" s="191"/>
      <c r="CVX49" s="191"/>
      <c r="CVY49" s="191"/>
      <c r="CVZ49" s="191"/>
      <c r="CWA49" s="191"/>
      <c r="CWB49" s="191"/>
      <c r="CWC49" s="191"/>
      <c r="CWD49" s="191"/>
      <c r="CWE49" s="191"/>
      <c r="CWF49" s="191"/>
      <c r="CWG49" s="191"/>
      <c r="CWH49" s="191"/>
      <c r="CWI49" s="191"/>
      <c r="CWJ49" s="191"/>
      <c r="CWK49" s="191"/>
      <c r="CWL49" s="191"/>
      <c r="CWM49" s="191"/>
      <c r="CWN49" s="191"/>
      <c r="CWO49" s="191"/>
      <c r="CWP49" s="191"/>
      <c r="CWQ49" s="191"/>
      <c r="CWR49" s="191"/>
      <c r="CWS49" s="191"/>
      <c r="CWT49" s="191"/>
      <c r="CWU49" s="191"/>
      <c r="CWV49" s="191"/>
      <c r="CWW49" s="191"/>
      <c r="CWX49" s="191"/>
      <c r="CWY49" s="191"/>
      <c r="CWZ49" s="191"/>
      <c r="CXA49" s="191"/>
      <c r="CXB49" s="191"/>
      <c r="CXC49" s="191"/>
      <c r="CXD49" s="191"/>
      <c r="CXE49" s="191"/>
      <c r="CXF49" s="191"/>
      <c r="CXG49" s="191"/>
      <c r="CXH49" s="191"/>
      <c r="CXI49" s="191"/>
      <c r="CXJ49" s="191"/>
      <c r="CXK49" s="191"/>
      <c r="CXL49" s="191"/>
      <c r="CXM49" s="191"/>
      <c r="CXN49" s="191"/>
      <c r="CXO49" s="191"/>
      <c r="CXP49" s="191"/>
      <c r="CXQ49" s="191"/>
      <c r="CXR49" s="191"/>
      <c r="CXS49" s="191"/>
      <c r="CXT49" s="191"/>
      <c r="CXU49" s="191"/>
      <c r="CXV49" s="191"/>
      <c r="CXW49" s="191"/>
      <c r="CXX49" s="191"/>
      <c r="CXY49" s="191"/>
      <c r="CXZ49" s="191"/>
      <c r="CYA49" s="191"/>
      <c r="CYB49" s="191"/>
      <c r="CYC49" s="191"/>
      <c r="CYD49" s="191"/>
      <c r="CYE49" s="191"/>
      <c r="CYF49" s="191"/>
      <c r="CYG49" s="191"/>
      <c r="CYH49" s="191"/>
      <c r="CYI49" s="191"/>
      <c r="CYJ49" s="191"/>
      <c r="CYK49" s="191"/>
      <c r="CYL49" s="191"/>
      <c r="CYM49" s="191"/>
      <c r="CYN49" s="191"/>
      <c r="CYO49" s="191"/>
      <c r="CYP49" s="191"/>
      <c r="CYQ49" s="191"/>
      <c r="CYR49" s="191"/>
      <c r="CYS49" s="191"/>
      <c r="CYT49" s="191"/>
      <c r="CYU49" s="191"/>
      <c r="CYV49" s="191"/>
      <c r="CYW49" s="191"/>
      <c r="CYX49" s="191"/>
      <c r="CYY49" s="191"/>
      <c r="CYZ49" s="191"/>
      <c r="CZA49" s="191"/>
      <c r="CZB49" s="191"/>
      <c r="CZC49" s="191"/>
      <c r="CZD49" s="191"/>
      <c r="CZE49" s="191"/>
      <c r="CZF49" s="191"/>
      <c r="CZG49" s="191"/>
      <c r="CZH49" s="191"/>
      <c r="CZI49" s="191"/>
      <c r="CZJ49" s="191"/>
      <c r="CZK49" s="191"/>
      <c r="CZL49" s="191"/>
      <c r="CZM49" s="191"/>
      <c r="CZN49" s="191"/>
      <c r="CZO49" s="191"/>
      <c r="CZP49" s="191"/>
      <c r="CZQ49" s="191"/>
      <c r="CZR49" s="191"/>
      <c r="CZS49" s="191"/>
      <c r="CZT49" s="191"/>
      <c r="CZU49" s="191"/>
      <c r="CZV49" s="191"/>
      <c r="CZW49" s="191"/>
      <c r="CZX49" s="191"/>
      <c r="CZY49" s="191"/>
      <c r="CZZ49" s="191"/>
      <c r="DAA49" s="191"/>
      <c r="DAB49" s="191"/>
      <c r="DAC49" s="191"/>
      <c r="DAD49" s="191"/>
      <c r="DAE49" s="191"/>
      <c r="DAF49" s="191"/>
      <c r="DAG49" s="191"/>
      <c r="DAH49" s="191"/>
      <c r="DAI49" s="191"/>
      <c r="DAJ49" s="191"/>
      <c r="DAK49" s="191"/>
      <c r="DAL49" s="191"/>
      <c r="DAM49" s="191"/>
      <c r="DAN49" s="191"/>
      <c r="DAO49" s="191"/>
      <c r="DAP49" s="191"/>
      <c r="DAQ49" s="191"/>
      <c r="DAR49" s="191"/>
      <c r="DAS49" s="191"/>
      <c r="DAT49" s="191"/>
      <c r="DAU49" s="191"/>
      <c r="DAV49" s="191"/>
      <c r="DAW49" s="191"/>
      <c r="DAX49" s="191"/>
      <c r="DAY49" s="191"/>
      <c r="DAZ49" s="191"/>
      <c r="DBA49" s="191"/>
      <c r="DBB49" s="191"/>
      <c r="DBC49" s="191"/>
      <c r="DBD49" s="191"/>
      <c r="DBE49" s="191"/>
      <c r="DBF49" s="191"/>
      <c r="DBG49" s="191"/>
      <c r="DBH49" s="191"/>
      <c r="DBI49" s="191"/>
      <c r="DBJ49" s="191"/>
      <c r="DBK49" s="191"/>
      <c r="DBL49" s="191"/>
      <c r="DBM49" s="191"/>
      <c r="DBN49" s="191"/>
      <c r="DBO49" s="191"/>
      <c r="DBP49" s="191"/>
      <c r="DBQ49" s="191"/>
      <c r="DBR49" s="191"/>
      <c r="DBS49" s="191"/>
      <c r="DBT49" s="191"/>
      <c r="DBU49" s="191"/>
      <c r="DBV49" s="191"/>
      <c r="DBW49" s="191"/>
      <c r="DBX49" s="191"/>
      <c r="DBY49" s="191"/>
      <c r="DBZ49" s="191"/>
      <c r="DCA49" s="191"/>
      <c r="DCB49" s="191"/>
      <c r="DCC49" s="191"/>
      <c r="DCD49" s="191"/>
      <c r="DCE49" s="191"/>
      <c r="DCF49" s="191"/>
      <c r="DCG49" s="191"/>
      <c r="DCH49" s="191"/>
      <c r="DCI49" s="191"/>
      <c r="DCJ49" s="191"/>
      <c r="DCK49" s="191"/>
      <c r="DCL49" s="191"/>
      <c r="DCM49" s="191"/>
      <c r="DCN49" s="191"/>
      <c r="DCO49" s="191"/>
      <c r="DCP49" s="191"/>
      <c r="DCQ49" s="191"/>
      <c r="DCR49" s="191"/>
      <c r="DCS49" s="191"/>
      <c r="DCT49" s="191"/>
      <c r="DCU49" s="191"/>
      <c r="DCV49" s="191"/>
      <c r="DCW49" s="191"/>
      <c r="DCX49" s="191"/>
      <c r="DCY49" s="191"/>
      <c r="DCZ49" s="191"/>
      <c r="DDA49" s="191"/>
      <c r="DDB49" s="191"/>
      <c r="DDC49" s="191"/>
      <c r="DDD49" s="191"/>
      <c r="DDE49" s="191"/>
      <c r="DDF49" s="191"/>
      <c r="DDG49" s="191"/>
      <c r="DDH49" s="191"/>
      <c r="DDI49" s="191"/>
      <c r="DDJ49" s="191"/>
      <c r="DDK49" s="191"/>
      <c r="DDL49" s="191"/>
      <c r="DDM49" s="191"/>
      <c r="DDN49" s="191"/>
      <c r="DDO49" s="191"/>
      <c r="DDP49" s="191"/>
      <c r="DDQ49" s="191"/>
      <c r="DDR49" s="191"/>
      <c r="DDS49" s="191"/>
      <c r="DDT49" s="191"/>
      <c r="DDU49" s="191"/>
      <c r="DDV49" s="191"/>
      <c r="DDW49" s="191"/>
      <c r="DDX49" s="191"/>
      <c r="DDY49" s="191"/>
      <c r="DDZ49" s="191"/>
      <c r="DEA49" s="191"/>
      <c r="DEB49" s="191"/>
      <c r="DEC49" s="191"/>
      <c r="DED49" s="191"/>
      <c r="DEE49" s="191"/>
      <c r="DEF49" s="191"/>
      <c r="DEG49" s="191"/>
      <c r="DEH49" s="191"/>
      <c r="DEI49" s="191"/>
      <c r="DEJ49" s="191"/>
      <c r="DEK49" s="191"/>
      <c r="DEL49" s="191"/>
      <c r="DEM49" s="191"/>
      <c r="DEN49" s="191"/>
      <c r="DEO49" s="191"/>
      <c r="DEP49" s="191"/>
      <c r="DEQ49" s="191"/>
      <c r="DER49" s="191"/>
      <c r="DES49" s="191"/>
      <c r="DET49" s="191"/>
      <c r="DEU49" s="191"/>
      <c r="DEV49" s="191"/>
      <c r="DEW49" s="191"/>
      <c r="DEX49" s="191"/>
      <c r="DEY49" s="191"/>
      <c r="DEZ49" s="191"/>
      <c r="DFA49" s="191"/>
      <c r="DFB49" s="191"/>
      <c r="DFC49" s="191"/>
      <c r="DFD49" s="191"/>
      <c r="DFE49" s="191"/>
      <c r="DFF49" s="191"/>
      <c r="DFG49" s="191"/>
      <c r="DFH49" s="191"/>
      <c r="DFI49" s="191"/>
      <c r="DFJ49" s="191"/>
      <c r="DFK49" s="191"/>
      <c r="DFL49" s="191"/>
      <c r="DFM49" s="191"/>
      <c r="DFN49" s="191"/>
      <c r="DFO49" s="191"/>
      <c r="DFP49" s="191"/>
      <c r="DFQ49" s="191"/>
      <c r="DFR49" s="191"/>
      <c r="DFS49" s="191"/>
      <c r="DFT49" s="191"/>
      <c r="DFU49" s="191"/>
      <c r="DFV49" s="191"/>
      <c r="DFW49" s="191"/>
      <c r="DFX49" s="191"/>
      <c r="DFY49" s="191"/>
      <c r="DFZ49" s="191"/>
      <c r="DGA49" s="191"/>
      <c r="DGB49" s="191"/>
      <c r="DGC49" s="191"/>
      <c r="DGD49" s="191"/>
      <c r="DGE49" s="191"/>
      <c r="DGF49" s="191"/>
      <c r="DGG49" s="191"/>
      <c r="DGH49" s="191"/>
      <c r="DGI49" s="191"/>
      <c r="DGJ49" s="191"/>
      <c r="DGK49" s="191"/>
      <c r="DGL49" s="191"/>
      <c r="DGM49" s="191"/>
      <c r="DGN49" s="191"/>
      <c r="DGO49" s="191"/>
      <c r="DGP49" s="191"/>
      <c r="DGQ49" s="191"/>
      <c r="DGR49" s="191"/>
      <c r="DGS49" s="191"/>
      <c r="DGT49" s="191"/>
      <c r="DGU49" s="191"/>
      <c r="DGV49" s="191"/>
      <c r="DGW49" s="191"/>
      <c r="DGX49" s="191"/>
      <c r="DGY49" s="191"/>
      <c r="DGZ49" s="191"/>
      <c r="DHA49" s="191"/>
      <c r="DHB49" s="191"/>
      <c r="DHC49" s="191"/>
      <c r="DHD49" s="191"/>
      <c r="DHE49" s="191"/>
      <c r="DHF49" s="191"/>
      <c r="DHG49" s="191"/>
      <c r="DHH49" s="191"/>
      <c r="DHI49" s="191"/>
      <c r="DHJ49" s="191"/>
      <c r="DHK49" s="191"/>
      <c r="DHL49" s="191"/>
      <c r="DHM49" s="191"/>
      <c r="DHN49" s="191"/>
      <c r="DHO49" s="191"/>
      <c r="DHP49" s="191"/>
      <c r="DHQ49" s="191"/>
      <c r="DHR49" s="191"/>
      <c r="DHS49" s="191"/>
      <c r="DHT49" s="191"/>
      <c r="DHU49" s="191"/>
      <c r="DHV49" s="191"/>
      <c r="DHW49" s="191"/>
      <c r="DHX49" s="191"/>
      <c r="DHY49" s="191"/>
      <c r="DHZ49" s="191"/>
      <c r="DIA49" s="191"/>
      <c r="DIB49" s="191"/>
      <c r="DIC49" s="191"/>
      <c r="DID49" s="191"/>
      <c r="DIE49" s="191"/>
      <c r="DIF49" s="191"/>
      <c r="DIG49" s="191"/>
      <c r="DIH49" s="191"/>
      <c r="DII49" s="191"/>
      <c r="DIJ49" s="191"/>
      <c r="DIK49" s="191"/>
      <c r="DIL49" s="191"/>
      <c r="DIM49" s="191"/>
      <c r="DIN49" s="191"/>
      <c r="DIO49" s="191"/>
      <c r="DIP49" s="191"/>
      <c r="DIQ49" s="191"/>
      <c r="DIR49" s="191"/>
      <c r="DIS49" s="191"/>
      <c r="DIT49" s="191"/>
      <c r="DIU49" s="191"/>
      <c r="DIV49" s="191"/>
      <c r="DIW49" s="191"/>
      <c r="DIX49" s="191"/>
      <c r="DIY49" s="191"/>
      <c r="DIZ49" s="191"/>
      <c r="DJA49" s="191"/>
      <c r="DJB49" s="191"/>
      <c r="DJC49" s="191"/>
      <c r="DJD49" s="191"/>
      <c r="DJE49" s="191"/>
      <c r="DJF49" s="191"/>
      <c r="DJG49" s="191"/>
      <c r="DJH49" s="191"/>
      <c r="DJI49" s="191"/>
      <c r="DJJ49" s="191"/>
      <c r="DJK49" s="191"/>
      <c r="DJL49" s="191"/>
      <c r="DJM49" s="191"/>
      <c r="DJN49" s="191"/>
      <c r="DJO49" s="191"/>
      <c r="DJP49" s="191"/>
      <c r="DJQ49" s="191"/>
      <c r="DJR49" s="191"/>
      <c r="DJS49" s="191"/>
      <c r="DJT49" s="191"/>
      <c r="DJU49" s="191"/>
      <c r="DJV49" s="191"/>
      <c r="DJW49" s="191"/>
      <c r="DJX49" s="191"/>
      <c r="DJY49" s="191"/>
      <c r="DJZ49" s="191"/>
      <c r="DKA49" s="191"/>
      <c r="DKB49" s="191"/>
      <c r="DKC49" s="191"/>
      <c r="DKD49" s="191"/>
      <c r="DKE49" s="191"/>
      <c r="DKF49" s="191"/>
      <c r="DKG49" s="191"/>
      <c r="DKH49" s="191"/>
      <c r="DKI49" s="191"/>
      <c r="DKJ49" s="191"/>
      <c r="DKK49" s="191"/>
      <c r="DKL49" s="191"/>
      <c r="DKM49" s="191"/>
      <c r="DKN49" s="191"/>
      <c r="DKO49" s="191"/>
      <c r="DKP49" s="191"/>
      <c r="DKQ49" s="191"/>
      <c r="DKR49" s="191"/>
      <c r="DKS49" s="191"/>
      <c r="DKT49" s="191"/>
      <c r="DKU49" s="191"/>
      <c r="DKV49" s="191"/>
      <c r="DKW49" s="191"/>
      <c r="DKX49" s="191"/>
      <c r="DKY49" s="191"/>
      <c r="DKZ49" s="191"/>
      <c r="DLA49" s="191"/>
      <c r="DLB49" s="191"/>
      <c r="DLC49" s="191"/>
      <c r="DLD49" s="191"/>
      <c r="DLE49" s="191"/>
      <c r="DLF49" s="191"/>
      <c r="DLG49" s="191"/>
      <c r="DLH49" s="191"/>
      <c r="DLI49" s="191"/>
      <c r="DLJ49" s="191"/>
      <c r="DLK49" s="191"/>
      <c r="DLL49" s="191"/>
      <c r="DLM49" s="191"/>
      <c r="DLN49" s="191"/>
      <c r="DLO49" s="191"/>
      <c r="DLP49" s="191"/>
      <c r="DLQ49" s="191"/>
      <c r="DLR49" s="191"/>
      <c r="DLS49" s="191"/>
      <c r="DLT49" s="191"/>
      <c r="DLU49" s="191"/>
      <c r="DLV49" s="191"/>
      <c r="DLW49" s="191"/>
      <c r="DLX49" s="191"/>
      <c r="DLY49" s="191"/>
      <c r="DLZ49" s="191"/>
      <c r="DMA49" s="191"/>
      <c r="DMB49" s="191"/>
      <c r="DMC49" s="191"/>
      <c r="DMD49" s="191"/>
      <c r="DME49" s="191"/>
      <c r="DMF49" s="191"/>
      <c r="DMG49" s="191"/>
      <c r="DMH49" s="191"/>
      <c r="DMI49" s="191"/>
      <c r="DMJ49" s="191"/>
      <c r="DMK49" s="191"/>
      <c r="DML49" s="191"/>
      <c r="DMM49" s="191"/>
      <c r="DMN49" s="191"/>
      <c r="DMO49" s="191"/>
      <c r="DMP49" s="191"/>
      <c r="DMQ49" s="191"/>
      <c r="DMR49" s="191"/>
      <c r="DMS49" s="191"/>
      <c r="DMT49" s="191"/>
      <c r="DMU49" s="191"/>
      <c r="DMV49" s="191"/>
      <c r="DMW49" s="191"/>
      <c r="DMX49" s="191"/>
      <c r="DMY49" s="191"/>
      <c r="DMZ49" s="191"/>
      <c r="DNA49" s="191"/>
      <c r="DNB49" s="191"/>
      <c r="DNC49" s="191"/>
      <c r="DND49" s="191"/>
      <c r="DNE49" s="191"/>
      <c r="DNF49" s="191"/>
      <c r="DNG49" s="191"/>
      <c r="DNH49" s="191"/>
      <c r="DNI49" s="191"/>
      <c r="DNJ49" s="191"/>
      <c r="DNK49" s="191"/>
      <c r="DNL49" s="191"/>
      <c r="DNM49" s="191"/>
      <c r="DNN49" s="191"/>
      <c r="DNO49" s="191"/>
      <c r="DNP49" s="191"/>
      <c r="DNQ49" s="191"/>
      <c r="DNR49" s="191"/>
      <c r="DNS49" s="191"/>
      <c r="DNT49" s="191"/>
      <c r="DNU49" s="191"/>
      <c r="DNV49" s="191"/>
      <c r="DNW49" s="191"/>
      <c r="DNX49" s="191"/>
      <c r="DNY49" s="191"/>
      <c r="DNZ49" s="191"/>
      <c r="DOA49" s="191"/>
      <c r="DOB49" s="191"/>
      <c r="DOC49" s="191"/>
      <c r="DOD49" s="191"/>
      <c r="DOE49" s="191"/>
      <c r="DOF49" s="191"/>
      <c r="DOG49" s="191"/>
      <c r="DOH49" s="191"/>
      <c r="DOI49" s="191"/>
      <c r="DOJ49" s="191"/>
      <c r="DOK49" s="191"/>
      <c r="DOL49" s="191"/>
      <c r="DOM49" s="191"/>
      <c r="DON49" s="191"/>
      <c r="DOO49" s="191"/>
      <c r="DOP49" s="191"/>
      <c r="DOQ49" s="191"/>
      <c r="DOR49" s="191"/>
      <c r="DOS49" s="191"/>
      <c r="DOT49" s="191"/>
      <c r="DOU49" s="191"/>
      <c r="DOV49" s="191"/>
      <c r="DOW49" s="191"/>
      <c r="DOX49" s="191"/>
      <c r="DOY49" s="191"/>
      <c r="DOZ49" s="191"/>
      <c r="DPA49" s="191"/>
      <c r="DPB49" s="191"/>
      <c r="DPC49" s="191"/>
      <c r="DPD49" s="191"/>
      <c r="DPE49" s="191"/>
      <c r="DPF49" s="191"/>
      <c r="DPG49" s="191"/>
      <c r="DPH49" s="191"/>
      <c r="DPI49" s="191"/>
      <c r="DPJ49" s="191"/>
      <c r="DPK49" s="191"/>
      <c r="DPL49" s="191"/>
      <c r="DPM49" s="191"/>
      <c r="DPN49" s="191"/>
      <c r="DPO49" s="191"/>
      <c r="DPP49" s="191"/>
      <c r="DPQ49" s="191"/>
      <c r="DPR49" s="191"/>
      <c r="DPS49" s="191"/>
      <c r="DPT49" s="191"/>
      <c r="DPU49" s="191"/>
      <c r="DPV49" s="191"/>
      <c r="DPW49" s="191"/>
      <c r="DPX49" s="191"/>
      <c r="DPY49" s="191"/>
      <c r="DPZ49" s="191"/>
      <c r="DQA49" s="191"/>
      <c r="DQB49" s="191"/>
      <c r="DQC49" s="191"/>
      <c r="DQD49" s="191"/>
      <c r="DQE49" s="191"/>
      <c r="DQF49" s="191"/>
      <c r="DQG49" s="191"/>
      <c r="DQH49" s="191"/>
      <c r="DQI49" s="191"/>
      <c r="DQJ49" s="191"/>
      <c r="DQK49" s="191"/>
      <c r="DQL49" s="191"/>
      <c r="DQM49" s="191"/>
      <c r="DQN49" s="191"/>
      <c r="DQO49" s="191"/>
      <c r="DQP49" s="191"/>
      <c r="DQQ49" s="191"/>
      <c r="DQR49" s="191"/>
      <c r="DQS49" s="191"/>
      <c r="DQT49" s="191"/>
      <c r="DQU49" s="191"/>
      <c r="DQV49" s="191"/>
      <c r="DQW49" s="191"/>
      <c r="DQX49" s="191"/>
      <c r="DQY49" s="191"/>
      <c r="DQZ49" s="191"/>
      <c r="DRA49" s="191"/>
      <c r="DRB49" s="191"/>
      <c r="DRC49" s="191"/>
      <c r="DRD49" s="191"/>
      <c r="DRE49" s="191"/>
      <c r="DRF49" s="191"/>
      <c r="DRG49" s="191"/>
      <c r="DRH49" s="191"/>
      <c r="DRI49" s="191"/>
      <c r="DRJ49" s="191"/>
      <c r="DRK49" s="191"/>
      <c r="DRL49" s="191"/>
      <c r="DRM49" s="191"/>
      <c r="DRN49" s="191"/>
      <c r="DRO49" s="191"/>
      <c r="DRP49" s="191"/>
      <c r="DRQ49" s="191"/>
      <c r="DRR49" s="191"/>
      <c r="DRS49" s="191"/>
      <c r="DRT49" s="191"/>
      <c r="DRU49" s="191"/>
      <c r="DRV49" s="191"/>
      <c r="DRW49" s="191"/>
      <c r="DRX49" s="191"/>
      <c r="DRY49" s="191"/>
      <c r="DRZ49" s="191"/>
      <c r="DSA49" s="191"/>
      <c r="DSB49" s="191"/>
      <c r="DSC49" s="191"/>
      <c r="DSD49" s="191"/>
      <c r="DSE49" s="191"/>
      <c r="DSF49" s="191"/>
      <c r="DSG49" s="191"/>
      <c r="DSH49" s="191"/>
      <c r="DSI49" s="191"/>
      <c r="DSJ49" s="191"/>
      <c r="DSK49" s="191"/>
      <c r="DSL49" s="191"/>
      <c r="DSM49" s="191"/>
      <c r="DSN49" s="191"/>
      <c r="DSO49" s="191"/>
      <c r="DSP49" s="191"/>
      <c r="DSQ49" s="191"/>
      <c r="DSR49" s="191"/>
      <c r="DSS49" s="191"/>
      <c r="DST49" s="191"/>
      <c r="DSU49" s="191"/>
      <c r="DSV49" s="191"/>
      <c r="DSW49" s="191"/>
      <c r="DSX49" s="191"/>
      <c r="DSY49" s="191"/>
      <c r="DSZ49" s="191"/>
      <c r="DTA49" s="191"/>
      <c r="DTB49" s="191"/>
      <c r="DTC49" s="191"/>
      <c r="DTD49" s="191"/>
      <c r="DTE49" s="191"/>
      <c r="DTF49" s="191"/>
      <c r="DTG49" s="191"/>
      <c r="DTH49" s="191"/>
      <c r="DTI49" s="191"/>
      <c r="DTJ49" s="191"/>
      <c r="DTK49" s="191"/>
      <c r="DTL49" s="191"/>
      <c r="DTM49" s="191"/>
      <c r="DTN49" s="191"/>
      <c r="DTO49" s="191"/>
      <c r="DTP49" s="191"/>
      <c r="DTQ49" s="191"/>
      <c r="DTR49" s="191"/>
      <c r="DTS49" s="191"/>
      <c r="DTT49" s="191"/>
      <c r="DTU49" s="191"/>
      <c r="DTV49" s="191"/>
      <c r="DTW49" s="191"/>
      <c r="DTX49" s="191"/>
      <c r="DTY49" s="191"/>
      <c r="DTZ49" s="191"/>
      <c r="DUA49" s="191"/>
      <c r="DUB49" s="191"/>
      <c r="DUC49" s="191"/>
      <c r="DUD49" s="191"/>
      <c r="DUE49" s="191"/>
      <c r="DUF49" s="191"/>
      <c r="DUG49" s="191"/>
      <c r="DUH49" s="191"/>
      <c r="DUI49" s="191"/>
      <c r="DUJ49" s="191"/>
      <c r="DUK49" s="191"/>
      <c r="DUL49" s="191"/>
      <c r="DUM49" s="191"/>
      <c r="DUN49" s="191"/>
      <c r="DUO49" s="191"/>
      <c r="DUP49" s="191"/>
      <c r="DUQ49" s="191"/>
      <c r="DUR49" s="191"/>
      <c r="DUS49" s="191"/>
      <c r="DUT49" s="191"/>
      <c r="DUU49" s="191"/>
      <c r="DUV49" s="191"/>
      <c r="DUW49" s="191"/>
      <c r="DUX49" s="191"/>
      <c r="DUY49" s="191"/>
      <c r="DUZ49" s="191"/>
      <c r="DVA49" s="191"/>
      <c r="DVB49" s="191"/>
      <c r="DVC49" s="191"/>
      <c r="DVD49" s="191"/>
      <c r="DVE49" s="191"/>
      <c r="DVF49" s="191"/>
      <c r="DVG49" s="191"/>
      <c r="DVH49" s="191"/>
      <c r="DVI49" s="191"/>
      <c r="DVJ49" s="191"/>
      <c r="DVK49" s="191"/>
      <c r="DVL49" s="191"/>
      <c r="DVM49" s="191"/>
      <c r="DVN49" s="191"/>
      <c r="DVO49" s="191"/>
      <c r="DVP49" s="191"/>
      <c r="DVQ49" s="191"/>
      <c r="DVR49" s="191"/>
      <c r="DVS49" s="191"/>
      <c r="DVT49" s="191"/>
      <c r="DVU49" s="191"/>
      <c r="DVV49" s="191"/>
      <c r="DVW49" s="191"/>
      <c r="DVX49" s="191"/>
      <c r="DVY49" s="191"/>
      <c r="DVZ49" s="191"/>
      <c r="DWA49" s="191"/>
      <c r="DWB49" s="191"/>
      <c r="DWC49" s="191"/>
      <c r="DWD49" s="191"/>
      <c r="DWE49" s="191"/>
      <c r="DWF49" s="191"/>
      <c r="DWG49" s="191"/>
      <c r="DWH49" s="191"/>
      <c r="DWI49" s="191"/>
      <c r="DWJ49" s="191"/>
      <c r="DWK49" s="191"/>
      <c r="DWL49" s="191"/>
      <c r="DWM49" s="191"/>
      <c r="DWN49" s="191"/>
      <c r="DWO49" s="191"/>
      <c r="DWP49" s="191"/>
      <c r="DWQ49" s="191"/>
      <c r="DWR49" s="191"/>
      <c r="DWS49" s="191"/>
      <c r="DWT49" s="191"/>
      <c r="DWU49" s="191"/>
      <c r="DWV49" s="191"/>
      <c r="DWW49" s="191"/>
      <c r="DWX49" s="191"/>
      <c r="DWY49" s="191"/>
      <c r="DWZ49" s="191"/>
      <c r="DXA49" s="191"/>
      <c r="DXB49" s="191"/>
      <c r="DXC49" s="191"/>
      <c r="DXD49" s="191"/>
      <c r="DXE49" s="191"/>
      <c r="DXF49" s="191"/>
      <c r="DXG49" s="191"/>
      <c r="DXH49" s="191"/>
      <c r="DXI49" s="191"/>
      <c r="DXJ49" s="191"/>
      <c r="DXK49" s="191"/>
      <c r="DXL49" s="191"/>
      <c r="DXM49" s="191"/>
      <c r="DXN49" s="191"/>
      <c r="DXO49" s="191"/>
      <c r="DXP49" s="191"/>
      <c r="DXQ49" s="191"/>
      <c r="DXR49" s="191"/>
      <c r="DXS49" s="191"/>
      <c r="DXT49" s="191"/>
      <c r="DXU49" s="191"/>
      <c r="DXV49" s="191"/>
      <c r="DXW49" s="191"/>
      <c r="DXX49" s="191"/>
      <c r="DXY49" s="191"/>
      <c r="DXZ49" s="191"/>
      <c r="DYA49" s="191"/>
      <c r="DYB49" s="191"/>
      <c r="DYC49" s="191"/>
      <c r="DYD49" s="191"/>
      <c r="DYE49" s="191"/>
      <c r="DYF49" s="191"/>
      <c r="DYG49" s="191"/>
      <c r="DYH49" s="191"/>
      <c r="DYI49" s="191"/>
      <c r="DYJ49" s="191"/>
      <c r="DYK49" s="191"/>
      <c r="DYL49" s="191"/>
      <c r="DYM49" s="191"/>
      <c r="DYN49" s="191"/>
      <c r="DYO49" s="191"/>
      <c r="DYP49" s="191"/>
      <c r="DYQ49" s="191"/>
      <c r="DYR49" s="191"/>
      <c r="DYS49" s="191"/>
      <c r="DYT49" s="191"/>
      <c r="DYU49" s="191"/>
      <c r="DYV49" s="191"/>
      <c r="DYW49" s="191"/>
      <c r="DYX49" s="191"/>
      <c r="DYY49" s="191"/>
      <c r="DYZ49" s="191"/>
      <c r="DZA49" s="191"/>
      <c r="DZB49" s="191"/>
      <c r="DZC49" s="191"/>
      <c r="DZD49" s="191"/>
      <c r="DZE49" s="191"/>
      <c r="DZF49" s="191"/>
      <c r="DZG49" s="191"/>
      <c r="DZH49" s="191"/>
      <c r="DZI49" s="191"/>
      <c r="DZJ49" s="191"/>
      <c r="DZK49" s="191"/>
      <c r="DZL49" s="191"/>
      <c r="DZM49" s="191"/>
      <c r="DZN49" s="191"/>
      <c r="DZO49" s="191"/>
      <c r="DZP49" s="191"/>
      <c r="DZQ49" s="191"/>
      <c r="DZR49" s="191"/>
      <c r="DZS49" s="191"/>
      <c r="DZT49" s="191"/>
      <c r="DZU49" s="191"/>
      <c r="DZV49" s="191"/>
      <c r="DZW49" s="191"/>
      <c r="DZX49" s="191"/>
      <c r="DZY49" s="191"/>
      <c r="DZZ49" s="191"/>
      <c r="EAA49" s="191"/>
      <c r="EAB49" s="191"/>
      <c r="EAC49" s="191"/>
      <c r="EAD49" s="191"/>
      <c r="EAE49" s="191"/>
      <c r="EAF49" s="191"/>
      <c r="EAG49" s="191"/>
      <c r="EAH49" s="191"/>
      <c r="EAI49" s="191"/>
      <c r="EAJ49" s="191"/>
      <c r="EAK49" s="191"/>
      <c r="EAL49" s="191"/>
      <c r="EAM49" s="191"/>
      <c r="EAN49" s="191"/>
      <c r="EAO49" s="191"/>
      <c r="EAP49" s="191"/>
      <c r="EAQ49" s="191"/>
      <c r="EAR49" s="191"/>
      <c r="EAS49" s="191"/>
      <c r="EAT49" s="191"/>
      <c r="EAU49" s="191"/>
      <c r="EAV49" s="191"/>
      <c r="EAW49" s="191"/>
      <c r="EAX49" s="191"/>
      <c r="EAY49" s="191"/>
      <c r="EAZ49" s="191"/>
      <c r="EBA49" s="191"/>
      <c r="EBB49" s="191"/>
      <c r="EBC49" s="191"/>
      <c r="EBD49" s="191"/>
      <c r="EBE49" s="191"/>
      <c r="EBF49" s="191"/>
      <c r="EBG49" s="191"/>
      <c r="EBH49" s="191"/>
      <c r="EBI49" s="191"/>
      <c r="EBJ49" s="191"/>
      <c r="EBK49" s="191"/>
      <c r="EBL49" s="191"/>
      <c r="EBM49" s="191"/>
      <c r="EBN49" s="191"/>
      <c r="EBO49" s="191"/>
      <c r="EBP49" s="191"/>
      <c r="EBQ49" s="191"/>
      <c r="EBR49" s="191"/>
      <c r="EBS49" s="191"/>
      <c r="EBT49" s="191"/>
      <c r="EBU49" s="191"/>
      <c r="EBV49" s="191"/>
      <c r="EBW49" s="191"/>
      <c r="EBX49" s="191"/>
      <c r="EBY49" s="191"/>
      <c r="EBZ49" s="191"/>
      <c r="ECA49" s="191"/>
      <c r="ECB49" s="191"/>
      <c r="ECC49" s="191"/>
      <c r="ECD49" s="191"/>
      <c r="ECE49" s="191"/>
      <c r="ECF49" s="191"/>
      <c r="ECG49" s="191"/>
      <c r="ECH49" s="191"/>
      <c r="ECI49" s="191"/>
      <c r="ECJ49" s="191"/>
      <c r="ECK49" s="191"/>
      <c r="ECL49" s="191"/>
      <c r="ECM49" s="191"/>
      <c r="ECN49" s="191"/>
      <c r="ECO49" s="191"/>
      <c r="ECP49" s="191"/>
      <c r="ECQ49" s="191"/>
      <c r="ECR49" s="191"/>
      <c r="ECS49" s="191"/>
      <c r="ECT49" s="191"/>
      <c r="ECU49" s="191"/>
      <c r="ECV49" s="191"/>
      <c r="ECW49" s="191"/>
      <c r="ECX49" s="191"/>
      <c r="ECY49" s="191"/>
      <c r="ECZ49" s="191"/>
      <c r="EDA49" s="191"/>
      <c r="EDB49" s="191"/>
      <c r="EDC49" s="191"/>
      <c r="EDD49" s="191"/>
      <c r="EDE49" s="191"/>
      <c r="EDF49" s="191"/>
      <c r="EDG49" s="191"/>
      <c r="EDH49" s="191"/>
      <c r="EDI49" s="191"/>
      <c r="EDJ49" s="191"/>
      <c r="EDK49" s="191"/>
      <c r="EDL49" s="191"/>
      <c r="EDM49" s="191"/>
      <c r="EDN49" s="191"/>
      <c r="EDO49" s="191"/>
      <c r="EDP49" s="191"/>
      <c r="EDQ49" s="191"/>
      <c r="EDR49" s="191"/>
      <c r="EDS49" s="191"/>
      <c r="EDT49" s="191"/>
      <c r="EDU49" s="191"/>
      <c r="EDV49" s="191"/>
      <c r="EDW49" s="191"/>
      <c r="EDX49" s="191"/>
      <c r="EDY49" s="191"/>
      <c r="EDZ49" s="191"/>
      <c r="EEA49" s="191"/>
      <c r="EEB49" s="191"/>
      <c r="EEC49" s="191"/>
      <c r="EED49" s="191"/>
      <c r="EEE49" s="191"/>
      <c r="EEF49" s="191"/>
      <c r="EEG49" s="191"/>
      <c r="EEH49" s="191"/>
      <c r="EEI49" s="191"/>
      <c r="EEJ49" s="191"/>
      <c r="EEK49" s="191"/>
      <c r="EEL49" s="191"/>
      <c r="EEM49" s="191"/>
      <c r="EEN49" s="191"/>
      <c r="EEO49" s="191"/>
      <c r="EEP49" s="191"/>
      <c r="EEQ49" s="191"/>
      <c r="EER49" s="191"/>
      <c r="EES49" s="191"/>
      <c r="EET49" s="191"/>
      <c r="EEU49" s="191"/>
      <c r="EEV49" s="191"/>
      <c r="EEW49" s="191"/>
      <c r="EEX49" s="191"/>
      <c r="EEY49" s="191"/>
      <c r="EEZ49" s="191"/>
      <c r="EFA49" s="191"/>
      <c r="EFB49" s="191"/>
      <c r="EFC49" s="191"/>
      <c r="EFD49" s="191"/>
      <c r="EFE49" s="191"/>
      <c r="EFF49" s="191"/>
      <c r="EFG49" s="191"/>
      <c r="EFH49" s="191"/>
      <c r="EFI49" s="191"/>
      <c r="EFJ49" s="191"/>
      <c r="EFK49" s="191"/>
      <c r="EFL49" s="191"/>
      <c r="EFM49" s="191"/>
      <c r="EFN49" s="191"/>
      <c r="EFO49" s="191"/>
      <c r="EFP49" s="191"/>
      <c r="EFQ49" s="191"/>
      <c r="EFR49" s="191"/>
      <c r="EFS49" s="191"/>
      <c r="EFT49" s="191"/>
      <c r="EFU49" s="191"/>
      <c r="EFV49" s="191"/>
      <c r="EFW49" s="191"/>
      <c r="EFX49" s="191"/>
      <c r="EFY49" s="191"/>
      <c r="EFZ49" s="191"/>
      <c r="EGA49" s="191"/>
      <c r="EGB49" s="191"/>
      <c r="EGC49" s="191"/>
      <c r="EGD49" s="191"/>
      <c r="EGE49" s="191"/>
      <c r="EGF49" s="191"/>
      <c r="EGG49" s="191"/>
      <c r="EGH49" s="191"/>
      <c r="EGI49" s="191"/>
      <c r="EGJ49" s="191"/>
      <c r="EGK49" s="191"/>
      <c r="EGL49" s="191"/>
      <c r="EGM49" s="191"/>
      <c r="EGN49" s="191"/>
      <c r="EGO49" s="191"/>
      <c r="EGP49" s="191"/>
      <c r="EGQ49" s="191"/>
      <c r="EGR49" s="191"/>
      <c r="EGS49" s="191"/>
      <c r="EGT49" s="191"/>
      <c r="EGU49" s="191"/>
      <c r="EGV49" s="191"/>
      <c r="EGW49" s="191"/>
      <c r="EGX49" s="191"/>
      <c r="EGY49" s="191"/>
      <c r="EGZ49" s="191"/>
      <c r="EHA49" s="191"/>
      <c r="EHB49" s="191"/>
      <c r="EHC49" s="191"/>
      <c r="EHD49" s="191"/>
      <c r="EHE49" s="191"/>
      <c r="EHF49" s="191"/>
      <c r="EHG49" s="191"/>
      <c r="EHH49" s="191"/>
      <c r="EHI49" s="191"/>
      <c r="EHJ49" s="191"/>
      <c r="EHK49" s="191"/>
      <c r="EHL49" s="191"/>
      <c r="EHM49" s="191"/>
      <c r="EHN49" s="191"/>
      <c r="EHO49" s="191"/>
      <c r="EHP49" s="191"/>
      <c r="EHQ49" s="191"/>
      <c r="EHR49" s="191"/>
      <c r="EHS49" s="191"/>
      <c r="EHT49" s="191"/>
      <c r="EHU49" s="191"/>
      <c r="EHV49" s="191"/>
      <c r="EHW49" s="191"/>
      <c r="EHX49" s="191"/>
      <c r="EHY49" s="191"/>
      <c r="EHZ49" s="191"/>
      <c r="EIA49" s="191"/>
      <c r="EIB49" s="191"/>
      <c r="EIC49" s="191"/>
      <c r="EID49" s="191"/>
      <c r="EIE49" s="191"/>
      <c r="EIF49" s="191"/>
      <c r="EIG49" s="191"/>
      <c r="EIH49" s="191"/>
      <c r="EII49" s="191"/>
      <c r="EIJ49" s="191"/>
      <c r="EIK49" s="191"/>
      <c r="EIL49" s="191"/>
      <c r="EIM49" s="191"/>
      <c r="EIN49" s="191"/>
      <c r="EIO49" s="191"/>
      <c r="EIP49" s="191"/>
      <c r="EIQ49" s="191"/>
      <c r="EIR49" s="191"/>
      <c r="EIS49" s="191"/>
      <c r="EIT49" s="191"/>
      <c r="EIU49" s="191"/>
      <c r="EIV49" s="191"/>
      <c r="EIW49" s="191"/>
      <c r="EIX49" s="191"/>
      <c r="EIY49" s="191"/>
      <c r="EIZ49" s="191"/>
      <c r="EJA49" s="191"/>
      <c r="EJB49" s="191"/>
      <c r="EJC49" s="191"/>
      <c r="EJD49" s="191"/>
      <c r="EJE49" s="191"/>
      <c r="EJF49" s="191"/>
      <c r="EJG49" s="191"/>
      <c r="EJH49" s="191"/>
      <c r="EJI49" s="191"/>
      <c r="EJJ49" s="191"/>
      <c r="EJK49" s="191"/>
      <c r="EJL49" s="191"/>
      <c r="EJM49" s="191"/>
      <c r="EJN49" s="191"/>
      <c r="EJO49" s="191"/>
      <c r="EJP49" s="191"/>
      <c r="EJQ49" s="191"/>
      <c r="EJR49" s="191"/>
      <c r="EJS49" s="191"/>
      <c r="EJT49" s="191"/>
      <c r="EJU49" s="191"/>
      <c r="EJV49" s="191"/>
      <c r="EJW49" s="191"/>
      <c r="EJX49" s="191"/>
      <c r="EJY49" s="191"/>
      <c r="EJZ49" s="191"/>
      <c r="EKA49" s="191"/>
      <c r="EKB49" s="191"/>
      <c r="EKC49" s="191"/>
      <c r="EKD49" s="191"/>
      <c r="EKE49" s="191"/>
      <c r="EKF49" s="191"/>
      <c r="EKG49" s="191"/>
      <c r="EKH49" s="191"/>
      <c r="EKI49" s="191"/>
      <c r="EKJ49" s="191"/>
      <c r="EKK49" s="191"/>
      <c r="EKL49" s="191"/>
      <c r="EKM49" s="191"/>
      <c r="EKN49" s="191"/>
      <c r="EKO49" s="191"/>
      <c r="EKP49" s="191"/>
      <c r="EKQ49" s="191"/>
      <c r="EKR49" s="191"/>
      <c r="EKS49" s="191"/>
      <c r="EKT49" s="191"/>
      <c r="EKU49" s="191"/>
      <c r="EKV49" s="191"/>
      <c r="EKW49" s="191"/>
      <c r="EKX49" s="191"/>
      <c r="EKY49" s="191"/>
      <c r="EKZ49" s="191"/>
      <c r="ELA49" s="191"/>
      <c r="ELB49" s="191"/>
      <c r="ELC49" s="191"/>
      <c r="ELD49" s="191"/>
      <c r="ELE49" s="191"/>
      <c r="ELF49" s="191"/>
      <c r="ELG49" s="191"/>
      <c r="ELH49" s="191"/>
      <c r="ELI49" s="191"/>
      <c r="ELJ49" s="191"/>
      <c r="ELK49" s="191"/>
      <c r="ELL49" s="191"/>
      <c r="ELM49" s="191"/>
      <c r="ELN49" s="191"/>
      <c r="ELO49" s="191"/>
      <c r="ELP49" s="191"/>
      <c r="ELQ49" s="191"/>
      <c r="ELR49" s="191"/>
      <c r="ELS49" s="191"/>
      <c r="ELT49" s="191"/>
      <c r="ELU49" s="191"/>
      <c r="ELV49" s="191"/>
      <c r="ELW49" s="191"/>
      <c r="ELX49" s="191"/>
      <c r="ELY49" s="191"/>
      <c r="ELZ49" s="191"/>
      <c r="EMA49" s="191"/>
      <c r="EMB49" s="191"/>
      <c r="EMC49" s="191"/>
      <c r="EMD49" s="191"/>
      <c r="EME49" s="191"/>
      <c r="EMF49" s="191"/>
      <c r="EMG49" s="191"/>
      <c r="EMH49" s="191"/>
      <c r="EMI49" s="191"/>
      <c r="EMJ49" s="191"/>
      <c r="EMK49" s="191"/>
      <c r="EML49" s="191"/>
      <c r="EMM49" s="191"/>
      <c r="EMN49" s="191"/>
      <c r="EMO49" s="191"/>
      <c r="EMP49" s="191"/>
      <c r="EMQ49" s="191"/>
      <c r="EMR49" s="191"/>
      <c r="EMS49" s="191"/>
      <c r="EMT49" s="191"/>
      <c r="EMU49" s="191"/>
      <c r="EMV49" s="191"/>
      <c r="EMW49" s="191"/>
      <c r="EMX49" s="191"/>
      <c r="EMY49" s="191"/>
      <c r="EMZ49" s="191"/>
      <c r="ENA49" s="191"/>
      <c r="ENB49" s="191"/>
      <c r="ENC49" s="191"/>
      <c r="END49" s="191"/>
      <c r="ENE49" s="191"/>
      <c r="ENF49" s="191"/>
      <c r="ENG49" s="191"/>
      <c r="ENH49" s="191"/>
      <c r="ENI49" s="191"/>
      <c r="ENJ49" s="191"/>
      <c r="ENK49" s="191"/>
      <c r="ENL49" s="191"/>
      <c r="ENM49" s="191"/>
      <c r="ENN49" s="191"/>
      <c r="ENO49" s="191"/>
      <c r="ENP49" s="191"/>
      <c r="ENQ49" s="191"/>
      <c r="ENR49" s="191"/>
      <c r="ENS49" s="191"/>
      <c r="ENT49" s="191"/>
      <c r="ENU49" s="191"/>
      <c r="ENV49" s="191"/>
      <c r="ENW49" s="191"/>
      <c r="ENX49" s="191"/>
      <c r="ENY49" s="191"/>
      <c r="ENZ49" s="191"/>
      <c r="EOA49" s="191"/>
      <c r="EOB49" s="191"/>
      <c r="EOC49" s="191"/>
      <c r="EOD49" s="191"/>
      <c r="EOE49" s="191"/>
      <c r="EOF49" s="191"/>
      <c r="EOG49" s="191"/>
      <c r="EOH49" s="191"/>
      <c r="EOI49" s="191"/>
      <c r="EOJ49" s="191"/>
      <c r="EOK49" s="191"/>
      <c r="EOL49" s="191"/>
      <c r="EOM49" s="191"/>
      <c r="EON49" s="191"/>
      <c r="EOO49" s="191"/>
      <c r="EOP49" s="191"/>
      <c r="EOQ49" s="191"/>
      <c r="EOR49" s="191"/>
      <c r="EOS49" s="191"/>
      <c r="EOT49" s="191"/>
      <c r="EOU49" s="191"/>
      <c r="EOV49" s="191"/>
      <c r="EOW49" s="191"/>
      <c r="EOX49" s="191"/>
      <c r="EOY49" s="191"/>
      <c r="EOZ49" s="191"/>
      <c r="EPA49" s="191"/>
      <c r="EPB49" s="191"/>
      <c r="EPC49" s="191"/>
      <c r="EPD49" s="191"/>
      <c r="EPE49" s="191"/>
      <c r="EPF49" s="191"/>
      <c r="EPG49" s="191"/>
      <c r="EPH49" s="191"/>
      <c r="EPI49" s="191"/>
      <c r="EPJ49" s="191"/>
      <c r="EPK49" s="191"/>
      <c r="EPL49" s="191"/>
      <c r="EPM49" s="191"/>
      <c r="EPN49" s="191"/>
      <c r="EPO49" s="191"/>
      <c r="EPP49" s="191"/>
      <c r="EPQ49" s="191"/>
      <c r="EPR49" s="191"/>
      <c r="EPS49" s="191"/>
      <c r="EPT49" s="191"/>
      <c r="EPU49" s="191"/>
      <c r="EPV49" s="191"/>
      <c r="EPW49" s="191"/>
      <c r="EPX49" s="191"/>
      <c r="EPY49" s="191"/>
      <c r="EPZ49" s="191"/>
      <c r="EQA49" s="191"/>
      <c r="EQB49" s="191"/>
      <c r="EQC49" s="191"/>
      <c r="EQD49" s="191"/>
      <c r="EQE49" s="191"/>
      <c r="EQF49" s="191"/>
      <c r="EQG49" s="191"/>
      <c r="EQH49" s="191"/>
      <c r="EQI49" s="191"/>
      <c r="EQJ49" s="191"/>
      <c r="EQK49" s="191"/>
      <c r="EQL49" s="191"/>
      <c r="EQM49" s="191"/>
      <c r="EQN49" s="191"/>
      <c r="EQO49" s="191"/>
      <c r="EQP49" s="191"/>
      <c r="EQQ49" s="191"/>
      <c r="EQR49" s="191"/>
      <c r="EQS49" s="191"/>
      <c r="EQT49" s="191"/>
      <c r="EQU49" s="191"/>
      <c r="EQV49" s="191"/>
      <c r="EQW49" s="191"/>
      <c r="EQX49" s="191"/>
      <c r="EQY49" s="191"/>
      <c r="EQZ49" s="191"/>
      <c r="ERA49" s="191"/>
      <c r="ERB49" s="191"/>
      <c r="ERC49" s="191"/>
      <c r="ERD49" s="191"/>
      <c r="ERE49" s="191"/>
      <c r="ERF49" s="191"/>
      <c r="ERG49" s="191"/>
      <c r="ERH49" s="191"/>
      <c r="ERI49" s="191"/>
      <c r="ERJ49" s="191"/>
      <c r="ERK49" s="191"/>
      <c r="ERL49" s="191"/>
      <c r="ERM49" s="191"/>
      <c r="ERN49" s="191"/>
      <c r="ERO49" s="191"/>
      <c r="ERP49" s="191"/>
      <c r="ERQ49" s="191"/>
      <c r="ERR49" s="191"/>
      <c r="ERS49" s="191"/>
      <c r="ERT49" s="191"/>
      <c r="ERU49" s="191"/>
      <c r="ERV49" s="191"/>
      <c r="ERW49" s="191"/>
      <c r="ERX49" s="191"/>
      <c r="ERY49" s="191"/>
      <c r="ERZ49" s="191"/>
      <c r="ESA49" s="191"/>
      <c r="ESB49" s="191"/>
      <c r="ESC49" s="191"/>
      <c r="ESD49" s="191"/>
      <c r="ESE49" s="191"/>
      <c r="ESF49" s="191"/>
      <c r="ESG49" s="191"/>
      <c r="ESH49" s="191"/>
      <c r="ESI49" s="191"/>
      <c r="ESJ49" s="191"/>
      <c r="ESK49" s="191"/>
      <c r="ESL49" s="191"/>
      <c r="ESM49" s="191"/>
      <c r="ESN49" s="191"/>
      <c r="ESO49" s="191"/>
      <c r="ESP49" s="191"/>
      <c r="ESQ49" s="191"/>
      <c r="ESR49" s="191"/>
      <c r="ESS49" s="191"/>
      <c r="EST49" s="191"/>
      <c r="ESU49" s="191"/>
      <c r="ESV49" s="191"/>
      <c r="ESW49" s="191"/>
      <c r="ESX49" s="191"/>
      <c r="ESY49" s="191"/>
      <c r="ESZ49" s="191"/>
      <c r="ETA49" s="191"/>
      <c r="ETB49" s="191"/>
      <c r="ETC49" s="191"/>
      <c r="ETD49" s="191"/>
      <c r="ETE49" s="191"/>
      <c r="ETF49" s="191"/>
      <c r="ETG49" s="191"/>
      <c r="ETH49" s="191"/>
      <c r="ETI49" s="191"/>
      <c r="ETJ49" s="191"/>
      <c r="ETK49" s="191"/>
      <c r="ETL49" s="191"/>
      <c r="ETM49" s="191"/>
      <c r="ETN49" s="191"/>
      <c r="ETO49" s="191"/>
      <c r="ETP49" s="191"/>
      <c r="ETQ49" s="191"/>
      <c r="ETR49" s="191"/>
      <c r="ETS49" s="191"/>
      <c r="ETT49" s="191"/>
      <c r="ETU49" s="191"/>
      <c r="ETV49" s="191"/>
      <c r="ETW49" s="191"/>
      <c r="ETX49" s="191"/>
      <c r="ETY49" s="191"/>
      <c r="ETZ49" s="191"/>
      <c r="EUA49" s="191"/>
      <c r="EUB49" s="191"/>
      <c r="EUC49" s="191"/>
      <c r="EUD49" s="191"/>
      <c r="EUE49" s="191"/>
      <c r="EUF49" s="191"/>
      <c r="EUG49" s="191"/>
      <c r="EUH49" s="191"/>
      <c r="EUI49" s="191"/>
      <c r="EUJ49" s="191"/>
      <c r="EUK49" s="191"/>
      <c r="EUL49" s="191"/>
      <c r="EUM49" s="191"/>
      <c r="EUN49" s="191"/>
      <c r="EUO49" s="191"/>
      <c r="EUP49" s="191"/>
      <c r="EUQ49" s="191"/>
      <c r="EUR49" s="191"/>
      <c r="EUS49" s="191"/>
      <c r="EUT49" s="191"/>
      <c r="EUU49" s="191"/>
      <c r="EUV49" s="191"/>
      <c r="EUW49" s="191"/>
      <c r="EUX49" s="191"/>
      <c r="EUY49" s="191"/>
      <c r="EUZ49" s="191"/>
      <c r="EVA49" s="191"/>
      <c r="EVB49" s="191"/>
      <c r="EVC49" s="191"/>
      <c r="EVD49" s="191"/>
      <c r="EVE49" s="191"/>
      <c r="EVF49" s="191"/>
      <c r="EVG49" s="191"/>
      <c r="EVH49" s="191"/>
      <c r="EVI49" s="191"/>
      <c r="EVJ49" s="191"/>
      <c r="EVK49" s="191"/>
      <c r="EVL49" s="191"/>
      <c r="EVM49" s="191"/>
      <c r="EVN49" s="191"/>
      <c r="EVO49" s="191"/>
      <c r="EVP49" s="191"/>
      <c r="EVQ49" s="191"/>
      <c r="EVR49" s="191"/>
      <c r="EVS49" s="191"/>
      <c r="EVT49" s="191"/>
      <c r="EVU49" s="191"/>
      <c r="EVV49" s="191"/>
      <c r="EVW49" s="191"/>
      <c r="EVX49" s="191"/>
      <c r="EVY49" s="191"/>
      <c r="EVZ49" s="191"/>
      <c r="EWA49" s="191"/>
      <c r="EWB49" s="191"/>
      <c r="EWC49" s="191"/>
      <c r="EWD49" s="191"/>
      <c r="EWE49" s="191"/>
      <c r="EWF49" s="191"/>
      <c r="EWG49" s="191"/>
      <c r="EWH49" s="191"/>
      <c r="EWI49" s="191"/>
      <c r="EWJ49" s="191"/>
      <c r="EWK49" s="191"/>
      <c r="EWL49" s="191"/>
      <c r="EWM49" s="191"/>
      <c r="EWN49" s="191"/>
      <c r="EWO49" s="191"/>
      <c r="EWP49" s="191"/>
      <c r="EWQ49" s="191"/>
      <c r="EWR49" s="191"/>
      <c r="EWS49" s="191"/>
      <c r="EWT49" s="191"/>
      <c r="EWU49" s="191"/>
      <c r="EWV49" s="191"/>
      <c r="EWW49" s="191"/>
      <c r="EWX49" s="191"/>
      <c r="EWY49" s="191"/>
      <c r="EWZ49" s="191"/>
      <c r="EXA49" s="191"/>
      <c r="EXB49" s="191"/>
      <c r="EXC49" s="191"/>
      <c r="EXD49" s="191"/>
      <c r="EXE49" s="191"/>
      <c r="EXF49" s="191"/>
      <c r="EXG49" s="191"/>
      <c r="EXH49" s="191"/>
      <c r="EXI49" s="191"/>
      <c r="EXJ49" s="191"/>
      <c r="EXK49" s="191"/>
      <c r="EXL49" s="191"/>
      <c r="EXM49" s="191"/>
      <c r="EXN49" s="191"/>
      <c r="EXO49" s="191"/>
      <c r="EXP49" s="191"/>
      <c r="EXQ49" s="191"/>
      <c r="EXR49" s="191"/>
      <c r="EXS49" s="191"/>
      <c r="EXT49" s="191"/>
      <c r="EXU49" s="191"/>
      <c r="EXV49" s="191"/>
      <c r="EXW49" s="191"/>
      <c r="EXX49" s="191"/>
      <c r="EXY49" s="191"/>
      <c r="EXZ49" s="191"/>
      <c r="EYA49" s="191"/>
      <c r="EYB49" s="191"/>
      <c r="EYC49" s="191"/>
      <c r="EYD49" s="191"/>
      <c r="EYE49" s="191"/>
      <c r="EYF49" s="191"/>
      <c r="EYG49" s="191"/>
      <c r="EYH49" s="191"/>
      <c r="EYI49" s="191"/>
      <c r="EYJ49" s="191"/>
      <c r="EYK49" s="191"/>
      <c r="EYL49" s="191"/>
      <c r="EYM49" s="191"/>
      <c r="EYN49" s="191"/>
      <c r="EYO49" s="191"/>
      <c r="EYP49" s="191"/>
      <c r="EYQ49" s="191"/>
      <c r="EYR49" s="191"/>
      <c r="EYS49" s="191"/>
      <c r="EYT49" s="191"/>
      <c r="EYU49" s="191"/>
      <c r="EYV49" s="191"/>
      <c r="EYW49" s="191"/>
      <c r="EYX49" s="191"/>
      <c r="EYY49" s="191"/>
      <c r="EYZ49" s="191"/>
      <c r="EZA49" s="191"/>
      <c r="EZB49" s="191"/>
      <c r="EZC49" s="191"/>
      <c r="EZD49" s="191"/>
      <c r="EZE49" s="191"/>
      <c r="EZF49" s="191"/>
      <c r="EZG49" s="191"/>
      <c r="EZH49" s="191"/>
      <c r="EZI49" s="191"/>
      <c r="EZJ49" s="191"/>
      <c r="EZK49" s="191"/>
      <c r="EZL49" s="191"/>
      <c r="EZM49" s="191"/>
      <c r="EZN49" s="191"/>
      <c r="EZO49" s="191"/>
      <c r="EZP49" s="191"/>
      <c r="EZQ49" s="191"/>
      <c r="EZR49" s="191"/>
      <c r="EZS49" s="191"/>
      <c r="EZT49" s="191"/>
      <c r="EZU49" s="191"/>
      <c r="EZV49" s="191"/>
      <c r="EZW49" s="191"/>
      <c r="EZX49" s="191"/>
      <c r="EZY49" s="191"/>
      <c r="EZZ49" s="191"/>
      <c r="FAA49" s="191"/>
      <c r="FAB49" s="191"/>
      <c r="FAC49" s="191"/>
      <c r="FAD49" s="191"/>
      <c r="FAE49" s="191"/>
      <c r="FAF49" s="191"/>
      <c r="FAG49" s="191"/>
      <c r="FAH49" s="191"/>
      <c r="FAI49" s="191"/>
      <c r="FAJ49" s="191"/>
      <c r="FAK49" s="191"/>
      <c r="FAL49" s="191"/>
      <c r="FAM49" s="191"/>
      <c r="FAN49" s="191"/>
      <c r="FAO49" s="191"/>
      <c r="FAP49" s="191"/>
      <c r="FAQ49" s="191"/>
      <c r="FAR49" s="191"/>
      <c r="FAS49" s="191"/>
      <c r="FAT49" s="191"/>
      <c r="FAU49" s="191"/>
      <c r="FAV49" s="191"/>
      <c r="FAW49" s="191"/>
      <c r="FAX49" s="191"/>
      <c r="FAY49" s="191"/>
      <c r="FAZ49" s="191"/>
      <c r="FBA49" s="191"/>
      <c r="FBB49" s="191"/>
      <c r="FBC49" s="191"/>
      <c r="FBD49" s="191"/>
      <c r="FBE49" s="191"/>
      <c r="FBF49" s="191"/>
      <c r="FBG49" s="191"/>
      <c r="FBH49" s="191"/>
      <c r="FBI49" s="191"/>
      <c r="FBJ49" s="191"/>
      <c r="FBK49" s="191"/>
      <c r="FBL49" s="191"/>
      <c r="FBM49" s="191"/>
      <c r="FBN49" s="191"/>
      <c r="FBO49" s="191"/>
      <c r="FBP49" s="191"/>
      <c r="FBQ49" s="191"/>
      <c r="FBR49" s="191"/>
      <c r="FBS49" s="191"/>
      <c r="FBT49" s="191"/>
      <c r="FBU49" s="191"/>
      <c r="FBV49" s="191"/>
      <c r="FBW49" s="191"/>
      <c r="FBX49" s="191"/>
      <c r="FBY49" s="191"/>
      <c r="FBZ49" s="191"/>
      <c r="FCA49" s="191"/>
      <c r="FCB49" s="191"/>
      <c r="FCC49" s="191"/>
      <c r="FCD49" s="191"/>
      <c r="FCE49" s="191"/>
      <c r="FCF49" s="191"/>
      <c r="FCG49" s="191"/>
      <c r="FCH49" s="191"/>
      <c r="FCI49" s="191"/>
      <c r="FCJ49" s="191"/>
      <c r="FCK49" s="191"/>
      <c r="FCL49" s="191"/>
      <c r="FCM49" s="191"/>
      <c r="FCN49" s="191"/>
      <c r="FCO49" s="191"/>
      <c r="FCP49" s="191"/>
      <c r="FCQ49" s="191"/>
      <c r="FCR49" s="191"/>
      <c r="FCS49" s="191"/>
      <c r="FCT49" s="191"/>
      <c r="FCU49" s="191"/>
      <c r="FCV49" s="191"/>
      <c r="FCW49" s="191"/>
      <c r="FCX49" s="191"/>
      <c r="FCY49" s="191"/>
      <c r="FCZ49" s="191"/>
      <c r="FDA49" s="191"/>
      <c r="FDB49" s="191"/>
      <c r="FDC49" s="191"/>
      <c r="FDD49" s="191"/>
      <c r="FDE49" s="191"/>
      <c r="FDF49" s="191"/>
      <c r="FDG49" s="191"/>
      <c r="FDH49" s="191"/>
      <c r="FDI49" s="191"/>
      <c r="FDJ49" s="191"/>
      <c r="FDK49" s="191"/>
      <c r="FDL49" s="191"/>
      <c r="FDM49" s="191"/>
      <c r="FDN49" s="191"/>
      <c r="FDO49" s="191"/>
      <c r="FDP49" s="191"/>
      <c r="FDQ49" s="191"/>
      <c r="FDR49" s="191"/>
      <c r="FDS49" s="191"/>
      <c r="FDT49" s="191"/>
      <c r="FDU49" s="191"/>
      <c r="FDV49" s="191"/>
      <c r="FDW49" s="191"/>
      <c r="FDX49" s="191"/>
      <c r="FDY49" s="191"/>
      <c r="FDZ49" s="191"/>
      <c r="FEA49" s="191"/>
      <c r="FEB49" s="191"/>
      <c r="FEC49" s="191"/>
      <c r="FED49" s="191"/>
      <c r="FEE49" s="191"/>
      <c r="FEF49" s="191"/>
      <c r="FEG49" s="191"/>
      <c r="FEH49" s="191"/>
      <c r="FEI49" s="191"/>
      <c r="FEJ49" s="191"/>
      <c r="FEK49" s="191"/>
      <c r="FEL49" s="191"/>
      <c r="FEM49" s="191"/>
      <c r="FEN49" s="191"/>
      <c r="FEO49" s="191"/>
      <c r="FEP49" s="191"/>
      <c r="FEQ49" s="191"/>
      <c r="FER49" s="191"/>
      <c r="FES49" s="191"/>
      <c r="FET49" s="191"/>
      <c r="FEU49" s="191"/>
      <c r="FEV49" s="191"/>
      <c r="FEW49" s="191"/>
      <c r="FEX49" s="191"/>
      <c r="FEY49" s="191"/>
      <c r="FEZ49" s="191"/>
      <c r="FFA49" s="191"/>
      <c r="FFB49" s="191"/>
      <c r="FFC49" s="191"/>
      <c r="FFD49" s="191"/>
      <c r="FFE49" s="191"/>
      <c r="FFF49" s="191"/>
      <c r="FFG49" s="191"/>
      <c r="FFH49" s="191"/>
      <c r="FFI49" s="191"/>
      <c r="FFJ49" s="191"/>
      <c r="FFK49" s="191"/>
      <c r="FFL49" s="191"/>
      <c r="FFM49" s="191"/>
      <c r="FFN49" s="191"/>
      <c r="FFO49" s="191"/>
      <c r="FFP49" s="191"/>
      <c r="FFQ49" s="191"/>
      <c r="FFR49" s="191"/>
      <c r="FFS49" s="191"/>
      <c r="FFT49" s="191"/>
      <c r="FFU49" s="191"/>
      <c r="FFV49" s="191"/>
      <c r="FFW49" s="191"/>
      <c r="FFX49" s="191"/>
      <c r="FFY49" s="191"/>
      <c r="FFZ49" s="191"/>
      <c r="FGA49" s="191"/>
      <c r="FGB49" s="191"/>
      <c r="FGC49" s="191"/>
      <c r="FGD49" s="191"/>
      <c r="FGE49" s="191"/>
      <c r="FGF49" s="191"/>
      <c r="FGG49" s="191"/>
      <c r="FGH49" s="191"/>
      <c r="FGI49" s="191"/>
      <c r="FGJ49" s="191"/>
      <c r="FGK49" s="191"/>
      <c r="FGL49" s="191"/>
      <c r="FGM49" s="191"/>
      <c r="FGN49" s="191"/>
      <c r="FGO49" s="191"/>
      <c r="FGP49" s="191"/>
      <c r="FGQ49" s="191"/>
      <c r="FGR49" s="191"/>
      <c r="FGS49" s="191"/>
      <c r="FGT49" s="191"/>
      <c r="FGU49" s="191"/>
      <c r="FGV49" s="191"/>
      <c r="FGW49" s="191"/>
      <c r="FGX49" s="191"/>
      <c r="FGY49" s="191"/>
      <c r="FGZ49" s="191"/>
      <c r="FHA49" s="191"/>
      <c r="FHB49" s="191"/>
      <c r="FHC49" s="191"/>
      <c r="FHD49" s="191"/>
      <c r="FHE49" s="191"/>
      <c r="FHF49" s="191"/>
      <c r="FHG49" s="191"/>
      <c r="FHH49" s="191"/>
      <c r="FHI49" s="191"/>
      <c r="FHJ49" s="191"/>
      <c r="FHK49" s="191"/>
      <c r="FHL49" s="191"/>
      <c r="FHM49" s="191"/>
      <c r="FHN49" s="191"/>
      <c r="FHO49" s="191"/>
      <c r="FHP49" s="191"/>
      <c r="FHQ49" s="191"/>
      <c r="FHR49" s="191"/>
      <c r="FHS49" s="191"/>
      <c r="FHT49" s="191"/>
      <c r="FHU49" s="191"/>
      <c r="FHV49" s="191"/>
      <c r="FHW49" s="191"/>
      <c r="FHX49" s="191"/>
      <c r="FHY49" s="191"/>
      <c r="FHZ49" s="191"/>
      <c r="FIA49" s="191"/>
      <c r="FIB49" s="191"/>
      <c r="FIC49" s="191"/>
      <c r="FID49" s="191"/>
      <c r="FIE49" s="191"/>
      <c r="FIF49" s="191"/>
      <c r="FIG49" s="191"/>
      <c r="FIH49" s="191"/>
      <c r="FII49" s="191"/>
      <c r="FIJ49" s="191"/>
      <c r="FIK49" s="191"/>
      <c r="FIL49" s="191"/>
      <c r="FIM49" s="191"/>
      <c r="FIN49" s="191"/>
      <c r="FIO49" s="191"/>
      <c r="FIP49" s="191"/>
      <c r="FIQ49" s="191"/>
      <c r="FIR49" s="191"/>
      <c r="FIS49" s="191"/>
      <c r="FIT49" s="191"/>
      <c r="FIU49" s="191"/>
      <c r="FIV49" s="191"/>
      <c r="FIW49" s="191"/>
      <c r="FIX49" s="191"/>
      <c r="FIY49" s="191"/>
      <c r="FIZ49" s="191"/>
      <c r="FJA49" s="191"/>
      <c r="FJB49" s="191"/>
      <c r="FJC49" s="191"/>
      <c r="FJD49" s="191"/>
      <c r="FJE49" s="191"/>
      <c r="FJF49" s="191"/>
      <c r="FJG49" s="191"/>
      <c r="FJH49" s="191"/>
      <c r="FJI49" s="191"/>
      <c r="FJJ49" s="191"/>
      <c r="FJK49" s="191"/>
      <c r="FJL49" s="191"/>
      <c r="FJM49" s="191"/>
      <c r="FJN49" s="191"/>
      <c r="FJO49" s="191"/>
      <c r="FJP49" s="191"/>
      <c r="FJQ49" s="191"/>
      <c r="FJR49" s="191"/>
      <c r="FJS49" s="191"/>
      <c r="FJT49" s="191"/>
      <c r="FJU49" s="191"/>
      <c r="FJV49" s="191"/>
      <c r="FJW49" s="191"/>
      <c r="FJX49" s="191"/>
      <c r="FJY49" s="191"/>
      <c r="FJZ49" s="191"/>
      <c r="FKA49" s="191"/>
      <c r="FKB49" s="191"/>
      <c r="FKC49" s="191"/>
      <c r="FKD49" s="191"/>
      <c r="FKE49" s="191"/>
      <c r="FKF49" s="191"/>
      <c r="FKG49" s="191"/>
      <c r="FKH49" s="191"/>
      <c r="FKI49" s="191"/>
      <c r="FKJ49" s="191"/>
      <c r="FKK49" s="191"/>
      <c r="FKL49" s="191"/>
      <c r="FKM49" s="191"/>
      <c r="FKN49" s="191"/>
      <c r="FKO49" s="191"/>
      <c r="FKP49" s="191"/>
      <c r="FKQ49" s="191"/>
      <c r="FKR49" s="191"/>
      <c r="FKS49" s="191"/>
      <c r="FKT49" s="191"/>
      <c r="FKU49" s="191"/>
      <c r="FKV49" s="191"/>
      <c r="FKW49" s="191"/>
      <c r="FKX49" s="191"/>
      <c r="FKY49" s="191"/>
      <c r="FKZ49" s="191"/>
      <c r="FLA49" s="191"/>
      <c r="FLB49" s="191"/>
      <c r="FLC49" s="191"/>
      <c r="FLD49" s="191"/>
      <c r="FLE49" s="191"/>
      <c r="FLF49" s="191"/>
      <c r="FLG49" s="191"/>
      <c r="FLH49" s="191"/>
      <c r="FLI49" s="191"/>
      <c r="FLJ49" s="191"/>
      <c r="FLK49" s="191"/>
      <c r="FLL49" s="191"/>
      <c r="FLM49" s="191"/>
      <c r="FLN49" s="191"/>
      <c r="FLO49" s="191"/>
      <c r="FLP49" s="191"/>
      <c r="FLQ49" s="191"/>
      <c r="FLR49" s="191"/>
      <c r="FLS49" s="191"/>
      <c r="FLT49" s="191"/>
      <c r="FLU49" s="191"/>
      <c r="FLV49" s="191"/>
      <c r="FLW49" s="191"/>
      <c r="FLX49" s="191"/>
      <c r="FLY49" s="191"/>
      <c r="FLZ49" s="191"/>
      <c r="FMA49" s="191"/>
      <c r="FMB49" s="191"/>
      <c r="FMC49" s="191"/>
      <c r="FMD49" s="191"/>
      <c r="FME49" s="191"/>
      <c r="FMF49" s="191"/>
      <c r="FMG49" s="191"/>
      <c r="FMH49" s="191"/>
      <c r="FMI49" s="191"/>
      <c r="FMJ49" s="191"/>
      <c r="FMK49" s="191"/>
      <c r="FML49" s="191"/>
      <c r="FMM49" s="191"/>
      <c r="FMN49" s="191"/>
      <c r="FMO49" s="191"/>
      <c r="FMP49" s="191"/>
      <c r="FMQ49" s="191"/>
      <c r="FMR49" s="191"/>
      <c r="FMS49" s="191"/>
      <c r="FMT49" s="191"/>
      <c r="FMU49" s="191"/>
      <c r="FMV49" s="191"/>
      <c r="FMW49" s="191"/>
      <c r="FMX49" s="191"/>
      <c r="FMY49" s="191"/>
      <c r="FMZ49" s="191"/>
      <c r="FNA49" s="191"/>
      <c r="FNB49" s="191"/>
      <c r="FNC49" s="191"/>
      <c r="FND49" s="191"/>
      <c r="FNE49" s="191"/>
      <c r="FNF49" s="191"/>
      <c r="FNG49" s="191"/>
      <c r="FNH49" s="191"/>
      <c r="FNI49" s="191"/>
      <c r="FNJ49" s="191"/>
      <c r="FNK49" s="191"/>
      <c r="FNL49" s="191"/>
      <c r="FNM49" s="191"/>
      <c r="FNN49" s="191"/>
      <c r="FNO49" s="191"/>
      <c r="FNP49" s="191"/>
      <c r="FNQ49" s="191"/>
      <c r="FNR49" s="191"/>
      <c r="FNS49" s="191"/>
      <c r="FNT49" s="191"/>
      <c r="FNU49" s="191"/>
      <c r="FNV49" s="191"/>
      <c r="FNW49" s="191"/>
      <c r="FNX49" s="191"/>
      <c r="FNY49" s="191"/>
      <c r="FNZ49" s="191"/>
      <c r="FOA49" s="191"/>
      <c r="FOB49" s="191"/>
      <c r="FOC49" s="191"/>
      <c r="FOD49" s="191"/>
      <c r="FOE49" s="191"/>
      <c r="FOF49" s="191"/>
      <c r="FOG49" s="191"/>
      <c r="FOH49" s="191"/>
      <c r="FOI49" s="191"/>
      <c r="FOJ49" s="191"/>
      <c r="FOK49" s="191"/>
      <c r="FOL49" s="191"/>
      <c r="FOM49" s="191"/>
      <c r="FON49" s="191"/>
      <c r="FOO49" s="191"/>
      <c r="FOP49" s="191"/>
      <c r="FOQ49" s="191"/>
      <c r="FOR49" s="191"/>
      <c r="FOS49" s="191"/>
      <c r="FOT49" s="191"/>
      <c r="FOU49" s="191"/>
      <c r="FOV49" s="191"/>
      <c r="FOW49" s="191"/>
      <c r="FOX49" s="191"/>
      <c r="FOY49" s="191"/>
      <c r="FOZ49" s="191"/>
      <c r="FPA49" s="191"/>
      <c r="FPB49" s="191"/>
      <c r="FPC49" s="191"/>
      <c r="FPD49" s="191"/>
      <c r="FPE49" s="191"/>
      <c r="FPF49" s="191"/>
      <c r="FPG49" s="191"/>
      <c r="FPH49" s="191"/>
      <c r="FPI49" s="191"/>
      <c r="FPJ49" s="191"/>
      <c r="FPK49" s="191"/>
      <c r="FPL49" s="191"/>
      <c r="FPM49" s="191"/>
      <c r="FPN49" s="191"/>
      <c r="FPO49" s="191"/>
      <c r="FPP49" s="191"/>
      <c r="FPQ49" s="191"/>
      <c r="FPR49" s="191"/>
      <c r="FPS49" s="191"/>
      <c r="FPT49" s="191"/>
      <c r="FPU49" s="191"/>
      <c r="FPV49" s="191"/>
      <c r="FPW49" s="191"/>
      <c r="FPX49" s="191"/>
      <c r="FPY49" s="191"/>
      <c r="FPZ49" s="191"/>
      <c r="FQA49" s="191"/>
      <c r="FQB49" s="191"/>
      <c r="FQC49" s="191"/>
      <c r="FQD49" s="191"/>
      <c r="FQE49" s="191"/>
      <c r="FQF49" s="191"/>
      <c r="FQG49" s="191"/>
      <c r="FQH49" s="191"/>
      <c r="FQI49" s="191"/>
      <c r="FQJ49" s="191"/>
      <c r="FQK49" s="191"/>
      <c r="FQL49" s="191"/>
      <c r="FQM49" s="191"/>
      <c r="FQN49" s="191"/>
      <c r="FQO49" s="191"/>
      <c r="FQP49" s="191"/>
      <c r="FQQ49" s="191"/>
      <c r="FQR49" s="191"/>
      <c r="FQS49" s="191"/>
      <c r="FQT49" s="191"/>
      <c r="FQU49" s="191"/>
      <c r="FQV49" s="191"/>
      <c r="FQW49" s="191"/>
      <c r="FQX49" s="191"/>
      <c r="FQY49" s="191"/>
      <c r="FQZ49" s="191"/>
      <c r="FRA49" s="191"/>
      <c r="FRB49" s="191"/>
      <c r="FRC49" s="191"/>
      <c r="FRD49" s="191"/>
      <c r="FRE49" s="191"/>
      <c r="FRF49" s="191"/>
      <c r="FRG49" s="191"/>
      <c r="FRH49" s="191"/>
      <c r="FRI49" s="191"/>
      <c r="FRJ49" s="191"/>
      <c r="FRK49" s="191"/>
      <c r="FRL49" s="191"/>
      <c r="FRM49" s="191"/>
      <c r="FRN49" s="191"/>
      <c r="FRO49" s="191"/>
      <c r="FRP49" s="191"/>
      <c r="FRQ49" s="191"/>
      <c r="FRR49" s="191"/>
      <c r="FRS49" s="191"/>
      <c r="FRT49" s="191"/>
      <c r="FRU49" s="191"/>
      <c r="FRV49" s="191"/>
      <c r="FRW49" s="191"/>
      <c r="FRX49" s="191"/>
      <c r="FRY49" s="191"/>
      <c r="FRZ49" s="191"/>
      <c r="FSA49" s="191"/>
      <c r="FSB49" s="191"/>
      <c r="FSC49" s="191"/>
      <c r="FSD49" s="191"/>
      <c r="FSE49" s="191"/>
      <c r="FSF49" s="191"/>
      <c r="FSG49" s="191"/>
      <c r="FSH49" s="191"/>
      <c r="FSI49" s="191"/>
      <c r="FSJ49" s="191"/>
      <c r="FSK49" s="191"/>
      <c r="FSL49" s="191"/>
      <c r="FSM49" s="191"/>
      <c r="FSN49" s="191"/>
      <c r="FSO49" s="191"/>
      <c r="FSP49" s="191"/>
      <c r="FSQ49" s="191"/>
      <c r="FSR49" s="191"/>
      <c r="FSS49" s="191"/>
      <c r="FST49" s="191"/>
      <c r="FSU49" s="191"/>
      <c r="FSV49" s="191"/>
      <c r="FSW49" s="191"/>
      <c r="FSX49" s="191"/>
      <c r="FSY49" s="191"/>
      <c r="FSZ49" s="191"/>
      <c r="FTA49" s="191"/>
      <c r="FTB49" s="191"/>
      <c r="FTC49" s="191"/>
      <c r="FTD49" s="191"/>
      <c r="FTE49" s="191"/>
      <c r="FTF49" s="191"/>
      <c r="FTG49" s="191"/>
      <c r="FTH49" s="191"/>
      <c r="FTI49" s="191"/>
      <c r="FTJ49" s="191"/>
      <c r="FTK49" s="191"/>
      <c r="FTL49" s="191"/>
      <c r="FTM49" s="191"/>
      <c r="FTN49" s="191"/>
      <c r="FTO49" s="191"/>
      <c r="FTP49" s="191"/>
      <c r="FTQ49" s="191"/>
      <c r="FTR49" s="191"/>
      <c r="FTS49" s="191"/>
      <c r="FTT49" s="191"/>
      <c r="FTU49" s="191"/>
      <c r="FTV49" s="191"/>
      <c r="FTW49" s="191"/>
      <c r="FTX49" s="191"/>
      <c r="FTY49" s="191"/>
      <c r="FTZ49" s="191"/>
      <c r="FUA49" s="191"/>
      <c r="FUB49" s="191"/>
      <c r="FUC49" s="191"/>
      <c r="FUD49" s="191"/>
      <c r="FUE49" s="191"/>
      <c r="FUF49" s="191"/>
      <c r="FUG49" s="191"/>
      <c r="FUH49" s="191"/>
      <c r="FUI49" s="191"/>
      <c r="FUJ49" s="191"/>
      <c r="FUK49" s="191"/>
      <c r="FUL49" s="191"/>
      <c r="FUM49" s="191"/>
      <c r="FUN49" s="191"/>
      <c r="FUO49" s="191"/>
      <c r="FUP49" s="191"/>
      <c r="FUQ49" s="191"/>
      <c r="FUR49" s="191"/>
      <c r="FUS49" s="191"/>
      <c r="FUT49" s="191"/>
      <c r="FUU49" s="191"/>
      <c r="FUV49" s="191"/>
      <c r="FUW49" s="191"/>
      <c r="FUX49" s="191"/>
      <c r="FUY49" s="191"/>
      <c r="FUZ49" s="191"/>
      <c r="FVA49" s="191"/>
      <c r="FVB49" s="191"/>
      <c r="FVC49" s="191"/>
      <c r="FVD49" s="191"/>
      <c r="FVE49" s="191"/>
      <c r="FVF49" s="191"/>
      <c r="FVG49" s="191"/>
      <c r="FVH49" s="191"/>
      <c r="FVI49" s="191"/>
      <c r="FVJ49" s="191"/>
      <c r="FVK49" s="191"/>
      <c r="FVL49" s="191"/>
      <c r="FVM49" s="191"/>
      <c r="FVN49" s="191"/>
      <c r="FVO49" s="191"/>
      <c r="FVP49" s="191"/>
      <c r="FVQ49" s="191"/>
      <c r="FVR49" s="191"/>
      <c r="FVS49" s="191"/>
      <c r="FVT49" s="191"/>
      <c r="FVU49" s="191"/>
      <c r="FVV49" s="191"/>
      <c r="FVW49" s="191"/>
      <c r="FVX49" s="191"/>
      <c r="FVY49" s="191"/>
      <c r="FVZ49" s="191"/>
      <c r="FWA49" s="191"/>
      <c r="FWB49" s="191"/>
      <c r="FWC49" s="191"/>
      <c r="FWD49" s="191"/>
      <c r="FWE49" s="191"/>
      <c r="FWF49" s="191"/>
      <c r="FWG49" s="191"/>
      <c r="FWH49" s="191"/>
      <c r="FWI49" s="191"/>
      <c r="FWJ49" s="191"/>
      <c r="FWK49" s="191"/>
      <c r="FWL49" s="191"/>
      <c r="FWM49" s="191"/>
      <c r="FWN49" s="191"/>
      <c r="FWO49" s="191"/>
      <c r="FWP49" s="191"/>
      <c r="FWQ49" s="191"/>
      <c r="FWR49" s="191"/>
      <c r="FWS49" s="191"/>
      <c r="FWT49" s="191"/>
      <c r="FWU49" s="191"/>
      <c r="FWV49" s="191"/>
      <c r="FWW49" s="191"/>
      <c r="FWX49" s="191"/>
      <c r="FWY49" s="191"/>
      <c r="FWZ49" s="191"/>
      <c r="FXA49" s="191"/>
      <c r="FXB49" s="191"/>
      <c r="FXC49" s="191"/>
      <c r="FXD49" s="191"/>
      <c r="FXE49" s="191"/>
      <c r="FXF49" s="191"/>
      <c r="FXG49" s="191"/>
      <c r="FXH49" s="191"/>
      <c r="FXI49" s="191"/>
      <c r="FXJ49" s="191"/>
      <c r="FXK49" s="191"/>
      <c r="FXL49" s="191"/>
      <c r="FXM49" s="191"/>
      <c r="FXN49" s="191"/>
      <c r="FXO49" s="191"/>
      <c r="FXP49" s="191"/>
      <c r="FXQ49" s="191"/>
      <c r="FXR49" s="191"/>
      <c r="FXS49" s="191"/>
      <c r="FXT49" s="191"/>
      <c r="FXU49" s="191"/>
      <c r="FXV49" s="191"/>
      <c r="FXW49" s="191"/>
      <c r="FXX49" s="191"/>
      <c r="FXY49" s="191"/>
      <c r="FXZ49" s="191"/>
      <c r="FYA49" s="191"/>
      <c r="FYB49" s="191"/>
      <c r="FYC49" s="191"/>
      <c r="FYD49" s="191"/>
      <c r="FYE49" s="191"/>
      <c r="FYF49" s="191"/>
      <c r="FYG49" s="191"/>
      <c r="FYH49" s="191"/>
      <c r="FYI49" s="191"/>
      <c r="FYJ49" s="191"/>
      <c r="FYK49" s="191"/>
      <c r="FYL49" s="191"/>
      <c r="FYM49" s="191"/>
      <c r="FYN49" s="191"/>
      <c r="FYO49" s="191"/>
      <c r="FYP49" s="191"/>
      <c r="FYQ49" s="191"/>
      <c r="FYR49" s="191"/>
      <c r="FYS49" s="191"/>
      <c r="FYT49" s="191"/>
      <c r="FYU49" s="191"/>
      <c r="FYV49" s="191"/>
      <c r="FYW49" s="191"/>
      <c r="FYX49" s="191"/>
      <c r="FYY49" s="191"/>
      <c r="FYZ49" s="191"/>
      <c r="FZA49" s="191"/>
      <c r="FZB49" s="191"/>
      <c r="FZC49" s="191"/>
      <c r="FZD49" s="191"/>
      <c r="FZE49" s="191"/>
      <c r="FZF49" s="191"/>
      <c r="FZG49" s="191"/>
      <c r="FZH49" s="191"/>
      <c r="FZI49" s="191"/>
      <c r="FZJ49" s="191"/>
      <c r="FZK49" s="191"/>
      <c r="FZL49" s="191"/>
      <c r="FZM49" s="191"/>
      <c r="FZN49" s="191"/>
      <c r="FZO49" s="191"/>
      <c r="FZP49" s="191"/>
      <c r="FZQ49" s="191"/>
      <c r="FZR49" s="191"/>
      <c r="FZS49" s="191"/>
      <c r="FZT49" s="191"/>
      <c r="FZU49" s="191"/>
      <c r="FZV49" s="191"/>
      <c r="FZW49" s="191"/>
      <c r="FZX49" s="191"/>
      <c r="FZY49" s="191"/>
      <c r="FZZ49" s="191"/>
      <c r="GAA49" s="191"/>
      <c r="GAB49" s="191"/>
      <c r="GAC49" s="191"/>
      <c r="GAD49" s="191"/>
      <c r="GAE49" s="191"/>
      <c r="GAF49" s="191"/>
      <c r="GAG49" s="191"/>
      <c r="GAH49" s="191"/>
      <c r="GAI49" s="191"/>
      <c r="GAJ49" s="191"/>
      <c r="GAK49" s="191"/>
      <c r="GAL49" s="191"/>
      <c r="GAM49" s="191"/>
      <c r="GAN49" s="191"/>
      <c r="GAO49" s="191"/>
      <c r="GAP49" s="191"/>
      <c r="GAQ49" s="191"/>
      <c r="GAR49" s="191"/>
      <c r="GAS49" s="191"/>
      <c r="GAT49" s="191"/>
      <c r="GAU49" s="191"/>
      <c r="GAV49" s="191"/>
      <c r="GAW49" s="191"/>
      <c r="GAX49" s="191"/>
      <c r="GAY49" s="191"/>
      <c r="GAZ49" s="191"/>
      <c r="GBA49" s="191"/>
      <c r="GBB49" s="191"/>
      <c r="GBC49" s="191"/>
      <c r="GBD49" s="191"/>
      <c r="GBE49" s="191"/>
      <c r="GBF49" s="191"/>
      <c r="GBG49" s="191"/>
      <c r="GBH49" s="191"/>
      <c r="GBI49" s="191"/>
      <c r="GBJ49" s="191"/>
      <c r="GBK49" s="191"/>
      <c r="GBL49" s="191"/>
      <c r="GBM49" s="191"/>
      <c r="GBN49" s="191"/>
      <c r="GBO49" s="191"/>
      <c r="GBP49" s="191"/>
      <c r="GBQ49" s="191"/>
      <c r="GBR49" s="191"/>
      <c r="GBS49" s="191"/>
      <c r="GBT49" s="191"/>
      <c r="GBU49" s="191"/>
      <c r="GBV49" s="191"/>
      <c r="GBW49" s="191"/>
      <c r="GBX49" s="191"/>
      <c r="GBY49" s="191"/>
      <c r="GBZ49" s="191"/>
      <c r="GCA49" s="191"/>
      <c r="GCB49" s="191"/>
      <c r="GCC49" s="191"/>
      <c r="GCD49" s="191"/>
      <c r="GCE49" s="191"/>
      <c r="GCF49" s="191"/>
      <c r="GCG49" s="191"/>
      <c r="GCH49" s="191"/>
      <c r="GCI49" s="191"/>
      <c r="GCJ49" s="191"/>
      <c r="GCK49" s="191"/>
      <c r="GCL49" s="191"/>
      <c r="GCM49" s="191"/>
      <c r="GCN49" s="191"/>
      <c r="GCO49" s="191"/>
      <c r="GCP49" s="191"/>
      <c r="GCQ49" s="191"/>
      <c r="GCR49" s="191"/>
      <c r="GCS49" s="191"/>
      <c r="GCT49" s="191"/>
      <c r="GCU49" s="191"/>
      <c r="GCV49" s="191"/>
      <c r="GCW49" s="191"/>
      <c r="GCX49" s="191"/>
      <c r="GCY49" s="191"/>
      <c r="GCZ49" s="191"/>
      <c r="GDA49" s="191"/>
      <c r="GDB49" s="191"/>
      <c r="GDC49" s="191"/>
      <c r="GDD49" s="191"/>
      <c r="GDE49" s="191"/>
      <c r="GDF49" s="191"/>
      <c r="GDG49" s="191"/>
      <c r="GDH49" s="191"/>
      <c r="GDI49" s="191"/>
      <c r="GDJ49" s="191"/>
      <c r="GDK49" s="191"/>
      <c r="GDL49" s="191"/>
      <c r="GDM49" s="191"/>
      <c r="GDN49" s="191"/>
      <c r="GDO49" s="191"/>
      <c r="GDP49" s="191"/>
      <c r="GDQ49" s="191"/>
      <c r="GDR49" s="191"/>
      <c r="GDS49" s="191"/>
      <c r="GDT49" s="191"/>
      <c r="GDU49" s="191"/>
      <c r="GDV49" s="191"/>
      <c r="GDW49" s="191"/>
      <c r="GDX49" s="191"/>
      <c r="GDY49" s="191"/>
      <c r="GDZ49" s="191"/>
      <c r="GEA49" s="191"/>
      <c r="GEB49" s="191"/>
      <c r="GEC49" s="191"/>
      <c r="GED49" s="191"/>
      <c r="GEE49" s="191"/>
      <c r="GEF49" s="191"/>
      <c r="GEG49" s="191"/>
      <c r="GEH49" s="191"/>
      <c r="GEI49" s="191"/>
      <c r="GEJ49" s="191"/>
      <c r="GEK49" s="191"/>
      <c r="GEL49" s="191"/>
      <c r="GEM49" s="191"/>
      <c r="GEN49" s="191"/>
      <c r="GEO49" s="191"/>
      <c r="GEP49" s="191"/>
      <c r="GEQ49" s="191"/>
      <c r="GER49" s="191"/>
      <c r="GES49" s="191"/>
      <c r="GET49" s="191"/>
      <c r="GEU49" s="191"/>
      <c r="GEV49" s="191"/>
      <c r="GEW49" s="191"/>
      <c r="GEX49" s="191"/>
      <c r="GEY49" s="191"/>
      <c r="GEZ49" s="191"/>
      <c r="GFA49" s="191"/>
      <c r="GFB49" s="191"/>
      <c r="GFC49" s="191"/>
      <c r="GFD49" s="191"/>
      <c r="GFE49" s="191"/>
      <c r="GFF49" s="191"/>
      <c r="GFG49" s="191"/>
      <c r="GFH49" s="191"/>
      <c r="GFI49" s="191"/>
      <c r="GFJ49" s="191"/>
      <c r="GFK49" s="191"/>
      <c r="GFL49" s="191"/>
      <c r="GFM49" s="191"/>
      <c r="GFN49" s="191"/>
      <c r="GFO49" s="191"/>
      <c r="GFP49" s="191"/>
      <c r="GFQ49" s="191"/>
      <c r="GFR49" s="191"/>
      <c r="GFS49" s="191"/>
      <c r="GFT49" s="191"/>
      <c r="GFU49" s="191"/>
      <c r="GFV49" s="191"/>
      <c r="GFW49" s="191"/>
      <c r="GFX49" s="191"/>
      <c r="GFY49" s="191"/>
      <c r="GFZ49" s="191"/>
      <c r="GGA49" s="191"/>
      <c r="GGB49" s="191"/>
      <c r="GGC49" s="191"/>
      <c r="GGD49" s="191"/>
      <c r="GGE49" s="191"/>
      <c r="GGF49" s="191"/>
      <c r="GGG49" s="191"/>
      <c r="GGH49" s="191"/>
      <c r="GGI49" s="191"/>
      <c r="GGJ49" s="191"/>
      <c r="GGK49" s="191"/>
      <c r="GGL49" s="191"/>
      <c r="GGM49" s="191"/>
      <c r="GGN49" s="191"/>
      <c r="GGO49" s="191"/>
      <c r="GGP49" s="191"/>
      <c r="GGQ49" s="191"/>
      <c r="GGR49" s="191"/>
      <c r="GGS49" s="191"/>
      <c r="GGT49" s="191"/>
      <c r="GGU49" s="191"/>
      <c r="GGV49" s="191"/>
      <c r="GGW49" s="191"/>
      <c r="GGX49" s="191"/>
      <c r="GGY49" s="191"/>
      <c r="GGZ49" s="191"/>
      <c r="GHA49" s="191"/>
      <c r="GHB49" s="191"/>
      <c r="GHC49" s="191"/>
      <c r="GHD49" s="191"/>
      <c r="GHE49" s="191"/>
      <c r="GHF49" s="191"/>
      <c r="GHG49" s="191"/>
      <c r="GHH49" s="191"/>
      <c r="GHI49" s="191"/>
      <c r="GHJ49" s="191"/>
      <c r="GHK49" s="191"/>
      <c r="GHL49" s="191"/>
      <c r="GHM49" s="191"/>
      <c r="GHN49" s="191"/>
      <c r="GHO49" s="191"/>
      <c r="GHP49" s="191"/>
      <c r="GHQ49" s="191"/>
      <c r="GHR49" s="191"/>
      <c r="GHS49" s="191"/>
      <c r="GHT49" s="191"/>
      <c r="GHU49" s="191"/>
      <c r="GHV49" s="191"/>
      <c r="GHW49" s="191"/>
      <c r="GHX49" s="191"/>
      <c r="GHY49" s="191"/>
      <c r="GHZ49" s="191"/>
      <c r="GIA49" s="191"/>
      <c r="GIB49" s="191"/>
      <c r="GIC49" s="191"/>
      <c r="GID49" s="191"/>
      <c r="GIE49" s="191"/>
      <c r="GIF49" s="191"/>
      <c r="GIG49" s="191"/>
      <c r="GIH49" s="191"/>
      <c r="GII49" s="191"/>
      <c r="GIJ49" s="191"/>
      <c r="GIK49" s="191"/>
      <c r="GIL49" s="191"/>
      <c r="GIM49" s="191"/>
      <c r="GIN49" s="191"/>
      <c r="GIO49" s="191"/>
      <c r="GIP49" s="191"/>
      <c r="GIQ49" s="191"/>
      <c r="GIR49" s="191"/>
      <c r="GIS49" s="191"/>
      <c r="GIT49" s="191"/>
      <c r="GIU49" s="191"/>
      <c r="GIV49" s="191"/>
      <c r="GIW49" s="191"/>
      <c r="GIX49" s="191"/>
      <c r="GIY49" s="191"/>
      <c r="GIZ49" s="191"/>
      <c r="GJA49" s="191"/>
      <c r="GJB49" s="191"/>
      <c r="GJC49" s="191"/>
      <c r="GJD49" s="191"/>
      <c r="GJE49" s="191"/>
      <c r="GJF49" s="191"/>
      <c r="GJG49" s="191"/>
      <c r="GJH49" s="191"/>
      <c r="GJI49" s="191"/>
      <c r="GJJ49" s="191"/>
      <c r="GJK49" s="191"/>
      <c r="GJL49" s="191"/>
      <c r="GJM49" s="191"/>
      <c r="GJN49" s="191"/>
      <c r="GJO49" s="191"/>
      <c r="GJP49" s="191"/>
      <c r="GJQ49" s="191"/>
      <c r="GJR49" s="191"/>
      <c r="GJS49" s="191"/>
      <c r="GJT49" s="191"/>
      <c r="GJU49" s="191"/>
      <c r="GJV49" s="191"/>
      <c r="GJW49" s="191"/>
      <c r="GJX49" s="191"/>
      <c r="GJY49" s="191"/>
      <c r="GJZ49" s="191"/>
      <c r="GKA49" s="191"/>
      <c r="GKB49" s="191"/>
      <c r="GKC49" s="191"/>
      <c r="GKD49" s="191"/>
      <c r="GKE49" s="191"/>
      <c r="GKF49" s="191"/>
      <c r="GKG49" s="191"/>
      <c r="GKH49" s="191"/>
      <c r="GKI49" s="191"/>
      <c r="GKJ49" s="191"/>
      <c r="GKK49" s="191"/>
      <c r="GKL49" s="191"/>
      <c r="GKM49" s="191"/>
      <c r="GKN49" s="191"/>
      <c r="GKO49" s="191"/>
      <c r="GKP49" s="191"/>
      <c r="GKQ49" s="191"/>
      <c r="GKR49" s="191"/>
      <c r="GKS49" s="191"/>
      <c r="GKT49" s="191"/>
      <c r="GKU49" s="191"/>
      <c r="GKV49" s="191"/>
      <c r="GKW49" s="191"/>
      <c r="GKX49" s="191"/>
      <c r="GKY49" s="191"/>
      <c r="GKZ49" s="191"/>
      <c r="GLA49" s="191"/>
      <c r="GLB49" s="191"/>
      <c r="GLC49" s="191"/>
      <c r="GLD49" s="191"/>
      <c r="GLE49" s="191"/>
      <c r="GLF49" s="191"/>
      <c r="GLG49" s="191"/>
      <c r="GLH49" s="191"/>
      <c r="GLI49" s="191"/>
      <c r="GLJ49" s="191"/>
      <c r="GLK49" s="191"/>
      <c r="GLL49" s="191"/>
      <c r="GLM49" s="191"/>
      <c r="GLN49" s="191"/>
      <c r="GLO49" s="191"/>
      <c r="GLP49" s="191"/>
      <c r="GLQ49" s="191"/>
      <c r="GLR49" s="191"/>
      <c r="GLS49" s="191"/>
      <c r="GLT49" s="191"/>
      <c r="GLU49" s="191"/>
      <c r="GLV49" s="191"/>
      <c r="GLW49" s="191"/>
      <c r="GLX49" s="191"/>
      <c r="GLY49" s="191"/>
      <c r="GLZ49" s="191"/>
      <c r="GMA49" s="191"/>
      <c r="GMB49" s="191"/>
      <c r="GMC49" s="191"/>
      <c r="GMD49" s="191"/>
      <c r="GME49" s="191"/>
      <c r="GMF49" s="191"/>
      <c r="GMG49" s="191"/>
      <c r="GMH49" s="191"/>
      <c r="GMI49" s="191"/>
      <c r="GMJ49" s="191"/>
      <c r="GMK49" s="191"/>
      <c r="GML49" s="191"/>
      <c r="GMM49" s="191"/>
      <c r="GMN49" s="191"/>
      <c r="GMO49" s="191"/>
      <c r="GMP49" s="191"/>
      <c r="GMQ49" s="191"/>
      <c r="GMR49" s="191"/>
      <c r="GMS49" s="191"/>
      <c r="GMT49" s="191"/>
      <c r="GMU49" s="191"/>
      <c r="GMV49" s="191"/>
      <c r="GMW49" s="191"/>
      <c r="GMX49" s="191"/>
      <c r="GMY49" s="191"/>
      <c r="GMZ49" s="191"/>
      <c r="GNA49" s="191"/>
      <c r="GNB49" s="191"/>
      <c r="GNC49" s="191"/>
      <c r="GND49" s="191"/>
      <c r="GNE49" s="191"/>
      <c r="GNF49" s="191"/>
      <c r="GNG49" s="191"/>
      <c r="GNH49" s="191"/>
      <c r="GNI49" s="191"/>
      <c r="GNJ49" s="191"/>
      <c r="GNK49" s="191"/>
      <c r="GNL49" s="191"/>
      <c r="GNM49" s="191"/>
      <c r="GNN49" s="191"/>
      <c r="GNO49" s="191"/>
      <c r="GNP49" s="191"/>
      <c r="GNQ49" s="191"/>
      <c r="GNR49" s="191"/>
      <c r="GNS49" s="191"/>
      <c r="GNT49" s="191"/>
      <c r="GNU49" s="191"/>
      <c r="GNV49" s="191"/>
      <c r="GNW49" s="191"/>
      <c r="GNX49" s="191"/>
      <c r="GNY49" s="191"/>
      <c r="GNZ49" s="191"/>
      <c r="GOA49" s="191"/>
      <c r="GOB49" s="191"/>
      <c r="GOC49" s="191"/>
      <c r="GOD49" s="191"/>
      <c r="GOE49" s="191"/>
      <c r="GOF49" s="191"/>
      <c r="GOG49" s="191"/>
      <c r="GOH49" s="191"/>
      <c r="GOI49" s="191"/>
      <c r="GOJ49" s="191"/>
      <c r="GOK49" s="191"/>
      <c r="GOL49" s="191"/>
      <c r="GOM49" s="191"/>
      <c r="GON49" s="191"/>
      <c r="GOO49" s="191"/>
      <c r="GOP49" s="191"/>
      <c r="GOQ49" s="191"/>
      <c r="GOR49" s="191"/>
      <c r="GOS49" s="191"/>
      <c r="GOT49" s="191"/>
      <c r="GOU49" s="191"/>
      <c r="GOV49" s="191"/>
      <c r="GOW49" s="191"/>
      <c r="GOX49" s="191"/>
      <c r="GOY49" s="191"/>
      <c r="GOZ49" s="191"/>
      <c r="GPA49" s="191"/>
      <c r="GPB49" s="191"/>
      <c r="GPC49" s="191"/>
      <c r="GPD49" s="191"/>
      <c r="GPE49" s="191"/>
      <c r="GPF49" s="191"/>
      <c r="GPG49" s="191"/>
      <c r="GPH49" s="191"/>
      <c r="GPI49" s="191"/>
      <c r="GPJ49" s="191"/>
      <c r="GPK49" s="191"/>
      <c r="GPL49" s="191"/>
      <c r="GPM49" s="191"/>
      <c r="GPN49" s="191"/>
      <c r="GPO49" s="191"/>
      <c r="GPP49" s="191"/>
      <c r="GPQ49" s="191"/>
      <c r="GPR49" s="191"/>
      <c r="GPS49" s="191"/>
      <c r="GPT49" s="191"/>
      <c r="GPU49" s="191"/>
      <c r="GPV49" s="191"/>
      <c r="GPW49" s="191"/>
      <c r="GPX49" s="191"/>
      <c r="GPY49" s="191"/>
      <c r="GPZ49" s="191"/>
      <c r="GQA49" s="191"/>
      <c r="GQB49" s="191"/>
      <c r="GQC49" s="191"/>
      <c r="GQD49" s="191"/>
      <c r="GQE49" s="191"/>
      <c r="GQF49" s="191"/>
      <c r="GQG49" s="191"/>
      <c r="GQH49" s="191"/>
      <c r="GQI49" s="191"/>
      <c r="GQJ49" s="191"/>
      <c r="GQK49" s="191"/>
      <c r="GQL49" s="191"/>
      <c r="GQM49" s="191"/>
      <c r="GQN49" s="191"/>
      <c r="GQO49" s="191"/>
      <c r="GQP49" s="191"/>
      <c r="GQQ49" s="191"/>
      <c r="GQR49" s="191"/>
      <c r="GQS49" s="191"/>
      <c r="GQT49" s="191"/>
      <c r="GQU49" s="191"/>
      <c r="GQV49" s="191"/>
      <c r="GQW49" s="191"/>
      <c r="GQX49" s="191"/>
      <c r="GQY49" s="191"/>
      <c r="GQZ49" s="191"/>
      <c r="GRA49" s="191"/>
      <c r="GRB49" s="191"/>
      <c r="GRC49" s="191"/>
    </row>
    <row r="50" spans="1:5203" s="173" customFormat="1" ht="15.75" x14ac:dyDescent="0.2">
      <c r="A50" s="163">
        <v>37</v>
      </c>
      <c r="B50" s="193" t="s">
        <v>115</v>
      </c>
      <c r="C50" s="194" t="s">
        <v>46</v>
      </c>
      <c r="D50" s="195">
        <v>671.43</v>
      </c>
      <c r="E50" s="194" t="s">
        <v>129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 t="s">
        <v>242</v>
      </c>
      <c r="K50" s="194"/>
      <c r="L50" s="197">
        <v>447</v>
      </c>
      <c r="M50" s="197"/>
      <c r="N50" s="163">
        <v>5.4</v>
      </c>
      <c r="O50" s="197"/>
      <c r="P50" s="198">
        <v>17.07</v>
      </c>
      <c r="Q50" s="199">
        <f t="shared" si="10"/>
        <v>5.25</v>
      </c>
      <c r="R50" s="200">
        <v>1.2410000000000001</v>
      </c>
      <c r="S50" s="199">
        <v>2.4990000000000001</v>
      </c>
      <c r="T50" s="199">
        <v>0</v>
      </c>
      <c r="U50" s="168">
        <f t="shared" si="13"/>
        <v>0</v>
      </c>
      <c r="V50" s="169">
        <f t="shared" si="7"/>
        <v>50.34013605442177</v>
      </c>
      <c r="W50" s="201">
        <v>0.4</v>
      </c>
      <c r="X50" s="202">
        <v>0</v>
      </c>
      <c r="Y50" s="171">
        <f t="shared" si="8"/>
        <v>1.21618</v>
      </c>
      <c r="Z50" s="171">
        <f t="shared" si="3"/>
        <v>2.44902</v>
      </c>
      <c r="AA50" s="171">
        <f t="shared" si="3"/>
        <v>0</v>
      </c>
      <c r="AB50" s="202">
        <f t="shared" si="11"/>
        <v>0</v>
      </c>
      <c r="AC50" s="171">
        <f t="shared" si="2"/>
        <v>50.34013605442177</v>
      </c>
      <c r="AD50" s="163">
        <v>29</v>
      </c>
      <c r="AE50" s="202">
        <f t="shared" si="5"/>
        <v>35.269220000000004</v>
      </c>
      <c r="AF50" s="172"/>
    </row>
    <row r="51" spans="1:5203" s="173" customFormat="1" ht="15.75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 t="s">
        <v>255</v>
      </c>
      <c r="K51" s="163"/>
      <c r="L51" s="166">
        <v>414</v>
      </c>
      <c r="M51" s="166"/>
      <c r="N51" s="163">
        <v>0.8</v>
      </c>
      <c r="O51" s="166"/>
      <c r="P51" s="167">
        <v>15.71</v>
      </c>
      <c r="Q51" s="199">
        <f t="shared" si="10"/>
        <v>17.55</v>
      </c>
      <c r="R51" s="169">
        <v>4.2080000000000002</v>
      </c>
      <c r="S51" s="168">
        <v>6.0600000000000005</v>
      </c>
      <c r="T51" s="168">
        <v>2</v>
      </c>
      <c r="U51" s="168">
        <f t="shared" si="13"/>
        <v>0.47528517110266155</v>
      </c>
      <c r="V51" s="169">
        <f t="shared" si="7"/>
        <v>30.561056105610561</v>
      </c>
      <c r="W51" s="170">
        <v>2</v>
      </c>
      <c r="X51" s="171">
        <v>0</v>
      </c>
      <c r="Y51" s="171">
        <f t="shared" si="8"/>
        <v>4.1238400000000004</v>
      </c>
      <c r="Z51" s="171">
        <f t="shared" si="3"/>
        <v>5.9388000000000005</v>
      </c>
      <c r="AA51" s="171">
        <f t="shared" si="3"/>
        <v>1.96</v>
      </c>
      <c r="AB51" s="171">
        <f t="shared" si="11"/>
        <v>0.47528517110266155</v>
      </c>
      <c r="AC51" s="171">
        <f t="shared" si="2"/>
        <v>30.561056105610561</v>
      </c>
      <c r="AD51" s="163">
        <v>29</v>
      </c>
      <c r="AE51" s="171">
        <f t="shared" si="5"/>
        <v>119.59136000000001</v>
      </c>
      <c r="AF51" s="172"/>
    </row>
    <row r="52" spans="1:5203" s="173" customFormat="1" ht="15.75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127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 t="s">
        <v>256</v>
      </c>
      <c r="K52" s="163"/>
      <c r="L52" s="166">
        <v>433</v>
      </c>
      <c r="M52" s="166"/>
      <c r="N52" s="163">
        <v>2.5</v>
      </c>
      <c r="O52" s="166"/>
      <c r="P52" s="167">
        <v>16.75</v>
      </c>
      <c r="Q52" s="168">
        <f t="shared" si="10"/>
        <v>12.35</v>
      </c>
      <c r="R52" s="169">
        <v>4.1909999999999998</v>
      </c>
      <c r="S52" s="168">
        <v>5.7989999999999995</v>
      </c>
      <c r="T52" s="168">
        <v>7</v>
      </c>
      <c r="U52" s="168">
        <f t="shared" si="13"/>
        <v>1.6702457647339537</v>
      </c>
      <c r="V52" s="169">
        <f t="shared" si="7"/>
        <v>27.728918779099843</v>
      </c>
      <c r="W52" s="170">
        <v>0.5</v>
      </c>
      <c r="X52" s="171">
        <v>0</v>
      </c>
      <c r="Y52" s="171">
        <f t="shared" si="8"/>
        <v>4.1071799999999996</v>
      </c>
      <c r="Z52" s="171">
        <f t="shared" si="3"/>
        <v>5.6830199999999991</v>
      </c>
      <c r="AA52" s="171">
        <f t="shared" si="3"/>
        <v>6.8599999999999994</v>
      </c>
      <c r="AB52" s="171">
        <f t="shared" si="11"/>
        <v>1.6702457647339537</v>
      </c>
      <c r="AC52" s="171">
        <f t="shared" si="2"/>
        <v>27.728918779099843</v>
      </c>
      <c r="AD52" s="163">
        <v>29</v>
      </c>
      <c r="AE52" s="171">
        <f t="shared" si="5"/>
        <v>119.10821999999999</v>
      </c>
      <c r="AF52" s="172"/>
    </row>
    <row r="53" spans="1:5203" s="173" customFormat="1" ht="15.75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225</v>
      </c>
      <c r="K53" s="163"/>
      <c r="L53" s="166">
        <v>44</v>
      </c>
      <c r="M53" s="166"/>
      <c r="N53" s="163">
        <v>0.1</v>
      </c>
      <c r="O53" s="166"/>
      <c r="P53" s="167">
        <v>52.31</v>
      </c>
      <c r="Q53" s="168">
        <f t="shared" si="10"/>
        <v>6.75</v>
      </c>
      <c r="R53" s="169">
        <v>0.36</v>
      </c>
      <c r="S53" s="168">
        <v>0.54099999999999993</v>
      </c>
      <c r="T53" s="168">
        <v>0</v>
      </c>
      <c r="U53" s="168">
        <f t="shared" si="13"/>
        <v>0</v>
      </c>
      <c r="V53" s="169">
        <f t="shared" si="7"/>
        <v>33.456561922365985</v>
      </c>
      <c r="W53" s="170">
        <v>0.3</v>
      </c>
      <c r="X53" s="171">
        <f t="shared" si="12"/>
        <v>8.0148148148148135E-2</v>
      </c>
      <c r="Y53" s="171">
        <f t="shared" si="8"/>
        <v>0.3528</v>
      </c>
      <c r="Z53" s="171">
        <f t="shared" si="3"/>
        <v>0.53017999999999987</v>
      </c>
      <c r="AA53" s="171">
        <f t="shared" si="3"/>
        <v>0</v>
      </c>
      <c r="AB53" s="171">
        <f t="shared" si="11"/>
        <v>0</v>
      </c>
      <c r="AC53" s="171">
        <f t="shared" si="2"/>
        <v>33.456561922365985</v>
      </c>
      <c r="AD53" s="163">
        <v>29</v>
      </c>
      <c r="AE53" s="171">
        <f t="shared" si="5"/>
        <v>10.231199999999999</v>
      </c>
      <c r="AF53" s="203"/>
    </row>
    <row r="54" spans="1:5203" s="173" customFormat="1" ht="15.75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559.03</v>
      </c>
      <c r="J54" s="163" t="s">
        <v>248</v>
      </c>
      <c r="K54" s="163"/>
      <c r="L54" s="163">
        <v>372</v>
      </c>
      <c r="M54" s="163"/>
      <c r="N54" s="163">
        <v>7.6</v>
      </c>
      <c r="O54" s="163"/>
      <c r="P54" s="182">
        <v>27.84</v>
      </c>
      <c r="Q54" s="171">
        <f t="shared" si="10"/>
        <v>18.7</v>
      </c>
      <c r="R54" s="170">
        <v>9.3569999999999993</v>
      </c>
      <c r="S54" s="171">
        <v>13.475</v>
      </c>
      <c r="T54" s="171">
        <v>51</v>
      </c>
      <c r="U54" s="168">
        <f t="shared" si="13"/>
        <v>5.4504648925937804</v>
      </c>
      <c r="V54" s="169">
        <f t="shared" si="7"/>
        <v>30.560296846011138</v>
      </c>
      <c r="W54" s="170">
        <v>0</v>
      </c>
      <c r="X54" s="171">
        <f>S54/Q54</f>
        <v>0.72058823529411764</v>
      </c>
      <c r="Y54" s="171">
        <f t="shared" si="8"/>
        <v>9.1698599999999999</v>
      </c>
      <c r="Z54" s="171">
        <f t="shared" si="3"/>
        <v>13.205499999999999</v>
      </c>
      <c r="AA54" s="171">
        <f t="shared" si="3"/>
        <v>49.98</v>
      </c>
      <c r="AB54" s="171">
        <f t="shared" si="11"/>
        <v>5.4504648925937804</v>
      </c>
      <c r="AC54" s="171">
        <f t="shared" si="2"/>
        <v>30.560296846011138</v>
      </c>
      <c r="AD54" s="163">
        <v>29</v>
      </c>
      <c r="AE54" s="171">
        <f t="shared" si="5"/>
        <v>265.92593999999997</v>
      </c>
      <c r="AF54" s="179"/>
    </row>
    <row r="55" spans="1:5203" s="173" customFormat="1" ht="15.75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 t="s">
        <v>244</v>
      </c>
      <c r="K55" s="163"/>
      <c r="L55" s="163">
        <v>351</v>
      </c>
      <c r="M55" s="163"/>
      <c r="N55" s="163">
        <v>8.8000000000000007</v>
      </c>
      <c r="O55" s="163"/>
      <c r="P55" s="182">
        <v>29.27</v>
      </c>
      <c r="Q55" s="171">
        <f t="shared" si="10"/>
        <v>44</v>
      </c>
      <c r="R55" s="170">
        <v>11.332000000000001</v>
      </c>
      <c r="S55" s="171">
        <v>22.587000000000003</v>
      </c>
      <c r="T55" s="171">
        <v>544</v>
      </c>
      <c r="U55" s="168">
        <f t="shared" si="13"/>
        <v>48.005647723261561</v>
      </c>
      <c r="V55" s="169">
        <f t="shared" si="7"/>
        <v>49.829547970071289</v>
      </c>
      <c r="W55" s="170">
        <v>0.3</v>
      </c>
      <c r="X55" s="171">
        <f>S55/Q55</f>
        <v>0.51334090909090913</v>
      </c>
      <c r="Y55" s="171">
        <f t="shared" si="8"/>
        <v>11.105360000000001</v>
      </c>
      <c r="Z55" s="171">
        <f t="shared" si="3"/>
        <v>22.135260000000002</v>
      </c>
      <c r="AA55" s="171">
        <f t="shared" si="3"/>
        <v>533.12</v>
      </c>
      <c r="AB55" s="171">
        <f t="shared" si="11"/>
        <v>48.005647723261561</v>
      </c>
      <c r="AC55" s="171">
        <f t="shared" si="2"/>
        <v>49.829547970071289</v>
      </c>
      <c r="AD55" s="163">
        <v>29</v>
      </c>
      <c r="AE55" s="171">
        <f t="shared" si="5"/>
        <v>322.05544000000003</v>
      </c>
      <c r="AF55" s="179"/>
    </row>
    <row r="56" spans="1:5203" s="173" customFormat="1" ht="15.75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 t="s">
        <v>248</v>
      </c>
      <c r="K56" s="163"/>
      <c r="L56" s="163">
        <v>448</v>
      </c>
      <c r="M56" s="163"/>
      <c r="N56" s="163">
        <v>8.6999999999999993</v>
      </c>
      <c r="O56" s="163"/>
      <c r="P56" s="182">
        <v>20.7</v>
      </c>
      <c r="Q56" s="171">
        <f t="shared" si="10"/>
        <v>18.7</v>
      </c>
      <c r="R56" s="170">
        <v>5.5990000000000002</v>
      </c>
      <c r="S56" s="171">
        <v>10.9</v>
      </c>
      <c r="T56" s="171">
        <v>96</v>
      </c>
      <c r="U56" s="171">
        <f t="shared" si="13"/>
        <v>17.145918914091801</v>
      </c>
      <c r="V56" s="169">
        <f t="shared" si="7"/>
        <v>48.633027522935777</v>
      </c>
      <c r="W56" s="170">
        <v>0.5</v>
      </c>
      <c r="X56" s="171">
        <f>S56/Q56</f>
        <v>0.58288770053475936</v>
      </c>
      <c r="Y56" s="171">
        <f t="shared" si="8"/>
        <v>5.4870200000000002</v>
      </c>
      <c r="Z56" s="171">
        <f t="shared" si="3"/>
        <v>10.682</v>
      </c>
      <c r="AA56" s="171">
        <f t="shared" si="3"/>
        <v>94.08</v>
      </c>
      <c r="AB56" s="171">
        <f t="shared" si="11"/>
        <v>17.145918914091801</v>
      </c>
      <c r="AC56" s="171">
        <f t="shared" si="2"/>
        <v>48.633027522935777</v>
      </c>
      <c r="AD56" s="163">
        <v>29</v>
      </c>
      <c r="AE56" s="171">
        <f t="shared" si="5"/>
        <v>159.12358</v>
      </c>
      <c r="AF56" s="179"/>
    </row>
    <row r="57" spans="1:5203" s="178" customFormat="1" ht="15.95" customHeight="1" x14ac:dyDescent="0.2">
      <c r="A57" s="163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 t="s">
        <v>243</v>
      </c>
      <c r="K57" s="158"/>
      <c r="L57" s="158">
        <v>366</v>
      </c>
      <c r="M57" s="158"/>
      <c r="N57" s="163">
        <v>8.5</v>
      </c>
      <c r="O57" s="158"/>
      <c r="P57" s="160">
        <v>25.96</v>
      </c>
      <c r="Q57" s="171">
        <f t="shared" si="10"/>
        <v>33</v>
      </c>
      <c r="R57" s="170">
        <v>8.1389999999999993</v>
      </c>
      <c r="S57" s="205">
        <v>9.8549999999999986</v>
      </c>
      <c r="T57" s="174">
        <v>984</v>
      </c>
      <c r="U57" s="171">
        <f>T57/R57</f>
        <v>120.89937338739404</v>
      </c>
      <c r="V57" s="169">
        <f t="shared" si="7"/>
        <v>17.412480974124804</v>
      </c>
      <c r="W57" s="170">
        <v>0.4</v>
      </c>
      <c r="X57" s="171">
        <f t="shared" ref="X57:X73" si="14">S57/Q57</f>
        <v>0.29863636363636359</v>
      </c>
      <c r="Y57" s="171">
        <f t="shared" si="8"/>
        <v>7.9762199999999996</v>
      </c>
      <c r="Z57" s="171">
        <f t="shared" si="3"/>
        <v>9.6578999999999979</v>
      </c>
      <c r="AA57" s="171">
        <f t="shared" si="3"/>
        <v>964.31999999999994</v>
      </c>
      <c r="AB57" s="171">
        <f t="shared" si="11"/>
        <v>120.89937338739404</v>
      </c>
      <c r="AC57" s="171">
        <f t="shared" si="2"/>
        <v>17.412480974124804</v>
      </c>
      <c r="AD57" s="163">
        <v>29</v>
      </c>
      <c r="AE57" s="171">
        <f>Y57*AD57</f>
        <v>231.31037999999998</v>
      </c>
      <c r="AF57" s="172"/>
    </row>
    <row r="58" spans="1:5203" s="178" customFormat="1" ht="15.95" customHeight="1" x14ac:dyDescent="0.2">
      <c r="A58" s="163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 t="s">
        <v>240</v>
      </c>
      <c r="K58" s="158">
        <v>175</v>
      </c>
      <c r="L58" s="163"/>
      <c r="M58" s="158">
        <v>0.2</v>
      </c>
      <c r="N58" s="163"/>
      <c r="O58" s="158"/>
      <c r="P58" s="160"/>
      <c r="Q58" s="171">
        <f t="shared" si="10"/>
        <v>0</v>
      </c>
      <c r="R58" s="170">
        <v>0</v>
      </c>
      <c r="S58" s="174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 t="shared" si="8"/>
        <v>0</v>
      </c>
      <c r="Z58" s="171">
        <f t="shared" si="3"/>
        <v>0</v>
      </c>
      <c r="AA58" s="171">
        <f t="shared" si="3"/>
        <v>0</v>
      </c>
      <c r="AB58" s="171">
        <f t="shared" si="11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5203" s="178" customFormat="1" ht="15.9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 t="s">
        <v>248</v>
      </c>
      <c r="K59" s="158"/>
      <c r="L59" s="158">
        <v>418</v>
      </c>
      <c r="M59" s="158"/>
      <c r="N59" s="163">
        <v>4.0999999999999996</v>
      </c>
      <c r="O59" s="158"/>
      <c r="P59" s="182">
        <v>18.97</v>
      </c>
      <c r="Q59" s="171">
        <f t="shared" si="10"/>
        <v>11.05</v>
      </c>
      <c r="R59" s="170">
        <v>3.464</v>
      </c>
      <c r="S59" s="171">
        <v>4.2839999999999998</v>
      </c>
      <c r="T59" s="171">
        <v>0</v>
      </c>
      <c r="U59" s="171">
        <f>T59/R59</f>
        <v>0</v>
      </c>
      <c r="V59" s="169">
        <f t="shared" si="7"/>
        <v>19.140989729225019</v>
      </c>
      <c r="W59" s="170">
        <v>2</v>
      </c>
      <c r="X59" s="171">
        <v>1</v>
      </c>
      <c r="Y59" s="171">
        <f t="shared" si="8"/>
        <v>3.39472</v>
      </c>
      <c r="Z59" s="171">
        <f t="shared" si="3"/>
        <v>4.1983199999999998</v>
      </c>
      <c r="AA59" s="171">
        <f t="shared" si="3"/>
        <v>0</v>
      </c>
      <c r="AB59" s="171">
        <f t="shared" si="11"/>
        <v>0</v>
      </c>
      <c r="AC59" s="171">
        <f t="shared" si="2"/>
        <v>19.140989729225019</v>
      </c>
      <c r="AD59" s="163">
        <v>29</v>
      </c>
      <c r="AE59" s="171">
        <f t="shared" ref="AE59:AE71" si="15">Y59*AD59</f>
        <v>98.446879999999993</v>
      </c>
      <c r="AF59" s="172"/>
    </row>
    <row r="60" spans="1:5203" s="173" customFormat="1" ht="15.75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49</v>
      </c>
      <c r="I60" s="158">
        <v>542.91</v>
      </c>
      <c r="J60" s="163" t="s">
        <v>249</v>
      </c>
      <c r="K60" s="163"/>
      <c r="L60" s="163">
        <v>432</v>
      </c>
      <c r="M60" s="163"/>
      <c r="N60" s="163">
        <v>8.5</v>
      </c>
      <c r="O60" s="163"/>
      <c r="P60" s="182">
        <v>20.02</v>
      </c>
      <c r="Q60" s="171">
        <f t="shared" si="10"/>
        <v>108.8</v>
      </c>
      <c r="R60" s="170">
        <v>16.466999999999999</v>
      </c>
      <c r="S60" s="171">
        <v>21.276999999999997</v>
      </c>
      <c r="T60" s="171">
        <v>1046</v>
      </c>
      <c r="U60" s="171">
        <f t="shared" si="6"/>
        <v>63.520981356652705</v>
      </c>
      <c r="V60" s="169">
        <f t="shared" si="7"/>
        <v>22.606570475160972</v>
      </c>
      <c r="W60" s="170">
        <v>0.3</v>
      </c>
      <c r="X60" s="171">
        <f t="shared" si="14"/>
        <v>0.19556066176470585</v>
      </c>
      <c r="Y60" s="171">
        <f t="shared" si="8"/>
        <v>16.137659999999997</v>
      </c>
      <c r="Z60" s="171">
        <f t="shared" si="3"/>
        <v>20.851459999999996</v>
      </c>
      <c r="AA60" s="171">
        <f t="shared" si="3"/>
        <v>1025.08</v>
      </c>
      <c r="AB60" s="171">
        <f>U60</f>
        <v>63.520981356652705</v>
      </c>
      <c r="AC60" s="171">
        <f t="shared" si="2"/>
        <v>22.606570475160972</v>
      </c>
      <c r="AD60" s="163">
        <v>29</v>
      </c>
      <c r="AE60" s="171">
        <f t="shared" si="15"/>
        <v>467.99213999999989</v>
      </c>
      <c r="AF60" s="179"/>
    </row>
    <row r="61" spans="1:5203" s="173" customFormat="1" ht="15.75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 t="s">
        <v>257</v>
      </c>
      <c r="K61" s="163"/>
      <c r="L61" s="163">
        <v>369</v>
      </c>
      <c r="M61" s="163"/>
      <c r="N61" s="163">
        <v>10</v>
      </c>
      <c r="O61" s="163"/>
      <c r="P61" s="182">
        <v>27.04</v>
      </c>
      <c r="Q61" s="171">
        <f t="shared" si="10"/>
        <v>115.2</v>
      </c>
      <c r="R61" s="170">
        <v>37.274000000000001</v>
      </c>
      <c r="S61" s="171">
        <v>45.082000000000001</v>
      </c>
      <c r="T61" s="171">
        <v>1194</v>
      </c>
      <c r="U61" s="171">
        <f>T61/R61</f>
        <v>32.033052529913611</v>
      </c>
      <c r="V61" s="169">
        <f t="shared" si="7"/>
        <v>17.319551040326516</v>
      </c>
      <c r="W61" s="170">
        <v>0.2</v>
      </c>
      <c r="X61" s="171">
        <f t="shared" si="14"/>
        <v>0.39133680555555556</v>
      </c>
      <c r="Y61" s="171">
        <f t="shared" si="8"/>
        <v>36.52852</v>
      </c>
      <c r="Z61" s="171">
        <f t="shared" si="3"/>
        <v>44.18036</v>
      </c>
      <c r="AA61" s="171">
        <f t="shared" si="3"/>
        <v>1170.1199999999999</v>
      </c>
      <c r="AB61" s="171">
        <f t="shared" ref="AB61:AB73" si="16">U61</f>
        <v>32.033052529913611</v>
      </c>
      <c r="AC61" s="171">
        <f t="shared" si="2"/>
        <v>17.319551040326516</v>
      </c>
      <c r="AD61" s="163">
        <v>29</v>
      </c>
      <c r="AE61" s="171">
        <f t="shared" si="15"/>
        <v>1059.32708</v>
      </c>
      <c r="AF61" s="179"/>
    </row>
    <row r="62" spans="1:5203" s="173" customFormat="1" ht="15.75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 t="s">
        <v>258</v>
      </c>
      <c r="K62" s="163"/>
      <c r="L62" s="163">
        <v>436</v>
      </c>
      <c r="M62" s="163"/>
      <c r="N62" s="163">
        <v>8.4</v>
      </c>
      <c r="O62" s="163"/>
      <c r="P62" s="182">
        <v>19.55</v>
      </c>
      <c r="Q62" s="171">
        <f t="shared" si="10"/>
        <v>34.1</v>
      </c>
      <c r="R62" s="170">
        <v>13.643000000000001</v>
      </c>
      <c r="S62" s="171">
        <v>17.035</v>
      </c>
      <c r="T62" s="171">
        <v>602</v>
      </c>
      <c r="U62" s="171">
        <f>T62/R62</f>
        <v>44.125192406362238</v>
      </c>
      <c r="V62" s="169">
        <f t="shared" si="7"/>
        <v>19.911945993542705</v>
      </c>
      <c r="W62" s="170">
        <v>0.4</v>
      </c>
      <c r="X62" s="171">
        <f t="shared" si="14"/>
        <v>0.49956011730205274</v>
      </c>
      <c r="Y62" s="171">
        <f t="shared" si="8"/>
        <v>13.370140000000001</v>
      </c>
      <c r="Z62" s="171">
        <f t="shared" si="3"/>
        <v>16.694299999999998</v>
      </c>
      <c r="AA62" s="171">
        <f t="shared" si="3"/>
        <v>589.96</v>
      </c>
      <c r="AB62" s="171">
        <f t="shared" si="16"/>
        <v>44.125192406362238</v>
      </c>
      <c r="AC62" s="171">
        <f t="shared" si="2"/>
        <v>19.911945993542705</v>
      </c>
      <c r="AD62" s="163">
        <v>29</v>
      </c>
      <c r="AE62" s="171">
        <f t="shared" si="15"/>
        <v>387.73406000000006</v>
      </c>
      <c r="AF62" s="179"/>
    </row>
    <row r="63" spans="1:5203" s="173" customFormat="1" ht="15.75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 t="s">
        <v>253</v>
      </c>
      <c r="K63" s="163"/>
      <c r="L63" s="163">
        <v>441</v>
      </c>
      <c r="M63" s="163"/>
      <c r="N63" s="163">
        <v>8.5</v>
      </c>
      <c r="O63" s="163"/>
      <c r="P63" s="182">
        <v>20.75</v>
      </c>
      <c r="Q63" s="171">
        <f t="shared" si="10"/>
        <v>25.3</v>
      </c>
      <c r="R63" s="170">
        <v>7.2869999999999999</v>
      </c>
      <c r="S63" s="171">
        <v>9.3689999999999998</v>
      </c>
      <c r="T63" s="171">
        <v>113</v>
      </c>
      <c r="U63" s="171">
        <f>T63/R63</f>
        <v>15.507067380266228</v>
      </c>
      <c r="V63" s="169">
        <f t="shared" si="7"/>
        <v>22.222222222222221</v>
      </c>
      <c r="W63" s="170">
        <v>0.3</v>
      </c>
      <c r="X63" s="171">
        <f t="shared" si="14"/>
        <v>0.37031620553359684</v>
      </c>
      <c r="Y63" s="171">
        <f t="shared" si="8"/>
        <v>7.1412599999999999</v>
      </c>
      <c r="Z63" s="171">
        <f t="shared" si="3"/>
        <v>9.1816199999999988</v>
      </c>
      <c r="AA63" s="171">
        <f t="shared" si="3"/>
        <v>110.74</v>
      </c>
      <c r="AB63" s="171">
        <f t="shared" si="16"/>
        <v>15.507067380266228</v>
      </c>
      <c r="AC63" s="171">
        <f t="shared" si="2"/>
        <v>22.222222222222221</v>
      </c>
      <c r="AD63" s="163">
        <v>29</v>
      </c>
      <c r="AE63" s="171">
        <f>Y63*AD63</f>
        <v>207.09654</v>
      </c>
      <c r="AF63" s="179"/>
    </row>
    <row r="64" spans="1:5203" s="173" customFormat="1" ht="15.75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 t="s">
        <v>252</v>
      </c>
      <c r="K64" s="163"/>
      <c r="L64" s="163">
        <v>448</v>
      </c>
      <c r="M64" s="163"/>
      <c r="N64" s="163">
        <v>5.6</v>
      </c>
      <c r="O64" s="163"/>
      <c r="P64" s="182">
        <v>16.190000000000001</v>
      </c>
      <c r="Q64" s="171">
        <f t="shared" si="10"/>
        <v>91.2</v>
      </c>
      <c r="R64" s="170">
        <v>13.372999999999999</v>
      </c>
      <c r="S64" s="171">
        <v>16.5</v>
      </c>
      <c r="T64" s="171">
        <v>329</v>
      </c>
      <c r="U64" s="171">
        <f t="shared" si="6"/>
        <v>24.601809616391236</v>
      </c>
      <c r="V64" s="169">
        <f t="shared" si="7"/>
        <v>18.951515151515157</v>
      </c>
      <c r="W64" s="170">
        <v>0.3</v>
      </c>
      <c r="X64" s="171">
        <f t="shared" si="14"/>
        <v>0.18092105263157895</v>
      </c>
      <c r="Y64" s="171">
        <f t="shared" si="8"/>
        <v>13.10554</v>
      </c>
      <c r="Z64" s="171">
        <f t="shared" si="3"/>
        <v>16.169999999999998</v>
      </c>
      <c r="AA64" s="171">
        <f t="shared" si="3"/>
        <v>322.42</v>
      </c>
      <c r="AB64" s="171">
        <f t="shared" si="16"/>
        <v>24.601809616391236</v>
      </c>
      <c r="AC64" s="171">
        <f t="shared" si="2"/>
        <v>18.951515151515157</v>
      </c>
      <c r="AD64" s="163">
        <v>29</v>
      </c>
      <c r="AE64" s="171">
        <f t="shared" si="15"/>
        <v>380.06065999999998</v>
      </c>
      <c r="AF64" s="179"/>
    </row>
    <row r="65" spans="1:32" s="173" customFormat="1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49</v>
      </c>
      <c r="I65" s="158">
        <v>534.24</v>
      </c>
      <c r="J65" s="163" t="s">
        <v>250</v>
      </c>
      <c r="K65" s="163"/>
      <c r="L65" s="163">
        <v>328</v>
      </c>
      <c r="M65" s="163"/>
      <c r="N65" s="163">
        <v>9.9</v>
      </c>
      <c r="O65" s="163"/>
      <c r="P65" s="182">
        <v>31.21</v>
      </c>
      <c r="Q65" s="171">
        <f t="shared" si="10"/>
        <v>96</v>
      </c>
      <c r="R65" s="170">
        <v>38.722999999999999</v>
      </c>
      <c r="S65" s="171">
        <v>61.59</v>
      </c>
      <c r="T65" s="171">
        <v>578</v>
      </c>
      <c r="U65" s="171">
        <f t="shared" si="6"/>
        <v>14.926529452780002</v>
      </c>
      <c r="V65" s="169">
        <f t="shared" si="7"/>
        <v>37.127780483844788</v>
      </c>
      <c r="W65" s="170">
        <v>0.3</v>
      </c>
      <c r="X65" s="171">
        <f t="shared" si="14"/>
        <v>0.64156250000000004</v>
      </c>
      <c r="Y65" s="171">
        <f t="shared" si="8"/>
        <v>37.948540000000001</v>
      </c>
      <c r="Z65" s="171">
        <f t="shared" si="3"/>
        <v>60.358200000000004</v>
      </c>
      <c r="AA65" s="171">
        <f t="shared" si="3"/>
        <v>566.43999999999994</v>
      </c>
      <c r="AB65" s="171">
        <f t="shared" si="16"/>
        <v>14.926529452780002</v>
      </c>
      <c r="AC65" s="171">
        <f t="shared" si="2"/>
        <v>37.127780483844788</v>
      </c>
      <c r="AD65" s="163">
        <v>29</v>
      </c>
      <c r="AE65" s="171">
        <f t="shared" si="15"/>
        <v>1100.50766</v>
      </c>
      <c r="AF65" s="190"/>
    </row>
    <row r="66" spans="1:32" s="173" customFormat="1" ht="15.75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168</v>
      </c>
      <c r="I66" s="158">
        <v>509.7</v>
      </c>
      <c r="J66" s="163">
        <v>175</v>
      </c>
      <c r="K66" s="163"/>
      <c r="L66" s="163">
        <v>196</v>
      </c>
      <c r="M66" s="163"/>
      <c r="N66" s="163">
        <v>9.9</v>
      </c>
      <c r="O66" s="163"/>
      <c r="P66" s="182">
        <v>39.04</v>
      </c>
      <c r="Q66" s="171">
        <f t="shared" si="10"/>
        <v>70</v>
      </c>
      <c r="R66" s="170">
        <v>38.877000000000002</v>
      </c>
      <c r="S66" s="171">
        <v>46.22</v>
      </c>
      <c r="T66" s="171">
        <v>599</v>
      </c>
      <c r="U66" s="171">
        <f t="shared" si="6"/>
        <v>15.40756745633665</v>
      </c>
      <c r="V66" s="169">
        <f t="shared" si="7"/>
        <v>15.887061877974896</v>
      </c>
      <c r="W66" s="170">
        <v>0.3</v>
      </c>
      <c r="X66" s="171">
        <f t="shared" si="14"/>
        <v>0.66028571428571425</v>
      </c>
      <c r="Y66" s="171">
        <f t="shared" si="8"/>
        <v>38.099460000000001</v>
      </c>
      <c r="Z66" s="171">
        <f t="shared" si="3"/>
        <v>45.2956</v>
      </c>
      <c r="AA66" s="171">
        <f t="shared" si="3"/>
        <v>587.02</v>
      </c>
      <c r="AB66" s="171">
        <f t="shared" si="16"/>
        <v>15.40756745633665</v>
      </c>
      <c r="AC66" s="171">
        <f t="shared" si="2"/>
        <v>15.887061877974896</v>
      </c>
      <c r="AD66" s="163">
        <v>29</v>
      </c>
      <c r="AE66" s="171">
        <f t="shared" si="15"/>
        <v>1104.8843400000001</v>
      </c>
      <c r="AF66" s="179"/>
    </row>
    <row r="67" spans="1:32" s="173" customFormat="1" ht="15.75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 t="s">
        <v>243</v>
      </c>
      <c r="K67" s="163"/>
      <c r="L67" s="163">
        <v>308</v>
      </c>
      <c r="M67" s="163"/>
      <c r="N67" s="163">
        <v>10.8</v>
      </c>
      <c r="O67" s="163"/>
      <c r="P67" s="182">
        <v>31.64</v>
      </c>
      <c r="Q67" s="171">
        <f t="shared" si="10"/>
        <v>48</v>
      </c>
      <c r="R67" s="170">
        <v>24.983000000000001</v>
      </c>
      <c r="S67" s="171">
        <v>31.157</v>
      </c>
      <c r="T67" s="171">
        <v>554</v>
      </c>
      <c r="U67" s="171">
        <f t="shared" si="6"/>
        <v>22.175079053756555</v>
      </c>
      <c r="V67" s="169">
        <f t="shared" si="7"/>
        <v>19.815771736688383</v>
      </c>
      <c r="W67" s="170">
        <v>0.5</v>
      </c>
      <c r="X67" s="171">
        <f t="shared" si="14"/>
        <v>0.6491041666666667</v>
      </c>
      <c r="Y67" s="171">
        <f t="shared" si="8"/>
        <v>24.483339999999998</v>
      </c>
      <c r="Z67" s="171">
        <f t="shared" si="3"/>
        <v>30.533860000000001</v>
      </c>
      <c r="AA67" s="171">
        <f t="shared" si="3"/>
        <v>542.91999999999996</v>
      </c>
      <c r="AB67" s="171">
        <f t="shared" si="16"/>
        <v>22.175079053756555</v>
      </c>
      <c r="AC67" s="171">
        <f t="shared" si="2"/>
        <v>19.815771736688383</v>
      </c>
      <c r="AD67" s="163">
        <v>29</v>
      </c>
      <c r="AE67" s="171">
        <f t="shared" si="15"/>
        <v>710.01685999999995</v>
      </c>
      <c r="AF67" s="179"/>
    </row>
    <row r="68" spans="1:32" s="173" customFormat="1" ht="15.75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 t="s">
        <v>259</v>
      </c>
      <c r="K68" s="163"/>
      <c r="L68" s="163">
        <v>457</v>
      </c>
      <c r="M68" s="163"/>
      <c r="N68" s="163">
        <v>9.8000000000000007</v>
      </c>
      <c r="O68" s="163"/>
      <c r="P68" s="182">
        <v>19.18</v>
      </c>
      <c r="Q68" s="171">
        <f t="shared" si="10"/>
        <v>104</v>
      </c>
      <c r="R68" s="170">
        <v>12.893000000000001</v>
      </c>
      <c r="S68" s="171">
        <v>15.345000000000001</v>
      </c>
      <c r="T68" s="171">
        <v>589</v>
      </c>
      <c r="U68" s="171">
        <f t="shared" si="6"/>
        <v>45.683704335686031</v>
      </c>
      <c r="V68" s="169">
        <f t="shared" si="7"/>
        <v>15.979146301726946</v>
      </c>
      <c r="W68" s="170">
        <v>0.3</v>
      </c>
      <c r="X68" s="171">
        <f t="shared" si="14"/>
        <v>0.14754807692307692</v>
      </c>
      <c r="Y68" s="171">
        <f t="shared" si="8"/>
        <v>12.63514</v>
      </c>
      <c r="Z68" s="171">
        <f t="shared" si="3"/>
        <v>15.0381</v>
      </c>
      <c r="AA68" s="171">
        <f t="shared" si="3"/>
        <v>577.22</v>
      </c>
      <c r="AB68" s="171">
        <f t="shared" si="16"/>
        <v>45.683704335686031</v>
      </c>
      <c r="AC68" s="171">
        <f t="shared" si="2"/>
        <v>15.979146301726946</v>
      </c>
      <c r="AD68" s="163">
        <v>29</v>
      </c>
      <c r="AE68" s="171">
        <f t="shared" si="15"/>
        <v>366.41906</v>
      </c>
      <c r="AF68" s="179"/>
    </row>
    <row r="69" spans="1:32" s="173" customFormat="1" ht="15.75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 t="s">
        <v>248</v>
      </c>
      <c r="K69" s="163"/>
      <c r="L69" s="163">
        <v>207</v>
      </c>
      <c r="M69" s="163"/>
      <c r="N69" s="163">
        <v>10.199999999999999</v>
      </c>
      <c r="O69" s="163"/>
      <c r="P69" s="182">
        <v>46.89</v>
      </c>
      <c r="Q69" s="171">
        <f t="shared" si="10"/>
        <v>10.199999999999999</v>
      </c>
      <c r="R69" s="170">
        <v>0.755</v>
      </c>
      <c r="S69" s="171">
        <v>2.726</v>
      </c>
      <c r="T69" s="171">
        <v>4</v>
      </c>
      <c r="U69" s="171">
        <f t="shared" si="6"/>
        <v>5.298013245033113</v>
      </c>
      <c r="V69" s="169">
        <f t="shared" si="7"/>
        <v>72.303741746148205</v>
      </c>
      <c r="W69" s="170">
        <v>0.6</v>
      </c>
      <c r="X69" s="171">
        <f t="shared" si="14"/>
        <v>0.26725490196078433</v>
      </c>
      <c r="Y69" s="171">
        <f t="shared" si="8"/>
        <v>0.7399</v>
      </c>
      <c r="Z69" s="171">
        <f t="shared" si="3"/>
        <v>2.6714799999999999</v>
      </c>
      <c r="AA69" s="171">
        <f t="shared" si="3"/>
        <v>3.92</v>
      </c>
      <c r="AB69" s="171">
        <f t="shared" si="16"/>
        <v>5.298013245033113</v>
      </c>
      <c r="AC69" s="171">
        <f t="shared" si="2"/>
        <v>72.303741746148205</v>
      </c>
      <c r="AD69" s="163">
        <v>29</v>
      </c>
      <c r="AE69" s="171">
        <f t="shared" si="15"/>
        <v>21.457100000000001</v>
      </c>
      <c r="AF69" s="179"/>
    </row>
    <row r="70" spans="1:32" s="173" customFormat="1" ht="15.75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 t="s">
        <v>260</v>
      </c>
      <c r="K70" s="163"/>
      <c r="L70" s="163">
        <v>439</v>
      </c>
      <c r="M70" s="163"/>
      <c r="N70" s="163">
        <v>8.6</v>
      </c>
      <c r="O70" s="163"/>
      <c r="P70" s="182">
        <v>21.12</v>
      </c>
      <c r="Q70" s="171">
        <f t="shared" si="10"/>
        <v>16.5</v>
      </c>
      <c r="R70" s="170">
        <v>2.1070000000000002</v>
      </c>
      <c r="S70" s="171">
        <v>2.4690000000000003</v>
      </c>
      <c r="T70" s="171">
        <v>24</v>
      </c>
      <c r="U70" s="171">
        <f t="shared" si="6"/>
        <v>11.390602752728997</v>
      </c>
      <c r="V70" s="169">
        <f t="shared" si="7"/>
        <v>14.661806399351967</v>
      </c>
      <c r="W70" s="170">
        <v>0.8</v>
      </c>
      <c r="X70" s="171">
        <f t="shared" si="14"/>
        <v>0.14963636363636365</v>
      </c>
      <c r="Y70" s="171">
        <f t="shared" si="8"/>
        <v>2.0648600000000004</v>
      </c>
      <c r="Z70" s="171">
        <f t="shared" si="3"/>
        <v>2.4196200000000001</v>
      </c>
      <c r="AA70" s="171">
        <f t="shared" si="3"/>
        <v>23.52</v>
      </c>
      <c r="AB70" s="171">
        <f t="shared" si="16"/>
        <v>11.390602752728997</v>
      </c>
      <c r="AC70" s="171">
        <f t="shared" si="2"/>
        <v>14.661806399351967</v>
      </c>
      <c r="AD70" s="163">
        <v>29</v>
      </c>
      <c r="AE70" s="171">
        <f t="shared" si="15"/>
        <v>59.88094000000001</v>
      </c>
      <c r="AF70" s="179"/>
    </row>
    <row r="71" spans="1:32" s="173" customFormat="1" ht="15.75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06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 t="s">
        <v>248</v>
      </c>
      <c r="K71" s="163"/>
      <c r="L71" s="163">
        <v>451</v>
      </c>
      <c r="M71" s="163"/>
      <c r="N71" s="163">
        <v>2.9</v>
      </c>
      <c r="O71" s="163"/>
      <c r="P71" s="182">
        <v>13.99</v>
      </c>
      <c r="Q71" s="171">
        <f t="shared" si="10"/>
        <v>11.05</v>
      </c>
      <c r="R71" s="170">
        <v>3.2050000000000001</v>
      </c>
      <c r="S71" s="171">
        <v>3.9220000000000002</v>
      </c>
      <c r="T71" s="171">
        <v>5</v>
      </c>
      <c r="U71" s="171">
        <f t="shared" si="6"/>
        <v>1.5600624024960998</v>
      </c>
      <c r="V71" s="169">
        <f t="shared" si="7"/>
        <v>18.281489036206018</v>
      </c>
      <c r="W71" s="170">
        <v>0.4</v>
      </c>
      <c r="X71" s="171">
        <f t="shared" si="14"/>
        <v>0.35493212669683255</v>
      </c>
      <c r="Y71" s="171">
        <f t="shared" si="8"/>
        <v>3.1408999999999998</v>
      </c>
      <c r="Z71" s="171">
        <f t="shared" si="3"/>
        <v>3.8435600000000001</v>
      </c>
      <c r="AA71" s="171">
        <f t="shared" si="3"/>
        <v>4.9000000000000004</v>
      </c>
      <c r="AB71" s="171">
        <f t="shared" si="16"/>
        <v>1.5600624024960998</v>
      </c>
      <c r="AC71" s="171">
        <f t="shared" si="2"/>
        <v>18.281489036206018</v>
      </c>
      <c r="AD71" s="163">
        <v>29</v>
      </c>
      <c r="AE71" s="171">
        <f t="shared" si="15"/>
        <v>91.086099999999988</v>
      </c>
      <c r="AF71" s="179"/>
    </row>
    <row r="72" spans="1:32" s="173" customFormat="1" ht="15.75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 t="s">
        <v>243</v>
      </c>
      <c r="K72" s="163"/>
      <c r="L72" s="163">
        <v>349</v>
      </c>
      <c r="M72" s="163"/>
      <c r="N72" s="163">
        <v>9.1</v>
      </c>
      <c r="O72" s="163"/>
      <c r="P72" s="160">
        <v>30.86</v>
      </c>
      <c r="Q72" s="171">
        <f>LEFT(H72,(FIND("K",H72,1)-1))*J72/100</f>
        <v>9</v>
      </c>
      <c r="R72" s="170">
        <v>4.2389999999999999</v>
      </c>
      <c r="S72" s="171">
        <v>6.8390000000000004</v>
      </c>
      <c r="T72" s="171">
        <v>12</v>
      </c>
      <c r="U72" s="171">
        <f t="shared" si="6"/>
        <v>2.8308563340410475</v>
      </c>
      <c r="V72" s="169">
        <f t="shared" si="7"/>
        <v>38.017253984500663</v>
      </c>
      <c r="W72" s="170">
        <v>0.2</v>
      </c>
      <c r="X72" s="171">
        <f t="shared" si="14"/>
        <v>0.75988888888888895</v>
      </c>
      <c r="Y72" s="171">
        <f t="shared" si="8"/>
        <v>4.1542199999999996</v>
      </c>
      <c r="Z72" s="171">
        <f t="shared" si="3"/>
        <v>6.7022200000000005</v>
      </c>
      <c r="AA72" s="171">
        <f t="shared" si="3"/>
        <v>11.76</v>
      </c>
      <c r="AB72" s="171">
        <f t="shared" si="16"/>
        <v>2.8308563340410475</v>
      </c>
      <c r="AC72" s="171">
        <f t="shared" si="2"/>
        <v>38.017253984500663</v>
      </c>
      <c r="AD72" s="163">
        <v>29</v>
      </c>
      <c r="AE72" s="171">
        <f>Y72*AD72</f>
        <v>120.47237999999999</v>
      </c>
      <c r="AF72" s="179"/>
    </row>
    <row r="73" spans="1:32" s="178" customFormat="1" ht="15.95" customHeight="1" x14ac:dyDescent="0.2">
      <c r="A73" s="163">
        <v>60</v>
      </c>
      <c r="B73" s="207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 t="s">
        <v>239</v>
      </c>
      <c r="K73" s="158"/>
      <c r="L73" s="158">
        <v>124</v>
      </c>
      <c r="M73" s="158"/>
      <c r="N73" s="163">
        <v>7.8</v>
      </c>
      <c r="O73" s="158"/>
      <c r="P73" s="208">
        <v>31.55</v>
      </c>
      <c r="Q73" s="174">
        <f>LEFT(H73,(FIND("K",H73,1)-1))*J73/100</f>
        <v>13</v>
      </c>
      <c r="R73" s="170">
        <v>0.435</v>
      </c>
      <c r="S73" s="158">
        <v>1.151</v>
      </c>
      <c r="T73" s="174">
        <v>0</v>
      </c>
      <c r="U73" s="171">
        <f t="shared" si="6"/>
        <v>0</v>
      </c>
      <c r="V73" s="169">
        <f t="shared" si="7"/>
        <v>62.206776715899217</v>
      </c>
      <c r="W73" s="170">
        <v>0.4</v>
      </c>
      <c r="X73" s="171">
        <f t="shared" si="14"/>
        <v>8.8538461538461538E-2</v>
      </c>
      <c r="Y73" s="171">
        <f t="shared" si="8"/>
        <v>0.42630000000000001</v>
      </c>
      <c r="Z73" s="171">
        <f t="shared" si="3"/>
        <v>1.12798</v>
      </c>
      <c r="AA73" s="171">
        <f t="shared" si="3"/>
        <v>0</v>
      </c>
      <c r="AB73" s="171">
        <f t="shared" si="16"/>
        <v>0</v>
      </c>
      <c r="AC73" s="171">
        <f t="shared" si="2"/>
        <v>62.206776715899217</v>
      </c>
      <c r="AD73" s="163">
        <v>29</v>
      </c>
      <c r="AE73" s="171">
        <f>Y73*AD73</f>
        <v>12.3627</v>
      </c>
      <c r="AF73" s="172"/>
    </row>
    <row r="74" spans="1:32" s="211" customFormat="1" ht="15.95" customHeight="1" x14ac:dyDescent="0.2">
      <c r="A74" s="183"/>
      <c r="B74" s="1834" t="s">
        <v>205</v>
      </c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511.72799999999995</v>
      </c>
      <c r="S74" s="209">
        <f>SUM(S14:S73)</f>
        <v>718.72200000000021</v>
      </c>
      <c r="T74" s="209">
        <f>SUM(T14:T73)</f>
        <v>21601</v>
      </c>
      <c r="U74" s="209">
        <f>T74/R74</f>
        <v>42.21187818528594</v>
      </c>
      <c r="V74" s="209"/>
      <c r="W74" s="209"/>
      <c r="X74" s="209"/>
      <c r="Y74" s="209">
        <f>SUM(Y14:Y73)</f>
        <v>501.49344000000002</v>
      </c>
      <c r="Z74" s="209">
        <f>SUM(Z14:Z73)</f>
        <v>704.34756000000004</v>
      </c>
      <c r="AA74" s="209">
        <f>SUM(AA14:AA73)</f>
        <v>21168.979999999989</v>
      </c>
      <c r="AB74" s="209">
        <f>AA74/Y74</f>
        <v>42.211878185285912</v>
      </c>
      <c r="AC74" s="209"/>
      <c r="AD74" s="209"/>
      <c r="AE74" s="210">
        <f>SUM(AE14:AE73)</f>
        <v>14543.309759999998</v>
      </c>
      <c r="AF74" s="177"/>
    </row>
    <row r="75" spans="1:32" s="178" customFormat="1" ht="15.95" customHeight="1" x14ac:dyDescent="0.2">
      <c r="A75" s="163"/>
      <c r="B75" s="1836" t="s">
        <v>200</v>
      </c>
      <c r="C75" s="1837"/>
      <c r="D75" s="1837"/>
      <c r="E75" s="1837"/>
      <c r="F75" s="1838"/>
      <c r="G75" s="156"/>
      <c r="H75" s="212"/>
      <c r="I75" s="212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213"/>
      <c r="V75" s="156"/>
      <c r="W75" s="156"/>
      <c r="X75" s="157"/>
      <c r="Y75" s="158"/>
      <c r="Z75" s="158"/>
      <c r="AA75" s="158"/>
      <c r="AB75" s="214"/>
      <c r="AC75" s="156"/>
      <c r="AD75" s="158"/>
      <c r="AE75" s="158"/>
      <c r="AF75" s="212"/>
    </row>
    <row r="76" spans="1:32" s="178" customFormat="1" ht="15.95" customHeight="1" x14ac:dyDescent="0.2">
      <c r="A76" s="163">
        <v>61</v>
      </c>
      <c r="B76" s="215" t="s">
        <v>131</v>
      </c>
      <c r="C76" s="216" t="s">
        <v>177</v>
      </c>
      <c r="D76" s="165">
        <v>389.74</v>
      </c>
      <c r="E76" s="16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100</v>
      </c>
      <c r="K76" s="163"/>
      <c r="L76" s="163">
        <v>24</v>
      </c>
      <c r="M76" s="163"/>
      <c r="N76" s="163">
        <v>0.1</v>
      </c>
      <c r="O76" s="163"/>
      <c r="P76" s="182">
        <v>15.12</v>
      </c>
      <c r="Q76" s="171"/>
      <c r="R76" s="170">
        <v>0.46200000000000002</v>
      </c>
      <c r="S76" s="171">
        <v>0.46200000000000002</v>
      </c>
      <c r="T76" s="171">
        <v>0</v>
      </c>
      <c r="U76" s="171">
        <f>T76/R76</f>
        <v>0</v>
      </c>
      <c r="V76" s="170">
        <v>0</v>
      </c>
      <c r="W76" s="170">
        <v>0.7</v>
      </c>
      <c r="X76" s="171"/>
      <c r="Y76" s="171">
        <f>R76*0.98</f>
        <v>0.45276</v>
      </c>
      <c r="Z76" s="171">
        <f>S76*0.98</f>
        <v>0.45276</v>
      </c>
      <c r="AA76" s="171">
        <f t="shared" ref="AA76:AC79" si="17">T76</f>
        <v>0</v>
      </c>
      <c r="AB76" s="171">
        <f t="shared" si="17"/>
        <v>0</v>
      </c>
      <c r="AC76" s="171">
        <f t="shared" si="17"/>
        <v>0</v>
      </c>
      <c r="AD76" s="163">
        <v>29</v>
      </c>
      <c r="AE76" s="171">
        <f>Y76*AD76</f>
        <v>13.130039999999999</v>
      </c>
      <c r="AF76" s="179"/>
    </row>
    <row r="77" spans="1:32" s="178" customFormat="1" ht="15.95" customHeight="1" x14ac:dyDescent="0.2">
      <c r="A77" s="163">
        <v>62</v>
      </c>
      <c r="B77" s="215" t="s">
        <v>132</v>
      </c>
      <c r="C77" s="216" t="s">
        <v>177</v>
      </c>
      <c r="D77" s="163">
        <v>387.72</v>
      </c>
      <c r="E77" s="163" t="s">
        <v>135</v>
      </c>
      <c r="F77" s="163">
        <v>177.8</v>
      </c>
      <c r="G77" s="163" t="s">
        <v>28</v>
      </c>
      <c r="H77" s="165" t="s">
        <v>58</v>
      </c>
      <c r="I77" s="158">
        <v>135.1</v>
      </c>
      <c r="J77" s="163">
        <v>140</v>
      </c>
      <c r="K77" s="163"/>
      <c r="L77" s="163">
        <v>53</v>
      </c>
      <c r="M77" s="163"/>
      <c r="N77" s="163">
        <v>0.9</v>
      </c>
      <c r="O77" s="163"/>
      <c r="P77" s="182">
        <v>12.05</v>
      </c>
      <c r="Q77" s="171"/>
      <c r="R77" s="170">
        <v>1.7509999999999999</v>
      </c>
      <c r="S77" s="171">
        <v>1.7539999999999998</v>
      </c>
      <c r="T77" s="171">
        <v>0</v>
      </c>
      <c r="U77" s="171">
        <f>T77/R77</f>
        <v>0</v>
      </c>
      <c r="V77" s="170">
        <v>0.2</v>
      </c>
      <c r="W77" s="170">
        <v>0.8</v>
      </c>
      <c r="X77" s="171"/>
      <c r="Y77" s="171">
        <f t="shared" ref="Y77:Z79" si="18">R77*0.98</f>
        <v>1.7159799999999998</v>
      </c>
      <c r="Z77" s="171">
        <f t="shared" si="18"/>
        <v>1.7189199999999998</v>
      </c>
      <c r="AA77" s="171">
        <f t="shared" si="17"/>
        <v>0</v>
      </c>
      <c r="AB77" s="171">
        <f t="shared" si="17"/>
        <v>0</v>
      </c>
      <c r="AC77" s="171">
        <f t="shared" si="17"/>
        <v>0.2</v>
      </c>
      <c r="AD77" s="163">
        <v>29</v>
      </c>
      <c r="AE77" s="171">
        <f>Y77*AD77</f>
        <v>49.763419999999996</v>
      </c>
      <c r="AF77" s="179"/>
    </row>
    <row r="78" spans="1:32" s="178" customFormat="1" ht="15.95" customHeight="1" x14ac:dyDescent="0.2">
      <c r="A78" s="163">
        <v>63</v>
      </c>
      <c r="B78" s="217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/>
      <c r="J78" s="163"/>
      <c r="K78" s="163">
        <v>11</v>
      </c>
      <c r="L78" s="163"/>
      <c r="M78" s="163">
        <v>0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/>
      <c r="V78" s="170">
        <v>0</v>
      </c>
      <c r="W78" s="170"/>
      <c r="X78" s="171"/>
      <c r="Y78" s="171">
        <f t="shared" si="18"/>
        <v>0</v>
      </c>
      <c r="Z78" s="171">
        <f t="shared" si="18"/>
        <v>0</v>
      </c>
      <c r="AA78" s="171">
        <f t="shared" si="17"/>
        <v>0</v>
      </c>
      <c r="AB78" s="171">
        <f t="shared" si="17"/>
        <v>0</v>
      </c>
      <c r="AC78" s="171">
        <f t="shared" si="17"/>
        <v>0</v>
      </c>
      <c r="AD78" s="163"/>
      <c r="AE78" s="171">
        <f>Y78*AD78</f>
        <v>0</v>
      </c>
      <c r="AF78" s="179" t="s">
        <v>238</v>
      </c>
    </row>
    <row r="79" spans="1:32" s="211" customFormat="1" ht="15.9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150</v>
      </c>
      <c r="K79" s="175"/>
      <c r="L79" s="163">
        <v>46</v>
      </c>
      <c r="M79" s="175"/>
      <c r="N79" s="163">
        <v>0.3</v>
      </c>
      <c r="O79" s="175"/>
      <c r="P79" s="182">
        <v>13.29815181248302</v>
      </c>
      <c r="Q79" s="171"/>
      <c r="R79" s="170">
        <v>2.0299999999999998</v>
      </c>
      <c r="S79" s="171">
        <v>2.0319999999999996</v>
      </c>
      <c r="T79" s="171">
        <v>0</v>
      </c>
      <c r="U79" s="171">
        <f>T79/R79</f>
        <v>0</v>
      </c>
      <c r="V79" s="171">
        <v>0.06</v>
      </c>
      <c r="W79" s="171">
        <v>0.6</v>
      </c>
      <c r="X79" s="171"/>
      <c r="Y79" s="171">
        <f t="shared" si="18"/>
        <v>1.9893999999999998</v>
      </c>
      <c r="Z79" s="171">
        <f t="shared" si="18"/>
        <v>1.9913599999999996</v>
      </c>
      <c r="AA79" s="171">
        <f t="shared" si="17"/>
        <v>0</v>
      </c>
      <c r="AB79" s="171">
        <f t="shared" si="17"/>
        <v>0</v>
      </c>
      <c r="AC79" s="171">
        <f t="shared" si="17"/>
        <v>0.06</v>
      </c>
      <c r="AD79" s="163">
        <v>29</v>
      </c>
      <c r="AE79" s="171">
        <f>Y79*AD79</f>
        <v>57.692599999999999</v>
      </c>
      <c r="AF79" s="177"/>
    </row>
    <row r="80" spans="1:32" s="178" customFormat="1" ht="15.95" customHeight="1" x14ac:dyDescent="0.2">
      <c r="A80" s="163"/>
      <c r="B80" s="1834" t="s">
        <v>205</v>
      </c>
      <c r="C80" s="1834"/>
      <c r="D80" s="1834"/>
      <c r="E80" s="1835"/>
      <c r="F80" s="158"/>
      <c r="G80" s="156"/>
      <c r="H80" s="212"/>
      <c r="I80" s="212"/>
      <c r="J80" s="158"/>
      <c r="K80" s="158"/>
      <c r="L80" s="158"/>
      <c r="M80" s="158"/>
      <c r="N80" s="158"/>
      <c r="O80" s="158"/>
      <c r="P80" s="160"/>
      <c r="Q80" s="174"/>
      <c r="R80" s="209">
        <f>SUM(R76:R79)</f>
        <v>4.2430000000000003</v>
      </c>
      <c r="S80" s="209">
        <f>SUM(S76:S79)</f>
        <v>4.2479999999999993</v>
      </c>
      <c r="T80" s="209">
        <f>SUM(T76:T79)</f>
        <v>0</v>
      </c>
      <c r="U80" s="209">
        <f>SUM(U76:U79)</f>
        <v>0</v>
      </c>
      <c r="V80" s="156"/>
      <c r="W80" s="156"/>
      <c r="X80" s="156"/>
      <c r="Y80" s="209">
        <f>SUM(Y76:Y79)</f>
        <v>4.1581399999999995</v>
      </c>
      <c r="Z80" s="209">
        <f>SUM(Z76:Z79)</f>
        <v>4.1630399999999996</v>
      </c>
      <c r="AA80" s="209">
        <f>SUM(AA76:AA79)</f>
        <v>0</v>
      </c>
      <c r="AB80" s="209">
        <f>SUM(AB76:AB79)</f>
        <v>0</v>
      </c>
      <c r="AC80" s="156"/>
      <c r="AD80" s="158"/>
      <c r="AE80" s="209">
        <f>SUM(AE76:AE79)</f>
        <v>120.58606</v>
      </c>
      <c r="AF80" s="218"/>
    </row>
    <row r="81" spans="1:32" s="178" customFormat="1" ht="15.95" customHeight="1" x14ac:dyDescent="0.2">
      <c r="A81" s="163"/>
      <c r="B81" s="1827" t="s">
        <v>208</v>
      </c>
      <c r="C81" s="1828"/>
      <c r="D81" s="1828"/>
      <c r="E81" s="1828"/>
      <c r="F81" s="1829"/>
      <c r="G81" s="156"/>
      <c r="H81" s="212"/>
      <c r="I81" s="212"/>
      <c r="J81" s="158"/>
      <c r="K81" s="158"/>
      <c r="L81" s="158"/>
      <c r="M81" s="158"/>
      <c r="N81" s="158"/>
      <c r="O81" s="158"/>
      <c r="P81" s="160"/>
      <c r="Q81" s="174"/>
      <c r="R81" s="209"/>
      <c r="S81" s="209"/>
      <c r="T81" s="209"/>
      <c r="U81" s="209"/>
      <c r="V81" s="156"/>
      <c r="W81" s="156"/>
      <c r="X81" s="156"/>
      <c r="Y81" s="209"/>
      <c r="Z81" s="209"/>
      <c r="AA81" s="209"/>
      <c r="AB81" s="209"/>
      <c r="AC81" s="156"/>
      <c r="AD81" s="158"/>
      <c r="AE81" s="209"/>
      <c r="AF81" s="218"/>
    </row>
    <row r="82" spans="1:32" s="178" customFormat="1" ht="15.95" customHeight="1" x14ac:dyDescent="0.2">
      <c r="A82" s="163">
        <v>65</v>
      </c>
      <c r="B82" s="219" t="s">
        <v>220</v>
      </c>
      <c r="C82" s="163" t="s">
        <v>46</v>
      </c>
      <c r="D82" s="165">
        <v>685.69</v>
      </c>
      <c r="E82" s="220" t="s">
        <v>222</v>
      </c>
      <c r="F82" s="163">
        <v>177.8</v>
      </c>
      <c r="G82" s="163" t="s">
        <v>28</v>
      </c>
      <c r="H82" s="165" t="s">
        <v>221</v>
      </c>
      <c r="I82" s="165">
        <v>570.09</v>
      </c>
      <c r="J82" s="158"/>
      <c r="K82" s="158"/>
      <c r="L82" s="158"/>
      <c r="M82" s="158"/>
      <c r="N82" s="158"/>
      <c r="O82" s="158"/>
      <c r="P82" s="160"/>
      <c r="Q82" s="174"/>
      <c r="R82" s="158"/>
      <c r="S82" s="158"/>
      <c r="T82" s="158"/>
      <c r="U82" s="213"/>
      <c r="V82" s="156"/>
      <c r="W82" s="156"/>
      <c r="X82" s="156"/>
      <c r="Y82" s="221"/>
      <c r="Z82" s="222"/>
      <c r="AA82" s="212"/>
      <c r="AB82" s="213"/>
      <c r="AC82" s="158"/>
      <c r="AD82" s="163"/>
      <c r="AE82" s="171"/>
      <c r="AF82" s="172" t="s">
        <v>236</v>
      </c>
    </row>
    <row r="83" spans="1:32" s="178" customFormat="1" ht="15.6" customHeight="1" x14ac:dyDescent="0.2">
      <c r="A83" s="163"/>
      <c r="B83" s="219"/>
      <c r="C83" s="163"/>
      <c r="D83" s="223"/>
      <c r="E83" s="158"/>
      <c r="F83" s="163"/>
      <c r="G83" s="163"/>
      <c r="H83" s="165"/>
      <c r="I83" s="165"/>
      <c r="J83" s="158"/>
      <c r="K83" s="158"/>
      <c r="L83" s="158"/>
      <c r="M83" s="158"/>
      <c r="N83" s="158"/>
      <c r="O83" s="158"/>
      <c r="P83" s="160"/>
      <c r="Q83" s="174"/>
      <c r="R83" s="158"/>
      <c r="S83" s="158"/>
      <c r="T83" s="158"/>
      <c r="U83" s="213"/>
      <c r="V83" s="156"/>
      <c r="W83" s="156"/>
      <c r="X83" s="156"/>
      <c r="Y83" s="221"/>
      <c r="Z83" s="222"/>
      <c r="AA83" s="212"/>
      <c r="AB83" s="213"/>
      <c r="AC83" s="158"/>
      <c r="AD83" s="163"/>
      <c r="AE83" s="171"/>
      <c r="AF83" s="172"/>
    </row>
    <row r="84" spans="1:32" s="178" customFormat="1" ht="14.45" customHeight="1" x14ac:dyDescent="0.2">
      <c r="A84" s="163"/>
      <c r="B84" s="219"/>
      <c r="C84" s="163"/>
      <c r="D84" s="223"/>
      <c r="E84" s="165"/>
      <c r="F84" s="163"/>
      <c r="G84" s="163"/>
      <c r="H84" s="165"/>
      <c r="I84" s="165"/>
      <c r="J84" s="158"/>
      <c r="K84" s="158"/>
      <c r="L84" s="158"/>
      <c r="M84" s="158"/>
      <c r="N84" s="158"/>
      <c r="O84" s="158"/>
      <c r="P84" s="160"/>
      <c r="Q84" s="174"/>
      <c r="R84" s="158"/>
      <c r="S84" s="158"/>
      <c r="T84" s="158"/>
      <c r="U84" s="213"/>
      <c r="V84" s="156"/>
      <c r="W84" s="156"/>
      <c r="X84" s="156"/>
      <c r="Y84" s="221"/>
      <c r="Z84" s="222"/>
      <c r="AA84" s="212"/>
      <c r="AB84" s="213"/>
      <c r="AC84" s="158"/>
      <c r="AD84" s="163"/>
      <c r="AE84" s="171"/>
      <c r="AF84" s="172"/>
    </row>
    <row r="85" spans="1:32" s="211" customFormat="1" ht="15.95" customHeight="1" x14ac:dyDescent="0.2">
      <c r="A85" s="183"/>
      <c r="B85" s="1834" t="s">
        <v>205</v>
      </c>
      <c r="C85" s="1834"/>
      <c r="D85" s="1834"/>
      <c r="E85" s="1835"/>
      <c r="F85" s="175"/>
      <c r="G85" s="163"/>
      <c r="H85" s="165"/>
      <c r="I85" s="171"/>
      <c r="J85" s="163"/>
      <c r="K85" s="175"/>
      <c r="L85" s="163"/>
      <c r="M85" s="175"/>
      <c r="N85" s="182"/>
      <c r="O85" s="175"/>
      <c r="P85" s="224"/>
      <c r="Q85" s="209"/>
      <c r="R85" s="209"/>
      <c r="S85" s="209"/>
      <c r="T85" s="209"/>
      <c r="U85" s="209"/>
      <c r="V85" s="209"/>
      <c r="W85" s="209"/>
      <c r="X85" s="209"/>
      <c r="Y85" s="209"/>
      <c r="Z85" s="225"/>
      <c r="AA85" s="209"/>
      <c r="AB85" s="209"/>
      <c r="AC85" s="209"/>
      <c r="AD85" s="209"/>
      <c r="AE85" s="209"/>
      <c r="AF85" s="177"/>
    </row>
    <row r="86" spans="1:32" s="178" customFormat="1" ht="15.95" customHeight="1" x14ac:dyDescent="0.2">
      <c r="A86" s="163"/>
      <c r="B86" s="1843" t="s">
        <v>199</v>
      </c>
      <c r="C86" s="1839"/>
      <c r="D86" s="1839"/>
      <c r="E86" s="1839"/>
      <c r="F86" s="1839"/>
      <c r="G86" s="156"/>
      <c r="H86" s="212"/>
      <c r="I86" s="212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213"/>
      <c r="V86" s="156"/>
      <c r="W86" s="156"/>
      <c r="X86" s="156"/>
      <c r="Y86" s="158"/>
      <c r="Z86" s="158"/>
      <c r="AA86" s="158"/>
      <c r="AB86" s="214"/>
      <c r="AC86" s="156"/>
      <c r="AD86" s="158"/>
      <c r="AE86" s="158"/>
      <c r="AF86" s="212"/>
    </row>
    <row r="87" spans="1:32" s="178" customFormat="1" ht="15.95" customHeight="1" x14ac:dyDescent="0.2">
      <c r="A87" s="163">
        <v>66</v>
      </c>
      <c r="B87" s="226" t="s">
        <v>107</v>
      </c>
      <c r="C87" s="188" t="s">
        <v>109</v>
      </c>
      <c r="D87" s="227"/>
      <c r="E87" s="227"/>
      <c r="F87" s="158"/>
      <c r="G87" s="156"/>
      <c r="H87" s="212"/>
      <c r="I87" s="212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213"/>
      <c r="V87" s="156"/>
      <c r="W87" s="156"/>
      <c r="X87" s="156"/>
      <c r="Y87" s="212"/>
      <c r="Z87" s="212"/>
      <c r="AA87" s="158"/>
      <c r="AB87" s="214"/>
      <c r="AC87" s="156"/>
      <c r="AD87" s="228"/>
      <c r="AE87" s="158"/>
      <c r="AF87" s="229"/>
    </row>
    <row r="88" spans="1:32" s="178" customFormat="1" ht="15.95" customHeight="1" x14ac:dyDescent="0.2">
      <c r="A88" s="163">
        <v>67</v>
      </c>
      <c r="B88" s="226" t="s">
        <v>108</v>
      </c>
      <c r="C88" s="188" t="s">
        <v>109</v>
      </c>
      <c r="D88" s="227"/>
      <c r="E88" s="227"/>
      <c r="F88" s="158"/>
      <c r="G88" s="156"/>
      <c r="H88" s="212"/>
      <c r="I88" s="21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213"/>
      <c r="V88" s="156"/>
      <c r="W88" s="156"/>
      <c r="X88" s="156"/>
      <c r="Y88" s="212"/>
      <c r="Z88" s="212"/>
      <c r="AA88" s="158"/>
      <c r="AB88" s="214"/>
      <c r="AC88" s="156"/>
      <c r="AD88" s="228"/>
      <c r="AE88" s="158"/>
      <c r="AF88" s="229"/>
    </row>
    <row r="89" spans="1:32" s="178" customFormat="1" ht="15.95" customHeight="1" x14ac:dyDescent="0.2">
      <c r="A89" s="163">
        <v>68</v>
      </c>
      <c r="B89" s="226" t="s">
        <v>195</v>
      </c>
      <c r="C89" s="216" t="s">
        <v>193</v>
      </c>
      <c r="D89" s="227"/>
      <c r="E89" s="227"/>
      <c r="F89" s="158"/>
      <c r="G89" s="156"/>
      <c r="H89" s="212"/>
      <c r="I89" s="21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213"/>
      <c r="V89" s="156"/>
      <c r="W89" s="156"/>
      <c r="X89" s="156"/>
      <c r="Y89" s="212"/>
      <c r="Z89" s="212"/>
      <c r="AA89" s="158"/>
      <c r="AB89" s="214"/>
      <c r="AC89" s="156"/>
      <c r="AD89" s="228"/>
      <c r="AE89" s="158"/>
      <c r="AF89" s="229"/>
    </row>
    <row r="90" spans="1:32" s="178" customFormat="1" ht="15.95" customHeight="1" x14ac:dyDescent="0.2">
      <c r="A90" s="163">
        <v>69</v>
      </c>
      <c r="B90" s="226" t="s">
        <v>192</v>
      </c>
      <c r="C90" s="216" t="s">
        <v>193</v>
      </c>
      <c r="D90" s="227"/>
      <c r="E90" s="227"/>
      <c r="F90" s="158"/>
      <c r="G90" s="156"/>
      <c r="H90" s="212"/>
      <c r="I90" s="21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213"/>
      <c r="V90" s="156"/>
      <c r="W90" s="156"/>
      <c r="X90" s="156"/>
      <c r="Y90" s="212"/>
      <c r="Z90" s="212"/>
      <c r="AA90" s="158"/>
      <c r="AB90" s="214"/>
      <c r="AC90" s="156"/>
      <c r="AD90" s="228"/>
      <c r="AE90" s="158"/>
      <c r="AF90" s="229"/>
    </row>
    <row r="91" spans="1:32" s="178" customFormat="1" ht="15.95" customHeight="1" x14ac:dyDescent="0.2">
      <c r="A91" s="163"/>
      <c r="B91" s="1843" t="s">
        <v>198</v>
      </c>
      <c r="C91" s="1839"/>
      <c r="D91" s="1839"/>
      <c r="E91" s="1839"/>
      <c r="F91" s="1839"/>
      <c r="G91" s="156"/>
      <c r="H91" s="212"/>
      <c r="I91" s="212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213"/>
      <c r="V91" s="156"/>
      <c r="W91" s="156"/>
      <c r="X91" s="156"/>
      <c r="Y91" s="158"/>
      <c r="Z91" s="158"/>
      <c r="AA91" s="158"/>
      <c r="AB91" s="214"/>
      <c r="AC91" s="156"/>
      <c r="AD91" s="158"/>
      <c r="AE91" s="158"/>
      <c r="AF91" s="212"/>
    </row>
    <row r="92" spans="1:32" s="178" customFormat="1" ht="15.95" customHeight="1" x14ac:dyDescent="0.2">
      <c r="A92" s="163">
        <v>70</v>
      </c>
      <c r="B92" s="207" t="s">
        <v>189</v>
      </c>
      <c r="C92" s="163" t="s">
        <v>46</v>
      </c>
      <c r="D92" s="189">
        <v>673</v>
      </c>
      <c r="E92" s="189" t="s">
        <v>190</v>
      </c>
      <c r="F92" s="163">
        <v>177.8</v>
      </c>
      <c r="G92" s="163"/>
      <c r="H92" s="165"/>
      <c r="I92" s="158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213"/>
      <c r="V92" s="156"/>
      <c r="W92" s="156"/>
      <c r="X92" s="156"/>
      <c r="Y92" s="230"/>
      <c r="Z92" s="231"/>
      <c r="AA92" s="212"/>
      <c r="AB92" s="214"/>
      <c r="AC92" s="158"/>
      <c r="AD92" s="163"/>
      <c r="AE92" s="171"/>
      <c r="AF92" s="179"/>
    </row>
    <row r="93" spans="1:32" s="178" customFormat="1" ht="15.95" customHeight="1" x14ac:dyDescent="0.25">
      <c r="A93" s="163">
        <v>71</v>
      </c>
      <c r="B93" s="164" t="s">
        <v>181</v>
      </c>
      <c r="C93" s="232" t="s">
        <v>183</v>
      </c>
      <c r="D93" s="165">
        <v>374.5</v>
      </c>
      <c r="E93" s="163" t="s">
        <v>182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s="178" customFormat="1" ht="15.95" customHeight="1" x14ac:dyDescent="0.2">
      <c r="A94" s="163">
        <v>72</v>
      </c>
      <c r="B94" s="164" t="s">
        <v>57</v>
      </c>
      <c r="C94" s="216" t="s">
        <v>176</v>
      </c>
      <c r="D94" s="165">
        <v>681.52</v>
      </c>
      <c r="E94" s="163" t="s">
        <v>93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s="178" customFormat="1" ht="15.95" customHeight="1" x14ac:dyDescent="0.2">
      <c r="A95" s="163">
        <v>73</v>
      </c>
      <c r="B95" s="164" t="s">
        <v>188</v>
      </c>
      <c r="C95" s="216" t="s">
        <v>183</v>
      </c>
      <c r="D95" s="165">
        <v>408.86</v>
      </c>
      <c r="E95" s="164" t="s">
        <v>235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s="178" customFormat="1" ht="15.95" customHeight="1" x14ac:dyDescent="0.2">
      <c r="A96" s="163">
        <v>74</v>
      </c>
      <c r="B96" s="164" t="s">
        <v>184</v>
      </c>
      <c r="C96" s="216" t="s">
        <v>176</v>
      </c>
      <c r="D96" s="165">
        <v>422.78</v>
      </c>
      <c r="E96" s="163" t="s">
        <v>185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s="178" customFormat="1" ht="15.95" customHeight="1" x14ac:dyDescent="0.2">
      <c r="A97" s="163">
        <v>75</v>
      </c>
      <c r="B97" s="164" t="s">
        <v>186</v>
      </c>
      <c r="C97" s="216" t="s">
        <v>176</v>
      </c>
      <c r="D97" s="165">
        <v>387.56</v>
      </c>
      <c r="E97" s="163"/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70"/>
      <c r="Q97" s="171"/>
      <c r="R97" s="170"/>
      <c r="S97" s="171"/>
      <c r="T97" s="171"/>
      <c r="U97" s="171"/>
      <c r="V97" s="170"/>
      <c r="W97" s="170"/>
      <c r="X97" s="233"/>
      <c r="Y97" s="171"/>
      <c r="Z97" s="171"/>
      <c r="AA97" s="171"/>
      <c r="AB97" s="171"/>
      <c r="AC97" s="171"/>
      <c r="AD97" s="163"/>
      <c r="AE97" s="171"/>
      <c r="AF97" s="179"/>
    </row>
    <row r="98" spans="1:32" s="178" customFormat="1" ht="15.95" customHeight="1" x14ac:dyDescent="0.2">
      <c r="A98" s="163">
        <v>76</v>
      </c>
      <c r="B98" s="164" t="s">
        <v>196</v>
      </c>
      <c r="C98" s="163" t="s">
        <v>46</v>
      </c>
      <c r="D98" s="165">
        <v>622.02</v>
      </c>
      <c r="E98" s="163" t="s">
        <v>197</v>
      </c>
      <c r="F98" s="163">
        <v>177.8</v>
      </c>
      <c r="G98" s="163"/>
      <c r="H98" s="165"/>
      <c r="I98" s="158"/>
      <c r="J98" s="163"/>
      <c r="K98" s="163"/>
      <c r="L98" s="163"/>
      <c r="M98" s="163"/>
      <c r="N98" s="182"/>
      <c r="O98" s="163"/>
      <c r="P98" s="170"/>
      <c r="Q98" s="171"/>
      <c r="R98" s="170"/>
      <c r="S98" s="171"/>
      <c r="T98" s="171"/>
      <c r="U98" s="171"/>
      <c r="V98" s="170"/>
      <c r="W98" s="170"/>
      <c r="X98" s="233"/>
      <c r="Y98" s="171"/>
      <c r="Z98" s="171"/>
      <c r="AA98" s="171"/>
      <c r="AB98" s="171"/>
      <c r="AC98" s="171"/>
      <c r="AD98" s="163"/>
      <c r="AE98" s="171"/>
      <c r="AF98" s="179"/>
    </row>
    <row r="99" spans="1:32" s="173" customFormat="1" ht="15.75" x14ac:dyDescent="0.2">
      <c r="A99" s="163">
        <v>77</v>
      </c>
      <c r="B99" s="164" t="s">
        <v>174</v>
      </c>
      <c r="C99" s="163" t="s">
        <v>46</v>
      </c>
      <c r="D99" s="165">
        <v>672</v>
      </c>
      <c r="E99" s="163" t="s">
        <v>175</v>
      </c>
      <c r="F99" s="163">
        <v>177.8</v>
      </c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s="178" customFormat="1" ht="15.95" customHeight="1" x14ac:dyDescent="0.2">
      <c r="A100" s="163">
        <v>78</v>
      </c>
      <c r="B100" s="204" t="s">
        <v>103</v>
      </c>
      <c r="C100" s="163" t="s">
        <v>46</v>
      </c>
      <c r="D100" s="158">
        <v>582</v>
      </c>
      <c r="E100" s="158" t="s">
        <v>112</v>
      </c>
      <c r="F100" s="163">
        <v>177.8</v>
      </c>
      <c r="G100" s="163"/>
      <c r="H100" s="165"/>
      <c r="I100" s="158"/>
      <c r="J100" s="158"/>
      <c r="K100" s="159"/>
      <c r="L100" s="158"/>
      <c r="M100" s="159"/>
      <c r="N100" s="158"/>
      <c r="O100" s="158"/>
      <c r="P100" s="160"/>
      <c r="Q100" s="174"/>
      <c r="R100" s="158"/>
      <c r="S100" s="158"/>
      <c r="T100" s="158"/>
      <c r="U100" s="213"/>
      <c r="V100" s="156"/>
      <c r="W100" s="156"/>
      <c r="X100" s="157"/>
      <c r="Y100" s="234"/>
      <c r="Z100" s="158"/>
      <c r="AA100" s="158"/>
      <c r="AB100" s="213"/>
      <c r="AC100" s="158"/>
      <c r="AD100" s="235"/>
      <c r="AE100" s="174"/>
      <c r="AF100" s="179"/>
    </row>
    <row r="101" spans="1:32" s="173" customFormat="1" ht="15.75" x14ac:dyDescent="0.2">
      <c r="A101" s="163"/>
      <c r="B101" s="1843" t="s">
        <v>209</v>
      </c>
      <c r="C101" s="1839"/>
      <c r="D101" s="1839"/>
      <c r="E101" s="1839"/>
      <c r="F101" s="1839"/>
      <c r="G101" s="163"/>
      <c r="H101" s="165"/>
      <c r="I101" s="158"/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s="173" customFormat="1" ht="15.75" x14ac:dyDescent="0.2">
      <c r="A102" s="163">
        <v>79</v>
      </c>
      <c r="B102" s="164" t="s">
        <v>148</v>
      </c>
      <c r="C102" s="163" t="s">
        <v>46</v>
      </c>
      <c r="D102" s="163">
        <v>650</v>
      </c>
      <c r="E102" s="163" t="s">
        <v>75</v>
      </c>
      <c r="F102" s="163">
        <v>177.8</v>
      </c>
      <c r="G102" s="163"/>
      <c r="H102" s="165"/>
      <c r="I102" s="159">
        <v>536.14</v>
      </c>
      <c r="J102" s="163"/>
      <c r="K102" s="163"/>
      <c r="L102" s="163"/>
      <c r="M102" s="163"/>
      <c r="N102" s="182"/>
      <c r="O102" s="163"/>
      <c r="P102" s="182"/>
      <c r="Q102" s="171"/>
      <c r="R102" s="170"/>
      <c r="S102" s="171"/>
      <c r="T102" s="171"/>
      <c r="U102" s="171"/>
      <c r="V102" s="170"/>
      <c r="W102" s="170"/>
      <c r="X102" s="171"/>
      <c r="Y102" s="171"/>
      <c r="Z102" s="171"/>
      <c r="AA102" s="171"/>
      <c r="AB102" s="171"/>
      <c r="AC102" s="171"/>
      <c r="AD102" s="163"/>
      <c r="AE102" s="171"/>
      <c r="AF102" s="179"/>
    </row>
    <row r="103" spans="1:32" s="173" customFormat="1" ht="15.75" x14ac:dyDescent="0.2">
      <c r="A103" s="163">
        <v>80</v>
      </c>
      <c r="B103" s="164" t="s">
        <v>155</v>
      </c>
      <c r="C103" s="163" t="s">
        <v>46</v>
      </c>
      <c r="D103" s="163">
        <v>674.13</v>
      </c>
      <c r="E103" s="163" t="s">
        <v>83</v>
      </c>
      <c r="F103" s="163">
        <v>177.8</v>
      </c>
      <c r="G103" s="163"/>
      <c r="H103" s="165"/>
      <c r="I103" s="158">
        <v>527.75</v>
      </c>
      <c r="J103" s="163"/>
      <c r="K103" s="163"/>
      <c r="L103" s="163"/>
      <c r="M103" s="163"/>
      <c r="N103" s="182"/>
      <c r="O103" s="163"/>
      <c r="P103" s="182"/>
      <c r="Q103" s="171"/>
      <c r="R103" s="170"/>
      <c r="S103" s="171"/>
      <c r="T103" s="171"/>
      <c r="U103" s="171"/>
      <c r="V103" s="170"/>
      <c r="W103" s="170"/>
      <c r="X103" s="171"/>
      <c r="Y103" s="171"/>
      <c r="Z103" s="171"/>
      <c r="AA103" s="171"/>
      <c r="AB103" s="171"/>
      <c r="AC103" s="171"/>
      <c r="AD103" s="163"/>
      <c r="AE103" s="171"/>
      <c r="AF103" s="179"/>
    </row>
    <row r="104" spans="1:32" s="178" customFormat="1" ht="15.95" customHeight="1" x14ac:dyDescent="0.2">
      <c r="A104" s="163">
        <v>81</v>
      </c>
      <c r="B104" s="164" t="s">
        <v>56</v>
      </c>
      <c r="C104" s="163" t="s">
        <v>46</v>
      </c>
      <c r="D104" s="165">
        <v>680.52</v>
      </c>
      <c r="E104" s="163" t="s">
        <v>92</v>
      </c>
      <c r="F104" s="163">
        <v>177.8</v>
      </c>
      <c r="G104" s="163"/>
      <c r="H104" s="165"/>
      <c r="I104" s="158">
        <v>555.95000000000005</v>
      </c>
      <c r="J104" s="163"/>
      <c r="K104" s="163"/>
      <c r="L104" s="163"/>
      <c r="M104" s="163"/>
      <c r="N104" s="182"/>
      <c r="O104" s="163"/>
      <c r="P104" s="170"/>
      <c r="Q104" s="171"/>
      <c r="R104" s="170"/>
      <c r="S104" s="171"/>
      <c r="T104" s="171"/>
      <c r="U104" s="171"/>
      <c r="V104" s="170"/>
      <c r="W104" s="170"/>
      <c r="X104" s="233"/>
      <c r="Y104" s="171"/>
      <c r="Z104" s="171"/>
      <c r="AA104" s="171"/>
      <c r="AB104" s="171"/>
      <c r="AC104" s="171"/>
      <c r="AD104" s="163"/>
      <c r="AE104" s="171"/>
      <c r="AF104" s="179"/>
    </row>
    <row r="105" spans="1:32" s="178" customFormat="1" ht="15.95" customHeight="1" x14ac:dyDescent="0.2">
      <c r="A105" s="236"/>
      <c r="B105" s="237"/>
      <c r="C105" s="237"/>
      <c r="D105" s="238"/>
      <c r="E105" s="239"/>
      <c r="F105" s="240"/>
      <c r="G105" s="240"/>
      <c r="H105" s="241"/>
      <c r="I105" s="242"/>
      <c r="J105" s="240"/>
      <c r="K105" s="240"/>
      <c r="L105" s="240"/>
      <c r="M105" s="240"/>
      <c r="N105" s="243"/>
      <c r="O105" s="240"/>
      <c r="P105" s="244"/>
      <c r="Q105" s="245"/>
      <c r="R105" s="244"/>
      <c r="S105" s="245"/>
      <c r="T105" s="245"/>
      <c r="U105" s="245"/>
      <c r="V105" s="244"/>
      <c r="W105" s="244"/>
      <c r="X105" s="246"/>
      <c r="Y105" s="245"/>
      <c r="Z105" s="245"/>
      <c r="AA105" s="245"/>
      <c r="AB105" s="245"/>
      <c r="AC105" s="245"/>
      <c r="AD105" s="240"/>
      <c r="AE105" s="245"/>
      <c r="AF105" s="247"/>
    </row>
    <row r="106" spans="1:32" s="211" customFormat="1" ht="15.95" customHeight="1" x14ac:dyDescent="0.2">
      <c r="A106" s="236"/>
      <c r="B106" s="1844" t="s">
        <v>205</v>
      </c>
      <c r="C106" s="1844"/>
      <c r="D106" s="1844"/>
      <c r="E106" s="1845"/>
      <c r="F106" s="248"/>
      <c r="G106" s="240"/>
      <c r="H106" s="241"/>
      <c r="I106" s="245"/>
      <c r="J106" s="240"/>
      <c r="K106" s="248"/>
      <c r="L106" s="240"/>
      <c r="M106" s="248"/>
      <c r="N106" s="243"/>
      <c r="O106" s="248"/>
      <c r="P106" s="249"/>
      <c r="Q106" s="250"/>
      <c r="R106" s="250">
        <f>R74+R80</f>
        <v>515.971</v>
      </c>
      <c r="S106" s="250">
        <f>S74+S80</f>
        <v>722.97000000000025</v>
      </c>
      <c r="T106" s="250">
        <f>T74+T80</f>
        <v>21601</v>
      </c>
      <c r="U106" s="250">
        <f>U74+U80</f>
        <v>42.21187818528594</v>
      </c>
      <c r="V106" s="250"/>
      <c r="W106" s="250"/>
      <c r="X106" s="250"/>
      <c r="Y106" s="250">
        <f>Y74+Y80+Y85</f>
        <v>505.65158000000002</v>
      </c>
      <c r="Z106" s="250">
        <f>Z74+Z80+Z85</f>
        <v>708.51060000000007</v>
      </c>
      <c r="AA106" s="250">
        <f>AA74+AA80</f>
        <v>21168.979999999989</v>
      </c>
      <c r="AB106" s="250">
        <f>AB74+AB80</f>
        <v>42.211878185285912</v>
      </c>
      <c r="AC106" s="250"/>
      <c r="AD106" s="250"/>
      <c r="AE106" s="251">
        <f>AE74+AE80+AE85</f>
        <v>14663.895819999998</v>
      </c>
      <c r="AF106" s="252"/>
    </row>
    <row r="107" spans="1:32" s="178" customFormat="1" ht="15.95" customHeight="1" x14ac:dyDescent="0.2">
      <c r="B107" s="253"/>
      <c r="C107" s="253"/>
      <c r="D107" s="253"/>
      <c r="E107" s="253"/>
      <c r="F107" s="254"/>
      <c r="G107" s="255"/>
      <c r="H107" s="256"/>
      <c r="I107" s="256"/>
      <c r="J107" s="254"/>
      <c r="K107" s="254"/>
      <c r="L107" s="254"/>
      <c r="M107" s="254"/>
      <c r="N107" s="254"/>
      <c r="O107" s="254"/>
      <c r="P107" s="257"/>
      <c r="Q107" s="258"/>
      <c r="R107" s="254"/>
      <c r="S107" s="254"/>
      <c r="T107" s="254"/>
      <c r="U107" s="259"/>
      <c r="V107" s="255"/>
      <c r="W107" s="255"/>
      <c r="X107" s="255"/>
      <c r="Y107" s="254"/>
      <c r="Z107" s="254"/>
      <c r="AA107" s="254"/>
      <c r="AB107" s="260"/>
      <c r="AC107" s="255"/>
      <c r="AD107" s="254"/>
      <c r="AE107" s="254"/>
      <c r="AF107" s="256"/>
    </row>
    <row r="108" spans="1:32" s="178" customFormat="1" ht="15.95" customHeight="1" x14ac:dyDescent="0.2">
      <c r="B108" s="211" t="s">
        <v>101</v>
      </c>
      <c r="C108" s="173"/>
      <c r="D108" s="211"/>
      <c r="E108" s="261">
        <v>0.95</v>
      </c>
      <c r="F108" s="211"/>
      <c r="G108" s="211" t="s">
        <v>102</v>
      </c>
      <c r="H108" s="139"/>
      <c r="I108" s="262"/>
      <c r="J108" s="211"/>
      <c r="K108" s="1846">
        <f>AE106*E108</f>
        <v>13930.701028999998</v>
      </c>
      <c r="L108" s="1847"/>
      <c r="M108" s="1848"/>
      <c r="N108" s="191" t="s">
        <v>27</v>
      </c>
      <c r="O108" s="254"/>
      <c r="P108" s="257"/>
      <c r="Q108" s="258"/>
      <c r="R108" s="254"/>
      <c r="S108" s="254"/>
      <c r="T108" s="254"/>
      <c r="U108" s="259"/>
      <c r="V108" s="255"/>
      <c r="W108" s="255"/>
      <c r="X108" s="255"/>
      <c r="Y108" s="254"/>
      <c r="Z108" s="254"/>
      <c r="AA108" s="254"/>
      <c r="AB108" s="260"/>
      <c r="AC108" s="255"/>
      <c r="AD108" s="254"/>
      <c r="AE108" s="254"/>
      <c r="AF108" s="256"/>
    </row>
    <row r="109" spans="1:32" x14ac:dyDescent="0.2">
      <c r="B109" s="211"/>
      <c r="C109" s="173"/>
      <c r="D109" s="211"/>
      <c r="E109" s="261"/>
      <c r="F109" s="211"/>
      <c r="G109" s="173"/>
      <c r="I109" s="262"/>
      <c r="J109" s="211"/>
      <c r="K109" s="191"/>
      <c r="L109" s="263"/>
      <c r="M109" s="211"/>
      <c r="N109" s="211"/>
      <c r="O109" s="211"/>
      <c r="P109" s="264"/>
      <c r="Q109" s="265"/>
      <c r="R109" s="211"/>
      <c r="S109" s="211"/>
      <c r="T109" s="211"/>
      <c r="U109" s="211"/>
      <c r="V109" s="211"/>
      <c r="W109" s="211"/>
      <c r="X109" s="211"/>
      <c r="Y109" s="211"/>
      <c r="Z109" s="211"/>
      <c r="AA109" s="211"/>
      <c r="AB109" s="211"/>
      <c r="AC109" s="211"/>
      <c r="AD109" s="211"/>
      <c r="AE109" s="211"/>
      <c r="AF109" s="266"/>
    </row>
    <row r="110" spans="1:32" x14ac:dyDescent="0.2">
      <c r="B110" s="211"/>
      <c r="C110" s="211"/>
      <c r="D110" s="211"/>
      <c r="E110" s="267" t="s">
        <v>214</v>
      </c>
      <c r="F110" s="1841" t="s">
        <v>268</v>
      </c>
      <c r="G110" s="1841"/>
      <c r="H110" s="1841"/>
      <c r="I110" s="211"/>
      <c r="J110" s="211"/>
      <c r="K110" s="173"/>
      <c r="L110" s="173"/>
      <c r="M110" s="211"/>
      <c r="N110" s="211"/>
      <c r="O110" s="211"/>
      <c r="P110" s="211"/>
      <c r="Q110" s="211"/>
      <c r="R110" s="211"/>
      <c r="S110" s="211"/>
      <c r="T110" s="211"/>
      <c r="U110" s="211"/>
      <c r="V110" s="211"/>
      <c r="W110" s="211"/>
      <c r="X110" s="1842" t="s">
        <v>99</v>
      </c>
      <c r="Y110" s="1824"/>
      <c r="Z110" s="1824"/>
      <c r="AA110" s="1824"/>
      <c r="AB110" s="211" t="s">
        <v>216</v>
      </c>
      <c r="AC110" s="211"/>
      <c r="AD110" s="211"/>
      <c r="AE110" s="211"/>
      <c r="AF110" s="211"/>
    </row>
    <row r="111" spans="1:32" x14ac:dyDescent="0.2">
      <c r="B111" s="211"/>
      <c r="C111" s="211"/>
      <c r="D111" s="211"/>
      <c r="E111" s="211"/>
      <c r="F111" s="211"/>
      <c r="G111" s="211"/>
      <c r="H111" s="138"/>
      <c r="I111" s="211"/>
      <c r="J111" s="211"/>
      <c r="K111" s="173"/>
      <c r="L111" s="173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</row>
    <row r="112" spans="1:32" x14ac:dyDescent="0.2">
      <c r="B112" s="211"/>
      <c r="C112" s="211"/>
      <c r="D112" s="211"/>
      <c r="E112" s="211"/>
      <c r="F112" s="211"/>
      <c r="G112" s="211"/>
      <c r="H112" s="138"/>
      <c r="I112" s="211"/>
      <c r="J112" s="211"/>
      <c r="K112" s="173"/>
      <c r="L112" s="173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</row>
    <row r="114" spans="2:32" s="211" customFormat="1" ht="15.95" customHeight="1" x14ac:dyDescent="0.2">
      <c r="B114" s="139"/>
      <c r="C114" s="139"/>
      <c r="D114" s="138"/>
      <c r="E114" s="138"/>
      <c r="F114" s="138"/>
      <c r="G114" s="139"/>
      <c r="H114" s="139"/>
      <c r="I114" s="138"/>
      <c r="J114" s="138"/>
      <c r="K114" s="139"/>
      <c r="L114" s="139"/>
      <c r="M114" s="138"/>
      <c r="N114" s="138"/>
      <c r="O114" s="138"/>
      <c r="P114" s="149"/>
      <c r="Q114" s="150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40"/>
    </row>
    <row r="115" spans="2:32" s="211" customFormat="1" ht="15" customHeight="1" x14ac:dyDescent="0.2">
      <c r="B115" s="139"/>
      <c r="C115" s="139"/>
      <c r="D115" s="138"/>
      <c r="E115" s="138"/>
      <c r="F115" s="138"/>
      <c r="G115" s="139"/>
      <c r="H115" s="139"/>
      <c r="I115" s="138"/>
      <c r="J115" s="138"/>
      <c r="K115" s="139"/>
      <c r="L115" s="139"/>
      <c r="M115" s="138"/>
      <c r="N115" s="138"/>
      <c r="O115" s="138"/>
      <c r="P115" s="149"/>
      <c r="Q115" s="150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40"/>
    </row>
    <row r="116" spans="2:32" s="211" customFormat="1" ht="15" customHeight="1" x14ac:dyDescent="0.2">
      <c r="B116" s="139"/>
      <c r="C116" s="139"/>
      <c r="D116" s="138"/>
      <c r="E116" s="138"/>
      <c r="F116" s="138"/>
      <c r="G116" s="139"/>
      <c r="H116" s="139"/>
      <c r="I116" s="138"/>
      <c r="J116" s="138"/>
      <c r="K116" s="139"/>
      <c r="L116" s="139"/>
      <c r="M116" s="138"/>
      <c r="N116" s="138"/>
      <c r="O116" s="138"/>
      <c r="P116" s="149"/>
      <c r="Q116" s="150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40"/>
    </row>
    <row r="117" spans="2:32" s="211" customFormat="1" ht="15" customHeight="1" x14ac:dyDescent="0.2">
      <c r="B117" s="173"/>
      <c r="C117" s="173"/>
      <c r="G117" s="173"/>
      <c r="H117" s="139"/>
      <c r="K117" s="173"/>
      <c r="L117" s="173"/>
      <c r="P117" s="264"/>
      <c r="Q117" s="265"/>
      <c r="AF117" s="268"/>
    </row>
    <row r="118" spans="2:32" s="211" customFormat="1" ht="15" customHeight="1" x14ac:dyDescent="0.2">
      <c r="B118" s="173"/>
      <c r="C118" s="173"/>
      <c r="G118" s="173"/>
      <c r="H118" s="139"/>
      <c r="K118" s="173"/>
      <c r="L118" s="173"/>
      <c r="P118" s="264"/>
      <c r="Q118" s="265"/>
      <c r="AF118" s="269"/>
    </row>
    <row r="119" spans="2:32" x14ac:dyDescent="0.2">
      <c r="B119" s="173"/>
      <c r="C119" s="173"/>
      <c r="D119" s="211"/>
      <c r="E119" s="211"/>
      <c r="F119" s="211"/>
      <c r="G119" s="173"/>
      <c r="I119" s="211"/>
      <c r="J119" s="211"/>
      <c r="K119" s="173"/>
      <c r="L119" s="173"/>
      <c r="M119" s="211"/>
      <c r="N119" s="211"/>
      <c r="O119" s="211"/>
      <c r="P119" s="264"/>
      <c r="Q119" s="265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69"/>
    </row>
    <row r="120" spans="2:32" x14ac:dyDescent="0.2">
      <c r="B120" s="173"/>
      <c r="C120" s="173"/>
      <c r="D120" s="211"/>
      <c r="E120" s="211"/>
      <c r="F120" s="211"/>
      <c r="G120" s="173"/>
      <c r="I120" s="211"/>
      <c r="J120" s="211"/>
      <c r="K120" s="173"/>
      <c r="L120" s="173"/>
      <c r="M120" s="211"/>
      <c r="N120" s="211"/>
      <c r="O120" s="211"/>
      <c r="P120" s="264"/>
      <c r="Q120" s="265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69"/>
    </row>
    <row r="121" spans="2:32" x14ac:dyDescent="0.2">
      <c r="B121" s="173"/>
      <c r="C121" s="173"/>
      <c r="D121" s="211"/>
      <c r="E121" s="211"/>
      <c r="F121" s="211"/>
      <c r="G121" s="173"/>
      <c r="I121" s="211"/>
      <c r="J121" s="211"/>
      <c r="K121" s="173"/>
      <c r="L121" s="173"/>
      <c r="M121" s="211"/>
      <c r="N121" s="211"/>
      <c r="O121" s="211"/>
      <c r="P121" s="264"/>
      <c r="Q121" s="265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69"/>
    </row>
  </sheetData>
  <mergeCells count="40">
    <mergeCell ref="F110:H110"/>
    <mergeCell ref="X110:AA110"/>
    <mergeCell ref="B85:E85"/>
    <mergeCell ref="B86:F86"/>
    <mergeCell ref="B91:F91"/>
    <mergeCell ref="B101:F101"/>
    <mergeCell ref="B106:E106"/>
    <mergeCell ref="K108:M108"/>
    <mergeCell ref="AF12:AF13"/>
    <mergeCell ref="B74:E74"/>
    <mergeCell ref="B75:F75"/>
    <mergeCell ref="B80:E80"/>
    <mergeCell ref="Y12:AA12"/>
    <mergeCell ref="AB12:AB13"/>
    <mergeCell ref="B81:F81"/>
    <mergeCell ref="U12:U13"/>
    <mergeCell ref="V12:V13"/>
    <mergeCell ref="W12:W13"/>
    <mergeCell ref="X12:X13"/>
    <mergeCell ref="F11:F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AC12:AC13"/>
    <mergeCell ref="I1:X1"/>
    <mergeCell ref="J2:W2"/>
    <mergeCell ref="A3:D3"/>
    <mergeCell ref="A7:E7"/>
    <mergeCell ref="A8:E8"/>
    <mergeCell ref="A11:A13"/>
    <mergeCell ref="B11:B13"/>
    <mergeCell ref="C11:C13"/>
    <mergeCell ref="D11:D12"/>
    <mergeCell ref="E11:E12"/>
  </mergeCells>
  <pageMargins left="0.25" right="0.25" top="0.75" bottom="0.75" header="0.3" footer="0.3"/>
  <pageSetup paperSize="8" scale="35" orientation="landscape" r:id="rId1"/>
  <rowBreaks count="1" manualBreakCount="1">
    <brk id="74" max="31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C121"/>
  <sheetViews>
    <sheetView zoomScale="70" zoomScaleNormal="70" zoomScaleSheetLayoutView="90" workbookViewId="0">
      <pane xSplit="3" ySplit="13" topLeftCell="W14" activePane="bottomRight" state="frozen"/>
      <selection pane="topRight" activeCell="D1" sqref="D1"/>
      <selection pane="bottomLeft" activeCell="A14" sqref="A14"/>
      <selection pane="bottomRight" activeCell="AF42" sqref="AF42"/>
    </sheetView>
  </sheetViews>
  <sheetFormatPr defaultColWidth="8.85546875" defaultRowHeight="15" x14ac:dyDescent="0.2"/>
  <cols>
    <col min="1" max="1" width="8.85546875" style="3"/>
    <col min="2" max="2" width="10.140625" style="2" customWidth="1"/>
    <col min="3" max="3" width="15.5703125" style="2" customWidth="1"/>
    <col min="4" max="4" width="7.85546875" style="3" customWidth="1"/>
    <col min="5" max="5" width="76.28515625" style="3" customWidth="1"/>
    <col min="6" max="6" width="8.42578125" style="3" customWidth="1"/>
    <col min="7" max="7" width="6.28515625" style="2" customWidth="1"/>
    <col min="8" max="8" width="10.42578125" style="2" bestFit="1" customWidth="1"/>
    <col min="9" max="9" width="12.5703125" style="3" customWidth="1"/>
    <col min="10" max="10" width="9.140625" style="3" customWidth="1"/>
    <col min="11" max="11" width="6.7109375" style="2" customWidth="1"/>
    <col min="12" max="12" width="7.28515625" style="2" customWidth="1"/>
    <col min="13" max="13" width="5.7109375" style="3" customWidth="1"/>
    <col min="14" max="14" width="7.42578125" style="3" customWidth="1"/>
    <col min="15" max="15" width="6" style="3" customWidth="1"/>
    <col min="16" max="16" width="6.85546875" style="38" bestFit="1" customWidth="1"/>
    <col min="17" max="17" width="9.42578125" style="6" customWidth="1"/>
    <col min="18" max="18" width="8.85546875" style="3" customWidth="1"/>
    <col min="19" max="19" width="8.7109375" style="3" customWidth="1"/>
    <col min="20" max="20" width="11" style="3" customWidth="1"/>
    <col min="21" max="21" width="9.85546875" style="3" customWidth="1"/>
    <col min="22" max="22" width="11.28515625" style="3" customWidth="1"/>
    <col min="23" max="23" width="8" style="3" bestFit="1" customWidth="1"/>
    <col min="24" max="24" width="10.85546875" style="3" customWidth="1"/>
    <col min="25" max="25" width="8.7109375" style="3" customWidth="1"/>
    <col min="26" max="26" width="10.85546875" style="3" bestFit="1" customWidth="1"/>
    <col min="27" max="27" width="12.85546875" style="3" customWidth="1"/>
    <col min="28" max="28" width="11.5703125" style="3" customWidth="1"/>
    <col min="29" max="29" width="9.42578125" style="3" bestFit="1" customWidth="1"/>
    <col min="30" max="30" width="6" style="3" customWidth="1"/>
    <col min="31" max="31" width="11.28515625" style="3" customWidth="1"/>
    <col min="32" max="32" width="60.28515625" style="4" customWidth="1"/>
    <col min="33" max="16384" width="8.85546875" style="3"/>
  </cols>
  <sheetData>
    <row r="1" spans="1:35" x14ac:dyDescent="0.2">
      <c r="I1" s="1851" t="s">
        <v>65</v>
      </c>
      <c r="J1" s="1852"/>
      <c r="K1" s="1852"/>
      <c r="L1" s="1852"/>
      <c r="M1" s="1852"/>
      <c r="N1" s="1852"/>
      <c r="O1" s="1852"/>
      <c r="P1" s="1852"/>
      <c r="Q1" s="1852"/>
      <c r="R1" s="1852"/>
      <c r="S1" s="1852"/>
      <c r="T1" s="1852"/>
      <c r="U1" s="1852"/>
      <c r="V1" s="1852"/>
      <c r="W1" s="1852"/>
      <c r="X1" s="1852"/>
    </row>
    <row r="2" spans="1:35" x14ac:dyDescent="0.2">
      <c r="J2" s="1849" t="s">
        <v>263</v>
      </c>
      <c r="K2" s="1850"/>
      <c r="L2" s="1850"/>
      <c r="M2" s="1850"/>
      <c r="N2" s="1850"/>
      <c r="O2" s="1850"/>
      <c r="P2" s="1850"/>
      <c r="Q2" s="1850"/>
      <c r="R2" s="1850"/>
      <c r="S2" s="1850"/>
      <c r="T2" s="1850"/>
      <c r="U2" s="1850"/>
      <c r="V2" s="1850"/>
      <c r="W2" s="1850"/>
    </row>
    <row r="3" spans="1:35" ht="24" customHeight="1" x14ac:dyDescent="0.2">
      <c r="A3" s="1871" t="s">
        <v>54</v>
      </c>
      <c r="B3" s="1871"/>
      <c r="C3" s="1871"/>
      <c r="D3" s="1871"/>
      <c r="H3" s="51"/>
      <c r="I3" s="51"/>
      <c r="J3" s="51"/>
      <c r="K3" s="51"/>
      <c r="L3" s="51"/>
      <c r="M3" s="51"/>
      <c r="N3" s="51"/>
      <c r="O3" s="51"/>
      <c r="P3" s="51"/>
      <c r="Q3" s="51"/>
      <c r="R3" s="52"/>
      <c r="S3" s="52"/>
      <c r="T3" s="52"/>
      <c r="U3" s="52"/>
      <c r="V3" s="52"/>
      <c r="W3" s="52"/>
      <c r="X3" s="52"/>
      <c r="Y3" s="52"/>
      <c r="AC3" s="20"/>
      <c r="AD3" s="20"/>
      <c r="AE3" s="20"/>
      <c r="AF3" s="53" t="s">
        <v>55</v>
      </c>
    </row>
    <row r="4" spans="1:35" ht="24" customHeight="1" x14ac:dyDescent="0.2">
      <c r="A4" s="54" t="s">
        <v>270</v>
      </c>
      <c r="B4" s="54"/>
      <c r="C4" s="54"/>
      <c r="D4" s="54"/>
      <c r="E4" s="54"/>
      <c r="I4" s="51"/>
      <c r="J4" s="51"/>
      <c r="K4" s="51"/>
      <c r="L4" s="51"/>
      <c r="M4" s="51"/>
      <c r="N4" s="51"/>
      <c r="O4" s="51"/>
      <c r="P4" s="51"/>
      <c r="Q4" s="51"/>
      <c r="R4" s="55"/>
      <c r="S4" s="55"/>
      <c r="T4" s="55"/>
      <c r="U4" s="55"/>
      <c r="V4" s="55"/>
      <c r="W4" s="55"/>
      <c r="AC4" s="20"/>
      <c r="AD4" s="20"/>
      <c r="AE4" s="20"/>
      <c r="AF4" s="39" t="s">
        <v>262</v>
      </c>
    </row>
    <row r="5" spans="1:35" ht="24" customHeight="1" x14ac:dyDescent="0.2">
      <c r="A5" s="54" t="s">
        <v>228</v>
      </c>
      <c r="B5" s="5"/>
      <c r="C5" s="5"/>
      <c r="D5" s="5"/>
      <c r="AC5" s="20"/>
      <c r="AD5" s="20"/>
      <c r="AE5" s="20"/>
      <c r="AF5" s="56" t="s">
        <v>229</v>
      </c>
    </row>
    <row r="6" spans="1:35" ht="24" customHeight="1" x14ac:dyDescent="0.2">
      <c r="B6" s="54"/>
      <c r="C6" s="54"/>
      <c r="D6" s="54"/>
      <c r="I6" s="4"/>
      <c r="W6" s="39"/>
      <c r="Y6" s="5"/>
      <c r="Z6" s="5"/>
      <c r="AA6" s="5"/>
      <c r="AB6" s="5"/>
      <c r="AC6" s="21"/>
      <c r="AD6" s="21"/>
      <c r="AE6" s="21"/>
      <c r="AF6" s="57"/>
      <c r="AG6" s="2"/>
      <c r="AH6" s="2"/>
      <c r="AI6" s="2"/>
    </row>
    <row r="7" spans="1:35" ht="24" customHeight="1" x14ac:dyDescent="0.2">
      <c r="A7" s="1872" t="s">
        <v>261</v>
      </c>
      <c r="B7" s="1872"/>
      <c r="C7" s="1872"/>
      <c r="D7" s="1872"/>
      <c r="E7" s="1872"/>
      <c r="I7" s="4"/>
      <c r="W7" s="39"/>
      <c r="Y7" s="5"/>
      <c r="Z7" s="5"/>
      <c r="AA7" s="5"/>
      <c r="AB7" s="5"/>
      <c r="AC7" s="21"/>
      <c r="AD7" s="21"/>
      <c r="AE7" s="21"/>
      <c r="AF7" s="39"/>
      <c r="AG7" s="2"/>
      <c r="AH7" s="2"/>
      <c r="AI7" s="2"/>
    </row>
    <row r="8" spans="1:35" ht="24" customHeight="1" x14ac:dyDescent="0.2">
      <c r="A8" s="1872" t="s">
        <v>228</v>
      </c>
      <c r="B8" s="1872"/>
      <c r="C8" s="1872"/>
      <c r="D8" s="1872"/>
      <c r="E8" s="1872"/>
      <c r="I8" s="4"/>
      <c r="W8" s="39"/>
      <c r="Y8" s="5"/>
      <c r="Z8" s="5"/>
      <c r="AA8" s="5"/>
      <c r="AB8" s="5"/>
      <c r="AC8" s="21"/>
      <c r="AD8" s="21"/>
      <c r="AE8" s="21"/>
      <c r="AF8" s="56"/>
      <c r="AG8" s="2"/>
      <c r="AH8" s="2"/>
      <c r="AI8" s="2"/>
    </row>
    <row r="9" spans="1:35" ht="24" customHeight="1" x14ac:dyDescent="0.2">
      <c r="B9" s="58"/>
      <c r="C9" s="58"/>
      <c r="D9" s="58"/>
      <c r="E9" s="58"/>
      <c r="M9" s="2"/>
      <c r="N9" s="2"/>
      <c r="O9" s="2"/>
      <c r="P9" s="2"/>
      <c r="Q9" s="2"/>
      <c r="R9" s="2"/>
      <c r="S9" s="2"/>
      <c r="T9" s="2"/>
      <c r="U9" s="2"/>
      <c r="V9" s="2"/>
      <c r="Y9" s="5"/>
      <c r="Z9" s="5"/>
      <c r="AA9" s="5"/>
      <c r="AB9" s="5"/>
      <c r="AC9" s="21"/>
      <c r="AD9" s="21"/>
      <c r="AE9" s="21"/>
      <c r="AF9" s="57"/>
      <c r="AG9" s="2"/>
      <c r="AH9" s="2"/>
      <c r="AI9" s="2"/>
    </row>
    <row r="10" spans="1:35" ht="24" customHeight="1" x14ac:dyDescent="0.2">
      <c r="D10" s="2"/>
      <c r="I10" s="4"/>
      <c r="W10" s="39"/>
      <c r="Y10" s="5"/>
      <c r="Z10" s="5"/>
      <c r="AA10" s="5"/>
      <c r="AB10" s="5"/>
      <c r="AC10" s="21"/>
      <c r="AD10" s="21"/>
      <c r="AE10" s="21"/>
      <c r="AF10" s="23"/>
      <c r="AG10" s="2"/>
      <c r="AH10" s="2"/>
      <c r="AI10" s="2"/>
    </row>
    <row r="11" spans="1:35" ht="15.75" customHeight="1" x14ac:dyDescent="0.2">
      <c r="A11" s="1855" t="s">
        <v>1</v>
      </c>
      <c r="B11" s="1855" t="s">
        <v>2</v>
      </c>
      <c r="C11" s="1853" t="s">
        <v>8</v>
      </c>
      <c r="D11" s="1853" t="s">
        <v>33</v>
      </c>
      <c r="E11" s="1855" t="s">
        <v>0</v>
      </c>
      <c r="F11" s="1853" t="s">
        <v>34</v>
      </c>
      <c r="G11" s="1853" t="s">
        <v>5</v>
      </c>
      <c r="H11" s="1857" t="s">
        <v>23</v>
      </c>
      <c r="I11" s="1857"/>
      <c r="J11" s="1857"/>
      <c r="K11" s="1857"/>
      <c r="L11" s="1857"/>
      <c r="M11" s="1857"/>
      <c r="N11" s="1857"/>
      <c r="O11" s="1857"/>
      <c r="P11" s="1857"/>
      <c r="Q11" s="1857"/>
      <c r="R11" s="1857"/>
      <c r="S11" s="1857"/>
      <c r="T11" s="1857"/>
      <c r="U11" s="1857"/>
      <c r="V11" s="1857"/>
      <c r="W11" s="1857"/>
      <c r="X11" s="1857" t="s">
        <v>22</v>
      </c>
      <c r="Y11" s="1857"/>
      <c r="Z11" s="1857"/>
      <c r="AA11" s="1857"/>
      <c r="AB11" s="1857"/>
      <c r="AC11" s="1857"/>
      <c r="AD11" s="1857"/>
      <c r="AE11" s="1857"/>
      <c r="AF11" s="1857"/>
    </row>
    <row r="12" spans="1:35" s="2" customFormat="1" ht="90" customHeight="1" x14ac:dyDescent="0.2">
      <c r="A12" s="1855"/>
      <c r="B12" s="1855"/>
      <c r="C12" s="1853"/>
      <c r="D12" s="1853"/>
      <c r="E12" s="1855"/>
      <c r="F12" s="1853"/>
      <c r="G12" s="1853"/>
      <c r="H12" s="1853" t="s">
        <v>66</v>
      </c>
      <c r="I12" s="1855" t="s">
        <v>35</v>
      </c>
      <c r="J12" s="59" t="s">
        <v>6</v>
      </c>
      <c r="K12" s="1855" t="s">
        <v>9</v>
      </c>
      <c r="L12" s="1855"/>
      <c r="M12" s="1855" t="s">
        <v>10</v>
      </c>
      <c r="N12" s="1855"/>
      <c r="O12" s="1855" t="s">
        <v>11</v>
      </c>
      <c r="P12" s="1855"/>
      <c r="Q12" s="60" t="s">
        <v>67</v>
      </c>
      <c r="R12" s="1855" t="s">
        <v>15</v>
      </c>
      <c r="S12" s="1856"/>
      <c r="T12" s="1856"/>
      <c r="U12" s="1853" t="s">
        <v>100</v>
      </c>
      <c r="V12" s="1858" t="s">
        <v>16</v>
      </c>
      <c r="W12" s="1853" t="s">
        <v>17</v>
      </c>
      <c r="X12" s="1853" t="s">
        <v>24</v>
      </c>
      <c r="Y12" s="1855" t="s">
        <v>15</v>
      </c>
      <c r="Z12" s="1867"/>
      <c r="AA12" s="1867"/>
      <c r="AB12" s="1853" t="s">
        <v>100</v>
      </c>
      <c r="AC12" s="1853" t="s">
        <v>16</v>
      </c>
      <c r="AD12" s="59" t="s">
        <v>18</v>
      </c>
      <c r="AE12" s="59" t="s">
        <v>20</v>
      </c>
      <c r="AF12" s="1855" t="s">
        <v>21</v>
      </c>
    </row>
    <row r="13" spans="1:35" s="1" customFormat="1" ht="30" customHeight="1" x14ac:dyDescent="0.2">
      <c r="A13" s="1855"/>
      <c r="B13" s="1855"/>
      <c r="C13" s="1853"/>
      <c r="D13" s="61" t="s">
        <v>3</v>
      </c>
      <c r="E13" s="61" t="s">
        <v>3</v>
      </c>
      <c r="F13" s="61" t="s">
        <v>4</v>
      </c>
      <c r="G13" s="1853"/>
      <c r="H13" s="1853"/>
      <c r="I13" s="1855"/>
      <c r="J13" s="61" t="s">
        <v>7</v>
      </c>
      <c r="K13" s="61" t="s">
        <v>30</v>
      </c>
      <c r="L13" s="62" t="s">
        <v>29</v>
      </c>
      <c r="M13" s="62" t="s">
        <v>31</v>
      </c>
      <c r="N13" s="62" t="s">
        <v>32</v>
      </c>
      <c r="O13" s="61" t="s">
        <v>12</v>
      </c>
      <c r="P13" s="63" t="s">
        <v>13</v>
      </c>
      <c r="Q13" s="64" t="s">
        <v>26</v>
      </c>
      <c r="R13" s="61" t="s">
        <v>14</v>
      </c>
      <c r="S13" s="62" t="s">
        <v>25</v>
      </c>
      <c r="T13" s="62" t="s">
        <v>113</v>
      </c>
      <c r="U13" s="1854"/>
      <c r="V13" s="1858"/>
      <c r="W13" s="1853"/>
      <c r="X13" s="1853"/>
      <c r="Y13" s="61" t="s">
        <v>14</v>
      </c>
      <c r="Z13" s="61" t="s">
        <v>25</v>
      </c>
      <c r="AA13" s="61" t="s">
        <v>113</v>
      </c>
      <c r="AB13" s="1859"/>
      <c r="AC13" s="1853"/>
      <c r="AD13" s="61" t="s">
        <v>19</v>
      </c>
      <c r="AE13" s="61" t="s">
        <v>27</v>
      </c>
      <c r="AF13" s="1855"/>
    </row>
    <row r="14" spans="1:35" s="8" customFormat="1" ht="15.75" customHeight="1" x14ac:dyDescent="0.2">
      <c r="A14" s="65">
        <v>1</v>
      </c>
      <c r="B14" s="66" t="s">
        <v>139</v>
      </c>
      <c r="C14" s="65" t="s">
        <v>46</v>
      </c>
      <c r="D14" s="65">
        <v>610.5</v>
      </c>
      <c r="E14" s="65" t="s">
        <v>203</v>
      </c>
      <c r="F14" s="65">
        <v>177.8</v>
      </c>
      <c r="G14" s="65" t="s">
        <v>28</v>
      </c>
      <c r="H14" s="67" t="s">
        <v>52</v>
      </c>
      <c r="I14" s="61">
        <v>558.05999999999995</v>
      </c>
      <c r="J14" s="68">
        <v>150</v>
      </c>
      <c r="K14" s="68"/>
      <c r="L14" s="68">
        <v>313</v>
      </c>
      <c r="M14" s="68"/>
      <c r="N14" s="65">
        <v>6.7</v>
      </c>
      <c r="O14" s="68"/>
      <c r="P14" s="69">
        <v>30.4</v>
      </c>
      <c r="Q14" s="70">
        <f t="shared" ref="Q14:Q37" si="0">LEFT(H14,(FIND("K",H14,1)-1))*J14/100</f>
        <v>33</v>
      </c>
      <c r="R14" s="71">
        <v>2</v>
      </c>
      <c r="S14" s="70">
        <v>6.3</v>
      </c>
      <c r="T14" s="70">
        <v>0</v>
      </c>
      <c r="U14" s="70">
        <f>T14/R14</f>
        <v>0</v>
      </c>
      <c r="V14" s="71">
        <f>(S14-R14)/S14*100</f>
        <v>68.253968253968253</v>
      </c>
      <c r="W14" s="72">
        <v>0.3</v>
      </c>
      <c r="X14" s="73">
        <f t="shared" ref="X14:X37" si="1">S14/Q14</f>
        <v>0.19090909090909092</v>
      </c>
      <c r="Y14" s="73">
        <f>R14*0.98</f>
        <v>1.96</v>
      </c>
      <c r="Z14" s="73">
        <f>S14*0.98</f>
        <v>6.1739999999999995</v>
      </c>
      <c r="AA14" s="73">
        <f>T14*0.98</f>
        <v>0</v>
      </c>
      <c r="AB14" s="73">
        <f>U14</f>
        <v>0</v>
      </c>
      <c r="AC14" s="73">
        <f t="shared" ref="AC14:AC73" si="2">V14</f>
        <v>68.253968253968253</v>
      </c>
      <c r="AD14" s="65">
        <v>31</v>
      </c>
      <c r="AE14" s="73">
        <f>Y14*AD14</f>
        <v>60.76</v>
      </c>
      <c r="AF14" s="74"/>
    </row>
    <row r="15" spans="1:35" s="8" customFormat="1" ht="15.95" customHeight="1" x14ac:dyDescent="0.2">
      <c r="A15" s="65">
        <v>2</v>
      </c>
      <c r="B15" s="66" t="s">
        <v>140</v>
      </c>
      <c r="C15" s="65" t="s">
        <v>46</v>
      </c>
      <c r="D15" s="65">
        <v>585</v>
      </c>
      <c r="E15" s="68" t="s">
        <v>201</v>
      </c>
      <c r="F15" s="65">
        <v>177.8</v>
      </c>
      <c r="G15" s="65" t="s">
        <v>28</v>
      </c>
      <c r="H15" s="67" t="s">
        <v>53</v>
      </c>
      <c r="I15" s="61">
        <v>565.55999999999995</v>
      </c>
      <c r="J15" s="65"/>
      <c r="K15" s="65">
        <v>307</v>
      </c>
      <c r="L15" s="68"/>
      <c r="M15" s="68">
        <v>0.3</v>
      </c>
      <c r="N15" s="65"/>
      <c r="O15" s="68"/>
      <c r="P15" s="69"/>
      <c r="Q15" s="70">
        <v>0</v>
      </c>
      <c r="R15" s="70"/>
      <c r="S15" s="70">
        <v>0</v>
      </c>
      <c r="T15" s="70"/>
      <c r="U15" s="70">
        <v>0</v>
      </c>
      <c r="V15" s="70">
        <v>0</v>
      </c>
      <c r="W15" s="70"/>
      <c r="X15" s="70">
        <v>0</v>
      </c>
      <c r="Y15" s="73">
        <f t="shared" ref="Y15:Y73" si="3">R15*0.98</f>
        <v>0</v>
      </c>
      <c r="Z15" s="73">
        <f t="shared" ref="Z15:Z73" si="4">S15*0.98</f>
        <v>0</v>
      </c>
      <c r="AA15" s="73">
        <f t="shared" ref="AA15:AA73" si="5">T15*0.98</f>
        <v>0</v>
      </c>
      <c r="AB15" s="73">
        <f t="shared" ref="AB15:AB29" si="6">U15</f>
        <v>0</v>
      </c>
      <c r="AC15" s="73">
        <f t="shared" si="2"/>
        <v>0</v>
      </c>
      <c r="AD15" s="65">
        <v>0</v>
      </c>
      <c r="AE15" s="73">
        <f t="shared" ref="AE15:AE37" si="7">Y15*AD15</f>
        <v>0</v>
      </c>
      <c r="AF15" s="74" t="s">
        <v>215</v>
      </c>
    </row>
    <row r="16" spans="1:35" s="8" customFormat="1" ht="15.95" customHeight="1" x14ac:dyDescent="0.2">
      <c r="A16" s="65">
        <v>3</v>
      </c>
      <c r="B16" s="66" t="s">
        <v>141</v>
      </c>
      <c r="C16" s="65" t="s">
        <v>46</v>
      </c>
      <c r="D16" s="65">
        <v>670</v>
      </c>
      <c r="E16" s="65" t="s">
        <v>68</v>
      </c>
      <c r="F16" s="65">
        <v>177.8</v>
      </c>
      <c r="G16" s="65" t="s">
        <v>28</v>
      </c>
      <c r="H16" s="67" t="s">
        <v>49</v>
      </c>
      <c r="I16" s="61">
        <v>560.22</v>
      </c>
      <c r="J16" s="65">
        <v>250</v>
      </c>
      <c r="K16" s="65"/>
      <c r="L16" s="68">
        <v>61</v>
      </c>
      <c r="M16" s="68"/>
      <c r="N16" s="83">
        <v>9.1999999999999993</v>
      </c>
      <c r="O16" s="68"/>
      <c r="P16" s="69">
        <v>54.131947489795905</v>
      </c>
      <c r="Q16" s="70">
        <f>LEFT(H16,(FIND("K",H16,1)-1))*J16/100</f>
        <v>80</v>
      </c>
      <c r="R16" s="71">
        <v>26</v>
      </c>
      <c r="S16" s="70">
        <v>32.9</v>
      </c>
      <c r="T16" s="70">
        <v>5247</v>
      </c>
      <c r="U16" s="70">
        <f t="shared" ref="U16:U73" si="8">T16/R16</f>
        <v>201.80769230769232</v>
      </c>
      <c r="V16" s="71">
        <f t="shared" ref="V16:V73" si="9">(S16-R16)/S16*100</f>
        <v>20.972644376899694</v>
      </c>
      <c r="W16" s="72">
        <v>0.2</v>
      </c>
      <c r="X16" s="73">
        <f t="shared" si="1"/>
        <v>0.41125</v>
      </c>
      <c r="Y16" s="73">
        <f t="shared" si="3"/>
        <v>25.48</v>
      </c>
      <c r="Z16" s="73">
        <f t="shared" si="4"/>
        <v>32.241999999999997</v>
      </c>
      <c r="AA16" s="73">
        <f t="shared" si="5"/>
        <v>5142.0599999999995</v>
      </c>
      <c r="AB16" s="73">
        <f t="shared" si="6"/>
        <v>201.80769230769232</v>
      </c>
      <c r="AC16" s="73">
        <f t="shared" si="2"/>
        <v>20.972644376899694</v>
      </c>
      <c r="AD16" s="65">
        <v>31</v>
      </c>
      <c r="AE16" s="73">
        <f>Y16*AD16</f>
        <v>789.88</v>
      </c>
      <c r="AF16" s="74"/>
    </row>
    <row r="17" spans="1:32" s="8" customFormat="1" ht="15.95" customHeight="1" x14ac:dyDescent="0.2">
      <c r="A17" s="65">
        <v>4</v>
      </c>
      <c r="B17" s="66" t="s">
        <v>142</v>
      </c>
      <c r="C17" s="65" t="s">
        <v>46</v>
      </c>
      <c r="D17" s="65">
        <v>628</v>
      </c>
      <c r="E17" s="65" t="s">
        <v>69</v>
      </c>
      <c r="F17" s="65">
        <v>177.8</v>
      </c>
      <c r="G17" s="65" t="s">
        <v>28</v>
      </c>
      <c r="H17" s="67" t="s">
        <v>53</v>
      </c>
      <c r="I17" s="61">
        <v>555.79</v>
      </c>
      <c r="J17" s="65" t="s">
        <v>242</v>
      </c>
      <c r="K17" s="65"/>
      <c r="L17" s="68">
        <v>467</v>
      </c>
      <c r="M17" s="68"/>
      <c r="N17" s="83">
        <v>3.7</v>
      </c>
      <c r="O17" s="68"/>
      <c r="P17" s="69">
        <v>13.130790489795917</v>
      </c>
      <c r="Q17" s="70">
        <f t="shared" si="0"/>
        <v>22.75</v>
      </c>
      <c r="R17" s="71">
        <v>5</v>
      </c>
      <c r="S17" s="70">
        <v>6.3</v>
      </c>
      <c r="T17" s="70">
        <v>30</v>
      </c>
      <c r="U17" s="70">
        <f t="shared" si="8"/>
        <v>6</v>
      </c>
      <c r="V17" s="71">
        <f t="shared" si="9"/>
        <v>20.634920634920633</v>
      </c>
      <c r="W17" s="72">
        <v>0.4</v>
      </c>
      <c r="X17" s="73">
        <f t="shared" si="1"/>
        <v>0.27692307692307694</v>
      </c>
      <c r="Y17" s="73">
        <f t="shared" si="3"/>
        <v>4.9000000000000004</v>
      </c>
      <c r="Z17" s="73">
        <f t="shared" si="4"/>
        <v>6.1739999999999995</v>
      </c>
      <c r="AA17" s="73">
        <f t="shared" si="5"/>
        <v>29.4</v>
      </c>
      <c r="AB17" s="73">
        <f t="shared" si="6"/>
        <v>6</v>
      </c>
      <c r="AC17" s="73">
        <f t="shared" si="2"/>
        <v>20.634920634920633</v>
      </c>
      <c r="AD17" s="65">
        <v>31</v>
      </c>
      <c r="AE17" s="73">
        <f t="shared" si="7"/>
        <v>151.9</v>
      </c>
      <c r="AF17" s="74"/>
    </row>
    <row r="18" spans="1:32" s="8" customFormat="1" ht="15.75" x14ac:dyDescent="0.2">
      <c r="A18" s="65">
        <v>5</v>
      </c>
      <c r="B18" s="66" t="s">
        <v>143</v>
      </c>
      <c r="C18" s="65" t="s">
        <v>46</v>
      </c>
      <c r="D18" s="65">
        <v>576.6</v>
      </c>
      <c r="E18" s="65" t="s">
        <v>70</v>
      </c>
      <c r="F18" s="65">
        <v>177.8</v>
      </c>
      <c r="G18" s="65" t="s">
        <v>28</v>
      </c>
      <c r="H18" s="67" t="s">
        <v>50</v>
      </c>
      <c r="I18" s="61">
        <v>543.75</v>
      </c>
      <c r="J18" s="65" t="s">
        <v>243</v>
      </c>
      <c r="K18" s="65"/>
      <c r="L18" s="68">
        <v>433</v>
      </c>
      <c r="M18" s="68"/>
      <c r="N18" s="65">
        <v>6</v>
      </c>
      <c r="O18" s="68"/>
      <c r="P18" s="69">
        <v>18.428031673469388</v>
      </c>
      <c r="Q18" s="70">
        <f t="shared" si="0"/>
        <v>9</v>
      </c>
      <c r="R18" s="71">
        <v>4</v>
      </c>
      <c r="S18" s="70">
        <v>4.8</v>
      </c>
      <c r="T18" s="70">
        <v>21</v>
      </c>
      <c r="U18" s="70">
        <f t="shared" si="8"/>
        <v>5.25</v>
      </c>
      <c r="V18" s="71">
        <f t="shared" si="9"/>
        <v>16.666666666666664</v>
      </c>
      <c r="W18" s="72">
        <v>0.4</v>
      </c>
      <c r="X18" s="73">
        <f t="shared" si="1"/>
        <v>0.53333333333333333</v>
      </c>
      <c r="Y18" s="73">
        <f t="shared" si="3"/>
        <v>3.92</v>
      </c>
      <c r="Z18" s="73">
        <f t="shared" si="4"/>
        <v>4.7039999999999997</v>
      </c>
      <c r="AA18" s="73">
        <f t="shared" si="5"/>
        <v>20.58</v>
      </c>
      <c r="AB18" s="73">
        <f t="shared" si="6"/>
        <v>5.25</v>
      </c>
      <c r="AC18" s="73">
        <f t="shared" si="2"/>
        <v>16.666666666666664</v>
      </c>
      <c r="AD18" s="65">
        <v>31</v>
      </c>
      <c r="AE18" s="73">
        <f t="shared" si="7"/>
        <v>121.52</v>
      </c>
      <c r="AF18" s="74"/>
    </row>
    <row r="19" spans="1:32" s="8" customFormat="1" ht="15.75" x14ac:dyDescent="0.2">
      <c r="A19" s="65">
        <v>6</v>
      </c>
      <c r="B19" s="66" t="s">
        <v>144</v>
      </c>
      <c r="C19" s="65" t="s">
        <v>46</v>
      </c>
      <c r="D19" s="65">
        <v>676.6</v>
      </c>
      <c r="E19" s="65" t="s">
        <v>71</v>
      </c>
      <c r="F19" s="65">
        <v>177.8</v>
      </c>
      <c r="G19" s="65" t="s">
        <v>28</v>
      </c>
      <c r="H19" s="67" t="s">
        <v>50</v>
      </c>
      <c r="I19" s="61">
        <v>584.32000000000005</v>
      </c>
      <c r="J19" s="65" t="s">
        <v>244</v>
      </c>
      <c r="K19" s="65"/>
      <c r="L19" s="68">
        <v>433</v>
      </c>
      <c r="M19" s="68"/>
      <c r="N19" s="65">
        <v>2.5</v>
      </c>
      <c r="O19" s="68"/>
      <c r="P19" s="69">
        <v>16.473058163265303</v>
      </c>
      <c r="Q19" s="70">
        <f t="shared" si="0"/>
        <v>12</v>
      </c>
      <c r="R19" s="71">
        <v>3</v>
      </c>
      <c r="S19" s="70">
        <v>4.0999999999999996</v>
      </c>
      <c r="T19" s="70">
        <v>0</v>
      </c>
      <c r="U19" s="70">
        <f t="shared" si="8"/>
        <v>0</v>
      </c>
      <c r="V19" s="71">
        <f t="shared" si="9"/>
        <v>26.829268292682922</v>
      </c>
      <c r="W19" s="72">
        <v>0.2</v>
      </c>
      <c r="X19" s="73">
        <f>S19/Q19</f>
        <v>0.34166666666666662</v>
      </c>
      <c r="Y19" s="73">
        <f t="shared" si="3"/>
        <v>2.94</v>
      </c>
      <c r="Z19" s="73">
        <f t="shared" si="4"/>
        <v>4.0179999999999998</v>
      </c>
      <c r="AA19" s="73">
        <f t="shared" si="5"/>
        <v>0</v>
      </c>
      <c r="AB19" s="73">
        <f t="shared" si="6"/>
        <v>0</v>
      </c>
      <c r="AC19" s="73">
        <f t="shared" si="2"/>
        <v>26.829268292682922</v>
      </c>
      <c r="AD19" s="65">
        <v>31</v>
      </c>
      <c r="AE19" s="73">
        <f t="shared" si="7"/>
        <v>91.14</v>
      </c>
      <c r="AF19" s="74"/>
    </row>
    <row r="20" spans="1:32" s="8" customFormat="1" ht="15.75" x14ac:dyDescent="0.2">
      <c r="A20" s="65">
        <v>7</v>
      </c>
      <c r="B20" s="66" t="s">
        <v>145</v>
      </c>
      <c r="C20" s="65" t="s">
        <v>46</v>
      </c>
      <c r="D20" s="65" t="s">
        <v>47</v>
      </c>
      <c r="E20" s="65" t="s">
        <v>72</v>
      </c>
      <c r="F20" s="65">
        <v>177.8</v>
      </c>
      <c r="G20" s="65" t="s">
        <v>28</v>
      </c>
      <c r="H20" s="67" t="s">
        <v>51</v>
      </c>
      <c r="I20" s="61">
        <v>588.04</v>
      </c>
      <c r="J20" s="65" t="s">
        <v>239</v>
      </c>
      <c r="K20" s="65"/>
      <c r="L20" s="68">
        <v>384</v>
      </c>
      <c r="M20" s="68"/>
      <c r="N20" s="65">
        <v>7</v>
      </c>
      <c r="O20" s="68"/>
      <c r="P20" s="69">
        <v>24.80668857142857</v>
      </c>
      <c r="Q20" s="70">
        <f t="shared" si="0"/>
        <v>22</v>
      </c>
      <c r="R20" s="71">
        <v>7</v>
      </c>
      <c r="S20" s="70">
        <v>9</v>
      </c>
      <c r="T20" s="70">
        <v>9</v>
      </c>
      <c r="U20" s="70">
        <f t="shared" si="8"/>
        <v>1.2857142857142858</v>
      </c>
      <c r="V20" s="71">
        <f t="shared" si="9"/>
        <v>22.222222222222221</v>
      </c>
      <c r="W20" s="72">
        <v>0.2</v>
      </c>
      <c r="X20" s="73">
        <f t="shared" si="1"/>
        <v>0.40909090909090912</v>
      </c>
      <c r="Y20" s="73">
        <f t="shared" si="3"/>
        <v>6.8599999999999994</v>
      </c>
      <c r="Z20" s="73">
        <f t="shared" si="4"/>
        <v>8.82</v>
      </c>
      <c r="AA20" s="73">
        <f t="shared" si="5"/>
        <v>8.82</v>
      </c>
      <c r="AB20" s="73">
        <f t="shared" si="6"/>
        <v>1.2857142857142858</v>
      </c>
      <c r="AC20" s="73">
        <f t="shared" si="2"/>
        <v>22.222222222222221</v>
      </c>
      <c r="AD20" s="65">
        <v>31</v>
      </c>
      <c r="AE20" s="73">
        <f t="shared" si="7"/>
        <v>212.65999999999997</v>
      </c>
      <c r="AF20" s="74"/>
    </row>
    <row r="21" spans="1:32" s="12" customFormat="1" ht="15.95" customHeight="1" x14ac:dyDescent="0.2">
      <c r="A21" s="65">
        <v>8</v>
      </c>
      <c r="B21" s="66" t="s">
        <v>146</v>
      </c>
      <c r="C21" s="65" t="s">
        <v>46</v>
      </c>
      <c r="D21" s="65">
        <v>1040</v>
      </c>
      <c r="E21" s="75" t="s">
        <v>73</v>
      </c>
      <c r="F21" s="65">
        <v>177.8</v>
      </c>
      <c r="G21" s="65" t="s">
        <v>28</v>
      </c>
      <c r="H21" s="67" t="s">
        <v>52</v>
      </c>
      <c r="I21" s="76">
        <v>593.1</v>
      </c>
      <c r="J21" s="65" t="s">
        <v>245</v>
      </c>
      <c r="K21" s="77"/>
      <c r="L21" s="68">
        <v>487</v>
      </c>
      <c r="M21" s="78"/>
      <c r="N21" s="65">
        <v>8.6999999999999993</v>
      </c>
      <c r="O21" s="78"/>
      <c r="P21" s="69">
        <v>17.02544236734694</v>
      </c>
      <c r="Q21" s="70">
        <f t="shared" si="0"/>
        <v>39.6</v>
      </c>
      <c r="R21" s="71">
        <v>13</v>
      </c>
      <c r="S21" s="70">
        <v>18.899999999999999</v>
      </c>
      <c r="T21" s="70">
        <v>290</v>
      </c>
      <c r="U21" s="70">
        <f t="shared" si="8"/>
        <v>22.307692307692307</v>
      </c>
      <c r="V21" s="71">
        <f t="shared" si="9"/>
        <v>31.216931216931208</v>
      </c>
      <c r="W21" s="72">
        <v>0.3</v>
      </c>
      <c r="X21" s="73">
        <f t="shared" si="1"/>
        <v>0.47727272727272724</v>
      </c>
      <c r="Y21" s="73">
        <f t="shared" si="3"/>
        <v>12.74</v>
      </c>
      <c r="Z21" s="73">
        <f t="shared" si="4"/>
        <v>18.521999999999998</v>
      </c>
      <c r="AA21" s="73">
        <f t="shared" si="5"/>
        <v>284.2</v>
      </c>
      <c r="AB21" s="73">
        <f t="shared" si="6"/>
        <v>22.307692307692307</v>
      </c>
      <c r="AC21" s="73">
        <f t="shared" si="2"/>
        <v>31.216931216931208</v>
      </c>
      <c r="AD21" s="65">
        <v>31</v>
      </c>
      <c r="AE21" s="73">
        <f t="shared" si="7"/>
        <v>394.94</v>
      </c>
      <c r="AF21" s="79"/>
    </row>
    <row r="22" spans="1:32" s="8" customFormat="1" ht="15.75" x14ac:dyDescent="0.2">
      <c r="A22" s="65">
        <v>9</v>
      </c>
      <c r="B22" s="66" t="s">
        <v>147</v>
      </c>
      <c r="C22" s="65" t="s">
        <v>46</v>
      </c>
      <c r="D22" s="65">
        <v>650.1</v>
      </c>
      <c r="E22" s="65" t="s">
        <v>74</v>
      </c>
      <c r="F22" s="65">
        <v>177.8</v>
      </c>
      <c r="G22" s="65" t="s">
        <v>28</v>
      </c>
      <c r="H22" s="67" t="s">
        <v>52</v>
      </c>
      <c r="I22" s="61">
        <v>591.98</v>
      </c>
      <c r="J22" s="65" t="s">
        <v>239</v>
      </c>
      <c r="K22" s="65"/>
      <c r="L22" s="68">
        <v>479</v>
      </c>
      <c r="M22" s="68"/>
      <c r="N22" s="65">
        <v>7</v>
      </c>
      <c r="O22" s="68"/>
      <c r="P22" s="69">
        <v>15.694770693877551</v>
      </c>
      <c r="Q22" s="70">
        <f t="shared" si="0"/>
        <v>22</v>
      </c>
      <c r="R22" s="71">
        <v>7</v>
      </c>
      <c r="S22" s="70">
        <v>9.5</v>
      </c>
      <c r="T22" s="70">
        <v>20</v>
      </c>
      <c r="U22" s="70">
        <v>0</v>
      </c>
      <c r="V22" s="71">
        <f t="shared" si="9"/>
        <v>26.315789473684209</v>
      </c>
      <c r="W22" s="72">
        <v>0.2</v>
      </c>
      <c r="X22" s="73">
        <v>0</v>
      </c>
      <c r="Y22" s="73">
        <f t="shared" si="3"/>
        <v>6.8599999999999994</v>
      </c>
      <c r="Z22" s="73">
        <f t="shared" si="4"/>
        <v>9.31</v>
      </c>
      <c r="AA22" s="73">
        <f t="shared" si="5"/>
        <v>19.600000000000001</v>
      </c>
      <c r="AB22" s="73">
        <f t="shared" si="6"/>
        <v>0</v>
      </c>
      <c r="AC22" s="73">
        <f t="shared" si="2"/>
        <v>26.315789473684209</v>
      </c>
      <c r="AD22" s="65">
        <v>31</v>
      </c>
      <c r="AE22" s="73">
        <f t="shared" si="7"/>
        <v>212.65999999999997</v>
      </c>
      <c r="AF22" s="74"/>
    </row>
    <row r="23" spans="1:32" s="8" customFormat="1" ht="15.75" x14ac:dyDescent="0.2">
      <c r="A23" s="65">
        <v>10</v>
      </c>
      <c r="B23" s="66" t="s">
        <v>149</v>
      </c>
      <c r="C23" s="65" t="s">
        <v>46</v>
      </c>
      <c r="D23" s="65">
        <v>606.29999999999995</v>
      </c>
      <c r="E23" s="65" t="s">
        <v>76</v>
      </c>
      <c r="F23" s="65">
        <v>177.8</v>
      </c>
      <c r="G23" s="65" t="s">
        <v>28</v>
      </c>
      <c r="H23" s="67" t="s">
        <v>52</v>
      </c>
      <c r="I23" s="61">
        <v>585.29999999999995</v>
      </c>
      <c r="J23" s="65" t="s">
        <v>246</v>
      </c>
      <c r="K23" s="65"/>
      <c r="L23" s="68">
        <v>317</v>
      </c>
      <c r="M23" s="68"/>
      <c r="N23" s="65">
        <v>6.7</v>
      </c>
      <c r="O23" s="68"/>
      <c r="P23" s="69">
        <v>30.757658285714282</v>
      </c>
      <c r="Q23" s="70">
        <f t="shared" si="0"/>
        <v>27.5</v>
      </c>
      <c r="R23" s="71">
        <v>1</v>
      </c>
      <c r="S23" s="70">
        <v>1.6</v>
      </c>
      <c r="T23" s="70">
        <v>0</v>
      </c>
      <c r="U23" s="70">
        <f t="shared" si="8"/>
        <v>0</v>
      </c>
      <c r="V23" s="71">
        <f t="shared" si="9"/>
        <v>37.500000000000007</v>
      </c>
      <c r="W23" s="72">
        <v>0.2</v>
      </c>
      <c r="X23" s="73">
        <f t="shared" si="1"/>
        <v>5.8181818181818182E-2</v>
      </c>
      <c r="Y23" s="73">
        <f t="shared" si="3"/>
        <v>0.98</v>
      </c>
      <c r="Z23" s="73">
        <f t="shared" si="4"/>
        <v>1.5680000000000001</v>
      </c>
      <c r="AA23" s="73">
        <f t="shared" si="5"/>
        <v>0</v>
      </c>
      <c r="AB23" s="73">
        <f t="shared" si="6"/>
        <v>0</v>
      </c>
      <c r="AC23" s="73">
        <f t="shared" si="2"/>
        <v>37.500000000000007</v>
      </c>
      <c r="AD23" s="65">
        <v>31</v>
      </c>
      <c r="AE23" s="73">
        <f t="shared" si="7"/>
        <v>30.38</v>
      </c>
      <c r="AF23" s="80"/>
    </row>
    <row r="24" spans="1:32" s="8" customFormat="1" ht="15.75" x14ac:dyDescent="0.2">
      <c r="A24" s="65">
        <v>11</v>
      </c>
      <c r="B24" s="66" t="s">
        <v>150</v>
      </c>
      <c r="C24" s="65" t="s">
        <v>46</v>
      </c>
      <c r="D24" s="65">
        <v>661</v>
      </c>
      <c r="E24" s="81" t="s">
        <v>77</v>
      </c>
      <c r="F24" s="65">
        <v>177.8</v>
      </c>
      <c r="G24" s="65" t="s">
        <v>28</v>
      </c>
      <c r="H24" s="67" t="s">
        <v>53</v>
      </c>
      <c r="I24" s="61">
        <v>554.91</v>
      </c>
      <c r="J24" s="65" t="s">
        <v>247</v>
      </c>
      <c r="K24" s="65"/>
      <c r="L24" s="68">
        <v>400</v>
      </c>
      <c r="M24" s="68"/>
      <c r="N24" s="65">
        <v>0.7</v>
      </c>
      <c r="O24" s="68"/>
      <c r="P24" s="69">
        <v>17.938370040816324</v>
      </c>
      <c r="Q24" s="70">
        <f t="shared" si="0"/>
        <v>11.18</v>
      </c>
      <c r="R24" s="71">
        <v>3</v>
      </c>
      <c r="S24" s="70">
        <v>4.9000000000000004</v>
      </c>
      <c r="T24" s="70">
        <v>0</v>
      </c>
      <c r="U24" s="70">
        <f t="shared" si="8"/>
        <v>0</v>
      </c>
      <c r="V24" s="71">
        <f t="shared" si="9"/>
        <v>38.775510204081634</v>
      </c>
      <c r="W24" s="72">
        <v>0.3</v>
      </c>
      <c r="X24" s="73">
        <f t="shared" si="1"/>
        <v>0.43828264758497321</v>
      </c>
      <c r="Y24" s="73">
        <f t="shared" si="3"/>
        <v>2.94</v>
      </c>
      <c r="Z24" s="73">
        <f t="shared" si="4"/>
        <v>4.8020000000000005</v>
      </c>
      <c r="AA24" s="73">
        <f t="shared" si="5"/>
        <v>0</v>
      </c>
      <c r="AB24" s="73">
        <f t="shared" si="6"/>
        <v>0</v>
      </c>
      <c r="AC24" s="73">
        <f t="shared" si="2"/>
        <v>38.775510204081634</v>
      </c>
      <c r="AD24" s="65">
        <v>31</v>
      </c>
      <c r="AE24" s="73">
        <f t="shared" si="7"/>
        <v>91.14</v>
      </c>
      <c r="AF24" s="74"/>
    </row>
    <row r="25" spans="1:32" s="8" customFormat="1" ht="15.75" customHeight="1" x14ac:dyDescent="0.2">
      <c r="A25" s="65">
        <v>12</v>
      </c>
      <c r="B25" s="66" t="s">
        <v>151</v>
      </c>
      <c r="C25" s="65" t="s">
        <v>46</v>
      </c>
      <c r="D25" s="65">
        <v>675.4</v>
      </c>
      <c r="E25" s="81" t="s">
        <v>78</v>
      </c>
      <c r="F25" s="65">
        <v>177.8</v>
      </c>
      <c r="G25" s="65" t="s">
        <v>28</v>
      </c>
      <c r="H25" s="67" t="s">
        <v>52</v>
      </c>
      <c r="I25" s="61">
        <v>553.69000000000005</v>
      </c>
      <c r="J25" s="65" t="s">
        <v>248</v>
      </c>
      <c r="K25" s="65"/>
      <c r="L25" s="68">
        <v>235</v>
      </c>
      <c r="M25" s="68"/>
      <c r="N25" s="65">
        <v>2.2999999999999998</v>
      </c>
      <c r="O25" s="68"/>
      <c r="P25" s="69">
        <v>35.327304408163258</v>
      </c>
      <c r="Q25" s="70">
        <f t="shared" si="0"/>
        <v>18.7</v>
      </c>
      <c r="R25" s="71">
        <v>8</v>
      </c>
      <c r="S25" s="70">
        <v>11.5</v>
      </c>
      <c r="T25" s="70">
        <v>4</v>
      </c>
      <c r="U25" s="70">
        <f t="shared" si="8"/>
        <v>0.5</v>
      </c>
      <c r="V25" s="71">
        <f t="shared" si="9"/>
        <v>30.434782608695656</v>
      </c>
      <c r="W25" s="72">
        <v>0.4</v>
      </c>
      <c r="X25" s="73">
        <f t="shared" si="1"/>
        <v>0.61497326203208558</v>
      </c>
      <c r="Y25" s="73">
        <f t="shared" si="3"/>
        <v>7.84</v>
      </c>
      <c r="Z25" s="73">
        <f t="shared" si="4"/>
        <v>11.27</v>
      </c>
      <c r="AA25" s="73">
        <f t="shared" si="5"/>
        <v>3.92</v>
      </c>
      <c r="AB25" s="73">
        <f t="shared" si="6"/>
        <v>0.5</v>
      </c>
      <c r="AC25" s="73">
        <f t="shared" si="2"/>
        <v>30.434782608695656</v>
      </c>
      <c r="AD25" s="65">
        <v>31</v>
      </c>
      <c r="AE25" s="73">
        <f t="shared" si="7"/>
        <v>243.04</v>
      </c>
      <c r="AF25" s="74"/>
    </row>
    <row r="26" spans="1:32" s="8" customFormat="1" ht="15.75" customHeight="1" x14ac:dyDescent="0.2">
      <c r="A26" s="65">
        <v>13</v>
      </c>
      <c r="B26" s="66" t="s">
        <v>36</v>
      </c>
      <c r="C26" s="65" t="s">
        <v>46</v>
      </c>
      <c r="D26" s="65">
        <v>584.5</v>
      </c>
      <c r="E26" s="81" t="s">
        <v>79</v>
      </c>
      <c r="F26" s="65">
        <v>177.8</v>
      </c>
      <c r="G26" s="65" t="s">
        <v>28</v>
      </c>
      <c r="H26" s="67" t="s">
        <v>49</v>
      </c>
      <c r="I26" s="61">
        <v>526.69000000000005</v>
      </c>
      <c r="J26" s="65" t="s">
        <v>245</v>
      </c>
      <c r="K26" s="65"/>
      <c r="L26" s="68">
        <v>446</v>
      </c>
      <c r="M26" s="68"/>
      <c r="N26" s="65">
        <v>9.8000000000000007</v>
      </c>
      <c r="O26" s="68"/>
      <c r="P26" s="69">
        <v>19.075548408163264</v>
      </c>
      <c r="Q26" s="70">
        <f t="shared" si="0"/>
        <v>57.6</v>
      </c>
      <c r="R26" s="71">
        <v>12</v>
      </c>
      <c r="S26" s="70">
        <v>15</v>
      </c>
      <c r="T26" s="70">
        <v>1175</v>
      </c>
      <c r="U26" s="70">
        <f t="shared" si="8"/>
        <v>97.916666666666671</v>
      </c>
      <c r="V26" s="71">
        <f t="shared" si="9"/>
        <v>20</v>
      </c>
      <c r="W26" s="72">
        <v>0.3</v>
      </c>
      <c r="X26" s="73">
        <f t="shared" si="1"/>
        <v>0.26041666666666669</v>
      </c>
      <c r="Y26" s="73">
        <f t="shared" si="3"/>
        <v>11.76</v>
      </c>
      <c r="Z26" s="73">
        <f t="shared" si="4"/>
        <v>14.7</v>
      </c>
      <c r="AA26" s="73">
        <f t="shared" si="5"/>
        <v>1151.5</v>
      </c>
      <c r="AB26" s="73">
        <f t="shared" si="6"/>
        <v>97.916666666666671</v>
      </c>
      <c r="AC26" s="73">
        <f t="shared" si="2"/>
        <v>20</v>
      </c>
      <c r="AD26" s="65">
        <v>31</v>
      </c>
      <c r="AE26" s="73">
        <f t="shared" si="7"/>
        <v>364.56</v>
      </c>
      <c r="AF26" s="74"/>
    </row>
    <row r="27" spans="1:32" s="8" customFormat="1" ht="16.5" customHeight="1" x14ac:dyDescent="0.2">
      <c r="A27" s="65">
        <v>14</v>
      </c>
      <c r="B27" s="66" t="s">
        <v>152</v>
      </c>
      <c r="C27" s="65" t="s">
        <v>46</v>
      </c>
      <c r="D27" s="65">
        <v>565</v>
      </c>
      <c r="E27" s="81" t="s">
        <v>80</v>
      </c>
      <c r="F27" s="65">
        <v>177.8</v>
      </c>
      <c r="G27" s="65" t="s">
        <v>28</v>
      </c>
      <c r="H27" s="67" t="s">
        <v>52</v>
      </c>
      <c r="I27" s="76">
        <v>522</v>
      </c>
      <c r="J27" s="65" t="s">
        <v>249</v>
      </c>
      <c r="K27" s="65"/>
      <c r="L27" s="68">
        <v>60</v>
      </c>
      <c r="M27" s="68"/>
      <c r="N27" s="65">
        <v>9.8000000000000007</v>
      </c>
      <c r="O27" s="68"/>
      <c r="P27" s="69">
        <v>54.511404081632648</v>
      </c>
      <c r="Q27" s="70">
        <f t="shared" si="0"/>
        <v>74.8</v>
      </c>
      <c r="R27" s="71">
        <v>22</v>
      </c>
      <c r="S27" s="70">
        <v>29</v>
      </c>
      <c r="T27" s="70">
        <v>2966</v>
      </c>
      <c r="U27" s="70">
        <f t="shared" si="8"/>
        <v>134.81818181818181</v>
      </c>
      <c r="V27" s="71">
        <f t="shared" si="9"/>
        <v>24.137931034482758</v>
      </c>
      <c r="W27" s="72">
        <v>0.3</v>
      </c>
      <c r="X27" s="73">
        <f t="shared" si="1"/>
        <v>0.38770053475935828</v>
      </c>
      <c r="Y27" s="73">
        <f t="shared" si="3"/>
        <v>21.56</v>
      </c>
      <c r="Z27" s="73">
        <f t="shared" si="4"/>
        <v>28.419999999999998</v>
      </c>
      <c r="AA27" s="73">
        <f t="shared" si="5"/>
        <v>2906.68</v>
      </c>
      <c r="AB27" s="73">
        <f t="shared" si="6"/>
        <v>134.81818181818181</v>
      </c>
      <c r="AC27" s="73">
        <f t="shared" si="2"/>
        <v>24.137931034482758</v>
      </c>
      <c r="AD27" s="65">
        <v>31</v>
      </c>
      <c r="AE27" s="73">
        <f t="shared" si="7"/>
        <v>668.36</v>
      </c>
      <c r="AF27" s="74"/>
    </row>
    <row r="28" spans="1:32" s="8" customFormat="1" ht="15.75" x14ac:dyDescent="0.2">
      <c r="A28" s="65">
        <v>15</v>
      </c>
      <c r="B28" s="66" t="s">
        <v>37</v>
      </c>
      <c r="C28" s="65" t="s">
        <v>46</v>
      </c>
      <c r="D28" s="65">
        <v>670</v>
      </c>
      <c r="E28" s="65" t="s">
        <v>81</v>
      </c>
      <c r="F28" s="65">
        <v>177.8</v>
      </c>
      <c r="G28" s="65" t="s">
        <v>28</v>
      </c>
      <c r="H28" s="67" t="s">
        <v>48</v>
      </c>
      <c r="I28" s="61">
        <v>570.95000000000005</v>
      </c>
      <c r="J28" s="65" t="s">
        <v>248</v>
      </c>
      <c r="K28" s="65"/>
      <c r="L28" s="68">
        <v>451</v>
      </c>
      <c r="M28" s="68"/>
      <c r="N28" s="65">
        <v>7</v>
      </c>
      <c r="O28" s="68"/>
      <c r="P28" s="69">
        <v>19.899371428571428</v>
      </c>
      <c r="Q28" s="70">
        <f t="shared" si="0"/>
        <v>11.05</v>
      </c>
      <c r="R28" s="71">
        <v>4</v>
      </c>
      <c r="S28" s="70">
        <v>5.7</v>
      </c>
      <c r="T28" s="70">
        <v>16</v>
      </c>
      <c r="U28" s="70">
        <f t="shared" si="8"/>
        <v>4</v>
      </c>
      <c r="V28" s="71">
        <f t="shared" si="9"/>
        <v>29.824561403508774</v>
      </c>
      <c r="W28" s="72">
        <v>0.5</v>
      </c>
      <c r="X28" s="73">
        <f t="shared" si="1"/>
        <v>0.51583710407239813</v>
      </c>
      <c r="Y28" s="73">
        <f t="shared" si="3"/>
        <v>3.92</v>
      </c>
      <c r="Z28" s="73">
        <f t="shared" si="4"/>
        <v>5.5860000000000003</v>
      </c>
      <c r="AA28" s="73">
        <f t="shared" si="5"/>
        <v>15.68</v>
      </c>
      <c r="AB28" s="73">
        <f t="shared" si="6"/>
        <v>4</v>
      </c>
      <c r="AC28" s="73">
        <f t="shared" si="2"/>
        <v>29.824561403508774</v>
      </c>
      <c r="AD28" s="65">
        <v>31</v>
      </c>
      <c r="AE28" s="73">
        <f>Y28*AD28</f>
        <v>121.52</v>
      </c>
      <c r="AF28" s="80"/>
    </row>
    <row r="29" spans="1:32" s="12" customFormat="1" ht="15.75" x14ac:dyDescent="0.2">
      <c r="A29" s="65">
        <v>16</v>
      </c>
      <c r="B29" s="66" t="s">
        <v>153</v>
      </c>
      <c r="C29" s="66" t="s">
        <v>46</v>
      </c>
      <c r="D29" s="66">
        <v>672</v>
      </c>
      <c r="E29" s="66" t="s">
        <v>82</v>
      </c>
      <c r="F29" s="66">
        <v>177.8</v>
      </c>
      <c r="G29" s="66" t="s">
        <v>28</v>
      </c>
      <c r="H29" s="66" t="s">
        <v>49</v>
      </c>
      <c r="I29" s="66">
        <v>590.9</v>
      </c>
      <c r="J29" s="66" t="s">
        <v>250</v>
      </c>
      <c r="K29" s="66"/>
      <c r="L29" s="66">
        <v>508</v>
      </c>
      <c r="M29" s="66"/>
      <c r="N29" s="66">
        <v>10.6</v>
      </c>
      <c r="O29" s="66"/>
      <c r="P29" s="66">
        <v>15.919937959183674</v>
      </c>
      <c r="Q29" s="66">
        <f t="shared" si="0"/>
        <v>96</v>
      </c>
      <c r="R29" s="137">
        <v>18</v>
      </c>
      <c r="S29" s="70">
        <v>22.5</v>
      </c>
      <c r="T29" s="66">
        <v>937</v>
      </c>
      <c r="U29" s="137">
        <f t="shared" si="8"/>
        <v>52.055555555555557</v>
      </c>
      <c r="V29" s="137">
        <f t="shared" si="9"/>
        <v>20</v>
      </c>
      <c r="W29" s="66">
        <v>0.3</v>
      </c>
      <c r="X29" s="137">
        <f t="shared" si="1"/>
        <v>0.234375</v>
      </c>
      <c r="Y29" s="73">
        <f t="shared" si="3"/>
        <v>17.64</v>
      </c>
      <c r="Z29" s="73">
        <f t="shared" si="4"/>
        <v>22.05</v>
      </c>
      <c r="AA29" s="73">
        <f t="shared" si="5"/>
        <v>918.26</v>
      </c>
      <c r="AB29" s="137">
        <f t="shared" si="6"/>
        <v>52.055555555555557</v>
      </c>
      <c r="AC29" s="137">
        <f t="shared" si="2"/>
        <v>20</v>
      </c>
      <c r="AD29" s="66">
        <v>31</v>
      </c>
      <c r="AE29" s="137">
        <f>Y29*AD29</f>
        <v>546.84</v>
      </c>
      <c r="AF29" s="66"/>
    </row>
    <row r="30" spans="1:32" s="12" customFormat="1" ht="15.75" x14ac:dyDescent="0.2">
      <c r="A30" s="65">
        <v>17</v>
      </c>
      <c r="B30" s="66" t="s">
        <v>154</v>
      </c>
      <c r="C30" s="65" t="s">
        <v>46</v>
      </c>
      <c r="D30" s="82">
        <v>615</v>
      </c>
      <c r="E30" s="75" t="s">
        <v>204</v>
      </c>
      <c r="F30" s="65">
        <v>177.8</v>
      </c>
      <c r="G30" s="65" t="s">
        <v>28</v>
      </c>
      <c r="H30" s="67" t="s">
        <v>48</v>
      </c>
      <c r="I30" s="76">
        <v>605.78</v>
      </c>
      <c r="J30" s="65"/>
      <c r="K30" s="65">
        <v>75</v>
      </c>
      <c r="L30" s="68"/>
      <c r="M30" s="68">
        <v>0.5</v>
      </c>
      <c r="N30" s="68"/>
      <c r="O30" s="68"/>
      <c r="P30" s="68"/>
      <c r="Q30" s="70">
        <v>0</v>
      </c>
      <c r="R30" s="71"/>
      <c r="S30" s="70">
        <v>0</v>
      </c>
      <c r="T30" s="70"/>
      <c r="U30" s="70">
        <v>0</v>
      </c>
      <c r="V30" s="70">
        <v>0</v>
      </c>
      <c r="W30" s="70"/>
      <c r="X30" s="70">
        <v>0</v>
      </c>
      <c r="Y30" s="73">
        <f t="shared" si="3"/>
        <v>0</v>
      </c>
      <c r="Z30" s="73">
        <f t="shared" si="4"/>
        <v>0</v>
      </c>
      <c r="AA30" s="73">
        <f t="shared" si="5"/>
        <v>0</v>
      </c>
      <c r="AB30" s="73">
        <v>0</v>
      </c>
      <c r="AC30" s="73">
        <v>0</v>
      </c>
      <c r="AD30" s="65">
        <v>0</v>
      </c>
      <c r="AE30" s="73">
        <v>0</v>
      </c>
      <c r="AF30" s="74" t="s">
        <v>237</v>
      </c>
    </row>
    <row r="31" spans="1:32" s="8" customFormat="1" ht="15.75" x14ac:dyDescent="0.2">
      <c r="A31" s="65">
        <v>18</v>
      </c>
      <c r="B31" s="66" t="s">
        <v>38</v>
      </c>
      <c r="C31" s="65" t="s">
        <v>46</v>
      </c>
      <c r="D31" s="83">
        <v>580</v>
      </c>
      <c r="E31" s="65" t="s">
        <v>84</v>
      </c>
      <c r="F31" s="65">
        <v>177.8</v>
      </c>
      <c r="G31" s="65" t="s">
        <v>28</v>
      </c>
      <c r="H31" s="67" t="s">
        <v>48</v>
      </c>
      <c r="I31" s="61">
        <v>561.19000000000005</v>
      </c>
      <c r="J31" s="65"/>
      <c r="K31" s="65">
        <v>105</v>
      </c>
      <c r="L31" s="68"/>
      <c r="M31" s="68">
        <v>0.6</v>
      </c>
      <c r="N31" s="68"/>
      <c r="O31" s="68"/>
      <c r="P31" s="69"/>
      <c r="Q31" s="70">
        <f t="shared" si="0"/>
        <v>0</v>
      </c>
      <c r="R31" s="71"/>
      <c r="S31" s="70">
        <v>0</v>
      </c>
      <c r="T31" s="71"/>
      <c r="U31" s="71">
        <v>0</v>
      </c>
      <c r="V31" s="71">
        <v>0</v>
      </c>
      <c r="W31" s="71"/>
      <c r="X31" s="71">
        <v>0</v>
      </c>
      <c r="Y31" s="73">
        <f t="shared" si="3"/>
        <v>0</v>
      </c>
      <c r="Z31" s="73">
        <f t="shared" si="4"/>
        <v>0</v>
      </c>
      <c r="AA31" s="73">
        <f t="shared" si="5"/>
        <v>0</v>
      </c>
      <c r="AB31" s="73">
        <f>U31</f>
        <v>0</v>
      </c>
      <c r="AC31" s="73">
        <f t="shared" si="2"/>
        <v>0</v>
      </c>
      <c r="AD31" s="65">
        <v>0</v>
      </c>
      <c r="AE31" s="73">
        <f t="shared" si="7"/>
        <v>0</v>
      </c>
      <c r="AF31" s="74" t="s">
        <v>215</v>
      </c>
    </row>
    <row r="32" spans="1:32" s="8" customFormat="1" ht="15.95" customHeight="1" x14ac:dyDescent="0.2">
      <c r="A32" s="65">
        <v>19</v>
      </c>
      <c r="B32" s="66" t="s">
        <v>39</v>
      </c>
      <c r="C32" s="65" t="s">
        <v>46</v>
      </c>
      <c r="D32" s="65">
        <v>575.20000000000005</v>
      </c>
      <c r="E32" s="65" t="s">
        <v>85</v>
      </c>
      <c r="F32" s="65">
        <v>177.8</v>
      </c>
      <c r="G32" s="65" t="s">
        <v>28</v>
      </c>
      <c r="H32" s="67" t="s">
        <v>51</v>
      </c>
      <c r="I32" s="61">
        <v>571.29</v>
      </c>
      <c r="J32" s="65" t="s">
        <v>246</v>
      </c>
      <c r="K32" s="65"/>
      <c r="L32" s="68">
        <v>420</v>
      </c>
      <c r="M32" s="68"/>
      <c r="N32" s="65">
        <v>6.7</v>
      </c>
      <c r="O32" s="68"/>
      <c r="P32" s="69">
        <v>19.905300244897958</v>
      </c>
      <c r="Q32" s="70">
        <f t="shared" si="0"/>
        <v>27.5</v>
      </c>
      <c r="R32" s="71">
        <v>15</v>
      </c>
      <c r="S32" s="70">
        <v>20.5</v>
      </c>
      <c r="T32" s="70">
        <v>383</v>
      </c>
      <c r="U32" s="70">
        <f t="shared" si="8"/>
        <v>25.533333333333335</v>
      </c>
      <c r="V32" s="71">
        <f t="shared" si="9"/>
        <v>26.829268292682929</v>
      </c>
      <c r="W32" s="72">
        <v>0.3</v>
      </c>
      <c r="X32" s="73">
        <f t="shared" si="1"/>
        <v>0.74545454545454548</v>
      </c>
      <c r="Y32" s="73">
        <f t="shared" si="3"/>
        <v>14.7</v>
      </c>
      <c r="Z32" s="73">
        <f t="shared" si="4"/>
        <v>20.09</v>
      </c>
      <c r="AA32" s="73">
        <f t="shared" si="5"/>
        <v>375.34</v>
      </c>
      <c r="AB32" s="73">
        <f t="shared" ref="AB32:AB40" si="10">U32</f>
        <v>25.533333333333335</v>
      </c>
      <c r="AC32" s="73">
        <f t="shared" si="2"/>
        <v>26.829268292682929</v>
      </c>
      <c r="AD32" s="65">
        <v>31</v>
      </c>
      <c r="AE32" s="73">
        <f t="shared" si="7"/>
        <v>455.7</v>
      </c>
      <c r="AF32" s="74"/>
    </row>
    <row r="33" spans="1:32" s="8" customFormat="1" ht="15.95" customHeight="1" x14ac:dyDescent="0.2">
      <c r="A33" s="65">
        <v>20</v>
      </c>
      <c r="B33" s="66" t="s">
        <v>40</v>
      </c>
      <c r="C33" s="65" t="s">
        <v>46</v>
      </c>
      <c r="D33" s="65">
        <v>679.7</v>
      </c>
      <c r="E33" s="65" t="s">
        <v>86</v>
      </c>
      <c r="F33" s="65">
        <v>177.8</v>
      </c>
      <c r="G33" s="65" t="s">
        <v>28</v>
      </c>
      <c r="H33" s="67" t="s">
        <v>48</v>
      </c>
      <c r="I33" s="61">
        <v>588.04999999999995</v>
      </c>
      <c r="J33" s="65" t="s">
        <v>239</v>
      </c>
      <c r="K33" s="65"/>
      <c r="L33" s="68">
        <v>474</v>
      </c>
      <c r="M33" s="68"/>
      <c r="N33" s="65">
        <v>5.2</v>
      </c>
      <c r="O33" s="68"/>
      <c r="P33" s="69">
        <v>15.148128571428572</v>
      </c>
      <c r="Q33" s="70">
        <f>LEFT(H33,(FIND("K",H33,1)-1))*J33/100</f>
        <v>13</v>
      </c>
      <c r="R33" s="71">
        <v>5</v>
      </c>
      <c r="S33" s="70">
        <v>7.8</v>
      </c>
      <c r="T33" s="70">
        <v>0</v>
      </c>
      <c r="U33" s="70">
        <v>0</v>
      </c>
      <c r="V33" s="71">
        <f t="shared" si="9"/>
        <v>35.897435897435898</v>
      </c>
      <c r="W33" s="72">
        <v>0.2</v>
      </c>
      <c r="X33" s="73">
        <v>0</v>
      </c>
      <c r="Y33" s="73">
        <f t="shared" si="3"/>
        <v>4.9000000000000004</v>
      </c>
      <c r="Z33" s="73">
        <f t="shared" si="4"/>
        <v>7.6440000000000001</v>
      </c>
      <c r="AA33" s="73">
        <f t="shared" si="5"/>
        <v>0</v>
      </c>
      <c r="AB33" s="73">
        <f t="shared" si="10"/>
        <v>0</v>
      </c>
      <c r="AC33" s="73">
        <f t="shared" si="2"/>
        <v>35.897435897435898</v>
      </c>
      <c r="AD33" s="65">
        <v>31</v>
      </c>
      <c r="AE33" s="73">
        <f>Y33*AD33</f>
        <v>151.9</v>
      </c>
      <c r="AF33" s="74"/>
    </row>
    <row r="34" spans="1:32" s="8" customFormat="1" ht="16.5" customHeight="1" x14ac:dyDescent="0.2">
      <c r="A34" s="65">
        <v>21</v>
      </c>
      <c r="B34" s="66" t="s">
        <v>41</v>
      </c>
      <c r="C34" s="65" t="s">
        <v>46</v>
      </c>
      <c r="D34" s="65">
        <v>573.70000000000005</v>
      </c>
      <c r="E34" s="65" t="s">
        <v>87</v>
      </c>
      <c r="F34" s="65">
        <v>177.8</v>
      </c>
      <c r="G34" s="65" t="s">
        <v>28</v>
      </c>
      <c r="H34" s="67" t="s">
        <v>52</v>
      </c>
      <c r="I34" s="61">
        <v>554.30999999999995</v>
      </c>
      <c r="J34" s="65" t="s">
        <v>250</v>
      </c>
      <c r="K34" s="65"/>
      <c r="L34" s="68">
        <v>469</v>
      </c>
      <c r="M34" s="68"/>
      <c r="N34" s="65">
        <v>6.8</v>
      </c>
      <c r="O34" s="68"/>
      <c r="P34" s="69">
        <v>14.637221173469387</v>
      </c>
      <c r="Q34" s="70">
        <f t="shared" si="0"/>
        <v>66</v>
      </c>
      <c r="R34" s="71">
        <v>6</v>
      </c>
      <c r="S34" s="70">
        <v>7.3</v>
      </c>
      <c r="T34" s="70">
        <v>665</v>
      </c>
      <c r="U34" s="70">
        <f t="shared" si="8"/>
        <v>110.83333333333333</v>
      </c>
      <c r="V34" s="71">
        <f t="shared" si="9"/>
        <v>17.80821917808219</v>
      </c>
      <c r="W34" s="72">
        <v>0.3</v>
      </c>
      <c r="X34" s="73">
        <f t="shared" si="1"/>
        <v>0.1106060606060606</v>
      </c>
      <c r="Y34" s="73">
        <f t="shared" si="3"/>
        <v>5.88</v>
      </c>
      <c r="Z34" s="73">
        <f t="shared" si="4"/>
        <v>7.1539999999999999</v>
      </c>
      <c r="AA34" s="73">
        <f t="shared" si="5"/>
        <v>651.69999999999993</v>
      </c>
      <c r="AB34" s="73">
        <f t="shared" si="10"/>
        <v>110.83333333333333</v>
      </c>
      <c r="AC34" s="73">
        <f t="shared" si="2"/>
        <v>17.80821917808219</v>
      </c>
      <c r="AD34" s="65">
        <v>31</v>
      </c>
      <c r="AE34" s="73">
        <f t="shared" si="7"/>
        <v>182.28</v>
      </c>
      <c r="AF34" s="84"/>
    </row>
    <row r="35" spans="1:32" s="8" customFormat="1" ht="15.95" customHeight="1" x14ac:dyDescent="0.2">
      <c r="A35" s="65">
        <v>22</v>
      </c>
      <c r="B35" s="66" t="s">
        <v>42</v>
      </c>
      <c r="C35" s="65" t="s">
        <v>46</v>
      </c>
      <c r="D35" s="65">
        <v>681.1</v>
      </c>
      <c r="E35" s="65" t="s">
        <v>88</v>
      </c>
      <c r="F35" s="65">
        <v>177.8</v>
      </c>
      <c r="G35" s="65" t="s">
        <v>28</v>
      </c>
      <c r="H35" s="67" t="s">
        <v>48</v>
      </c>
      <c r="I35" s="61">
        <v>589.66</v>
      </c>
      <c r="J35" s="65" t="s">
        <v>246</v>
      </c>
      <c r="K35" s="65"/>
      <c r="L35" s="68">
        <v>471</v>
      </c>
      <c r="M35" s="68"/>
      <c r="N35" s="65">
        <v>7.7</v>
      </c>
      <c r="O35" s="68"/>
      <c r="P35" s="69">
        <v>17.815123571428572</v>
      </c>
      <c r="Q35" s="70">
        <f t="shared" si="0"/>
        <v>16.25</v>
      </c>
      <c r="R35" s="71">
        <v>8</v>
      </c>
      <c r="S35" s="70">
        <v>10</v>
      </c>
      <c r="T35" s="70">
        <v>23</v>
      </c>
      <c r="U35" s="70">
        <f t="shared" si="8"/>
        <v>2.875</v>
      </c>
      <c r="V35" s="71">
        <f t="shared" si="9"/>
        <v>20</v>
      </c>
      <c r="W35" s="72">
        <v>0.4</v>
      </c>
      <c r="X35" s="73">
        <f t="shared" si="1"/>
        <v>0.61538461538461542</v>
      </c>
      <c r="Y35" s="73">
        <f t="shared" si="3"/>
        <v>7.84</v>
      </c>
      <c r="Z35" s="73">
        <f t="shared" si="4"/>
        <v>9.8000000000000007</v>
      </c>
      <c r="AA35" s="73">
        <f t="shared" si="5"/>
        <v>22.54</v>
      </c>
      <c r="AB35" s="73">
        <f t="shared" si="10"/>
        <v>2.875</v>
      </c>
      <c r="AC35" s="73">
        <f t="shared" si="2"/>
        <v>20</v>
      </c>
      <c r="AD35" s="65">
        <v>31</v>
      </c>
      <c r="AE35" s="73">
        <f t="shared" si="7"/>
        <v>243.04</v>
      </c>
      <c r="AF35" s="80"/>
    </row>
    <row r="36" spans="1:32" s="8" customFormat="1" ht="15.95" customHeight="1" x14ac:dyDescent="0.2">
      <c r="A36" s="65">
        <v>23</v>
      </c>
      <c r="B36" s="66" t="s">
        <v>43</v>
      </c>
      <c r="C36" s="65" t="s">
        <v>46</v>
      </c>
      <c r="D36" s="65">
        <v>682.7</v>
      </c>
      <c r="E36" s="65" t="s">
        <v>89</v>
      </c>
      <c r="F36" s="65">
        <v>177.8</v>
      </c>
      <c r="G36" s="65" t="s">
        <v>28</v>
      </c>
      <c r="H36" s="90" t="s">
        <v>52</v>
      </c>
      <c r="I36" s="134">
        <v>551.13</v>
      </c>
      <c r="J36" s="65" t="s">
        <v>248</v>
      </c>
      <c r="K36" s="65"/>
      <c r="L36" s="68">
        <v>392</v>
      </c>
      <c r="M36" s="68"/>
      <c r="N36" s="65">
        <v>7.5</v>
      </c>
      <c r="O36" s="68"/>
      <c r="P36" s="69">
        <v>25.243007306122447</v>
      </c>
      <c r="Q36" s="70">
        <f t="shared" si="0"/>
        <v>18.7</v>
      </c>
      <c r="R36" s="71">
        <v>5</v>
      </c>
      <c r="S36" s="70">
        <v>10.1</v>
      </c>
      <c r="T36" s="70">
        <v>150</v>
      </c>
      <c r="U36" s="70">
        <v>0</v>
      </c>
      <c r="V36" s="71">
        <f t="shared" si="9"/>
        <v>50.495049504950494</v>
      </c>
      <c r="W36" s="72">
        <v>0.3</v>
      </c>
      <c r="X36" s="73">
        <v>0</v>
      </c>
      <c r="Y36" s="73">
        <f t="shared" si="3"/>
        <v>4.9000000000000004</v>
      </c>
      <c r="Z36" s="73">
        <f t="shared" si="4"/>
        <v>9.8979999999999997</v>
      </c>
      <c r="AA36" s="73">
        <f t="shared" si="5"/>
        <v>147</v>
      </c>
      <c r="AB36" s="73">
        <f t="shared" si="10"/>
        <v>0</v>
      </c>
      <c r="AC36" s="73">
        <f t="shared" si="2"/>
        <v>50.495049504950494</v>
      </c>
      <c r="AD36" s="65">
        <v>31</v>
      </c>
      <c r="AE36" s="73">
        <f t="shared" si="7"/>
        <v>151.9</v>
      </c>
      <c r="AF36" s="74"/>
    </row>
    <row r="37" spans="1:32" s="8" customFormat="1" ht="15.95" customHeight="1" x14ac:dyDescent="0.2">
      <c r="A37" s="65">
        <v>24</v>
      </c>
      <c r="B37" s="66" t="s">
        <v>44</v>
      </c>
      <c r="C37" s="65" t="s">
        <v>46</v>
      </c>
      <c r="D37" s="65">
        <v>614.20000000000005</v>
      </c>
      <c r="E37" s="65" t="s">
        <v>90</v>
      </c>
      <c r="F37" s="65">
        <v>177.8</v>
      </c>
      <c r="G37" s="65" t="s">
        <v>28</v>
      </c>
      <c r="H37" s="67" t="s">
        <v>52</v>
      </c>
      <c r="I37" s="85">
        <v>592.85</v>
      </c>
      <c r="J37" s="65" t="s">
        <v>251</v>
      </c>
      <c r="K37" s="65"/>
      <c r="L37" s="68">
        <v>206</v>
      </c>
      <c r="M37" s="68"/>
      <c r="N37" s="65">
        <v>7.9</v>
      </c>
      <c r="O37" s="68"/>
      <c r="P37" s="69">
        <v>44.141318040816323</v>
      </c>
      <c r="Q37" s="70">
        <f t="shared" si="0"/>
        <v>40.700000000000003</v>
      </c>
      <c r="R37" s="71">
        <v>23</v>
      </c>
      <c r="S37" s="70">
        <v>37.200000000000003</v>
      </c>
      <c r="T37" s="70">
        <v>186</v>
      </c>
      <c r="U37" s="70">
        <f t="shared" si="8"/>
        <v>8.0869565217391308</v>
      </c>
      <c r="V37" s="71">
        <f t="shared" si="9"/>
        <v>38.172043010752695</v>
      </c>
      <c r="W37" s="72">
        <v>0.2</v>
      </c>
      <c r="X37" s="73">
        <f t="shared" si="1"/>
        <v>0.91400491400491402</v>
      </c>
      <c r="Y37" s="73">
        <f t="shared" si="3"/>
        <v>22.54</v>
      </c>
      <c r="Z37" s="73">
        <f t="shared" si="4"/>
        <v>36.456000000000003</v>
      </c>
      <c r="AA37" s="73">
        <f t="shared" si="5"/>
        <v>182.28</v>
      </c>
      <c r="AB37" s="73">
        <f t="shared" si="10"/>
        <v>8.0869565217391308</v>
      </c>
      <c r="AC37" s="73">
        <f t="shared" si="2"/>
        <v>38.172043010752695</v>
      </c>
      <c r="AD37" s="65">
        <v>31</v>
      </c>
      <c r="AE37" s="73">
        <f t="shared" si="7"/>
        <v>698.74</v>
      </c>
      <c r="AF37" s="74"/>
    </row>
    <row r="38" spans="1:32" s="8" customFormat="1" ht="15.95" customHeight="1" x14ac:dyDescent="0.2">
      <c r="A38" s="65">
        <v>25</v>
      </c>
      <c r="B38" s="66" t="s">
        <v>45</v>
      </c>
      <c r="C38" s="65" t="s">
        <v>46</v>
      </c>
      <c r="D38" s="65">
        <v>636.4</v>
      </c>
      <c r="E38" s="65" t="s">
        <v>91</v>
      </c>
      <c r="F38" s="65">
        <v>177.8</v>
      </c>
      <c r="G38" s="65" t="s">
        <v>28</v>
      </c>
      <c r="H38" s="67" t="s">
        <v>52</v>
      </c>
      <c r="I38" s="61">
        <v>592.95000000000005</v>
      </c>
      <c r="J38" s="65" t="s">
        <v>252</v>
      </c>
      <c r="K38" s="65"/>
      <c r="L38" s="68">
        <v>492</v>
      </c>
      <c r="M38" s="68"/>
      <c r="N38" s="65">
        <v>8.5</v>
      </c>
      <c r="O38" s="68"/>
      <c r="P38" s="69">
        <v>15.982396734693877</v>
      </c>
      <c r="Q38" s="70">
        <f>LEFT(H38,(FIND("K",H38,1)-1))*J38/100</f>
        <v>62.7</v>
      </c>
      <c r="R38" s="71">
        <v>15</v>
      </c>
      <c r="S38" s="70">
        <v>22.1</v>
      </c>
      <c r="T38" s="70">
        <v>1361</v>
      </c>
      <c r="U38" s="70">
        <f t="shared" si="8"/>
        <v>90.733333333333334</v>
      </c>
      <c r="V38" s="71">
        <f t="shared" si="9"/>
        <v>32.126696832579185</v>
      </c>
      <c r="W38" s="72">
        <v>0.3</v>
      </c>
      <c r="X38" s="73">
        <f t="shared" ref="X38:X45" si="11">S38/Q38</f>
        <v>0.3524720893141946</v>
      </c>
      <c r="Y38" s="73">
        <f t="shared" si="3"/>
        <v>14.7</v>
      </c>
      <c r="Z38" s="73">
        <f t="shared" si="4"/>
        <v>21.658000000000001</v>
      </c>
      <c r="AA38" s="73">
        <f t="shared" si="5"/>
        <v>1333.78</v>
      </c>
      <c r="AB38" s="73">
        <f t="shared" si="10"/>
        <v>90.733333333333334</v>
      </c>
      <c r="AC38" s="73">
        <f t="shared" si="2"/>
        <v>32.126696832579185</v>
      </c>
      <c r="AD38" s="65">
        <v>31</v>
      </c>
      <c r="AE38" s="73">
        <f t="shared" ref="AE38:AE48" si="12">Y38*AD38</f>
        <v>455.7</v>
      </c>
      <c r="AF38" s="74"/>
    </row>
    <row r="39" spans="1:32" s="8" customFormat="1" ht="15.95" customHeight="1" x14ac:dyDescent="0.2">
      <c r="A39" s="65">
        <v>26</v>
      </c>
      <c r="B39" s="66" t="s">
        <v>206</v>
      </c>
      <c r="C39" s="65" t="s">
        <v>46</v>
      </c>
      <c r="D39" s="65">
        <v>660.2</v>
      </c>
      <c r="E39" s="65" t="s">
        <v>227</v>
      </c>
      <c r="F39" s="65">
        <v>177.8</v>
      </c>
      <c r="G39" s="65" t="s">
        <v>28</v>
      </c>
      <c r="H39" s="67" t="s">
        <v>212</v>
      </c>
      <c r="I39" s="61">
        <v>549.65</v>
      </c>
      <c r="J39" s="65">
        <v>130</v>
      </c>
      <c r="K39" s="65"/>
      <c r="L39" s="65">
        <v>292</v>
      </c>
      <c r="M39" s="68"/>
      <c r="N39" s="65">
        <v>8</v>
      </c>
      <c r="O39" s="68"/>
      <c r="P39" s="83">
        <v>33.748802295918367</v>
      </c>
      <c r="Q39" s="73">
        <f t="shared" ref="Q39" si="13">LEFT(H39,(FIND("K",H39,1)-1))*J39/100</f>
        <v>10.4</v>
      </c>
      <c r="R39" s="72">
        <v>5</v>
      </c>
      <c r="S39" s="70">
        <v>6</v>
      </c>
      <c r="T39" s="73">
        <v>30</v>
      </c>
      <c r="U39" s="73">
        <f t="shared" ref="U39" si="14">T39/R39</f>
        <v>6</v>
      </c>
      <c r="V39" s="71">
        <f t="shared" si="9"/>
        <v>16.666666666666664</v>
      </c>
      <c r="W39" s="72">
        <v>0.3</v>
      </c>
      <c r="X39" s="73">
        <f t="shared" ref="X39" si="15">S39/Q39</f>
        <v>0.57692307692307687</v>
      </c>
      <c r="Y39" s="73">
        <f t="shared" si="3"/>
        <v>4.9000000000000004</v>
      </c>
      <c r="Z39" s="73">
        <f t="shared" si="4"/>
        <v>5.88</v>
      </c>
      <c r="AA39" s="73">
        <f t="shared" si="5"/>
        <v>29.4</v>
      </c>
      <c r="AB39" s="73">
        <f t="shared" ref="AB39" si="16">U39</f>
        <v>6</v>
      </c>
      <c r="AC39" s="73">
        <f t="shared" ref="AC39" si="17">V39</f>
        <v>16.666666666666664</v>
      </c>
      <c r="AD39" s="65">
        <v>31</v>
      </c>
      <c r="AE39" s="73">
        <f t="shared" ref="AE39" si="18">Y39*AD39</f>
        <v>151.9</v>
      </c>
      <c r="AF39" s="74"/>
    </row>
    <row r="40" spans="1:32" s="12" customFormat="1" ht="15.95" customHeight="1" x14ac:dyDescent="0.2">
      <c r="A40" s="65">
        <v>27</v>
      </c>
      <c r="B40" s="86" t="s">
        <v>161</v>
      </c>
      <c r="C40" s="65" t="s">
        <v>46</v>
      </c>
      <c r="D40" s="87">
        <v>677</v>
      </c>
      <c r="E40" s="88" t="s">
        <v>178</v>
      </c>
      <c r="F40" s="65">
        <v>177.8</v>
      </c>
      <c r="G40" s="65" t="s">
        <v>28</v>
      </c>
      <c r="H40" s="67" t="s">
        <v>52</v>
      </c>
      <c r="I40" s="61">
        <v>535.41</v>
      </c>
      <c r="J40" s="61" t="s">
        <v>253</v>
      </c>
      <c r="K40" s="61"/>
      <c r="L40" s="62">
        <v>418</v>
      </c>
      <c r="M40" s="62"/>
      <c r="N40" s="65">
        <v>7</v>
      </c>
      <c r="O40" s="62"/>
      <c r="P40" s="63">
        <v>20.066913306122448</v>
      </c>
      <c r="Q40" s="73">
        <f t="shared" ref="Q40:Q48" si="19">LEFT(H40,(FIND("K",H40,1)-1))*J40/100</f>
        <v>25.3</v>
      </c>
      <c r="R40" s="72">
        <v>7</v>
      </c>
      <c r="S40" s="70">
        <v>8.6999999999999993</v>
      </c>
      <c r="T40" s="76">
        <v>555</v>
      </c>
      <c r="U40" s="73">
        <f t="shared" si="8"/>
        <v>79.285714285714292</v>
      </c>
      <c r="V40" s="71">
        <f t="shared" si="9"/>
        <v>19.540229885057464</v>
      </c>
      <c r="W40" s="72">
        <v>0.3</v>
      </c>
      <c r="X40" s="73">
        <f t="shared" si="11"/>
        <v>0.34387351778656122</v>
      </c>
      <c r="Y40" s="73">
        <f t="shared" si="3"/>
        <v>6.8599999999999994</v>
      </c>
      <c r="Z40" s="73">
        <f t="shared" si="4"/>
        <v>8.5259999999999998</v>
      </c>
      <c r="AA40" s="73">
        <f t="shared" si="5"/>
        <v>543.9</v>
      </c>
      <c r="AB40" s="73">
        <f t="shared" si="10"/>
        <v>79.285714285714292</v>
      </c>
      <c r="AC40" s="73">
        <f t="shared" si="2"/>
        <v>19.540229885057464</v>
      </c>
      <c r="AD40" s="65">
        <v>31</v>
      </c>
      <c r="AE40" s="73">
        <f t="shared" si="12"/>
        <v>212.65999999999997</v>
      </c>
      <c r="AF40" s="89"/>
    </row>
    <row r="41" spans="1:32" s="12" customFormat="1" ht="15.95" customHeight="1" x14ac:dyDescent="0.2">
      <c r="A41" s="65">
        <v>28</v>
      </c>
      <c r="B41" s="86" t="s">
        <v>162</v>
      </c>
      <c r="C41" s="65" t="s">
        <v>46</v>
      </c>
      <c r="D41" s="87">
        <v>676</v>
      </c>
      <c r="E41" s="88" t="s">
        <v>180</v>
      </c>
      <c r="F41" s="65">
        <v>177.8</v>
      </c>
      <c r="G41" s="65" t="s">
        <v>28</v>
      </c>
      <c r="H41" s="67" t="s">
        <v>50</v>
      </c>
      <c r="I41" s="61">
        <v>545.42999999999995</v>
      </c>
      <c r="J41" s="61"/>
      <c r="K41" s="62">
        <v>124</v>
      </c>
      <c r="L41" s="65"/>
      <c r="M41" s="62"/>
      <c r="N41" s="65"/>
      <c r="O41" s="62"/>
      <c r="P41" s="63"/>
      <c r="Q41" s="73">
        <v>0</v>
      </c>
      <c r="R41" s="72"/>
      <c r="S41" s="70">
        <v>0</v>
      </c>
      <c r="T41" s="76"/>
      <c r="U41" s="73">
        <v>0</v>
      </c>
      <c r="V41" s="71">
        <v>0</v>
      </c>
      <c r="W41" s="72"/>
      <c r="X41" s="73">
        <v>0</v>
      </c>
      <c r="Y41" s="73">
        <f t="shared" si="3"/>
        <v>0</v>
      </c>
      <c r="Z41" s="73">
        <f t="shared" si="4"/>
        <v>0</v>
      </c>
      <c r="AA41" s="73">
        <f t="shared" si="5"/>
        <v>0</v>
      </c>
      <c r="AB41" s="73">
        <f t="shared" ref="AB41:AB42" si="20">U41</f>
        <v>0</v>
      </c>
      <c r="AC41" s="73">
        <f t="shared" si="2"/>
        <v>0</v>
      </c>
      <c r="AD41" s="65">
        <v>0</v>
      </c>
      <c r="AE41" s="73">
        <f t="shared" si="12"/>
        <v>0</v>
      </c>
      <c r="AF41" s="89" t="s">
        <v>215</v>
      </c>
    </row>
    <row r="42" spans="1:32" s="12" customFormat="1" ht="15.95" customHeight="1" x14ac:dyDescent="0.2">
      <c r="A42" s="65">
        <v>29</v>
      </c>
      <c r="B42" s="86" t="s">
        <v>163</v>
      </c>
      <c r="C42" s="65" t="s">
        <v>46</v>
      </c>
      <c r="D42" s="87">
        <v>677.27</v>
      </c>
      <c r="E42" s="90" t="s">
        <v>194</v>
      </c>
      <c r="F42" s="65">
        <v>177.8</v>
      </c>
      <c r="G42" s="65" t="s">
        <v>28</v>
      </c>
      <c r="H42" s="67" t="s">
        <v>187</v>
      </c>
      <c r="I42" s="61">
        <v>553.82000000000005</v>
      </c>
      <c r="J42" s="61" t="s">
        <v>248</v>
      </c>
      <c r="K42" s="61"/>
      <c r="L42" s="62">
        <v>203</v>
      </c>
      <c r="M42" s="62"/>
      <c r="N42" s="65">
        <v>0.6</v>
      </c>
      <c r="O42" s="62"/>
      <c r="P42" s="63">
        <v>39.323325591836735</v>
      </c>
      <c r="Q42" s="73">
        <f t="shared" si="19"/>
        <v>5.0999999999999996</v>
      </c>
      <c r="R42" s="72">
        <v>3</v>
      </c>
      <c r="S42" s="70">
        <v>4.4000000000000004</v>
      </c>
      <c r="T42" s="76">
        <v>2</v>
      </c>
      <c r="U42" s="73">
        <f>T42/R42</f>
        <v>0.66666666666666663</v>
      </c>
      <c r="V42" s="71">
        <f t="shared" si="9"/>
        <v>31.818181818181824</v>
      </c>
      <c r="W42" s="72">
        <v>0.4</v>
      </c>
      <c r="X42" s="73">
        <f t="shared" si="11"/>
        <v>0.86274509803921584</v>
      </c>
      <c r="Y42" s="73">
        <f t="shared" si="3"/>
        <v>2.94</v>
      </c>
      <c r="Z42" s="73">
        <f t="shared" si="4"/>
        <v>4.3120000000000003</v>
      </c>
      <c r="AA42" s="73">
        <f t="shared" si="5"/>
        <v>1.96</v>
      </c>
      <c r="AB42" s="73">
        <f t="shared" si="20"/>
        <v>0.66666666666666663</v>
      </c>
      <c r="AC42" s="73">
        <f t="shared" si="2"/>
        <v>31.818181818181824</v>
      </c>
      <c r="AD42" s="65">
        <v>31</v>
      </c>
      <c r="AE42" s="73">
        <f t="shared" si="12"/>
        <v>91.14</v>
      </c>
      <c r="AF42" s="89"/>
    </row>
    <row r="43" spans="1:32" s="8" customFormat="1" ht="15.75" x14ac:dyDescent="0.2">
      <c r="A43" s="65">
        <v>30</v>
      </c>
      <c r="B43" s="66" t="s">
        <v>59</v>
      </c>
      <c r="C43" s="65" t="s">
        <v>46</v>
      </c>
      <c r="D43" s="67">
        <v>643</v>
      </c>
      <c r="E43" s="65" t="s">
        <v>94</v>
      </c>
      <c r="F43" s="65">
        <v>177.8</v>
      </c>
      <c r="G43" s="65" t="s">
        <v>28</v>
      </c>
      <c r="H43" s="67" t="s">
        <v>48</v>
      </c>
      <c r="I43" s="61">
        <v>540.79999999999995</v>
      </c>
      <c r="J43" s="65" t="s">
        <v>248</v>
      </c>
      <c r="K43" s="65"/>
      <c r="L43" s="68">
        <v>439</v>
      </c>
      <c r="M43" s="68"/>
      <c r="N43" s="65">
        <v>4.5999999999999996</v>
      </c>
      <c r="O43" s="68"/>
      <c r="P43" s="83">
        <v>16.714258448979592</v>
      </c>
      <c r="Q43" s="73">
        <f t="shared" si="19"/>
        <v>11.05</v>
      </c>
      <c r="R43" s="72">
        <v>3</v>
      </c>
      <c r="S43" s="70">
        <v>4.3</v>
      </c>
      <c r="T43" s="73">
        <v>8</v>
      </c>
      <c r="U43" s="73">
        <f t="shared" si="8"/>
        <v>2.6666666666666665</v>
      </c>
      <c r="V43" s="71">
        <f t="shared" si="9"/>
        <v>30.232558139534881</v>
      </c>
      <c r="W43" s="72">
        <v>0.3</v>
      </c>
      <c r="X43" s="73">
        <f t="shared" si="11"/>
        <v>0.38914027149321262</v>
      </c>
      <c r="Y43" s="73">
        <f t="shared" si="3"/>
        <v>2.94</v>
      </c>
      <c r="Z43" s="73">
        <f t="shared" si="4"/>
        <v>4.2139999999999995</v>
      </c>
      <c r="AA43" s="73">
        <f t="shared" si="5"/>
        <v>7.84</v>
      </c>
      <c r="AB43" s="73">
        <f>U43</f>
        <v>2.6666666666666665</v>
      </c>
      <c r="AC43" s="73">
        <f t="shared" si="2"/>
        <v>30.232558139534881</v>
      </c>
      <c r="AD43" s="65">
        <v>31</v>
      </c>
      <c r="AE43" s="73">
        <f t="shared" si="12"/>
        <v>91.14</v>
      </c>
      <c r="AF43" s="80"/>
    </row>
    <row r="44" spans="1:32" s="8" customFormat="1" ht="15.75" x14ac:dyDescent="0.2">
      <c r="A44" s="65">
        <v>31</v>
      </c>
      <c r="B44" s="66" t="s">
        <v>207</v>
      </c>
      <c r="C44" s="65" t="s">
        <v>46</v>
      </c>
      <c r="D44" s="67">
        <v>673</v>
      </c>
      <c r="E44" s="65" t="s">
        <v>230</v>
      </c>
      <c r="F44" s="65">
        <v>177.8</v>
      </c>
      <c r="G44" s="65" t="s">
        <v>28</v>
      </c>
      <c r="H44" s="67" t="s">
        <v>50</v>
      </c>
      <c r="I44" s="61">
        <v>565.79999999999995</v>
      </c>
      <c r="J44" s="65" t="s">
        <v>248</v>
      </c>
      <c r="K44" s="65"/>
      <c r="L44" s="65">
        <v>175</v>
      </c>
      <c r="M44" s="68"/>
      <c r="N44" s="83">
        <v>4.2</v>
      </c>
      <c r="O44" s="68"/>
      <c r="P44" s="83">
        <v>43.167948214285715</v>
      </c>
      <c r="Q44" s="73">
        <f t="shared" ref="Q44" si="21">LEFT(H44,(FIND("K",H44,1)-1))*J44/100</f>
        <v>5.0999999999999996</v>
      </c>
      <c r="R44" s="72">
        <v>2</v>
      </c>
      <c r="S44" s="70">
        <v>3.1</v>
      </c>
      <c r="T44" s="73">
        <v>1</v>
      </c>
      <c r="U44" s="73">
        <f t="shared" ref="U44" si="22">T44/R44</f>
        <v>0.5</v>
      </c>
      <c r="V44" s="71">
        <f t="shared" si="9"/>
        <v>35.483870967741936</v>
      </c>
      <c r="W44" s="72">
        <v>0.4</v>
      </c>
      <c r="X44" s="73">
        <f t="shared" ref="X44" si="23">S44/Q44</f>
        <v>0.60784313725490202</v>
      </c>
      <c r="Y44" s="73">
        <f t="shared" si="3"/>
        <v>1.96</v>
      </c>
      <c r="Z44" s="73">
        <f t="shared" si="4"/>
        <v>3.0379999999999998</v>
      </c>
      <c r="AA44" s="73">
        <f t="shared" si="5"/>
        <v>0.98</v>
      </c>
      <c r="AB44" s="73">
        <f>U44</f>
        <v>0.5</v>
      </c>
      <c r="AC44" s="73">
        <f t="shared" ref="AC44" si="24">V44</f>
        <v>35.483870967741936</v>
      </c>
      <c r="AD44" s="65">
        <v>31</v>
      </c>
      <c r="AE44" s="73">
        <f t="shared" ref="AE44" si="25">Y44*AD44</f>
        <v>60.76</v>
      </c>
      <c r="AF44" s="80"/>
    </row>
    <row r="45" spans="1:32" s="8" customFormat="1" ht="15.75" x14ac:dyDescent="0.2">
      <c r="A45" s="65">
        <v>32</v>
      </c>
      <c r="B45" s="66" t="s">
        <v>60</v>
      </c>
      <c r="C45" s="65" t="s">
        <v>46</v>
      </c>
      <c r="D45" s="67">
        <v>638.9</v>
      </c>
      <c r="E45" s="65" t="s">
        <v>95</v>
      </c>
      <c r="F45" s="65">
        <v>177.8</v>
      </c>
      <c r="G45" s="65" t="s">
        <v>28</v>
      </c>
      <c r="H45" s="67" t="s">
        <v>48</v>
      </c>
      <c r="I45" s="61">
        <v>546.64</v>
      </c>
      <c r="J45" s="65" t="s">
        <v>239</v>
      </c>
      <c r="K45" s="65"/>
      <c r="L45" s="68">
        <v>463</v>
      </c>
      <c r="M45" s="68"/>
      <c r="N45" s="65">
        <v>7.2</v>
      </c>
      <c r="O45" s="68"/>
      <c r="P45" s="69">
        <v>16.179608816326528</v>
      </c>
      <c r="Q45" s="70">
        <f t="shared" si="19"/>
        <v>13</v>
      </c>
      <c r="R45" s="71">
        <v>2</v>
      </c>
      <c r="S45" s="70">
        <v>6.8</v>
      </c>
      <c r="T45" s="70">
        <v>78</v>
      </c>
      <c r="U45" s="70">
        <f t="shared" si="8"/>
        <v>39</v>
      </c>
      <c r="V45" s="71">
        <f t="shared" si="9"/>
        <v>70.588235294117652</v>
      </c>
      <c r="W45" s="72">
        <v>0.3</v>
      </c>
      <c r="X45" s="73">
        <f t="shared" si="11"/>
        <v>0.52307692307692311</v>
      </c>
      <c r="Y45" s="73">
        <f t="shared" si="3"/>
        <v>1.96</v>
      </c>
      <c r="Z45" s="73">
        <f t="shared" si="4"/>
        <v>6.6639999999999997</v>
      </c>
      <c r="AA45" s="73">
        <f t="shared" si="5"/>
        <v>76.44</v>
      </c>
      <c r="AB45" s="73">
        <f t="shared" ref="AB45:AB49" si="26">U45</f>
        <v>39</v>
      </c>
      <c r="AC45" s="73">
        <f t="shared" si="2"/>
        <v>70.588235294117652</v>
      </c>
      <c r="AD45" s="65">
        <v>31</v>
      </c>
      <c r="AE45" s="73">
        <f t="shared" si="12"/>
        <v>60.76</v>
      </c>
      <c r="AF45" s="80"/>
    </row>
    <row r="46" spans="1:32" s="8" customFormat="1" ht="15.75" x14ac:dyDescent="0.2">
      <c r="A46" s="65">
        <v>33</v>
      </c>
      <c r="B46" s="66" t="s">
        <v>119</v>
      </c>
      <c r="C46" s="65" t="s">
        <v>46</v>
      </c>
      <c r="D46" s="67">
        <v>654.07000000000005</v>
      </c>
      <c r="E46" s="65" t="s">
        <v>126</v>
      </c>
      <c r="F46" s="65">
        <v>177.8</v>
      </c>
      <c r="G46" s="65" t="s">
        <v>28</v>
      </c>
      <c r="H46" s="67" t="s">
        <v>48</v>
      </c>
      <c r="I46" s="61">
        <v>526.6</v>
      </c>
      <c r="J46" s="65"/>
      <c r="K46" s="68">
        <v>260</v>
      </c>
      <c r="L46" s="65"/>
      <c r="M46" s="68">
        <v>0.6</v>
      </c>
      <c r="N46" s="65"/>
      <c r="O46" s="68"/>
      <c r="P46" s="69"/>
      <c r="Q46" s="70">
        <f t="shared" si="19"/>
        <v>0</v>
      </c>
      <c r="R46" s="71"/>
      <c r="S46" s="70">
        <v>0</v>
      </c>
      <c r="T46" s="70"/>
      <c r="U46" s="70">
        <v>0</v>
      </c>
      <c r="V46" s="71">
        <v>0</v>
      </c>
      <c r="W46" s="72">
        <v>0</v>
      </c>
      <c r="X46" s="73">
        <v>0</v>
      </c>
      <c r="Y46" s="73">
        <f t="shared" si="3"/>
        <v>0</v>
      </c>
      <c r="Z46" s="73">
        <f t="shared" si="4"/>
        <v>0</v>
      </c>
      <c r="AA46" s="73">
        <f t="shared" si="5"/>
        <v>0</v>
      </c>
      <c r="AB46" s="73">
        <f t="shared" si="26"/>
        <v>0</v>
      </c>
      <c r="AC46" s="73">
        <f t="shared" si="2"/>
        <v>0</v>
      </c>
      <c r="AD46" s="65">
        <v>0</v>
      </c>
      <c r="AE46" s="73">
        <f t="shared" si="12"/>
        <v>0</v>
      </c>
      <c r="AF46" s="89" t="s">
        <v>215</v>
      </c>
    </row>
    <row r="47" spans="1:32" s="8" customFormat="1" ht="15.75" x14ac:dyDescent="0.2">
      <c r="A47" s="65">
        <v>34</v>
      </c>
      <c r="B47" s="66" t="s">
        <v>118</v>
      </c>
      <c r="C47" s="65" t="s">
        <v>46</v>
      </c>
      <c r="D47" s="67">
        <v>728.77</v>
      </c>
      <c r="E47" s="65" t="s">
        <v>133</v>
      </c>
      <c r="F47" s="65">
        <v>177.8</v>
      </c>
      <c r="G47" s="65" t="s">
        <v>28</v>
      </c>
      <c r="H47" s="67" t="s">
        <v>48</v>
      </c>
      <c r="I47" s="61">
        <v>557.04999999999995</v>
      </c>
      <c r="J47" s="65" t="s">
        <v>239</v>
      </c>
      <c r="K47" s="65"/>
      <c r="L47" s="68">
        <v>432</v>
      </c>
      <c r="M47" s="68"/>
      <c r="N47" s="65">
        <v>8</v>
      </c>
      <c r="O47" s="68"/>
      <c r="P47" s="69">
        <v>22.048491836734691</v>
      </c>
      <c r="Q47" s="70">
        <f t="shared" si="19"/>
        <v>13</v>
      </c>
      <c r="R47" s="71">
        <v>6</v>
      </c>
      <c r="S47" s="70">
        <v>10.7</v>
      </c>
      <c r="T47" s="70">
        <v>77</v>
      </c>
      <c r="U47" s="70">
        <f>T47/R47</f>
        <v>12.833333333333334</v>
      </c>
      <c r="V47" s="71">
        <f t="shared" si="9"/>
        <v>43.925233644859809</v>
      </c>
      <c r="W47" s="72">
        <v>0.3</v>
      </c>
      <c r="X47" s="73">
        <f t="shared" ref="X47:X53" si="27">S47/Q47</f>
        <v>0.82307692307692304</v>
      </c>
      <c r="Y47" s="73">
        <f t="shared" si="3"/>
        <v>5.88</v>
      </c>
      <c r="Z47" s="73">
        <f t="shared" si="4"/>
        <v>10.485999999999999</v>
      </c>
      <c r="AA47" s="73">
        <f t="shared" si="5"/>
        <v>75.459999999999994</v>
      </c>
      <c r="AB47" s="73">
        <f t="shared" si="26"/>
        <v>12.833333333333334</v>
      </c>
      <c r="AC47" s="73">
        <f t="shared" si="2"/>
        <v>43.925233644859809</v>
      </c>
      <c r="AD47" s="65">
        <v>31</v>
      </c>
      <c r="AE47" s="73">
        <f t="shared" si="12"/>
        <v>182.28</v>
      </c>
      <c r="AF47" s="80"/>
    </row>
    <row r="48" spans="1:32" s="8" customFormat="1" ht="15.75" x14ac:dyDescent="0.2">
      <c r="A48" s="65">
        <v>35</v>
      </c>
      <c r="B48" s="66" t="s">
        <v>117</v>
      </c>
      <c r="C48" s="65" t="s">
        <v>46</v>
      </c>
      <c r="D48" s="67">
        <v>671.45</v>
      </c>
      <c r="E48" s="65" t="s">
        <v>128</v>
      </c>
      <c r="F48" s="65">
        <v>177.8</v>
      </c>
      <c r="G48" s="65" t="s">
        <v>28</v>
      </c>
      <c r="H48" s="67" t="s">
        <v>187</v>
      </c>
      <c r="I48" s="61">
        <v>559.39</v>
      </c>
      <c r="J48" s="65" t="s">
        <v>254</v>
      </c>
      <c r="K48" s="65"/>
      <c r="L48" s="68">
        <v>408</v>
      </c>
      <c r="M48" s="68"/>
      <c r="N48" s="65">
        <v>0.1</v>
      </c>
      <c r="O48" s="68"/>
      <c r="P48" s="69">
        <v>16.020007755102039</v>
      </c>
      <c r="Q48" s="70">
        <f t="shared" si="19"/>
        <v>15</v>
      </c>
      <c r="R48" s="71">
        <v>2</v>
      </c>
      <c r="S48" s="70">
        <v>2.6</v>
      </c>
      <c r="T48" s="70">
        <v>0</v>
      </c>
      <c r="U48" s="70">
        <f t="shared" ref="U48:U55" si="28">T48/R48</f>
        <v>0</v>
      </c>
      <c r="V48" s="71">
        <f t="shared" si="9"/>
        <v>23.076923076923077</v>
      </c>
      <c r="W48" s="72">
        <v>0.3</v>
      </c>
      <c r="X48" s="73">
        <v>0</v>
      </c>
      <c r="Y48" s="73">
        <f t="shared" si="3"/>
        <v>1.96</v>
      </c>
      <c r="Z48" s="73">
        <f t="shared" si="4"/>
        <v>2.548</v>
      </c>
      <c r="AA48" s="73">
        <f t="shared" si="5"/>
        <v>0</v>
      </c>
      <c r="AB48" s="73">
        <f t="shared" si="26"/>
        <v>0</v>
      </c>
      <c r="AC48" s="73">
        <f t="shared" si="2"/>
        <v>23.076923076923077</v>
      </c>
      <c r="AD48" s="65">
        <v>31</v>
      </c>
      <c r="AE48" s="73">
        <f t="shared" si="12"/>
        <v>60.76</v>
      </c>
      <c r="AF48" s="74"/>
    </row>
    <row r="49" spans="1:5203" s="36" customFormat="1" ht="15.75" x14ac:dyDescent="0.2">
      <c r="A49" s="65">
        <v>36</v>
      </c>
      <c r="B49" s="66" t="s">
        <v>130</v>
      </c>
      <c r="C49" s="65" t="s">
        <v>46</v>
      </c>
      <c r="D49" s="67">
        <v>622.6</v>
      </c>
      <c r="E49" s="65" t="s">
        <v>134</v>
      </c>
      <c r="F49" s="65">
        <v>177.8</v>
      </c>
      <c r="G49" s="65" t="s">
        <v>28</v>
      </c>
      <c r="H49" s="67" t="s">
        <v>48</v>
      </c>
      <c r="I49" s="61">
        <v>551.79999999999995</v>
      </c>
      <c r="J49" s="65" t="s">
        <v>248</v>
      </c>
      <c r="K49" s="65"/>
      <c r="L49" s="68">
        <v>86</v>
      </c>
      <c r="M49" s="68"/>
      <c r="N49" s="65">
        <v>4.3</v>
      </c>
      <c r="O49" s="68"/>
      <c r="P49" s="69">
        <v>53.515737551020401</v>
      </c>
      <c r="Q49" s="70">
        <f t="shared" ref="Q49:Q56" si="29">LEFT(H49,(FIND("K",H49,1)-1))*J49/100</f>
        <v>11.05</v>
      </c>
      <c r="R49" s="71">
        <v>2</v>
      </c>
      <c r="S49" s="70">
        <v>9.3000000000000007</v>
      </c>
      <c r="T49" s="70">
        <v>0</v>
      </c>
      <c r="U49" s="70">
        <f t="shared" si="28"/>
        <v>0</v>
      </c>
      <c r="V49" s="71">
        <f t="shared" si="9"/>
        <v>78.494623655913969</v>
      </c>
      <c r="W49" s="72"/>
      <c r="X49" s="73">
        <v>0</v>
      </c>
      <c r="Y49" s="73">
        <f t="shared" si="3"/>
        <v>1.96</v>
      </c>
      <c r="Z49" s="73">
        <f t="shared" si="4"/>
        <v>9.1140000000000008</v>
      </c>
      <c r="AA49" s="73">
        <f t="shared" si="5"/>
        <v>0</v>
      </c>
      <c r="AB49" s="73">
        <f t="shared" si="26"/>
        <v>0</v>
      </c>
      <c r="AC49" s="73">
        <f t="shared" si="2"/>
        <v>78.494623655913969</v>
      </c>
      <c r="AD49" s="65">
        <v>31</v>
      </c>
      <c r="AE49" s="73">
        <f t="shared" ref="AE49:AE56" si="30">Y49*AD49</f>
        <v>60.76</v>
      </c>
      <c r="AF49" s="74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  <c r="SR49" s="19"/>
      <c r="SS49" s="19"/>
      <c r="ST49" s="19"/>
      <c r="SU49" s="19"/>
      <c r="SV49" s="19"/>
      <c r="SW49" s="19"/>
      <c r="SX49" s="19"/>
      <c r="SY49" s="19"/>
      <c r="SZ49" s="19"/>
      <c r="TA49" s="19"/>
      <c r="TB49" s="19"/>
      <c r="TC49" s="19"/>
      <c r="TD49" s="19"/>
      <c r="TE49" s="19"/>
      <c r="TF49" s="19"/>
      <c r="TG49" s="19"/>
      <c r="TH49" s="19"/>
      <c r="TI49" s="19"/>
      <c r="TJ49" s="19"/>
      <c r="TK49" s="19"/>
      <c r="TL49" s="19"/>
      <c r="TM49" s="19"/>
      <c r="TN49" s="19"/>
      <c r="TO49" s="19"/>
      <c r="TP49" s="19"/>
      <c r="TQ49" s="19"/>
      <c r="TR49" s="19"/>
      <c r="TS49" s="19"/>
      <c r="TT49" s="19"/>
      <c r="TU49" s="19"/>
      <c r="TV49" s="19"/>
      <c r="TW49" s="19"/>
      <c r="TX49" s="19"/>
      <c r="TY49" s="19"/>
      <c r="TZ49" s="19"/>
      <c r="UA49" s="19"/>
      <c r="UB49" s="19"/>
      <c r="UC49" s="19"/>
      <c r="UD49" s="19"/>
      <c r="UE49" s="19"/>
      <c r="UF49" s="19"/>
      <c r="UG49" s="19"/>
      <c r="UH49" s="19"/>
      <c r="UI49" s="19"/>
      <c r="UJ49" s="19"/>
      <c r="UK49" s="19"/>
      <c r="UL49" s="19"/>
      <c r="UM49" s="19"/>
      <c r="UN49" s="19"/>
      <c r="UO49" s="19"/>
      <c r="UP49" s="19"/>
      <c r="UQ49" s="19"/>
      <c r="UR49" s="19"/>
      <c r="US49" s="19"/>
      <c r="UT49" s="19"/>
      <c r="UU49" s="19"/>
      <c r="UV49" s="19"/>
      <c r="UW49" s="19"/>
      <c r="UX49" s="19"/>
      <c r="UY49" s="19"/>
      <c r="UZ49" s="19"/>
      <c r="VA49" s="19"/>
      <c r="VB49" s="19"/>
      <c r="VC49" s="19"/>
      <c r="VD49" s="19"/>
      <c r="VE49" s="19"/>
      <c r="VF49" s="19"/>
      <c r="VG49" s="19"/>
      <c r="VH49" s="19"/>
      <c r="VI49" s="19"/>
      <c r="VJ49" s="19"/>
      <c r="VK49" s="19"/>
      <c r="VL49" s="19"/>
      <c r="VM49" s="19"/>
      <c r="VN49" s="19"/>
      <c r="VO49" s="19"/>
      <c r="VP49" s="19"/>
      <c r="VQ49" s="19"/>
      <c r="VR49" s="19"/>
      <c r="VS49" s="19"/>
      <c r="VT49" s="19"/>
      <c r="VU49" s="19"/>
      <c r="VV49" s="19"/>
      <c r="VW49" s="19"/>
      <c r="VX49" s="19"/>
      <c r="VY49" s="19"/>
      <c r="VZ49" s="19"/>
      <c r="WA49" s="19"/>
      <c r="WB49" s="19"/>
      <c r="WC49" s="19"/>
      <c r="WD49" s="19"/>
      <c r="WE49" s="19"/>
      <c r="WF49" s="19"/>
      <c r="WG49" s="19"/>
      <c r="WH49" s="19"/>
      <c r="WI49" s="19"/>
      <c r="WJ49" s="19"/>
      <c r="WK49" s="19"/>
      <c r="WL49" s="19"/>
      <c r="WM49" s="19"/>
      <c r="WN49" s="19"/>
      <c r="WO49" s="19"/>
      <c r="WP49" s="19"/>
      <c r="WQ49" s="19"/>
      <c r="WR49" s="19"/>
      <c r="WS49" s="19"/>
      <c r="WT49" s="19"/>
      <c r="WU49" s="19"/>
      <c r="WV49" s="19"/>
      <c r="WW49" s="19"/>
      <c r="WX49" s="19"/>
      <c r="WY49" s="19"/>
      <c r="WZ49" s="19"/>
      <c r="XA49" s="19"/>
      <c r="XB49" s="19"/>
      <c r="XC49" s="19"/>
      <c r="XD49" s="19"/>
      <c r="XE49" s="19"/>
      <c r="XF49" s="19"/>
      <c r="XG49" s="19"/>
      <c r="XH49" s="19"/>
      <c r="XI49" s="19"/>
      <c r="XJ49" s="19"/>
      <c r="XK49" s="19"/>
      <c r="XL49" s="19"/>
      <c r="XM49" s="19"/>
      <c r="XN49" s="19"/>
      <c r="XO49" s="19"/>
      <c r="XP49" s="19"/>
      <c r="XQ49" s="19"/>
      <c r="XR49" s="19"/>
      <c r="XS49" s="19"/>
      <c r="XT49" s="19"/>
      <c r="XU49" s="19"/>
      <c r="XV49" s="19"/>
      <c r="XW49" s="19"/>
      <c r="XX49" s="19"/>
      <c r="XY49" s="19"/>
      <c r="XZ49" s="19"/>
      <c r="YA49" s="19"/>
      <c r="YB49" s="19"/>
      <c r="YC49" s="19"/>
      <c r="YD49" s="19"/>
      <c r="YE49" s="19"/>
      <c r="YF49" s="19"/>
      <c r="YG49" s="19"/>
      <c r="YH49" s="19"/>
      <c r="YI49" s="19"/>
      <c r="YJ49" s="19"/>
      <c r="YK49" s="19"/>
      <c r="YL49" s="19"/>
      <c r="YM49" s="19"/>
      <c r="YN49" s="19"/>
      <c r="YO49" s="19"/>
      <c r="YP49" s="19"/>
      <c r="YQ49" s="19"/>
      <c r="YR49" s="19"/>
      <c r="YS49" s="19"/>
      <c r="YT49" s="19"/>
      <c r="YU49" s="19"/>
      <c r="YV49" s="19"/>
      <c r="YW49" s="19"/>
      <c r="YX49" s="19"/>
      <c r="YY49" s="19"/>
      <c r="YZ49" s="19"/>
      <c r="ZA49" s="19"/>
      <c r="ZB49" s="19"/>
      <c r="ZC49" s="19"/>
      <c r="ZD49" s="19"/>
      <c r="ZE49" s="19"/>
      <c r="ZF49" s="19"/>
      <c r="ZG49" s="19"/>
      <c r="ZH49" s="19"/>
      <c r="ZI49" s="19"/>
      <c r="ZJ49" s="19"/>
      <c r="ZK49" s="19"/>
      <c r="ZL49" s="19"/>
      <c r="ZM49" s="19"/>
      <c r="ZN49" s="19"/>
      <c r="ZO49" s="19"/>
      <c r="ZP49" s="19"/>
      <c r="ZQ49" s="19"/>
      <c r="ZR49" s="19"/>
      <c r="ZS49" s="19"/>
      <c r="ZT49" s="19"/>
      <c r="ZU49" s="19"/>
      <c r="ZV49" s="19"/>
      <c r="ZW49" s="19"/>
      <c r="ZX49" s="19"/>
      <c r="ZY49" s="19"/>
      <c r="ZZ49" s="19"/>
      <c r="AAA49" s="19"/>
      <c r="AAB49" s="19"/>
      <c r="AAC49" s="19"/>
      <c r="AAD49" s="19"/>
      <c r="AAE49" s="19"/>
      <c r="AAF49" s="19"/>
      <c r="AAG49" s="19"/>
      <c r="AAH49" s="19"/>
      <c r="AAI49" s="19"/>
      <c r="AAJ49" s="19"/>
      <c r="AAK49" s="19"/>
      <c r="AAL49" s="19"/>
      <c r="AAM49" s="19"/>
      <c r="AAN49" s="19"/>
      <c r="AAO49" s="19"/>
      <c r="AAP49" s="19"/>
      <c r="AAQ49" s="19"/>
      <c r="AAR49" s="19"/>
      <c r="AAS49" s="19"/>
      <c r="AAT49" s="19"/>
      <c r="AAU49" s="19"/>
      <c r="AAV49" s="19"/>
      <c r="AAW49" s="19"/>
      <c r="AAX49" s="19"/>
      <c r="AAY49" s="19"/>
      <c r="AAZ49" s="19"/>
      <c r="ABA49" s="19"/>
      <c r="ABB49" s="19"/>
      <c r="ABC49" s="19"/>
      <c r="ABD49" s="19"/>
      <c r="ABE49" s="19"/>
      <c r="ABF49" s="19"/>
      <c r="ABG49" s="19"/>
      <c r="ABH49" s="19"/>
      <c r="ABI49" s="19"/>
      <c r="ABJ49" s="19"/>
      <c r="ABK49" s="19"/>
      <c r="ABL49" s="19"/>
      <c r="ABM49" s="19"/>
      <c r="ABN49" s="19"/>
      <c r="ABO49" s="19"/>
      <c r="ABP49" s="19"/>
      <c r="ABQ49" s="19"/>
      <c r="ABR49" s="19"/>
      <c r="ABS49" s="19"/>
      <c r="ABT49" s="19"/>
      <c r="ABU49" s="19"/>
      <c r="ABV49" s="19"/>
      <c r="ABW49" s="19"/>
      <c r="ABX49" s="19"/>
      <c r="ABY49" s="19"/>
      <c r="ABZ49" s="19"/>
      <c r="ACA49" s="19"/>
      <c r="ACB49" s="19"/>
      <c r="ACC49" s="19"/>
      <c r="ACD49" s="19"/>
      <c r="ACE49" s="19"/>
      <c r="ACF49" s="19"/>
      <c r="ACG49" s="19"/>
      <c r="ACH49" s="19"/>
      <c r="ACI49" s="19"/>
      <c r="ACJ49" s="19"/>
      <c r="ACK49" s="19"/>
      <c r="ACL49" s="19"/>
      <c r="ACM49" s="19"/>
      <c r="ACN49" s="19"/>
      <c r="ACO49" s="19"/>
      <c r="ACP49" s="19"/>
      <c r="ACQ49" s="19"/>
      <c r="ACR49" s="19"/>
      <c r="ACS49" s="19"/>
      <c r="ACT49" s="19"/>
      <c r="ACU49" s="19"/>
      <c r="ACV49" s="19"/>
      <c r="ACW49" s="19"/>
      <c r="ACX49" s="19"/>
      <c r="ACY49" s="19"/>
      <c r="ACZ49" s="19"/>
      <c r="ADA49" s="19"/>
      <c r="ADB49" s="19"/>
      <c r="ADC49" s="19"/>
      <c r="ADD49" s="19"/>
      <c r="ADE49" s="19"/>
      <c r="ADF49" s="19"/>
      <c r="ADG49" s="19"/>
      <c r="ADH49" s="19"/>
      <c r="ADI49" s="19"/>
      <c r="ADJ49" s="19"/>
      <c r="ADK49" s="19"/>
      <c r="ADL49" s="19"/>
      <c r="ADM49" s="19"/>
      <c r="ADN49" s="19"/>
      <c r="ADO49" s="19"/>
      <c r="ADP49" s="19"/>
      <c r="ADQ49" s="19"/>
      <c r="ADR49" s="19"/>
      <c r="ADS49" s="19"/>
      <c r="ADT49" s="19"/>
      <c r="ADU49" s="19"/>
      <c r="ADV49" s="19"/>
      <c r="ADW49" s="19"/>
      <c r="ADX49" s="19"/>
      <c r="ADY49" s="19"/>
      <c r="ADZ49" s="19"/>
      <c r="AEA49" s="19"/>
      <c r="AEB49" s="19"/>
      <c r="AEC49" s="19"/>
      <c r="AED49" s="19"/>
      <c r="AEE49" s="19"/>
      <c r="AEF49" s="19"/>
      <c r="AEG49" s="19"/>
      <c r="AEH49" s="19"/>
      <c r="AEI49" s="19"/>
      <c r="AEJ49" s="19"/>
      <c r="AEK49" s="19"/>
      <c r="AEL49" s="19"/>
      <c r="AEM49" s="19"/>
      <c r="AEN49" s="19"/>
      <c r="AEO49" s="19"/>
      <c r="AEP49" s="19"/>
      <c r="AEQ49" s="19"/>
      <c r="AER49" s="19"/>
      <c r="AES49" s="19"/>
      <c r="AET49" s="19"/>
      <c r="AEU49" s="19"/>
      <c r="AEV49" s="19"/>
      <c r="AEW49" s="19"/>
      <c r="AEX49" s="19"/>
      <c r="AEY49" s="19"/>
      <c r="AEZ49" s="19"/>
      <c r="AFA49" s="19"/>
      <c r="AFB49" s="19"/>
      <c r="AFC49" s="19"/>
      <c r="AFD49" s="19"/>
      <c r="AFE49" s="19"/>
      <c r="AFF49" s="19"/>
      <c r="AFG49" s="19"/>
      <c r="AFH49" s="19"/>
      <c r="AFI49" s="19"/>
      <c r="AFJ49" s="19"/>
      <c r="AFK49" s="19"/>
      <c r="AFL49" s="19"/>
      <c r="AFM49" s="19"/>
      <c r="AFN49" s="19"/>
      <c r="AFO49" s="19"/>
      <c r="AFP49" s="19"/>
      <c r="AFQ49" s="19"/>
      <c r="AFR49" s="19"/>
      <c r="AFS49" s="19"/>
      <c r="AFT49" s="19"/>
      <c r="AFU49" s="19"/>
      <c r="AFV49" s="19"/>
      <c r="AFW49" s="19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  <c r="AQZ49" s="19"/>
      <c r="ARA49" s="19"/>
      <c r="ARB49" s="19"/>
      <c r="ARC49" s="19"/>
      <c r="ARD49" s="19"/>
      <c r="ARE49" s="19"/>
      <c r="ARF49" s="19"/>
      <c r="ARG49" s="19"/>
      <c r="ARH49" s="19"/>
      <c r="ARI49" s="19"/>
      <c r="ARJ49" s="19"/>
      <c r="ARK49" s="19"/>
      <c r="ARL49" s="19"/>
      <c r="ARM49" s="19"/>
      <c r="ARN49" s="19"/>
      <c r="ARO49" s="19"/>
      <c r="ARP49" s="19"/>
      <c r="ARQ49" s="19"/>
      <c r="ARR49" s="19"/>
      <c r="ARS49" s="19"/>
      <c r="ART49" s="19"/>
      <c r="ARU49" s="19"/>
      <c r="ARV49" s="19"/>
      <c r="ARW49" s="19"/>
      <c r="ARX49" s="19"/>
      <c r="ARY49" s="19"/>
      <c r="ARZ49" s="19"/>
      <c r="ASA49" s="19"/>
      <c r="ASB49" s="19"/>
      <c r="ASC49" s="19"/>
      <c r="ASD49" s="19"/>
      <c r="ASE49" s="19"/>
      <c r="ASF49" s="19"/>
      <c r="ASG49" s="19"/>
      <c r="ASH49" s="19"/>
      <c r="ASI49" s="19"/>
      <c r="ASJ49" s="19"/>
      <c r="ASK49" s="19"/>
      <c r="ASL49" s="19"/>
      <c r="ASM49" s="19"/>
      <c r="ASN49" s="19"/>
      <c r="ASO49" s="19"/>
      <c r="ASP49" s="19"/>
      <c r="ASQ49" s="19"/>
      <c r="ASR49" s="19"/>
      <c r="ASS49" s="19"/>
      <c r="AST49" s="19"/>
      <c r="ASU49" s="19"/>
      <c r="ASV49" s="19"/>
      <c r="ASW49" s="19"/>
      <c r="ASX49" s="19"/>
      <c r="ASY49" s="19"/>
      <c r="ASZ49" s="19"/>
      <c r="ATA49" s="19"/>
      <c r="ATB49" s="19"/>
      <c r="ATC49" s="19"/>
      <c r="ATD49" s="19"/>
      <c r="ATE49" s="19"/>
      <c r="ATF49" s="19"/>
      <c r="ATG49" s="19"/>
      <c r="ATH49" s="19"/>
      <c r="ATI49" s="19"/>
      <c r="ATJ49" s="19"/>
      <c r="ATK49" s="19"/>
      <c r="ATL49" s="19"/>
      <c r="ATM49" s="19"/>
      <c r="ATN49" s="19"/>
      <c r="ATO49" s="19"/>
      <c r="ATP49" s="19"/>
      <c r="ATQ49" s="19"/>
      <c r="ATR49" s="19"/>
      <c r="ATS49" s="19"/>
      <c r="ATT49" s="19"/>
      <c r="ATU49" s="19"/>
      <c r="ATV49" s="19"/>
      <c r="ATW49" s="19"/>
      <c r="ATX49" s="19"/>
      <c r="ATY49" s="19"/>
      <c r="ATZ49" s="19"/>
      <c r="AUA49" s="19"/>
      <c r="AUB49" s="19"/>
      <c r="AUC49" s="19"/>
      <c r="AUD49" s="19"/>
      <c r="AUE49" s="19"/>
      <c r="AUF49" s="19"/>
      <c r="AUG49" s="19"/>
      <c r="AUH49" s="19"/>
      <c r="AUI49" s="19"/>
      <c r="AUJ49" s="19"/>
      <c r="AUK49" s="19"/>
      <c r="AUL49" s="19"/>
      <c r="AUM49" s="19"/>
      <c r="AUN49" s="19"/>
      <c r="AUO49" s="19"/>
      <c r="AUP49" s="19"/>
      <c r="AUQ49" s="19"/>
      <c r="AUR49" s="19"/>
      <c r="AUS49" s="19"/>
      <c r="AUT49" s="19"/>
      <c r="AUU49" s="19"/>
      <c r="AUV49" s="19"/>
      <c r="AUW49" s="19"/>
      <c r="AUX49" s="19"/>
      <c r="AUY49" s="19"/>
      <c r="AUZ49" s="19"/>
      <c r="AVA49" s="19"/>
      <c r="AVB49" s="19"/>
      <c r="AVC49" s="19"/>
      <c r="AVD49" s="19"/>
      <c r="AVE49" s="19"/>
      <c r="AVF49" s="19"/>
      <c r="AVG49" s="19"/>
      <c r="AVH49" s="19"/>
      <c r="AVI49" s="19"/>
      <c r="AVJ49" s="19"/>
      <c r="AVK49" s="19"/>
      <c r="AVL49" s="19"/>
      <c r="AVM49" s="19"/>
      <c r="AVN49" s="19"/>
      <c r="AVO49" s="19"/>
      <c r="AVP49" s="19"/>
      <c r="AVQ49" s="19"/>
      <c r="AVR49" s="19"/>
      <c r="AVS49" s="19"/>
      <c r="AVT49" s="19"/>
      <c r="AVU49" s="19"/>
      <c r="AVV49" s="19"/>
      <c r="AVW49" s="19"/>
      <c r="AVX49" s="19"/>
      <c r="AVY49" s="19"/>
      <c r="AVZ49" s="19"/>
      <c r="AWA49" s="19"/>
      <c r="AWB49" s="19"/>
      <c r="AWC49" s="19"/>
      <c r="AWD49" s="19"/>
      <c r="AWE49" s="19"/>
      <c r="AWF49" s="19"/>
      <c r="AWG49" s="19"/>
      <c r="AWH49" s="19"/>
      <c r="AWI49" s="19"/>
      <c r="AWJ49" s="19"/>
      <c r="AWK49" s="19"/>
      <c r="AWL49" s="19"/>
      <c r="AWM49" s="19"/>
      <c r="AWN49" s="19"/>
      <c r="AWO49" s="19"/>
      <c r="AWP49" s="19"/>
      <c r="AWQ49" s="19"/>
      <c r="AWR49" s="19"/>
      <c r="AWS49" s="19"/>
      <c r="AWT49" s="19"/>
      <c r="AWU49" s="19"/>
      <c r="AWV49" s="19"/>
      <c r="AWW49" s="19"/>
      <c r="AWX49" s="19"/>
      <c r="AWY49" s="19"/>
      <c r="AWZ49" s="19"/>
      <c r="AXA49" s="19"/>
      <c r="AXB49" s="19"/>
      <c r="AXC49" s="19"/>
      <c r="AXD49" s="19"/>
      <c r="AXE49" s="19"/>
      <c r="AXF49" s="19"/>
      <c r="AXG49" s="19"/>
      <c r="AXH49" s="19"/>
      <c r="AXI49" s="19"/>
      <c r="AXJ49" s="19"/>
      <c r="AXK49" s="19"/>
      <c r="AXL49" s="19"/>
      <c r="AXM49" s="19"/>
      <c r="AXN49" s="19"/>
      <c r="AXO49" s="19"/>
      <c r="AXP49" s="19"/>
      <c r="AXQ49" s="19"/>
      <c r="AXR49" s="19"/>
      <c r="AXS49" s="19"/>
      <c r="AXT49" s="19"/>
      <c r="AXU49" s="19"/>
      <c r="AXV49" s="19"/>
      <c r="AXW49" s="19"/>
      <c r="AXX49" s="19"/>
      <c r="AXY49" s="19"/>
      <c r="AXZ49" s="19"/>
      <c r="AYA49" s="19"/>
      <c r="AYB49" s="19"/>
      <c r="AYC49" s="19"/>
      <c r="AYD49" s="19"/>
      <c r="AYE49" s="19"/>
      <c r="AYF49" s="19"/>
      <c r="AYG49" s="19"/>
      <c r="AYH49" s="19"/>
      <c r="AYI49" s="19"/>
      <c r="AYJ49" s="19"/>
      <c r="AYK49" s="19"/>
      <c r="AYL49" s="19"/>
      <c r="AYM49" s="19"/>
      <c r="AYN49" s="19"/>
      <c r="AYO49" s="19"/>
      <c r="AYP49" s="19"/>
      <c r="AYQ49" s="19"/>
      <c r="AYR49" s="19"/>
      <c r="AYS49" s="19"/>
      <c r="AYT49" s="19"/>
      <c r="AYU49" s="19"/>
      <c r="AYV49" s="19"/>
      <c r="AYW49" s="19"/>
      <c r="AYX49" s="19"/>
      <c r="AYY49" s="19"/>
      <c r="AYZ49" s="19"/>
      <c r="AZA49" s="19"/>
      <c r="AZB49" s="19"/>
      <c r="AZC49" s="19"/>
      <c r="AZD49" s="19"/>
      <c r="AZE49" s="19"/>
      <c r="AZF49" s="19"/>
      <c r="AZG49" s="19"/>
      <c r="AZH49" s="19"/>
      <c r="AZI49" s="19"/>
      <c r="AZJ49" s="19"/>
      <c r="AZK49" s="19"/>
      <c r="AZL49" s="19"/>
      <c r="AZM49" s="19"/>
      <c r="AZN49" s="19"/>
      <c r="AZO49" s="19"/>
      <c r="AZP49" s="19"/>
      <c r="AZQ49" s="19"/>
      <c r="AZR49" s="19"/>
      <c r="AZS49" s="19"/>
      <c r="AZT49" s="19"/>
      <c r="AZU49" s="19"/>
      <c r="AZV49" s="19"/>
      <c r="AZW49" s="19"/>
      <c r="AZX49" s="19"/>
      <c r="AZY49" s="19"/>
      <c r="AZZ49" s="19"/>
      <c r="BAA49" s="19"/>
      <c r="BAB49" s="19"/>
      <c r="BAC49" s="19"/>
      <c r="BAD49" s="19"/>
      <c r="BAE49" s="19"/>
      <c r="BAF49" s="19"/>
      <c r="BAG49" s="19"/>
      <c r="BAH49" s="19"/>
      <c r="BAI49" s="19"/>
      <c r="BAJ49" s="19"/>
      <c r="BAK49" s="19"/>
      <c r="BAL49" s="19"/>
      <c r="BAM49" s="19"/>
      <c r="BAN49" s="19"/>
      <c r="BAO49" s="19"/>
      <c r="BAP49" s="19"/>
      <c r="BAQ49" s="19"/>
      <c r="BAR49" s="19"/>
      <c r="BAS49" s="19"/>
      <c r="BAT49" s="19"/>
      <c r="BAU49" s="19"/>
      <c r="BAV49" s="19"/>
      <c r="BAW49" s="19"/>
      <c r="BAX49" s="19"/>
      <c r="BAY49" s="19"/>
      <c r="BAZ49" s="19"/>
      <c r="BBA49" s="19"/>
      <c r="BBB49" s="19"/>
      <c r="BBC49" s="19"/>
      <c r="BBD49" s="19"/>
      <c r="BBE49" s="19"/>
      <c r="BBF49" s="19"/>
      <c r="BBG49" s="19"/>
      <c r="BBH49" s="19"/>
      <c r="BBI49" s="19"/>
      <c r="BBJ49" s="19"/>
      <c r="BBK49" s="19"/>
      <c r="BBL49" s="19"/>
      <c r="BBM49" s="19"/>
      <c r="BBN49" s="19"/>
      <c r="BBO49" s="19"/>
      <c r="BBP49" s="19"/>
      <c r="BBQ49" s="19"/>
      <c r="BBR49" s="19"/>
      <c r="BBS49" s="19"/>
      <c r="BBT49" s="19"/>
      <c r="BBU49" s="19"/>
      <c r="BBV49" s="19"/>
      <c r="BBW49" s="19"/>
      <c r="BBX49" s="19"/>
      <c r="BBY49" s="19"/>
      <c r="BBZ49" s="19"/>
      <c r="BCA49" s="19"/>
      <c r="BCB49" s="19"/>
      <c r="BCC49" s="19"/>
      <c r="BCD49" s="19"/>
      <c r="BCE49" s="19"/>
      <c r="BCF49" s="19"/>
      <c r="BCG49" s="19"/>
      <c r="BCH49" s="19"/>
      <c r="BCI49" s="19"/>
      <c r="BCJ49" s="19"/>
      <c r="BCK49" s="19"/>
      <c r="BCL49" s="19"/>
      <c r="BCM49" s="19"/>
      <c r="BCN49" s="19"/>
      <c r="BCO49" s="19"/>
      <c r="BCP49" s="19"/>
      <c r="BCQ49" s="19"/>
      <c r="BCR49" s="19"/>
      <c r="BCS49" s="19"/>
      <c r="BCT49" s="19"/>
      <c r="BCU49" s="19"/>
      <c r="BCV49" s="19"/>
      <c r="BCW49" s="19"/>
      <c r="BCX49" s="19"/>
      <c r="BCY49" s="19"/>
      <c r="BCZ49" s="19"/>
      <c r="BDA49" s="19"/>
      <c r="BDB49" s="19"/>
      <c r="BDC49" s="19"/>
      <c r="BDD49" s="19"/>
      <c r="BDE49" s="19"/>
      <c r="BDF49" s="19"/>
      <c r="BDG49" s="19"/>
      <c r="BDH49" s="19"/>
      <c r="BDI49" s="19"/>
      <c r="BDJ49" s="19"/>
      <c r="BDK49" s="19"/>
      <c r="BDL49" s="19"/>
      <c r="BDM49" s="19"/>
      <c r="BDN49" s="19"/>
      <c r="BDO49" s="19"/>
      <c r="BDP49" s="19"/>
      <c r="BDQ49" s="19"/>
      <c r="BDR49" s="19"/>
      <c r="BDS49" s="19"/>
      <c r="BDT49" s="19"/>
      <c r="BDU49" s="19"/>
      <c r="BDV49" s="19"/>
      <c r="BDW49" s="19"/>
      <c r="BDX49" s="19"/>
      <c r="BDY49" s="19"/>
      <c r="BDZ49" s="19"/>
      <c r="BEA49" s="19"/>
      <c r="BEB49" s="19"/>
      <c r="BEC49" s="19"/>
      <c r="BED49" s="19"/>
      <c r="BEE49" s="19"/>
      <c r="BEF49" s="19"/>
      <c r="BEG49" s="19"/>
      <c r="BEH49" s="19"/>
      <c r="BEI49" s="19"/>
      <c r="BEJ49" s="19"/>
      <c r="BEK49" s="19"/>
      <c r="BEL49" s="19"/>
      <c r="BEM49" s="19"/>
      <c r="BEN49" s="19"/>
      <c r="BEO49" s="19"/>
      <c r="BEP49" s="19"/>
      <c r="BEQ49" s="19"/>
      <c r="BER49" s="19"/>
      <c r="BES49" s="19"/>
      <c r="BET49" s="19"/>
      <c r="BEU49" s="19"/>
      <c r="BEV49" s="19"/>
      <c r="BEW49" s="19"/>
      <c r="BEX49" s="19"/>
      <c r="BEY49" s="19"/>
      <c r="BEZ49" s="19"/>
      <c r="BFA49" s="19"/>
      <c r="BFB49" s="19"/>
      <c r="BFC49" s="19"/>
      <c r="BFD49" s="19"/>
      <c r="BFE49" s="19"/>
      <c r="BFF49" s="19"/>
      <c r="BFG49" s="19"/>
      <c r="BFH49" s="19"/>
      <c r="BFI49" s="19"/>
      <c r="BFJ49" s="19"/>
      <c r="BFK49" s="19"/>
      <c r="BFL49" s="19"/>
      <c r="BFM49" s="19"/>
      <c r="BFN49" s="19"/>
      <c r="BFO49" s="19"/>
      <c r="BFP49" s="19"/>
      <c r="BFQ49" s="19"/>
      <c r="BFR49" s="19"/>
      <c r="BFS49" s="19"/>
      <c r="BFT49" s="19"/>
      <c r="BFU49" s="19"/>
      <c r="BFV49" s="19"/>
      <c r="BFW49" s="19"/>
      <c r="BFX49" s="19"/>
      <c r="BFY49" s="19"/>
      <c r="BFZ49" s="19"/>
      <c r="BGA49" s="19"/>
      <c r="BGB49" s="19"/>
      <c r="BGC49" s="19"/>
      <c r="BGD49" s="19"/>
      <c r="BGE49" s="19"/>
      <c r="BGF49" s="19"/>
      <c r="BGG49" s="19"/>
      <c r="BGH49" s="19"/>
      <c r="BGI49" s="19"/>
      <c r="BGJ49" s="19"/>
      <c r="BGK49" s="19"/>
      <c r="BGL49" s="19"/>
      <c r="BGM49" s="19"/>
      <c r="BGN49" s="19"/>
      <c r="BGO49" s="19"/>
      <c r="BGP49" s="19"/>
      <c r="BGQ49" s="19"/>
      <c r="BGR49" s="19"/>
      <c r="BGS49" s="19"/>
      <c r="BGT49" s="19"/>
      <c r="BGU49" s="19"/>
      <c r="BGV49" s="19"/>
      <c r="BGW49" s="19"/>
      <c r="BGX49" s="19"/>
      <c r="BGY49" s="19"/>
      <c r="BGZ49" s="19"/>
      <c r="BHA49" s="19"/>
      <c r="BHB49" s="19"/>
      <c r="BHC49" s="19"/>
      <c r="BHD49" s="19"/>
      <c r="BHE49" s="19"/>
      <c r="BHF49" s="19"/>
      <c r="BHG49" s="19"/>
      <c r="BHH49" s="19"/>
      <c r="BHI49" s="19"/>
      <c r="BHJ49" s="19"/>
      <c r="BHK49" s="19"/>
      <c r="BHL49" s="19"/>
      <c r="BHM49" s="19"/>
      <c r="BHN49" s="19"/>
      <c r="BHO49" s="19"/>
      <c r="BHP49" s="19"/>
      <c r="BHQ49" s="19"/>
      <c r="BHR49" s="19"/>
      <c r="BHS49" s="19"/>
      <c r="BHT49" s="19"/>
      <c r="BHU49" s="19"/>
      <c r="BHV49" s="19"/>
      <c r="BHW49" s="19"/>
      <c r="BHX49" s="19"/>
      <c r="BHY49" s="19"/>
      <c r="BHZ49" s="19"/>
      <c r="BIA49" s="19"/>
      <c r="BIB49" s="19"/>
      <c r="BIC49" s="19"/>
      <c r="BID49" s="19"/>
      <c r="BIE49" s="19"/>
      <c r="BIF49" s="19"/>
      <c r="BIG49" s="19"/>
      <c r="BIH49" s="19"/>
      <c r="BII49" s="19"/>
      <c r="BIJ49" s="19"/>
      <c r="BIK49" s="19"/>
      <c r="BIL49" s="19"/>
      <c r="BIM49" s="19"/>
      <c r="BIN49" s="19"/>
      <c r="BIO49" s="19"/>
      <c r="BIP49" s="19"/>
      <c r="BIQ49" s="19"/>
      <c r="BIR49" s="19"/>
      <c r="BIS49" s="19"/>
      <c r="BIT49" s="19"/>
      <c r="BIU49" s="19"/>
      <c r="BIV49" s="19"/>
      <c r="BIW49" s="19"/>
      <c r="BIX49" s="19"/>
      <c r="BIY49" s="19"/>
      <c r="BIZ49" s="19"/>
      <c r="BJA49" s="19"/>
      <c r="BJB49" s="19"/>
      <c r="BJC49" s="19"/>
      <c r="BJD49" s="19"/>
      <c r="BJE49" s="19"/>
      <c r="BJF49" s="19"/>
      <c r="BJG49" s="19"/>
      <c r="BJH49" s="19"/>
      <c r="BJI49" s="19"/>
      <c r="BJJ49" s="19"/>
      <c r="BJK49" s="19"/>
      <c r="BJL49" s="19"/>
      <c r="BJM49" s="19"/>
      <c r="BJN49" s="19"/>
      <c r="BJO49" s="19"/>
      <c r="BJP49" s="19"/>
      <c r="BJQ49" s="19"/>
      <c r="BJR49" s="19"/>
      <c r="BJS49" s="19"/>
      <c r="BJT49" s="19"/>
      <c r="BJU49" s="19"/>
      <c r="BJV49" s="19"/>
      <c r="BJW49" s="19"/>
      <c r="BJX49" s="19"/>
      <c r="BJY49" s="19"/>
      <c r="BJZ49" s="19"/>
      <c r="BKA49" s="19"/>
      <c r="BKB49" s="19"/>
      <c r="BKC49" s="19"/>
      <c r="BKD49" s="19"/>
      <c r="BKE49" s="19"/>
      <c r="BKF49" s="19"/>
      <c r="BKG49" s="19"/>
      <c r="BKH49" s="19"/>
      <c r="BKI49" s="19"/>
      <c r="BKJ49" s="19"/>
      <c r="BKK49" s="19"/>
      <c r="BKL49" s="19"/>
      <c r="BKM49" s="19"/>
      <c r="BKN49" s="19"/>
      <c r="BKO49" s="19"/>
      <c r="BKP49" s="19"/>
      <c r="BKQ49" s="19"/>
      <c r="BKR49" s="19"/>
      <c r="BKS49" s="19"/>
      <c r="BKT49" s="19"/>
      <c r="BKU49" s="19"/>
      <c r="BKV49" s="19"/>
      <c r="BKW49" s="19"/>
      <c r="BKX49" s="19"/>
      <c r="BKY49" s="19"/>
      <c r="BKZ49" s="19"/>
      <c r="BLA49" s="19"/>
      <c r="BLB49" s="19"/>
      <c r="BLC49" s="19"/>
      <c r="BLD49" s="19"/>
      <c r="BLE49" s="19"/>
      <c r="BLF49" s="19"/>
      <c r="BLG49" s="19"/>
      <c r="BLH49" s="19"/>
      <c r="BLI49" s="19"/>
      <c r="BLJ49" s="19"/>
      <c r="BLK49" s="19"/>
      <c r="BLL49" s="19"/>
      <c r="BLM49" s="19"/>
      <c r="BLN49" s="19"/>
      <c r="BLO49" s="19"/>
      <c r="BLP49" s="19"/>
      <c r="BLQ49" s="19"/>
      <c r="BLR49" s="19"/>
      <c r="BLS49" s="19"/>
      <c r="BLT49" s="19"/>
      <c r="BLU49" s="19"/>
      <c r="BLV49" s="19"/>
      <c r="BLW49" s="19"/>
      <c r="BLX49" s="19"/>
      <c r="BLY49" s="19"/>
      <c r="BLZ49" s="19"/>
      <c r="BMA49" s="19"/>
      <c r="BMB49" s="19"/>
      <c r="BMC49" s="19"/>
      <c r="BMD49" s="19"/>
      <c r="BME49" s="19"/>
      <c r="BMF49" s="19"/>
      <c r="BMG49" s="19"/>
      <c r="BMH49" s="19"/>
      <c r="BMI49" s="19"/>
      <c r="BMJ49" s="19"/>
      <c r="BMK49" s="19"/>
      <c r="BML49" s="19"/>
      <c r="BMM49" s="19"/>
      <c r="BMN49" s="19"/>
      <c r="BMO49" s="19"/>
      <c r="BMP49" s="19"/>
      <c r="BMQ49" s="19"/>
      <c r="BMR49" s="19"/>
      <c r="BMS49" s="19"/>
      <c r="BMT49" s="19"/>
      <c r="BMU49" s="19"/>
      <c r="BMV49" s="19"/>
      <c r="BMW49" s="19"/>
      <c r="BMX49" s="19"/>
      <c r="BMY49" s="19"/>
      <c r="BMZ49" s="19"/>
      <c r="BNA49" s="19"/>
      <c r="BNB49" s="19"/>
      <c r="BNC49" s="19"/>
      <c r="BND49" s="19"/>
      <c r="BNE49" s="19"/>
      <c r="BNF49" s="19"/>
      <c r="BNG49" s="19"/>
      <c r="BNH49" s="19"/>
      <c r="BNI49" s="19"/>
      <c r="BNJ49" s="19"/>
      <c r="BNK49" s="19"/>
      <c r="BNL49" s="19"/>
      <c r="BNM49" s="19"/>
      <c r="BNN49" s="19"/>
      <c r="BNO49" s="19"/>
      <c r="BNP49" s="19"/>
      <c r="BNQ49" s="19"/>
      <c r="BNR49" s="19"/>
      <c r="BNS49" s="19"/>
      <c r="BNT49" s="19"/>
      <c r="BNU49" s="19"/>
      <c r="BNV49" s="19"/>
      <c r="BNW49" s="19"/>
      <c r="BNX49" s="19"/>
      <c r="BNY49" s="19"/>
      <c r="BNZ49" s="19"/>
      <c r="BOA49" s="19"/>
      <c r="BOB49" s="19"/>
      <c r="BOC49" s="19"/>
      <c r="BOD49" s="19"/>
      <c r="BOE49" s="19"/>
      <c r="BOF49" s="19"/>
      <c r="BOG49" s="19"/>
      <c r="BOH49" s="19"/>
      <c r="BOI49" s="19"/>
      <c r="BOJ49" s="19"/>
      <c r="BOK49" s="19"/>
      <c r="BOL49" s="19"/>
      <c r="BOM49" s="19"/>
      <c r="BON49" s="19"/>
      <c r="BOO49" s="19"/>
      <c r="BOP49" s="19"/>
      <c r="BOQ49" s="19"/>
      <c r="BOR49" s="19"/>
      <c r="BOS49" s="19"/>
      <c r="BOT49" s="19"/>
      <c r="BOU49" s="19"/>
      <c r="BOV49" s="19"/>
      <c r="BOW49" s="19"/>
      <c r="BOX49" s="19"/>
      <c r="BOY49" s="19"/>
      <c r="BOZ49" s="19"/>
      <c r="BPA49" s="19"/>
      <c r="BPB49" s="19"/>
      <c r="BPC49" s="19"/>
      <c r="BPD49" s="19"/>
      <c r="BPE49" s="19"/>
      <c r="BPF49" s="19"/>
      <c r="BPG49" s="19"/>
      <c r="BPH49" s="19"/>
      <c r="BPI49" s="19"/>
      <c r="BPJ49" s="19"/>
      <c r="BPK49" s="19"/>
      <c r="BPL49" s="19"/>
      <c r="BPM49" s="19"/>
      <c r="BPN49" s="19"/>
      <c r="BPO49" s="19"/>
      <c r="BPP49" s="19"/>
      <c r="BPQ49" s="19"/>
      <c r="BPR49" s="19"/>
      <c r="BPS49" s="19"/>
      <c r="BPT49" s="19"/>
      <c r="BPU49" s="19"/>
      <c r="BPV49" s="19"/>
      <c r="BPW49" s="19"/>
      <c r="BPX49" s="19"/>
      <c r="BPY49" s="19"/>
      <c r="BPZ49" s="19"/>
      <c r="BQA49" s="19"/>
      <c r="BQB49" s="19"/>
      <c r="BQC49" s="19"/>
      <c r="BQD49" s="19"/>
      <c r="BQE49" s="19"/>
      <c r="BQF49" s="19"/>
      <c r="BQG49" s="19"/>
      <c r="BQH49" s="19"/>
      <c r="BQI49" s="19"/>
      <c r="BQJ49" s="19"/>
      <c r="BQK49" s="19"/>
      <c r="BQL49" s="19"/>
      <c r="BQM49" s="19"/>
      <c r="BQN49" s="19"/>
      <c r="BQO49" s="19"/>
      <c r="BQP49" s="19"/>
      <c r="BQQ49" s="19"/>
      <c r="BQR49" s="19"/>
      <c r="BQS49" s="19"/>
      <c r="BQT49" s="19"/>
      <c r="BQU49" s="19"/>
      <c r="BQV49" s="19"/>
      <c r="BQW49" s="19"/>
      <c r="BQX49" s="19"/>
      <c r="BQY49" s="19"/>
      <c r="BQZ49" s="19"/>
      <c r="BRA49" s="19"/>
      <c r="BRB49" s="19"/>
      <c r="BRC49" s="19"/>
      <c r="BRD49" s="19"/>
      <c r="BRE49" s="19"/>
      <c r="BRF49" s="19"/>
      <c r="BRG49" s="19"/>
      <c r="BRH49" s="19"/>
      <c r="BRI49" s="19"/>
      <c r="BRJ49" s="19"/>
      <c r="BRK49" s="19"/>
      <c r="BRL49" s="19"/>
      <c r="BRM49" s="19"/>
      <c r="BRN49" s="19"/>
      <c r="BRO49" s="19"/>
      <c r="BRP49" s="19"/>
      <c r="BRQ49" s="19"/>
      <c r="BRR49" s="19"/>
      <c r="BRS49" s="19"/>
      <c r="BRT49" s="19"/>
      <c r="BRU49" s="19"/>
      <c r="BRV49" s="19"/>
      <c r="BRW49" s="19"/>
      <c r="BRX49" s="19"/>
      <c r="BRY49" s="19"/>
      <c r="BRZ49" s="19"/>
      <c r="BSA49" s="19"/>
      <c r="BSB49" s="19"/>
      <c r="BSC49" s="19"/>
      <c r="BSD49" s="19"/>
      <c r="BSE49" s="19"/>
      <c r="BSF49" s="19"/>
      <c r="BSG49" s="19"/>
      <c r="BSH49" s="19"/>
      <c r="BSI49" s="19"/>
      <c r="BSJ49" s="19"/>
      <c r="BSK49" s="19"/>
      <c r="BSL49" s="19"/>
      <c r="BSM49" s="19"/>
      <c r="BSN49" s="19"/>
      <c r="BSO49" s="19"/>
      <c r="BSP49" s="19"/>
      <c r="BSQ49" s="19"/>
      <c r="BSR49" s="19"/>
      <c r="BSS49" s="19"/>
      <c r="BST49" s="19"/>
      <c r="BSU49" s="19"/>
      <c r="BSV49" s="19"/>
      <c r="BSW49" s="19"/>
      <c r="BSX49" s="19"/>
      <c r="BSY49" s="19"/>
      <c r="BSZ49" s="19"/>
      <c r="BTA49" s="19"/>
      <c r="BTB49" s="19"/>
      <c r="BTC49" s="19"/>
      <c r="BTD49" s="19"/>
      <c r="BTE49" s="19"/>
      <c r="BTF49" s="19"/>
      <c r="BTG49" s="19"/>
      <c r="BTH49" s="19"/>
      <c r="BTI49" s="19"/>
      <c r="BTJ49" s="19"/>
      <c r="BTK49" s="19"/>
      <c r="BTL49" s="19"/>
      <c r="BTM49" s="19"/>
      <c r="BTN49" s="19"/>
      <c r="BTO49" s="19"/>
      <c r="BTP49" s="19"/>
      <c r="BTQ49" s="19"/>
      <c r="BTR49" s="19"/>
      <c r="BTS49" s="19"/>
      <c r="BTT49" s="19"/>
      <c r="BTU49" s="19"/>
      <c r="BTV49" s="19"/>
      <c r="BTW49" s="19"/>
      <c r="BTX49" s="19"/>
      <c r="BTY49" s="19"/>
      <c r="BTZ49" s="19"/>
      <c r="BUA49" s="19"/>
      <c r="BUB49" s="19"/>
      <c r="BUC49" s="19"/>
      <c r="BUD49" s="19"/>
      <c r="BUE49" s="19"/>
      <c r="BUF49" s="19"/>
      <c r="BUG49" s="19"/>
      <c r="BUH49" s="19"/>
      <c r="BUI49" s="19"/>
      <c r="BUJ49" s="19"/>
      <c r="BUK49" s="19"/>
      <c r="BUL49" s="19"/>
      <c r="BUM49" s="19"/>
      <c r="BUN49" s="19"/>
      <c r="BUO49" s="19"/>
      <c r="BUP49" s="19"/>
      <c r="BUQ49" s="19"/>
      <c r="BUR49" s="19"/>
      <c r="BUS49" s="19"/>
      <c r="BUT49" s="19"/>
      <c r="BUU49" s="19"/>
      <c r="BUV49" s="19"/>
      <c r="BUW49" s="19"/>
      <c r="BUX49" s="19"/>
      <c r="BUY49" s="19"/>
      <c r="BUZ49" s="19"/>
      <c r="BVA49" s="19"/>
      <c r="BVB49" s="19"/>
      <c r="BVC49" s="19"/>
      <c r="BVD49" s="19"/>
      <c r="BVE49" s="19"/>
      <c r="BVF49" s="19"/>
      <c r="BVG49" s="19"/>
      <c r="BVH49" s="19"/>
      <c r="BVI49" s="19"/>
      <c r="BVJ49" s="19"/>
      <c r="BVK49" s="19"/>
      <c r="BVL49" s="19"/>
      <c r="BVM49" s="19"/>
      <c r="BVN49" s="19"/>
      <c r="BVO49" s="19"/>
      <c r="BVP49" s="19"/>
      <c r="BVQ49" s="19"/>
      <c r="BVR49" s="19"/>
      <c r="BVS49" s="19"/>
      <c r="BVT49" s="19"/>
      <c r="BVU49" s="19"/>
      <c r="BVV49" s="19"/>
      <c r="BVW49" s="19"/>
      <c r="BVX49" s="19"/>
      <c r="BVY49" s="19"/>
      <c r="BVZ49" s="19"/>
      <c r="BWA49" s="19"/>
      <c r="BWB49" s="19"/>
      <c r="BWC49" s="19"/>
      <c r="BWD49" s="19"/>
      <c r="BWE49" s="19"/>
      <c r="BWF49" s="19"/>
      <c r="BWG49" s="19"/>
      <c r="BWH49" s="19"/>
      <c r="BWI49" s="19"/>
      <c r="BWJ49" s="19"/>
      <c r="BWK49" s="19"/>
      <c r="BWL49" s="19"/>
      <c r="BWM49" s="19"/>
      <c r="BWN49" s="19"/>
      <c r="BWO49" s="19"/>
      <c r="BWP49" s="19"/>
      <c r="BWQ49" s="19"/>
      <c r="BWR49" s="19"/>
      <c r="BWS49" s="19"/>
      <c r="BWT49" s="19"/>
      <c r="BWU49" s="19"/>
      <c r="BWV49" s="19"/>
      <c r="BWW49" s="19"/>
      <c r="BWX49" s="19"/>
      <c r="BWY49" s="19"/>
      <c r="BWZ49" s="19"/>
      <c r="BXA49" s="19"/>
      <c r="BXB49" s="19"/>
      <c r="BXC49" s="19"/>
      <c r="BXD49" s="19"/>
      <c r="BXE49" s="19"/>
      <c r="BXF49" s="19"/>
      <c r="BXG49" s="19"/>
      <c r="BXH49" s="19"/>
      <c r="BXI49" s="19"/>
      <c r="BXJ49" s="19"/>
      <c r="BXK49" s="19"/>
      <c r="BXL49" s="19"/>
      <c r="BXM49" s="19"/>
      <c r="BXN49" s="19"/>
      <c r="BXO49" s="19"/>
      <c r="BXP49" s="19"/>
      <c r="BXQ49" s="19"/>
      <c r="BXR49" s="19"/>
      <c r="BXS49" s="19"/>
      <c r="BXT49" s="19"/>
      <c r="BXU49" s="19"/>
      <c r="BXV49" s="19"/>
      <c r="BXW49" s="19"/>
      <c r="BXX49" s="19"/>
      <c r="BXY49" s="19"/>
      <c r="BXZ49" s="19"/>
      <c r="BYA49" s="19"/>
      <c r="BYB49" s="19"/>
      <c r="BYC49" s="19"/>
      <c r="BYD49" s="19"/>
      <c r="BYE49" s="19"/>
      <c r="BYF49" s="19"/>
      <c r="BYG49" s="19"/>
      <c r="BYH49" s="19"/>
      <c r="BYI49" s="19"/>
      <c r="BYJ49" s="19"/>
      <c r="BYK49" s="19"/>
      <c r="BYL49" s="19"/>
      <c r="BYM49" s="19"/>
      <c r="BYN49" s="19"/>
      <c r="BYO49" s="19"/>
      <c r="BYP49" s="19"/>
      <c r="BYQ49" s="19"/>
      <c r="BYR49" s="19"/>
      <c r="BYS49" s="19"/>
      <c r="BYT49" s="19"/>
      <c r="BYU49" s="19"/>
      <c r="BYV49" s="19"/>
      <c r="BYW49" s="19"/>
      <c r="BYX49" s="19"/>
      <c r="BYY49" s="19"/>
      <c r="BYZ49" s="19"/>
      <c r="BZA49" s="19"/>
      <c r="BZB49" s="19"/>
      <c r="BZC49" s="19"/>
      <c r="BZD49" s="19"/>
      <c r="BZE49" s="19"/>
      <c r="BZF49" s="19"/>
      <c r="BZG49" s="19"/>
      <c r="BZH49" s="19"/>
      <c r="BZI49" s="19"/>
      <c r="BZJ49" s="19"/>
      <c r="BZK49" s="19"/>
      <c r="BZL49" s="19"/>
      <c r="BZM49" s="19"/>
      <c r="BZN49" s="19"/>
      <c r="BZO49" s="19"/>
      <c r="BZP49" s="19"/>
      <c r="BZQ49" s="19"/>
      <c r="BZR49" s="19"/>
      <c r="BZS49" s="19"/>
      <c r="BZT49" s="19"/>
      <c r="BZU49" s="19"/>
      <c r="BZV49" s="19"/>
      <c r="BZW49" s="19"/>
      <c r="BZX49" s="19"/>
      <c r="BZY49" s="19"/>
      <c r="BZZ49" s="19"/>
      <c r="CAA49" s="19"/>
      <c r="CAB49" s="19"/>
      <c r="CAC49" s="19"/>
      <c r="CAD49" s="19"/>
      <c r="CAE49" s="19"/>
      <c r="CAF49" s="19"/>
      <c r="CAG49" s="19"/>
      <c r="CAH49" s="19"/>
      <c r="CAI49" s="19"/>
      <c r="CAJ49" s="19"/>
      <c r="CAK49" s="19"/>
      <c r="CAL49" s="19"/>
      <c r="CAM49" s="19"/>
      <c r="CAN49" s="19"/>
      <c r="CAO49" s="19"/>
      <c r="CAP49" s="19"/>
      <c r="CAQ49" s="19"/>
      <c r="CAR49" s="19"/>
      <c r="CAS49" s="19"/>
      <c r="CAT49" s="19"/>
      <c r="CAU49" s="19"/>
      <c r="CAV49" s="19"/>
      <c r="CAW49" s="19"/>
      <c r="CAX49" s="19"/>
      <c r="CAY49" s="19"/>
      <c r="CAZ49" s="19"/>
      <c r="CBA49" s="19"/>
      <c r="CBB49" s="19"/>
      <c r="CBC49" s="19"/>
      <c r="CBD49" s="19"/>
      <c r="CBE49" s="19"/>
      <c r="CBF49" s="19"/>
      <c r="CBG49" s="19"/>
      <c r="CBH49" s="19"/>
      <c r="CBI49" s="19"/>
      <c r="CBJ49" s="19"/>
      <c r="CBK49" s="19"/>
      <c r="CBL49" s="19"/>
      <c r="CBM49" s="19"/>
      <c r="CBN49" s="19"/>
      <c r="CBO49" s="19"/>
      <c r="CBP49" s="19"/>
      <c r="CBQ49" s="19"/>
      <c r="CBR49" s="19"/>
      <c r="CBS49" s="19"/>
      <c r="CBT49" s="19"/>
      <c r="CBU49" s="19"/>
      <c r="CBV49" s="19"/>
      <c r="CBW49" s="19"/>
      <c r="CBX49" s="19"/>
      <c r="CBY49" s="19"/>
      <c r="CBZ49" s="19"/>
      <c r="CCA49" s="19"/>
      <c r="CCB49" s="19"/>
      <c r="CCC49" s="19"/>
      <c r="CCD49" s="19"/>
      <c r="CCE49" s="19"/>
      <c r="CCF49" s="19"/>
      <c r="CCG49" s="19"/>
      <c r="CCH49" s="19"/>
      <c r="CCI49" s="19"/>
      <c r="CCJ49" s="19"/>
      <c r="CCK49" s="19"/>
      <c r="CCL49" s="19"/>
      <c r="CCM49" s="19"/>
      <c r="CCN49" s="19"/>
      <c r="CCO49" s="19"/>
      <c r="CCP49" s="19"/>
      <c r="CCQ49" s="19"/>
      <c r="CCR49" s="19"/>
      <c r="CCS49" s="19"/>
      <c r="CCT49" s="19"/>
      <c r="CCU49" s="19"/>
      <c r="CCV49" s="19"/>
      <c r="CCW49" s="19"/>
      <c r="CCX49" s="19"/>
      <c r="CCY49" s="19"/>
      <c r="CCZ49" s="19"/>
      <c r="CDA49" s="19"/>
      <c r="CDB49" s="19"/>
      <c r="CDC49" s="19"/>
      <c r="CDD49" s="19"/>
      <c r="CDE49" s="19"/>
      <c r="CDF49" s="19"/>
      <c r="CDG49" s="19"/>
      <c r="CDH49" s="19"/>
      <c r="CDI49" s="19"/>
      <c r="CDJ49" s="19"/>
      <c r="CDK49" s="19"/>
      <c r="CDL49" s="19"/>
      <c r="CDM49" s="19"/>
      <c r="CDN49" s="19"/>
      <c r="CDO49" s="19"/>
      <c r="CDP49" s="19"/>
      <c r="CDQ49" s="19"/>
      <c r="CDR49" s="19"/>
      <c r="CDS49" s="19"/>
      <c r="CDT49" s="19"/>
      <c r="CDU49" s="19"/>
      <c r="CDV49" s="19"/>
      <c r="CDW49" s="19"/>
      <c r="CDX49" s="19"/>
      <c r="CDY49" s="19"/>
      <c r="CDZ49" s="19"/>
      <c r="CEA49" s="19"/>
      <c r="CEB49" s="19"/>
      <c r="CEC49" s="19"/>
      <c r="CED49" s="19"/>
      <c r="CEE49" s="19"/>
      <c r="CEF49" s="19"/>
      <c r="CEG49" s="19"/>
      <c r="CEH49" s="19"/>
      <c r="CEI49" s="19"/>
      <c r="CEJ49" s="19"/>
      <c r="CEK49" s="19"/>
      <c r="CEL49" s="19"/>
      <c r="CEM49" s="19"/>
      <c r="CEN49" s="19"/>
      <c r="CEO49" s="19"/>
      <c r="CEP49" s="19"/>
      <c r="CEQ49" s="19"/>
      <c r="CER49" s="19"/>
      <c r="CES49" s="19"/>
      <c r="CET49" s="19"/>
      <c r="CEU49" s="19"/>
      <c r="CEV49" s="19"/>
      <c r="CEW49" s="19"/>
      <c r="CEX49" s="19"/>
      <c r="CEY49" s="19"/>
      <c r="CEZ49" s="19"/>
      <c r="CFA49" s="19"/>
      <c r="CFB49" s="19"/>
      <c r="CFC49" s="19"/>
      <c r="CFD49" s="19"/>
      <c r="CFE49" s="19"/>
      <c r="CFF49" s="19"/>
      <c r="CFG49" s="19"/>
      <c r="CFH49" s="19"/>
      <c r="CFI49" s="19"/>
      <c r="CFJ49" s="19"/>
      <c r="CFK49" s="19"/>
      <c r="CFL49" s="19"/>
      <c r="CFM49" s="19"/>
      <c r="CFN49" s="19"/>
      <c r="CFO49" s="19"/>
      <c r="CFP49" s="19"/>
      <c r="CFQ49" s="19"/>
      <c r="CFR49" s="19"/>
      <c r="CFS49" s="19"/>
      <c r="CFT49" s="19"/>
      <c r="CFU49" s="19"/>
      <c r="CFV49" s="19"/>
      <c r="CFW49" s="19"/>
      <c r="CFX49" s="19"/>
      <c r="CFY49" s="19"/>
      <c r="CFZ49" s="19"/>
      <c r="CGA49" s="19"/>
      <c r="CGB49" s="19"/>
      <c r="CGC49" s="19"/>
      <c r="CGD49" s="19"/>
      <c r="CGE49" s="19"/>
      <c r="CGF49" s="19"/>
      <c r="CGG49" s="19"/>
      <c r="CGH49" s="19"/>
      <c r="CGI49" s="19"/>
      <c r="CGJ49" s="19"/>
      <c r="CGK49" s="19"/>
      <c r="CGL49" s="19"/>
      <c r="CGM49" s="19"/>
      <c r="CGN49" s="19"/>
      <c r="CGO49" s="19"/>
      <c r="CGP49" s="19"/>
      <c r="CGQ49" s="19"/>
      <c r="CGR49" s="19"/>
      <c r="CGS49" s="19"/>
      <c r="CGT49" s="19"/>
      <c r="CGU49" s="19"/>
      <c r="CGV49" s="19"/>
      <c r="CGW49" s="19"/>
      <c r="CGX49" s="19"/>
      <c r="CGY49" s="19"/>
      <c r="CGZ49" s="19"/>
      <c r="CHA49" s="19"/>
      <c r="CHB49" s="19"/>
      <c r="CHC49" s="19"/>
      <c r="CHD49" s="19"/>
      <c r="CHE49" s="19"/>
      <c r="CHF49" s="19"/>
      <c r="CHG49" s="19"/>
      <c r="CHH49" s="19"/>
      <c r="CHI49" s="19"/>
      <c r="CHJ49" s="19"/>
      <c r="CHK49" s="19"/>
      <c r="CHL49" s="19"/>
      <c r="CHM49" s="19"/>
      <c r="CHN49" s="19"/>
      <c r="CHO49" s="19"/>
      <c r="CHP49" s="19"/>
      <c r="CHQ49" s="19"/>
      <c r="CHR49" s="19"/>
      <c r="CHS49" s="19"/>
      <c r="CHT49" s="19"/>
      <c r="CHU49" s="19"/>
      <c r="CHV49" s="19"/>
      <c r="CHW49" s="19"/>
      <c r="CHX49" s="19"/>
      <c r="CHY49" s="19"/>
      <c r="CHZ49" s="19"/>
      <c r="CIA49" s="19"/>
      <c r="CIB49" s="19"/>
      <c r="CIC49" s="19"/>
      <c r="CID49" s="19"/>
      <c r="CIE49" s="19"/>
      <c r="CIF49" s="19"/>
      <c r="CIG49" s="19"/>
      <c r="CIH49" s="19"/>
      <c r="CII49" s="19"/>
      <c r="CIJ49" s="19"/>
      <c r="CIK49" s="19"/>
      <c r="CIL49" s="19"/>
      <c r="CIM49" s="19"/>
      <c r="CIN49" s="19"/>
      <c r="CIO49" s="19"/>
      <c r="CIP49" s="19"/>
      <c r="CIQ49" s="19"/>
      <c r="CIR49" s="19"/>
      <c r="CIS49" s="19"/>
      <c r="CIT49" s="19"/>
      <c r="CIU49" s="19"/>
      <c r="CIV49" s="19"/>
      <c r="CIW49" s="19"/>
      <c r="CIX49" s="19"/>
      <c r="CIY49" s="19"/>
      <c r="CIZ49" s="19"/>
      <c r="CJA49" s="19"/>
      <c r="CJB49" s="19"/>
      <c r="CJC49" s="19"/>
      <c r="CJD49" s="19"/>
      <c r="CJE49" s="19"/>
      <c r="CJF49" s="19"/>
      <c r="CJG49" s="19"/>
      <c r="CJH49" s="19"/>
      <c r="CJI49" s="19"/>
      <c r="CJJ49" s="19"/>
      <c r="CJK49" s="19"/>
      <c r="CJL49" s="19"/>
      <c r="CJM49" s="19"/>
      <c r="CJN49" s="19"/>
      <c r="CJO49" s="19"/>
      <c r="CJP49" s="19"/>
      <c r="CJQ49" s="19"/>
      <c r="CJR49" s="19"/>
      <c r="CJS49" s="19"/>
      <c r="CJT49" s="19"/>
      <c r="CJU49" s="19"/>
      <c r="CJV49" s="19"/>
      <c r="CJW49" s="19"/>
      <c r="CJX49" s="19"/>
      <c r="CJY49" s="19"/>
      <c r="CJZ49" s="19"/>
      <c r="CKA49" s="19"/>
      <c r="CKB49" s="19"/>
      <c r="CKC49" s="19"/>
      <c r="CKD49" s="19"/>
      <c r="CKE49" s="19"/>
      <c r="CKF49" s="19"/>
      <c r="CKG49" s="19"/>
      <c r="CKH49" s="19"/>
      <c r="CKI49" s="19"/>
      <c r="CKJ49" s="19"/>
      <c r="CKK49" s="19"/>
      <c r="CKL49" s="19"/>
      <c r="CKM49" s="19"/>
      <c r="CKN49" s="19"/>
      <c r="CKO49" s="19"/>
      <c r="CKP49" s="19"/>
      <c r="CKQ49" s="19"/>
      <c r="CKR49" s="19"/>
      <c r="CKS49" s="19"/>
      <c r="CKT49" s="19"/>
      <c r="CKU49" s="19"/>
      <c r="CKV49" s="19"/>
      <c r="CKW49" s="19"/>
      <c r="CKX49" s="19"/>
      <c r="CKY49" s="19"/>
      <c r="CKZ49" s="19"/>
      <c r="CLA49" s="19"/>
      <c r="CLB49" s="19"/>
      <c r="CLC49" s="19"/>
      <c r="CLD49" s="19"/>
      <c r="CLE49" s="19"/>
      <c r="CLF49" s="19"/>
      <c r="CLG49" s="19"/>
      <c r="CLH49" s="19"/>
      <c r="CLI49" s="19"/>
      <c r="CLJ49" s="19"/>
      <c r="CLK49" s="19"/>
      <c r="CLL49" s="19"/>
      <c r="CLM49" s="19"/>
      <c r="CLN49" s="19"/>
      <c r="CLO49" s="19"/>
      <c r="CLP49" s="19"/>
      <c r="CLQ49" s="19"/>
      <c r="CLR49" s="19"/>
      <c r="CLS49" s="19"/>
      <c r="CLT49" s="19"/>
      <c r="CLU49" s="19"/>
      <c r="CLV49" s="19"/>
      <c r="CLW49" s="19"/>
      <c r="CLX49" s="19"/>
      <c r="CLY49" s="19"/>
      <c r="CLZ49" s="19"/>
      <c r="CMA49" s="19"/>
      <c r="CMB49" s="19"/>
      <c r="CMC49" s="19"/>
      <c r="CMD49" s="19"/>
      <c r="CME49" s="19"/>
      <c r="CMF49" s="19"/>
      <c r="CMG49" s="19"/>
      <c r="CMH49" s="19"/>
      <c r="CMI49" s="19"/>
      <c r="CMJ49" s="19"/>
      <c r="CMK49" s="19"/>
      <c r="CML49" s="19"/>
      <c r="CMM49" s="19"/>
      <c r="CMN49" s="19"/>
      <c r="CMO49" s="19"/>
      <c r="CMP49" s="19"/>
      <c r="CMQ49" s="19"/>
      <c r="CMR49" s="19"/>
      <c r="CMS49" s="19"/>
      <c r="CMT49" s="19"/>
      <c r="CMU49" s="19"/>
      <c r="CMV49" s="19"/>
      <c r="CMW49" s="19"/>
      <c r="CMX49" s="19"/>
      <c r="CMY49" s="19"/>
      <c r="CMZ49" s="19"/>
      <c r="CNA49" s="19"/>
      <c r="CNB49" s="19"/>
      <c r="CNC49" s="19"/>
      <c r="CND49" s="19"/>
      <c r="CNE49" s="19"/>
      <c r="CNF49" s="19"/>
      <c r="CNG49" s="19"/>
      <c r="CNH49" s="19"/>
      <c r="CNI49" s="19"/>
      <c r="CNJ49" s="19"/>
      <c r="CNK49" s="19"/>
      <c r="CNL49" s="19"/>
      <c r="CNM49" s="19"/>
      <c r="CNN49" s="19"/>
      <c r="CNO49" s="19"/>
      <c r="CNP49" s="19"/>
      <c r="CNQ49" s="19"/>
      <c r="CNR49" s="19"/>
      <c r="CNS49" s="19"/>
      <c r="CNT49" s="19"/>
      <c r="CNU49" s="19"/>
      <c r="CNV49" s="19"/>
      <c r="CNW49" s="19"/>
      <c r="CNX49" s="19"/>
      <c r="CNY49" s="19"/>
      <c r="CNZ49" s="19"/>
      <c r="COA49" s="19"/>
      <c r="COB49" s="19"/>
      <c r="COC49" s="19"/>
      <c r="COD49" s="19"/>
      <c r="COE49" s="19"/>
      <c r="COF49" s="19"/>
      <c r="COG49" s="19"/>
      <c r="COH49" s="19"/>
      <c r="COI49" s="19"/>
      <c r="COJ49" s="19"/>
      <c r="COK49" s="19"/>
      <c r="COL49" s="19"/>
      <c r="COM49" s="19"/>
      <c r="CON49" s="19"/>
      <c r="COO49" s="19"/>
      <c r="COP49" s="19"/>
      <c r="COQ49" s="19"/>
      <c r="COR49" s="19"/>
      <c r="COS49" s="19"/>
      <c r="COT49" s="19"/>
      <c r="COU49" s="19"/>
      <c r="COV49" s="19"/>
      <c r="COW49" s="19"/>
      <c r="COX49" s="19"/>
      <c r="COY49" s="19"/>
      <c r="COZ49" s="19"/>
      <c r="CPA49" s="19"/>
      <c r="CPB49" s="19"/>
      <c r="CPC49" s="19"/>
      <c r="CPD49" s="19"/>
      <c r="CPE49" s="19"/>
      <c r="CPF49" s="19"/>
      <c r="CPG49" s="19"/>
      <c r="CPH49" s="19"/>
      <c r="CPI49" s="19"/>
      <c r="CPJ49" s="19"/>
      <c r="CPK49" s="19"/>
      <c r="CPL49" s="19"/>
      <c r="CPM49" s="19"/>
      <c r="CPN49" s="19"/>
      <c r="CPO49" s="19"/>
      <c r="CPP49" s="19"/>
      <c r="CPQ49" s="19"/>
      <c r="CPR49" s="19"/>
      <c r="CPS49" s="19"/>
      <c r="CPT49" s="19"/>
      <c r="CPU49" s="19"/>
      <c r="CPV49" s="19"/>
      <c r="CPW49" s="19"/>
      <c r="CPX49" s="19"/>
      <c r="CPY49" s="19"/>
      <c r="CPZ49" s="19"/>
      <c r="CQA49" s="19"/>
      <c r="CQB49" s="19"/>
      <c r="CQC49" s="19"/>
      <c r="CQD49" s="19"/>
      <c r="CQE49" s="19"/>
      <c r="CQF49" s="19"/>
      <c r="CQG49" s="19"/>
      <c r="CQH49" s="19"/>
      <c r="CQI49" s="19"/>
      <c r="CQJ49" s="19"/>
      <c r="CQK49" s="19"/>
      <c r="CQL49" s="19"/>
      <c r="CQM49" s="19"/>
      <c r="CQN49" s="19"/>
      <c r="CQO49" s="19"/>
      <c r="CQP49" s="19"/>
      <c r="CQQ49" s="19"/>
      <c r="CQR49" s="19"/>
      <c r="CQS49" s="19"/>
      <c r="CQT49" s="19"/>
      <c r="CQU49" s="19"/>
      <c r="CQV49" s="19"/>
      <c r="CQW49" s="19"/>
      <c r="CQX49" s="19"/>
      <c r="CQY49" s="19"/>
      <c r="CQZ49" s="19"/>
      <c r="CRA49" s="19"/>
      <c r="CRB49" s="19"/>
      <c r="CRC49" s="19"/>
      <c r="CRD49" s="19"/>
      <c r="CRE49" s="19"/>
      <c r="CRF49" s="19"/>
      <c r="CRG49" s="19"/>
      <c r="CRH49" s="19"/>
      <c r="CRI49" s="19"/>
      <c r="CRJ49" s="19"/>
      <c r="CRK49" s="19"/>
      <c r="CRL49" s="19"/>
      <c r="CRM49" s="19"/>
      <c r="CRN49" s="19"/>
      <c r="CRO49" s="19"/>
      <c r="CRP49" s="19"/>
      <c r="CRQ49" s="19"/>
      <c r="CRR49" s="19"/>
      <c r="CRS49" s="19"/>
      <c r="CRT49" s="19"/>
      <c r="CRU49" s="19"/>
      <c r="CRV49" s="19"/>
      <c r="CRW49" s="19"/>
      <c r="CRX49" s="19"/>
      <c r="CRY49" s="19"/>
      <c r="CRZ49" s="19"/>
      <c r="CSA49" s="19"/>
      <c r="CSB49" s="19"/>
      <c r="CSC49" s="19"/>
      <c r="CSD49" s="19"/>
      <c r="CSE49" s="19"/>
      <c r="CSF49" s="19"/>
      <c r="CSG49" s="19"/>
      <c r="CSH49" s="19"/>
      <c r="CSI49" s="19"/>
      <c r="CSJ49" s="19"/>
      <c r="CSK49" s="19"/>
      <c r="CSL49" s="19"/>
      <c r="CSM49" s="19"/>
      <c r="CSN49" s="19"/>
      <c r="CSO49" s="19"/>
      <c r="CSP49" s="19"/>
      <c r="CSQ49" s="19"/>
      <c r="CSR49" s="19"/>
      <c r="CSS49" s="19"/>
      <c r="CST49" s="19"/>
      <c r="CSU49" s="19"/>
      <c r="CSV49" s="19"/>
      <c r="CSW49" s="19"/>
      <c r="CSX49" s="19"/>
      <c r="CSY49" s="19"/>
      <c r="CSZ49" s="19"/>
      <c r="CTA49" s="19"/>
      <c r="CTB49" s="19"/>
      <c r="CTC49" s="19"/>
      <c r="CTD49" s="19"/>
      <c r="CTE49" s="19"/>
      <c r="CTF49" s="19"/>
      <c r="CTG49" s="19"/>
      <c r="CTH49" s="19"/>
      <c r="CTI49" s="19"/>
      <c r="CTJ49" s="19"/>
      <c r="CTK49" s="19"/>
      <c r="CTL49" s="19"/>
      <c r="CTM49" s="19"/>
      <c r="CTN49" s="19"/>
      <c r="CTO49" s="19"/>
      <c r="CTP49" s="19"/>
      <c r="CTQ49" s="19"/>
      <c r="CTR49" s="19"/>
      <c r="CTS49" s="19"/>
      <c r="CTT49" s="19"/>
      <c r="CTU49" s="19"/>
      <c r="CTV49" s="19"/>
      <c r="CTW49" s="19"/>
      <c r="CTX49" s="19"/>
      <c r="CTY49" s="19"/>
      <c r="CTZ49" s="19"/>
      <c r="CUA49" s="19"/>
      <c r="CUB49" s="19"/>
      <c r="CUC49" s="19"/>
      <c r="CUD49" s="19"/>
      <c r="CUE49" s="19"/>
      <c r="CUF49" s="19"/>
      <c r="CUG49" s="19"/>
      <c r="CUH49" s="19"/>
      <c r="CUI49" s="19"/>
      <c r="CUJ49" s="19"/>
      <c r="CUK49" s="19"/>
      <c r="CUL49" s="19"/>
      <c r="CUM49" s="19"/>
      <c r="CUN49" s="19"/>
      <c r="CUO49" s="19"/>
      <c r="CUP49" s="19"/>
      <c r="CUQ49" s="19"/>
      <c r="CUR49" s="19"/>
      <c r="CUS49" s="19"/>
      <c r="CUT49" s="19"/>
      <c r="CUU49" s="19"/>
      <c r="CUV49" s="19"/>
      <c r="CUW49" s="19"/>
      <c r="CUX49" s="19"/>
      <c r="CUY49" s="19"/>
      <c r="CUZ49" s="19"/>
      <c r="CVA49" s="19"/>
      <c r="CVB49" s="19"/>
      <c r="CVC49" s="19"/>
      <c r="CVD49" s="19"/>
      <c r="CVE49" s="19"/>
      <c r="CVF49" s="19"/>
      <c r="CVG49" s="19"/>
      <c r="CVH49" s="19"/>
      <c r="CVI49" s="19"/>
      <c r="CVJ49" s="19"/>
      <c r="CVK49" s="19"/>
      <c r="CVL49" s="19"/>
      <c r="CVM49" s="19"/>
      <c r="CVN49" s="19"/>
      <c r="CVO49" s="19"/>
      <c r="CVP49" s="19"/>
      <c r="CVQ49" s="19"/>
      <c r="CVR49" s="19"/>
      <c r="CVS49" s="19"/>
      <c r="CVT49" s="19"/>
      <c r="CVU49" s="19"/>
      <c r="CVV49" s="19"/>
      <c r="CVW49" s="19"/>
      <c r="CVX49" s="19"/>
      <c r="CVY49" s="19"/>
      <c r="CVZ49" s="19"/>
      <c r="CWA49" s="19"/>
      <c r="CWB49" s="19"/>
      <c r="CWC49" s="19"/>
      <c r="CWD49" s="19"/>
      <c r="CWE49" s="19"/>
      <c r="CWF49" s="19"/>
      <c r="CWG49" s="19"/>
      <c r="CWH49" s="19"/>
      <c r="CWI49" s="19"/>
      <c r="CWJ49" s="19"/>
      <c r="CWK49" s="19"/>
      <c r="CWL49" s="19"/>
      <c r="CWM49" s="19"/>
      <c r="CWN49" s="19"/>
      <c r="CWO49" s="19"/>
      <c r="CWP49" s="19"/>
      <c r="CWQ49" s="19"/>
      <c r="CWR49" s="19"/>
      <c r="CWS49" s="19"/>
      <c r="CWT49" s="19"/>
      <c r="CWU49" s="19"/>
      <c r="CWV49" s="19"/>
      <c r="CWW49" s="19"/>
      <c r="CWX49" s="19"/>
      <c r="CWY49" s="19"/>
      <c r="CWZ49" s="19"/>
      <c r="CXA49" s="19"/>
      <c r="CXB49" s="19"/>
      <c r="CXC49" s="19"/>
      <c r="CXD49" s="19"/>
      <c r="CXE49" s="19"/>
      <c r="CXF49" s="19"/>
      <c r="CXG49" s="19"/>
      <c r="CXH49" s="19"/>
      <c r="CXI49" s="19"/>
      <c r="CXJ49" s="19"/>
      <c r="CXK49" s="19"/>
      <c r="CXL49" s="19"/>
      <c r="CXM49" s="19"/>
      <c r="CXN49" s="19"/>
      <c r="CXO49" s="19"/>
      <c r="CXP49" s="19"/>
      <c r="CXQ49" s="19"/>
      <c r="CXR49" s="19"/>
      <c r="CXS49" s="19"/>
      <c r="CXT49" s="19"/>
      <c r="CXU49" s="19"/>
      <c r="CXV49" s="19"/>
      <c r="CXW49" s="19"/>
      <c r="CXX49" s="19"/>
      <c r="CXY49" s="19"/>
      <c r="CXZ49" s="19"/>
      <c r="CYA49" s="19"/>
      <c r="CYB49" s="19"/>
      <c r="CYC49" s="19"/>
      <c r="CYD49" s="19"/>
      <c r="CYE49" s="19"/>
      <c r="CYF49" s="19"/>
      <c r="CYG49" s="19"/>
      <c r="CYH49" s="19"/>
      <c r="CYI49" s="19"/>
      <c r="CYJ49" s="19"/>
      <c r="CYK49" s="19"/>
      <c r="CYL49" s="19"/>
      <c r="CYM49" s="19"/>
      <c r="CYN49" s="19"/>
      <c r="CYO49" s="19"/>
      <c r="CYP49" s="19"/>
      <c r="CYQ49" s="19"/>
      <c r="CYR49" s="19"/>
      <c r="CYS49" s="19"/>
      <c r="CYT49" s="19"/>
      <c r="CYU49" s="19"/>
      <c r="CYV49" s="19"/>
      <c r="CYW49" s="19"/>
      <c r="CYX49" s="19"/>
      <c r="CYY49" s="19"/>
      <c r="CYZ49" s="19"/>
      <c r="CZA49" s="19"/>
      <c r="CZB49" s="19"/>
      <c r="CZC49" s="19"/>
      <c r="CZD49" s="19"/>
      <c r="CZE49" s="19"/>
      <c r="CZF49" s="19"/>
      <c r="CZG49" s="19"/>
      <c r="CZH49" s="19"/>
      <c r="CZI49" s="19"/>
      <c r="CZJ49" s="19"/>
      <c r="CZK49" s="19"/>
      <c r="CZL49" s="19"/>
      <c r="CZM49" s="19"/>
      <c r="CZN49" s="19"/>
      <c r="CZO49" s="19"/>
      <c r="CZP49" s="19"/>
      <c r="CZQ49" s="19"/>
      <c r="CZR49" s="19"/>
      <c r="CZS49" s="19"/>
      <c r="CZT49" s="19"/>
      <c r="CZU49" s="19"/>
      <c r="CZV49" s="19"/>
      <c r="CZW49" s="19"/>
      <c r="CZX49" s="19"/>
      <c r="CZY49" s="19"/>
      <c r="CZZ49" s="19"/>
      <c r="DAA49" s="19"/>
      <c r="DAB49" s="19"/>
      <c r="DAC49" s="19"/>
      <c r="DAD49" s="19"/>
      <c r="DAE49" s="19"/>
      <c r="DAF49" s="19"/>
      <c r="DAG49" s="19"/>
      <c r="DAH49" s="19"/>
      <c r="DAI49" s="19"/>
      <c r="DAJ49" s="19"/>
      <c r="DAK49" s="19"/>
      <c r="DAL49" s="19"/>
      <c r="DAM49" s="19"/>
      <c r="DAN49" s="19"/>
      <c r="DAO49" s="19"/>
      <c r="DAP49" s="19"/>
      <c r="DAQ49" s="19"/>
      <c r="DAR49" s="19"/>
      <c r="DAS49" s="19"/>
      <c r="DAT49" s="19"/>
      <c r="DAU49" s="19"/>
      <c r="DAV49" s="19"/>
      <c r="DAW49" s="19"/>
      <c r="DAX49" s="19"/>
      <c r="DAY49" s="19"/>
      <c r="DAZ49" s="19"/>
      <c r="DBA49" s="19"/>
      <c r="DBB49" s="19"/>
      <c r="DBC49" s="19"/>
      <c r="DBD49" s="19"/>
      <c r="DBE49" s="19"/>
      <c r="DBF49" s="19"/>
      <c r="DBG49" s="19"/>
      <c r="DBH49" s="19"/>
      <c r="DBI49" s="19"/>
      <c r="DBJ49" s="19"/>
      <c r="DBK49" s="19"/>
      <c r="DBL49" s="19"/>
      <c r="DBM49" s="19"/>
      <c r="DBN49" s="19"/>
      <c r="DBO49" s="19"/>
      <c r="DBP49" s="19"/>
      <c r="DBQ49" s="19"/>
      <c r="DBR49" s="19"/>
      <c r="DBS49" s="19"/>
      <c r="DBT49" s="19"/>
      <c r="DBU49" s="19"/>
      <c r="DBV49" s="19"/>
      <c r="DBW49" s="19"/>
      <c r="DBX49" s="19"/>
      <c r="DBY49" s="19"/>
      <c r="DBZ49" s="19"/>
      <c r="DCA49" s="19"/>
      <c r="DCB49" s="19"/>
      <c r="DCC49" s="19"/>
      <c r="DCD49" s="19"/>
      <c r="DCE49" s="19"/>
      <c r="DCF49" s="19"/>
      <c r="DCG49" s="19"/>
      <c r="DCH49" s="19"/>
      <c r="DCI49" s="19"/>
      <c r="DCJ49" s="19"/>
      <c r="DCK49" s="19"/>
      <c r="DCL49" s="19"/>
      <c r="DCM49" s="19"/>
      <c r="DCN49" s="19"/>
      <c r="DCO49" s="19"/>
      <c r="DCP49" s="19"/>
      <c r="DCQ49" s="19"/>
      <c r="DCR49" s="19"/>
      <c r="DCS49" s="19"/>
      <c r="DCT49" s="19"/>
      <c r="DCU49" s="19"/>
      <c r="DCV49" s="19"/>
      <c r="DCW49" s="19"/>
      <c r="DCX49" s="19"/>
      <c r="DCY49" s="19"/>
      <c r="DCZ49" s="19"/>
      <c r="DDA49" s="19"/>
      <c r="DDB49" s="19"/>
      <c r="DDC49" s="19"/>
      <c r="DDD49" s="19"/>
      <c r="DDE49" s="19"/>
      <c r="DDF49" s="19"/>
      <c r="DDG49" s="19"/>
      <c r="DDH49" s="19"/>
      <c r="DDI49" s="19"/>
      <c r="DDJ49" s="19"/>
      <c r="DDK49" s="19"/>
      <c r="DDL49" s="19"/>
      <c r="DDM49" s="19"/>
      <c r="DDN49" s="19"/>
      <c r="DDO49" s="19"/>
      <c r="DDP49" s="19"/>
      <c r="DDQ49" s="19"/>
      <c r="DDR49" s="19"/>
      <c r="DDS49" s="19"/>
      <c r="DDT49" s="19"/>
      <c r="DDU49" s="19"/>
      <c r="DDV49" s="19"/>
      <c r="DDW49" s="19"/>
      <c r="DDX49" s="19"/>
      <c r="DDY49" s="19"/>
      <c r="DDZ49" s="19"/>
      <c r="DEA49" s="19"/>
      <c r="DEB49" s="19"/>
      <c r="DEC49" s="19"/>
      <c r="DED49" s="19"/>
      <c r="DEE49" s="19"/>
      <c r="DEF49" s="19"/>
      <c r="DEG49" s="19"/>
      <c r="DEH49" s="19"/>
      <c r="DEI49" s="19"/>
      <c r="DEJ49" s="19"/>
      <c r="DEK49" s="19"/>
      <c r="DEL49" s="19"/>
      <c r="DEM49" s="19"/>
      <c r="DEN49" s="19"/>
      <c r="DEO49" s="19"/>
      <c r="DEP49" s="19"/>
      <c r="DEQ49" s="19"/>
      <c r="DER49" s="19"/>
      <c r="DES49" s="19"/>
      <c r="DET49" s="19"/>
      <c r="DEU49" s="19"/>
      <c r="DEV49" s="19"/>
      <c r="DEW49" s="19"/>
      <c r="DEX49" s="19"/>
      <c r="DEY49" s="19"/>
      <c r="DEZ49" s="19"/>
      <c r="DFA49" s="19"/>
      <c r="DFB49" s="19"/>
      <c r="DFC49" s="19"/>
      <c r="DFD49" s="19"/>
      <c r="DFE49" s="19"/>
      <c r="DFF49" s="19"/>
      <c r="DFG49" s="19"/>
      <c r="DFH49" s="19"/>
      <c r="DFI49" s="19"/>
      <c r="DFJ49" s="19"/>
      <c r="DFK49" s="19"/>
      <c r="DFL49" s="19"/>
      <c r="DFM49" s="19"/>
      <c r="DFN49" s="19"/>
      <c r="DFO49" s="19"/>
      <c r="DFP49" s="19"/>
      <c r="DFQ49" s="19"/>
      <c r="DFR49" s="19"/>
      <c r="DFS49" s="19"/>
      <c r="DFT49" s="19"/>
      <c r="DFU49" s="19"/>
      <c r="DFV49" s="19"/>
      <c r="DFW49" s="19"/>
      <c r="DFX49" s="19"/>
      <c r="DFY49" s="19"/>
      <c r="DFZ49" s="19"/>
      <c r="DGA49" s="19"/>
      <c r="DGB49" s="19"/>
      <c r="DGC49" s="19"/>
      <c r="DGD49" s="19"/>
      <c r="DGE49" s="19"/>
      <c r="DGF49" s="19"/>
      <c r="DGG49" s="19"/>
      <c r="DGH49" s="19"/>
      <c r="DGI49" s="19"/>
      <c r="DGJ49" s="19"/>
      <c r="DGK49" s="19"/>
      <c r="DGL49" s="19"/>
      <c r="DGM49" s="19"/>
      <c r="DGN49" s="19"/>
      <c r="DGO49" s="19"/>
      <c r="DGP49" s="19"/>
      <c r="DGQ49" s="19"/>
      <c r="DGR49" s="19"/>
      <c r="DGS49" s="19"/>
      <c r="DGT49" s="19"/>
      <c r="DGU49" s="19"/>
      <c r="DGV49" s="19"/>
      <c r="DGW49" s="19"/>
      <c r="DGX49" s="19"/>
      <c r="DGY49" s="19"/>
      <c r="DGZ49" s="19"/>
      <c r="DHA49" s="19"/>
      <c r="DHB49" s="19"/>
      <c r="DHC49" s="19"/>
      <c r="DHD49" s="19"/>
      <c r="DHE49" s="19"/>
      <c r="DHF49" s="19"/>
      <c r="DHG49" s="19"/>
      <c r="DHH49" s="19"/>
      <c r="DHI49" s="19"/>
      <c r="DHJ49" s="19"/>
      <c r="DHK49" s="19"/>
      <c r="DHL49" s="19"/>
      <c r="DHM49" s="19"/>
      <c r="DHN49" s="19"/>
      <c r="DHO49" s="19"/>
      <c r="DHP49" s="19"/>
      <c r="DHQ49" s="19"/>
      <c r="DHR49" s="19"/>
      <c r="DHS49" s="19"/>
      <c r="DHT49" s="19"/>
      <c r="DHU49" s="19"/>
      <c r="DHV49" s="19"/>
      <c r="DHW49" s="19"/>
      <c r="DHX49" s="19"/>
      <c r="DHY49" s="19"/>
      <c r="DHZ49" s="19"/>
      <c r="DIA49" s="19"/>
      <c r="DIB49" s="19"/>
      <c r="DIC49" s="19"/>
      <c r="DID49" s="19"/>
      <c r="DIE49" s="19"/>
      <c r="DIF49" s="19"/>
      <c r="DIG49" s="19"/>
      <c r="DIH49" s="19"/>
      <c r="DII49" s="19"/>
      <c r="DIJ49" s="19"/>
      <c r="DIK49" s="19"/>
      <c r="DIL49" s="19"/>
      <c r="DIM49" s="19"/>
      <c r="DIN49" s="19"/>
      <c r="DIO49" s="19"/>
      <c r="DIP49" s="19"/>
      <c r="DIQ49" s="19"/>
      <c r="DIR49" s="19"/>
      <c r="DIS49" s="19"/>
      <c r="DIT49" s="19"/>
      <c r="DIU49" s="19"/>
      <c r="DIV49" s="19"/>
      <c r="DIW49" s="19"/>
      <c r="DIX49" s="19"/>
      <c r="DIY49" s="19"/>
      <c r="DIZ49" s="19"/>
      <c r="DJA49" s="19"/>
      <c r="DJB49" s="19"/>
      <c r="DJC49" s="19"/>
      <c r="DJD49" s="19"/>
      <c r="DJE49" s="19"/>
      <c r="DJF49" s="19"/>
      <c r="DJG49" s="19"/>
      <c r="DJH49" s="19"/>
      <c r="DJI49" s="19"/>
      <c r="DJJ49" s="19"/>
      <c r="DJK49" s="19"/>
      <c r="DJL49" s="19"/>
      <c r="DJM49" s="19"/>
      <c r="DJN49" s="19"/>
      <c r="DJO49" s="19"/>
      <c r="DJP49" s="19"/>
      <c r="DJQ49" s="19"/>
      <c r="DJR49" s="19"/>
      <c r="DJS49" s="19"/>
      <c r="DJT49" s="19"/>
      <c r="DJU49" s="19"/>
      <c r="DJV49" s="19"/>
      <c r="DJW49" s="19"/>
      <c r="DJX49" s="19"/>
      <c r="DJY49" s="19"/>
      <c r="DJZ49" s="19"/>
      <c r="DKA49" s="19"/>
      <c r="DKB49" s="19"/>
      <c r="DKC49" s="19"/>
      <c r="DKD49" s="19"/>
      <c r="DKE49" s="19"/>
      <c r="DKF49" s="19"/>
      <c r="DKG49" s="19"/>
      <c r="DKH49" s="19"/>
      <c r="DKI49" s="19"/>
      <c r="DKJ49" s="19"/>
      <c r="DKK49" s="19"/>
      <c r="DKL49" s="19"/>
      <c r="DKM49" s="19"/>
      <c r="DKN49" s="19"/>
      <c r="DKO49" s="19"/>
      <c r="DKP49" s="19"/>
      <c r="DKQ49" s="19"/>
      <c r="DKR49" s="19"/>
      <c r="DKS49" s="19"/>
      <c r="DKT49" s="19"/>
      <c r="DKU49" s="19"/>
      <c r="DKV49" s="19"/>
      <c r="DKW49" s="19"/>
      <c r="DKX49" s="19"/>
      <c r="DKY49" s="19"/>
      <c r="DKZ49" s="19"/>
      <c r="DLA49" s="19"/>
      <c r="DLB49" s="19"/>
      <c r="DLC49" s="19"/>
      <c r="DLD49" s="19"/>
      <c r="DLE49" s="19"/>
      <c r="DLF49" s="19"/>
      <c r="DLG49" s="19"/>
      <c r="DLH49" s="19"/>
      <c r="DLI49" s="19"/>
      <c r="DLJ49" s="19"/>
      <c r="DLK49" s="19"/>
      <c r="DLL49" s="19"/>
      <c r="DLM49" s="19"/>
      <c r="DLN49" s="19"/>
      <c r="DLO49" s="19"/>
      <c r="DLP49" s="19"/>
      <c r="DLQ49" s="19"/>
      <c r="DLR49" s="19"/>
      <c r="DLS49" s="19"/>
      <c r="DLT49" s="19"/>
      <c r="DLU49" s="19"/>
      <c r="DLV49" s="19"/>
      <c r="DLW49" s="19"/>
      <c r="DLX49" s="19"/>
      <c r="DLY49" s="19"/>
      <c r="DLZ49" s="19"/>
      <c r="DMA49" s="19"/>
      <c r="DMB49" s="19"/>
      <c r="DMC49" s="19"/>
      <c r="DMD49" s="19"/>
      <c r="DME49" s="19"/>
      <c r="DMF49" s="19"/>
      <c r="DMG49" s="19"/>
      <c r="DMH49" s="19"/>
      <c r="DMI49" s="19"/>
      <c r="DMJ49" s="19"/>
      <c r="DMK49" s="19"/>
      <c r="DML49" s="19"/>
      <c r="DMM49" s="19"/>
      <c r="DMN49" s="19"/>
      <c r="DMO49" s="19"/>
      <c r="DMP49" s="19"/>
      <c r="DMQ49" s="19"/>
      <c r="DMR49" s="19"/>
      <c r="DMS49" s="19"/>
      <c r="DMT49" s="19"/>
      <c r="DMU49" s="19"/>
      <c r="DMV49" s="19"/>
      <c r="DMW49" s="19"/>
      <c r="DMX49" s="19"/>
      <c r="DMY49" s="19"/>
      <c r="DMZ49" s="19"/>
      <c r="DNA49" s="19"/>
      <c r="DNB49" s="19"/>
      <c r="DNC49" s="19"/>
      <c r="DND49" s="19"/>
      <c r="DNE49" s="19"/>
      <c r="DNF49" s="19"/>
      <c r="DNG49" s="19"/>
      <c r="DNH49" s="19"/>
      <c r="DNI49" s="19"/>
      <c r="DNJ49" s="19"/>
      <c r="DNK49" s="19"/>
      <c r="DNL49" s="19"/>
      <c r="DNM49" s="19"/>
      <c r="DNN49" s="19"/>
      <c r="DNO49" s="19"/>
      <c r="DNP49" s="19"/>
      <c r="DNQ49" s="19"/>
      <c r="DNR49" s="19"/>
      <c r="DNS49" s="19"/>
      <c r="DNT49" s="19"/>
      <c r="DNU49" s="19"/>
      <c r="DNV49" s="19"/>
      <c r="DNW49" s="19"/>
      <c r="DNX49" s="19"/>
      <c r="DNY49" s="19"/>
      <c r="DNZ49" s="19"/>
      <c r="DOA49" s="19"/>
      <c r="DOB49" s="19"/>
      <c r="DOC49" s="19"/>
      <c r="DOD49" s="19"/>
      <c r="DOE49" s="19"/>
      <c r="DOF49" s="19"/>
      <c r="DOG49" s="19"/>
      <c r="DOH49" s="19"/>
      <c r="DOI49" s="19"/>
      <c r="DOJ49" s="19"/>
      <c r="DOK49" s="19"/>
      <c r="DOL49" s="19"/>
      <c r="DOM49" s="19"/>
      <c r="DON49" s="19"/>
      <c r="DOO49" s="19"/>
      <c r="DOP49" s="19"/>
      <c r="DOQ49" s="19"/>
      <c r="DOR49" s="19"/>
      <c r="DOS49" s="19"/>
      <c r="DOT49" s="19"/>
      <c r="DOU49" s="19"/>
      <c r="DOV49" s="19"/>
      <c r="DOW49" s="19"/>
      <c r="DOX49" s="19"/>
      <c r="DOY49" s="19"/>
      <c r="DOZ49" s="19"/>
      <c r="DPA49" s="19"/>
      <c r="DPB49" s="19"/>
      <c r="DPC49" s="19"/>
      <c r="DPD49" s="19"/>
      <c r="DPE49" s="19"/>
      <c r="DPF49" s="19"/>
      <c r="DPG49" s="19"/>
      <c r="DPH49" s="19"/>
      <c r="DPI49" s="19"/>
      <c r="DPJ49" s="19"/>
      <c r="DPK49" s="19"/>
      <c r="DPL49" s="19"/>
      <c r="DPM49" s="19"/>
      <c r="DPN49" s="19"/>
      <c r="DPO49" s="19"/>
      <c r="DPP49" s="19"/>
      <c r="DPQ49" s="19"/>
      <c r="DPR49" s="19"/>
      <c r="DPS49" s="19"/>
      <c r="DPT49" s="19"/>
      <c r="DPU49" s="19"/>
      <c r="DPV49" s="19"/>
      <c r="DPW49" s="19"/>
      <c r="DPX49" s="19"/>
      <c r="DPY49" s="19"/>
      <c r="DPZ49" s="19"/>
      <c r="DQA49" s="19"/>
      <c r="DQB49" s="19"/>
      <c r="DQC49" s="19"/>
      <c r="DQD49" s="19"/>
      <c r="DQE49" s="19"/>
      <c r="DQF49" s="19"/>
      <c r="DQG49" s="19"/>
      <c r="DQH49" s="19"/>
      <c r="DQI49" s="19"/>
      <c r="DQJ49" s="19"/>
      <c r="DQK49" s="19"/>
      <c r="DQL49" s="19"/>
      <c r="DQM49" s="19"/>
      <c r="DQN49" s="19"/>
      <c r="DQO49" s="19"/>
      <c r="DQP49" s="19"/>
      <c r="DQQ49" s="19"/>
      <c r="DQR49" s="19"/>
      <c r="DQS49" s="19"/>
      <c r="DQT49" s="19"/>
      <c r="DQU49" s="19"/>
      <c r="DQV49" s="19"/>
      <c r="DQW49" s="19"/>
      <c r="DQX49" s="19"/>
      <c r="DQY49" s="19"/>
      <c r="DQZ49" s="19"/>
      <c r="DRA49" s="19"/>
      <c r="DRB49" s="19"/>
      <c r="DRC49" s="19"/>
      <c r="DRD49" s="19"/>
      <c r="DRE49" s="19"/>
      <c r="DRF49" s="19"/>
      <c r="DRG49" s="19"/>
      <c r="DRH49" s="19"/>
      <c r="DRI49" s="19"/>
      <c r="DRJ49" s="19"/>
      <c r="DRK49" s="19"/>
      <c r="DRL49" s="19"/>
      <c r="DRM49" s="19"/>
      <c r="DRN49" s="19"/>
      <c r="DRO49" s="19"/>
      <c r="DRP49" s="19"/>
      <c r="DRQ49" s="19"/>
      <c r="DRR49" s="19"/>
      <c r="DRS49" s="19"/>
      <c r="DRT49" s="19"/>
      <c r="DRU49" s="19"/>
      <c r="DRV49" s="19"/>
      <c r="DRW49" s="19"/>
      <c r="DRX49" s="19"/>
      <c r="DRY49" s="19"/>
      <c r="DRZ49" s="19"/>
      <c r="DSA49" s="19"/>
      <c r="DSB49" s="19"/>
      <c r="DSC49" s="19"/>
      <c r="DSD49" s="19"/>
      <c r="DSE49" s="19"/>
      <c r="DSF49" s="19"/>
      <c r="DSG49" s="19"/>
      <c r="DSH49" s="19"/>
      <c r="DSI49" s="19"/>
      <c r="DSJ49" s="19"/>
      <c r="DSK49" s="19"/>
      <c r="DSL49" s="19"/>
      <c r="DSM49" s="19"/>
      <c r="DSN49" s="19"/>
      <c r="DSO49" s="19"/>
      <c r="DSP49" s="19"/>
      <c r="DSQ49" s="19"/>
      <c r="DSR49" s="19"/>
      <c r="DSS49" s="19"/>
      <c r="DST49" s="19"/>
      <c r="DSU49" s="19"/>
      <c r="DSV49" s="19"/>
      <c r="DSW49" s="19"/>
      <c r="DSX49" s="19"/>
      <c r="DSY49" s="19"/>
      <c r="DSZ49" s="19"/>
      <c r="DTA49" s="19"/>
      <c r="DTB49" s="19"/>
      <c r="DTC49" s="19"/>
      <c r="DTD49" s="19"/>
      <c r="DTE49" s="19"/>
      <c r="DTF49" s="19"/>
      <c r="DTG49" s="19"/>
      <c r="DTH49" s="19"/>
      <c r="DTI49" s="19"/>
      <c r="DTJ49" s="19"/>
      <c r="DTK49" s="19"/>
      <c r="DTL49" s="19"/>
      <c r="DTM49" s="19"/>
      <c r="DTN49" s="19"/>
      <c r="DTO49" s="19"/>
      <c r="DTP49" s="19"/>
      <c r="DTQ49" s="19"/>
      <c r="DTR49" s="19"/>
      <c r="DTS49" s="19"/>
      <c r="DTT49" s="19"/>
      <c r="DTU49" s="19"/>
      <c r="DTV49" s="19"/>
      <c r="DTW49" s="19"/>
      <c r="DTX49" s="19"/>
      <c r="DTY49" s="19"/>
      <c r="DTZ49" s="19"/>
      <c r="DUA49" s="19"/>
      <c r="DUB49" s="19"/>
      <c r="DUC49" s="19"/>
      <c r="DUD49" s="19"/>
      <c r="DUE49" s="19"/>
      <c r="DUF49" s="19"/>
      <c r="DUG49" s="19"/>
      <c r="DUH49" s="19"/>
      <c r="DUI49" s="19"/>
      <c r="DUJ49" s="19"/>
      <c r="DUK49" s="19"/>
      <c r="DUL49" s="19"/>
      <c r="DUM49" s="19"/>
      <c r="DUN49" s="19"/>
      <c r="DUO49" s="19"/>
      <c r="DUP49" s="19"/>
      <c r="DUQ49" s="19"/>
      <c r="DUR49" s="19"/>
      <c r="DUS49" s="19"/>
      <c r="DUT49" s="19"/>
      <c r="DUU49" s="19"/>
      <c r="DUV49" s="19"/>
      <c r="DUW49" s="19"/>
      <c r="DUX49" s="19"/>
      <c r="DUY49" s="19"/>
      <c r="DUZ49" s="19"/>
      <c r="DVA49" s="19"/>
      <c r="DVB49" s="19"/>
      <c r="DVC49" s="19"/>
      <c r="DVD49" s="19"/>
      <c r="DVE49" s="19"/>
      <c r="DVF49" s="19"/>
      <c r="DVG49" s="19"/>
      <c r="DVH49" s="19"/>
      <c r="DVI49" s="19"/>
      <c r="DVJ49" s="19"/>
      <c r="DVK49" s="19"/>
      <c r="DVL49" s="19"/>
      <c r="DVM49" s="19"/>
      <c r="DVN49" s="19"/>
      <c r="DVO49" s="19"/>
      <c r="DVP49" s="19"/>
      <c r="DVQ49" s="19"/>
      <c r="DVR49" s="19"/>
      <c r="DVS49" s="19"/>
      <c r="DVT49" s="19"/>
      <c r="DVU49" s="19"/>
      <c r="DVV49" s="19"/>
      <c r="DVW49" s="19"/>
      <c r="DVX49" s="19"/>
      <c r="DVY49" s="19"/>
      <c r="DVZ49" s="19"/>
      <c r="DWA49" s="19"/>
      <c r="DWB49" s="19"/>
      <c r="DWC49" s="19"/>
      <c r="DWD49" s="19"/>
      <c r="DWE49" s="19"/>
      <c r="DWF49" s="19"/>
      <c r="DWG49" s="19"/>
      <c r="DWH49" s="19"/>
      <c r="DWI49" s="19"/>
      <c r="DWJ49" s="19"/>
      <c r="DWK49" s="19"/>
      <c r="DWL49" s="19"/>
      <c r="DWM49" s="19"/>
      <c r="DWN49" s="19"/>
      <c r="DWO49" s="19"/>
      <c r="DWP49" s="19"/>
      <c r="DWQ49" s="19"/>
      <c r="DWR49" s="19"/>
      <c r="DWS49" s="19"/>
      <c r="DWT49" s="19"/>
      <c r="DWU49" s="19"/>
      <c r="DWV49" s="19"/>
      <c r="DWW49" s="19"/>
      <c r="DWX49" s="19"/>
      <c r="DWY49" s="19"/>
      <c r="DWZ49" s="19"/>
      <c r="DXA49" s="19"/>
      <c r="DXB49" s="19"/>
      <c r="DXC49" s="19"/>
      <c r="DXD49" s="19"/>
      <c r="DXE49" s="19"/>
      <c r="DXF49" s="19"/>
      <c r="DXG49" s="19"/>
      <c r="DXH49" s="19"/>
      <c r="DXI49" s="19"/>
      <c r="DXJ49" s="19"/>
      <c r="DXK49" s="19"/>
      <c r="DXL49" s="19"/>
      <c r="DXM49" s="19"/>
      <c r="DXN49" s="19"/>
      <c r="DXO49" s="19"/>
      <c r="DXP49" s="19"/>
      <c r="DXQ49" s="19"/>
      <c r="DXR49" s="19"/>
      <c r="DXS49" s="19"/>
      <c r="DXT49" s="19"/>
      <c r="DXU49" s="19"/>
      <c r="DXV49" s="19"/>
      <c r="DXW49" s="19"/>
      <c r="DXX49" s="19"/>
      <c r="DXY49" s="19"/>
      <c r="DXZ49" s="19"/>
      <c r="DYA49" s="19"/>
      <c r="DYB49" s="19"/>
      <c r="DYC49" s="19"/>
      <c r="DYD49" s="19"/>
      <c r="DYE49" s="19"/>
      <c r="DYF49" s="19"/>
      <c r="DYG49" s="19"/>
      <c r="DYH49" s="19"/>
      <c r="DYI49" s="19"/>
      <c r="DYJ49" s="19"/>
      <c r="DYK49" s="19"/>
      <c r="DYL49" s="19"/>
      <c r="DYM49" s="19"/>
      <c r="DYN49" s="19"/>
      <c r="DYO49" s="19"/>
      <c r="DYP49" s="19"/>
      <c r="DYQ49" s="19"/>
      <c r="DYR49" s="19"/>
      <c r="DYS49" s="19"/>
      <c r="DYT49" s="19"/>
      <c r="DYU49" s="19"/>
      <c r="DYV49" s="19"/>
      <c r="DYW49" s="19"/>
      <c r="DYX49" s="19"/>
      <c r="DYY49" s="19"/>
      <c r="DYZ49" s="19"/>
      <c r="DZA49" s="19"/>
      <c r="DZB49" s="19"/>
      <c r="DZC49" s="19"/>
      <c r="DZD49" s="19"/>
      <c r="DZE49" s="19"/>
      <c r="DZF49" s="19"/>
      <c r="DZG49" s="19"/>
      <c r="DZH49" s="19"/>
      <c r="DZI49" s="19"/>
      <c r="DZJ49" s="19"/>
      <c r="DZK49" s="19"/>
      <c r="DZL49" s="19"/>
      <c r="DZM49" s="19"/>
      <c r="DZN49" s="19"/>
      <c r="DZO49" s="19"/>
      <c r="DZP49" s="19"/>
      <c r="DZQ49" s="19"/>
      <c r="DZR49" s="19"/>
      <c r="DZS49" s="19"/>
      <c r="DZT49" s="19"/>
      <c r="DZU49" s="19"/>
      <c r="DZV49" s="19"/>
      <c r="DZW49" s="19"/>
      <c r="DZX49" s="19"/>
      <c r="DZY49" s="19"/>
      <c r="DZZ49" s="19"/>
      <c r="EAA49" s="19"/>
      <c r="EAB49" s="19"/>
      <c r="EAC49" s="19"/>
      <c r="EAD49" s="19"/>
      <c r="EAE49" s="19"/>
      <c r="EAF49" s="19"/>
      <c r="EAG49" s="19"/>
      <c r="EAH49" s="19"/>
      <c r="EAI49" s="19"/>
      <c r="EAJ49" s="19"/>
      <c r="EAK49" s="19"/>
      <c r="EAL49" s="19"/>
      <c r="EAM49" s="19"/>
      <c r="EAN49" s="19"/>
      <c r="EAO49" s="19"/>
      <c r="EAP49" s="19"/>
      <c r="EAQ49" s="19"/>
      <c r="EAR49" s="19"/>
      <c r="EAS49" s="19"/>
      <c r="EAT49" s="19"/>
      <c r="EAU49" s="19"/>
      <c r="EAV49" s="19"/>
      <c r="EAW49" s="19"/>
      <c r="EAX49" s="19"/>
      <c r="EAY49" s="19"/>
      <c r="EAZ49" s="19"/>
      <c r="EBA49" s="19"/>
      <c r="EBB49" s="19"/>
      <c r="EBC49" s="19"/>
      <c r="EBD49" s="19"/>
      <c r="EBE49" s="19"/>
      <c r="EBF49" s="19"/>
      <c r="EBG49" s="19"/>
      <c r="EBH49" s="19"/>
      <c r="EBI49" s="19"/>
      <c r="EBJ49" s="19"/>
      <c r="EBK49" s="19"/>
      <c r="EBL49" s="19"/>
      <c r="EBM49" s="19"/>
      <c r="EBN49" s="19"/>
      <c r="EBO49" s="19"/>
      <c r="EBP49" s="19"/>
      <c r="EBQ49" s="19"/>
      <c r="EBR49" s="19"/>
      <c r="EBS49" s="19"/>
      <c r="EBT49" s="19"/>
      <c r="EBU49" s="19"/>
      <c r="EBV49" s="19"/>
      <c r="EBW49" s="19"/>
      <c r="EBX49" s="19"/>
      <c r="EBY49" s="19"/>
      <c r="EBZ49" s="19"/>
      <c r="ECA49" s="19"/>
      <c r="ECB49" s="19"/>
      <c r="ECC49" s="19"/>
      <c r="ECD49" s="19"/>
      <c r="ECE49" s="19"/>
      <c r="ECF49" s="19"/>
      <c r="ECG49" s="19"/>
      <c r="ECH49" s="19"/>
      <c r="ECI49" s="19"/>
      <c r="ECJ49" s="19"/>
      <c r="ECK49" s="19"/>
      <c r="ECL49" s="19"/>
      <c r="ECM49" s="19"/>
      <c r="ECN49" s="19"/>
      <c r="ECO49" s="19"/>
      <c r="ECP49" s="19"/>
      <c r="ECQ49" s="19"/>
      <c r="ECR49" s="19"/>
      <c r="ECS49" s="19"/>
      <c r="ECT49" s="19"/>
      <c r="ECU49" s="19"/>
      <c r="ECV49" s="19"/>
      <c r="ECW49" s="19"/>
      <c r="ECX49" s="19"/>
      <c r="ECY49" s="19"/>
      <c r="ECZ49" s="19"/>
      <c r="EDA49" s="19"/>
      <c r="EDB49" s="19"/>
      <c r="EDC49" s="19"/>
      <c r="EDD49" s="19"/>
      <c r="EDE49" s="19"/>
      <c r="EDF49" s="19"/>
      <c r="EDG49" s="19"/>
      <c r="EDH49" s="19"/>
      <c r="EDI49" s="19"/>
      <c r="EDJ49" s="19"/>
      <c r="EDK49" s="19"/>
      <c r="EDL49" s="19"/>
      <c r="EDM49" s="19"/>
      <c r="EDN49" s="19"/>
      <c r="EDO49" s="19"/>
      <c r="EDP49" s="19"/>
      <c r="EDQ49" s="19"/>
      <c r="EDR49" s="19"/>
      <c r="EDS49" s="19"/>
      <c r="EDT49" s="19"/>
      <c r="EDU49" s="19"/>
      <c r="EDV49" s="19"/>
      <c r="EDW49" s="19"/>
      <c r="EDX49" s="19"/>
      <c r="EDY49" s="19"/>
      <c r="EDZ49" s="19"/>
      <c r="EEA49" s="19"/>
      <c r="EEB49" s="19"/>
      <c r="EEC49" s="19"/>
      <c r="EED49" s="19"/>
      <c r="EEE49" s="19"/>
      <c r="EEF49" s="19"/>
      <c r="EEG49" s="19"/>
      <c r="EEH49" s="19"/>
      <c r="EEI49" s="19"/>
      <c r="EEJ49" s="19"/>
      <c r="EEK49" s="19"/>
      <c r="EEL49" s="19"/>
      <c r="EEM49" s="19"/>
      <c r="EEN49" s="19"/>
      <c r="EEO49" s="19"/>
      <c r="EEP49" s="19"/>
      <c r="EEQ49" s="19"/>
      <c r="EER49" s="19"/>
      <c r="EES49" s="19"/>
      <c r="EET49" s="19"/>
      <c r="EEU49" s="19"/>
      <c r="EEV49" s="19"/>
      <c r="EEW49" s="19"/>
      <c r="EEX49" s="19"/>
      <c r="EEY49" s="19"/>
      <c r="EEZ49" s="19"/>
      <c r="EFA49" s="19"/>
      <c r="EFB49" s="19"/>
      <c r="EFC49" s="19"/>
      <c r="EFD49" s="19"/>
      <c r="EFE49" s="19"/>
      <c r="EFF49" s="19"/>
      <c r="EFG49" s="19"/>
      <c r="EFH49" s="19"/>
      <c r="EFI49" s="19"/>
      <c r="EFJ49" s="19"/>
      <c r="EFK49" s="19"/>
      <c r="EFL49" s="19"/>
      <c r="EFM49" s="19"/>
      <c r="EFN49" s="19"/>
      <c r="EFO49" s="19"/>
      <c r="EFP49" s="19"/>
      <c r="EFQ49" s="19"/>
      <c r="EFR49" s="19"/>
      <c r="EFS49" s="19"/>
      <c r="EFT49" s="19"/>
      <c r="EFU49" s="19"/>
      <c r="EFV49" s="19"/>
      <c r="EFW49" s="19"/>
      <c r="EFX49" s="19"/>
      <c r="EFY49" s="19"/>
      <c r="EFZ49" s="19"/>
      <c r="EGA49" s="19"/>
      <c r="EGB49" s="19"/>
      <c r="EGC49" s="19"/>
      <c r="EGD49" s="19"/>
      <c r="EGE49" s="19"/>
      <c r="EGF49" s="19"/>
      <c r="EGG49" s="19"/>
      <c r="EGH49" s="19"/>
      <c r="EGI49" s="19"/>
      <c r="EGJ49" s="19"/>
      <c r="EGK49" s="19"/>
      <c r="EGL49" s="19"/>
      <c r="EGM49" s="19"/>
      <c r="EGN49" s="19"/>
      <c r="EGO49" s="19"/>
      <c r="EGP49" s="19"/>
      <c r="EGQ49" s="19"/>
      <c r="EGR49" s="19"/>
      <c r="EGS49" s="19"/>
      <c r="EGT49" s="19"/>
      <c r="EGU49" s="19"/>
      <c r="EGV49" s="19"/>
      <c r="EGW49" s="19"/>
      <c r="EGX49" s="19"/>
      <c r="EGY49" s="19"/>
      <c r="EGZ49" s="19"/>
      <c r="EHA49" s="19"/>
      <c r="EHB49" s="19"/>
      <c r="EHC49" s="19"/>
      <c r="EHD49" s="19"/>
      <c r="EHE49" s="19"/>
      <c r="EHF49" s="19"/>
      <c r="EHG49" s="19"/>
      <c r="EHH49" s="19"/>
      <c r="EHI49" s="19"/>
      <c r="EHJ49" s="19"/>
      <c r="EHK49" s="19"/>
      <c r="EHL49" s="19"/>
      <c r="EHM49" s="19"/>
      <c r="EHN49" s="19"/>
      <c r="EHO49" s="19"/>
      <c r="EHP49" s="19"/>
      <c r="EHQ49" s="19"/>
      <c r="EHR49" s="19"/>
      <c r="EHS49" s="19"/>
      <c r="EHT49" s="19"/>
      <c r="EHU49" s="19"/>
      <c r="EHV49" s="19"/>
      <c r="EHW49" s="19"/>
      <c r="EHX49" s="19"/>
      <c r="EHY49" s="19"/>
      <c r="EHZ49" s="19"/>
      <c r="EIA49" s="19"/>
      <c r="EIB49" s="19"/>
      <c r="EIC49" s="19"/>
      <c r="EID49" s="19"/>
      <c r="EIE49" s="19"/>
      <c r="EIF49" s="19"/>
      <c r="EIG49" s="19"/>
      <c r="EIH49" s="19"/>
      <c r="EII49" s="19"/>
      <c r="EIJ49" s="19"/>
      <c r="EIK49" s="19"/>
      <c r="EIL49" s="19"/>
      <c r="EIM49" s="19"/>
      <c r="EIN49" s="19"/>
      <c r="EIO49" s="19"/>
      <c r="EIP49" s="19"/>
      <c r="EIQ49" s="19"/>
      <c r="EIR49" s="19"/>
      <c r="EIS49" s="19"/>
      <c r="EIT49" s="19"/>
      <c r="EIU49" s="19"/>
      <c r="EIV49" s="19"/>
      <c r="EIW49" s="19"/>
      <c r="EIX49" s="19"/>
      <c r="EIY49" s="19"/>
      <c r="EIZ49" s="19"/>
      <c r="EJA49" s="19"/>
      <c r="EJB49" s="19"/>
      <c r="EJC49" s="19"/>
      <c r="EJD49" s="19"/>
      <c r="EJE49" s="19"/>
      <c r="EJF49" s="19"/>
      <c r="EJG49" s="19"/>
      <c r="EJH49" s="19"/>
      <c r="EJI49" s="19"/>
      <c r="EJJ49" s="19"/>
      <c r="EJK49" s="19"/>
      <c r="EJL49" s="19"/>
      <c r="EJM49" s="19"/>
      <c r="EJN49" s="19"/>
      <c r="EJO49" s="19"/>
      <c r="EJP49" s="19"/>
      <c r="EJQ49" s="19"/>
      <c r="EJR49" s="19"/>
      <c r="EJS49" s="19"/>
      <c r="EJT49" s="19"/>
      <c r="EJU49" s="19"/>
      <c r="EJV49" s="19"/>
      <c r="EJW49" s="19"/>
      <c r="EJX49" s="19"/>
      <c r="EJY49" s="19"/>
      <c r="EJZ49" s="19"/>
      <c r="EKA49" s="19"/>
      <c r="EKB49" s="19"/>
      <c r="EKC49" s="19"/>
      <c r="EKD49" s="19"/>
      <c r="EKE49" s="19"/>
      <c r="EKF49" s="19"/>
      <c r="EKG49" s="19"/>
      <c r="EKH49" s="19"/>
      <c r="EKI49" s="19"/>
      <c r="EKJ49" s="19"/>
      <c r="EKK49" s="19"/>
      <c r="EKL49" s="19"/>
      <c r="EKM49" s="19"/>
      <c r="EKN49" s="19"/>
      <c r="EKO49" s="19"/>
      <c r="EKP49" s="19"/>
      <c r="EKQ49" s="19"/>
      <c r="EKR49" s="19"/>
      <c r="EKS49" s="19"/>
      <c r="EKT49" s="19"/>
      <c r="EKU49" s="19"/>
      <c r="EKV49" s="19"/>
      <c r="EKW49" s="19"/>
      <c r="EKX49" s="19"/>
      <c r="EKY49" s="19"/>
      <c r="EKZ49" s="19"/>
      <c r="ELA49" s="19"/>
      <c r="ELB49" s="19"/>
      <c r="ELC49" s="19"/>
      <c r="ELD49" s="19"/>
      <c r="ELE49" s="19"/>
      <c r="ELF49" s="19"/>
      <c r="ELG49" s="19"/>
      <c r="ELH49" s="19"/>
      <c r="ELI49" s="19"/>
      <c r="ELJ49" s="19"/>
      <c r="ELK49" s="19"/>
      <c r="ELL49" s="19"/>
      <c r="ELM49" s="19"/>
      <c r="ELN49" s="19"/>
      <c r="ELO49" s="19"/>
      <c r="ELP49" s="19"/>
      <c r="ELQ49" s="19"/>
      <c r="ELR49" s="19"/>
      <c r="ELS49" s="19"/>
      <c r="ELT49" s="19"/>
      <c r="ELU49" s="19"/>
      <c r="ELV49" s="19"/>
      <c r="ELW49" s="19"/>
      <c r="ELX49" s="19"/>
      <c r="ELY49" s="19"/>
      <c r="ELZ49" s="19"/>
      <c r="EMA49" s="19"/>
      <c r="EMB49" s="19"/>
      <c r="EMC49" s="19"/>
      <c r="EMD49" s="19"/>
      <c r="EME49" s="19"/>
      <c r="EMF49" s="19"/>
      <c r="EMG49" s="19"/>
      <c r="EMH49" s="19"/>
      <c r="EMI49" s="19"/>
      <c r="EMJ49" s="19"/>
      <c r="EMK49" s="19"/>
      <c r="EML49" s="19"/>
      <c r="EMM49" s="19"/>
      <c r="EMN49" s="19"/>
      <c r="EMO49" s="19"/>
      <c r="EMP49" s="19"/>
      <c r="EMQ49" s="19"/>
      <c r="EMR49" s="19"/>
      <c r="EMS49" s="19"/>
      <c r="EMT49" s="19"/>
      <c r="EMU49" s="19"/>
      <c r="EMV49" s="19"/>
      <c r="EMW49" s="19"/>
      <c r="EMX49" s="19"/>
      <c r="EMY49" s="19"/>
      <c r="EMZ49" s="19"/>
      <c r="ENA49" s="19"/>
      <c r="ENB49" s="19"/>
      <c r="ENC49" s="19"/>
      <c r="END49" s="19"/>
      <c r="ENE49" s="19"/>
      <c r="ENF49" s="19"/>
      <c r="ENG49" s="19"/>
      <c r="ENH49" s="19"/>
      <c r="ENI49" s="19"/>
      <c r="ENJ49" s="19"/>
      <c r="ENK49" s="19"/>
      <c r="ENL49" s="19"/>
      <c r="ENM49" s="19"/>
      <c r="ENN49" s="19"/>
      <c r="ENO49" s="19"/>
      <c r="ENP49" s="19"/>
      <c r="ENQ49" s="19"/>
      <c r="ENR49" s="19"/>
      <c r="ENS49" s="19"/>
      <c r="ENT49" s="19"/>
      <c r="ENU49" s="19"/>
      <c r="ENV49" s="19"/>
      <c r="ENW49" s="19"/>
      <c r="ENX49" s="19"/>
      <c r="ENY49" s="19"/>
      <c r="ENZ49" s="19"/>
      <c r="EOA49" s="19"/>
      <c r="EOB49" s="19"/>
      <c r="EOC49" s="19"/>
      <c r="EOD49" s="19"/>
      <c r="EOE49" s="19"/>
      <c r="EOF49" s="19"/>
      <c r="EOG49" s="19"/>
      <c r="EOH49" s="19"/>
      <c r="EOI49" s="19"/>
      <c r="EOJ49" s="19"/>
      <c r="EOK49" s="19"/>
      <c r="EOL49" s="19"/>
      <c r="EOM49" s="19"/>
      <c r="EON49" s="19"/>
      <c r="EOO49" s="19"/>
      <c r="EOP49" s="19"/>
      <c r="EOQ49" s="19"/>
      <c r="EOR49" s="19"/>
      <c r="EOS49" s="19"/>
      <c r="EOT49" s="19"/>
      <c r="EOU49" s="19"/>
      <c r="EOV49" s="19"/>
      <c r="EOW49" s="19"/>
      <c r="EOX49" s="19"/>
      <c r="EOY49" s="19"/>
      <c r="EOZ49" s="19"/>
      <c r="EPA49" s="19"/>
      <c r="EPB49" s="19"/>
      <c r="EPC49" s="19"/>
      <c r="EPD49" s="19"/>
      <c r="EPE49" s="19"/>
      <c r="EPF49" s="19"/>
      <c r="EPG49" s="19"/>
      <c r="EPH49" s="19"/>
      <c r="EPI49" s="19"/>
      <c r="EPJ49" s="19"/>
      <c r="EPK49" s="19"/>
      <c r="EPL49" s="19"/>
      <c r="EPM49" s="19"/>
      <c r="EPN49" s="19"/>
      <c r="EPO49" s="19"/>
      <c r="EPP49" s="19"/>
      <c r="EPQ49" s="19"/>
      <c r="EPR49" s="19"/>
      <c r="EPS49" s="19"/>
      <c r="EPT49" s="19"/>
      <c r="EPU49" s="19"/>
      <c r="EPV49" s="19"/>
      <c r="EPW49" s="19"/>
      <c r="EPX49" s="19"/>
      <c r="EPY49" s="19"/>
      <c r="EPZ49" s="19"/>
      <c r="EQA49" s="19"/>
      <c r="EQB49" s="19"/>
      <c r="EQC49" s="19"/>
      <c r="EQD49" s="19"/>
      <c r="EQE49" s="19"/>
      <c r="EQF49" s="19"/>
      <c r="EQG49" s="19"/>
      <c r="EQH49" s="19"/>
      <c r="EQI49" s="19"/>
      <c r="EQJ49" s="19"/>
      <c r="EQK49" s="19"/>
      <c r="EQL49" s="19"/>
      <c r="EQM49" s="19"/>
      <c r="EQN49" s="19"/>
      <c r="EQO49" s="19"/>
      <c r="EQP49" s="19"/>
      <c r="EQQ49" s="19"/>
      <c r="EQR49" s="19"/>
      <c r="EQS49" s="19"/>
      <c r="EQT49" s="19"/>
      <c r="EQU49" s="19"/>
      <c r="EQV49" s="19"/>
      <c r="EQW49" s="19"/>
      <c r="EQX49" s="19"/>
      <c r="EQY49" s="19"/>
      <c r="EQZ49" s="19"/>
      <c r="ERA49" s="19"/>
      <c r="ERB49" s="19"/>
      <c r="ERC49" s="19"/>
      <c r="ERD49" s="19"/>
      <c r="ERE49" s="19"/>
      <c r="ERF49" s="19"/>
      <c r="ERG49" s="19"/>
      <c r="ERH49" s="19"/>
      <c r="ERI49" s="19"/>
      <c r="ERJ49" s="19"/>
      <c r="ERK49" s="19"/>
      <c r="ERL49" s="19"/>
      <c r="ERM49" s="19"/>
      <c r="ERN49" s="19"/>
      <c r="ERO49" s="19"/>
      <c r="ERP49" s="19"/>
      <c r="ERQ49" s="19"/>
      <c r="ERR49" s="19"/>
      <c r="ERS49" s="19"/>
      <c r="ERT49" s="19"/>
      <c r="ERU49" s="19"/>
      <c r="ERV49" s="19"/>
      <c r="ERW49" s="19"/>
      <c r="ERX49" s="19"/>
      <c r="ERY49" s="19"/>
      <c r="ERZ49" s="19"/>
      <c r="ESA49" s="19"/>
      <c r="ESB49" s="19"/>
      <c r="ESC49" s="19"/>
      <c r="ESD49" s="19"/>
      <c r="ESE49" s="19"/>
      <c r="ESF49" s="19"/>
      <c r="ESG49" s="19"/>
      <c r="ESH49" s="19"/>
      <c r="ESI49" s="19"/>
      <c r="ESJ49" s="19"/>
      <c r="ESK49" s="19"/>
      <c r="ESL49" s="19"/>
      <c r="ESM49" s="19"/>
      <c r="ESN49" s="19"/>
      <c r="ESO49" s="19"/>
      <c r="ESP49" s="19"/>
      <c r="ESQ49" s="19"/>
      <c r="ESR49" s="19"/>
      <c r="ESS49" s="19"/>
      <c r="EST49" s="19"/>
      <c r="ESU49" s="19"/>
      <c r="ESV49" s="19"/>
      <c r="ESW49" s="19"/>
      <c r="ESX49" s="19"/>
      <c r="ESY49" s="19"/>
      <c r="ESZ49" s="19"/>
      <c r="ETA49" s="19"/>
      <c r="ETB49" s="19"/>
      <c r="ETC49" s="19"/>
      <c r="ETD49" s="19"/>
      <c r="ETE49" s="19"/>
      <c r="ETF49" s="19"/>
      <c r="ETG49" s="19"/>
      <c r="ETH49" s="19"/>
      <c r="ETI49" s="19"/>
      <c r="ETJ49" s="19"/>
      <c r="ETK49" s="19"/>
      <c r="ETL49" s="19"/>
      <c r="ETM49" s="19"/>
      <c r="ETN49" s="19"/>
      <c r="ETO49" s="19"/>
      <c r="ETP49" s="19"/>
      <c r="ETQ49" s="19"/>
      <c r="ETR49" s="19"/>
      <c r="ETS49" s="19"/>
      <c r="ETT49" s="19"/>
      <c r="ETU49" s="19"/>
      <c r="ETV49" s="19"/>
      <c r="ETW49" s="19"/>
      <c r="ETX49" s="19"/>
      <c r="ETY49" s="19"/>
      <c r="ETZ49" s="19"/>
      <c r="EUA49" s="19"/>
      <c r="EUB49" s="19"/>
      <c r="EUC49" s="19"/>
      <c r="EUD49" s="19"/>
      <c r="EUE49" s="19"/>
      <c r="EUF49" s="19"/>
      <c r="EUG49" s="19"/>
      <c r="EUH49" s="19"/>
      <c r="EUI49" s="19"/>
      <c r="EUJ49" s="19"/>
      <c r="EUK49" s="19"/>
      <c r="EUL49" s="19"/>
      <c r="EUM49" s="19"/>
      <c r="EUN49" s="19"/>
      <c r="EUO49" s="19"/>
      <c r="EUP49" s="19"/>
      <c r="EUQ49" s="19"/>
      <c r="EUR49" s="19"/>
      <c r="EUS49" s="19"/>
      <c r="EUT49" s="19"/>
      <c r="EUU49" s="19"/>
      <c r="EUV49" s="19"/>
      <c r="EUW49" s="19"/>
      <c r="EUX49" s="19"/>
      <c r="EUY49" s="19"/>
      <c r="EUZ49" s="19"/>
      <c r="EVA49" s="19"/>
      <c r="EVB49" s="19"/>
      <c r="EVC49" s="19"/>
      <c r="EVD49" s="19"/>
      <c r="EVE49" s="19"/>
      <c r="EVF49" s="19"/>
      <c r="EVG49" s="19"/>
      <c r="EVH49" s="19"/>
      <c r="EVI49" s="19"/>
      <c r="EVJ49" s="19"/>
      <c r="EVK49" s="19"/>
      <c r="EVL49" s="19"/>
      <c r="EVM49" s="19"/>
      <c r="EVN49" s="19"/>
      <c r="EVO49" s="19"/>
      <c r="EVP49" s="19"/>
      <c r="EVQ49" s="19"/>
      <c r="EVR49" s="19"/>
      <c r="EVS49" s="19"/>
      <c r="EVT49" s="19"/>
      <c r="EVU49" s="19"/>
      <c r="EVV49" s="19"/>
      <c r="EVW49" s="19"/>
      <c r="EVX49" s="19"/>
      <c r="EVY49" s="19"/>
      <c r="EVZ49" s="19"/>
      <c r="EWA49" s="19"/>
      <c r="EWB49" s="19"/>
      <c r="EWC49" s="19"/>
      <c r="EWD49" s="19"/>
      <c r="EWE49" s="19"/>
      <c r="EWF49" s="19"/>
      <c r="EWG49" s="19"/>
      <c r="EWH49" s="19"/>
      <c r="EWI49" s="19"/>
      <c r="EWJ49" s="19"/>
      <c r="EWK49" s="19"/>
      <c r="EWL49" s="19"/>
      <c r="EWM49" s="19"/>
      <c r="EWN49" s="19"/>
      <c r="EWO49" s="19"/>
      <c r="EWP49" s="19"/>
      <c r="EWQ49" s="19"/>
      <c r="EWR49" s="19"/>
      <c r="EWS49" s="19"/>
      <c r="EWT49" s="19"/>
      <c r="EWU49" s="19"/>
      <c r="EWV49" s="19"/>
      <c r="EWW49" s="19"/>
      <c r="EWX49" s="19"/>
      <c r="EWY49" s="19"/>
      <c r="EWZ49" s="19"/>
      <c r="EXA49" s="19"/>
      <c r="EXB49" s="19"/>
      <c r="EXC49" s="19"/>
      <c r="EXD49" s="19"/>
      <c r="EXE49" s="19"/>
      <c r="EXF49" s="19"/>
      <c r="EXG49" s="19"/>
      <c r="EXH49" s="19"/>
      <c r="EXI49" s="19"/>
      <c r="EXJ49" s="19"/>
      <c r="EXK49" s="19"/>
      <c r="EXL49" s="19"/>
      <c r="EXM49" s="19"/>
      <c r="EXN49" s="19"/>
      <c r="EXO49" s="19"/>
      <c r="EXP49" s="19"/>
      <c r="EXQ49" s="19"/>
      <c r="EXR49" s="19"/>
      <c r="EXS49" s="19"/>
      <c r="EXT49" s="19"/>
      <c r="EXU49" s="19"/>
      <c r="EXV49" s="19"/>
      <c r="EXW49" s="19"/>
      <c r="EXX49" s="19"/>
      <c r="EXY49" s="19"/>
      <c r="EXZ49" s="19"/>
      <c r="EYA49" s="19"/>
      <c r="EYB49" s="19"/>
      <c r="EYC49" s="19"/>
      <c r="EYD49" s="19"/>
      <c r="EYE49" s="19"/>
      <c r="EYF49" s="19"/>
      <c r="EYG49" s="19"/>
      <c r="EYH49" s="19"/>
      <c r="EYI49" s="19"/>
      <c r="EYJ49" s="19"/>
      <c r="EYK49" s="19"/>
      <c r="EYL49" s="19"/>
      <c r="EYM49" s="19"/>
      <c r="EYN49" s="19"/>
      <c r="EYO49" s="19"/>
      <c r="EYP49" s="19"/>
      <c r="EYQ49" s="19"/>
      <c r="EYR49" s="19"/>
      <c r="EYS49" s="19"/>
      <c r="EYT49" s="19"/>
      <c r="EYU49" s="19"/>
      <c r="EYV49" s="19"/>
      <c r="EYW49" s="19"/>
      <c r="EYX49" s="19"/>
      <c r="EYY49" s="19"/>
      <c r="EYZ49" s="19"/>
      <c r="EZA49" s="19"/>
      <c r="EZB49" s="19"/>
      <c r="EZC49" s="19"/>
      <c r="EZD49" s="19"/>
      <c r="EZE49" s="19"/>
      <c r="EZF49" s="19"/>
      <c r="EZG49" s="19"/>
      <c r="EZH49" s="19"/>
      <c r="EZI49" s="19"/>
      <c r="EZJ49" s="19"/>
      <c r="EZK49" s="19"/>
      <c r="EZL49" s="19"/>
      <c r="EZM49" s="19"/>
      <c r="EZN49" s="19"/>
      <c r="EZO49" s="19"/>
      <c r="EZP49" s="19"/>
      <c r="EZQ49" s="19"/>
      <c r="EZR49" s="19"/>
      <c r="EZS49" s="19"/>
      <c r="EZT49" s="19"/>
      <c r="EZU49" s="19"/>
      <c r="EZV49" s="19"/>
      <c r="EZW49" s="19"/>
      <c r="EZX49" s="19"/>
      <c r="EZY49" s="19"/>
      <c r="EZZ49" s="19"/>
      <c r="FAA49" s="19"/>
      <c r="FAB49" s="19"/>
      <c r="FAC49" s="19"/>
      <c r="FAD49" s="19"/>
      <c r="FAE49" s="19"/>
      <c r="FAF49" s="19"/>
      <c r="FAG49" s="19"/>
      <c r="FAH49" s="19"/>
      <c r="FAI49" s="19"/>
      <c r="FAJ49" s="19"/>
      <c r="FAK49" s="19"/>
      <c r="FAL49" s="19"/>
      <c r="FAM49" s="19"/>
      <c r="FAN49" s="19"/>
      <c r="FAO49" s="19"/>
      <c r="FAP49" s="19"/>
      <c r="FAQ49" s="19"/>
      <c r="FAR49" s="19"/>
      <c r="FAS49" s="19"/>
      <c r="FAT49" s="19"/>
      <c r="FAU49" s="19"/>
      <c r="FAV49" s="19"/>
      <c r="FAW49" s="19"/>
      <c r="FAX49" s="19"/>
      <c r="FAY49" s="19"/>
      <c r="FAZ49" s="19"/>
      <c r="FBA49" s="19"/>
      <c r="FBB49" s="19"/>
      <c r="FBC49" s="19"/>
      <c r="FBD49" s="19"/>
      <c r="FBE49" s="19"/>
      <c r="FBF49" s="19"/>
      <c r="FBG49" s="19"/>
      <c r="FBH49" s="19"/>
      <c r="FBI49" s="19"/>
      <c r="FBJ49" s="19"/>
      <c r="FBK49" s="19"/>
      <c r="FBL49" s="19"/>
      <c r="FBM49" s="19"/>
      <c r="FBN49" s="19"/>
      <c r="FBO49" s="19"/>
      <c r="FBP49" s="19"/>
      <c r="FBQ49" s="19"/>
      <c r="FBR49" s="19"/>
      <c r="FBS49" s="19"/>
      <c r="FBT49" s="19"/>
      <c r="FBU49" s="19"/>
      <c r="FBV49" s="19"/>
      <c r="FBW49" s="19"/>
      <c r="FBX49" s="19"/>
      <c r="FBY49" s="19"/>
      <c r="FBZ49" s="19"/>
      <c r="FCA49" s="19"/>
      <c r="FCB49" s="19"/>
      <c r="FCC49" s="19"/>
      <c r="FCD49" s="19"/>
      <c r="FCE49" s="19"/>
      <c r="FCF49" s="19"/>
      <c r="FCG49" s="19"/>
      <c r="FCH49" s="19"/>
      <c r="FCI49" s="19"/>
      <c r="FCJ49" s="19"/>
      <c r="FCK49" s="19"/>
      <c r="FCL49" s="19"/>
      <c r="FCM49" s="19"/>
      <c r="FCN49" s="19"/>
      <c r="FCO49" s="19"/>
      <c r="FCP49" s="19"/>
      <c r="FCQ49" s="19"/>
      <c r="FCR49" s="19"/>
      <c r="FCS49" s="19"/>
      <c r="FCT49" s="19"/>
      <c r="FCU49" s="19"/>
      <c r="FCV49" s="19"/>
      <c r="FCW49" s="19"/>
      <c r="FCX49" s="19"/>
      <c r="FCY49" s="19"/>
      <c r="FCZ49" s="19"/>
      <c r="FDA49" s="19"/>
      <c r="FDB49" s="19"/>
      <c r="FDC49" s="19"/>
      <c r="FDD49" s="19"/>
      <c r="FDE49" s="19"/>
      <c r="FDF49" s="19"/>
      <c r="FDG49" s="19"/>
      <c r="FDH49" s="19"/>
      <c r="FDI49" s="19"/>
      <c r="FDJ49" s="19"/>
      <c r="FDK49" s="19"/>
      <c r="FDL49" s="19"/>
      <c r="FDM49" s="19"/>
      <c r="FDN49" s="19"/>
      <c r="FDO49" s="19"/>
      <c r="FDP49" s="19"/>
      <c r="FDQ49" s="19"/>
      <c r="FDR49" s="19"/>
      <c r="FDS49" s="19"/>
      <c r="FDT49" s="19"/>
      <c r="FDU49" s="19"/>
      <c r="FDV49" s="19"/>
      <c r="FDW49" s="19"/>
      <c r="FDX49" s="19"/>
      <c r="FDY49" s="19"/>
      <c r="FDZ49" s="19"/>
      <c r="FEA49" s="19"/>
      <c r="FEB49" s="19"/>
      <c r="FEC49" s="19"/>
      <c r="FED49" s="19"/>
      <c r="FEE49" s="19"/>
      <c r="FEF49" s="19"/>
      <c r="FEG49" s="19"/>
      <c r="FEH49" s="19"/>
      <c r="FEI49" s="19"/>
      <c r="FEJ49" s="19"/>
      <c r="FEK49" s="19"/>
      <c r="FEL49" s="19"/>
      <c r="FEM49" s="19"/>
      <c r="FEN49" s="19"/>
      <c r="FEO49" s="19"/>
      <c r="FEP49" s="19"/>
      <c r="FEQ49" s="19"/>
      <c r="FER49" s="19"/>
      <c r="FES49" s="19"/>
      <c r="FET49" s="19"/>
      <c r="FEU49" s="19"/>
      <c r="FEV49" s="19"/>
      <c r="FEW49" s="19"/>
      <c r="FEX49" s="19"/>
      <c r="FEY49" s="19"/>
      <c r="FEZ49" s="19"/>
      <c r="FFA49" s="19"/>
      <c r="FFB49" s="19"/>
      <c r="FFC49" s="19"/>
      <c r="FFD49" s="19"/>
      <c r="FFE49" s="19"/>
      <c r="FFF49" s="19"/>
      <c r="FFG49" s="19"/>
      <c r="FFH49" s="19"/>
      <c r="FFI49" s="19"/>
      <c r="FFJ49" s="19"/>
      <c r="FFK49" s="19"/>
      <c r="FFL49" s="19"/>
      <c r="FFM49" s="19"/>
      <c r="FFN49" s="19"/>
      <c r="FFO49" s="19"/>
      <c r="FFP49" s="19"/>
      <c r="FFQ49" s="19"/>
      <c r="FFR49" s="19"/>
      <c r="FFS49" s="19"/>
      <c r="FFT49" s="19"/>
      <c r="FFU49" s="19"/>
      <c r="FFV49" s="19"/>
      <c r="FFW49" s="19"/>
      <c r="FFX49" s="19"/>
      <c r="FFY49" s="19"/>
      <c r="FFZ49" s="19"/>
      <c r="FGA49" s="19"/>
      <c r="FGB49" s="19"/>
      <c r="FGC49" s="19"/>
      <c r="FGD49" s="19"/>
      <c r="FGE49" s="19"/>
      <c r="FGF49" s="19"/>
      <c r="FGG49" s="19"/>
      <c r="FGH49" s="19"/>
      <c r="FGI49" s="19"/>
      <c r="FGJ49" s="19"/>
      <c r="FGK49" s="19"/>
      <c r="FGL49" s="19"/>
      <c r="FGM49" s="19"/>
      <c r="FGN49" s="19"/>
      <c r="FGO49" s="19"/>
      <c r="FGP49" s="19"/>
      <c r="FGQ49" s="19"/>
      <c r="FGR49" s="19"/>
      <c r="FGS49" s="19"/>
      <c r="FGT49" s="19"/>
      <c r="FGU49" s="19"/>
      <c r="FGV49" s="19"/>
      <c r="FGW49" s="19"/>
      <c r="FGX49" s="19"/>
      <c r="FGY49" s="19"/>
      <c r="FGZ49" s="19"/>
      <c r="FHA49" s="19"/>
      <c r="FHB49" s="19"/>
      <c r="FHC49" s="19"/>
      <c r="FHD49" s="19"/>
      <c r="FHE49" s="19"/>
      <c r="FHF49" s="19"/>
      <c r="FHG49" s="19"/>
      <c r="FHH49" s="19"/>
      <c r="FHI49" s="19"/>
      <c r="FHJ49" s="19"/>
      <c r="FHK49" s="19"/>
      <c r="FHL49" s="19"/>
      <c r="FHM49" s="19"/>
      <c r="FHN49" s="19"/>
      <c r="FHO49" s="19"/>
      <c r="FHP49" s="19"/>
      <c r="FHQ49" s="19"/>
      <c r="FHR49" s="19"/>
      <c r="FHS49" s="19"/>
      <c r="FHT49" s="19"/>
      <c r="FHU49" s="19"/>
      <c r="FHV49" s="19"/>
      <c r="FHW49" s="19"/>
      <c r="FHX49" s="19"/>
      <c r="FHY49" s="19"/>
      <c r="FHZ49" s="19"/>
      <c r="FIA49" s="19"/>
      <c r="FIB49" s="19"/>
      <c r="FIC49" s="19"/>
      <c r="FID49" s="19"/>
      <c r="FIE49" s="19"/>
      <c r="FIF49" s="19"/>
      <c r="FIG49" s="19"/>
      <c r="FIH49" s="19"/>
      <c r="FII49" s="19"/>
      <c r="FIJ49" s="19"/>
      <c r="FIK49" s="19"/>
      <c r="FIL49" s="19"/>
      <c r="FIM49" s="19"/>
      <c r="FIN49" s="19"/>
      <c r="FIO49" s="19"/>
      <c r="FIP49" s="19"/>
      <c r="FIQ49" s="19"/>
      <c r="FIR49" s="19"/>
      <c r="FIS49" s="19"/>
      <c r="FIT49" s="19"/>
      <c r="FIU49" s="19"/>
      <c r="FIV49" s="19"/>
      <c r="FIW49" s="19"/>
      <c r="FIX49" s="19"/>
      <c r="FIY49" s="19"/>
      <c r="FIZ49" s="19"/>
      <c r="FJA49" s="19"/>
      <c r="FJB49" s="19"/>
      <c r="FJC49" s="19"/>
      <c r="FJD49" s="19"/>
      <c r="FJE49" s="19"/>
      <c r="FJF49" s="19"/>
      <c r="FJG49" s="19"/>
      <c r="FJH49" s="19"/>
      <c r="FJI49" s="19"/>
      <c r="FJJ49" s="19"/>
      <c r="FJK49" s="19"/>
      <c r="FJL49" s="19"/>
      <c r="FJM49" s="19"/>
      <c r="FJN49" s="19"/>
      <c r="FJO49" s="19"/>
      <c r="FJP49" s="19"/>
      <c r="FJQ49" s="19"/>
      <c r="FJR49" s="19"/>
      <c r="FJS49" s="19"/>
      <c r="FJT49" s="19"/>
      <c r="FJU49" s="19"/>
      <c r="FJV49" s="19"/>
      <c r="FJW49" s="19"/>
      <c r="FJX49" s="19"/>
      <c r="FJY49" s="19"/>
      <c r="FJZ49" s="19"/>
      <c r="FKA49" s="19"/>
      <c r="FKB49" s="19"/>
      <c r="FKC49" s="19"/>
      <c r="FKD49" s="19"/>
      <c r="FKE49" s="19"/>
      <c r="FKF49" s="19"/>
      <c r="FKG49" s="19"/>
      <c r="FKH49" s="19"/>
      <c r="FKI49" s="19"/>
      <c r="FKJ49" s="19"/>
      <c r="FKK49" s="19"/>
      <c r="FKL49" s="19"/>
      <c r="FKM49" s="19"/>
      <c r="FKN49" s="19"/>
      <c r="FKO49" s="19"/>
      <c r="FKP49" s="19"/>
      <c r="FKQ49" s="19"/>
      <c r="FKR49" s="19"/>
      <c r="FKS49" s="19"/>
      <c r="FKT49" s="19"/>
      <c r="FKU49" s="19"/>
      <c r="FKV49" s="19"/>
      <c r="FKW49" s="19"/>
      <c r="FKX49" s="19"/>
      <c r="FKY49" s="19"/>
      <c r="FKZ49" s="19"/>
      <c r="FLA49" s="19"/>
      <c r="FLB49" s="19"/>
      <c r="FLC49" s="19"/>
      <c r="FLD49" s="19"/>
      <c r="FLE49" s="19"/>
      <c r="FLF49" s="19"/>
      <c r="FLG49" s="19"/>
      <c r="FLH49" s="19"/>
      <c r="FLI49" s="19"/>
      <c r="FLJ49" s="19"/>
      <c r="FLK49" s="19"/>
      <c r="FLL49" s="19"/>
      <c r="FLM49" s="19"/>
      <c r="FLN49" s="19"/>
      <c r="FLO49" s="19"/>
      <c r="FLP49" s="19"/>
      <c r="FLQ49" s="19"/>
      <c r="FLR49" s="19"/>
      <c r="FLS49" s="19"/>
      <c r="FLT49" s="19"/>
      <c r="FLU49" s="19"/>
      <c r="FLV49" s="19"/>
      <c r="FLW49" s="19"/>
      <c r="FLX49" s="19"/>
      <c r="FLY49" s="19"/>
      <c r="FLZ49" s="19"/>
      <c r="FMA49" s="19"/>
      <c r="FMB49" s="19"/>
      <c r="FMC49" s="19"/>
      <c r="FMD49" s="19"/>
      <c r="FME49" s="19"/>
      <c r="FMF49" s="19"/>
      <c r="FMG49" s="19"/>
      <c r="FMH49" s="19"/>
      <c r="FMI49" s="19"/>
      <c r="FMJ49" s="19"/>
      <c r="FMK49" s="19"/>
      <c r="FML49" s="19"/>
      <c r="FMM49" s="19"/>
      <c r="FMN49" s="19"/>
      <c r="FMO49" s="19"/>
      <c r="FMP49" s="19"/>
      <c r="FMQ49" s="19"/>
      <c r="FMR49" s="19"/>
      <c r="FMS49" s="19"/>
      <c r="FMT49" s="19"/>
      <c r="FMU49" s="19"/>
      <c r="FMV49" s="19"/>
      <c r="FMW49" s="19"/>
      <c r="FMX49" s="19"/>
      <c r="FMY49" s="19"/>
      <c r="FMZ49" s="19"/>
      <c r="FNA49" s="19"/>
      <c r="FNB49" s="19"/>
      <c r="FNC49" s="19"/>
      <c r="FND49" s="19"/>
      <c r="FNE49" s="19"/>
      <c r="FNF49" s="19"/>
      <c r="FNG49" s="19"/>
      <c r="FNH49" s="19"/>
      <c r="FNI49" s="19"/>
      <c r="FNJ49" s="19"/>
      <c r="FNK49" s="19"/>
      <c r="FNL49" s="19"/>
      <c r="FNM49" s="19"/>
      <c r="FNN49" s="19"/>
      <c r="FNO49" s="19"/>
      <c r="FNP49" s="19"/>
      <c r="FNQ49" s="19"/>
      <c r="FNR49" s="19"/>
      <c r="FNS49" s="19"/>
      <c r="FNT49" s="19"/>
      <c r="FNU49" s="19"/>
      <c r="FNV49" s="19"/>
      <c r="FNW49" s="19"/>
      <c r="FNX49" s="19"/>
      <c r="FNY49" s="19"/>
      <c r="FNZ49" s="19"/>
      <c r="FOA49" s="19"/>
      <c r="FOB49" s="19"/>
      <c r="FOC49" s="19"/>
      <c r="FOD49" s="19"/>
      <c r="FOE49" s="19"/>
      <c r="FOF49" s="19"/>
      <c r="FOG49" s="19"/>
      <c r="FOH49" s="19"/>
      <c r="FOI49" s="19"/>
      <c r="FOJ49" s="19"/>
      <c r="FOK49" s="19"/>
      <c r="FOL49" s="19"/>
      <c r="FOM49" s="19"/>
      <c r="FON49" s="19"/>
      <c r="FOO49" s="19"/>
      <c r="FOP49" s="19"/>
      <c r="FOQ49" s="19"/>
      <c r="FOR49" s="19"/>
      <c r="FOS49" s="19"/>
      <c r="FOT49" s="19"/>
      <c r="FOU49" s="19"/>
      <c r="FOV49" s="19"/>
      <c r="FOW49" s="19"/>
      <c r="FOX49" s="19"/>
      <c r="FOY49" s="19"/>
      <c r="FOZ49" s="19"/>
      <c r="FPA49" s="19"/>
      <c r="FPB49" s="19"/>
      <c r="FPC49" s="19"/>
      <c r="FPD49" s="19"/>
      <c r="FPE49" s="19"/>
      <c r="FPF49" s="19"/>
      <c r="FPG49" s="19"/>
      <c r="FPH49" s="19"/>
      <c r="FPI49" s="19"/>
      <c r="FPJ49" s="19"/>
      <c r="FPK49" s="19"/>
      <c r="FPL49" s="19"/>
      <c r="FPM49" s="19"/>
      <c r="FPN49" s="19"/>
      <c r="FPO49" s="19"/>
      <c r="FPP49" s="19"/>
      <c r="FPQ49" s="19"/>
      <c r="FPR49" s="19"/>
      <c r="FPS49" s="19"/>
      <c r="FPT49" s="19"/>
      <c r="FPU49" s="19"/>
      <c r="FPV49" s="19"/>
      <c r="FPW49" s="19"/>
      <c r="FPX49" s="19"/>
      <c r="FPY49" s="19"/>
      <c r="FPZ49" s="19"/>
      <c r="FQA49" s="19"/>
      <c r="FQB49" s="19"/>
      <c r="FQC49" s="19"/>
      <c r="FQD49" s="19"/>
      <c r="FQE49" s="19"/>
      <c r="FQF49" s="19"/>
      <c r="FQG49" s="19"/>
      <c r="FQH49" s="19"/>
      <c r="FQI49" s="19"/>
      <c r="FQJ49" s="19"/>
      <c r="FQK49" s="19"/>
      <c r="FQL49" s="19"/>
      <c r="FQM49" s="19"/>
      <c r="FQN49" s="19"/>
      <c r="FQO49" s="19"/>
      <c r="FQP49" s="19"/>
      <c r="FQQ49" s="19"/>
      <c r="FQR49" s="19"/>
      <c r="FQS49" s="19"/>
      <c r="FQT49" s="19"/>
      <c r="FQU49" s="19"/>
      <c r="FQV49" s="19"/>
      <c r="FQW49" s="19"/>
      <c r="FQX49" s="19"/>
      <c r="FQY49" s="19"/>
      <c r="FQZ49" s="19"/>
      <c r="FRA49" s="19"/>
      <c r="FRB49" s="19"/>
      <c r="FRC49" s="19"/>
      <c r="FRD49" s="19"/>
      <c r="FRE49" s="19"/>
      <c r="FRF49" s="19"/>
      <c r="FRG49" s="19"/>
      <c r="FRH49" s="19"/>
      <c r="FRI49" s="19"/>
      <c r="FRJ49" s="19"/>
      <c r="FRK49" s="19"/>
      <c r="FRL49" s="19"/>
      <c r="FRM49" s="19"/>
      <c r="FRN49" s="19"/>
      <c r="FRO49" s="19"/>
      <c r="FRP49" s="19"/>
      <c r="FRQ49" s="19"/>
      <c r="FRR49" s="19"/>
      <c r="FRS49" s="19"/>
      <c r="FRT49" s="19"/>
      <c r="FRU49" s="19"/>
      <c r="FRV49" s="19"/>
      <c r="FRW49" s="19"/>
      <c r="FRX49" s="19"/>
      <c r="FRY49" s="19"/>
      <c r="FRZ49" s="19"/>
      <c r="FSA49" s="19"/>
      <c r="FSB49" s="19"/>
      <c r="FSC49" s="19"/>
      <c r="FSD49" s="19"/>
      <c r="FSE49" s="19"/>
      <c r="FSF49" s="19"/>
      <c r="FSG49" s="19"/>
      <c r="FSH49" s="19"/>
      <c r="FSI49" s="19"/>
      <c r="FSJ49" s="19"/>
      <c r="FSK49" s="19"/>
      <c r="FSL49" s="19"/>
      <c r="FSM49" s="19"/>
      <c r="FSN49" s="19"/>
      <c r="FSO49" s="19"/>
      <c r="FSP49" s="19"/>
      <c r="FSQ49" s="19"/>
      <c r="FSR49" s="19"/>
      <c r="FSS49" s="19"/>
      <c r="FST49" s="19"/>
      <c r="FSU49" s="19"/>
      <c r="FSV49" s="19"/>
      <c r="FSW49" s="19"/>
      <c r="FSX49" s="19"/>
      <c r="FSY49" s="19"/>
      <c r="FSZ49" s="19"/>
      <c r="FTA49" s="19"/>
      <c r="FTB49" s="19"/>
      <c r="FTC49" s="19"/>
      <c r="FTD49" s="19"/>
      <c r="FTE49" s="19"/>
      <c r="FTF49" s="19"/>
      <c r="FTG49" s="19"/>
      <c r="FTH49" s="19"/>
      <c r="FTI49" s="19"/>
      <c r="FTJ49" s="19"/>
      <c r="FTK49" s="19"/>
      <c r="FTL49" s="19"/>
      <c r="FTM49" s="19"/>
      <c r="FTN49" s="19"/>
      <c r="FTO49" s="19"/>
      <c r="FTP49" s="19"/>
      <c r="FTQ49" s="19"/>
      <c r="FTR49" s="19"/>
      <c r="FTS49" s="19"/>
      <c r="FTT49" s="19"/>
      <c r="FTU49" s="19"/>
      <c r="FTV49" s="19"/>
      <c r="FTW49" s="19"/>
      <c r="FTX49" s="19"/>
      <c r="FTY49" s="19"/>
      <c r="FTZ49" s="19"/>
      <c r="FUA49" s="19"/>
      <c r="FUB49" s="19"/>
      <c r="FUC49" s="19"/>
      <c r="FUD49" s="19"/>
      <c r="FUE49" s="19"/>
      <c r="FUF49" s="19"/>
      <c r="FUG49" s="19"/>
      <c r="FUH49" s="19"/>
      <c r="FUI49" s="19"/>
      <c r="FUJ49" s="19"/>
      <c r="FUK49" s="19"/>
      <c r="FUL49" s="19"/>
      <c r="FUM49" s="19"/>
      <c r="FUN49" s="19"/>
      <c r="FUO49" s="19"/>
      <c r="FUP49" s="19"/>
      <c r="FUQ49" s="19"/>
      <c r="FUR49" s="19"/>
      <c r="FUS49" s="19"/>
      <c r="FUT49" s="19"/>
      <c r="FUU49" s="19"/>
      <c r="FUV49" s="19"/>
      <c r="FUW49" s="19"/>
      <c r="FUX49" s="19"/>
      <c r="FUY49" s="19"/>
      <c r="FUZ49" s="19"/>
      <c r="FVA49" s="19"/>
      <c r="FVB49" s="19"/>
      <c r="FVC49" s="19"/>
      <c r="FVD49" s="19"/>
      <c r="FVE49" s="19"/>
      <c r="FVF49" s="19"/>
      <c r="FVG49" s="19"/>
      <c r="FVH49" s="19"/>
      <c r="FVI49" s="19"/>
      <c r="FVJ49" s="19"/>
      <c r="FVK49" s="19"/>
      <c r="FVL49" s="19"/>
      <c r="FVM49" s="19"/>
      <c r="FVN49" s="19"/>
      <c r="FVO49" s="19"/>
      <c r="FVP49" s="19"/>
      <c r="FVQ49" s="19"/>
      <c r="FVR49" s="19"/>
      <c r="FVS49" s="19"/>
      <c r="FVT49" s="19"/>
      <c r="FVU49" s="19"/>
      <c r="FVV49" s="19"/>
      <c r="FVW49" s="19"/>
      <c r="FVX49" s="19"/>
      <c r="FVY49" s="19"/>
      <c r="FVZ49" s="19"/>
      <c r="FWA49" s="19"/>
      <c r="FWB49" s="19"/>
      <c r="FWC49" s="19"/>
      <c r="FWD49" s="19"/>
      <c r="FWE49" s="19"/>
      <c r="FWF49" s="19"/>
      <c r="FWG49" s="19"/>
      <c r="FWH49" s="19"/>
      <c r="FWI49" s="19"/>
      <c r="FWJ49" s="19"/>
      <c r="FWK49" s="19"/>
      <c r="FWL49" s="19"/>
      <c r="FWM49" s="19"/>
      <c r="FWN49" s="19"/>
      <c r="FWO49" s="19"/>
      <c r="FWP49" s="19"/>
      <c r="FWQ49" s="19"/>
      <c r="FWR49" s="19"/>
      <c r="FWS49" s="19"/>
      <c r="FWT49" s="19"/>
      <c r="FWU49" s="19"/>
      <c r="FWV49" s="19"/>
      <c r="FWW49" s="19"/>
      <c r="FWX49" s="19"/>
      <c r="FWY49" s="19"/>
      <c r="FWZ49" s="19"/>
      <c r="FXA49" s="19"/>
      <c r="FXB49" s="19"/>
      <c r="FXC49" s="19"/>
      <c r="FXD49" s="19"/>
      <c r="FXE49" s="19"/>
      <c r="FXF49" s="19"/>
      <c r="FXG49" s="19"/>
      <c r="FXH49" s="19"/>
      <c r="FXI49" s="19"/>
      <c r="FXJ49" s="19"/>
      <c r="FXK49" s="19"/>
      <c r="FXL49" s="19"/>
      <c r="FXM49" s="19"/>
      <c r="FXN49" s="19"/>
      <c r="FXO49" s="19"/>
      <c r="FXP49" s="19"/>
      <c r="FXQ49" s="19"/>
      <c r="FXR49" s="19"/>
      <c r="FXS49" s="19"/>
      <c r="FXT49" s="19"/>
      <c r="FXU49" s="19"/>
      <c r="FXV49" s="19"/>
      <c r="FXW49" s="19"/>
      <c r="FXX49" s="19"/>
      <c r="FXY49" s="19"/>
      <c r="FXZ49" s="19"/>
      <c r="FYA49" s="19"/>
      <c r="FYB49" s="19"/>
      <c r="FYC49" s="19"/>
      <c r="FYD49" s="19"/>
      <c r="FYE49" s="19"/>
      <c r="FYF49" s="19"/>
      <c r="FYG49" s="19"/>
      <c r="FYH49" s="19"/>
      <c r="FYI49" s="19"/>
      <c r="FYJ49" s="19"/>
      <c r="FYK49" s="19"/>
      <c r="FYL49" s="19"/>
      <c r="FYM49" s="19"/>
      <c r="FYN49" s="19"/>
      <c r="FYO49" s="19"/>
      <c r="FYP49" s="19"/>
      <c r="FYQ49" s="19"/>
      <c r="FYR49" s="19"/>
      <c r="FYS49" s="19"/>
      <c r="FYT49" s="19"/>
      <c r="FYU49" s="19"/>
      <c r="FYV49" s="19"/>
      <c r="FYW49" s="19"/>
      <c r="FYX49" s="19"/>
      <c r="FYY49" s="19"/>
      <c r="FYZ49" s="19"/>
      <c r="FZA49" s="19"/>
      <c r="FZB49" s="19"/>
      <c r="FZC49" s="19"/>
      <c r="FZD49" s="19"/>
      <c r="FZE49" s="19"/>
      <c r="FZF49" s="19"/>
      <c r="FZG49" s="19"/>
      <c r="FZH49" s="19"/>
      <c r="FZI49" s="19"/>
      <c r="FZJ49" s="19"/>
      <c r="FZK49" s="19"/>
      <c r="FZL49" s="19"/>
      <c r="FZM49" s="19"/>
      <c r="FZN49" s="19"/>
      <c r="FZO49" s="19"/>
      <c r="FZP49" s="19"/>
      <c r="FZQ49" s="19"/>
      <c r="FZR49" s="19"/>
      <c r="FZS49" s="19"/>
      <c r="FZT49" s="19"/>
      <c r="FZU49" s="19"/>
      <c r="FZV49" s="19"/>
      <c r="FZW49" s="19"/>
      <c r="FZX49" s="19"/>
      <c r="FZY49" s="19"/>
      <c r="FZZ49" s="19"/>
      <c r="GAA49" s="19"/>
      <c r="GAB49" s="19"/>
      <c r="GAC49" s="19"/>
      <c r="GAD49" s="19"/>
      <c r="GAE49" s="19"/>
      <c r="GAF49" s="19"/>
      <c r="GAG49" s="19"/>
      <c r="GAH49" s="19"/>
      <c r="GAI49" s="19"/>
      <c r="GAJ49" s="19"/>
      <c r="GAK49" s="19"/>
      <c r="GAL49" s="19"/>
      <c r="GAM49" s="19"/>
      <c r="GAN49" s="19"/>
      <c r="GAO49" s="19"/>
      <c r="GAP49" s="19"/>
      <c r="GAQ49" s="19"/>
      <c r="GAR49" s="19"/>
      <c r="GAS49" s="19"/>
      <c r="GAT49" s="19"/>
      <c r="GAU49" s="19"/>
      <c r="GAV49" s="19"/>
      <c r="GAW49" s="19"/>
      <c r="GAX49" s="19"/>
      <c r="GAY49" s="19"/>
      <c r="GAZ49" s="19"/>
      <c r="GBA49" s="19"/>
      <c r="GBB49" s="19"/>
      <c r="GBC49" s="19"/>
      <c r="GBD49" s="19"/>
      <c r="GBE49" s="19"/>
      <c r="GBF49" s="19"/>
      <c r="GBG49" s="19"/>
      <c r="GBH49" s="19"/>
      <c r="GBI49" s="19"/>
      <c r="GBJ49" s="19"/>
      <c r="GBK49" s="19"/>
      <c r="GBL49" s="19"/>
      <c r="GBM49" s="19"/>
      <c r="GBN49" s="19"/>
      <c r="GBO49" s="19"/>
      <c r="GBP49" s="19"/>
      <c r="GBQ49" s="19"/>
      <c r="GBR49" s="19"/>
      <c r="GBS49" s="19"/>
      <c r="GBT49" s="19"/>
      <c r="GBU49" s="19"/>
      <c r="GBV49" s="19"/>
      <c r="GBW49" s="19"/>
      <c r="GBX49" s="19"/>
      <c r="GBY49" s="19"/>
      <c r="GBZ49" s="19"/>
      <c r="GCA49" s="19"/>
      <c r="GCB49" s="19"/>
      <c r="GCC49" s="19"/>
      <c r="GCD49" s="19"/>
      <c r="GCE49" s="19"/>
      <c r="GCF49" s="19"/>
      <c r="GCG49" s="19"/>
      <c r="GCH49" s="19"/>
      <c r="GCI49" s="19"/>
      <c r="GCJ49" s="19"/>
      <c r="GCK49" s="19"/>
      <c r="GCL49" s="19"/>
      <c r="GCM49" s="19"/>
      <c r="GCN49" s="19"/>
      <c r="GCO49" s="19"/>
      <c r="GCP49" s="19"/>
      <c r="GCQ49" s="19"/>
      <c r="GCR49" s="19"/>
      <c r="GCS49" s="19"/>
      <c r="GCT49" s="19"/>
      <c r="GCU49" s="19"/>
      <c r="GCV49" s="19"/>
      <c r="GCW49" s="19"/>
      <c r="GCX49" s="19"/>
      <c r="GCY49" s="19"/>
      <c r="GCZ49" s="19"/>
      <c r="GDA49" s="19"/>
      <c r="GDB49" s="19"/>
      <c r="GDC49" s="19"/>
      <c r="GDD49" s="19"/>
      <c r="GDE49" s="19"/>
      <c r="GDF49" s="19"/>
      <c r="GDG49" s="19"/>
      <c r="GDH49" s="19"/>
      <c r="GDI49" s="19"/>
      <c r="GDJ49" s="19"/>
      <c r="GDK49" s="19"/>
      <c r="GDL49" s="19"/>
      <c r="GDM49" s="19"/>
      <c r="GDN49" s="19"/>
      <c r="GDO49" s="19"/>
      <c r="GDP49" s="19"/>
      <c r="GDQ49" s="19"/>
      <c r="GDR49" s="19"/>
      <c r="GDS49" s="19"/>
      <c r="GDT49" s="19"/>
      <c r="GDU49" s="19"/>
      <c r="GDV49" s="19"/>
      <c r="GDW49" s="19"/>
      <c r="GDX49" s="19"/>
      <c r="GDY49" s="19"/>
      <c r="GDZ49" s="19"/>
      <c r="GEA49" s="19"/>
      <c r="GEB49" s="19"/>
      <c r="GEC49" s="19"/>
      <c r="GED49" s="19"/>
      <c r="GEE49" s="19"/>
      <c r="GEF49" s="19"/>
      <c r="GEG49" s="19"/>
      <c r="GEH49" s="19"/>
      <c r="GEI49" s="19"/>
      <c r="GEJ49" s="19"/>
      <c r="GEK49" s="19"/>
      <c r="GEL49" s="19"/>
      <c r="GEM49" s="19"/>
      <c r="GEN49" s="19"/>
      <c r="GEO49" s="19"/>
      <c r="GEP49" s="19"/>
      <c r="GEQ49" s="19"/>
      <c r="GER49" s="19"/>
      <c r="GES49" s="19"/>
      <c r="GET49" s="19"/>
      <c r="GEU49" s="19"/>
      <c r="GEV49" s="19"/>
      <c r="GEW49" s="19"/>
      <c r="GEX49" s="19"/>
      <c r="GEY49" s="19"/>
      <c r="GEZ49" s="19"/>
      <c r="GFA49" s="19"/>
      <c r="GFB49" s="19"/>
      <c r="GFC49" s="19"/>
      <c r="GFD49" s="19"/>
      <c r="GFE49" s="19"/>
      <c r="GFF49" s="19"/>
      <c r="GFG49" s="19"/>
      <c r="GFH49" s="19"/>
      <c r="GFI49" s="19"/>
      <c r="GFJ49" s="19"/>
      <c r="GFK49" s="19"/>
      <c r="GFL49" s="19"/>
      <c r="GFM49" s="19"/>
      <c r="GFN49" s="19"/>
      <c r="GFO49" s="19"/>
      <c r="GFP49" s="19"/>
      <c r="GFQ49" s="19"/>
      <c r="GFR49" s="19"/>
      <c r="GFS49" s="19"/>
      <c r="GFT49" s="19"/>
      <c r="GFU49" s="19"/>
      <c r="GFV49" s="19"/>
      <c r="GFW49" s="19"/>
      <c r="GFX49" s="19"/>
      <c r="GFY49" s="19"/>
      <c r="GFZ49" s="19"/>
      <c r="GGA49" s="19"/>
      <c r="GGB49" s="19"/>
      <c r="GGC49" s="19"/>
      <c r="GGD49" s="19"/>
      <c r="GGE49" s="19"/>
      <c r="GGF49" s="19"/>
      <c r="GGG49" s="19"/>
      <c r="GGH49" s="19"/>
      <c r="GGI49" s="19"/>
      <c r="GGJ49" s="19"/>
      <c r="GGK49" s="19"/>
      <c r="GGL49" s="19"/>
      <c r="GGM49" s="19"/>
      <c r="GGN49" s="19"/>
      <c r="GGO49" s="19"/>
      <c r="GGP49" s="19"/>
      <c r="GGQ49" s="19"/>
      <c r="GGR49" s="19"/>
      <c r="GGS49" s="19"/>
      <c r="GGT49" s="19"/>
      <c r="GGU49" s="19"/>
      <c r="GGV49" s="19"/>
      <c r="GGW49" s="19"/>
      <c r="GGX49" s="19"/>
      <c r="GGY49" s="19"/>
      <c r="GGZ49" s="19"/>
      <c r="GHA49" s="19"/>
      <c r="GHB49" s="19"/>
      <c r="GHC49" s="19"/>
      <c r="GHD49" s="19"/>
      <c r="GHE49" s="19"/>
      <c r="GHF49" s="19"/>
      <c r="GHG49" s="19"/>
      <c r="GHH49" s="19"/>
      <c r="GHI49" s="19"/>
      <c r="GHJ49" s="19"/>
      <c r="GHK49" s="19"/>
      <c r="GHL49" s="19"/>
      <c r="GHM49" s="19"/>
      <c r="GHN49" s="19"/>
      <c r="GHO49" s="19"/>
      <c r="GHP49" s="19"/>
      <c r="GHQ49" s="19"/>
      <c r="GHR49" s="19"/>
      <c r="GHS49" s="19"/>
      <c r="GHT49" s="19"/>
      <c r="GHU49" s="19"/>
      <c r="GHV49" s="19"/>
      <c r="GHW49" s="19"/>
      <c r="GHX49" s="19"/>
      <c r="GHY49" s="19"/>
      <c r="GHZ49" s="19"/>
      <c r="GIA49" s="19"/>
      <c r="GIB49" s="19"/>
      <c r="GIC49" s="19"/>
      <c r="GID49" s="19"/>
      <c r="GIE49" s="19"/>
      <c r="GIF49" s="19"/>
      <c r="GIG49" s="19"/>
      <c r="GIH49" s="19"/>
      <c r="GII49" s="19"/>
      <c r="GIJ49" s="19"/>
      <c r="GIK49" s="19"/>
      <c r="GIL49" s="19"/>
      <c r="GIM49" s="19"/>
      <c r="GIN49" s="19"/>
      <c r="GIO49" s="19"/>
      <c r="GIP49" s="19"/>
      <c r="GIQ49" s="19"/>
      <c r="GIR49" s="19"/>
      <c r="GIS49" s="19"/>
      <c r="GIT49" s="19"/>
      <c r="GIU49" s="19"/>
      <c r="GIV49" s="19"/>
      <c r="GIW49" s="19"/>
      <c r="GIX49" s="19"/>
      <c r="GIY49" s="19"/>
      <c r="GIZ49" s="19"/>
      <c r="GJA49" s="19"/>
      <c r="GJB49" s="19"/>
      <c r="GJC49" s="19"/>
      <c r="GJD49" s="19"/>
      <c r="GJE49" s="19"/>
      <c r="GJF49" s="19"/>
      <c r="GJG49" s="19"/>
      <c r="GJH49" s="19"/>
      <c r="GJI49" s="19"/>
      <c r="GJJ49" s="19"/>
      <c r="GJK49" s="19"/>
      <c r="GJL49" s="19"/>
      <c r="GJM49" s="19"/>
      <c r="GJN49" s="19"/>
      <c r="GJO49" s="19"/>
      <c r="GJP49" s="19"/>
      <c r="GJQ49" s="19"/>
      <c r="GJR49" s="19"/>
      <c r="GJS49" s="19"/>
      <c r="GJT49" s="19"/>
      <c r="GJU49" s="19"/>
      <c r="GJV49" s="19"/>
      <c r="GJW49" s="19"/>
      <c r="GJX49" s="19"/>
      <c r="GJY49" s="19"/>
      <c r="GJZ49" s="19"/>
      <c r="GKA49" s="19"/>
      <c r="GKB49" s="19"/>
      <c r="GKC49" s="19"/>
      <c r="GKD49" s="19"/>
      <c r="GKE49" s="19"/>
      <c r="GKF49" s="19"/>
      <c r="GKG49" s="19"/>
      <c r="GKH49" s="19"/>
      <c r="GKI49" s="19"/>
      <c r="GKJ49" s="19"/>
      <c r="GKK49" s="19"/>
      <c r="GKL49" s="19"/>
      <c r="GKM49" s="19"/>
      <c r="GKN49" s="19"/>
      <c r="GKO49" s="19"/>
      <c r="GKP49" s="19"/>
      <c r="GKQ49" s="19"/>
      <c r="GKR49" s="19"/>
      <c r="GKS49" s="19"/>
      <c r="GKT49" s="19"/>
      <c r="GKU49" s="19"/>
      <c r="GKV49" s="19"/>
      <c r="GKW49" s="19"/>
      <c r="GKX49" s="19"/>
      <c r="GKY49" s="19"/>
      <c r="GKZ49" s="19"/>
      <c r="GLA49" s="19"/>
      <c r="GLB49" s="19"/>
      <c r="GLC49" s="19"/>
      <c r="GLD49" s="19"/>
      <c r="GLE49" s="19"/>
      <c r="GLF49" s="19"/>
      <c r="GLG49" s="19"/>
      <c r="GLH49" s="19"/>
      <c r="GLI49" s="19"/>
      <c r="GLJ49" s="19"/>
      <c r="GLK49" s="19"/>
      <c r="GLL49" s="19"/>
      <c r="GLM49" s="19"/>
      <c r="GLN49" s="19"/>
      <c r="GLO49" s="19"/>
      <c r="GLP49" s="19"/>
      <c r="GLQ49" s="19"/>
      <c r="GLR49" s="19"/>
      <c r="GLS49" s="19"/>
      <c r="GLT49" s="19"/>
      <c r="GLU49" s="19"/>
      <c r="GLV49" s="19"/>
      <c r="GLW49" s="19"/>
      <c r="GLX49" s="19"/>
      <c r="GLY49" s="19"/>
      <c r="GLZ49" s="19"/>
      <c r="GMA49" s="19"/>
      <c r="GMB49" s="19"/>
      <c r="GMC49" s="19"/>
      <c r="GMD49" s="19"/>
      <c r="GME49" s="19"/>
      <c r="GMF49" s="19"/>
      <c r="GMG49" s="19"/>
      <c r="GMH49" s="19"/>
      <c r="GMI49" s="19"/>
      <c r="GMJ49" s="19"/>
      <c r="GMK49" s="19"/>
      <c r="GML49" s="19"/>
      <c r="GMM49" s="19"/>
      <c r="GMN49" s="19"/>
      <c r="GMO49" s="19"/>
      <c r="GMP49" s="19"/>
      <c r="GMQ49" s="19"/>
      <c r="GMR49" s="19"/>
      <c r="GMS49" s="19"/>
      <c r="GMT49" s="19"/>
      <c r="GMU49" s="19"/>
      <c r="GMV49" s="19"/>
      <c r="GMW49" s="19"/>
      <c r="GMX49" s="19"/>
      <c r="GMY49" s="19"/>
      <c r="GMZ49" s="19"/>
      <c r="GNA49" s="19"/>
      <c r="GNB49" s="19"/>
      <c r="GNC49" s="19"/>
      <c r="GND49" s="19"/>
      <c r="GNE49" s="19"/>
      <c r="GNF49" s="19"/>
      <c r="GNG49" s="19"/>
      <c r="GNH49" s="19"/>
      <c r="GNI49" s="19"/>
      <c r="GNJ49" s="19"/>
      <c r="GNK49" s="19"/>
      <c r="GNL49" s="19"/>
      <c r="GNM49" s="19"/>
      <c r="GNN49" s="19"/>
      <c r="GNO49" s="19"/>
      <c r="GNP49" s="19"/>
      <c r="GNQ49" s="19"/>
      <c r="GNR49" s="19"/>
      <c r="GNS49" s="19"/>
      <c r="GNT49" s="19"/>
      <c r="GNU49" s="19"/>
      <c r="GNV49" s="19"/>
      <c r="GNW49" s="19"/>
      <c r="GNX49" s="19"/>
      <c r="GNY49" s="19"/>
      <c r="GNZ49" s="19"/>
      <c r="GOA49" s="19"/>
      <c r="GOB49" s="19"/>
      <c r="GOC49" s="19"/>
      <c r="GOD49" s="19"/>
      <c r="GOE49" s="19"/>
      <c r="GOF49" s="19"/>
      <c r="GOG49" s="19"/>
      <c r="GOH49" s="19"/>
      <c r="GOI49" s="19"/>
      <c r="GOJ49" s="19"/>
      <c r="GOK49" s="19"/>
      <c r="GOL49" s="19"/>
      <c r="GOM49" s="19"/>
      <c r="GON49" s="19"/>
      <c r="GOO49" s="19"/>
      <c r="GOP49" s="19"/>
      <c r="GOQ49" s="19"/>
      <c r="GOR49" s="19"/>
      <c r="GOS49" s="19"/>
      <c r="GOT49" s="19"/>
      <c r="GOU49" s="19"/>
      <c r="GOV49" s="19"/>
      <c r="GOW49" s="19"/>
      <c r="GOX49" s="19"/>
      <c r="GOY49" s="19"/>
      <c r="GOZ49" s="19"/>
      <c r="GPA49" s="19"/>
      <c r="GPB49" s="19"/>
      <c r="GPC49" s="19"/>
      <c r="GPD49" s="19"/>
      <c r="GPE49" s="19"/>
      <c r="GPF49" s="19"/>
      <c r="GPG49" s="19"/>
      <c r="GPH49" s="19"/>
      <c r="GPI49" s="19"/>
      <c r="GPJ49" s="19"/>
      <c r="GPK49" s="19"/>
      <c r="GPL49" s="19"/>
      <c r="GPM49" s="19"/>
      <c r="GPN49" s="19"/>
      <c r="GPO49" s="19"/>
      <c r="GPP49" s="19"/>
      <c r="GPQ49" s="19"/>
      <c r="GPR49" s="19"/>
      <c r="GPS49" s="19"/>
      <c r="GPT49" s="19"/>
      <c r="GPU49" s="19"/>
      <c r="GPV49" s="19"/>
      <c r="GPW49" s="19"/>
      <c r="GPX49" s="19"/>
      <c r="GPY49" s="19"/>
      <c r="GPZ49" s="19"/>
      <c r="GQA49" s="19"/>
      <c r="GQB49" s="19"/>
      <c r="GQC49" s="19"/>
      <c r="GQD49" s="19"/>
      <c r="GQE49" s="19"/>
      <c r="GQF49" s="19"/>
      <c r="GQG49" s="19"/>
      <c r="GQH49" s="19"/>
      <c r="GQI49" s="19"/>
      <c r="GQJ49" s="19"/>
      <c r="GQK49" s="19"/>
      <c r="GQL49" s="19"/>
      <c r="GQM49" s="19"/>
      <c r="GQN49" s="19"/>
      <c r="GQO49" s="19"/>
      <c r="GQP49" s="19"/>
      <c r="GQQ49" s="19"/>
      <c r="GQR49" s="19"/>
      <c r="GQS49" s="19"/>
      <c r="GQT49" s="19"/>
      <c r="GQU49" s="19"/>
      <c r="GQV49" s="19"/>
      <c r="GQW49" s="19"/>
      <c r="GQX49" s="19"/>
      <c r="GQY49" s="19"/>
      <c r="GQZ49" s="19"/>
      <c r="GRA49" s="19"/>
      <c r="GRB49" s="19"/>
      <c r="GRC49" s="19"/>
    </row>
    <row r="50" spans="1:5203" s="8" customFormat="1" ht="15.75" x14ac:dyDescent="0.2">
      <c r="A50" s="65">
        <v>37</v>
      </c>
      <c r="B50" s="91" t="s">
        <v>115</v>
      </c>
      <c r="C50" s="92" t="s">
        <v>46</v>
      </c>
      <c r="D50" s="93">
        <v>671.43</v>
      </c>
      <c r="E50" s="92" t="s">
        <v>129</v>
      </c>
      <c r="F50" s="65">
        <v>177.8</v>
      </c>
      <c r="G50" s="92" t="s">
        <v>28</v>
      </c>
      <c r="H50" s="93" t="s">
        <v>125</v>
      </c>
      <c r="I50" s="94">
        <v>565.53</v>
      </c>
      <c r="J50" s="92" t="s">
        <v>242</v>
      </c>
      <c r="K50" s="92"/>
      <c r="L50" s="95">
        <v>443</v>
      </c>
      <c r="M50" s="95"/>
      <c r="N50" s="65">
        <v>5.4</v>
      </c>
      <c r="O50" s="95"/>
      <c r="P50" s="96">
        <v>18.148766326530613</v>
      </c>
      <c r="Q50" s="97">
        <f t="shared" si="29"/>
        <v>5.25</v>
      </c>
      <c r="R50" s="98">
        <v>2</v>
      </c>
      <c r="S50" s="70">
        <v>2.5</v>
      </c>
      <c r="T50" s="97">
        <v>0</v>
      </c>
      <c r="U50" s="70">
        <f t="shared" si="28"/>
        <v>0</v>
      </c>
      <c r="V50" s="71">
        <f t="shared" si="9"/>
        <v>20</v>
      </c>
      <c r="W50" s="99">
        <v>0.3</v>
      </c>
      <c r="X50" s="100">
        <v>0</v>
      </c>
      <c r="Y50" s="73">
        <f t="shared" si="3"/>
        <v>1.96</v>
      </c>
      <c r="Z50" s="73">
        <f t="shared" si="4"/>
        <v>2.4500000000000002</v>
      </c>
      <c r="AA50" s="73">
        <f t="shared" si="5"/>
        <v>0</v>
      </c>
      <c r="AB50" s="100">
        <f t="shared" ref="AB50:AB53" si="31">U50</f>
        <v>0</v>
      </c>
      <c r="AC50" s="73">
        <f t="shared" si="2"/>
        <v>20</v>
      </c>
      <c r="AD50" s="65">
        <v>31</v>
      </c>
      <c r="AE50" s="100">
        <f t="shared" si="30"/>
        <v>60.76</v>
      </c>
      <c r="AF50" s="74"/>
    </row>
    <row r="51" spans="1:5203" s="8" customFormat="1" ht="15.75" x14ac:dyDescent="0.2">
      <c r="A51" s="65">
        <v>38</v>
      </c>
      <c r="B51" s="66" t="s">
        <v>116</v>
      </c>
      <c r="C51" s="65" t="s">
        <v>46</v>
      </c>
      <c r="D51" s="67">
        <v>681.27</v>
      </c>
      <c r="E51" s="65" t="s">
        <v>124</v>
      </c>
      <c r="F51" s="65">
        <v>177.8</v>
      </c>
      <c r="G51" s="65" t="s">
        <v>28</v>
      </c>
      <c r="H51" s="67" t="s">
        <v>53</v>
      </c>
      <c r="I51" s="61">
        <v>558.35</v>
      </c>
      <c r="J51" s="65" t="s">
        <v>255</v>
      </c>
      <c r="K51" s="65"/>
      <c r="L51" s="68">
        <v>410</v>
      </c>
      <c r="M51" s="68"/>
      <c r="N51" s="65">
        <v>0.7</v>
      </c>
      <c r="O51" s="68"/>
      <c r="P51" s="69">
        <v>16.440233051020407</v>
      </c>
      <c r="Q51" s="97">
        <f t="shared" si="29"/>
        <v>17.55</v>
      </c>
      <c r="R51" s="71">
        <v>3</v>
      </c>
      <c r="S51" s="70">
        <v>4.2</v>
      </c>
      <c r="T51" s="70">
        <v>2</v>
      </c>
      <c r="U51" s="70">
        <f t="shared" si="28"/>
        <v>0.66666666666666663</v>
      </c>
      <c r="V51" s="71">
        <f t="shared" si="9"/>
        <v>28.571428571428577</v>
      </c>
      <c r="W51" s="72">
        <v>0.4</v>
      </c>
      <c r="X51" s="73">
        <v>0</v>
      </c>
      <c r="Y51" s="73">
        <f t="shared" si="3"/>
        <v>2.94</v>
      </c>
      <c r="Z51" s="73">
        <f t="shared" si="4"/>
        <v>4.1159999999999997</v>
      </c>
      <c r="AA51" s="73">
        <f t="shared" si="5"/>
        <v>1.96</v>
      </c>
      <c r="AB51" s="73">
        <f t="shared" si="31"/>
        <v>0.66666666666666663</v>
      </c>
      <c r="AC51" s="73">
        <f t="shared" si="2"/>
        <v>28.571428571428577</v>
      </c>
      <c r="AD51" s="65">
        <v>31</v>
      </c>
      <c r="AE51" s="73">
        <f t="shared" si="30"/>
        <v>91.14</v>
      </c>
      <c r="AF51" s="74"/>
    </row>
    <row r="52" spans="1:5203" s="8" customFormat="1" ht="15.75" x14ac:dyDescent="0.2">
      <c r="A52" s="65">
        <v>39</v>
      </c>
      <c r="B52" s="66" t="s">
        <v>120</v>
      </c>
      <c r="C52" s="65" t="s">
        <v>46</v>
      </c>
      <c r="D52" s="67">
        <v>668.57</v>
      </c>
      <c r="E52" s="65" t="s">
        <v>127</v>
      </c>
      <c r="F52" s="65">
        <v>177.8</v>
      </c>
      <c r="G52" s="65" t="s">
        <v>28</v>
      </c>
      <c r="H52" s="67" t="s">
        <v>48</v>
      </c>
      <c r="I52" s="61">
        <v>567.08000000000004</v>
      </c>
      <c r="J52" s="65" t="s">
        <v>256</v>
      </c>
      <c r="K52" s="65"/>
      <c r="L52" s="68">
        <v>434</v>
      </c>
      <c r="M52" s="68"/>
      <c r="N52" s="65">
        <v>2.5</v>
      </c>
      <c r="O52" s="68"/>
      <c r="P52" s="69">
        <v>16.464438061224488</v>
      </c>
      <c r="Q52" s="70">
        <f t="shared" si="29"/>
        <v>12.35</v>
      </c>
      <c r="R52" s="71">
        <v>4</v>
      </c>
      <c r="S52" s="70">
        <v>5.0999999999999996</v>
      </c>
      <c r="T52" s="70">
        <v>3</v>
      </c>
      <c r="U52" s="70">
        <f t="shared" si="28"/>
        <v>0.75</v>
      </c>
      <c r="V52" s="71">
        <f t="shared" si="9"/>
        <v>21.568627450980387</v>
      </c>
      <c r="W52" s="72">
        <v>0.4</v>
      </c>
      <c r="X52" s="73">
        <v>0</v>
      </c>
      <c r="Y52" s="73">
        <f t="shared" si="3"/>
        <v>3.92</v>
      </c>
      <c r="Z52" s="73">
        <f t="shared" si="4"/>
        <v>4.9979999999999993</v>
      </c>
      <c r="AA52" s="73">
        <f t="shared" si="5"/>
        <v>2.94</v>
      </c>
      <c r="AB52" s="73">
        <f t="shared" si="31"/>
        <v>0.75</v>
      </c>
      <c r="AC52" s="73">
        <f t="shared" si="2"/>
        <v>21.568627450980387</v>
      </c>
      <c r="AD52" s="65">
        <v>31</v>
      </c>
      <c r="AE52" s="73">
        <f t="shared" si="30"/>
        <v>121.52</v>
      </c>
      <c r="AF52" s="74"/>
    </row>
    <row r="53" spans="1:5203" s="8" customFormat="1" ht="15.75" x14ac:dyDescent="0.2">
      <c r="A53" s="65">
        <v>40</v>
      </c>
      <c r="B53" s="66" t="s">
        <v>114</v>
      </c>
      <c r="C53" s="65" t="s">
        <v>46</v>
      </c>
      <c r="D53" s="67">
        <v>584.25</v>
      </c>
      <c r="E53" s="65" t="s">
        <v>123</v>
      </c>
      <c r="F53" s="65">
        <v>177.8</v>
      </c>
      <c r="G53" s="65" t="s">
        <v>28</v>
      </c>
      <c r="H53" s="67" t="s">
        <v>125</v>
      </c>
      <c r="I53" s="61">
        <v>565.08000000000004</v>
      </c>
      <c r="J53" s="65">
        <v>240</v>
      </c>
      <c r="K53" s="65"/>
      <c r="L53" s="68">
        <v>48</v>
      </c>
      <c r="M53" s="68"/>
      <c r="N53" s="65">
        <v>0.1</v>
      </c>
      <c r="O53" s="68"/>
      <c r="P53" s="69">
        <v>52.881277653061225</v>
      </c>
      <c r="Q53" s="70">
        <f t="shared" si="29"/>
        <v>7.2</v>
      </c>
      <c r="R53" s="71">
        <v>1</v>
      </c>
      <c r="S53" s="70">
        <v>1.3</v>
      </c>
      <c r="T53" s="70">
        <v>0</v>
      </c>
      <c r="U53" s="70">
        <f t="shared" si="28"/>
        <v>0</v>
      </c>
      <c r="V53" s="71">
        <f t="shared" si="9"/>
        <v>23.076923076923077</v>
      </c>
      <c r="W53" s="72">
        <v>0.5</v>
      </c>
      <c r="X53" s="73">
        <f t="shared" si="27"/>
        <v>0.18055555555555555</v>
      </c>
      <c r="Y53" s="73">
        <f t="shared" si="3"/>
        <v>0.98</v>
      </c>
      <c r="Z53" s="73">
        <f t="shared" si="4"/>
        <v>1.274</v>
      </c>
      <c r="AA53" s="73">
        <f t="shared" si="5"/>
        <v>0</v>
      </c>
      <c r="AB53" s="73">
        <f t="shared" si="31"/>
        <v>0</v>
      </c>
      <c r="AC53" s="73">
        <f t="shared" si="2"/>
        <v>23.076923076923077</v>
      </c>
      <c r="AD53" s="65">
        <v>31</v>
      </c>
      <c r="AE53" s="73">
        <f t="shared" si="30"/>
        <v>30.38</v>
      </c>
      <c r="AF53" s="101"/>
    </row>
    <row r="54" spans="1:5203" s="8" customFormat="1" ht="15.75" x14ac:dyDescent="0.2">
      <c r="A54" s="65">
        <v>41</v>
      </c>
      <c r="B54" s="66" t="s">
        <v>106</v>
      </c>
      <c r="C54" s="65" t="s">
        <v>46</v>
      </c>
      <c r="D54" s="67">
        <v>642.52</v>
      </c>
      <c r="E54" s="65" t="s">
        <v>111</v>
      </c>
      <c r="F54" s="65">
        <v>177.8</v>
      </c>
      <c r="G54" s="65" t="s">
        <v>28</v>
      </c>
      <c r="H54" s="67" t="s">
        <v>52</v>
      </c>
      <c r="I54" s="61">
        <v>559.03</v>
      </c>
      <c r="J54" s="65"/>
      <c r="K54" s="65">
        <v>350</v>
      </c>
      <c r="L54" s="65"/>
      <c r="M54" s="65">
        <v>0.7</v>
      </c>
      <c r="N54" s="65"/>
      <c r="O54" s="65"/>
      <c r="P54" s="83"/>
      <c r="Q54" s="73">
        <f t="shared" si="29"/>
        <v>0</v>
      </c>
      <c r="R54" s="72"/>
      <c r="S54" s="70">
        <v>0</v>
      </c>
      <c r="T54" s="73"/>
      <c r="U54" s="70"/>
      <c r="V54" s="71"/>
      <c r="W54" s="72"/>
      <c r="X54" s="73"/>
      <c r="Y54" s="73">
        <f t="shared" si="3"/>
        <v>0</v>
      </c>
      <c r="Z54" s="73">
        <f t="shared" si="4"/>
        <v>0</v>
      </c>
      <c r="AA54" s="73">
        <f t="shared" si="5"/>
        <v>0</v>
      </c>
      <c r="AB54" s="73">
        <f t="shared" ref="AB54:AB56" si="32">U54</f>
        <v>0</v>
      </c>
      <c r="AC54" s="73">
        <f t="shared" si="2"/>
        <v>0</v>
      </c>
      <c r="AD54" s="65">
        <v>0</v>
      </c>
      <c r="AE54" s="73">
        <f t="shared" si="30"/>
        <v>0</v>
      </c>
      <c r="AF54" s="89" t="s">
        <v>215</v>
      </c>
    </row>
    <row r="55" spans="1:5203" s="8" customFormat="1" ht="15.75" x14ac:dyDescent="0.2">
      <c r="A55" s="65">
        <v>42</v>
      </c>
      <c r="B55" s="66" t="s">
        <v>105</v>
      </c>
      <c r="C55" s="65" t="s">
        <v>46</v>
      </c>
      <c r="D55" s="67">
        <v>678.58</v>
      </c>
      <c r="E55" s="65" t="s">
        <v>110</v>
      </c>
      <c r="F55" s="65">
        <v>177.8</v>
      </c>
      <c r="G55" s="65" t="s">
        <v>28</v>
      </c>
      <c r="H55" s="67" t="s">
        <v>52</v>
      </c>
      <c r="I55" s="61">
        <v>540.15</v>
      </c>
      <c r="J55" s="65">
        <v>85</v>
      </c>
      <c r="K55" s="65"/>
      <c r="L55" s="65">
        <v>200</v>
      </c>
      <c r="M55" s="65"/>
      <c r="N55" s="65">
        <v>9.3000000000000007</v>
      </c>
      <c r="O55" s="65"/>
      <c r="P55" s="83">
        <v>44.93327428571429</v>
      </c>
      <c r="Q55" s="73">
        <f t="shared" si="29"/>
        <v>18.7</v>
      </c>
      <c r="R55" s="72">
        <v>7</v>
      </c>
      <c r="S55" s="70">
        <v>15</v>
      </c>
      <c r="T55" s="73">
        <v>36</v>
      </c>
      <c r="U55" s="70">
        <f t="shared" si="28"/>
        <v>5.1428571428571432</v>
      </c>
      <c r="V55" s="71">
        <f t="shared" si="9"/>
        <v>53.333333333333336</v>
      </c>
      <c r="W55" s="72">
        <v>0.5</v>
      </c>
      <c r="X55" s="73">
        <f>S55/Q55</f>
        <v>0.80213903743315507</v>
      </c>
      <c r="Y55" s="73">
        <f t="shared" si="3"/>
        <v>6.8599999999999994</v>
      </c>
      <c r="Z55" s="73">
        <f t="shared" si="4"/>
        <v>14.7</v>
      </c>
      <c r="AA55" s="73">
        <f t="shared" si="5"/>
        <v>35.28</v>
      </c>
      <c r="AB55" s="73">
        <f t="shared" si="32"/>
        <v>5.1428571428571432</v>
      </c>
      <c r="AC55" s="73">
        <f t="shared" si="2"/>
        <v>53.333333333333336</v>
      </c>
      <c r="AD55" s="65">
        <v>31</v>
      </c>
      <c r="AE55" s="73">
        <f t="shared" si="30"/>
        <v>212.65999999999997</v>
      </c>
      <c r="AF55" s="80"/>
    </row>
    <row r="56" spans="1:5203" s="8" customFormat="1" ht="15.75" x14ac:dyDescent="0.2">
      <c r="A56" s="65">
        <v>43</v>
      </c>
      <c r="B56" s="66" t="s">
        <v>104</v>
      </c>
      <c r="C56" s="65" t="s">
        <v>46</v>
      </c>
      <c r="D56" s="67">
        <v>707.14</v>
      </c>
      <c r="E56" s="65" t="s">
        <v>231</v>
      </c>
      <c r="F56" s="65">
        <v>177.8</v>
      </c>
      <c r="G56" s="65" t="s">
        <v>28</v>
      </c>
      <c r="H56" s="67" t="s">
        <v>52</v>
      </c>
      <c r="I56" s="61">
        <v>555</v>
      </c>
      <c r="J56" s="65" t="s">
        <v>248</v>
      </c>
      <c r="K56" s="65"/>
      <c r="L56" s="65">
        <v>446</v>
      </c>
      <c r="M56" s="65"/>
      <c r="N56" s="65">
        <v>9.1999999999999993</v>
      </c>
      <c r="O56" s="65"/>
      <c r="P56" s="83">
        <v>21.813846204081631</v>
      </c>
      <c r="Q56" s="73">
        <f t="shared" si="29"/>
        <v>18.7</v>
      </c>
      <c r="R56" s="72">
        <v>5</v>
      </c>
      <c r="S56" s="70">
        <v>9.1999999999999993</v>
      </c>
      <c r="T56" s="73">
        <v>100</v>
      </c>
      <c r="U56" s="73">
        <f t="shared" ref="U56" si="33">T56/R56</f>
        <v>20</v>
      </c>
      <c r="V56" s="71">
        <f t="shared" si="9"/>
        <v>45.652173913043477</v>
      </c>
      <c r="W56" s="72">
        <v>0.2</v>
      </c>
      <c r="X56" s="73">
        <f>S56/Q56</f>
        <v>0.49197860962566842</v>
      </c>
      <c r="Y56" s="73">
        <f t="shared" si="3"/>
        <v>4.9000000000000004</v>
      </c>
      <c r="Z56" s="73">
        <f t="shared" si="4"/>
        <v>9.016</v>
      </c>
      <c r="AA56" s="73">
        <f t="shared" si="5"/>
        <v>98</v>
      </c>
      <c r="AB56" s="73">
        <f t="shared" si="32"/>
        <v>20</v>
      </c>
      <c r="AC56" s="73">
        <f t="shared" si="2"/>
        <v>45.652173913043477</v>
      </c>
      <c r="AD56" s="65">
        <v>31</v>
      </c>
      <c r="AE56" s="73">
        <f t="shared" si="30"/>
        <v>151.9</v>
      </c>
      <c r="AF56" s="80"/>
    </row>
    <row r="57" spans="1:5203" s="12" customFormat="1" ht="15.95" customHeight="1" x14ac:dyDescent="0.2">
      <c r="A57" s="65">
        <v>44</v>
      </c>
      <c r="B57" s="102" t="s">
        <v>158</v>
      </c>
      <c r="C57" s="65" t="s">
        <v>46</v>
      </c>
      <c r="D57" s="61">
        <v>674.45</v>
      </c>
      <c r="E57" s="61" t="s">
        <v>232</v>
      </c>
      <c r="F57" s="65">
        <v>177.8</v>
      </c>
      <c r="G57" s="65" t="s">
        <v>28</v>
      </c>
      <c r="H57" s="67" t="s">
        <v>52</v>
      </c>
      <c r="I57" s="61">
        <v>543.72</v>
      </c>
      <c r="J57" s="61" t="s">
        <v>243</v>
      </c>
      <c r="K57" s="61"/>
      <c r="L57" s="61">
        <v>367</v>
      </c>
      <c r="M57" s="61"/>
      <c r="N57" s="65">
        <v>8.5</v>
      </c>
      <c r="O57" s="61"/>
      <c r="P57" s="63">
        <v>26.714127999999999</v>
      </c>
      <c r="Q57" s="73">
        <f t="shared" ref="Q57:Q71" si="34">LEFT(H57,(FIND("K",H57,1)-1))*J57/100</f>
        <v>33</v>
      </c>
      <c r="R57" s="72">
        <v>9</v>
      </c>
      <c r="S57" s="70">
        <v>11</v>
      </c>
      <c r="T57" s="76">
        <v>1000</v>
      </c>
      <c r="U57" s="73">
        <f>T57/R57</f>
        <v>111.11111111111111</v>
      </c>
      <c r="V57" s="71">
        <f t="shared" si="9"/>
        <v>18.181818181818183</v>
      </c>
      <c r="W57" s="72">
        <v>0.4</v>
      </c>
      <c r="X57" s="73">
        <f t="shared" ref="X57:X73" si="35">S57/Q57</f>
        <v>0.33333333333333331</v>
      </c>
      <c r="Y57" s="73">
        <f t="shared" si="3"/>
        <v>8.82</v>
      </c>
      <c r="Z57" s="73">
        <f t="shared" si="4"/>
        <v>10.78</v>
      </c>
      <c r="AA57" s="73">
        <f t="shared" si="5"/>
        <v>980</v>
      </c>
      <c r="AB57" s="73">
        <f t="shared" ref="AB57:AB59" si="36">U57</f>
        <v>111.11111111111111</v>
      </c>
      <c r="AC57" s="73">
        <f t="shared" si="2"/>
        <v>18.181818181818183</v>
      </c>
      <c r="AD57" s="65">
        <v>31</v>
      </c>
      <c r="AE57" s="73">
        <f>Y57*AD57</f>
        <v>273.42</v>
      </c>
      <c r="AF57" s="74"/>
    </row>
    <row r="58" spans="1:5203" s="12" customFormat="1" ht="15.95" customHeight="1" x14ac:dyDescent="0.2">
      <c r="A58" s="65">
        <v>45</v>
      </c>
      <c r="B58" s="102" t="s">
        <v>160</v>
      </c>
      <c r="C58" s="65" t="s">
        <v>46</v>
      </c>
      <c r="D58" s="61">
        <v>677.33</v>
      </c>
      <c r="E58" s="61" t="s">
        <v>165</v>
      </c>
      <c r="F58" s="65">
        <v>177.8</v>
      </c>
      <c r="G58" s="65" t="s">
        <v>28</v>
      </c>
      <c r="H58" s="67" t="s">
        <v>52</v>
      </c>
      <c r="I58" s="61">
        <v>555.41999999999996</v>
      </c>
      <c r="J58" s="61"/>
      <c r="K58" s="61">
        <v>175</v>
      </c>
      <c r="L58" s="65"/>
      <c r="M58" s="61">
        <v>0.2</v>
      </c>
      <c r="N58" s="65"/>
      <c r="O58" s="61"/>
      <c r="P58" s="63"/>
      <c r="Q58" s="73">
        <f t="shared" si="34"/>
        <v>0</v>
      </c>
      <c r="R58" s="72"/>
      <c r="S58" s="70">
        <v>0</v>
      </c>
      <c r="T58" s="76"/>
      <c r="U58" s="73">
        <v>0</v>
      </c>
      <c r="V58" s="71">
        <v>0</v>
      </c>
      <c r="W58" s="72">
        <v>0</v>
      </c>
      <c r="X58" s="73">
        <v>0</v>
      </c>
      <c r="Y58" s="73">
        <f t="shared" si="3"/>
        <v>0</v>
      </c>
      <c r="Z58" s="73">
        <f t="shared" si="4"/>
        <v>0</v>
      </c>
      <c r="AA58" s="73">
        <f t="shared" si="5"/>
        <v>0</v>
      </c>
      <c r="AB58" s="73">
        <f t="shared" si="36"/>
        <v>0</v>
      </c>
      <c r="AC58" s="73">
        <v>0</v>
      </c>
      <c r="AD58" s="65">
        <v>0</v>
      </c>
      <c r="AE58" s="73">
        <f>Y58*AD58</f>
        <v>0</v>
      </c>
      <c r="AF58" s="74" t="s">
        <v>237</v>
      </c>
    </row>
    <row r="59" spans="1:5203" s="12" customFormat="1" ht="15.95" customHeight="1" x14ac:dyDescent="0.2">
      <c r="A59" s="65">
        <v>46</v>
      </c>
      <c r="B59" s="66" t="s">
        <v>164</v>
      </c>
      <c r="C59" s="65" t="s">
        <v>46</v>
      </c>
      <c r="D59" s="61">
        <v>678.47</v>
      </c>
      <c r="E59" s="61" t="s">
        <v>233</v>
      </c>
      <c r="F59" s="65">
        <v>177.8</v>
      </c>
      <c r="G59" s="65" t="s">
        <v>28</v>
      </c>
      <c r="H59" s="67" t="s">
        <v>48</v>
      </c>
      <c r="I59" s="61">
        <v>563.11</v>
      </c>
      <c r="J59" s="61" t="s">
        <v>248</v>
      </c>
      <c r="K59" s="61"/>
      <c r="L59" s="61">
        <v>433</v>
      </c>
      <c r="M59" s="61"/>
      <c r="N59" s="65">
        <v>3.7</v>
      </c>
      <c r="O59" s="61"/>
      <c r="P59" s="83">
        <v>18.170862999999997</v>
      </c>
      <c r="Q59" s="73">
        <f t="shared" si="34"/>
        <v>11.05</v>
      </c>
      <c r="R59" s="72">
        <v>4</v>
      </c>
      <c r="S59" s="70">
        <v>5</v>
      </c>
      <c r="T59" s="73">
        <v>9</v>
      </c>
      <c r="U59" s="73">
        <f>T59/R59</f>
        <v>2.25</v>
      </c>
      <c r="V59" s="71">
        <f t="shared" si="9"/>
        <v>20</v>
      </c>
      <c r="W59" s="72">
        <v>0.7</v>
      </c>
      <c r="X59" s="73">
        <v>1</v>
      </c>
      <c r="Y59" s="73">
        <f t="shared" si="3"/>
        <v>3.92</v>
      </c>
      <c r="Z59" s="73">
        <f t="shared" si="4"/>
        <v>4.9000000000000004</v>
      </c>
      <c r="AA59" s="73">
        <f t="shared" si="5"/>
        <v>8.82</v>
      </c>
      <c r="AB59" s="73">
        <f t="shared" si="36"/>
        <v>2.25</v>
      </c>
      <c r="AC59" s="73">
        <f t="shared" si="2"/>
        <v>20</v>
      </c>
      <c r="AD59" s="65">
        <v>31</v>
      </c>
      <c r="AE59" s="73">
        <f t="shared" ref="AE59:AE71" si="37">Y59*AD59</f>
        <v>121.52</v>
      </c>
      <c r="AF59" s="74"/>
    </row>
    <row r="60" spans="1:5203" s="8" customFormat="1" ht="15.75" x14ac:dyDescent="0.2">
      <c r="A60" s="65">
        <v>47</v>
      </c>
      <c r="B60" s="66" t="s">
        <v>61</v>
      </c>
      <c r="C60" s="65" t="s">
        <v>46</v>
      </c>
      <c r="D60" s="67">
        <v>667.18</v>
      </c>
      <c r="E60" s="65" t="s">
        <v>96</v>
      </c>
      <c r="F60" s="65">
        <v>177.8</v>
      </c>
      <c r="G60" s="65" t="s">
        <v>28</v>
      </c>
      <c r="H60" s="67" t="s">
        <v>49</v>
      </c>
      <c r="I60" s="61">
        <v>542.91</v>
      </c>
      <c r="J60" s="65" t="s">
        <v>249</v>
      </c>
      <c r="K60" s="65"/>
      <c r="L60" s="65">
        <v>435</v>
      </c>
      <c r="M60" s="65"/>
      <c r="N60" s="65">
        <v>8.9</v>
      </c>
      <c r="O60" s="65"/>
      <c r="P60" s="83">
        <v>20.760163999999996</v>
      </c>
      <c r="Q60" s="73">
        <f t="shared" si="34"/>
        <v>108.8</v>
      </c>
      <c r="R60" s="72">
        <v>17</v>
      </c>
      <c r="S60" s="70">
        <v>22.4</v>
      </c>
      <c r="T60" s="73">
        <v>941</v>
      </c>
      <c r="U60" s="73">
        <f t="shared" si="8"/>
        <v>55.352941176470587</v>
      </c>
      <c r="V60" s="71">
        <f t="shared" si="9"/>
        <v>24.107142857142851</v>
      </c>
      <c r="W60" s="72">
        <v>0.3</v>
      </c>
      <c r="X60" s="73">
        <f t="shared" si="35"/>
        <v>0.20588235294117646</v>
      </c>
      <c r="Y60" s="73">
        <f t="shared" si="3"/>
        <v>16.66</v>
      </c>
      <c r="Z60" s="73">
        <f t="shared" si="4"/>
        <v>21.951999999999998</v>
      </c>
      <c r="AA60" s="73">
        <f t="shared" si="5"/>
        <v>922.18</v>
      </c>
      <c r="AB60" s="73">
        <f>U60</f>
        <v>55.352941176470587</v>
      </c>
      <c r="AC60" s="73">
        <f t="shared" si="2"/>
        <v>24.107142857142851</v>
      </c>
      <c r="AD60" s="65">
        <v>31</v>
      </c>
      <c r="AE60" s="73">
        <f t="shared" si="37"/>
        <v>516.46</v>
      </c>
      <c r="AF60" s="80"/>
    </row>
    <row r="61" spans="1:5203" s="8" customFormat="1" ht="15.75" x14ac:dyDescent="0.2">
      <c r="A61" s="65">
        <v>48</v>
      </c>
      <c r="B61" s="66" t="s">
        <v>64</v>
      </c>
      <c r="C61" s="65" t="s">
        <v>46</v>
      </c>
      <c r="D61" s="67">
        <v>672.5</v>
      </c>
      <c r="E61" s="65" t="s">
        <v>234</v>
      </c>
      <c r="F61" s="65">
        <v>177.8</v>
      </c>
      <c r="G61" s="65" t="s">
        <v>28</v>
      </c>
      <c r="H61" s="67" t="s">
        <v>49</v>
      </c>
      <c r="I61" s="61">
        <v>533.70000000000005</v>
      </c>
      <c r="J61" s="65">
        <v>365</v>
      </c>
      <c r="K61" s="65"/>
      <c r="L61" s="65">
        <v>369</v>
      </c>
      <c r="M61" s="65"/>
      <c r="N61" s="65">
        <v>9.6999999999999993</v>
      </c>
      <c r="O61" s="65"/>
      <c r="P61" s="83">
        <v>27.930333999999998</v>
      </c>
      <c r="Q61" s="73">
        <f t="shared" si="34"/>
        <v>116.8</v>
      </c>
      <c r="R61" s="72">
        <v>31</v>
      </c>
      <c r="S61" s="70">
        <v>38.4</v>
      </c>
      <c r="T61" s="73">
        <v>1405</v>
      </c>
      <c r="U61" s="73">
        <f>T61/R61</f>
        <v>45.322580645161288</v>
      </c>
      <c r="V61" s="71">
        <f t="shared" si="9"/>
        <v>19.270833333333332</v>
      </c>
      <c r="W61" s="72">
        <v>0.3</v>
      </c>
      <c r="X61" s="73">
        <f t="shared" si="35"/>
        <v>0.32876712328767121</v>
      </c>
      <c r="Y61" s="73">
        <f t="shared" si="3"/>
        <v>30.38</v>
      </c>
      <c r="Z61" s="73">
        <f t="shared" si="4"/>
        <v>37.631999999999998</v>
      </c>
      <c r="AA61" s="73">
        <f t="shared" si="5"/>
        <v>1376.8999999999999</v>
      </c>
      <c r="AB61" s="73">
        <f t="shared" ref="AB61:AB63" si="38">U61</f>
        <v>45.322580645161288</v>
      </c>
      <c r="AC61" s="73">
        <f t="shared" si="2"/>
        <v>19.270833333333332</v>
      </c>
      <c r="AD61" s="65">
        <v>31</v>
      </c>
      <c r="AE61" s="73">
        <f t="shared" si="37"/>
        <v>941.78</v>
      </c>
      <c r="AF61" s="80"/>
    </row>
    <row r="62" spans="1:5203" s="8" customFormat="1" ht="15.75" x14ac:dyDescent="0.2">
      <c r="A62" s="65">
        <v>49</v>
      </c>
      <c r="B62" s="66" t="s">
        <v>156</v>
      </c>
      <c r="C62" s="65" t="s">
        <v>46</v>
      </c>
      <c r="D62" s="67">
        <v>679.54</v>
      </c>
      <c r="E62" s="65" t="s">
        <v>166</v>
      </c>
      <c r="F62" s="65">
        <v>177.8</v>
      </c>
      <c r="G62" s="65" t="s">
        <v>28</v>
      </c>
      <c r="H62" s="67" t="s">
        <v>52</v>
      </c>
      <c r="I62" s="61">
        <v>530.98</v>
      </c>
      <c r="J62" s="65" t="s">
        <v>258</v>
      </c>
      <c r="K62" s="65"/>
      <c r="L62" s="65">
        <v>441</v>
      </c>
      <c r="M62" s="65"/>
      <c r="N62" s="65">
        <v>8.6999999999999993</v>
      </c>
      <c r="O62" s="65"/>
      <c r="P62" s="83">
        <v>20.040989387755101</v>
      </c>
      <c r="Q62" s="73">
        <f t="shared" si="34"/>
        <v>34.1</v>
      </c>
      <c r="R62" s="72">
        <v>14</v>
      </c>
      <c r="S62" s="70">
        <v>17.7</v>
      </c>
      <c r="T62" s="73">
        <v>550</v>
      </c>
      <c r="U62" s="73">
        <f>T62/R62</f>
        <v>39.285714285714285</v>
      </c>
      <c r="V62" s="71">
        <f t="shared" si="9"/>
        <v>20.903954802259882</v>
      </c>
      <c r="W62" s="72">
        <v>0.2</v>
      </c>
      <c r="X62" s="73">
        <f t="shared" si="35"/>
        <v>0.51906158357771259</v>
      </c>
      <c r="Y62" s="73">
        <f t="shared" si="3"/>
        <v>13.719999999999999</v>
      </c>
      <c r="Z62" s="73">
        <f t="shared" si="4"/>
        <v>17.346</v>
      </c>
      <c r="AA62" s="73">
        <f t="shared" si="5"/>
        <v>539</v>
      </c>
      <c r="AB62" s="73">
        <f t="shared" si="38"/>
        <v>39.285714285714285</v>
      </c>
      <c r="AC62" s="73">
        <f t="shared" si="2"/>
        <v>20.903954802259882</v>
      </c>
      <c r="AD62" s="65">
        <v>31</v>
      </c>
      <c r="AE62" s="73">
        <f t="shared" si="37"/>
        <v>425.31999999999994</v>
      </c>
      <c r="AF62" s="80"/>
    </row>
    <row r="63" spans="1:5203" s="8" customFormat="1" ht="15.75" x14ac:dyDescent="0.2">
      <c r="A63" s="65">
        <v>50</v>
      </c>
      <c r="B63" s="66" t="s">
        <v>169</v>
      </c>
      <c r="C63" s="65" t="s">
        <v>46</v>
      </c>
      <c r="D63" s="67">
        <v>673</v>
      </c>
      <c r="E63" s="65" t="s">
        <v>170</v>
      </c>
      <c r="F63" s="65">
        <v>177.8</v>
      </c>
      <c r="G63" s="65" t="s">
        <v>28</v>
      </c>
      <c r="H63" s="67" t="s">
        <v>52</v>
      </c>
      <c r="I63" s="61">
        <v>541.48</v>
      </c>
      <c r="J63" s="65" t="s">
        <v>253</v>
      </c>
      <c r="K63" s="65"/>
      <c r="L63" s="65">
        <v>440</v>
      </c>
      <c r="M63" s="65"/>
      <c r="N63" s="65">
        <v>8.6999999999999993</v>
      </c>
      <c r="O63" s="65"/>
      <c r="P63" s="83">
        <v>21.586707928571428</v>
      </c>
      <c r="Q63" s="73">
        <f t="shared" si="34"/>
        <v>25.3</v>
      </c>
      <c r="R63" s="72">
        <v>7</v>
      </c>
      <c r="S63" s="70">
        <v>9.1999999999999993</v>
      </c>
      <c r="T63" s="73">
        <v>94</v>
      </c>
      <c r="U63" s="73">
        <f>T63/R63</f>
        <v>13.428571428571429</v>
      </c>
      <c r="V63" s="71">
        <f t="shared" si="9"/>
        <v>23.913043478260864</v>
      </c>
      <c r="W63" s="72">
        <v>0.2</v>
      </c>
      <c r="X63" s="73">
        <f t="shared" si="35"/>
        <v>0.36363636363636359</v>
      </c>
      <c r="Y63" s="73">
        <f t="shared" si="3"/>
        <v>6.8599999999999994</v>
      </c>
      <c r="Z63" s="73">
        <f t="shared" si="4"/>
        <v>9.016</v>
      </c>
      <c r="AA63" s="73">
        <f t="shared" si="5"/>
        <v>92.12</v>
      </c>
      <c r="AB63" s="73">
        <f t="shared" si="38"/>
        <v>13.428571428571429</v>
      </c>
      <c r="AC63" s="73">
        <f t="shared" si="2"/>
        <v>23.913043478260864</v>
      </c>
      <c r="AD63" s="65">
        <v>31</v>
      </c>
      <c r="AE63" s="73">
        <f>Y63*AD63</f>
        <v>212.65999999999997</v>
      </c>
      <c r="AF63" s="80"/>
    </row>
    <row r="64" spans="1:5203" s="8" customFormat="1" ht="15.75" x14ac:dyDescent="0.2">
      <c r="A64" s="65">
        <v>51</v>
      </c>
      <c r="B64" s="66" t="s">
        <v>62</v>
      </c>
      <c r="C64" s="65" t="s">
        <v>46</v>
      </c>
      <c r="D64" s="67">
        <v>673.73</v>
      </c>
      <c r="E64" s="65" t="s">
        <v>97</v>
      </c>
      <c r="F64" s="65">
        <v>177.8</v>
      </c>
      <c r="G64" s="65" t="s">
        <v>28</v>
      </c>
      <c r="H64" s="67" t="s">
        <v>49</v>
      </c>
      <c r="I64" s="61">
        <v>550</v>
      </c>
      <c r="J64" s="65" t="s">
        <v>252</v>
      </c>
      <c r="K64" s="65"/>
      <c r="L64" s="65">
        <v>447</v>
      </c>
      <c r="M64" s="65"/>
      <c r="N64" s="65">
        <v>5.7</v>
      </c>
      <c r="O64" s="65"/>
      <c r="P64" s="83">
        <v>17.053973265306123</v>
      </c>
      <c r="Q64" s="73">
        <f t="shared" si="34"/>
        <v>91.2</v>
      </c>
      <c r="R64" s="72">
        <v>14</v>
      </c>
      <c r="S64" s="70">
        <v>17.100000000000001</v>
      </c>
      <c r="T64" s="73">
        <v>237</v>
      </c>
      <c r="U64" s="73">
        <f t="shared" si="8"/>
        <v>16.928571428571427</v>
      </c>
      <c r="V64" s="71">
        <f t="shared" si="9"/>
        <v>18.128654970760241</v>
      </c>
      <c r="W64" s="72">
        <v>0.5</v>
      </c>
      <c r="X64" s="73">
        <f t="shared" si="35"/>
        <v>0.1875</v>
      </c>
      <c r="Y64" s="73">
        <f t="shared" si="3"/>
        <v>13.719999999999999</v>
      </c>
      <c r="Z64" s="73">
        <f t="shared" si="4"/>
        <v>16.758000000000003</v>
      </c>
      <c r="AA64" s="73">
        <f t="shared" si="5"/>
        <v>232.26</v>
      </c>
      <c r="AB64" s="73">
        <f t="shared" ref="AB64:AB73" si="39">U64</f>
        <v>16.928571428571427</v>
      </c>
      <c r="AC64" s="73">
        <f t="shared" si="2"/>
        <v>18.128654970760241</v>
      </c>
      <c r="AD64" s="65">
        <v>31</v>
      </c>
      <c r="AE64" s="73">
        <f t="shared" si="37"/>
        <v>425.31999999999994</v>
      </c>
      <c r="AF64" s="80"/>
    </row>
    <row r="65" spans="1:32" s="8" customFormat="1" ht="15.75" x14ac:dyDescent="0.2">
      <c r="A65" s="65">
        <v>52</v>
      </c>
      <c r="B65" s="66" t="s">
        <v>157</v>
      </c>
      <c r="C65" s="65" t="s">
        <v>46</v>
      </c>
      <c r="D65" s="67">
        <v>676.73</v>
      </c>
      <c r="E65" s="65" t="s">
        <v>179</v>
      </c>
      <c r="F65" s="65">
        <v>177.8</v>
      </c>
      <c r="G65" s="65" t="s">
        <v>28</v>
      </c>
      <c r="H65" s="67" t="s">
        <v>49</v>
      </c>
      <c r="I65" s="61">
        <v>534.24</v>
      </c>
      <c r="J65" s="65" t="s">
        <v>250</v>
      </c>
      <c r="K65" s="65"/>
      <c r="L65" s="65">
        <v>329</v>
      </c>
      <c r="M65" s="65"/>
      <c r="N65" s="65">
        <v>10</v>
      </c>
      <c r="O65" s="65"/>
      <c r="P65" s="83">
        <v>32.324805795918365</v>
      </c>
      <c r="Q65" s="73">
        <f t="shared" si="34"/>
        <v>96</v>
      </c>
      <c r="R65" s="72">
        <v>39</v>
      </c>
      <c r="S65" s="70">
        <v>59.3</v>
      </c>
      <c r="T65" s="73">
        <v>555</v>
      </c>
      <c r="U65" s="73">
        <f t="shared" si="8"/>
        <v>14.23076923076923</v>
      </c>
      <c r="V65" s="71">
        <f t="shared" si="9"/>
        <v>34.232715008431704</v>
      </c>
      <c r="W65" s="72">
        <v>0.3</v>
      </c>
      <c r="X65" s="73">
        <f t="shared" si="35"/>
        <v>0.6177083333333333</v>
      </c>
      <c r="Y65" s="73">
        <f t="shared" si="3"/>
        <v>38.22</v>
      </c>
      <c r="Z65" s="73">
        <f t="shared" si="4"/>
        <v>58.113999999999997</v>
      </c>
      <c r="AA65" s="73">
        <f t="shared" si="5"/>
        <v>543.9</v>
      </c>
      <c r="AB65" s="73">
        <f t="shared" si="39"/>
        <v>14.23076923076923</v>
      </c>
      <c r="AC65" s="73">
        <f t="shared" si="2"/>
        <v>34.232715008431704</v>
      </c>
      <c r="AD65" s="65">
        <v>31</v>
      </c>
      <c r="AE65" s="73">
        <f t="shared" si="37"/>
        <v>1184.82</v>
      </c>
      <c r="AF65" s="89"/>
    </row>
    <row r="66" spans="1:32" s="8" customFormat="1" ht="15.75" x14ac:dyDescent="0.2">
      <c r="A66" s="65">
        <v>53</v>
      </c>
      <c r="B66" s="66" t="s">
        <v>159</v>
      </c>
      <c r="C66" s="65" t="s">
        <v>46</v>
      </c>
      <c r="D66" s="67">
        <v>676</v>
      </c>
      <c r="E66" s="65" t="s">
        <v>167</v>
      </c>
      <c r="F66" s="65">
        <v>177.8</v>
      </c>
      <c r="G66" s="65" t="s">
        <v>28</v>
      </c>
      <c r="H66" s="67" t="s">
        <v>168</v>
      </c>
      <c r="I66" s="61">
        <v>509.7</v>
      </c>
      <c r="J66" s="65">
        <v>175</v>
      </c>
      <c r="K66" s="65"/>
      <c r="L66" s="65">
        <v>204</v>
      </c>
      <c r="M66" s="65"/>
      <c r="N66" s="65">
        <v>11</v>
      </c>
      <c r="O66" s="65"/>
      <c r="P66" s="83">
        <v>39.86894174489796</v>
      </c>
      <c r="Q66" s="73">
        <f t="shared" si="34"/>
        <v>70</v>
      </c>
      <c r="R66" s="72">
        <v>41</v>
      </c>
      <c r="S66" s="70">
        <v>48</v>
      </c>
      <c r="T66" s="73">
        <v>278</v>
      </c>
      <c r="U66" s="73">
        <f t="shared" si="8"/>
        <v>6.7804878048780486</v>
      </c>
      <c r="V66" s="71">
        <f t="shared" si="9"/>
        <v>14.583333333333334</v>
      </c>
      <c r="W66" s="72">
        <v>0.2</v>
      </c>
      <c r="X66" s="73">
        <f t="shared" si="35"/>
        <v>0.68571428571428572</v>
      </c>
      <c r="Y66" s="73">
        <f t="shared" si="3"/>
        <v>40.18</v>
      </c>
      <c r="Z66" s="73">
        <f t="shared" si="4"/>
        <v>47.04</v>
      </c>
      <c r="AA66" s="73">
        <f t="shared" si="5"/>
        <v>272.44</v>
      </c>
      <c r="AB66" s="73">
        <f t="shared" si="39"/>
        <v>6.7804878048780486</v>
      </c>
      <c r="AC66" s="73">
        <f t="shared" si="2"/>
        <v>14.583333333333334</v>
      </c>
      <c r="AD66" s="65">
        <v>28</v>
      </c>
      <c r="AE66" s="73">
        <f t="shared" si="37"/>
        <v>1125.04</v>
      </c>
      <c r="AF66" s="80" t="s">
        <v>271</v>
      </c>
    </row>
    <row r="67" spans="1:32" s="8" customFormat="1" ht="15.75" x14ac:dyDescent="0.2">
      <c r="A67" s="65">
        <v>54</v>
      </c>
      <c r="B67" s="66" t="s">
        <v>210</v>
      </c>
      <c r="C67" s="65" t="s">
        <v>46</v>
      </c>
      <c r="D67" s="67">
        <v>728.32</v>
      </c>
      <c r="E67" s="65" t="s">
        <v>226</v>
      </c>
      <c r="F67" s="65">
        <v>177.8</v>
      </c>
      <c r="G67" s="65" t="s">
        <v>28</v>
      </c>
      <c r="H67" s="67" t="s">
        <v>218</v>
      </c>
      <c r="I67" s="61">
        <v>523.66</v>
      </c>
      <c r="J67" s="65" t="s">
        <v>243</v>
      </c>
      <c r="K67" s="65"/>
      <c r="L67" s="65">
        <v>316</v>
      </c>
      <c r="M67" s="65"/>
      <c r="N67" s="65">
        <v>10.7</v>
      </c>
      <c r="O67" s="65"/>
      <c r="P67" s="83">
        <v>31.883628897959181</v>
      </c>
      <c r="Q67" s="73">
        <f t="shared" si="34"/>
        <v>48</v>
      </c>
      <c r="R67" s="72">
        <v>20</v>
      </c>
      <c r="S67" s="70">
        <v>23.8</v>
      </c>
      <c r="T67" s="73">
        <v>800</v>
      </c>
      <c r="U67" s="73">
        <f t="shared" si="8"/>
        <v>40</v>
      </c>
      <c r="V67" s="71">
        <f t="shared" si="9"/>
        <v>15.966386554621851</v>
      </c>
      <c r="W67" s="72">
        <v>0.3</v>
      </c>
      <c r="X67" s="73">
        <f t="shared" si="35"/>
        <v>0.49583333333333335</v>
      </c>
      <c r="Y67" s="73">
        <f t="shared" si="3"/>
        <v>19.600000000000001</v>
      </c>
      <c r="Z67" s="73">
        <f t="shared" si="4"/>
        <v>23.324000000000002</v>
      </c>
      <c r="AA67" s="73">
        <f t="shared" si="5"/>
        <v>784</v>
      </c>
      <c r="AB67" s="73">
        <f t="shared" si="39"/>
        <v>40</v>
      </c>
      <c r="AC67" s="73">
        <f t="shared" si="2"/>
        <v>15.966386554621851</v>
      </c>
      <c r="AD67" s="65">
        <v>31</v>
      </c>
      <c r="AE67" s="73">
        <f t="shared" si="37"/>
        <v>607.6</v>
      </c>
      <c r="AF67" s="80"/>
    </row>
    <row r="68" spans="1:32" s="8" customFormat="1" ht="15.75" x14ac:dyDescent="0.2">
      <c r="A68" s="65">
        <v>55</v>
      </c>
      <c r="B68" s="66" t="s">
        <v>63</v>
      </c>
      <c r="C68" s="65" t="s">
        <v>46</v>
      </c>
      <c r="D68" s="67">
        <v>672.99</v>
      </c>
      <c r="E68" s="65" t="s">
        <v>98</v>
      </c>
      <c r="F68" s="65">
        <v>177.8</v>
      </c>
      <c r="G68" s="65" t="s">
        <v>28</v>
      </c>
      <c r="H68" s="67" t="s">
        <v>49</v>
      </c>
      <c r="I68" s="61">
        <v>540.61</v>
      </c>
      <c r="J68" s="65" t="s">
        <v>259</v>
      </c>
      <c r="K68" s="65"/>
      <c r="L68" s="65">
        <v>451</v>
      </c>
      <c r="M68" s="65"/>
      <c r="N68" s="65">
        <v>9.6</v>
      </c>
      <c r="O68" s="65"/>
      <c r="P68" s="83">
        <v>20.086365760204082</v>
      </c>
      <c r="Q68" s="73">
        <f t="shared" si="34"/>
        <v>104</v>
      </c>
      <c r="R68" s="72">
        <v>13</v>
      </c>
      <c r="S68" s="70">
        <v>15.3</v>
      </c>
      <c r="T68" s="73">
        <v>576</v>
      </c>
      <c r="U68" s="73">
        <f t="shared" si="8"/>
        <v>44.307692307692307</v>
      </c>
      <c r="V68" s="71">
        <f t="shared" si="9"/>
        <v>15.032679738562097</v>
      </c>
      <c r="W68" s="72">
        <v>0.4</v>
      </c>
      <c r="X68" s="73">
        <f t="shared" si="35"/>
        <v>0.14711538461538462</v>
      </c>
      <c r="Y68" s="73">
        <f t="shared" si="3"/>
        <v>12.74</v>
      </c>
      <c r="Z68" s="73">
        <f t="shared" si="4"/>
        <v>14.994</v>
      </c>
      <c r="AA68" s="73">
        <f t="shared" si="5"/>
        <v>564.48</v>
      </c>
      <c r="AB68" s="73">
        <f t="shared" si="39"/>
        <v>44.307692307692307</v>
      </c>
      <c r="AC68" s="73">
        <f t="shared" si="2"/>
        <v>15.032679738562097</v>
      </c>
      <c r="AD68" s="65">
        <v>31</v>
      </c>
      <c r="AE68" s="73">
        <f t="shared" si="37"/>
        <v>394.94</v>
      </c>
      <c r="AF68" s="80"/>
    </row>
    <row r="69" spans="1:32" s="8" customFormat="1" ht="15.75" x14ac:dyDescent="0.2">
      <c r="A69" s="65">
        <v>56</v>
      </c>
      <c r="B69" s="66" t="s">
        <v>217</v>
      </c>
      <c r="C69" s="65" t="s">
        <v>46</v>
      </c>
      <c r="D69" s="67">
        <v>684.57</v>
      </c>
      <c r="E69" s="65" t="s">
        <v>223</v>
      </c>
      <c r="F69" s="65">
        <v>177.8</v>
      </c>
      <c r="G69" s="65" t="s">
        <v>28</v>
      </c>
      <c r="H69" s="67" t="s">
        <v>219</v>
      </c>
      <c r="I69" s="61">
        <v>555.26</v>
      </c>
      <c r="J69" s="65" t="s">
        <v>248</v>
      </c>
      <c r="K69" s="65"/>
      <c r="L69" s="65">
        <v>205</v>
      </c>
      <c r="M69" s="65"/>
      <c r="N69" s="65">
        <v>10.5</v>
      </c>
      <c r="O69" s="65"/>
      <c r="P69" s="83">
        <v>47.752111142857132</v>
      </c>
      <c r="Q69" s="73">
        <f t="shared" si="34"/>
        <v>10.199999999999999</v>
      </c>
      <c r="R69" s="72">
        <v>1</v>
      </c>
      <c r="S69" s="70">
        <v>2.8</v>
      </c>
      <c r="T69" s="73">
        <v>6</v>
      </c>
      <c r="U69" s="73">
        <f t="shared" si="8"/>
        <v>6</v>
      </c>
      <c r="V69" s="71">
        <f t="shared" si="9"/>
        <v>64.285714285714278</v>
      </c>
      <c r="W69" s="72">
        <v>0.3</v>
      </c>
      <c r="X69" s="73">
        <f t="shared" si="35"/>
        <v>0.27450980392156865</v>
      </c>
      <c r="Y69" s="73">
        <f t="shared" si="3"/>
        <v>0.98</v>
      </c>
      <c r="Z69" s="73">
        <f t="shared" si="4"/>
        <v>2.7439999999999998</v>
      </c>
      <c r="AA69" s="73">
        <f t="shared" si="5"/>
        <v>5.88</v>
      </c>
      <c r="AB69" s="73">
        <f t="shared" si="39"/>
        <v>6</v>
      </c>
      <c r="AC69" s="73">
        <f t="shared" si="2"/>
        <v>64.285714285714278</v>
      </c>
      <c r="AD69" s="65">
        <v>31</v>
      </c>
      <c r="AE69" s="73">
        <f t="shared" si="37"/>
        <v>30.38</v>
      </c>
      <c r="AF69" s="80"/>
    </row>
    <row r="70" spans="1:32" s="8" customFormat="1" ht="15.75" x14ac:dyDescent="0.2">
      <c r="A70" s="65">
        <v>57</v>
      </c>
      <c r="B70" s="66" t="s">
        <v>211</v>
      </c>
      <c r="C70" s="65" t="s">
        <v>46</v>
      </c>
      <c r="D70" s="67">
        <v>683.16</v>
      </c>
      <c r="E70" s="65" t="s">
        <v>224</v>
      </c>
      <c r="F70" s="65">
        <v>177.8</v>
      </c>
      <c r="G70" s="65" t="s">
        <v>28</v>
      </c>
      <c r="H70" s="67" t="s">
        <v>52</v>
      </c>
      <c r="I70" s="61">
        <v>561.46</v>
      </c>
      <c r="J70" s="65" t="s">
        <v>260</v>
      </c>
      <c r="K70" s="65"/>
      <c r="L70" s="65">
        <v>458</v>
      </c>
      <c r="M70" s="65"/>
      <c r="N70" s="65">
        <v>8.1999999999999993</v>
      </c>
      <c r="O70" s="65"/>
      <c r="P70" s="83">
        <v>19.630461545918365</v>
      </c>
      <c r="Q70" s="73">
        <f t="shared" si="34"/>
        <v>16.5</v>
      </c>
      <c r="R70" s="72">
        <v>5</v>
      </c>
      <c r="S70" s="70">
        <v>5.9</v>
      </c>
      <c r="T70" s="73">
        <v>37</v>
      </c>
      <c r="U70" s="73">
        <f t="shared" si="8"/>
        <v>7.4</v>
      </c>
      <c r="V70" s="71">
        <f t="shared" si="9"/>
        <v>15.254237288135597</v>
      </c>
      <c r="W70" s="72">
        <v>0.4</v>
      </c>
      <c r="X70" s="73">
        <f t="shared" si="35"/>
        <v>0.3575757575757576</v>
      </c>
      <c r="Y70" s="73">
        <f t="shared" si="3"/>
        <v>4.9000000000000004</v>
      </c>
      <c r="Z70" s="73">
        <f t="shared" si="4"/>
        <v>5.782</v>
      </c>
      <c r="AA70" s="73">
        <f t="shared" si="5"/>
        <v>36.26</v>
      </c>
      <c r="AB70" s="73">
        <f t="shared" si="39"/>
        <v>7.4</v>
      </c>
      <c r="AC70" s="73">
        <f t="shared" si="2"/>
        <v>15.254237288135597</v>
      </c>
      <c r="AD70" s="65">
        <v>31</v>
      </c>
      <c r="AE70" s="73">
        <f t="shared" si="37"/>
        <v>151.9</v>
      </c>
      <c r="AF70" s="80"/>
    </row>
    <row r="71" spans="1:32" s="8" customFormat="1" ht="15.75" x14ac:dyDescent="0.2">
      <c r="A71" s="65">
        <v>58</v>
      </c>
      <c r="B71" s="66" t="s">
        <v>213</v>
      </c>
      <c r="C71" s="65" t="s">
        <v>46</v>
      </c>
      <c r="D71" s="67">
        <v>679.2</v>
      </c>
      <c r="E71" s="135" t="s">
        <v>225</v>
      </c>
      <c r="F71" s="65">
        <v>177.8</v>
      </c>
      <c r="G71" s="65" t="s">
        <v>28</v>
      </c>
      <c r="H71" s="67" t="s">
        <v>48</v>
      </c>
      <c r="I71" s="61">
        <v>561.34</v>
      </c>
      <c r="J71" s="65" t="s">
        <v>248</v>
      </c>
      <c r="K71" s="65"/>
      <c r="L71" s="65">
        <v>454</v>
      </c>
      <c r="M71" s="65"/>
      <c r="N71" s="65">
        <v>3</v>
      </c>
      <c r="O71" s="65"/>
      <c r="P71" s="83">
        <v>14.743437551020406</v>
      </c>
      <c r="Q71" s="73">
        <f t="shared" si="34"/>
        <v>11.05</v>
      </c>
      <c r="R71" s="72">
        <v>4</v>
      </c>
      <c r="S71" s="70">
        <v>4.8</v>
      </c>
      <c r="T71" s="73">
        <v>0</v>
      </c>
      <c r="U71" s="73">
        <f t="shared" si="8"/>
        <v>0</v>
      </c>
      <c r="V71" s="71">
        <f t="shared" si="9"/>
        <v>16.666666666666664</v>
      </c>
      <c r="W71" s="72">
        <v>0.2</v>
      </c>
      <c r="X71" s="73">
        <f t="shared" si="35"/>
        <v>0.43438914027149317</v>
      </c>
      <c r="Y71" s="73">
        <f t="shared" si="3"/>
        <v>3.92</v>
      </c>
      <c r="Z71" s="73">
        <f t="shared" si="4"/>
        <v>4.7039999999999997</v>
      </c>
      <c r="AA71" s="73">
        <f t="shared" si="5"/>
        <v>0</v>
      </c>
      <c r="AB71" s="73">
        <f t="shared" si="39"/>
        <v>0</v>
      </c>
      <c r="AC71" s="73">
        <f t="shared" si="2"/>
        <v>16.666666666666664</v>
      </c>
      <c r="AD71" s="65">
        <v>31</v>
      </c>
      <c r="AE71" s="73">
        <f t="shared" si="37"/>
        <v>121.52</v>
      </c>
      <c r="AF71" s="80"/>
    </row>
    <row r="72" spans="1:32" s="8" customFormat="1" ht="15.75" x14ac:dyDescent="0.2">
      <c r="A72" s="65">
        <v>59</v>
      </c>
      <c r="B72" s="66" t="s">
        <v>172</v>
      </c>
      <c r="C72" s="65" t="s">
        <v>46</v>
      </c>
      <c r="D72" s="67">
        <v>673</v>
      </c>
      <c r="E72" s="65" t="s">
        <v>173</v>
      </c>
      <c r="F72" s="65">
        <v>177.8</v>
      </c>
      <c r="G72" s="65" t="s">
        <v>28</v>
      </c>
      <c r="H72" s="67" t="s">
        <v>50</v>
      </c>
      <c r="I72" s="61">
        <v>560.79</v>
      </c>
      <c r="J72" s="65" t="s">
        <v>243</v>
      </c>
      <c r="K72" s="65"/>
      <c r="L72" s="65">
        <v>356</v>
      </c>
      <c r="M72" s="65"/>
      <c r="N72" s="65">
        <v>9</v>
      </c>
      <c r="O72" s="65"/>
      <c r="P72" s="63">
        <v>30.996711734693875</v>
      </c>
      <c r="Q72" s="73">
        <f>LEFT(H72,(FIND("K",H72,1)-1))*J72/100</f>
        <v>9</v>
      </c>
      <c r="R72" s="72">
        <v>4</v>
      </c>
      <c r="S72" s="70">
        <v>6.6</v>
      </c>
      <c r="T72" s="73">
        <v>7</v>
      </c>
      <c r="U72" s="73">
        <f t="shared" si="8"/>
        <v>1.75</v>
      </c>
      <c r="V72" s="71">
        <f t="shared" si="9"/>
        <v>39.393939393939391</v>
      </c>
      <c r="W72" s="72">
        <v>0.3</v>
      </c>
      <c r="X72" s="73">
        <f t="shared" si="35"/>
        <v>0.73333333333333328</v>
      </c>
      <c r="Y72" s="73">
        <f t="shared" si="3"/>
        <v>3.92</v>
      </c>
      <c r="Z72" s="73">
        <f t="shared" si="4"/>
        <v>6.468</v>
      </c>
      <c r="AA72" s="73">
        <f t="shared" si="5"/>
        <v>6.8599999999999994</v>
      </c>
      <c r="AB72" s="73">
        <f t="shared" si="39"/>
        <v>1.75</v>
      </c>
      <c r="AC72" s="73">
        <f t="shared" si="2"/>
        <v>39.393939393939391</v>
      </c>
      <c r="AD72" s="65">
        <v>31</v>
      </c>
      <c r="AE72" s="73">
        <f>Y72*AD72</f>
        <v>121.52</v>
      </c>
      <c r="AF72" s="80"/>
    </row>
    <row r="73" spans="1:32" s="12" customFormat="1" ht="15.95" customHeight="1" x14ac:dyDescent="0.2">
      <c r="A73" s="65">
        <v>60</v>
      </c>
      <c r="B73" s="103" t="s">
        <v>171</v>
      </c>
      <c r="C73" s="65" t="s">
        <v>46</v>
      </c>
      <c r="D73" s="87">
        <v>646</v>
      </c>
      <c r="E73" s="87" t="s">
        <v>191</v>
      </c>
      <c r="F73" s="65">
        <v>177.8</v>
      </c>
      <c r="G73" s="65" t="s">
        <v>28</v>
      </c>
      <c r="H73" s="67" t="s">
        <v>48</v>
      </c>
      <c r="I73" s="61">
        <v>570.15</v>
      </c>
      <c r="J73" s="61" t="s">
        <v>239</v>
      </c>
      <c r="K73" s="61"/>
      <c r="L73" s="61">
        <v>353</v>
      </c>
      <c r="M73" s="61"/>
      <c r="N73" s="65">
        <v>8.6</v>
      </c>
      <c r="O73" s="61"/>
      <c r="P73" s="104">
        <v>31.538545142857146</v>
      </c>
      <c r="Q73" s="76">
        <f>LEFT(H73,(FIND("K",H73,1)-1))*J73/100</f>
        <v>13</v>
      </c>
      <c r="R73" s="72">
        <v>1</v>
      </c>
      <c r="S73" s="70">
        <v>3.5</v>
      </c>
      <c r="T73" s="76">
        <v>0</v>
      </c>
      <c r="U73" s="73">
        <f t="shared" si="8"/>
        <v>0</v>
      </c>
      <c r="V73" s="71">
        <f t="shared" si="9"/>
        <v>71.428571428571431</v>
      </c>
      <c r="W73" s="72">
        <v>0.4</v>
      </c>
      <c r="X73" s="73">
        <f t="shared" si="35"/>
        <v>0.26923076923076922</v>
      </c>
      <c r="Y73" s="73">
        <f t="shared" si="3"/>
        <v>0.98</v>
      </c>
      <c r="Z73" s="73">
        <f t="shared" si="4"/>
        <v>3.4299999999999997</v>
      </c>
      <c r="AA73" s="73">
        <f t="shared" si="5"/>
        <v>0</v>
      </c>
      <c r="AB73" s="73">
        <f t="shared" si="39"/>
        <v>0</v>
      </c>
      <c r="AC73" s="73">
        <f t="shared" si="2"/>
        <v>71.428571428571431</v>
      </c>
      <c r="AD73" s="65">
        <v>31</v>
      </c>
      <c r="AE73" s="73">
        <f>Y73*AD73</f>
        <v>30.38</v>
      </c>
      <c r="AF73" s="74"/>
    </row>
    <row r="74" spans="1:32" s="7" customFormat="1" ht="15.95" customHeight="1" x14ac:dyDescent="0.2">
      <c r="A74" s="84"/>
      <c r="B74" s="1865" t="s">
        <v>205</v>
      </c>
      <c r="C74" s="1865"/>
      <c r="D74" s="1865"/>
      <c r="E74" s="1866"/>
      <c r="F74" s="77"/>
      <c r="G74" s="65"/>
      <c r="H74" s="67"/>
      <c r="I74" s="73"/>
      <c r="J74" s="65"/>
      <c r="K74" s="77"/>
      <c r="L74" s="65"/>
      <c r="M74" s="77"/>
      <c r="N74" s="83"/>
      <c r="O74" s="77"/>
      <c r="P74" s="83"/>
      <c r="Q74" s="105"/>
      <c r="R74" s="105">
        <f>SUM(R14:R73)</f>
        <v>490</v>
      </c>
      <c r="S74" s="105">
        <f>SUM(S14:S73)</f>
        <v>680.99999999999977</v>
      </c>
      <c r="T74" s="105">
        <f>SUM(T14:T73)</f>
        <v>20870</v>
      </c>
      <c r="U74" s="105">
        <f>T74/R74</f>
        <v>42.591836734693878</v>
      </c>
      <c r="V74" s="105"/>
      <c r="W74" s="105"/>
      <c r="X74" s="105"/>
      <c r="Y74" s="105">
        <f>SUM(Y14:Y73)</f>
        <v>480.2000000000001</v>
      </c>
      <c r="Z74" s="105">
        <f>SUM(Z14:Z73)</f>
        <v>667.37999999999988</v>
      </c>
      <c r="AA74" s="105">
        <f>SUM(AA14:AA73)</f>
        <v>20452.599999999999</v>
      </c>
      <c r="AB74" s="105">
        <f>AA74/Y74</f>
        <v>42.591836734693864</v>
      </c>
      <c r="AC74" s="105"/>
      <c r="AD74" s="105"/>
      <c r="AE74" s="106">
        <f>SUM(AE14:AE73)</f>
        <v>14765.659999999998</v>
      </c>
      <c r="AF74" s="79"/>
    </row>
    <row r="75" spans="1:32" s="12" customFormat="1" ht="15.95" customHeight="1" x14ac:dyDescent="0.2">
      <c r="A75" s="65"/>
      <c r="B75" s="1875" t="s">
        <v>200</v>
      </c>
      <c r="C75" s="1876"/>
      <c r="D75" s="1876"/>
      <c r="E75" s="1876"/>
      <c r="F75" s="1877"/>
      <c r="G75" s="59"/>
      <c r="H75" s="107"/>
      <c r="I75" s="107"/>
      <c r="J75" s="61"/>
      <c r="K75" s="61"/>
      <c r="L75" s="61"/>
      <c r="M75" s="61"/>
      <c r="N75" s="61"/>
      <c r="O75" s="61"/>
      <c r="P75" s="61"/>
      <c r="Q75" s="76"/>
      <c r="R75" s="61"/>
      <c r="S75" s="61"/>
      <c r="T75" s="61"/>
      <c r="U75" s="108"/>
      <c r="V75" s="59"/>
      <c r="W75" s="59"/>
      <c r="X75" s="60"/>
      <c r="Y75" s="61"/>
      <c r="Z75" s="61"/>
      <c r="AA75" s="61"/>
      <c r="AB75" s="109"/>
      <c r="AC75" s="59"/>
      <c r="AD75" s="61"/>
      <c r="AE75" s="61"/>
      <c r="AF75" s="107"/>
    </row>
    <row r="76" spans="1:32" s="12" customFormat="1" ht="15.95" customHeight="1" x14ac:dyDescent="0.2">
      <c r="A76" s="65">
        <v>61</v>
      </c>
      <c r="B76" s="110" t="s">
        <v>131</v>
      </c>
      <c r="C76" s="111" t="s">
        <v>177</v>
      </c>
      <c r="D76" s="67">
        <v>389.74</v>
      </c>
      <c r="E76" s="65" t="s">
        <v>136</v>
      </c>
      <c r="F76" s="65">
        <v>177.8</v>
      </c>
      <c r="G76" s="65" t="s">
        <v>28</v>
      </c>
      <c r="H76" s="67" t="s">
        <v>58</v>
      </c>
      <c r="I76" s="61">
        <v>142.80000000000001</v>
      </c>
      <c r="J76" s="65">
        <v>100</v>
      </c>
      <c r="K76" s="65"/>
      <c r="L76" s="65">
        <v>19</v>
      </c>
      <c r="M76" s="65"/>
      <c r="N76" s="65">
        <v>0.1</v>
      </c>
      <c r="O76" s="65"/>
      <c r="P76" s="83">
        <v>16.12</v>
      </c>
      <c r="Q76" s="73"/>
      <c r="R76" s="72">
        <v>1</v>
      </c>
      <c r="S76" s="73">
        <v>0</v>
      </c>
      <c r="T76" s="73">
        <v>0</v>
      </c>
      <c r="U76" s="73">
        <f>T76/R76</f>
        <v>0</v>
      </c>
      <c r="V76" s="72">
        <v>0</v>
      </c>
      <c r="W76" s="72">
        <v>0.3</v>
      </c>
      <c r="X76" s="73"/>
      <c r="Y76" s="73">
        <f>R76*0.98</f>
        <v>0.98</v>
      </c>
      <c r="Z76" s="73">
        <f>S76*0.98</f>
        <v>0</v>
      </c>
      <c r="AA76" s="73">
        <f>T76*0.98</f>
        <v>0</v>
      </c>
      <c r="AB76" s="73">
        <f t="shared" ref="AB76:AC79" si="40">U76</f>
        <v>0</v>
      </c>
      <c r="AC76" s="73">
        <f t="shared" si="40"/>
        <v>0</v>
      </c>
      <c r="AD76" s="65">
        <v>31</v>
      </c>
      <c r="AE76" s="73">
        <f>Y76*AD76</f>
        <v>30.38</v>
      </c>
      <c r="AF76" s="80"/>
    </row>
    <row r="77" spans="1:32" s="12" customFormat="1" ht="15.95" customHeight="1" x14ac:dyDescent="0.2">
      <c r="A77" s="65">
        <v>62</v>
      </c>
      <c r="B77" s="110" t="s">
        <v>132</v>
      </c>
      <c r="C77" s="111" t="s">
        <v>177</v>
      </c>
      <c r="D77" s="65">
        <v>387.72</v>
      </c>
      <c r="E77" s="65" t="s">
        <v>135</v>
      </c>
      <c r="F77" s="65">
        <v>177.8</v>
      </c>
      <c r="G77" s="65" t="s">
        <v>28</v>
      </c>
      <c r="H77" s="67" t="s">
        <v>58</v>
      </c>
      <c r="I77" s="61">
        <v>135.1</v>
      </c>
      <c r="J77" s="65"/>
      <c r="K77" s="65"/>
      <c r="L77" s="65"/>
      <c r="M77" s="65"/>
      <c r="N77" s="65"/>
      <c r="O77" s="65"/>
      <c r="P77" s="83"/>
      <c r="Q77" s="73"/>
      <c r="R77" s="72">
        <v>0</v>
      </c>
      <c r="S77" s="73"/>
      <c r="T77" s="73">
        <v>0</v>
      </c>
      <c r="U77" s="73">
        <v>0</v>
      </c>
      <c r="V77" s="72">
        <v>0</v>
      </c>
      <c r="W77" s="72"/>
      <c r="X77" s="73"/>
      <c r="Y77" s="73">
        <f t="shared" ref="Y77:Y79" si="41">R77*0.98</f>
        <v>0</v>
      </c>
      <c r="Z77" s="73">
        <f t="shared" ref="Z77:Z79" si="42">S77*0.98</f>
        <v>0</v>
      </c>
      <c r="AA77" s="73">
        <f t="shared" ref="AA77:AA79" si="43">T77*0.98</f>
        <v>0</v>
      </c>
      <c r="AB77" s="73">
        <v>0</v>
      </c>
      <c r="AC77" s="73">
        <f t="shared" si="40"/>
        <v>0</v>
      </c>
      <c r="AD77" s="65"/>
      <c r="AE77" s="73">
        <f>Y77*AD77</f>
        <v>0</v>
      </c>
      <c r="AF77" s="89" t="s">
        <v>215</v>
      </c>
    </row>
    <row r="78" spans="1:32" s="12" customFormat="1" ht="15.95" customHeight="1" x14ac:dyDescent="0.2">
      <c r="A78" s="65">
        <v>63</v>
      </c>
      <c r="B78" s="112" t="s">
        <v>121</v>
      </c>
      <c r="C78" s="111" t="s">
        <v>177</v>
      </c>
      <c r="D78" s="65">
        <v>389.57</v>
      </c>
      <c r="E78" s="65" t="s">
        <v>137</v>
      </c>
      <c r="F78" s="65">
        <v>177.8</v>
      </c>
      <c r="G78" s="65" t="s">
        <v>28</v>
      </c>
      <c r="H78" s="67" t="s">
        <v>58</v>
      </c>
      <c r="I78" s="61"/>
      <c r="J78" s="65"/>
      <c r="K78" s="65">
        <v>11</v>
      </c>
      <c r="L78" s="65"/>
      <c r="M78" s="65">
        <v>0</v>
      </c>
      <c r="N78" s="65"/>
      <c r="O78" s="65"/>
      <c r="P78" s="83"/>
      <c r="Q78" s="73"/>
      <c r="R78" s="72">
        <v>0</v>
      </c>
      <c r="S78" s="73"/>
      <c r="T78" s="73">
        <v>0</v>
      </c>
      <c r="U78" s="73"/>
      <c r="V78" s="72">
        <v>0</v>
      </c>
      <c r="W78" s="72"/>
      <c r="X78" s="73"/>
      <c r="Y78" s="73">
        <f t="shared" si="41"/>
        <v>0</v>
      </c>
      <c r="Z78" s="73">
        <f t="shared" si="42"/>
        <v>0</v>
      </c>
      <c r="AA78" s="73">
        <f t="shared" si="43"/>
        <v>0</v>
      </c>
      <c r="AB78" s="73">
        <f t="shared" si="40"/>
        <v>0</v>
      </c>
      <c r="AC78" s="73">
        <f t="shared" si="40"/>
        <v>0</v>
      </c>
      <c r="AD78" s="65"/>
      <c r="AE78" s="73">
        <f>Y78*AD78</f>
        <v>0</v>
      </c>
      <c r="AF78" s="80" t="s">
        <v>238</v>
      </c>
    </row>
    <row r="79" spans="1:32" s="7" customFormat="1" ht="15.95" customHeight="1" x14ac:dyDescent="0.2">
      <c r="A79" s="65">
        <v>64</v>
      </c>
      <c r="B79" s="66" t="s">
        <v>122</v>
      </c>
      <c r="C79" s="111" t="s">
        <v>177</v>
      </c>
      <c r="D79" s="65">
        <v>391.06</v>
      </c>
      <c r="E79" s="65" t="s">
        <v>138</v>
      </c>
      <c r="F79" s="65">
        <v>177.8</v>
      </c>
      <c r="G79" s="65" t="s">
        <v>28</v>
      </c>
      <c r="H79" s="67" t="s">
        <v>58</v>
      </c>
      <c r="I79" s="73">
        <v>151.72999999999999</v>
      </c>
      <c r="J79" s="65">
        <v>150</v>
      </c>
      <c r="K79" s="77"/>
      <c r="L79" s="65">
        <v>44</v>
      </c>
      <c r="M79" s="77"/>
      <c r="N79" s="65">
        <v>0.5</v>
      </c>
      <c r="O79" s="77"/>
      <c r="P79" s="83">
        <v>14.13</v>
      </c>
      <c r="Q79" s="73"/>
      <c r="R79" s="72">
        <v>2</v>
      </c>
      <c r="S79" s="73">
        <v>0.02</v>
      </c>
      <c r="T79" s="73">
        <v>0</v>
      </c>
      <c r="U79" s="73">
        <f>T79/R79</f>
        <v>0</v>
      </c>
      <c r="V79" s="73">
        <v>0.06</v>
      </c>
      <c r="W79" s="73">
        <v>0.4</v>
      </c>
      <c r="X79" s="73"/>
      <c r="Y79" s="73">
        <f t="shared" si="41"/>
        <v>1.96</v>
      </c>
      <c r="Z79" s="73">
        <f t="shared" si="42"/>
        <v>1.9599999999999999E-2</v>
      </c>
      <c r="AA79" s="73">
        <f t="shared" si="43"/>
        <v>0</v>
      </c>
      <c r="AB79" s="73">
        <f t="shared" si="40"/>
        <v>0</v>
      </c>
      <c r="AC79" s="73">
        <f t="shared" si="40"/>
        <v>0.06</v>
      </c>
      <c r="AD79" s="65">
        <v>31</v>
      </c>
      <c r="AE79" s="73">
        <f>Y79*AD79</f>
        <v>60.76</v>
      </c>
      <c r="AF79" s="79"/>
    </row>
    <row r="80" spans="1:32" s="12" customFormat="1" ht="15.95" customHeight="1" x14ac:dyDescent="0.2">
      <c r="A80" s="65"/>
      <c r="B80" s="1865" t="s">
        <v>205</v>
      </c>
      <c r="C80" s="1865"/>
      <c r="D80" s="1865"/>
      <c r="E80" s="1866"/>
      <c r="F80" s="61"/>
      <c r="G80" s="59"/>
      <c r="H80" s="107"/>
      <c r="I80" s="107"/>
      <c r="J80" s="61"/>
      <c r="K80" s="61"/>
      <c r="L80" s="61"/>
      <c r="M80" s="61"/>
      <c r="N80" s="61"/>
      <c r="O80" s="61"/>
      <c r="P80" s="63"/>
      <c r="Q80" s="76"/>
      <c r="R80" s="105">
        <f>SUM(R76:R79)</f>
        <v>3</v>
      </c>
      <c r="S80" s="105">
        <f>SUM(S76:S79)</f>
        <v>0.02</v>
      </c>
      <c r="T80" s="105">
        <f>SUM(T76:T79)</f>
        <v>0</v>
      </c>
      <c r="U80" s="105">
        <v>0</v>
      </c>
      <c r="V80" s="59"/>
      <c r="W80" s="59"/>
      <c r="X80" s="59"/>
      <c r="Y80" s="105">
        <f>SUM(Y76:Y79)</f>
        <v>2.94</v>
      </c>
      <c r="Z80" s="105">
        <f>SUM(Z76:Z79)</f>
        <v>1.9599999999999999E-2</v>
      </c>
      <c r="AA80" s="105">
        <f>SUM(AA76:AA79)</f>
        <v>0</v>
      </c>
      <c r="AB80" s="105">
        <v>0</v>
      </c>
      <c r="AC80" s="59"/>
      <c r="AD80" s="61"/>
      <c r="AE80" s="105">
        <f>SUM(AE76:AE79)</f>
        <v>91.14</v>
      </c>
      <c r="AF80" s="113"/>
    </row>
    <row r="81" spans="1:32" s="12" customFormat="1" ht="15.95" customHeight="1" x14ac:dyDescent="0.2">
      <c r="A81" s="65"/>
      <c r="B81" s="1868" t="s">
        <v>208</v>
      </c>
      <c r="C81" s="1869"/>
      <c r="D81" s="1869"/>
      <c r="E81" s="1869"/>
      <c r="F81" s="1870"/>
      <c r="G81" s="59"/>
      <c r="H81" s="107"/>
      <c r="I81" s="107"/>
      <c r="J81" s="61"/>
      <c r="K81" s="61"/>
      <c r="L81" s="61"/>
      <c r="M81" s="61"/>
      <c r="N81" s="61"/>
      <c r="O81" s="61"/>
      <c r="P81" s="63"/>
      <c r="Q81" s="76"/>
      <c r="R81" s="105"/>
      <c r="S81" s="105"/>
      <c r="T81" s="105"/>
      <c r="U81" s="105"/>
      <c r="V81" s="59"/>
      <c r="W81" s="59"/>
      <c r="X81" s="59"/>
      <c r="Y81" s="105"/>
      <c r="Z81" s="105"/>
      <c r="AA81" s="105"/>
      <c r="AB81" s="105"/>
      <c r="AC81" s="59"/>
      <c r="AD81" s="61"/>
      <c r="AE81" s="105"/>
      <c r="AF81" s="113"/>
    </row>
    <row r="82" spans="1:32" s="12" customFormat="1" ht="15.95" customHeight="1" x14ac:dyDescent="0.2">
      <c r="A82" s="65">
        <v>65</v>
      </c>
      <c r="B82" s="114" t="s">
        <v>220</v>
      </c>
      <c r="C82" s="65" t="s">
        <v>46</v>
      </c>
      <c r="D82" s="67">
        <v>685.69</v>
      </c>
      <c r="E82" s="136" t="s">
        <v>222</v>
      </c>
      <c r="F82" s="65">
        <v>177.8</v>
      </c>
      <c r="G82" s="65" t="s">
        <v>28</v>
      </c>
      <c r="H82" s="67" t="s">
        <v>221</v>
      </c>
      <c r="I82" s="67">
        <v>570.09</v>
      </c>
      <c r="J82" s="61"/>
      <c r="K82" s="61"/>
      <c r="L82" s="61"/>
      <c r="M82" s="61"/>
      <c r="N82" s="61"/>
      <c r="O82" s="61"/>
      <c r="P82" s="63"/>
      <c r="Q82" s="76"/>
      <c r="R82" s="61"/>
      <c r="S82" s="61"/>
      <c r="T82" s="61"/>
      <c r="U82" s="108"/>
      <c r="V82" s="59"/>
      <c r="W82" s="59"/>
      <c r="X82" s="59"/>
      <c r="Y82" s="115"/>
      <c r="Z82" s="133"/>
      <c r="AA82" s="131"/>
      <c r="AB82" s="130"/>
      <c r="AC82" s="61"/>
      <c r="AD82" s="65"/>
      <c r="AE82" s="73"/>
      <c r="AF82" s="74" t="s">
        <v>236</v>
      </c>
    </row>
    <row r="83" spans="1:32" s="12" customFormat="1" ht="15.6" customHeight="1" x14ac:dyDescent="0.2">
      <c r="A83" s="65"/>
      <c r="B83" s="114"/>
      <c r="C83" s="65"/>
      <c r="D83" s="132"/>
      <c r="E83" s="61"/>
      <c r="F83" s="65"/>
      <c r="G83" s="65"/>
      <c r="H83" s="67"/>
      <c r="I83" s="67"/>
      <c r="J83" s="61"/>
      <c r="K83" s="61"/>
      <c r="L83" s="61"/>
      <c r="M83" s="61"/>
      <c r="N83" s="61"/>
      <c r="O83" s="61"/>
      <c r="P83" s="63"/>
      <c r="Q83" s="76"/>
      <c r="R83" s="61"/>
      <c r="S83" s="61"/>
      <c r="T83" s="61"/>
      <c r="U83" s="129"/>
      <c r="V83" s="128"/>
      <c r="W83" s="128"/>
      <c r="X83" s="128"/>
      <c r="Y83" s="115"/>
      <c r="Z83" s="133"/>
      <c r="AA83" s="131"/>
      <c r="AB83" s="130"/>
      <c r="AC83" s="61"/>
      <c r="AD83" s="65"/>
      <c r="AE83" s="73"/>
      <c r="AF83" s="74"/>
    </row>
    <row r="84" spans="1:32" s="12" customFormat="1" ht="14.45" customHeight="1" x14ac:dyDescent="0.2">
      <c r="A84" s="65"/>
      <c r="B84" s="114"/>
      <c r="C84" s="65"/>
      <c r="D84" s="132"/>
      <c r="E84" s="67"/>
      <c r="F84" s="65"/>
      <c r="G84" s="65"/>
      <c r="H84" s="67"/>
      <c r="I84" s="67"/>
      <c r="J84" s="61"/>
      <c r="K84" s="61"/>
      <c r="L84" s="61"/>
      <c r="M84" s="61"/>
      <c r="N84" s="61"/>
      <c r="O84" s="61"/>
      <c r="P84" s="63"/>
      <c r="Q84" s="76"/>
      <c r="R84" s="61"/>
      <c r="S84" s="61"/>
      <c r="T84" s="61"/>
      <c r="U84" s="108"/>
      <c r="V84" s="59"/>
      <c r="W84" s="59"/>
      <c r="X84" s="59"/>
      <c r="Y84" s="115"/>
      <c r="Z84" s="133"/>
      <c r="AA84" s="131"/>
      <c r="AB84" s="130"/>
      <c r="AC84" s="61"/>
      <c r="AD84" s="65"/>
      <c r="AE84" s="73"/>
      <c r="AF84" s="74"/>
    </row>
    <row r="85" spans="1:32" s="7" customFormat="1" ht="15.95" customHeight="1" x14ac:dyDescent="0.2">
      <c r="A85" s="84"/>
      <c r="B85" s="1865" t="s">
        <v>205</v>
      </c>
      <c r="C85" s="1865"/>
      <c r="D85" s="1865"/>
      <c r="E85" s="1866"/>
      <c r="F85" s="77"/>
      <c r="G85" s="65"/>
      <c r="H85" s="67"/>
      <c r="I85" s="73"/>
      <c r="J85" s="65"/>
      <c r="K85" s="77"/>
      <c r="L85" s="65"/>
      <c r="M85" s="77"/>
      <c r="N85" s="83"/>
      <c r="O85" s="77"/>
      <c r="P85" s="116"/>
      <c r="Q85" s="105"/>
      <c r="R85" s="105"/>
      <c r="S85" s="105"/>
      <c r="T85" s="105"/>
      <c r="U85" s="105"/>
      <c r="V85" s="105"/>
      <c r="W85" s="105"/>
      <c r="X85" s="105"/>
      <c r="Y85" s="105"/>
      <c r="Z85" s="117"/>
      <c r="AA85" s="105"/>
      <c r="AB85" s="105"/>
      <c r="AC85" s="105"/>
      <c r="AD85" s="105"/>
      <c r="AE85" s="105"/>
      <c r="AF85" s="79"/>
    </row>
    <row r="86" spans="1:32" s="12" customFormat="1" ht="15.95" customHeight="1" x14ac:dyDescent="0.2">
      <c r="A86" s="65"/>
      <c r="B86" s="1878" t="s">
        <v>199</v>
      </c>
      <c r="C86" s="1867"/>
      <c r="D86" s="1867"/>
      <c r="E86" s="1867"/>
      <c r="F86" s="1867"/>
      <c r="G86" s="59"/>
      <c r="H86" s="107"/>
      <c r="I86" s="107"/>
      <c r="J86" s="61"/>
      <c r="K86" s="61"/>
      <c r="L86" s="61"/>
      <c r="M86" s="61"/>
      <c r="N86" s="61"/>
      <c r="O86" s="61"/>
      <c r="P86" s="63"/>
      <c r="Q86" s="76"/>
      <c r="R86" s="61"/>
      <c r="S86" s="61"/>
      <c r="T86" s="61"/>
      <c r="U86" s="108"/>
      <c r="V86" s="59"/>
      <c r="W86" s="59"/>
      <c r="X86" s="59"/>
      <c r="Y86" s="61"/>
      <c r="Z86" s="61"/>
      <c r="AA86" s="61"/>
      <c r="AB86" s="109"/>
      <c r="AC86" s="59"/>
      <c r="AD86" s="61"/>
      <c r="AE86" s="61"/>
      <c r="AF86" s="107"/>
    </row>
    <row r="87" spans="1:32" s="12" customFormat="1" ht="15.95" customHeight="1" x14ac:dyDescent="0.2">
      <c r="A87" s="65">
        <v>66</v>
      </c>
      <c r="B87" s="118" t="s">
        <v>107</v>
      </c>
      <c r="C87" s="87" t="s">
        <v>109</v>
      </c>
      <c r="D87" s="119"/>
      <c r="E87" s="119"/>
      <c r="F87" s="61"/>
      <c r="G87" s="59"/>
      <c r="H87" s="107"/>
      <c r="I87" s="107"/>
      <c r="J87" s="61"/>
      <c r="K87" s="61"/>
      <c r="L87" s="61"/>
      <c r="M87" s="61"/>
      <c r="N87" s="61"/>
      <c r="O87" s="61"/>
      <c r="P87" s="63"/>
      <c r="Q87" s="76"/>
      <c r="R87" s="61"/>
      <c r="S87" s="61"/>
      <c r="T87" s="61"/>
      <c r="U87" s="108"/>
      <c r="V87" s="59"/>
      <c r="W87" s="59"/>
      <c r="X87" s="59"/>
      <c r="Y87" s="107"/>
      <c r="Z87" s="107"/>
      <c r="AA87" s="61"/>
      <c r="AB87" s="109"/>
      <c r="AC87" s="59"/>
      <c r="AD87" s="120"/>
      <c r="AE87" s="61"/>
      <c r="AF87" s="121"/>
    </row>
    <row r="88" spans="1:32" s="12" customFormat="1" ht="15.95" customHeight="1" x14ac:dyDescent="0.2">
      <c r="A88" s="65">
        <v>67</v>
      </c>
      <c r="B88" s="118" t="s">
        <v>108</v>
      </c>
      <c r="C88" s="87" t="s">
        <v>109</v>
      </c>
      <c r="D88" s="119"/>
      <c r="E88" s="119"/>
      <c r="F88" s="61"/>
      <c r="G88" s="59"/>
      <c r="H88" s="107"/>
      <c r="I88" s="107"/>
      <c r="J88" s="61"/>
      <c r="K88" s="61"/>
      <c r="L88" s="61"/>
      <c r="M88" s="61"/>
      <c r="N88" s="61"/>
      <c r="O88" s="61"/>
      <c r="P88" s="63"/>
      <c r="Q88" s="76"/>
      <c r="R88" s="61"/>
      <c r="S88" s="61"/>
      <c r="T88" s="61"/>
      <c r="U88" s="108"/>
      <c r="V88" s="59"/>
      <c r="W88" s="59"/>
      <c r="X88" s="59"/>
      <c r="Y88" s="107"/>
      <c r="Z88" s="107"/>
      <c r="AA88" s="61"/>
      <c r="AB88" s="109"/>
      <c r="AC88" s="59"/>
      <c r="AD88" s="120"/>
      <c r="AE88" s="61"/>
      <c r="AF88" s="121"/>
    </row>
    <row r="89" spans="1:32" s="12" customFormat="1" ht="15.95" customHeight="1" x14ac:dyDescent="0.2">
      <c r="A89" s="65">
        <v>68</v>
      </c>
      <c r="B89" s="118" t="s">
        <v>195</v>
      </c>
      <c r="C89" s="111" t="s">
        <v>193</v>
      </c>
      <c r="D89" s="119"/>
      <c r="E89" s="119"/>
      <c r="F89" s="61"/>
      <c r="G89" s="59"/>
      <c r="H89" s="107"/>
      <c r="I89" s="107"/>
      <c r="J89" s="61"/>
      <c r="K89" s="61"/>
      <c r="L89" s="61"/>
      <c r="M89" s="61"/>
      <c r="N89" s="61"/>
      <c r="O89" s="61"/>
      <c r="P89" s="63"/>
      <c r="Q89" s="76"/>
      <c r="R89" s="61"/>
      <c r="S89" s="61"/>
      <c r="T89" s="61"/>
      <c r="U89" s="108"/>
      <c r="V89" s="59"/>
      <c r="W89" s="59"/>
      <c r="X89" s="59"/>
      <c r="Y89" s="107"/>
      <c r="Z89" s="107"/>
      <c r="AA89" s="61"/>
      <c r="AB89" s="109"/>
      <c r="AC89" s="59"/>
      <c r="AD89" s="120"/>
      <c r="AE89" s="61"/>
      <c r="AF89" s="121"/>
    </row>
    <row r="90" spans="1:32" s="12" customFormat="1" ht="15.95" customHeight="1" x14ac:dyDescent="0.2">
      <c r="A90" s="65">
        <v>69</v>
      </c>
      <c r="B90" s="118" t="s">
        <v>192</v>
      </c>
      <c r="C90" s="111" t="s">
        <v>193</v>
      </c>
      <c r="D90" s="119"/>
      <c r="E90" s="119"/>
      <c r="F90" s="61"/>
      <c r="G90" s="59"/>
      <c r="H90" s="107"/>
      <c r="I90" s="107"/>
      <c r="J90" s="61"/>
      <c r="K90" s="61"/>
      <c r="L90" s="61"/>
      <c r="M90" s="61"/>
      <c r="N90" s="61"/>
      <c r="O90" s="61"/>
      <c r="P90" s="63"/>
      <c r="Q90" s="76"/>
      <c r="R90" s="61"/>
      <c r="S90" s="61"/>
      <c r="T90" s="61"/>
      <c r="U90" s="108"/>
      <c r="V90" s="59"/>
      <c r="W90" s="59"/>
      <c r="X90" s="59"/>
      <c r="Y90" s="107"/>
      <c r="Z90" s="107"/>
      <c r="AA90" s="61"/>
      <c r="AB90" s="109"/>
      <c r="AC90" s="59"/>
      <c r="AD90" s="120"/>
      <c r="AE90" s="61"/>
      <c r="AF90" s="121"/>
    </row>
    <row r="91" spans="1:32" s="12" customFormat="1" ht="15.95" customHeight="1" x14ac:dyDescent="0.2">
      <c r="A91" s="65"/>
      <c r="B91" s="1878" t="s">
        <v>198</v>
      </c>
      <c r="C91" s="1867"/>
      <c r="D91" s="1867"/>
      <c r="E91" s="1867"/>
      <c r="F91" s="1867"/>
      <c r="G91" s="59"/>
      <c r="H91" s="107"/>
      <c r="I91" s="107"/>
      <c r="J91" s="61"/>
      <c r="K91" s="61"/>
      <c r="L91" s="61"/>
      <c r="M91" s="61"/>
      <c r="N91" s="61"/>
      <c r="O91" s="61"/>
      <c r="P91" s="63"/>
      <c r="Q91" s="76"/>
      <c r="R91" s="61"/>
      <c r="S91" s="61"/>
      <c r="T91" s="61"/>
      <c r="U91" s="108"/>
      <c r="V91" s="59"/>
      <c r="W91" s="59"/>
      <c r="X91" s="59"/>
      <c r="Y91" s="61"/>
      <c r="Z91" s="61"/>
      <c r="AA91" s="61"/>
      <c r="AB91" s="109"/>
      <c r="AC91" s="59"/>
      <c r="AD91" s="61"/>
      <c r="AE91" s="61"/>
      <c r="AF91" s="107"/>
    </row>
    <row r="92" spans="1:32" s="12" customFormat="1" ht="15.95" customHeight="1" x14ac:dyDescent="0.2">
      <c r="A92" s="65">
        <v>70</v>
      </c>
      <c r="B92" s="103" t="s">
        <v>189</v>
      </c>
      <c r="C92" s="65" t="s">
        <v>46</v>
      </c>
      <c r="D92" s="88">
        <v>673</v>
      </c>
      <c r="E92" s="88" t="s">
        <v>190</v>
      </c>
      <c r="F92" s="65">
        <v>177.8</v>
      </c>
      <c r="G92" s="65"/>
      <c r="H92" s="67"/>
      <c r="I92" s="61"/>
      <c r="J92" s="61"/>
      <c r="K92" s="61"/>
      <c r="L92" s="61"/>
      <c r="M92" s="61"/>
      <c r="N92" s="61"/>
      <c r="O92" s="61"/>
      <c r="P92" s="63"/>
      <c r="Q92" s="76"/>
      <c r="R92" s="61"/>
      <c r="S92" s="61"/>
      <c r="T92" s="61"/>
      <c r="U92" s="108"/>
      <c r="V92" s="59"/>
      <c r="W92" s="59"/>
      <c r="X92" s="59"/>
      <c r="Y92" s="122"/>
      <c r="Z92" s="123"/>
      <c r="AA92" s="107"/>
      <c r="AB92" s="109"/>
      <c r="AC92" s="61"/>
      <c r="AD92" s="65"/>
      <c r="AE92" s="73"/>
      <c r="AF92" s="80"/>
    </row>
    <row r="93" spans="1:32" s="12" customFormat="1" ht="15.95" customHeight="1" x14ac:dyDescent="0.25">
      <c r="A93" s="65">
        <v>71</v>
      </c>
      <c r="B93" s="66" t="s">
        <v>181</v>
      </c>
      <c r="C93" s="124" t="s">
        <v>183</v>
      </c>
      <c r="D93" s="67">
        <v>374.5</v>
      </c>
      <c r="E93" s="65" t="s">
        <v>182</v>
      </c>
      <c r="F93" s="65">
        <v>177.8</v>
      </c>
      <c r="G93" s="65"/>
      <c r="H93" s="67"/>
      <c r="I93" s="61"/>
      <c r="J93" s="65"/>
      <c r="K93" s="65"/>
      <c r="L93" s="65"/>
      <c r="M93" s="65"/>
      <c r="N93" s="83"/>
      <c r="O93" s="65"/>
      <c r="P93" s="72"/>
      <c r="Q93" s="73"/>
      <c r="R93" s="72"/>
      <c r="S93" s="73"/>
      <c r="T93" s="73"/>
      <c r="U93" s="73"/>
      <c r="V93" s="72"/>
      <c r="W93" s="72"/>
      <c r="X93" s="125"/>
      <c r="Y93" s="73"/>
      <c r="Z93" s="73"/>
      <c r="AA93" s="73"/>
      <c r="AB93" s="73"/>
      <c r="AC93" s="73"/>
      <c r="AD93" s="65"/>
      <c r="AE93" s="73"/>
      <c r="AF93" s="80"/>
    </row>
    <row r="94" spans="1:32" s="12" customFormat="1" ht="15.95" customHeight="1" x14ac:dyDescent="0.2">
      <c r="A94" s="65">
        <v>72</v>
      </c>
      <c r="B94" s="66" t="s">
        <v>57</v>
      </c>
      <c r="C94" s="111" t="s">
        <v>176</v>
      </c>
      <c r="D94" s="67">
        <v>681.52</v>
      </c>
      <c r="E94" s="65" t="s">
        <v>93</v>
      </c>
      <c r="F94" s="65">
        <v>177.8</v>
      </c>
      <c r="G94" s="65"/>
      <c r="H94" s="67"/>
      <c r="I94" s="61"/>
      <c r="J94" s="65"/>
      <c r="K94" s="65"/>
      <c r="L94" s="65"/>
      <c r="M94" s="65"/>
      <c r="N94" s="83"/>
      <c r="O94" s="65"/>
      <c r="P94" s="72"/>
      <c r="Q94" s="73"/>
      <c r="R94" s="72"/>
      <c r="S94" s="73"/>
      <c r="T94" s="73"/>
      <c r="U94" s="73"/>
      <c r="V94" s="72"/>
      <c r="W94" s="72"/>
      <c r="X94" s="125"/>
      <c r="Y94" s="73"/>
      <c r="Z94" s="73"/>
      <c r="AA94" s="73"/>
      <c r="AB94" s="73"/>
      <c r="AC94" s="73"/>
      <c r="AD94" s="65"/>
      <c r="AE94" s="73"/>
      <c r="AF94" s="80"/>
    </row>
    <row r="95" spans="1:32" s="12" customFormat="1" ht="15.95" customHeight="1" x14ac:dyDescent="0.2">
      <c r="A95" s="65">
        <v>73</v>
      </c>
      <c r="B95" s="66" t="s">
        <v>188</v>
      </c>
      <c r="C95" s="111" t="s">
        <v>183</v>
      </c>
      <c r="D95" s="67">
        <v>408.86</v>
      </c>
      <c r="E95" s="66" t="s">
        <v>235</v>
      </c>
      <c r="F95" s="65">
        <v>177.8</v>
      </c>
      <c r="G95" s="65"/>
      <c r="H95" s="67"/>
      <c r="I95" s="61"/>
      <c r="J95" s="65"/>
      <c r="K95" s="65"/>
      <c r="L95" s="65"/>
      <c r="M95" s="65"/>
      <c r="N95" s="83"/>
      <c r="O95" s="65"/>
      <c r="P95" s="72"/>
      <c r="Q95" s="73"/>
      <c r="R95" s="72"/>
      <c r="S95" s="73"/>
      <c r="T95" s="73"/>
      <c r="U95" s="73"/>
      <c r="V95" s="72"/>
      <c r="W95" s="72"/>
      <c r="X95" s="125"/>
      <c r="Y95" s="73"/>
      <c r="Z95" s="73"/>
      <c r="AA95" s="73"/>
      <c r="AB95" s="73"/>
      <c r="AC95" s="73"/>
      <c r="AD95" s="65"/>
      <c r="AE95" s="73"/>
      <c r="AF95" s="80"/>
    </row>
    <row r="96" spans="1:32" s="12" customFormat="1" ht="15.95" customHeight="1" x14ac:dyDescent="0.2">
      <c r="A96" s="65">
        <v>74</v>
      </c>
      <c r="B96" s="66" t="s">
        <v>184</v>
      </c>
      <c r="C96" s="111" t="s">
        <v>176</v>
      </c>
      <c r="D96" s="67">
        <v>422.78</v>
      </c>
      <c r="E96" s="65" t="s">
        <v>185</v>
      </c>
      <c r="F96" s="65">
        <v>177.8</v>
      </c>
      <c r="G96" s="65"/>
      <c r="H96" s="67"/>
      <c r="I96" s="61"/>
      <c r="J96" s="65"/>
      <c r="K96" s="65"/>
      <c r="L96" s="65"/>
      <c r="M96" s="65"/>
      <c r="N96" s="83"/>
      <c r="O96" s="65"/>
      <c r="P96" s="72"/>
      <c r="Q96" s="73"/>
      <c r="R96" s="72"/>
      <c r="S96" s="73"/>
      <c r="T96" s="73"/>
      <c r="U96" s="73"/>
      <c r="V96" s="72"/>
      <c r="W96" s="72"/>
      <c r="X96" s="125"/>
      <c r="Y96" s="73"/>
      <c r="Z96" s="73"/>
      <c r="AA96" s="73"/>
      <c r="AB96" s="73"/>
      <c r="AC96" s="73"/>
      <c r="AD96" s="65"/>
      <c r="AE96" s="73"/>
      <c r="AF96" s="80"/>
    </row>
    <row r="97" spans="1:32" s="12" customFormat="1" ht="15.95" customHeight="1" x14ac:dyDescent="0.2">
      <c r="A97" s="65">
        <v>75</v>
      </c>
      <c r="B97" s="66" t="s">
        <v>186</v>
      </c>
      <c r="C97" s="111" t="s">
        <v>176</v>
      </c>
      <c r="D97" s="67">
        <v>387.56</v>
      </c>
      <c r="E97" s="65"/>
      <c r="F97" s="65">
        <v>177.8</v>
      </c>
      <c r="G97" s="65"/>
      <c r="H97" s="67"/>
      <c r="I97" s="61"/>
      <c r="J97" s="65"/>
      <c r="K97" s="65"/>
      <c r="L97" s="65"/>
      <c r="M97" s="65"/>
      <c r="N97" s="83"/>
      <c r="O97" s="65"/>
      <c r="P97" s="72"/>
      <c r="Q97" s="73"/>
      <c r="R97" s="72"/>
      <c r="S97" s="73"/>
      <c r="T97" s="73"/>
      <c r="U97" s="73"/>
      <c r="V97" s="72"/>
      <c r="W97" s="72"/>
      <c r="X97" s="125"/>
      <c r="Y97" s="73"/>
      <c r="Z97" s="73"/>
      <c r="AA97" s="73"/>
      <c r="AB97" s="73"/>
      <c r="AC97" s="73"/>
      <c r="AD97" s="65"/>
      <c r="AE97" s="73"/>
      <c r="AF97" s="80"/>
    </row>
    <row r="98" spans="1:32" s="12" customFormat="1" ht="15.95" customHeight="1" x14ac:dyDescent="0.2">
      <c r="A98" s="65">
        <v>76</v>
      </c>
      <c r="B98" s="66" t="s">
        <v>196</v>
      </c>
      <c r="C98" s="65" t="s">
        <v>46</v>
      </c>
      <c r="D98" s="67">
        <v>622.02</v>
      </c>
      <c r="E98" s="65" t="s">
        <v>197</v>
      </c>
      <c r="F98" s="65">
        <v>177.8</v>
      </c>
      <c r="G98" s="65"/>
      <c r="H98" s="67"/>
      <c r="I98" s="61"/>
      <c r="J98" s="65"/>
      <c r="K98" s="65"/>
      <c r="L98" s="65"/>
      <c r="M98" s="65"/>
      <c r="N98" s="83"/>
      <c r="O98" s="65"/>
      <c r="P98" s="72"/>
      <c r="Q98" s="73"/>
      <c r="R98" s="72"/>
      <c r="S98" s="73"/>
      <c r="T98" s="73"/>
      <c r="U98" s="73"/>
      <c r="V98" s="72"/>
      <c r="W98" s="72"/>
      <c r="X98" s="125"/>
      <c r="Y98" s="73"/>
      <c r="Z98" s="73"/>
      <c r="AA98" s="73"/>
      <c r="AB98" s="73"/>
      <c r="AC98" s="73"/>
      <c r="AD98" s="65"/>
      <c r="AE98" s="73"/>
      <c r="AF98" s="80"/>
    </row>
    <row r="99" spans="1:32" s="8" customFormat="1" ht="15.75" x14ac:dyDescent="0.2">
      <c r="A99" s="65">
        <v>77</v>
      </c>
      <c r="B99" s="66" t="s">
        <v>174</v>
      </c>
      <c r="C99" s="65" t="s">
        <v>46</v>
      </c>
      <c r="D99" s="67">
        <v>672</v>
      </c>
      <c r="E99" s="65" t="s">
        <v>175</v>
      </c>
      <c r="F99" s="65">
        <v>177.8</v>
      </c>
      <c r="G99" s="65"/>
      <c r="H99" s="67"/>
      <c r="I99" s="61"/>
      <c r="J99" s="65"/>
      <c r="K99" s="65"/>
      <c r="L99" s="65"/>
      <c r="M99" s="65"/>
      <c r="N99" s="83"/>
      <c r="O99" s="65"/>
      <c r="P99" s="83"/>
      <c r="Q99" s="73"/>
      <c r="R99" s="72"/>
      <c r="S99" s="73"/>
      <c r="T99" s="73"/>
      <c r="U99" s="73"/>
      <c r="V99" s="72"/>
      <c r="W99" s="72"/>
      <c r="X99" s="73"/>
      <c r="Y99" s="73"/>
      <c r="Z99" s="73"/>
      <c r="AA99" s="73"/>
      <c r="AB99" s="73"/>
      <c r="AC99" s="73"/>
      <c r="AD99" s="65"/>
      <c r="AE99" s="73"/>
      <c r="AF99" s="80"/>
    </row>
    <row r="100" spans="1:32" s="12" customFormat="1" ht="15.95" customHeight="1" x14ac:dyDescent="0.2">
      <c r="A100" s="65">
        <v>78</v>
      </c>
      <c r="B100" s="102" t="s">
        <v>103</v>
      </c>
      <c r="C100" s="65" t="s">
        <v>46</v>
      </c>
      <c r="D100" s="61">
        <v>582</v>
      </c>
      <c r="E100" s="61" t="s">
        <v>112</v>
      </c>
      <c r="F100" s="65">
        <v>177.8</v>
      </c>
      <c r="G100" s="65"/>
      <c r="H100" s="67"/>
      <c r="I100" s="61"/>
      <c r="J100" s="61"/>
      <c r="K100" s="62"/>
      <c r="L100" s="61"/>
      <c r="M100" s="62"/>
      <c r="N100" s="61"/>
      <c r="O100" s="61"/>
      <c r="P100" s="63"/>
      <c r="Q100" s="76"/>
      <c r="R100" s="61"/>
      <c r="S100" s="61"/>
      <c r="T100" s="61"/>
      <c r="U100" s="108"/>
      <c r="V100" s="59"/>
      <c r="W100" s="59"/>
      <c r="X100" s="60"/>
      <c r="Y100" s="126"/>
      <c r="Z100" s="61"/>
      <c r="AA100" s="61"/>
      <c r="AB100" s="108"/>
      <c r="AC100" s="61"/>
      <c r="AD100" s="127"/>
      <c r="AE100" s="76"/>
      <c r="AF100" s="80"/>
    </row>
    <row r="101" spans="1:32" s="8" customFormat="1" ht="15.75" x14ac:dyDescent="0.2">
      <c r="A101" s="65"/>
      <c r="B101" s="1878" t="s">
        <v>209</v>
      </c>
      <c r="C101" s="1867"/>
      <c r="D101" s="1867"/>
      <c r="E101" s="1867"/>
      <c r="F101" s="1867"/>
      <c r="G101" s="65"/>
      <c r="H101" s="67"/>
      <c r="I101" s="61"/>
      <c r="J101" s="65"/>
      <c r="K101" s="65"/>
      <c r="L101" s="65"/>
      <c r="M101" s="65"/>
      <c r="N101" s="83"/>
      <c r="O101" s="65"/>
      <c r="P101" s="83"/>
      <c r="Q101" s="73"/>
      <c r="R101" s="72"/>
      <c r="S101" s="73"/>
      <c r="T101" s="73"/>
      <c r="U101" s="73"/>
      <c r="V101" s="72"/>
      <c r="W101" s="72"/>
      <c r="X101" s="73"/>
      <c r="Y101" s="73"/>
      <c r="Z101" s="73"/>
      <c r="AA101" s="73"/>
      <c r="AB101" s="73"/>
      <c r="AC101" s="73"/>
      <c r="AD101" s="65"/>
      <c r="AE101" s="73"/>
      <c r="AF101" s="80"/>
    </row>
    <row r="102" spans="1:32" s="8" customFormat="1" ht="15.75" x14ac:dyDescent="0.2">
      <c r="A102" s="65">
        <v>79</v>
      </c>
      <c r="B102" s="66" t="s">
        <v>148</v>
      </c>
      <c r="C102" s="65" t="s">
        <v>46</v>
      </c>
      <c r="D102" s="65">
        <v>650</v>
      </c>
      <c r="E102" s="65" t="s">
        <v>75</v>
      </c>
      <c r="F102" s="65">
        <v>177.8</v>
      </c>
      <c r="G102" s="65"/>
      <c r="H102" s="67"/>
      <c r="I102" s="62">
        <v>536.14</v>
      </c>
      <c r="J102" s="65"/>
      <c r="K102" s="65"/>
      <c r="L102" s="65"/>
      <c r="M102" s="65"/>
      <c r="N102" s="83"/>
      <c r="O102" s="65"/>
      <c r="P102" s="83"/>
      <c r="Q102" s="73"/>
      <c r="R102" s="72"/>
      <c r="S102" s="73"/>
      <c r="T102" s="73"/>
      <c r="U102" s="73"/>
      <c r="V102" s="72"/>
      <c r="W102" s="72"/>
      <c r="X102" s="73"/>
      <c r="Y102" s="73"/>
      <c r="Z102" s="73"/>
      <c r="AA102" s="73"/>
      <c r="AB102" s="73"/>
      <c r="AC102" s="73"/>
      <c r="AD102" s="65"/>
      <c r="AE102" s="73"/>
      <c r="AF102" s="80"/>
    </row>
    <row r="103" spans="1:32" s="8" customFormat="1" ht="15.75" x14ac:dyDescent="0.2">
      <c r="A103" s="65">
        <v>80</v>
      </c>
      <c r="B103" s="66" t="s">
        <v>155</v>
      </c>
      <c r="C103" s="65" t="s">
        <v>46</v>
      </c>
      <c r="D103" s="65">
        <v>674.13</v>
      </c>
      <c r="E103" s="65" t="s">
        <v>83</v>
      </c>
      <c r="F103" s="65">
        <v>177.8</v>
      </c>
      <c r="G103" s="65"/>
      <c r="H103" s="67"/>
      <c r="I103" s="61">
        <v>527.75</v>
      </c>
      <c r="J103" s="65"/>
      <c r="K103" s="65"/>
      <c r="L103" s="65"/>
      <c r="M103" s="65"/>
      <c r="N103" s="83"/>
      <c r="O103" s="65"/>
      <c r="P103" s="83"/>
      <c r="Q103" s="73"/>
      <c r="R103" s="72"/>
      <c r="S103" s="73"/>
      <c r="T103" s="73"/>
      <c r="U103" s="73"/>
      <c r="V103" s="72"/>
      <c r="W103" s="72"/>
      <c r="X103" s="73"/>
      <c r="Y103" s="73"/>
      <c r="Z103" s="73"/>
      <c r="AA103" s="73"/>
      <c r="AB103" s="73"/>
      <c r="AC103" s="73"/>
      <c r="AD103" s="65"/>
      <c r="AE103" s="73"/>
      <c r="AF103" s="80"/>
    </row>
    <row r="104" spans="1:32" s="12" customFormat="1" ht="15.95" customHeight="1" x14ac:dyDescent="0.2">
      <c r="A104" s="65">
        <v>81</v>
      </c>
      <c r="B104" s="66" t="s">
        <v>56</v>
      </c>
      <c r="C104" s="65" t="s">
        <v>46</v>
      </c>
      <c r="D104" s="67">
        <v>680.52</v>
      </c>
      <c r="E104" s="65" t="s">
        <v>92</v>
      </c>
      <c r="F104" s="65">
        <v>177.8</v>
      </c>
      <c r="G104" s="65"/>
      <c r="H104" s="67"/>
      <c r="I104" s="61">
        <v>555.95000000000005</v>
      </c>
      <c r="J104" s="65"/>
      <c r="K104" s="65"/>
      <c r="L104" s="65"/>
      <c r="M104" s="65"/>
      <c r="N104" s="83"/>
      <c r="O104" s="65"/>
      <c r="P104" s="72"/>
      <c r="Q104" s="73"/>
      <c r="R104" s="72"/>
      <c r="S104" s="73"/>
      <c r="T104" s="73"/>
      <c r="U104" s="73"/>
      <c r="V104" s="72"/>
      <c r="W104" s="72"/>
      <c r="X104" s="125"/>
      <c r="Y104" s="73"/>
      <c r="Z104" s="73"/>
      <c r="AA104" s="73"/>
      <c r="AB104" s="73"/>
      <c r="AC104" s="73"/>
      <c r="AD104" s="65"/>
      <c r="AE104" s="73"/>
      <c r="AF104" s="80"/>
    </row>
    <row r="105" spans="1:32" s="12" customFormat="1" ht="15.95" customHeight="1" x14ac:dyDescent="0.2">
      <c r="A105" s="34"/>
      <c r="B105" s="37"/>
      <c r="C105" s="37"/>
      <c r="D105" s="45"/>
      <c r="E105" s="44"/>
      <c r="F105" s="9"/>
      <c r="G105" s="9"/>
      <c r="H105" s="26"/>
      <c r="I105" s="27"/>
      <c r="J105" s="9"/>
      <c r="K105" s="9"/>
      <c r="L105" s="9"/>
      <c r="M105" s="9"/>
      <c r="N105" s="10"/>
      <c r="O105" s="9"/>
      <c r="P105" s="22"/>
      <c r="Q105" s="11"/>
      <c r="R105" s="22"/>
      <c r="S105" s="11"/>
      <c r="T105" s="11"/>
      <c r="U105" s="11"/>
      <c r="V105" s="22"/>
      <c r="W105" s="22"/>
      <c r="X105" s="24"/>
      <c r="Y105" s="11"/>
      <c r="Z105" s="11"/>
      <c r="AA105" s="11"/>
      <c r="AB105" s="11"/>
      <c r="AC105" s="11"/>
      <c r="AD105" s="9"/>
      <c r="AE105" s="11"/>
      <c r="AF105" s="32"/>
    </row>
    <row r="106" spans="1:32" s="7" customFormat="1" ht="15.95" customHeight="1" x14ac:dyDescent="0.2">
      <c r="A106" s="34"/>
      <c r="B106" s="1873" t="s">
        <v>205</v>
      </c>
      <c r="C106" s="1873"/>
      <c r="D106" s="1873"/>
      <c r="E106" s="1874"/>
      <c r="F106" s="13"/>
      <c r="G106" s="9"/>
      <c r="H106" s="26"/>
      <c r="I106" s="11"/>
      <c r="J106" s="9"/>
      <c r="K106" s="13"/>
      <c r="L106" s="9"/>
      <c r="M106" s="13"/>
      <c r="N106" s="10"/>
      <c r="O106" s="13"/>
      <c r="P106" s="40"/>
      <c r="Q106" s="33"/>
      <c r="R106" s="33">
        <f>R74+R80</f>
        <v>493</v>
      </c>
      <c r="S106" s="33">
        <f>S74+S80</f>
        <v>681.01999999999975</v>
      </c>
      <c r="T106" s="33">
        <f>T74+T80</f>
        <v>20870</v>
      </c>
      <c r="U106" s="33">
        <f>U74+U80</f>
        <v>42.591836734693878</v>
      </c>
      <c r="V106" s="33"/>
      <c r="W106" s="33"/>
      <c r="X106" s="33"/>
      <c r="Y106" s="33">
        <f>Y74+Y80+Y85</f>
        <v>483.1400000000001</v>
      </c>
      <c r="Z106" s="33">
        <f>Z74+Z80+Z85</f>
        <v>667.39959999999985</v>
      </c>
      <c r="AA106" s="33">
        <f>AA74+AA80</f>
        <v>20452.599999999999</v>
      </c>
      <c r="AB106" s="33">
        <f>AB74+AB80</f>
        <v>42.591836734693864</v>
      </c>
      <c r="AC106" s="33"/>
      <c r="AD106" s="33"/>
      <c r="AE106" s="35">
        <f>AE74+AE80+AE85</f>
        <v>14856.799999999997</v>
      </c>
      <c r="AF106" s="46"/>
    </row>
    <row r="107" spans="1:32" s="12" customFormat="1" ht="15.95" customHeight="1" x14ac:dyDescent="0.2">
      <c r="B107" s="47"/>
      <c r="C107" s="47"/>
      <c r="D107" s="47"/>
      <c r="E107" s="47"/>
      <c r="F107" s="29"/>
      <c r="G107" s="30"/>
      <c r="H107" s="28"/>
      <c r="I107" s="28"/>
      <c r="J107" s="29"/>
      <c r="K107" s="29"/>
      <c r="L107" s="29"/>
      <c r="M107" s="29"/>
      <c r="N107" s="29"/>
      <c r="O107" s="29"/>
      <c r="P107" s="41"/>
      <c r="Q107" s="31"/>
      <c r="R107" s="29"/>
      <c r="S107" s="29"/>
      <c r="T107" s="29"/>
      <c r="U107" s="48"/>
      <c r="V107" s="30"/>
      <c r="W107" s="30"/>
      <c r="X107" s="30"/>
      <c r="Y107" s="29"/>
      <c r="Z107" s="29"/>
      <c r="AA107" s="29"/>
      <c r="AB107" s="49"/>
      <c r="AC107" s="30"/>
      <c r="AD107" s="29"/>
      <c r="AE107" s="29"/>
      <c r="AF107" s="28"/>
    </row>
    <row r="108" spans="1:32" s="12" customFormat="1" ht="15.95" customHeight="1" x14ac:dyDescent="0.2">
      <c r="B108" s="7" t="s">
        <v>101</v>
      </c>
      <c r="C108" s="8"/>
      <c r="D108" s="7"/>
      <c r="E108" s="25">
        <v>0.95</v>
      </c>
      <c r="F108" s="7"/>
      <c r="G108" s="7" t="s">
        <v>102</v>
      </c>
      <c r="H108" s="2"/>
      <c r="I108" s="14"/>
      <c r="J108" s="7"/>
      <c r="K108" s="1862">
        <f>AE106*E108</f>
        <v>14113.959999999997</v>
      </c>
      <c r="L108" s="1863"/>
      <c r="M108" s="1864"/>
      <c r="N108" s="19" t="s">
        <v>27</v>
      </c>
      <c r="O108" s="29"/>
      <c r="P108" s="41"/>
      <c r="Q108" s="31"/>
      <c r="R108" s="29"/>
      <c r="S108" s="29"/>
      <c r="T108" s="29"/>
      <c r="U108" s="48"/>
      <c r="V108" s="30"/>
      <c r="W108" s="30"/>
      <c r="X108" s="30"/>
      <c r="Y108" s="31"/>
      <c r="Z108" s="29"/>
      <c r="AA108" s="29"/>
      <c r="AB108" s="49"/>
      <c r="AC108" s="30"/>
      <c r="AD108" s="29"/>
      <c r="AE108" s="29"/>
      <c r="AF108" s="28"/>
    </row>
    <row r="109" spans="1:32" x14ac:dyDescent="0.2">
      <c r="B109" s="7"/>
      <c r="C109" s="8"/>
      <c r="D109" s="7"/>
      <c r="E109" s="25"/>
      <c r="F109" s="7"/>
      <c r="G109" s="8"/>
      <c r="I109" s="14"/>
      <c r="J109" s="7"/>
      <c r="K109" s="19"/>
      <c r="L109" s="42"/>
      <c r="M109" s="7"/>
      <c r="N109" s="7"/>
      <c r="O109" s="7"/>
      <c r="P109" s="43"/>
      <c r="Q109" s="15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16"/>
    </row>
    <row r="110" spans="1:32" x14ac:dyDescent="0.2">
      <c r="B110" s="7"/>
      <c r="C110" s="7"/>
      <c r="D110" s="7"/>
      <c r="E110" s="50" t="s">
        <v>214</v>
      </c>
      <c r="F110" s="1861" t="s">
        <v>264</v>
      </c>
      <c r="G110" s="1861"/>
      <c r="H110" s="1861"/>
      <c r="I110" s="7"/>
      <c r="J110" s="7"/>
      <c r="K110" s="8"/>
      <c r="L110" s="8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1860" t="s">
        <v>99</v>
      </c>
      <c r="Y110" s="1850"/>
      <c r="Z110" s="1850"/>
      <c r="AA110" s="1850"/>
      <c r="AB110" s="7" t="s">
        <v>216</v>
      </c>
      <c r="AC110" s="7"/>
      <c r="AD110" s="7"/>
      <c r="AE110" s="7"/>
      <c r="AF110" s="7"/>
    </row>
    <row r="111" spans="1:32" x14ac:dyDescent="0.2">
      <c r="B111" s="7"/>
      <c r="C111" s="7"/>
      <c r="D111" s="7"/>
      <c r="E111" s="7"/>
      <c r="F111" s="7"/>
      <c r="G111" s="7"/>
      <c r="H111" s="3"/>
      <c r="I111" s="7"/>
      <c r="J111" s="7"/>
      <c r="K111" s="8"/>
      <c r="L111" s="8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x14ac:dyDescent="0.2">
      <c r="B112" s="7"/>
      <c r="C112" s="7"/>
      <c r="D112" s="7"/>
      <c r="E112" s="7"/>
      <c r="F112" s="7"/>
      <c r="G112" s="7"/>
      <c r="H112" s="3"/>
      <c r="I112" s="7"/>
      <c r="J112" s="7"/>
      <c r="K112" s="8"/>
      <c r="L112" s="8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</row>
    <row r="114" spans="2:32" s="7" customFormat="1" ht="15.95" customHeight="1" x14ac:dyDescent="0.2">
      <c r="B114" s="2"/>
      <c r="C114" s="2"/>
      <c r="D114" s="3"/>
      <c r="E114" s="3"/>
      <c r="F114" s="3"/>
      <c r="G114" s="2"/>
      <c r="H114" s="2"/>
      <c r="I114" s="3"/>
      <c r="J114" s="3"/>
      <c r="K114" s="2"/>
      <c r="L114" s="2"/>
      <c r="M114" s="3"/>
      <c r="N114" s="3"/>
      <c r="O114" s="3"/>
      <c r="P114" s="38"/>
      <c r="Q114" s="6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4"/>
    </row>
    <row r="115" spans="2:32" s="7" customFormat="1" ht="15" customHeight="1" x14ac:dyDescent="0.2">
      <c r="B115" s="2"/>
      <c r="C115" s="2"/>
      <c r="D115" s="3"/>
      <c r="E115" s="3"/>
      <c r="F115" s="3"/>
      <c r="G115" s="2"/>
      <c r="H115" s="2"/>
      <c r="I115" s="3"/>
      <c r="J115" s="3"/>
      <c r="K115" s="2"/>
      <c r="L115" s="2"/>
      <c r="M115" s="3"/>
      <c r="N115" s="3"/>
      <c r="O115" s="3"/>
      <c r="P115" s="38"/>
      <c r="Q115" s="6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4"/>
    </row>
    <row r="116" spans="2:32" s="7" customFormat="1" ht="15" customHeight="1" x14ac:dyDescent="0.2">
      <c r="B116" s="2"/>
      <c r="C116" s="2"/>
      <c r="D116" s="3"/>
      <c r="E116" s="3"/>
      <c r="F116" s="3"/>
      <c r="G116" s="2"/>
      <c r="H116" s="2"/>
      <c r="I116" s="3"/>
      <c r="J116" s="3"/>
      <c r="K116" s="2"/>
      <c r="L116" s="2"/>
      <c r="M116" s="3"/>
      <c r="N116" s="3"/>
      <c r="O116" s="3"/>
      <c r="P116" s="38"/>
      <c r="Q116" s="6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4"/>
    </row>
    <row r="117" spans="2:32" s="7" customFormat="1" ht="15" customHeight="1" x14ac:dyDescent="0.2">
      <c r="B117" s="8"/>
      <c r="C117" s="8"/>
      <c r="G117" s="8"/>
      <c r="H117" s="2"/>
      <c r="K117" s="8"/>
      <c r="L117" s="8"/>
      <c r="P117" s="43"/>
      <c r="Q117" s="15"/>
      <c r="AF117" s="17"/>
    </row>
    <row r="118" spans="2:32" s="7" customFormat="1" ht="15" customHeight="1" x14ac:dyDescent="0.2">
      <c r="B118" s="8"/>
      <c r="C118" s="8"/>
      <c r="G118" s="8"/>
      <c r="H118" s="2"/>
      <c r="K118" s="8"/>
      <c r="L118" s="8"/>
      <c r="P118" s="43"/>
      <c r="Q118" s="15"/>
      <c r="AF118" s="18"/>
    </row>
    <row r="119" spans="2:32" x14ac:dyDescent="0.2">
      <c r="B119" s="8"/>
      <c r="C119" s="8"/>
      <c r="D119" s="7"/>
      <c r="E119" s="7"/>
      <c r="F119" s="7"/>
      <c r="G119" s="8"/>
      <c r="I119" s="7"/>
      <c r="J119" s="7"/>
      <c r="K119" s="8"/>
      <c r="L119" s="8"/>
      <c r="M119" s="7"/>
      <c r="N119" s="7"/>
      <c r="O119" s="7"/>
      <c r="P119" s="43"/>
      <c r="Q119" s="15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18"/>
    </row>
    <row r="120" spans="2:32" x14ac:dyDescent="0.2">
      <c r="B120" s="8"/>
      <c r="C120" s="8"/>
      <c r="D120" s="7"/>
      <c r="E120" s="7"/>
      <c r="F120" s="7"/>
      <c r="G120" s="8"/>
      <c r="I120" s="7"/>
      <c r="J120" s="7"/>
      <c r="K120" s="8"/>
      <c r="L120" s="8"/>
      <c r="M120" s="7"/>
      <c r="N120" s="7"/>
      <c r="O120" s="7"/>
      <c r="P120" s="43"/>
      <c r="Q120" s="15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18"/>
    </row>
    <row r="121" spans="2:32" x14ac:dyDescent="0.2">
      <c r="B121" s="8"/>
      <c r="C121" s="8"/>
      <c r="D121" s="7"/>
      <c r="E121" s="7"/>
      <c r="F121" s="7"/>
      <c r="G121" s="8"/>
      <c r="I121" s="7"/>
      <c r="J121" s="7"/>
      <c r="K121" s="8"/>
      <c r="L121" s="8"/>
      <c r="M121" s="7"/>
      <c r="N121" s="7"/>
      <c r="O121" s="7"/>
      <c r="P121" s="43"/>
      <c r="Q121" s="15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18"/>
    </row>
  </sheetData>
  <mergeCells count="40">
    <mergeCell ref="A3:D3"/>
    <mergeCell ref="A7:E7"/>
    <mergeCell ref="A8:E8"/>
    <mergeCell ref="B80:E80"/>
    <mergeCell ref="B106:E106"/>
    <mergeCell ref="B85:E85"/>
    <mergeCell ref="B75:F75"/>
    <mergeCell ref="B86:F86"/>
    <mergeCell ref="B91:F91"/>
    <mergeCell ref="A11:A13"/>
    <mergeCell ref="B101:F101"/>
    <mergeCell ref="X110:AA110"/>
    <mergeCell ref="B11:B13"/>
    <mergeCell ref="C11:C13"/>
    <mergeCell ref="D11:D12"/>
    <mergeCell ref="F110:H110"/>
    <mergeCell ref="K108:M108"/>
    <mergeCell ref="B74:E74"/>
    <mergeCell ref="E11:E12"/>
    <mergeCell ref="F11:F12"/>
    <mergeCell ref="Y12:AA12"/>
    <mergeCell ref="W12:W13"/>
    <mergeCell ref="X12:X13"/>
    <mergeCell ref="G11:G13"/>
    <mergeCell ref="B81:F81"/>
    <mergeCell ref="J2:W2"/>
    <mergeCell ref="I1:X1"/>
    <mergeCell ref="U12:U13"/>
    <mergeCell ref="R12:T12"/>
    <mergeCell ref="H11:W11"/>
    <mergeCell ref="I12:I13"/>
    <mergeCell ref="K12:L12"/>
    <mergeCell ref="V12:V13"/>
    <mergeCell ref="X11:AF11"/>
    <mergeCell ref="AC12:AC13"/>
    <mergeCell ref="AF12:AF13"/>
    <mergeCell ref="AB12:AB13"/>
    <mergeCell ref="M12:N12"/>
    <mergeCell ref="O12:P12"/>
    <mergeCell ref="H12:H13"/>
  </mergeCells>
  <pageMargins left="0.25" right="0.25" top="0.75" bottom="0.75" header="0.3" footer="0.3"/>
  <pageSetup paperSize="8" scale="35" orientation="landscape" r:id="rId1"/>
  <rowBreaks count="1" manualBreakCount="1">
    <brk id="74" max="31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RC121"/>
  <sheetViews>
    <sheetView view="pageBreakPreview" topLeftCell="A7" zoomScale="70" zoomScaleNormal="70" zoomScaleSheetLayoutView="70" workbookViewId="0">
      <pane xSplit="1" topLeftCell="B1" activePane="topRight" state="frozen"/>
      <selection pane="topRight" activeCell="A19" sqref="A19:XFD19"/>
    </sheetView>
  </sheetViews>
  <sheetFormatPr defaultColWidth="8.85546875" defaultRowHeight="15" x14ac:dyDescent="0.2"/>
  <cols>
    <col min="1" max="2" width="10.140625" style="277" customWidth="1"/>
    <col min="3" max="3" width="15.5703125" style="277" customWidth="1"/>
    <col min="4" max="4" width="7.85546875" style="138" customWidth="1"/>
    <col min="5" max="5" width="76.28515625" style="138" customWidth="1"/>
    <col min="6" max="6" width="8.42578125" style="138" customWidth="1"/>
    <col min="7" max="7" width="6.28515625" style="277" customWidth="1"/>
    <col min="8" max="8" width="10.42578125" style="277" bestFit="1" customWidth="1"/>
    <col min="9" max="9" width="12.5703125" style="138" customWidth="1"/>
    <col min="10" max="10" width="9.140625" style="138" customWidth="1"/>
    <col min="11" max="11" width="6.7109375" style="277" customWidth="1"/>
    <col min="12" max="12" width="7.28515625" style="277" customWidth="1"/>
    <col min="13" max="13" width="5.7109375" style="138" customWidth="1"/>
    <col min="14" max="14" width="7.42578125" style="138" customWidth="1"/>
    <col min="15" max="15" width="6" style="138" customWidth="1"/>
    <col min="16" max="16" width="6.85546875" style="149" bestFit="1" customWidth="1"/>
    <col min="17" max="17" width="9.42578125" style="150" customWidth="1"/>
    <col min="18" max="18" width="8.85546875" style="138" customWidth="1"/>
    <col min="19" max="19" width="8.7109375" style="138" customWidth="1"/>
    <col min="20" max="20" width="11" style="138" customWidth="1"/>
    <col min="21" max="21" width="9.85546875" style="138" customWidth="1"/>
    <col min="22" max="22" width="11.28515625" style="138" customWidth="1"/>
    <col min="23" max="23" width="8" style="138" bestFit="1" customWidth="1"/>
    <col min="24" max="24" width="10.85546875" style="138" customWidth="1"/>
    <col min="25" max="25" width="8.7109375" style="138" customWidth="1"/>
    <col min="26" max="26" width="10.85546875" style="138" bestFit="1" customWidth="1"/>
    <col min="27" max="27" width="12.85546875" style="138" customWidth="1"/>
    <col min="28" max="28" width="11.5703125" style="138" customWidth="1"/>
    <col min="29" max="29" width="9.42578125" style="138" bestFit="1" customWidth="1"/>
    <col min="30" max="30" width="6" style="138" customWidth="1"/>
    <col min="31" max="31" width="11.28515625" style="138" customWidth="1"/>
    <col min="32" max="32" width="60.28515625" style="140" customWidth="1"/>
    <col min="33" max="16384" width="8.85546875" style="138"/>
  </cols>
  <sheetData>
    <row r="1" spans="1:35" x14ac:dyDescent="0.2"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</row>
    <row r="2" spans="1:35" x14ac:dyDescent="0.2">
      <c r="J2" s="1823" t="s">
        <v>272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1:35" ht="24" customHeight="1" x14ac:dyDescent="0.2">
      <c r="A3" s="1825" t="s">
        <v>54</v>
      </c>
      <c r="B3" s="1825"/>
      <c r="C3" s="1825"/>
      <c r="D3" s="1825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276"/>
      <c r="S3" s="276"/>
      <c r="T3" s="276"/>
      <c r="U3" s="276"/>
      <c r="V3" s="276"/>
      <c r="W3" s="276"/>
      <c r="X3" s="276"/>
      <c r="Y3" s="276"/>
      <c r="AC3" s="143"/>
      <c r="AD3" s="143"/>
      <c r="AE3" s="143"/>
      <c r="AF3" s="144" t="s">
        <v>55</v>
      </c>
    </row>
    <row r="4" spans="1:35" ht="24" customHeight="1" x14ac:dyDescent="0.2">
      <c r="A4" s="278" t="s">
        <v>270</v>
      </c>
      <c r="B4" s="278"/>
      <c r="C4" s="278"/>
      <c r="D4" s="278"/>
      <c r="E4" s="278"/>
      <c r="I4" s="141"/>
      <c r="J4" s="141"/>
      <c r="K4" s="141"/>
      <c r="L4" s="141"/>
      <c r="M4" s="141"/>
      <c r="N4" s="141"/>
      <c r="O4" s="141"/>
      <c r="P4" s="141"/>
      <c r="Q4" s="141"/>
      <c r="R4" s="275"/>
      <c r="S4" s="275"/>
      <c r="T4" s="275"/>
      <c r="U4" s="275"/>
      <c r="V4" s="275"/>
      <c r="W4" s="275"/>
      <c r="AC4" s="143"/>
      <c r="AD4" s="143"/>
      <c r="AE4" s="143"/>
      <c r="AF4" s="147" t="s">
        <v>273</v>
      </c>
    </row>
    <row r="5" spans="1:35" ht="24" customHeight="1" x14ac:dyDescent="0.2">
      <c r="A5" s="278" t="s">
        <v>228</v>
      </c>
      <c r="B5" s="148"/>
      <c r="C5" s="148"/>
      <c r="D5" s="148"/>
      <c r="AC5" s="143"/>
      <c r="AD5" s="143"/>
      <c r="AE5" s="143"/>
      <c r="AF5" s="151" t="s">
        <v>229</v>
      </c>
    </row>
    <row r="6" spans="1:35" ht="24" customHeight="1" x14ac:dyDescent="0.2">
      <c r="A6" s="138"/>
      <c r="B6" s="278"/>
      <c r="C6" s="278"/>
      <c r="D6" s="278"/>
      <c r="I6" s="140"/>
      <c r="W6" s="147"/>
      <c r="Y6" s="148"/>
      <c r="Z6" s="148"/>
      <c r="AA6" s="148"/>
      <c r="AB6" s="148"/>
      <c r="AC6" s="152"/>
      <c r="AD6" s="152"/>
      <c r="AE6" s="152"/>
      <c r="AF6" s="153"/>
      <c r="AG6" s="277"/>
      <c r="AH6" s="277"/>
      <c r="AI6" s="277"/>
    </row>
    <row r="7" spans="1:35" ht="24" customHeight="1" x14ac:dyDescent="0.2">
      <c r="A7" s="1826" t="s">
        <v>261</v>
      </c>
      <c r="B7" s="1826"/>
      <c r="C7" s="1826"/>
      <c r="D7" s="1826"/>
      <c r="E7" s="1826"/>
      <c r="I7" s="140"/>
      <c r="W7" s="147"/>
      <c r="Y7" s="148"/>
      <c r="Z7" s="148"/>
      <c r="AA7" s="148"/>
      <c r="AB7" s="148"/>
      <c r="AC7" s="152"/>
      <c r="AD7" s="152"/>
      <c r="AE7" s="152"/>
      <c r="AF7" s="147"/>
      <c r="AG7" s="277"/>
      <c r="AH7" s="277"/>
      <c r="AI7" s="277"/>
    </row>
    <row r="8" spans="1:35" ht="24" customHeight="1" x14ac:dyDescent="0.2">
      <c r="A8" s="1826" t="s">
        <v>228</v>
      </c>
      <c r="B8" s="1826"/>
      <c r="C8" s="1826"/>
      <c r="D8" s="1826"/>
      <c r="E8" s="1826"/>
      <c r="I8" s="140"/>
      <c r="W8" s="147"/>
      <c r="Y8" s="148"/>
      <c r="Z8" s="148"/>
      <c r="AA8" s="148"/>
      <c r="AB8" s="148"/>
      <c r="AC8" s="152"/>
      <c r="AD8" s="152"/>
      <c r="AE8" s="152"/>
      <c r="AF8" s="151"/>
      <c r="AG8" s="277"/>
      <c r="AH8" s="277"/>
      <c r="AI8" s="277"/>
    </row>
    <row r="9" spans="1:35" ht="24" customHeight="1" x14ac:dyDescent="0.2">
      <c r="A9" s="154"/>
      <c r="B9" s="154"/>
      <c r="C9" s="154"/>
      <c r="D9" s="154"/>
      <c r="E9" s="154"/>
      <c r="M9" s="277"/>
      <c r="N9" s="277"/>
      <c r="O9" s="277"/>
      <c r="P9" s="277"/>
      <c r="Q9" s="277"/>
      <c r="R9" s="277"/>
      <c r="S9" s="277"/>
      <c r="T9" s="277"/>
      <c r="U9" s="277"/>
      <c r="V9" s="277"/>
      <c r="Y9" s="148"/>
      <c r="Z9" s="148"/>
      <c r="AA9" s="148"/>
      <c r="AB9" s="148"/>
      <c r="AC9" s="152"/>
      <c r="AD9" s="152"/>
      <c r="AE9" s="152"/>
      <c r="AF9" s="153"/>
      <c r="AG9" s="277"/>
      <c r="AH9" s="277"/>
      <c r="AI9" s="277"/>
    </row>
    <row r="10" spans="1:35" ht="24" customHeight="1" x14ac:dyDescent="0.2">
      <c r="D10" s="277"/>
      <c r="I10" s="140"/>
      <c r="W10" s="147"/>
      <c r="Y10" s="148"/>
      <c r="Z10" s="148"/>
      <c r="AA10" s="148"/>
      <c r="AB10" s="148"/>
      <c r="AC10" s="152"/>
      <c r="AD10" s="152"/>
      <c r="AE10" s="152"/>
      <c r="AF10" s="155"/>
      <c r="AG10" s="277"/>
      <c r="AH10" s="277"/>
      <c r="AI10" s="277"/>
    </row>
    <row r="11" spans="1:35" ht="15.75" customHeight="1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5" s="277" customFormat="1" ht="90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281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272" t="s">
        <v>18</v>
      </c>
      <c r="AE12" s="272" t="s">
        <v>20</v>
      </c>
      <c r="AF12" s="1819" t="s">
        <v>21</v>
      </c>
    </row>
    <row r="13" spans="1:35" s="162" customFormat="1" ht="30" customHeight="1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8" t="s">
        <v>7</v>
      </c>
      <c r="K13" s="158" t="s">
        <v>30</v>
      </c>
      <c r="L13" s="159" t="s">
        <v>29</v>
      </c>
      <c r="M13" s="159" t="s">
        <v>31</v>
      </c>
      <c r="N13" s="159" t="s">
        <v>32</v>
      </c>
      <c r="O13" s="158" t="s">
        <v>12</v>
      </c>
      <c r="P13" s="160" t="s">
        <v>13</v>
      </c>
      <c r="Q13" s="161" t="s">
        <v>26</v>
      </c>
      <c r="R13" s="158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5" s="173" customFormat="1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377</v>
      </c>
      <c r="M14" s="166"/>
      <c r="N14" s="163">
        <v>7.1</v>
      </c>
      <c r="O14" s="166"/>
      <c r="P14" s="167">
        <v>25.098132</v>
      </c>
      <c r="Q14" s="168">
        <f t="shared" ref="Q14:Q37" si="0">LEFT(H14,(FIND("K",H14,1)-1))*J14/100</f>
        <v>33</v>
      </c>
      <c r="R14" s="169">
        <v>2.681</v>
      </c>
      <c r="S14" s="168">
        <v>4.1470000000000002</v>
      </c>
      <c r="T14" s="168">
        <v>4</v>
      </c>
      <c r="U14" s="168">
        <f>T14/R14</f>
        <v>1.4919806042521446</v>
      </c>
      <c r="V14" s="169">
        <f>(S14-R14)/S14*100</f>
        <v>35.350856040511211</v>
      </c>
      <c r="W14" s="170">
        <v>0.3</v>
      </c>
      <c r="X14" s="171">
        <f t="shared" ref="X14:X45" si="1">S14/Q14</f>
        <v>0.12566666666666668</v>
      </c>
      <c r="Y14" s="171">
        <f>R14*0.949</f>
        <v>2.5442689999999999</v>
      </c>
      <c r="Z14" s="171">
        <f>S14*0.949</f>
        <v>3.9355030000000002</v>
      </c>
      <c r="AA14" s="171">
        <f>T14*0.949</f>
        <v>3.7959999999999998</v>
      </c>
      <c r="AB14" s="171">
        <f>U14</f>
        <v>1.4919806042521446</v>
      </c>
      <c r="AC14" s="171">
        <f t="shared" ref="AC14:AC73" si="2">V14</f>
        <v>35.350856040511211</v>
      </c>
      <c r="AD14" s="163">
        <v>30</v>
      </c>
      <c r="AE14" s="171">
        <f>Y14*AD14</f>
        <v>76.328069999999997</v>
      </c>
      <c r="AF14" s="172"/>
    </row>
    <row r="15" spans="1:35" s="173" customFormat="1" ht="15.9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 t="s">
        <v>240</v>
      </c>
      <c r="K15" s="163">
        <v>303</v>
      </c>
      <c r="L15" s="166"/>
      <c r="M15" s="166">
        <v>0.3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Y73" si="3">R15*0.949</f>
        <v>0</v>
      </c>
      <c r="Z15" s="171">
        <f t="shared" ref="Z15:Z73" si="4">S15*0.949</f>
        <v>0</v>
      </c>
      <c r="AA15" s="171">
        <f t="shared" ref="AA15:AA73" si="5">T15*0.949</f>
        <v>0</v>
      </c>
      <c r="AB15" s="171">
        <f t="shared" ref="AB15:AB73" si="6">U15</f>
        <v>0</v>
      </c>
      <c r="AC15" s="171">
        <f t="shared" si="2"/>
        <v>0</v>
      </c>
      <c r="AD15" s="163">
        <v>0</v>
      </c>
      <c r="AE15" s="171">
        <f t="shared" ref="AE15:AE56" si="7">Y15*AD15</f>
        <v>0</v>
      </c>
      <c r="AF15" s="172" t="s">
        <v>215</v>
      </c>
    </row>
    <row r="16" spans="1:35" s="173" customFormat="1" ht="15.9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>
        <v>275</v>
      </c>
      <c r="K16" s="163"/>
      <c r="L16" s="166">
        <v>77</v>
      </c>
      <c r="M16" s="166"/>
      <c r="N16" s="182">
        <v>9</v>
      </c>
      <c r="O16" s="166"/>
      <c r="P16" s="167">
        <v>53.054263877551023</v>
      </c>
      <c r="Q16" s="168">
        <f>LEFT(H16,(FIND("K",H16,1)-1))*J16/100</f>
        <v>88</v>
      </c>
      <c r="R16" s="169">
        <v>23.247</v>
      </c>
      <c r="S16" s="168">
        <v>28.358000000000001</v>
      </c>
      <c r="T16" s="168">
        <v>4890</v>
      </c>
      <c r="U16" s="168">
        <f t="shared" ref="U16:U73" si="8">T16/R16</f>
        <v>210.3497225448445</v>
      </c>
      <c r="V16" s="169">
        <f t="shared" ref="V16:V73" si="9">(S16-R16)/S16*100</f>
        <v>18.023132802031174</v>
      </c>
      <c r="W16" s="170">
        <v>0.2</v>
      </c>
      <c r="X16" s="171">
        <f t="shared" si="1"/>
        <v>0.32224999999999998</v>
      </c>
      <c r="Y16" s="171">
        <f t="shared" si="3"/>
        <v>22.061402999999999</v>
      </c>
      <c r="Z16" s="171">
        <f t="shared" si="4"/>
        <v>26.911742</v>
      </c>
      <c r="AA16" s="171">
        <f t="shared" si="5"/>
        <v>4640.6099999999997</v>
      </c>
      <c r="AB16" s="171">
        <f t="shared" si="6"/>
        <v>210.3497225448445</v>
      </c>
      <c r="AC16" s="171">
        <f t="shared" si="2"/>
        <v>18.023132802031174</v>
      </c>
      <c r="AD16" s="163">
        <v>30</v>
      </c>
      <c r="AE16" s="171">
        <f>Y16*AD16</f>
        <v>661.84208999999998</v>
      </c>
      <c r="AF16" s="172"/>
    </row>
    <row r="17" spans="1:32" s="173" customFormat="1" ht="15.9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 t="s">
        <v>242</v>
      </c>
      <c r="K17" s="163"/>
      <c r="L17" s="166">
        <v>470</v>
      </c>
      <c r="M17" s="166"/>
      <c r="N17" s="182">
        <v>3.7</v>
      </c>
      <c r="O17" s="166"/>
      <c r="P17" s="167">
        <v>12.886433999999998</v>
      </c>
      <c r="Q17" s="168">
        <f t="shared" si="0"/>
        <v>22.75</v>
      </c>
      <c r="R17" s="169">
        <v>4.3239999999999998</v>
      </c>
      <c r="S17" s="168">
        <v>5.9</v>
      </c>
      <c r="T17" s="168">
        <v>40</v>
      </c>
      <c r="U17" s="168">
        <f t="shared" si="8"/>
        <v>9.250693802035153</v>
      </c>
      <c r="V17" s="169">
        <f t="shared" si="9"/>
        <v>26.711864406779668</v>
      </c>
      <c r="W17" s="170">
        <v>0.2</v>
      </c>
      <c r="X17" s="171">
        <f t="shared" si="1"/>
        <v>0.25934065934065936</v>
      </c>
      <c r="Y17" s="171">
        <f t="shared" si="3"/>
        <v>4.1034759999999997</v>
      </c>
      <c r="Z17" s="171">
        <f t="shared" si="4"/>
        <v>5.5991</v>
      </c>
      <c r="AA17" s="171">
        <f t="shared" si="5"/>
        <v>37.96</v>
      </c>
      <c r="AB17" s="171">
        <f t="shared" si="6"/>
        <v>9.250693802035153</v>
      </c>
      <c r="AC17" s="171">
        <f t="shared" si="2"/>
        <v>26.711864406779668</v>
      </c>
      <c r="AD17" s="163">
        <v>30</v>
      </c>
      <c r="AE17" s="171">
        <f t="shared" si="7"/>
        <v>123.10427999999999</v>
      </c>
      <c r="AF17" s="172"/>
    </row>
    <row r="18" spans="1:32" s="173" customFormat="1" ht="15.75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 t="s">
        <v>243</v>
      </c>
      <c r="K18" s="163"/>
      <c r="L18" s="166">
        <v>437</v>
      </c>
      <c r="M18" s="166"/>
      <c r="N18" s="163">
        <v>5.4</v>
      </c>
      <c r="O18" s="166"/>
      <c r="P18" s="167">
        <v>18.008378775510202</v>
      </c>
      <c r="Q18" s="168">
        <f t="shared" si="0"/>
        <v>9</v>
      </c>
      <c r="R18" s="169">
        <v>3.84</v>
      </c>
      <c r="S18" s="168">
        <v>5</v>
      </c>
      <c r="T18" s="168">
        <v>21</v>
      </c>
      <c r="U18" s="168">
        <f t="shared" si="8"/>
        <v>5.46875</v>
      </c>
      <c r="V18" s="169">
        <f t="shared" si="9"/>
        <v>23.200000000000003</v>
      </c>
      <c r="W18" s="170">
        <v>0.3</v>
      </c>
      <c r="X18" s="171">
        <f t="shared" si="1"/>
        <v>0.55555555555555558</v>
      </c>
      <c r="Y18" s="171">
        <f t="shared" si="3"/>
        <v>3.6441599999999998</v>
      </c>
      <c r="Z18" s="171">
        <f t="shared" si="4"/>
        <v>4.7450000000000001</v>
      </c>
      <c r="AA18" s="171">
        <f t="shared" si="5"/>
        <v>19.928999999999998</v>
      </c>
      <c r="AB18" s="171">
        <f t="shared" si="6"/>
        <v>5.46875</v>
      </c>
      <c r="AC18" s="171">
        <f t="shared" si="2"/>
        <v>23.200000000000003</v>
      </c>
      <c r="AD18" s="163">
        <v>30</v>
      </c>
      <c r="AE18" s="171">
        <f t="shared" si="7"/>
        <v>109.3248</v>
      </c>
      <c r="AF18" s="172"/>
    </row>
    <row r="19" spans="1:32" s="173" customFormat="1" ht="15.75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 t="s">
        <v>244</v>
      </c>
      <c r="K19" s="163"/>
      <c r="L19" s="166">
        <v>436</v>
      </c>
      <c r="M19" s="166"/>
      <c r="N19" s="163">
        <v>1.6</v>
      </c>
      <c r="O19" s="166"/>
      <c r="P19" s="167">
        <v>16.097317224489796</v>
      </c>
      <c r="Q19" s="168">
        <f t="shared" si="0"/>
        <v>12</v>
      </c>
      <c r="R19" s="169">
        <v>2.4540000000000002</v>
      </c>
      <c r="S19" s="168">
        <v>3.7</v>
      </c>
      <c r="T19" s="168">
        <v>0</v>
      </c>
      <c r="U19" s="168">
        <f t="shared" si="8"/>
        <v>0</v>
      </c>
      <c r="V19" s="169">
        <f t="shared" si="9"/>
        <v>33.675675675675677</v>
      </c>
      <c r="W19" s="170">
        <v>0.3</v>
      </c>
      <c r="X19" s="171">
        <f>S19/Q19</f>
        <v>0.30833333333333335</v>
      </c>
      <c r="Y19" s="171">
        <f t="shared" si="3"/>
        <v>2.328846</v>
      </c>
      <c r="Z19" s="171">
        <f t="shared" si="4"/>
        <v>3.5112999999999999</v>
      </c>
      <c r="AA19" s="171">
        <f t="shared" si="5"/>
        <v>0</v>
      </c>
      <c r="AB19" s="171">
        <f t="shared" si="6"/>
        <v>0</v>
      </c>
      <c r="AC19" s="171">
        <f t="shared" si="2"/>
        <v>33.675675675675677</v>
      </c>
      <c r="AD19" s="163">
        <v>30</v>
      </c>
      <c r="AE19" s="171">
        <f t="shared" si="7"/>
        <v>69.865380000000002</v>
      </c>
      <c r="AF19" s="172"/>
    </row>
    <row r="20" spans="1:32" s="173" customFormat="1" ht="15.75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 t="s">
        <v>239</v>
      </c>
      <c r="K20" s="163"/>
      <c r="L20" s="166">
        <v>387</v>
      </c>
      <c r="M20" s="166"/>
      <c r="N20" s="163">
        <v>7.2</v>
      </c>
      <c r="O20" s="166"/>
      <c r="P20" s="167">
        <v>24.360588775510202</v>
      </c>
      <c r="Q20" s="168">
        <f t="shared" si="0"/>
        <v>22</v>
      </c>
      <c r="R20" s="169">
        <v>6</v>
      </c>
      <c r="S20" s="168">
        <v>7.8</v>
      </c>
      <c r="T20" s="168">
        <v>6</v>
      </c>
      <c r="U20" s="168">
        <f t="shared" si="8"/>
        <v>1</v>
      </c>
      <c r="V20" s="169">
        <f t="shared" si="9"/>
        <v>23.076923076923077</v>
      </c>
      <c r="W20" s="170">
        <v>0.2</v>
      </c>
      <c r="X20" s="171">
        <f t="shared" si="1"/>
        <v>0.35454545454545455</v>
      </c>
      <c r="Y20" s="171">
        <f t="shared" si="3"/>
        <v>5.694</v>
      </c>
      <c r="Z20" s="171">
        <f t="shared" si="4"/>
        <v>7.4021999999999997</v>
      </c>
      <c r="AA20" s="171">
        <f t="shared" si="5"/>
        <v>5.694</v>
      </c>
      <c r="AB20" s="171">
        <f t="shared" si="6"/>
        <v>1</v>
      </c>
      <c r="AC20" s="171">
        <f t="shared" si="2"/>
        <v>23.076923076923077</v>
      </c>
      <c r="AD20" s="163">
        <v>30</v>
      </c>
      <c r="AE20" s="171">
        <f t="shared" si="7"/>
        <v>170.82</v>
      </c>
      <c r="AF20" s="172"/>
    </row>
    <row r="21" spans="1:32" s="178" customFormat="1" ht="15.9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 t="s">
        <v>245</v>
      </c>
      <c r="K21" s="175"/>
      <c r="L21" s="166">
        <v>488</v>
      </c>
      <c r="M21" s="176"/>
      <c r="N21" s="163">
        <v>8.3000000000000007</v>
      </c>
      <c r="O21" s="176"/>
      <c r="P21" s="167">
        <v>17.014694795918366</v>
      </c>
      <c r="Q21" s="168">
        <f t="shared" si="0"/>
        <v>39.6</v>
      </c>
      <c r="R21" s="169">
        <v>11.266</v>
      </c>
      <c r="S21" s="168">
        <v>17.364999999999998</v>
      </c>
      <c r="T21" s="168">
        <v>328</v>
      </c>
      <c r="U21" s="168">
        <f t="shared" si="8"/>
        <v>29.114148766199182</v>
      </c>
      <c r="V21" s="169">
        <f t="shared" si="9"/>
        <v>35.122372588540159</v>
      </c>
      <c r="W21" s="170">
        <v>0.3</v>
      </c>
      <c r="X21" s="171">
        <f t="shared" si="1"/>
        <v>0.43851010101010096</v>
      </c>
      <c r="Y21" s="171">
        <f t="shared" si="3"/>
        <v>10.691433999999999</v>
      </c>
      <c r="Z21" s="171">
        <f t="shared" si="4"/>
        <v>16.479384999999997</v>
      </c>
      <c r="AA21" s="171">
        <f t="shared" si="5"/>
        <v>311.27199999999999</v>
      </c>
      <c r="AB21" s="171">
        <f t="shared" si="6"/>
        <v>29.114148766199182</v>
      </c>
      <c r="AC21" s="171">
        <f t="shared" si="2"/>
        <v>35.122372588540159</v>
      </c>
      <c r="AD21" s="163">
        <v>30</v>
      </c>
      <c r="AE21" s="171">
        <f t="shared" si="7"/>
        <v>320.74302</v>
      </c>
      <c r="AF21" s="177"/>
    </row>
    <row r="22" spans="1:32" s="173" customFormat="1" ht="15.75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 t="s">
        <v>239</v>
      </c>
      <c r="K22" s="163"/>
      <c r="L22" s="166">
        <v>480</v>
      </c>
      <c r="M22" s="166"/>
      <c r="N22" s="163">
        <v>6.9</v>
      </c>
      <c r="O22" s="166"/>
      <c r="P22" s="167">
        <v>15.644322668367348</v>
      </c>
      <c r="Q22" s="168">
        <f t="shared" si="0"/>
        <v>22</v>
      </c>
      <c r="R22" s="169">
        <v>6.5</v>
      </c>
      <c r="S22" s="168">
        <v>9</v>
      </c>
      <c r="T22" s="168">
        <v>15</v>
      </c>
      <c r="U22" s="168">
        <v>0</v>
      </c>
      <c r="V22" s="169">
        <f t="shared" si="9"/>
        <v>27.777777777777779</v>
      </c>
      <c r="W22" s="170">
        <v>0.3</v>
      </c>
      <c r="X22" s="171">
        <v>0</v>
      </c>
      <c r="Y22" s="171">
        <f t="shared" si="3"/>
        <v>6.1684999999999999</v>
      </c>
      <c r="Z22" s="171">
        <f t="shared" si="4"/>
        <v>8.5410000000000004</v>
      </c>
      <c r="AA22" s="171">
        <f t="shared" si="5"/>
        <v>14.234999999999999</v>
      </c>
      <c r="AB22" s="171">
        <f t="shared" si="6"/>
        <v>0</v>
      </c>
      <c r="AC22" s="171">
        <f t="shared" si="2"/>
        <v>27.777777777777779</v>
      </c>
      <c r="AD22" s="163">
        <v>30</v>
      </c>
      <c r="AE22" s="171">
        <f t="shared" si="7"/>
        <v>185.05500000000001</v>
      </c>
      <c r="AF22" s="172"/>
    </row>
    <row r="23" spans="1:32" s="173" customFormat="1" ht="15.75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 t="s">
        <v>246</v>
      </c>
      <c r="K23" s="163"/>
      <c r="L23" s="166">
        <v>294</v>
      </c>
      <c r="M23" s="166"/>
      <c r="N23" s="163">
        <v>7.8</v>
      </c>
      <c r="O23" s="166"/>
      <c r="P23" s="167">
        <v>33.111121198979589</v>
      </c>
      <c r="Q23" s="168">
        <f t="shared" si="0"/>
        <v>27.5</v>
      </c>
      <c r="R23" s="169">
        <v>0.33100000000000002</v>
      </c>
      <c r="S23" s="168">
        <v>0.8</v>
      </c>
      <c r="T23" s="168">
        <v>0</v>
      </c>
      <c r="U23" s="168">
        <f t="shared" si="8"/>
        <v>0</v>
      </c>
      <c r="V23" s="169">
        <f t="shared" si="9"/>
        <v>58.625000000000007</v>
      </c>
      <c r="W23" s="170">
        <v>0.2</v>
      </c>
      <c r="X23" s="171">
        <f t="shared" si="1"/>
        <v>2.9090909090909091E-2</v>
      </c>
      <c r="Y23" s="171">
        <f t="shared" si="3"/>
        <v>0.31411899999999998</v>
      </c>
      <c r="Z23" s="171">
        <f t="shared" si="4"/>
        <v>0.75919999999999999</v>
      </c>
      <c r="AA23" s="171">
        <f t="shared" si="5"/>
        <v>0</v>
      </c>
      <c r="AB23" s="171">
        <f t="shared" si="6"/>
        <v>0</v>
      </c>
      <c r="AC23" s="171">
        <f t="shared" si="2"/>
        <v>58.625000000000007</v>
      </c>
      <c r="AD23" s="163">
        <v>30</v>
      </c>
      <c r="AE23" s="171">
        <f t="shared" si="7"/>
        <v>9.4235699999999998</v>
      </c>
      <c r="AF23" s="179"/>
    </row>
    <row r="24" spans="1:32" s="173" customFormat="1" ht="15.75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 t="s">
        <v>247</v>
      </c>
      <c r="K24" s="163"/>
      <c r="L24" s="166">
        <v>397</v>
      </c>
      <c r="M24" s="166"/>
      <c r="N24" s="163">
        <v>0.4</v>
      </c>
      <c r="O24" s="166"/>
      <c r="P24" s="167">
        <v>18.373504897959183</v>
      </c>
      <c r="Q24" s="168">
        <f t="shared" si="0"/>
        <v>11.18</v>
      </c>
      <c r="R24" s="169">
        <v>5.0049999999999999</v>
      </c>
      <c r="S24" s="168">
        <v>7.1</v>
      </c>
      <c r="T24" s="168">
        <v>0</v>
      </c>
      <c r="U24" s="168">
        <f t="shared" si="8"/>
        <v>0</v>
      </c>
      <c r="V24" s="169">
        <f t="shared" si="9"/>
        <v>29.507042253521128</v>
      </c>
      <c r="W24" s="170">
        <v>0.3</v>
      </c>
      <c r="X24" s="171">
        <f t="shared" si="1"/>
        <v>0.63506261180679779</v>
      </c>
      <c r="Y24" s="171">
        <f t="shared" si="3"/>
        <v>4.7497449999999999</v>
      </c>
      <c r="Z24" s="171">
        <f t="shared" si="4"/>
        <v>6.7378999999999998</v>
      </c>
      <c r="AA24" s="171">
        <f t="shared" si="5"/>
        <v>0</v>
      </c>
      <c r="AB24" s="171">
        <f t="shared" si="6"/>
        <v>0</v>
      </c>
      <c r="AC24" s="171">
        <f t="shared" si="2"/>
        <v>29.507042253521128</v>
      </c>
      <c r="AD24" s="163">
        <v>30</v>
      </c>
      <c r="AE24" s="171">
        <f t="shared" si="7"/>
        <v>142.49234999999999</v>
      </c>
      <c r="AF24" s="172"/>
    </row>
    <row r="25" spans="1:32" s="173" customFormat="1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 t="s">
        <v>248</v>
      </c>
      <c r="K25" s="163"/>
      <c r="L25" s="166">
        <v>227</v>
      </c>
      <c r="M25" s="166"/>
      <c r="N25" s="163">
        <v>2.2000000000000002</v>
      </c>
      <c r="O25" s="166"/>
      <c r="P25" s="167">
        <v>36.433923877551017</v>
      </c>
      <c r="Q25" s="168">
        <f t="shared" si="0"/>
        <v>18.7</v>
      </c>
      <c r="R25" s="169">
        <v>5.3259999999999996</v>
      </c>
      <c r="S25" s="168">
        <v>8.4</v>
      </c>
      <c r="T25" s="168">
        <v>4</v>
      </c>
      <c r="U25" s="168">
        <f t="shared" si="8"/>
        <v>0.75103266992114159</v>
      </c>
      <c r="V25" s="169">
        <f t="shared" si="9"/>
        <v>36.595238095238102</v>
      </c>
      <c r="W25" s="170">
        <v>0.5</v>
      </c>
      <c r="X25" s="171">
        <f t="shared" si="1"/>
        <v>0.44919786096256686</v>
      </c>
      <c r="Y25" s="171">
        <f t="shared" si="3"/>
        <v>5.0543739999999993</v>
      </c>
      <c r="Z25" s="171">
        <f t="shared" si="4"/>
        <v>7.9715999999999996</v>
      </c>
      <c r="AA25" s="171">
        <f t="shared" si="5"/>
        <v>3.7959999999999998</v>
      </c>
      <c r="AB25" s="171">
        <f t="shared" si="6"/>
        <v>0.75103266992114159</v>
      </c>
      <c r="AC25" s="171">
        <f t="shared" si="2"/>
        <v>36.595238095238102</v>
      </c>
      <c r="AD25" s="163">
        <v>30</v>
      </c>
      <c r="AE25" s="171">
        <f t="shared" si="7"/>
        <v>151.63121999999998</v>
      </c>
      <c r="AF25" s="172"/>
    </row>
    <row r="26" spans="1:32" s="173" customFormat="1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526.69000000000005</v>
      </c>
      <c r="J26" s="163" t="s">
        <v>245</v>
      </c>
      <c r="K26" s="163"/>
      <c r="L26" s="166">
        <v>429</v>
      </c>
      <c r="M26" s="166"/>
      <c r="N26" s="163">
        <v>10.3</v>
      </c>
      <c r="O26" s="166"/>
      <c r="P26" s="167">
        <v>20.647086612244898</v>
      </c>
      <c r="Q26" s="168">
        <f t="shared" si="0"/>
        <v>57.6</v>
      </c>
      <c r="R26" s="169">
        <v>12.4</v>
      </c>
      <c r="S26" s="168">
        <v>15.7</v>
      </c>
      <c r="T26" s="168">
        <v>1028</v>
      </c>
      <c r="U26" s="168">
        <f t="shared" si="8"/>
        <v>82.903225806451616</v>
      </c>
      <c r="V26" s="169">
        <f t="shared" si="9"/>
        <v>21.019108280254773</v>
      </c>
      <c r="W26" s="170">
        <v>0.2</v>
      </c>
      <c r="X26" s="171">
        <f t="shared" si="1"/>
        <v>0.27256944444444442</v>
      </c>
      <c r="Y26" s="171">
        <f t="shared" si="3"/>
        <v>11.7676</v>
      </c>
      <c r="Z26" s="171">
        <f t="shared" si="4"/>
        <v>14.899299999999998</v>
      </c>
      <c r="AA26" s="171">
        <f t="shared" si="5"/>
        <v>975.572</v>
      </c>
      <c r="AB26" s="171">
        <f t="shared" si="6"/>
        <v>82.903225806451616</v>
      </c>
      <c r="AC26" s="171">
        <f t="shared" si="2"/>
        <v>21.019108280254773</v>
      </c>
      <c r="AD26" s="163">
        <v>30</v>
      </c>
      <c r="AE26" s="171">
        <f t="shared" si="7"/>
        <v>353.02800000000002</v>
      </c>
      <c r="AF26" s="172"/>
    </row>
    <row r="27" spans="1:32" s="173" customFormat="1" ht="16.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 t="s">
        <v>249</v>
      </c>
      <c r="K27" s="163"/>
      <c r="L27" s="166">
        <v>60</v>
      </c>
      <c r="M27" s="166"/>
      <c r="N27" s="163">
        <v>10</v>
      </c>
      <c r="O27" s="166"/>
      <c r="P27" s="167">
        <v>54.968923428571429</v>
      </c>
      <c r="Q27" s="168">
        <f t="shared" si="0"/>
        <v>74.8</v>
      </c>
      <c r="R27" s="169">
        <v>19</v>
      </c>
      <c r="S27" s="168">
        <v>23.8</v>
      </c>
      <c r="T27" s="168">
        <v>3500</v>
      </c>
      <c r="U27" s="168">
        <f t="shared" si="8"/>
        <v>184.21052631578948</v>
      </c>
      <c r="V27" s="169">
        <f t="shared" si="9"/>
        <v>20.168067226890759</v>
      </c>
      <c r="W27" s="170">
        <v>0.2</v>
      </c>
      <c r="X27" s="171">
        <f t="shared" si="1"/>
        <v>0.31818181818181818</v>
      </c>
      <c r="Y27" s="171">
        <f t="shared" si="3"/>
        <v>18.030999999999999</v>
      </c>
      <c r="Z27" s="171">
        <f t="shared" si="4"/>
        <v>22.586199999999998</v>
      </c>
      <c r="AA27" s="171">
        <f t="shared" si="5"/>
        <v>3321.5</v>
      </c>
      <c r="AB27" s="171">
        <f t="shared" si="6"/>
        <v>184.21052631578948</v>
      </c>
      <c r="AC27" s="171">
        <f t="shared" si="2"/>
        <v>20.168067226890759</v>
      </c>
      <c r="AD27" s="163">
        <v>30</v>
      </c>
      <c r="AE27" s="171">
        <f t="shared" si="7"/>
        <v>540.92999999999995</v>
      </c>
      <c r="AF27" s="172"/>
    </row>
    <row r="28" spans="1:32" s="173" customFormat="1" ht="15.75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 t="s">
        <v>248</v>
      </c>
      <c r="K28" s="163"/>
      <c r="L28" s="166">
        <v>451</v>
      </c>
      <c r="M28" s="166"/>
      <c r="N28" s="163">
        <v>6.9</v>
      </c>
      <c r="O28" s="166"/>
      <c r="P28" s="167">
        <v>19.940396499999999</v>
      </c>
      <c r="Q28" s="168">
        <f t="shared" si="0"/>
        <v>11.05</v>
      </c>
      <c r="R28" s="169">
        <v>4.9000000000000004</v>
      </c>
      <c r="S28" s="168">
        <v>6.4</v>
      </c>
      <c r="T28" s="168">
        <v>14</v>
      </c>
      <c r="U28" s="168">
        <f t="shared" si="8"/>
        <v>2.8571428571428568</v>
      </c>
      <c r="V28" s="169">
        <f t="shared" si="9"/>
        <v>23.4375</v>
      </c>
      <c r="W28" s="170">
        <v>0.4</v>
      </c>
      <c r="X28" s="171">
        <f t="shared" si="1"/>
        <v>0.57918552036199089</v>
      </c>
      <c r="Y28" s="171">
        <f t="shared" si="3"/>
        <v>4.6501000000000001</v>
      </c>
      <c r="Z28" s="171">
        <f t="shared" si="4"/>
        <v>6.0735999999999999</v>
      </c>
      <c r="AA28" s="171">
        <f t="shared" si="5"/>
        <v>13.286</v>
      </c>
      <c r="AB28" s="171">
        <f t="shared" si="6"/>
        <v>2.8571428571428568</v>
      </c>
      <c r="AC28" s="171">
        <f t="shared" si="2"/>
        <v>23.4375</v>
      </c>
      <c r="AD28" s="163">
        <v>30</v>
      </c>
      <c r="AE28" s="171">
        <f>Y28*AD28</f>
        <v>139.50300000000001</v>
      </c>
      <c r="AF28" s="179"/>
    </row>
    <row r="29" spans="1:32" s="178" customFormat="1" ht="15.75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 t="s">
        <v>250</v>
      </c>
      <c r="K29" s="164"/>
      <c r="L29" s="164">
        <v>505</v>
      </c>
      <c r="M29" s="164"/>
      <c r="N29" s="164">
        <v>10.1</v>
      </c>
      <c r="O29" s="164"/>
      <c r="P29" s="164">
        <v>16.194755102040816</v>
      </c>
      <c r="Q29" s="164">
        <f t="shared" si="0"/>
        <v>96</v>
      </c>
      <c r="R29" s="181">
        <v>17.353000000000002</v>
      </c>
      <c r="S29" s="168">
        <v>21.418000000000003</v>
      </c>
      <c r="T29" s="164">
        <v>922</v>
      </c>
      <c r="U29" s="181">
        <f t="shared" si="8"/>
        <v>53.132023281277007</v>
      </c>
      <c r="V29" s="181">
        <f t="shared" si="9"/>
        <v>18.979363152488567</v>
      </c>
      <c r="W29" s="164">
        <v>0.2</v>
      </c>
      <c r="X29" s="181">
        <f t="shared" si="1"/>
        <v>0.22310416666666669</v>
      </c>
      <c r="Y29" s="171">
        <f t="shared" si="3"/>
        <v>16.467997</v>
      </c>
      <c r="Z29" s="171">
        <f t="shared" si="4"/>
        <v>20.325682</v>
      </c>
      <c r="AA29" s="171">
        <f t="shared" si="5"/>
        <v>874.97799999999995</v>
      </c>
      <c r="AB29" s="181">
        <f t="shared" si="6"/>
        <v>53.132023281277007</v>
      </c>
      <c r="AC29" s="181">
        <f t="shared" si="2"/>
        <v>18.979363152488567</v>
      </c>
      <c r="AD29" s="164">
        <v>30</v>
      </c>
      <c r="AE29" s="181">
        <f>Y29*AD29</f>
        <v>494.03991000000002</v>
      </c>
      <c r="AF29" s="164"/>
    </row>
    <row r="30" spans="1:32" s="178" customFormat="1" ht="15.75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71</v>
      </c>
      <c r="L30" s="166"/>
      <c r="M30" s="166">
        <v>0.6</v>
      </c>
      <c r="N30" s="166"/>
      <c r="O30" s="166"/>
      <c r="P30" s="166"/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 t="shared" si="3"/>
        <v>0</v>
      </c>
      <c r="Z30" s="171">
        <f t="shared" si="4"/>
        <v>0</v>
      </c>
      <c r="AA30" s="171">
        <f t="shared" si="5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s="173" customFormat="1" ht="15.75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103</v>
      </c>
      <c r="L31" s="166"/>
      <c r="M31" s="166">
        <v>0.6</v>
      </c>
      <c r="N31" s="166"/>
      <c r="O31" s="166"/>
      <c r="P31" s="167"/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si="3"/>
        <v>0</v>
      </c>
      <c r="Z31" s="171">
        <f t="shared" si="4"/>
        <v>0</v>
      </c>
      <c r="AA31" s="171">
        <f t="shared" si="5"/>
        <v>0</v>
      </c>
      <c r="AB31" s="171">
        <f>U31</f>
        <v>0</v>
      </c>
      <c r="AC31" s="171">
        <f t="shared" si="2"/>
        <v>0</v>
      </c>
      <c r="AD31" s="163">
        <v>0</v>
      </c>
      <c r="AE31" s="171">
        <f t="shared" si="7"/>
        <v>0</v>
      </c>
      <c r="AF31" s="172" t="s">
        <v>215</v>
      </c>
    </row>
    <row r="32" spans="1:32" s="173" customFormat="1" ht="15.9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 t="s">
        <v>246</v>
      </c>
      <c r="K32" s="163"/>
      <c r="L32" s="166">
        <v>425</v>
      </c>
      <c r="M32" s="166"/>
      <c r="N32" s="163">
        <v>6.9</v>
      </c>
      <c r="O32" s="166"/>
      <c r="P32" s="167">
        <v>19.404986877551018</v>
      </c>
      <c r="Q32" s="168">
        <f t="shared" si="0"/>
        <v>27.5</v>
      </c>
      <c r="R32" s="169">
        <v>15.124000000000001</v>
      </c>
      <c r="S32" s="168">
        <v>20</v>
      </c>
      <c r="T32" s="168">
        <v>362</v>
      </c>
      <c r="U32" s="168">
        <f t="shared" si="8"/>
        <v>23.935466807722825</v>
      </c>
      <c r="V32" s="169">
        <f t="shared" si="9"/>
        <v>24.379999999999995</v>
      </c>
      <c r="W32" s="170">
        <v>0.2</v>
      </c>
      <c r="X32" s="171">
        <f t="shared" si="1"/>
        <v>0.72727272727272729</v>
      </c>
      <c r="Y32" s="171">
        <f t="shared" si="3"/>
        <v>14.352676000000001</v>
      </c>
      <c r="Z32" s="171">
        <f t="shared" si="4"/>
        <v>18.98</v>
      </c>
      <c r="AA32" s="171">
        <f t="shared" si="5"/>
        <v>343.53800000000001</v>
      </c>
      <c r="AB32" s="171">
        <f t="shared" si="6"/>
        <v>23.935466807722825</v>
      </c>
      <c r="AC32" s="171">
        <f t="shared" si="2"/>
        <v>24.379999999999995</v>
      </c>
      <c r="AD32" s="163">
        <v>30</v>
      </c>
      <c r="AE32" s="171">
        <f t="shared" si="7"/>
        <v>430.58028000000002</v>
      </c>
      <c r="AF32" s="172"/>
    </row>
    <row r="33" spans="1:32" s="173" customFormat="1" ht="15.9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 t="s">
        <v>239</v>
      </c>
      <c r="K33" s="163"/>
      <c r="L33" s="166">
        <v>477</v>
      </c>
      <c r="M33" s="166"/>
      <c r="N33" s="163">
        <v>4.9000000000000004</v>
      </c>
      <c r="O33" s="166"/>
      <c r="P33" s="167">
        <v>14.874279163265307</v>
      </c>
      <c r="Q33" s="168">
        <f>LEFT(H33,(FIND("K",H33,1)-1))*J33/100</f>
        <v>13</v>
      </c>
      <c r="R33" s="169">
        <v>4.4560000000000004</v>
      </c>
      <c r="S33" s="168">
        <v>7.5</v>
      </c>
      <c r="T33" s="168">
        <v>0</v>
      </c>
      <c r="U33" s="168">
        <v>0</v>
      </c>
      <c r="V33" s="169">
        <f t="shared" si="9"/>
        <v>40.586666666666659</v>
      </c>
      <c r="W33" s="170">
        <v>0.2</v>
      </c>
      <c r="X33" s="171">
        <v>0</v>
      </c>
      <c r="Y33" s="171">
        <f t="shared" si="3"/>
        <v>4.2287439999999998</v>
      </c>
      <c r="Z33" s="171">
        <f t="shared" si="4"/>
        <v>7.1174999999999997</v>
      </c>
      <c r="AA33" s="171">
        <f t="shared" si="5"/>
        <v>0</v>
      </c>
      <c r="AB33" s="171">
        <f t="shared" si="6"/>
        <v>0</v>
      </c>
      <c r="AC33" s="171">
        <f t="shared" si="2"/>
        <v>40.586666666666659</v>
      </c>
      <c r="AD33" s="163">
        <v>30</v>
      </c>
      <c r="AE33" s="171">
        <f>Y33*AD33</f>
        <v>126.86232</v>
      </c>
      <c r="AF33" s="172"/>
    </row>
    <row r="34" spans="1:32" s="173" customFormat="1" ht="16.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 t="s">
        <v>250</v>
      </c>
      <c r="K34" s="163"/>
      <c r="L34" s="166">
        <v>470</v>
      </c>
      <c r="M34" s="166"/>
      <c r="N34" s="163">
        <v>7.2</v>
      </c>
      <c r="O34" s="166"/>
      <c r="P34" s="167">
        <v>14.666740571428569</v>
      </c>
      <c r="Q34" s="168">
        <f t="shared" si="0"/>
        <v>66</v>
      </c>
      <c r="R34" s="169">
        <v>5.9029999999999996</v>
      </c>
      <c r="S34" s="168">
        <v>7.2079999999999993</v>
      </c>
      <c r="T34" s="168">
        <v>637</v>
      </c>
      <c r="U34" s="168">
        <f t="shared" si="8"/>
        <v>107.91123157716416</v>
      </c>
      <c r="V34" s="169">
        <f t="shared" si="9"/>
        <v>18.104883462819089</v>
      </c>
      <c r="W34" s="170">
        <v>0.3</v>
      </c>
      <c r="X34" s="171">
        <f t="shared" si="1"/>
        <v>0.1092121212121212</v>
      </c>
      <c r="Y34" s="171">
        <f t="shared" si="3"/>
        <v>5.6019469999999991</v>
      </c>
      <c r="Z34" s="171">
        <f t="shared" si="4"/>
        <v>6.8403919999999987</v>
      </c>
      <c r="AA34" s="171">
        <f t="shared" si="5"/>
        <v>604.51299999999992</v>
      </c>
      <c r="AB34" s="171">
        <f t="shared" si="6"/>
        <v>107.91123157716416</v>
      </c>
      <c r="AC34" s="171">
        <f t="shared" si="2"/>
        <v>18.104883462819089</v>
      </c>
      <c r="AD34" s="163">
        <v>30</v>
      </c>
      <c r="AE34" s="171">
        <f t="shared" si="7"/>
        <v>168.05840999999998</v>
      </c>
      <c r="AF34" s="183"/>
    </row>
    <row r="35" spans="1:32" s="173" customFormat="1" ht="15.9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 t="s">
        <v>246</v>
      </c>
      <c r="K35" s="163"/>
      <c r="L35" s="166">
        <v>473</v>
      </c>
      <c r="M35" s="166"/>
      <c r="N35" s="163">
        <v>8.3000000000000007</v>
      </c>
      <c r="O35" s="166"/>
      <c r="P35" s="167">
        <v>17.541017285714286</v>
      </c>
      <c r="Q35" s="168">
        <f t="shared" si="0"/>
        <v>16.25</v>
      </c>
      <c r="R35" s="169">
        <v>8.2210000000000001</v>
      </c>
      <c r="S35" s="168">
        <v>11.3</v>
      </c>
      <c r="T35" s="168">
        <v>17</v>
      </c>
      <c r="U35" s="168">
        <f t="shared" si="8"/>
        <v>2.0678749543851112</v>
      </c>
      <c r="V35" s="169">
        <f t="shared" si="9"/>
        <v>27.247787610619472</v>
      </c>
      <c r="W35" s="170">
        <v>1</v>
      </c>
      <c r="X35" s="171">
        <f t="shared" si="1"/>
        <v>0.69538461538461538</v>
      </c>
      <c r="Y35" s="171">
        <f t="shared" si="3"/>
        <v>7.8017289999999999</v>
      </c>
      <c r="Z35" s="171">
        <f t="shared" si="4"/>
        <v>10.723700000000001</v>
      </c>
      <c r="AA35" s="171">
        <f t="shared" si="5"/>
        <v>16.132999999999999</v>
      </c>
      <c r="AB35" s="171">
        <f t="shared" si="6"/>
        <v>2.0678749543851112</v>
      </c>
      <c r="AC35" s="171">
        <f t="shared" si="2"/>
        <v>27.247787610619472</v>
      </c>
      <c r="AD35" s="163">
        <v>30</v>
      </c>
      <c r="AE35" s="171">
        <f t="shared" si="7"/>
        <v>234.05187000000001</v>
      </c>
      <c r="AF35" s="179"/>
    </row>
    <row r="36" spans="1:32" s="173" customFormat="1" ht="15.9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5">
        <v>551.13</v>
      </c>
      <c r="J36" s="163" t="s">
        <v>248</v>
      </c>
      <c r="K36" s="163"/>
      <c r="L36" s="166">
        <v>387</v>
      </c>
      <c r="M36" s="166"/>
      <c r="N36" s="163">
        <v>7.7</v>
      </c>
      <c r="O36" s="166"/>
      <c r="P36" s="167">
        <v>25.851882367346938</v>
      </c>
      <c r="Q36" s="168">
        <f t="shared" si="0"/>
        <v>18.7</v>
      </c>
      <c r="R36" s="169">
        <v>4.5999999999999996</v>
      </c>
      <c r="S36" s="168">
        <v>8.3000000000000007</v>
      </c>
      <c r="T36" s="168">
        <v>90</v>
      </c>
      <c r="U36" s="168">
        <v>0</v>
      </c>
      <c r="V36" s="169">
        <f t="shared" si="9"/>
        <v>44.578313253012055</v>
      </c>
      <c r="W36" s="170">
        <v>0.4</v>
      </c>
      <c r="X36" s="171">
        <v>0</v>
      </c>
      <c r="Y36" s="171">
        <f t="shared" si="3"/>
        <v>4.3653999999999993</v>
      </c>
      <c r="Z36" s="171">
        <f t="shared" si="4"/>
        <v>7.8767000000000005</v>
      </c>
      <c r="AA36" s="171">
        <f t="shared" si="5"/>
        <v>85.41</v>
      </c>
      <c r="AB36" s="171">
        <f t="shared" si="6"/>
        <v>0</v>
      </c>
      <c r="AC36" s="171">
        <f t="shared" si="2"/>
        <v>44.578313253012055</v>
      </c>
      <c r="AD36" s="163">
        <v>30</v>
      </c>
      <c r="AE36" s="171">
        <f t="shared" si="7"/>
        <v>130.96199999999999</v>
      </c>
      <c r="AF36" s="172"/>
    </row>
    <row r="37" spans="1:32" s="173" customFormat="1" ht="15.9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 t="s">
        <v>251</v>
      </c>
      <c r="K37" s="163"/>
      <c r="L37" s="166">
        <v>227</v>
      </c>
      <c r="M37" s="166"/>
      <c r="N37" s="163">
        <v>8.9</v>
      </c>
      <c r="O37" s="166"/>
      <c r="P37" s="167">
        <v>42.351097704081631</v>
      </c>
      <c r="Q37" s="168">
        <f t="shared" si="0"/>
        <v>40.700000000000003</v>
      </c>
      <c r="R37" s="169">
        <v>20.5</v>
      </c>
      <c r="S37" s="168">
        <v>34.9</v>
      </c>
      <c r="T37" s="168">
        <v>131</v>
      </c>
      <c r="U37" s="168">
        <f t="shared" si="8"/>
        <v>6.3902439024390247</v>
      </c>
      <c r="V37" s="169">
        <f t="shared" si="9"/>
        <v>41.260744985673348</v>
      </c>
      <c r="W37" s="170">
        <v>0.4</v>
      </c>
      <c r="X37" s="171">
        <f t="shared" si="1"/>
        <v>0.85749385749385743</v>
      </c>
      <c r="Y37" s="171">
        <f t="shared" si="3"/>
        <v>19.454499999999999</v>
      </c>
      <c r="Z37" s="171">
        <f t="shared" si="4"/>
        <v>33.120099999999994</v>
      </c>
      <c r="AA37" s="171">
        <f t="shared" si="5"/>
        <v>124.31899999999999</v>
      </c>
      <c r="AB37" s="171">
        <f t="shared" si="6"/>
        <v>6.3902439024390247</v>
      </c>
      <c r="AC37" s="171">
        <f t="shared" si="2"/>
        <v>41.260744985673348</v>
      </c>
      <c r="AD37" s="163">
        <v>30</v>
      </c>
      <c r="AE37" s="171">
        <f t="shared" si="7"/>
        <v>583.63499999999999</v>
      </c>
      <c r="AF37" s="172"/>
    </row>
    <row r="38" spans="1:32" s="173" customFormat="1" ht="15.9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 t="s">
        <v>252</v>
      </c>
      <c r="K38" s="163"/>
      <c r="L38" s="166">
        <v>489</v>
      </c>
      <c r="M38" s="166"/>
      <c r="N38" s="163">
        <v>8.3000000000000007</v>
      </c>
      <c r="O38" s="166"/>
      <c r="P38" s="167">
        <v>16.251584285714287</v>
      </c>
      <c r="Q38" s="168">
        <f>LEFT(H38,(FIND("K",H38,1)-1))*J38/100</f>
        <v>62.7</v>
      </c>
      <c r="R38" s="169">
        <v>15.05</v>
      </c>
      <c r="S38" s="168">
        <v>23</v>
      </c>
      <c r="T38" s="168">
        <v>1112</v>
      </c>
      <c r="U38" s="168">
        <f t="shared" si="8"/>
        <v>73.887043189368768</v>
      </c>
      <c r="V38" s="169">
        <f t="shared" si="9"/>
        <v>34.565217391304344</v>
      </c>
      <c r="W38" s="170">
        <v>0.4</v>
      </c>
      <c r="X38" s="171">
        <f t="shared" si="1"/>
        <v>0.3668261562998405</v>
      </c>
      <c r="Y38" s="171">
        <f t="shared" si="3"/>
        <v>14.282450000000001</v>
      </c>
      <c r="Z38" s="171">
        <f t="shared" si="4"/>
        <v>21.826999999999998</v>
      </c>
      <c r="AA38" s="171">
        <f t="shared" si="5"/>
        <v>1055.288</v>
      </c>
      <c r="AB38" s="171">
        <f t="shared" si="6"/>
        <v>73.887043189368768</v>
      </c>
      <c r="AC38" s="171">
        <f t="shared" si="2"/>
        <v>34.565217391304344</v>
      </c>
      <c r="AD38" s="163">
        <v>30</v>
      </c>
      <c r="AE38" s="171">
        <f t="shared" si="7"/>
        <v>428.4735</v>
      </c>
      <c r="AF38" s="172"/>
    </row>
    <row r="39" spans="1:32" s="173" customFormat="1" ht="15.9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130</v>
      </c>
      <c r="K39" s="163"/>
      <c r="L39" s="163">
        <v>306</v>
      </c>
      <c r="M39" s="166"/>
      <c r="N39" s="163">
        <v>7.8</v>
      </c>
      <c r="O39" s="166"/>
      <c r="P39" s="182">
        <v>32.213989285714291</v>
      </c>
      <c r="Q39" s="171">
        <f t="shared" ref="Q39:Q71" si="10">LEFT(H39,(FIND("K",H39,1)-1))*J39/100</f>
        <v>10.4</v>
      </c>
      <c r="R39" s="170">
        <v>5.26</v>
      </c>
      <c r="S39" s="168">
        <v>6.41</v>
      </c>
      <c r="T39" s="171">
        <v>35</v>
      </c>
      <c r="U39" s="171">
        <f t="shared" si="8"/>
        <v>6.6539923954372631</v>
      </c>
      <c r="V39" s="169">
        <f t="shared" si="9"/>
        <v>17.940717628705151</v>
      </c>
      <c r="W39" s="170">
        <v>0.2</v>
      </c>
      <c r="X39" s="171">
        <f t="shared" si="1"/>
        <v>0.61634615384615388</v>
      </c>
      <c r="Y39" s="171">
        <f t="shared" si="3"/>
        <v>4.9917399999999992</v>
      </c>
      <c r="Z39" s="171">
        <f t="shared" si="4"/>
        <v>6.0830899999999994</v>
      </c>
      <c r="AA39" s="171">
        <f t="shared" si="5"/>
        <v>33.214999999999996</v>
      </c>
      <c r="AB39" s="171">
        <f t="shared" si="6"/>
        <v>6.6539923954372631</v>
      </c>
      <c r="AC39" s="171">
        <f t="shared" si="2"/>
        <v>17.940717628705151</v>
      </c>
      <c r="AD39" s="163">
        <v>30</v>
      </c>
      <c r="AE39" s="171">
        <f t="shared" si="7"/>
        <v>149.75219999999999</v>
      </c>
      <c r="AF39" s="172"/>
    </row>
    <row r="40" spans="1:32" s="178" customFormat="1" ht="15.95" customHeight="1" x14ac:dyDescent="0.2">
      <c r="A40" s="159">
        <v>27</v>
      </c>
      <c r="B40" s="187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 t="s">
        <v>253</v>
      </c>
      <c r="K40" s="158"/>
      <c r="L40" s="159">
        <v>427</v>
      </c>
      <c r="M40" s="159"/>
      <c r="N40" s="163">
        <v>7</v>
      </c>
      <c r="O40" s="159"/>
      <c r="P40" s="160">
        <v>19.101513795918365</v>
      </c>
      <c r="Q40" s="171">
        <f t="shared" si="10"/>
        <v>25.3</v>
      </c>
      <c r="R40" s="170">
        <v>8.4</v>
      </c>
      <c r="S40" s="168">
        <v>10.7</v>
      </c>
      <c r="T40" s="174">
        <v>507</v>
      </c>
      <c r="U40" s="171">
        <f t="shared" si="8"/>
        <v>60.357142857142854</v>
      </c>
      <c r="V40" s="169">
        <f t="shared" si="9"/>
        <v>21.495327102803728</v>
      </c>
      <c r="W40" s="170">
        <v>0.2</v>
      </c>
      <c r="X40" s="171">
        <f t="shared" si="1"/>
        <v>0.4229249011857707</v>
      </c>
      <c r="Y40" s="171">
        <f t="shared" si="3"/>
        <v>7.9715999999999996</v>
      </c>
      <c r="Z40" s="171">
        <f t="shared" si="4"/>
        <v>10.154299999999999</v>
      </c>
      <c r="AA40" s="171">
        <f t="shared" si="5"/>
        <v>481.14299999999997</v>
      </c>
      <c r="AB40" s="171">
        <f t="shared" si="6"/>
        <v>60.357142857142854</v>
      </c>
      <c r="AC40" s="171">
        <f t="shared" si="2"/>
        <v>21.495327102803728</v>
      </c>
      <c r="AD40" s="163">
        <v>30</v>
      </c>
      <c r="AE40" s="171">
        <f t="shared" si="7"/>
        <v>239.148</v>
      </c>
      <c r="AF40" s="190"/>
    </row>
    <row r="41" spans="1:32" s="178" customFormat="1" ht="15.95" customHeight="1" x14ac:dyDescent="0.2">
      <c r="A41" s="159">
        <v>28</v>
      </c>
      <c r="B41" s="187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127</v>
      </c>
      <c r="L41" s="163"/>
      <c r="M41" s="159">
        <v>0</v>
      </c>
      <c r="N41" s="163">
        <v>0</v>
      </c>
      <c r="O41" s="159"/>
      <c r="P41" s="160"/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si="3"/>
        <v>0</v>
      </c>
      <c r="Z41" s="171">
        <f t="shared" si="4"/>
        <v>0</v>
      </c>
      <c r="AA41" s="171">
        <f t="shared" si="5"/>
        <v>0</v>
      </c>
      <c r="AB41" s="171">
        <f t="shared" si="6"/>
        <v>0</v>
      </c>
      <c r="AC41" s="171">
        <f t="shared" si="2"/>
        <v>0</v>
      </c>
      <c r="AD41" s="163">
        <v>0</v>
      </c>
      <c r="AE41" s="171">
        <f t="shared" si="7"/>
        <v>0</v>
      </c>
      <c r="AF41" s="190" t="s">
        <v>215</v>
      </c>
    </row>
    <row r="42" spans="1:32" s="178" customFormat="1" ht="15.95" customHeight="1" x14ac:dyDescent="0.2">
      <c r="A42" s="159">
        <v>29</v>
      </c>
      <c r="B42" s="187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 t="s">
        <v>248</v>
      </c>
      <c r="K42" s="158"/>
      <c r="L42" s="159">
        <v>214</v>
      </c>
      <c r="M42" s="159"/>
      <c r="N42" s="163">
        <v>2.2999999999999998</v>
      </c>
      <c r="O42" s="159"/>
      <c r="P42" s="160">
        <v>38.416993836734697</v>
      </c>
      <c r="Q42" s="171">
        <f t="shared" si="10"/>
        <v>5.0999999999999996</v>
      </c>
      <c r="R42" s="170">
        <v>3</v>
      </c>
      <c r="S42" s="168">
        <v>4.2</v>
      </c>
      <c r="T42" s="174">
        <v>3</v>
      </c>
      <c r="U42" s="171">
        <f>T42/R42</f>
        <v>1</v>
      </c>
      <c r="V42" s="169">
        <f t="shared" si="9"/>
        <v>28.571428571428577</v>
      </c>
      <c r="W42" s="170">
        <v>0.2</v>
      </c>
      <c r="X42" s="171">
        <f t="shared" si="1"/>
        <v>0.82352941176470595</v>
      </c>
      <c r="Y42" s="171">
        <f t="shared" si="3"/>
        <v>2.847</v>
      </c>
      <c r="Z42" s="171">
        <f t="shared" si="4"/>
        <v>3.9857999999999998</v>
      </c>
      <c r="AA42" s="171">
        <f t="shared" si="5"/>
        <v>2.847</v>
      </c>
      <c r="AB42" s="171">
        <f t="shared" si="6"/>
        <v>1</v>
      </c>
      <c r="AC42" s="171">
        <f t="shared" si="2"/>
        <v>28.571428571428577</v>
      </c>
      <c r="AD42" s="163">
        <v>30</v>
      </c>
      <c r="AE42" s="171">
        <f t="shared" si="7"/>
        <v>85.41</v>
      </c>
      <c r="AF42" s="190"/>
    </row>
    <row r="43" spans="1:32" s="173" customFormat="1" ht="15.75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 t="s">
        <v>248</v>
      </c>
      <c r="K43" s="163"/>
      <c r="L43" s="166">
        <v>435</v>
      </c>
      <c r="M43" s="166"/>
      <c r="N43" s="163">
        <v>4</v>
      </c>
      <c r="O43" s="166"/>
      <c r="P43" s="182">
        <v>16.953632653061224</v>
      </c>
      <c r="Q43" s="171">
        <f t="shared" si="10"/>
        <v>11.05</v>
      </c>
      <c r="R43" s="170">
        <v>2.5</v>
      </c>
      <c r="S43" s="168">
        <v>3.6</v>
      </c>
      <c r="T43" s="171">
        <v>5</v>
      </c>
      <c r="U43" s="171">
        <f t="shared" si="8"/>
        <v>2</v>
      </c>
      <c r="V43" s="169">
        <f t="shared" si="9"/>
        <v>30.555555555555557</v>
      </c>
      <c r="W43" s="170">
        <v>0.2</v>
      </c>
      <c r="X43" s="171">
        <f t="shared" si="1"/>
        <v>0.32579185520361992</v>
      </c>
      <c r="Y43" s="171">
        <f t="shared" si="3"/>
        <v>2.3725000000000001</v>
      </c>
      <c r="Z43" s="171">
        <f t="shared" si="4"/>
        <v>3.4163999999999999</v>
      </c>
      <c r="AA43" s="171">
        <f t="shared" si="5"/>
        <v>4.7450000000000001</v>
      </c>
      <c r="AB43" s="171">
        <f>U43</f>
        <v>2</v>
      </c>
      <c r="AC43" s="171">
        <f t="shared" si="2"/>
        <v>30.555555555555557</v>
      </c>
      <c r="AD43" s="163">
        <v>30</v>
      </c>
      <c r="AE43" s="171">
        <f t="shared" si="7"/>
        <v>71.174999999999997</v>
      </c>
      <c r="AF43" s="179"/>
    </row>
    <row r="44" spans="1:32" s="173" customFormat="1" ht="15.75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 t="s">
        <v>248</v>
      </c>
      <c r="K44" s="163"/>
      <c r="L44" s="163">
        <v>179</v>
      </c>
      <c r="M44" s="166"/>
      <c r="N44" s="182">
        <v>4.7</v>
      </c>
      <c r="O44" s="166"/>
      <c r="P44" s="182">
        <v>42.976162500000001</v>
      </c>
      <c r="Q44" s="171">
        <f t="shared" si="10"/>
        <v>5.0999999999999996</v>
      </c>
      <c r="R44" s="170">
        <v>1.1819999999999999</v>
      </c>
      <c r="S44" s="168">
        <v>2.4</v>
      </c>
      <c r="T44" s="171">
        <v>1</v>
      </c>
      <c r="U44" s="171">
        <f t="shared" si="8"/>
        <v>0.84602368866328259</v>
      </c>
      <c r="V44" s="169">
        <f t="shared" si="9"/>
        <v>50.750000000000007</v>
      </c>
      <c r="W44" s="170">
        <v>0.3</v>
      </c>
      <c r="X44" s="171">
        <f t="shared" si="1"/>
        <v>0.47058823529411764</v>
      </c>
      <c r="Y44" s="171">
        <f t="shared" si="3"/>
        <v>1.121718</v>
      </c>
      <c r="Z44" s="171">
        <f t="shared" si="4"/>
        <v>2.2775999999999996</v>
      </c>
      <c r="AA44" s="171">
        <f t="shared" si="5"/>
        <v>0.94899999999999995</v>
      </c>
      <c r="AB44" s="171">
        <f>U44</f>
        <v>0.84602368866328259</v>
      </c>
      <c r="AC44" s="171">
        <f t="shared" si="2"/>
        <v>50.750000000000007</v>
      </c>
      <c r="AD44" s="163">
        <v>30</v>
      </c>
      <c r="AE44" s="171">
        <f t="shared" si="7"/>
        <v>33.651539999999997</v>
      </c>
      <c r="AF44" s="179"/>
    </row>
    <row r="45" spans="1:32" s="173" customFormat="1" ht="15.75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 t="s">
        <v>239</v>
      </c>
      <c r="K45" s="163"/>
      <c r="L45" s="166">
        <v>464</v>
      </c>
      <c r="M45" s="166"/>
      <c r="N45" s="163">
        <v>7.4</v>
      </c>
      <c r="O45" s="166"/>
      <c r="P45" s="167">
        <v>16.082878061224488</v>
      </c>
      <c r="Q45" s="168">
        <f t="shared" si="10"/>
        <v>13</v>
      </c>
      <c r="R45" s="169">
        <v>4.7</v>
      </c>
      <c r="S45" s="168">
        <v>5.9</v>
      </c>
      <c r="T45" s="168">
        <v>108</v>
      </c>
      <c r="U45" s="168">
        <f t="shared" si="8"/>
        <v>22.978723404255319</v>
      </c>
      <c r="V45" s="169">
        <f t="shared" si="9"/>
        <v>20.33898305084746</v>
      </c>
      <c r="W45" s="170">
        <v>0.2</v>
      </c>
      <c r="X45" s="171">
        <f t="shared" si="1"/>
        <v>0.4538461538461539</v>
      </c>
      <c r="Y45" s="171">
        <f t="shared" si="3"/>
        <v>4.4603000000000002</v>
      </c>
      <c r="Z45" s="171">
        <f t="shared" si="4"/>
        <v>5.5991</v>
      </c>
      <c r="AA45" s="171">
        <f t="shared" si="5"/>
        <v>102.49199999999999</v>
      </c>
      <c r="AB45" s="171">
        <f t="shared" si="6"/>
        <v>22.978723404255319</v>
      </c>
      <c r="AC45" s="171">
        <f t="shared" si="2"/>
        <v>20.33898305084746</v>
      </c>
      <c r="AD45" s="163">
        <v>30</v>
      </c>
      <c r="AE45" s="171">
        <f t="shared" si="7"/>
        <v>133.809</v>
      </c>
      <c r="AF45" s="179"/>
    </row>
    <row r="46" spans="1:32" s="173" customFormat="1" ht="15.75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 t="s">
        <v>240</v>
      </c>
      <c r="K46" s="166">
        <v>254</v>
      </c>
      <c r="L46" s="163"/>
      <c r="M46" s="166">
        <v>0.6</v>
      </c>
      <c r="N46" s="163"/>
      <c r="O46" s="166"/>
      <c r="P46" s="167"/>
      <c r="Q46" s="168">
        <f t="shared" si="10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3"/>
        <v>0</v>
      </c>
      <c r="Z46" s="171">
        <f t="shared" si="4"/>
        <v>0</v>
      </c>
      <c r="AA46" s="171">
        <f t="shared" si="5"/>
        <v>0</v>
      </c>
      <c r="AB46" s="171">
        <f t="shared" si="6"/>
        <v>0</v>
      </c>
      <c r="AC46" s="171">
        <f t="shared" si="2"/>
        <v>0</v>
      </c>
      <c r="AD46" s="163">
        <v>0</v>
      </c>
      <c r="AE46" s="171">
        <f t="shared" si="7"/>
        <v>0</v>
      </c>
      <c r="AF46" s="190" t="s">
        <v>215</v>
      </c>
    </row>
    <row r="47" spans="1:32" s="173" customFormat="1" ht="15.75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 t="s">
        <v>239</v>
      </c>
      <c r="K47" s="163"/>
      <c r="L47" s="166">
        <v>432</v>
      </c>
      <c r="M47" s="166"/>
      <c r="N47" s="163">
        <v>8.1999999999999993</v>
      </c>
      <c r="O47" s="166"/>
      <c r="P47" s="167">
        <v>21.409064030612242</v>
      </c>
      <c r="Q47" s="168">
        <f t="shared" si="10"/>
        <v>13</v>
      </c>
      <c r="R47" s="169">
        <v>6</v>
      </c>
      <c r="S47" s="168">
        <v>10</v>
      </c>
      <c r="T47" s="168">
        <v>75</v>
      </c>
      <c r="U47" s="168">
        <f>T47/R47</f>
        <v>12.5</v>
      </c>
      <c r="V47" s="169">
        <f t="shared" si="9"/>
        <v>40</v>
      </c>
      <c r="W47" s="170">
        <v>0.2</v>
      </c>
      <c r="X47" s="171">
        <f t="shared" ref="X47:X53" si="11">S47/Q47</f>
        <v>0.76923076923076927</v>
      </c>
      <c r="Y47" s="171">
        <f t="shared" si="3"/>
        <v>5.694</v>
      </c>
      <c r="Z47" s="171">
        <f t="shared" si="4"/>
        <v>9.49</v>
      </c>
      <c r="AA47" s="171">
        <f t="shared" si="5"/>
        <v>71.174999999999997</v>
      </c>
      <c r="AB47" s="171">
        <f t="shared" si="6"/>
        <v>12.5</v>
      </c>
      <c r="AC47" s="171">
        <f t="shared" si="2"/>
        <v>40</v>
      </c>
      <c r="AD47" s="163">
        <v>30</v>
      </c>
      <c r="AE47" s="171">
        <f t="shared" si="7"/>
        <v>170.82</v>
      </c>
      <c r="AF47" s="179"/>
    </row>
    <row r="48" spans="1:32" s="173" customFormat="1" ht="15.75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 t="s">
        <v>254</v>
      </c>
      <c r="K48" s="163"/>
      <c r="L48" s="166">
        <v>411</v>
      </c>
      <c r="M48" s="166"/>
      <c r="N48" s="163">
        <v>0.1</v>
      </c>
      <c r="O48" s="166"/>
      <c r="P48" s="167">
        <v>16.289912653061226</v>
      </c>
      <c r="Q48" s="168">
        <f t="shared" si="10"/>
        <v>15</v>
      </c>
      <c r="R48" s="169">
        <v>2.169</v>
      </c>
      <c r="S48" s="168">
        <v>2.7770000000000001</v>
      </c>
      <c r="T48" s="168">
        <v>0</v>
      </c>
      <c r="U48" s="168">
        <f t="shared" ref="U48:U56" si="12">T48/R48</f>
        <v>0</v>
      </c>
      <c r="V48" s="169">
        <f t="shared" si="9"/>
        <v>21.894130356499822</v>
      </c>
      <c r="W48" s="170">
        <v>0.3</v>
      </c>
      <c r="X48" s="171">
        <v>0</v>
      </c>
      <c r="Y48" s="171">
        <f t="shared" si="3"/>
        <v>2.0583809999999998</v>
      </c>
      <c r="Z48" s="171">
        <f t="shared" si="4"/>
        <v>2.635373</v>
      </c>
      <c r="AA48" s="171">
        <f t="shared" si="5"/>
        <v>0</v>
      </c>
      <c r="AB48" s="171">
        <f t="shared" si="6"/>
        <v>0</v>
      </c>
      <c r="AC48" s="171">
        <f t="shared" si="2"/>
        <v>21.894130356499822</v>
      </c>
      <c r="AD48" s="163">
        <v>30</v>
      </c>
      <c r="AE48" s="171">
        <f t="shared" si="7"/>
        <v>61.751429999999992</v>
      </c>
      <c r="AF48" s="172"/>
    </row>
    <row r="49" spans="1:5203" s="192" customFormat="1" ht="15.75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 t="s">
        <v>248</v>
      </c>
      <c r="K49" s="163"/>
      <c r="L49" s="166">
        <v>89</v>
      </c>
      <c r="M49" s="166"/>
      <c r="N49" s="163">
        <v>4.5</v>
      </c>
      <c r="O49" s="166"/>
      <c r="P49" s="167">
        <v>53.32464887755102</v>
      </c>
      <c r="Q49" s="168">
        <f t="shared" si="10"/>
        <v>11.05</v>
      </c>
      <c r="R49" s="169">
        <v>2.738</v>
      </c>
      <c r="S49" s="168">
        <v>9.0820000000000007</v>
      </c>
      <c r="T49" s="168">
        <v>0</v>
      </c>
      <c r="U49" s="168">
        <f t="shared" si="12"/>
        <v>0</v>
      </c>
      <c r="V49" s="169">
        <f t="shared" si="9"/>
        <v>69.852455406298176</v>
      </c>
      <c r="W49" s="170">
        <v>0</v>
      </c>
      <c r="X49" s="171">
        <v>0</v>
      </c>
      <c r="Y49" s="171">
        <f t="shared" si="3"/>
        <v>2.5983619999999998</v>
      </c>
      <c r="Z49" s="171">
        <f t="shared" si="4"/>
        <v>8.618818000000001</v>
      </c>
      <c r="AA49" s="171">
        <f t="shared" si="5"/>
        <v>0</v>
      </c>
      <c r="AB49" s="171">
        <f t="shared" si="6"/>
        <v>0</v>
      </c>
      <c r="AC49" s="171">
        <f t="shared" si="2"/>
        <v>69.852455406298176</v>
      </c>
      <c r="AD49" s="163">
        <v>30</v>
      </c>
      <c r="AE49" s="171">
        <f t="shared" si="7"/>
        <v>77.950859999999992</v>
      </c>
      <c r="AF49" s="172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1"/>
      <c r="IP49" s="191"/>
      <c r="IQ49" s="191"/>
      <c r="IR49" s="191"/>
      <c r="IS49" s="191"/>
      <c r="IT49" s="191"/>
      <c r="IU49" s="191"/>
      <c r="IV49" s="191"/>
      <c r="IW49" s="191"/>
      <c r="IX49" s="191"/>
      <c r="IY49" s="191"/>
      <c r="IZ49" s="191"/>
      <c r="JA49" s="191"/>
      <c r="JB49" s="191"/>
      <c r="JC49" s="191"/>
      <c r="JD49" s="191"/>
      <c r="JE49" s="191"/>
      <c r="JF49" s="191"/>
      <c r="JG49" s="191"/>
      <c r="JH49" s="191"/>
      <c r="JI49" s="191"/>
      <c r="JJ49" s="191"/>
      <c r="JK49" s="191"/>
      <c r="JL49" s="191"/>
      <c r="JM49" s="191"/>
      <c r="JN49" s="191"/>
      <c r="JO49" s="191"/>
      <c r="JP49" s="191"/>
      <c r="JQ49" s="191"/>
      <c r="JR49" s="191"/>
      <c r="JS49" s="191"/>
      <c r="JT49" s="191"/>
      <c r="JU49" s="191"/>
      <c r="JV49" s="191"/>
      <c r="JW49" s="191"/>
      <c r="JX49" s="191"/>
      <c r="JY49" s="191"/>
      <c r="JZ49" s="191"/>
      <c r="KA49" s="191"/>
      <c r="KB49" s="191"/>
      <c r="KC49" s="191"/>
      <c r="KD49" s="191"/>
      <c r="KE49" s="191"/>
      <c r="KF49" s="191"/>
      <c r="KG49" s="191"/>
      <c r="KH49" s="191"/>
      <c r="KI49" s="191"/>
      <c r="KJ49" s="191"/>
      <c r="KK49" s="191"/>
      <c r="KL49" s="191"/>
      <c r="KM49" s="191"/>
      <c r="KN49" s="191"/>
      <c r="KO49" s="191"/>
      <c r="KP49" s="191"/>
      <c r="KQ49" s="191"/>
      <c r="KR49" s="191"/>
      <c r="KS49" s="191"/>
      <c r="KT49" s="191"/>
      <c r="KU49" s="191"/>
      <c r="KV49" s="191"/>
      <c r="KW49" s="191"/>
      <c r="KX49" s="191"/>
      <c r="KY49" s="191"/>
      <c r="KZ49" s="191"/>
      <c r="LA49" s="191"/>
      <c r="LB49" s="191"/>
      <c r="LC49" s="191"/>
      <c r="LD49" s="191"/>
      <c r="LE49" s="191"/>
      <c r="LF49" s="191"/>
      <c r="LG49" s="191"/>
      <c r="LH49" s="191"/>
      <c r="LI49" s="191"/>
      <c r="LJ49" s="191"/>
      <c r="LK49" s="191"/>
      <c r="LL49" s="191"/>
      <c r="LM49" s="191"/>
      <c r="LN49" s="191"/>
      <c r="LO49" s="191"/>
      <c r="LP49" s="191"/>
      <c r="LQ49" s="191"/>
      <c r="LR49" s="191"/>
      <c r="LS49" s="191"/>
      <c r="LT49" s="191"/>
      <c r="LU49" s="191"/>
      <c r="LV49" s="191"/>
      <c r="LW49" s="191"/>
      <c r="LX49" s="191"/>
      <c r="LY49" s="191"/>
      <c r="LZ49" s="191"/>
      <c r="MA49" s="191"/>
      <c r="MB49" s="191"/>
      <c r="MC49" s="191"/>
      <c r="MD49" s="191"/>
      <c r="ME49" s="191"/>
      <c r="MF49" s="191"/>
      <c r="MG49" s="191"/>
      <c r="MH49" s="191"/>
      <c r="MI49" s="191"/>
      <c r="MJ49" s="191"/>
      <c r="MK49" s="191"/>
      <c r="ML49" s="191"/>
      <c r="MM49" s="191"/>
      <c r="MN49" s="191"/>
      <c r="MO49" s="191"/>
      <c r="MP49" s="191"/>
      <c r="MQ49" s="191"/>
      <c r="MR49" s="191"/>
      <c r="MS49" s="191"/>
      <c r="MT49" s="191"/>
      <c r="MU49" s="191"/>
      <c r="MV49" s="191"/>
      <c r="MW49" s="191"/>
      <c r="MX49" s="191"/>
      <c r="MY49" s="191"/>
      <c r="MZ49" s="191"/>
      <c r="NA49" s="191"/>
      <c r="NB49" s="191"/>
      <c r="NC49" s="191"/>
      <c r="ND49" s="191"/>
      <c r="NE49" s="191"/>
      <c r="NF49" s="191"/>
      <c r="NG49" s="191"/>
      <c r="NH49" s="191"/>
      <c r="NI49" s="191"/>
      <c r="NJ49" s="191"/>
      <c r="NK49" s="191"/>
      <c r="NL49" s="191"/>
      <c r="NM49" s="191"/>
      <c r="NN49" s="191"/>
      <c r="NO49" s="191"/>
      <c r="NP49" s="191"/>
      <c r="NQ49" s="191"/>
      <c r="NR49" s="191"/>
      <c r="NS49" s="191"/>
      <c r="NT49" s="191"/>
      <c r="NU49" s="191"/>
      <c r="NV49" s="191"/>
      <c r="NW49" s="191"/>
      <c r="NX49" s="191"/>
      <c r="NY49" s="191"/>
      <c r="NZ49" s="191"/>
      <c r="OA49" s="191"/>
      <c r="OB49" s="191"/>
      <c r="OC49" s="191"/>
      <c r="OD49" s="191"/>
      <c r="OE49" s="191"/>
      <c r="OF49" s="191"/>
      <c r="OG49" s="191"/>
      <c r="OH49" s="191"/>
      <c r="OI49" s="191"/>
      <c r="OJ49" s="191"/>
      <c r="OK49" s="191"/>
      <c r="OL49" s="191"/>
      <c r="OM49" s="191"/>
      <c r="ON49" s="191"/>
      <c r="OO49" s="191"/>
      <c r="OP49" s="191"/>
      <c r="OQ49" s="191"/>
      <c r="OR49" s="191"/>
      <c r="OS49" s="191"/>
      <c r="OT49" s="191"/>
      <c r="OU49" s="191"/>
      <c r="OV49" s="191"/>
      <c r="OW49" s="191"/>
      <c r="OX49" s="191"/>
      <c r="OY49" s="191"/>
      <c r="OZ49" s="191"/>
      <c r="PA49" s="191"/>
      <c r="PB49" s="191"/>
      <c r="PC49" s="191"/>
      <c r="PD49" s="191"/>
      <c r="PE49" s="191"/>
      <c r="PF49" s="191"/>
      <c r="PG49" s="191"/>
      <c r="PH49" s="191"/>
      <c r="PI49" s="191"/>
      <c r="PJ49" s="191"/>
      <c r="PK49" s="191"/>
      <c r="PL49" s="191"/>
      <c r="PM49" s="191"/>
      <c r="PN49" s="191"/>
      <c r="PO49" s="191"/>
      <c r="PP49" s="191"/>
      <c r="PQ49" s="191"/>
      <c r="PR49" s="191"/>
      <c r="PS49" s="191"/>
      <c r="PT49" s="191"/>
      <c r="PU49" s="191"/>
      <c r="PV49" s="191"/>
      <c r="PW49" s="191"/>
      <c r="PX49" s="191"/>
      <c r="PY49" s="191"/>
      <c r="PZ49" s="191"/>
      <c r="QA49" s="191"/>
      <c r="QB49" s="191"/>
      <c r="QC49" s="191"/>
      <c r="QD49" s="191"/>
      <c r="QE49" s="191"/>
      <c r="QF49" s="191"/>
      <c r="QG49" s="191"/>
      <c r="QH49" s="191"/>
      <c r="QI49" s="191"/>
      <c r="QJ49" s="191"/>
      <c r="QK49" s="191"/>
      <c r="QL49" s="191"/>
      <c r="QM49" s="191"/>
      <c r="QN49" s="191"/>
      <c r="QO49" s="191"/>
      <c r="QP49" s="191"/>
      <c r="QQ49" s="191"/>
      <c r="QR49" s="191"/>
      <c r="QS49" s="191"/>
      <c r="QT49" s="191"/>
      <c r="QU49" s="191"/>
      <c r="QV49" s="191"/>
      <c r="QW49" s="191"/>
      <c r="QX49" s="191"/>
      <c r="QY49" s="191"/>
      <c r="QZ49" s="191"/>
      <c r="RA49" s="191"/>
      <c r="RB49" s="191"/>
      <c r="RC49" s="191"/>
      <c r="RD49" s="191"/>
      <c r="RE49" s="191"/>
      <c r="RF49" s="191"/>
      <c r="RG49" s="191"/>
      <c r="RH49" s="191"/>
      <c r="RI49" s="191"/>
      <c r="RJ49" s="191"/>
      <c r="RK49" s="191"/>
      <c r="RL49" s="191"/>
      <c r="RM49" s="191"/>
      <c r="RN49" s="191"/>
      <c r="RO49" s="191"/>
      <c r="RP49" s="191"/>
      <c r="RQ49" s="191"/>
      <c r="RR49" s="191"/>
      <c r="RS49" s="191"/>
      <c r="RT49" s="191"/>
      <c r="RU49" s="191"/>
      <c r="RV49" s="191"/>
      <c r="RW49" s="191"/>
      <c r="RX49" s="191"/>
      <c r="RY49" s="191"/>
      <c r="RZ49" s="191"/>
      <c r="SA49" s="191"/>
      <c r="SB49" s="191"/>
      <c r="SC49" s="191"/>
      <c r="SD49" s="191"/>
      <c r="SE49" s="191"/>
      <c r="SF49" s="191"/>
      <c r="SG49" s="191"/>
      <c r="SH49" s="191"/>
      <c r="SI49" s="191"/>
      <c r="SJ49" s="191"/>
      <c r="SK49" s="191"/>
      <c r="SL49" s="191"/>
      <c r="SM49" s="191"/>
      <c r="SN49" s="191"/>
      <c r="SO49" s="191"/>
      <c r="SP49" s="191"/>
      <c r="SQ49" s="191"/>
      <c r="SR49" s="191"/>
      <c r="SS49" s="191"/>
      <c r="ST49" s="191"/>
      <c r="SU49" s="191"/>
      <c r="SV49" s="191"/>
      <c r="SW49" s="191"/>
      <c r="SX49" s="191"/>
      <c r="SY49" s="191"/>
      <c r="SZ49" s="191"/>
      <c r="TA49" s="191"/>
      <c r="TB49" s="191"/>
      <c r="TC49" s="191"/>
      <c r="TD49" s="191"/>
      <c r="TE49" s="191"/>
      <c r="TF49" s="191"/>
      <c r="TG49" s="191"/>
      <c r="TH49" s="191"/>
      <c r="TI49" s="191"/>
      <c r="TJ49" s="191"/>
      <c r="TK49" s="191"/>
      <c r="TL49" s="191"/>
      <c r="TM49" s="191"/>
      <c r="TN49" s="191"/>
      <c r="TO49" s="191"/>
      <c r="TP49" s="191"/>
      <c r="TQ49" s="191"/>
      <c r="TR49" s="191"/>
      <c r="TS49" s="191"/>
      <c r="TT49" s="191"/>
      <c r="TU49" s="191"/>
      <c r="TV49" s="191"/>
      <c r="TW49" s="191"/>
      <c r="TX49" s="191"/>
      <c r="TY49" s="191"/>
      <c r="TZ49" s="191"/>
      <c r="UA49" s="191"/>
      <c r="UB49" s="191"/>
      <c r="UC49" s="191"/>
      <c r="UD49" s="191"/>
      <c r="UE49" s="191"/>
      <c r="UF49" s="191"/>
      <c r="UG49" s="191"/>
      <c r="UH49" s="191"/>
      <c r="UI49" s="191"/>
      <c r="UJ49" s="191"/>
      <c r="UK49" s="191"/>
      <c r="UL49" s="191"/>
      <c r="UM49" s="191"/>
      <c r="UN49" s="191"/>
      <c r="UO49" s="191"/>
      <c r="UP49" s="191"/>
      <c r="UQ49" s="191"/>
      <c r="UR49" s="191"/>
      <c r="US49" s="191"/>
      <c r="UT49" s="191"/>
      <c r="UU49" s="191"/>
      <c r="UV49" s="191"/>
      <c r="UW49" s="191"/>
      <c r="UX49" s="191"/>
      <c r="UY49" s="191"/>
      <c r="UZ49" s="191"/>
      <c r="VA49" s="191"/>
      <c r="VB49" s="191"/>
      <c r="VC49" s="191"/>
      <c r="VD49" s="191"/>
      <c r="VE49" s="191"/>
      <c r="VF49" s="191"/>
      <c r="VG49" s="191"/>
      <c r="VH49" s="191"/>
      <c r="VI49" s="191"/>
      <c r="VJ49" s="191"/>
      <c r="VK49" s="191"/>
      <c r="VL49" s="191"/>
      <c r="VM49" s="191"/>
      <c r="VN49" s="191"/>
      <c r="VO49" s="191"/>
      <c r="VP49" s="191"/>
      <c r="VQ49" s="191"/>
      <c r="VR49" s="191"/>
      <c r="VS49" s="191"/>
      <c r="VT49" s="191"/>
      <c r="VU49" s="191"/>
      <c r="VV49" s="191"/>
      <c r="VW49" s="191"/>
      <c r="VX49" s="191"/>
      <c r="VY49" s="191"/>
      <c r="VZ49" s="191"/>
      <c r="WA49" s="191"/>
      <c r="WB49" s="191"/>
      <c r="WC49" s="191"/>
      <c r="WD49" s="191"/>
      <c r="WE49" s="191"/>
      <c r="WF49" s="191"/>
      <c r="WG49" s="191"/>
      <c r="WH49" s="191"/>
      <c r="WI49" s="191"/>
      <c r="WJ49" s="191"/>
      <c r="WK49" s="191"/>
      <c r="WL49" s="191"/>
      <c r="WM49" s="191"/>
      <c r="WN49" s="191"/>
      <c r="WO49" s="191"/>
      <c r="WP49" s="191"/>
      <c r="WQ49" s="191"/>
      <c r="WR49" s="191"/>
      <c r="WS49" s="191"/>
      <c r="WT49" s="191"/>
      <c r="WU49" s="191"/>
      <c r="WV49" s="191"/>
      <c r="WW49" s="191"/>
      <c r="WX49" s="191"/>
      <c r="WY49" s="191"/>
      <c r="WZ49" s="191"/>
      <c r="XA49" s="191"/>
      <c r="XB49" s="191"/>
      <c r="XC49" s="191"/>
      <c r="XD49" s="191"/>
      <c r="XE49" s="191"/>
      <c r="XF49" s="191"/>
      <c r="XG49" s="191"/>
      <c r="XH49" s="191"/>
      <c r="XI49" s="191"/>
      <c r="XJ49" s="191"/>
      <c r="XK49" s="191"/>
      <c r="XL49" s="191"/>
      <c r="XM49" s="191"/>
      <c r="XN49" s="191"/>
      <c r="XO49" s="191"/>
      <c r="XP49" s="191"/>
      <c r="XQ49" s="191"/>
      <c r="XR49" s="191"/>
      <c r="XS49" s="191"/>
      <c r="XT49" s="191"/>
      <c r="XU49" s="191"/>
      <c r="XV49" s="191"/>
      <c r="XW49" s="191"/>
      <c r="XX49" s="191"/>
      <c r="XY49" s="191"/>
      <c r="XZ49" s="191"/>
      <c r="YA49" s="191"/>
      <c r="YB49" s="191"/>
      <c r="YC49" s="191"/>
      <c r="YD49" s="191"/>
      <c r="YE49" s="191"/>
      <c r="YF49" s="191"/>
      <c r="YG49" s="191"/>
      <c r="YH49" s="191"/>
      <c r="YI49" s="191"/>
      <c r="YJ49" s="191"/>
      <c r="YK49" s="191"/>
      <c r="YL49" s="191"/>
      <c r="YM49" s="191"/>
      <c r="YN49" s="191"/>
      <c r="YO49" s="191"/>
      <c r="YP49" s="191"/>
      <c r="YQ49" s="191"/>
      <c r="YR49" s="191"/>
      <c r="YS49" s="191"/>
      <c r="YT49" s="191"/>
      <c r="YU49" s="191"/>
      <c r="YV49" s="191"/>
      <c r="YW49" s="191"/>
      <c r="YX49" s="191"/>
      <c r="YY49" s="191"/>
      <c r="YZ49" s="191"/>
      <c r="ZA49" s="191"/>
      <c r="ZB49" s="191"/>
      <c r="ZC49" s="191"/>
      <c r="ZD49" s="191"/>
      <c r="ZE49" s="191"/>
      <c r="ZF49" s="191"/>
      <c r="ZG49" s="191"/>
      <c r="ZH49" s="191"/>
      <c r="ZI49" s="191"/>
      <c r="ZJ49" s="191"/>
      <c r="ZK49" s="191"/>
      <c r="ZL49" s="191"/>
      <c r="ZM49" s="191"/>
      <c r="ZN49" s="191"/>
      <c r="ZO49" s="191"/>
      <c r="ZP49" s="191"/>
      <c r="ZQ49" s="191"/>
      <c r="ZR49" s="191"/>
      <c r="ZS49" s="191"/>
      <c r="ZT49" s="191"/>
      <c r="ZU49" s="191"/>
      <c r="ZV49" s="191"/>
      <c r="ZW49" s="191"/>
      <c r="ZX49" s="191"/>
      <c r="ZY49" s="191"/>
      <c r="ZZ49" s="191"/>
      <c r="AAA49" s="191"/>
      <c r="AAB49" s="191"/>
      <c r="AAC49" s="191"/>
      <c r="AAD49" s="191"/>
      <c r="AAE49" s="191"/>
      <c r="AAF49" s="191"/>
      <c r="AAG49" s="191"/>
      <c r="AAH49" s="191"/>
      <c r="AAI49" s="191"/>
      <c r="AAJ49" s="191"/>
      <c r="AAK49" s="191"/>
      <c r="AAL49" s="191"/>
      <c r="AAM49" s="191"/>
      <c r="AAN49" s="191"/>
      <c r="AAO49" s="191"/>
      <c r="AAP49" s="191"/>
      <c r="AAQ49" s="191"/>
      <c r="AAR49" s="191"/>
      <c r="AAS49" s="191"/>
      <c r="AAT49" s="191"/>
      <c r="AAU49" s="191"/>
      <c r="AAV49" s="191"/>
      <c r="AAW49" s="191"/>
      <c r="AAX49" s="191"/>
      <c r="AAY49" s="191"/>
      <c r="AAZ49" s="191"/>
      <c r="ABA49" s="191"/>
      <c r="ABB49" s="191"/>
      <c r="ABC49" s="191"/>
      <c r="ABD49" s="191"/>
      <c r="ABE49" s="191"/>
      <c r="ABF49" s="191"/>
      <c r="ABG49" s="191"/>
      <c r="ABH49" s="191"/>
      <c r="ABI49" s="191"/>
      <c r="ABJ49" s="191"/>
      <c r="ABK49" s="191"/>
      <c r="ABL49" s="191"/>
      <c r="ABM49" s="191"/>
      <c r="ABN49" s="191"/>
      <c r="ABO49" s="191"/>
      <c r="ABP49" s="191"/>
      <c r="ABQ49" s="191"/>
      <c r="ABR49" s="191"/>
      <c r="ABS49" s="191"/>
      <c r="ABT49" s="191"/>
      <c r="ABU49" s="191"/>
      <c r="ABV49" s="191"/>
      <c r="ABW49" s="191"/>
      <c r="ABX49" s="191"/>
      <c r="ABY49" s="191"/>
      <c r="ABZ49" s="191"/>
      <c r="ACA49" s="191"/>
      <c r="ACB49" s="191"/>
      <c r="ACC49" s="191"/>
      <c r="ACD49" s="191"/>
      <c r="ACE49" s="191"/>
      <c r="ACF49" s="191"/>
      <c r="ACG49" s="191"/>
      <c r="ACH49" s="191"/>
      <c r="ACI49" s="191"/>
      <c r="ACJ49" s="191"/>
      <c r="ACK49" s="191"/>
      <c r="ACL49" s="191"/>
      <c r="ACM49" s="191"/>
      <c r="ACN49" s="191"/>
      <c r="ACO49" s="191"/>
      <c r="ACP49" s="191"/>
      <c r="ACQ49" s="191"/>
      <c r="ACR49" s="191"/>
      <c r="ACS49" s="191"/>
      <c r="ACT49" s="191"/>
      <c r="ACU49" s="191"/>
      <c r="ACV49" s="191"/>
      <c r="ACW49" s="191"/>
      <c r="ACX49" s="191"/>
      <c r="ACY49" s="191"/>
      <c r="ACZ49" s="191"/>
      <c r="ADA49" s="191"/>
      <c r="ADB49" s="191"/>
      <c r="ADC49" s="191"/>
      <c r="ADD49" s="191"/>
      <c r="ADE49" s="191"/>
      <c r="ADF49" s="191"/>
      <c r="ADG49" s="191"/>
      <c r="ADH49" s="191"/>
      <c r="ADI49" s="191"/>
      <c r="ADJ49" s="191"/>
      <c r="ADK49" s="191"/>
      <c r="ADL49" s="191"/>
      <c r="ADM49" s="191"/>
      <c r="ADN49" s="191"/>
      <c r="ADO49" s="191"/>
      <c r="ADP49" s="191"/>
      <c r="ADQ49" s="191"/>
      <c r="ADR49" s="191"/>
      <c r="ADS49" s="191"/>
      <c r="ADT49" s="191"/>
      <c r="ADU49" s="191"/>
      <c r="ADV49" s="191"/>
      <c r="ADW49" s="191"/>
      <c r="ADX49" s="191"/>
      <c r="ADY49" s="191"/>
      <c r="ADZ49" s="191"/>
      <c r="AEA49" s="191"/>
      <c r="AEB49" s="191"/>
      <c r="AEC49" s="191"/>
      <c r="AED49" s="191"/>
      <c r="AEE49" s="191"/>
      <c r="AEF49" s="191"/>
      <c r="AEG49" s="191"/>
      <c r="AEH49" s="191"/>
      <c r="AEI49" s="191"/>
      <c r="AEJ49" s="191"/>
      <c r="AEK49" s="191"/>
      <c r="AEL49" s="191"/>
      <c r="AEM49" s="191"/>
      <c r="AEN49" s="191"/>
      <c r="AEO49" s="191"/>
      <c r="AEP49" s="191"/>
      <c r="AEQ49" s="191"/>
      <c r="AER49" s="191"/>
      <c r="AES49" s="191"/>
      <c r="AET49" s="191"/>
      <c r="AEU49" s="191"/>
      <c r="AEV49" s="191"/>
      <c r="AEW49" s="191"/>
      <c r="AEX49" s="191"/>
      <c r="AEY49" s="191"/>
      <c r="AEZ49" s="191"/>
      <c r="AFA49" s="191"/>
      <c r="AFB49" s="191"/>
      <c r="AFC49" s="191"/>
      <c r="AFD49" s="191"/>
      <c r="AFE49" s="191"/>
      <c r="AFF49" s="191"/>
      <c r="AFG49" s="191"/>
      <c r="AFH49" s="191"/>
      <c r="AFI49" s="191"/>
      <c r="AFJ49" s="191"/>
      <c r="AFK49" s="191"/>
      <c r="AFL49" s="191"/>
      <c r="AFM49" s="191"/>
      <c r="AFN49" s="191"/>
      <c r="AFO49" s="191"/>
      <c r="AFP49" s="191"/>
      <c r="AFQ49" s="191"/>
      <c r="AFR49" s="191"/>
      <c r="AFS49" s="191"/>
      <c r="AFT49" s="191"/>
      <c r="AFU49" s="191"/>
      <c r="AFV49" s="191"/>
      <c r="AFW49" s="191"/>
      <c r="AFX49" s="191"/>
      <c r="AFY49" s="191"/>
      <c r="AFZ49" s="191"/>
      <c r="AGA49" s="191"/>
      <c r="AGB49" s="191"/>
      <c r="AGC49" s="191"/>
      <c r="AGD49" s="191"/>
      <c r="AGE49" s="191"/>
      <c r="AGF49" s="191"/>
      <c r="AGG49" s="191"/>
      <c r="AGH49" s="191"/>
      <c r="AGI49" s="191"/>
      <c r="AGJ49" s="191"/>
      <c r="AGK49" s="191"/>
      <c r="AGL49" s="191"/>
      <c r="AGM49" s="191"/>
      <c r="AGN49" s="191"/>
      <c r="AGO49" s="191"/>
      <c r="AGP49" s="191"/>
      <c r="AGQ49" s="191"/>
      <c r="AGR49" s="191"/>
      <c r="AGS49" s="191"/>
      <c r="AGT49" s="191"/>
      <c r="AGU49" s="191"/>
      <c r="AGV49" s="191"/>
      <c r="AGW49" s="191"/>
      <c r="AGX49" s="191"/>
      <c r="AGY49" s="191"/>
      <c r="AGZ49" s="191"/>
      <c r="AHA49" s="191"/>
      <c r="AHB49" s="191"/>
      <c r="AHC49" s="191"/>
      <c r="AHD49" s="191"/>
      <c r="AHE49" s="191"/>
      <c r="AHF49" s="191"/>
      <c r="AHG49" s="191"/>
      <c r="AHH49" s="191"/>
      <c r="AHI49" s="191"/>
      <c r="AHJ49" s="191"/>
      <c r="AHK49" s="191"/>
      <c r="AHL49" s="191"/>
      <c r="AHM49" s="191"/>
      <c r="AHN49" s="191"/>
      <c r="AHO49" s="191"/>
      <c r="AHP49" s="191"/>
      <c r="AHQ49" s="191"/>
      <c r="AHR49" s="191"/>
      <c r="AHS49" s="191"/>
      <c r="AHT49" s="191"/>
      <c r="AHU49" s="191"/>
      <c r="AHV49" s="191"/>
      <c r="AHW49" s="191"/>
      <c r="AHX49" s="191"/>
      <c r="AHY49" s="191"/>
      <c r="AHZ49" s="191"/>
      <c r="AIA49" s="191"/>
      <c r="AIB49" s="191"/>
      <c r="AIC49" s="191"/>
      <c r="AID49" s="191"/>
      <c r="AIE49" s="191"/>
      <c r="AIF49" s="191"/>
      <c r="AIG49" s="191"/>
      <c r="AIH49" s="191"/>
      <c r="AII49" s="191"/>
      <c r="AIJ49" s="191"/>
      <c r="AIK49" s="191"/>
      <c r="AIL49" s="191"/>
      <c r="AIM49" s="191"/>
      <c r="AIN49" s="191"/>
      <c r="AIO49" s="191"/>
      <c r="AIP49" s="191"/>
      <c r="AIQ49" s="191"/>
      <c r="AIR49" s="191"/>
      <c r="AIS49" s="191"/>
      <c r="AIT49" s="191"/>
      <c r="AIU49" s="191"/>
      <c r="AIV49" s="191"/>
      <c r="AIW49" s="191"/>
      <c r="AIX49" s="191"/>
      <c r="AIY49" s="191"/>
      <c r="AIZ49" s="191"/>
      <c r="AJA49" s="191"/>
      <c r="AJB49" s="191"/>
      <c r="AJC49" s="191"/>
      <c r="AJD49" s="191"/>
      <c r="AJE49" s="191"/>
      <c r="AJF49" s="191"/>
      <c r="AJG49" s="191"/>
      <c r="AJH49" s="191"/>
      <c r="AJI49" s="191"/>
      <c r="AJJ49" s="191"/>
      <c r="AJK49" s="191"/>
      <c r="AJL49" s="191"/>
      <c r="AJM49" s="191"/>
      <c r="AJN49" s="191"/>
      <c r="AJO49" s="191"/>
      <c r="AJP49" s="191"/>
      <c r="AJQ49" s="191"/>
      <c r="AJR49" s="191"/>
      <c r="AJS49" s="191"/>
      <c r="AJT49" s="191"/>
      <c r="AJU49" s="191"/>
      <c r="AJV49" s="191"/>
      <c r="AJW49" s="191"/>
      <c r="AJX49" s="191"/>
      <c r="AJY49" s="191"/>
      <c r="AJZ49" s="191"/>
      <c r="AKA49" s="191"/>
      <c r="AKB49" s="191"/>
      <c r="AKC49" s="191"/>
      <c r="AKD49" s="191"/>
      <c r="AKE49" s="191"/>
      <c r="AKF49" s="191"/>
      <c r="AKG49" s="191"/>
      <c r="AKH49" s="191"/>
      <c r="AKI49" s="191"/>
      <c r="AKJ49" s="191"/>
      <c r="AKK49" s="191"/>
      <c r="AKL49" s="191"/>
      <c r="AKM49" s="191"/>
      <c r="AKN49" s="191"/>
      <c r="AKO49" s="191"/>
      <c r="AKP49" s="191"/>
      <c r="AKQ49" s="191"/>
      <c r="AKR49" s="191"/>
      <c r="AKS49" s="191"/>
      <c r="AKT49" s="191"/>
      <c r="AKU49" s="191"/>
      <c r="AKV49" s="191"/>
      <c r="AKW49" s="191"/>
      <c r="AKX49" s="191"/>
      <c r="AKY49" s="191"/>
      <c r="AKZ49" s="191"/>
      <c r="ALA49" s="191"/>
      <c r="ALB49" s="191"/>
      <c r="ALC49" s="191"/>
      <c r="ALD49" s="191"/>
      <c r="ALE49" s="191"/>
      <c r="ALF49" s="191"/>
      <c r="ALG49" s="191"/>
      <c r="ALH49" s="191"/>
      <c r="ALI49" s="191"/>
      <c r="ALJ49" s="191"/>
      <c r="ALK49" s="191"/>
      <c r="ALL49" s="191"/>
      <c r="ALM49" s="191"/>
      <c r="ALN49" s="191"/>
      <c r="ALO49" s="191"/>
      <c r="ALP49" s="191"/>
      <c r="ALQ49" s="191"/>
      <c r="ALR49" s="191"/>
      <c r="ALS49" s="191"/>
      <c r="ALT49" s="191"/>
      <c r="ALU49" s="191"/>
      <c r="ALV49" s="191"/>
      <c r="ALW49" s="191"/>
      <c r="ALX49" s="191"/>
      <c r="ALY49" s="191"/>
      <c r="ALZ49" s="191"/>
      <c r="AMA49" s="191"/>
      <c r="AMB49" s="191"/>
      <c r="AMC49" s="191"/>
      <c r="AMD49" s="191"/>
      <c r="AME49" s="191"/>
      <c r="AMF49" s="191"/>
      <c r="AMG49" s="191"/>
      <c r="AMH49" s="191"/>
      <c r="AMI49" s="191"/>
      <c r="AMJ49" s="191"/>
      <c r="AMK49" s="191"/>
      <c r="AML49" s="191"/>
      <c r="AMM49" s="191"/>
      <c r="AMN49" s="191"/>
      <c r="AMO49" s="191"/>
      <c r="AMP49" s="191"/>
      <c r="AMQ49" s="191"/>
      <c r="AMR49" s="191"/>
      <c r="AMS49" s="191"/>
      <c r="AMT49" s="191"/>
      <c r="AMU49" s="191"/>
      <c r="AMV49" s="191"/>
      <c r="AMW49" s="191"/>
      <c r="AMX49" s="191"/>
      <c r="AMY49" s="191"/>
      <c r="AMZ49" s="191"/>
      <c r="ANA49" s="191"/>
      <c r="ANB49" s="191"/>
      <c r="ANC49" s="191"/>
      <c r="AND49" s="191"/>
      <c r="ANE49" s="191"/>
      <c r="ANF49" s="191"/>
      <c r="ANG49" s="191"/>
      <c r="ANH49" s="191"/>
      <c r="ANI49" s="191"/>
      <c r="ANJ49" s="191"/>
      <c r="ANK49" s="191"/>
      <c r="ANL49" s="191"/>
      <c r="ANM49" s="191"/>
      <c r="ANN49" s="191"/>
      <c r="ANO49" s="191"/>
      <c r="ANP49" s="191"/>
      <c r="ANQ49" s="191"/>
      <c r="ANR49" s="191"/>
      <c r="ANS49" s="191"/>
      <c r="ANT49" s="191"/>
      <c r="ANU49" s="191"/>
      <c r="ANV49" s="191"/>
      <c r="ANW49" s="191"/>
      <c r="ANX49" s="191"/>
      <c r="ANY49" s="191"/>
      <c r="ANZ49" s="191"/>
      <c r="AOA49" s="191"/>
      <c r="AOB49" s="191"/>
      <c r="AOC49" s="191"/>
      <c r="AOD49" s="191"/>
      <c r="AOE49" s="191"/>
      <c r="AOF49" s="191"/>
      <c r="AOG49" s="191"/>
      <c r="AOH49" s="191"/>
      <c r="AOI49" s="191"/>
      <c r="AOJ49" s="191"/>
      <c r="AOK49" s="191"/>
      <c r="AOL49" s="191"/>
      <c r="AOM49" s="191"/>
      <c r="AON49" s="191"/>
      <c r="AOO49" s="191"/>
      <c r="AOP49" s="191"/>
      <c r="AOQ49" s="191"/>
      <c r="AOR49" s="191"/>
      <c r="AOS49" s="191"/>
      <c r="AOT49" s="191"/>
      <c r="AOU49" s="191"/>
      <c r="AOV49" s="191"/>
      <c r="AOW49" s="191"/>
      <c r="AOX49" s="191"/>
      <c r="AOY49" s="191"/>
      <c r="AOZ49" s="191"/>
      <c r="APA49" s="191"/>
      <c r="APB49" s="191"/>
      <c r="APC49" s="191"/>
      <c r="APD49" s="191"/>
      <c r="APE49" s="191"/>
      <c r="APF49" s="191"/>
      <c r="APG49" s="191"/>
      <c r="APH49" s="191"/>
      <c r="API49" s="191"/>
      <c r="APJ49" s="191"/>
      <c r="APK49" s="191"/>
      <c r="APL49" s="191"/>
      <c r="APM49" s="191"/>
      <c r="APN49" s="191"/>
      <c r="APO49" s="191"/>
      <c r="APP49" s="191"/>
      <c r="APQ49" s="191"/>
      <c r="APR49" s="191"/>
      <c r="APS49" s="191"/>
      <c r="APT49" s="191"/>
      <c r="APU49" s="191"/>
      <c r="APV49" s="191"/>
      <c r="APW49" s="191"/>
      <c r="APX49" s="191"/>
      <c r="APY49" s="191"/>
      <c r="APZ49" s="191"/>
      <c r="AQA49" s="191"/>
      <c r="AQB49" s="191"/>
      <c r="AQC49" s="191"/>
      <c r="AQD49" s="191"/>
      <c r="AQE49" s="191"/>
      <c r="AQF49" s="191"/>
      <c r="AQG49" s="191"/>
      <c r="AQH49" s="191"/>
      <c r="AQI49" s="191"/>
      <c r="AQJ49" s="191"/>
      <c r="AQK49" s="191"/>
      <c r="AQL49" s="191"/>
      <c r="AQM49" s="191"/>
      <c r="AQN49" s="191"/>
      <c r="AQO49" s="191"/>
      <c r="AQP49" s="191"/>
      <c r="AQQ49" s="191"/>
      <c r="AQR49" s="191"/>
      <c r="AQS49" s="191"/>
      <c r="AQT49" s="191"/>
      <c r="AQU49" s="191"/>
      <c r="AQV49" s="191"/>
      <c r="AQW49" s="191"/>
      <c r="AQX49" s="191"/>
      <c r="AQY49" s="191"/>
      <c r="AQZ49" s="191"/>
      <c r="ARA49" s="191"/>
      <c r="ARB49" s="191"/>
      <c r="ARC49" s="191"/>
      <c r="ARD49" s="191"/>
      <c r="ARE49" s="191"/>
      <c r="ARF49" s="191"/>
      <c r="ARG49" s="191"/>
      <c r="ARH49" s="191"/>
      <c r="ARI49" s="191"/>
      <c r="ARJ49" s="191"/>
      <c r="ARK49" s="191"/>
      <c r="ARL49" s="191"/>
      <c r="ARM49" s="191"/>
      <c r="ARN49" s="191"/>
      <c r="ARO49" s="191"/>
      <c r="ARP49" s="191"/>
      <c r="ARQ49" s="191"/>
      <c r="ARR49" s="191"/>
      <c r="ARS49" s="191"/>
      <c r="ART49" s="191"/>
      <c r="ARU49" s="191"/>
      <c r="ARV49" s="191"/>
      <c r="ARW49" s="191"/>
      <c r="ARX49" s="191"/>
      <c r="ARY49" s="191"/>
      <c r="ARZ49" s="191"/>
      <c r="ASA49" s="191"/>
      <c r="ASB49" s="191"/>
      <c r="ASC49" s="191"/>
      <c r="ASD49" s="191"/>
      <c r="ASE49" s="191"/>
      <c r="ASF49" s="191"/>
      <c r="ASG49" s="191"/>
      <c r="ASH49" s="191"/>
      <c r="ASI49" s="191"/>
      <c r="ASJ49" s="191"/>
      <c r="ASK49" s="191"/>
      <c r="ASL49" s="191"/>
      <c r="ASM49" s="191"/>
      <c r="ASN49" s="191"/>
      <c r="ASO49" s="191"/>
      <c r="ASP49" s="191"/>
      <c r="ASQ49" s="191"/>
      <c r="ASR49" s="191"/>
      <c r="ASS49" s="191"/>
      <c r="AST49" s="191"/>
      <c r="ASU49" s="191"/>
      <c r="ASV49" s="191"/>
      <c r="ASW49" s="191"/>
      <c r="ASX49" s="191"/>
      <c r="ASY49" s="191"/>
      <c r="ASZ49" s="191"/>
      <c r="ATA49" s="191"/>
      <c r="ATB49" s="191"/>
      <c r="ATC49" s="191"/>
      <c r="ATD49" s="191"/>
      <c r="ATE49" s="191"/>
      <c r="ATF49" s="191"/>
      <c r="ATG49" s="191"/>
      <c r="ATH49" s="191"/>
      <c r="ATI49" s="191"/>
      <c r="ATJ49" s="191"/>
      <c r="ATK49" s="191"/>
      <c r="ATL49" s="191"/>
      <c r="ATM49" s="191"/>
      <c r="ATN49" s="191"/>
      <c r="ATO49" s="191"/>
      <c r="ATP49" s="191"/>
      <c r="ATQ49" s="191"/>
      <c r="ATR49" s="191"/>
      <c r="ATS49" s="191"/>
      <c r="ATT49" s="191"/>
      <c r="ATU49" s="191"/>
      <c r="ATV49" s="191"/>
      <c r="ATW49" s="191"/>
      <c r="ATX49" s="191"/>
      <c r="ATY49" s="191"/>
      <c r="ATZ49" s="191"/>
      <c r="AUA49" s="191"/>
      <c r="AUB49" s="191"/>
      <c r="AUC49" s="191"/>
      <c r="AUD49" s="191"/>
      <c r="AUE49" s="191"/>
      <c r="AUF49" s="191"/>
      <c r="AUG49" s="191"/>
      <c r="AUH49" s="191"/>
      <c r="AUI49" s="191"/>
      <c r="AUJ49" s="191"/>
      <c r="AUK49" s="191"/>
      <c r="AUL49" s="191"/>
      <c r="AUM49" s="191"/>
      <c r="AUN49" s="191"/>
      <c r="AUO49" s="191"/>
      <c r="AUP49" s="191"/>
      <c r="AUQ49" s="191"/>
      <c r="AUR49" s="191"/>
      <c r="AUS49" s="191"/>
      <c r="AUT49" s="191"/>
      <c r="AUU49" s="191"/>
      <c r="AUV49" s="191"/>
      <c r="AUW49" s="191"/>
      <c r="AUX49" s="191"/>
      <c r="AUY49" s="191"/>
      <c r="AUZ49" s="191"/>
      <c r="AVA49" s="191"/>
      <c r="AVB49" s="191"/>
      <c r="AVC49" s="191"/>
      <c r="AVD49" s="191"/>
      <c r="AVE49" s="191"/>
      <c r="AVF49" s="191"/>
      <c r="AVG49" s="191"/>
      <c r="AVH49" s="191"/>
      <c r="AVI49" s="191"/>
      <c r="AVJ49" s="191"/>
      <c r="AVK49" s="191"/>
      <c r="AVL49" s="191"/>
      <c r="AVM49" s="191"/>
      <c r="AVN49" s="191"/>
      <c r="AVO49" s="191"/>
      <c r="AVP49" s="191"/>
      <c r="AVQ49" s="191"/>
      <c r="AVR49" s="191"/>
      <c r="AVS49" s="191"/>
      <c r="AVT49" s="191"/>
      <c r="AVU49" s="191"/>
      <c r="AVV49" s="191"/>
      <c r="AVW49" s="191"/>
      <c r="AVX49" s="191"/>
      <c r="AVY49" s="191"/>
      <c r="AVZ49" s="191"/>
      <c r="AWA49" s="191"/>
      <c r="AWB49" s="191"/>
      <c r="AWC49" s="191"/>
      <c r="AWD49" s="191"/>
      <c r="AWE49" s="191"/>
      <c r="AWF49" s="191"/>
      <c r="AWG49" s="191"/>
      <c r="AWH49" s="191"/>
      <c r="AWI49" s="191"/>
      <c r="AWJ49" s="191"/>
      <c r="AWK49" s="191"/>
      <c r="AWL49" s="191"/>
      <c r="AWM49" s="191"/>
      <c r="AWN49" s="191"/>
      <c r="AWO49" s="191"/>
      <c r="AWP49" s="191"/>
      <c r="AWQ49" s="191"/>
      <c r="AWR49" s="191"/>
      <c r="AWS49" s="191"/>
      <c r="AWT49" s="191"/>
      <c r="AWU49" s="191"/>
      <c r="AWV49" s="191"/>
      <c r="AWW49" s="191"/>
      <c r="AWX49" s="191"/>
      <c r="AWY49" s="191"/>
      <c r="AWZ49" s="191"/>
      <c r="AXA49" s="191"/>
      <c r="AXB49" s="191"/>
      <c r="AXC49" s="191"/>
      <c r="AXD49" s="191"/>
      <c r="AXE49" s="191"/>
      <c r="AXF49" s="191"/>
      <c r="AXG49" s="191"/>
      <c r="AXH49" s="191"/>
      <c r="AXI49" s="191"/>
      <c r="AXJ49" s="191"/>
      <c r="AXK49" s="191"/>
      <c r="AXL49" s="191"/>
      <c r="AXM49" s="191"/>
      <c r="AXN49" s="191"/>
      <c r="AXO49" s="191"/>
      <c r="AXP49" s="191"/>
      <c r="AXQ49" s="191"/>
      <c r="AXR49" s="191"/>
      <c r="AXS49" s="191"/>
      <c r="AXT49" s="191"/>
      <c r="AXU49" s="191"/>
      <c r="AXV49" s="191"/>
      <c r="AXW49" s="191"/>
      <c r="AXX49" s="191"/>
      <c r="AXY49" s="191"/>
      <c r="AXZ49" s="191"/>
      <c r="AYA49" s="191"/>
      <c r="AYB49" s="191"/>
      <c r="AYC49" s="191"/>
      <c r="AYD49" s="191"/>
      <c r="AYE49" s="191"/>
      <c r="AYF49" s="191"/>
      <c r="AYG49" s="191"/>
      <c r="AYH49" s="191"/>
      <c r="AYI49" s="191"/>
      <c r="AYJ49" s="191"/>
      <c r="AYK49" s="191"/>
      <c r="AYL49" s="191"/>
      <c r="AYM49" s="191"/>
      <c r="AYN49" s="191"/>
      <c r="AYO49" s="191"/>
      <c r="AYP49" s="191"/>
      <c r="AYQ49" s="191"/>
      <c r="AYR49" s="191"/>
      <c r="AYS49" s="191"/>
      <c r="AYT49" s="191"/>
      <c r="AYU49" s="191"/>
      <c r="AYV49" s="191"/>
      <c r="AYW49" s="191"/>
      <c r="AYX49" s="191"/>
      <c r="AYY49" s="191"/>
      <c r="AYZ49" s="191"/>
      <c r="AZA49" s="191"/>
      <c r="AZB49" s="191"/>
      <c r="AZC49" s="191"/>
      <c r="AZD49" s="191"/>
      <c r="AZE49" s="191"/>
      <c r="AZF49" s="191"/>
      <c r="AZG49" s="191"/>
      <c r="AZH49" s="191"/>
      <c r="AZI49" s="191"/>
      <c r="AZJ49" s="191"/>
      <c r="AZK49" s="191"/>
      <c r="AZL49" s="191"/>
      <c r="AZM49" s="191"/>
      <c r="AZN49" s="191"/>
      <c r="AZO49" s="191"/>
      <c r="AZP49" s="191"/>
      <c r="AZQ49" s="191"/>
      <c r="AZR49" s="191"/>
      <c r="AZS49" s="191"/>
      <c r="AZT49" s="191"/>
      <c r="AZU49" s="191"/>
      <c r="AZV49" s="191"/>
      <c r="AZW49" s="191"/>
      <c r="AZX49" s="191"/>
      <c r="AZY49" s="191"/>
      <c r="AZZ49" s="191"/>
      <c r="BAA49" s="191"/>
      <c r="BAB49" s="191"/>
      <c r="BAC49" s="191"/>
      <c r="BAD49" s="191"/>
      <c r="BAE49" s="191"/>
      <c r="BAF49" s="191"/>
      <c r="BAG49" s="191"/>
      <c r="BAH49" s="191"/>
      <c r="BAI49" s="191"/>
      <c r="BAJ49" s="191"/>
      <c r="BAK49" s="191"/>
      <c r="BAL49" s="191"/>
      <c r="BAM49" s="191"/>
      <c r="BAN49" s="191"/>
      <c r="BAO49" s="191"/>
      <c r="BAP49" s="191"/>
      <c r="BAQ49" s="191"/>
      <c r="BAR49" s="191"/>
      <c r="BAS49" s="191"/>
      <c r="BAT49" s="191"/>
      <c r="BAU49" s="191"/>
      <c r="BAV49" s="191"/>
      <c r="BAW49" s="191"/>
      <c r="BAX49" s="191"/>
      <c r="BAY49" s="191"/>
      <c r="BAZ49" s="191"/>
      <c r="BBA49" s="191"/>
      <c r="BBB49" s="191"/>
      <c r="BBC49" s="191"/>
      <c r="BBD49" s="191"/>
      <c r="BBE49" s="191"/>
      <c r="BBF49" s="191"/>
      <c r="BBG49" s="191"/>
      <c r="BBH49" s="191"/>
      <c r="BBI49" s="191"/>
      <c r="BBJ49" s="191"/>
      <c r="BBK49" s="191"/>
      <c r="BBL49" s="191"/>
      <c r="BBM49" s="191"/>
      <c r="BBN49" s="191"/>
      <c r="BBO49" s="191"/>
      <c r="BBP49" s="191"/>
      <c r="BBQ49" s="191"/>
      <c r="BBR49" s="191"/>
      <c r="BBS49" s="191"/>
      <c r="BBT49" s="191"/>
      <c r="BBU49" s="191"/>
      <c r="BBV49" s="191"/>
      <c r="BBW49" s="191"/>
      <c r="BBX49" s="191"/>
      <c r="BBY49" s="191"/>
      <c r="BBZ49" s="191"/>
      <c r="BCA49" s="191"/>
      <c r="BCB49" s="191"/>
      <c r="BCC49" s="191"/>
      <c r="BCD49" s="191"/>
      <c r="BCE49" s="191"/>
      <c r="BCF49" s="191"/>
      <c r="BCG49" s="191"/>
      <c r="BCH49" s="191"/>
      <c r="BCI49" s="191"/>
      <c r="BCJ49" s="191"/>
      <c r="BCK49" s="191"/>
      <c r="BCL49" s="191"/>
      <c r="BCM49" s="191"/>
      <c r="BCN49" s="191"/>
      <c r="BCO49" s="191"/>
      <c r="BCP49" s="191"/>
      <c r="BCQ49" s="191"/>
      <c r="BCR49" s="191"/>
      <c r="BCS49" s="191"/>
      <c r="BCT49" s="191"/>
      <c r="BCU49" s="191"/>
      <c r="BCV49" s="191"/>
      <c r="BCW49" s="191"/>
      <c r="BCX49" s="191"/>
      <c r="BCY49" s="191"/>
      <c r="BCZ49" s="191"/>
      <c r="BDA49" s="191"/>
      <c r="BDB49" s="191"/>
      <c r="BDC49" s="191"/>
      <c r="BDD49" s="191"/>
      <c r="BDE49" s="191"/>
      <c r="BDF49" s="191"/>
      <c r="BDG49" s="191"/>
      <c r="BDH49" s="191"/>
      <c r="BDI49" s="191"/>
      <c r="BDJ49" s="191"/>
      <c r="BDK49" s="191"/>
      <c r="BDL49" s="191"/>
      <c r="BDM49" s="191"/>
      <c r="BDN49" s="191"/>
      <c r="BDO49" s="191"/>
      <c r="BDP49" s="191"/>
      <c r="BDQ49" s="191"/>
      <c r="BDR49" s="191"/>
      <c r="BDS49" s="191"/>
      <c r="BDT49" s="191"/>
      <c r="BDU49" s="191"/>
      <c r="BDV49" s="191"/>
      <c r="BDW49" s="191"/>
      <c r="BDX49" s="191"/>
      <c r="BDY49" s="191"/>
      <c r="BDZ49" s="191"/>
      <c r="BEA49" s="191"/>
      <c r="BEB49" s="191"/>
      <c r="BEC49" s="191"/>
      <c r="BED49" s="191"/>
      <c r="BEE49" s="191"/>
      <c r="BEF49" s="191"/>
      <c r="BEG49" s="191"/>
      <c r="BEH49" s="191"/>
      <c r="BEI49" s="191"/>
      <c r="BEJ49" s="191"/>
      <c r="BEK49" s="191"/>
      <c r="BEL49" s="191"/>
      <c r="BEM49" s="191"/>
      <c r="BEN49" s="191"/>
      <c r="BEO49" s="191"/>
      <c r="BEP49" s="191"/>
      <c r="BEQ49" s="191"/>
      <c r="BER49" s="191"/>
      <c r="BES49" s="191"/>
      <c r="BET49" s="191"/>
      <c r="BEU49" s="191"/>
      <c r="BEV49" s="191"/>
      <c r="BEW49" s="191"/>
      <c r="BEX49" s="191"/>
      <c r="BEY49" s="191"/>
      <c r="BEZ49" s="191"/>
      <c r="BFA49" s="191"/>
      <c r="BFB49" s="191"/>
      <c r="BFC49" s="191"/>
      <c r="BFD49" s="191"/>
      <c r="BFE49" s="191"/>
      <c r="BFF49" s="191"/>
      <c r="BFG49" s="191"/>
      <c r="BFH49" s="191"/>
      <c r="BFI49" s="191"/>
      <c r="BFJ49" s="191"/>
      <c r="BFK49" s="191"/>
      <c r="BFL49" s="191"/>
      <c r="BFM49" s="191"/>
      <c r="BFN49" s="191"/>
      <c r="BFO49" s="191"/>
      <c r="BFP49" s="191"/>
      <c r="BFQ49" s="191"/>
      <c r="BFR49" s="191"/>
      <c r="BFS49" s="191"/>
      <c r="BFT49" s="191"/>
      <c r="BFU49" s="191"/>
      <c r="BFV49" s="191"/>
      <c r="BFW49" s="191"/>
      <c r="BFX49" s="191"/>
      <c r="BFY49" s="191"/>
      <c r="BFZ49" s="191"/>
      <c r="BGA49" s="191"/>
      <c r="BGB49" s="191"/>
      <c r="BGC49" s="191"/>
      <c r="BGD49" s="191"/>
      <c r="BGE49" s="191"/>
      <c r="BGF49" s="191"/>
      <c r="BGG49" s="191"/>
      <c r="BGH49" s="191"/>
      <c r="BGI49" s="191"/>
      <c r="BGJ49" s="191"/>
      <c r="BGK49" s="191"/>
      <c r="BGL49" s="191"/>
      <c r="BGM49" s="191"/>
      <c r="BGN49" s="191"/>
      <c r="BGO49" s="191"/>
      <c r="BGP49" s="191"/>
      <c r="BGQ49" s="191"/>
      <c r="BGR49" s="191"/>
      <c r="BGS49" s="191"/>
      <c r="BGT49" s="191"/>
      <c r="BGU49" s="191"/>
      <c r="BGV49" s="191"/>
      <c r="BGW49" s="191"/>
      <c r="BGX49" s="191"/>
      <c r="BGY49" s="191"/>
      <c r="BGZ49" s="191"/>
      <c r="BHA49" s="191"/>
      <c r="BHB49" s="191"/>
      <c r="BHC49" s="191"/>
      <c r="BHD49" s="191"/>
      <c r="BHE49" s="191"/>
      <c r="BHF49" s="191"/>
      <c r="BHG49" s="191"/>
      <c r="BHH49" s="191"/>
      <c r="BHI49" s="191"/>
      <c r="BHJ49" s="191"/>
      <c r="BHK49" s="191"/>
      <c r="BHL49" s="191"/>
      <c r="BHM49" s="191"/>
      <c r="BHN49" s="191"/>
      <c r="BHO49" s="191"/>
      <c r="BHP49" s="191"/>
      <c r="BHQ49" s="191"/>
      <c r="BHR49" s="191"/>
      <c r="BHS49" s="191"/>
      <c r="BHT49" s="191"/>
      <c r="BHU49" s="191"/>
      <c r="BHV49" s="191"/>
      <c r="BHW49" s="191"/>
      <c r="BHX49" s="191"/>
      <c r="BHY49" s="191"/>
      <c r="BHZ49" s="191"/>
      <c r="BIA49" s="191"/>
      <c r="BIB49" s="191"/>
      <c r="BIC49" s="191"/>
      <c r="BID49" s="191"/>
      <c r="BIE49" s="191"/>
      <c r="BIF49" s="191"/>
      <c r="BIG49" s="191"/>
      <c r="BIH49" s="191"/>
      <c r="BII49" s="191"/>
      <c r="BIJ49" s="191"/>
      <c r="BIK49" s="191"/>
      <c r="BIL49" s="191"/>
      <c r="BIM49" s="191"/>
      <c r="BIN49" s="191"/>
      <c r="BIO49" s="191"/>
      <c r="BIP49" s="191"/>
      <c r="BIQ49" s="191"/>
      <c r="BIR49" s="191"/>
      <c r="BIS49" s="191"/>
      <c r="BIT49" s="191"/>
      <c r="BIU49" s="191"/>
      <c r="BIV49" s="191"/>
      <c r="BIW49" s="191"/>
      <c r="BIX49" s="191"/>
      <c r="BIY49" s="191"/>
      <c r="BIZ49" s="191"/>
      <c r="BJA49" s="191"/>
      <c r="BJB49" s="191"/>
      <c r="BJC49" s="191"/>
      <c r="BJD49" s="191"/>
      <c r="BJE49" s="191"/>
      <c r="BJF49" s="191"/>
      <c r="BJG49" s="191"/>
      <c r="BJH49" s="191"/>
      <c r="BJI49" s="191"/>
      <c r="BJJ49" s="191"/>
      <c r="BJK49" s="191"/>
      <c r="BJL49" s="191"/>
      <c r="BJM49" s="191"/>
      <c r="BJN49" s="191"/>
      <c r="BJO49" s="191"/>
      <c r="BJP49" s="191"/>
      <c r="BJQ49" s="191"/>
      <c r="BJR49" s="191"/>
      <c r="BJS49" s="191"/>
      <c r="BJT49" s="191"/>
      <c r="BJU49" s="191"/>
      <c r="BJV49" s="191"/>
      <c r="BJW49" s="191"/>
      <c r="BJX49" s="191"/>
      <c r="BJY49" s="191"/>
      <c r="BJZ49" s="191"/>
      <c r="BKA49" s="191"/>
      <c r="BKB49" s="191"/>
      <c r="BKC49" s="191"/>
      <c r="BKD49" s="191"/>
      <c r="BKE49" s="191"/>
      <c r="BKF49" s="191"/>
      <c r="BKG49" s="191"/>
      <c r="BKH49" s="191"/>
      <c r="BKI49" s="191"/>
      <c r="BKJ49" s="191"/>
      <c r="BKK49" s="191"/>
      <c r="BKL49" s="191"/>
      <c r="BKM49" s="191"/>
      <c r="BKN49" s="191"/>
      <c r="BKO49" s="191"/>
      <c r="BKP49" s="191"/>
      <c r="BKQ49" s="191"/>
      <c r="BKR49" s="191"/>
      <c r="BKS49" s="191"/>
      <c r="BKT49" s="191"/>
      <c r="BKU49" s="191"/>
      <c r="BKV49" s="191"/>
      <c r="BKW49" s="191"/>
      <c r="BKX49" s="191"/>
      <c r="BKY49" s="191"/>
      <c r="BKZ49" s="191"/>
      <c r="BLA49" s="191"/>
      <c r="BLB49" s="191"/>
      <c r="BLC49" s="191"/>
      <c r="BLD49" s="191"/>
      <c r="BLE49" s="191"/>
      <c r="BLF49" s="191"/>
      <c r="BLG49" s="191"/>
      <c r="BLH49" s="191"/>
      <c r="BLI49" s="191"/>
      <c r="BLJ49" s="191"/>
      <c r="BLK49" s="191"/>
      <c r="BLL49" s="191"/>
      <c r="BLM49" s="191"/>
      <c r="BLN49" s="191"/>
      <c r="BLO49" s="191"/>
      <c r="BLP49" s="191"/>
      <c r="BLQ49" s="191"/>
      <c r="BLR49" s="191"/>
      <c r="BLS49" s="191"/>
      <c r="BLT49" s="191"/>
      <c r="BLU49" s="191"/>
      <c r="BLV49" s="191"/>
      <c r="BLW49" s="191"/>
      <c r="BLX49" s="191"/>
      <c r="BLY49" s="191"/>
      <c r="BLZ49" s="191"/>
      <c r="BMA49" s="191"/>
      <c r="BMB49" s="191"/>
      <c r="BMC49" s="191"/>
      <c r="BMD49" s="191"/>
      <c r="BME49" s="191"/>
      <c r="BMF49" s="191"/>
      <c r="BMG49" s="191"/>
      <c r="BMH49" s="191"/>
      <c r="BMI49" s="191"/>
      <c r="BMJ49" s="191"/>
      <c r="BMK49" s="191"/>
      <c r="BML49" s="191"/>
      <c r="BMM49" s="191"/>
      <c r="BMN49" s="191"/>
      <c r="BMO49" s="191"/>
      <c r="BMP49" s="191"/>
      <c r="BMQ49" s="191"/>
      <c r="BMR49" s="191"/>
      <c r="BMS49" s="191"/>
      <c r="BMT49" s="191"/>
      <c r="BMU49" s="191"/>
      <c r="BMV49" s="191"/>
      <c r="BMW49" s="191"/>
      <c r="BMX49" s="191"/>
      <c r="BMY49" s="191"/>
      <c r="BMZ49" s="191"/>
      <c r="BNA49" s="191"/>
      <c r="BNB49" s="191"/>
      <c r="BNC49" s="191"/>
      <c r="BND49" s="191"/>
      <c r="BNE49" s="191"/>
      <c r="BNF49" s="191"/>
      <c r="BNG49" s="191"/>
      <c r="BNH49" s="191"/>
      <c r="BNI49" s="191"/>
      <c r="BNJ49" s="191"/>
      <c r="BNK49" s="191"/>
      <c r="BNL49" s="191"/>
      <c r="BNM49" s="191"/>
      <c r="BNN49" s="191"/>
      <c r="BNO49" s="191"/>
      <c r="BNP49" s="191"/>
      <c r="BNQ49" s="191"/>
      <c r="BNR49" s="191"/>
      <c r="BNS49" s="191"/>
      <c r="BNT49" s="191"/>
      <c r="BNU49" s="191"/>
      <c r="BNV49" s="191"/>
      <c r="BNW49" s="191"/>
      <c r="BNX49" s="191"/>
      <c r="BNY49" s="191"/>
      <c r="BNZ49" s="191"/>
      <c r="BOA49" s="191"/>
      <c r="BOB49" s="191"/>
      <c r="BOC49" s="191"/>
      <c r="BOD49" s="191"/>
      <c r="BOE49" s="191"/>
      <c r="BOF49" s="191"/>
      <c r="BOG49" s="191"/>
      <c r="BOH49" s="191"/>
      <c r="BOI49" s="191"/>
      <c r="BOJ49" s="191"/>
      <c r="BOK49" s="191"/>
      <c r="BOL49" s="191"/>
      <c r="BOM49" s="191"/>
      <c r="BON49" s="191"/>
      <c r="BOO49" s="191"/>
      <c r="BOP49" s="191"/>
      <c r="BOQ49" s="191"/>
      <c r="BOR49" s="191"/>
      <c r="BOS49" s="191"/>
      <c r="BOT49" s="191"/>
      <c r="BOU49" s="191"/>
      <c r="BOV49" s="191"/>
      <c r="BOW49" s="191"/>
      <c r="BOX49" s="191"/>
      <c r="BOY49" s="191"/>
      <c r="BOZ49" s="191"/>
      <c r="BPA49" s="191"/>
      <c r="BPB49" s="191"/>
      <c r="BPC49" s="191"/>
      <c r="BPD49" s="191"/>
      <c r="BPE49" s="191"/>
      <c r="BPF49" s="191"/>
      <c r="BPG49" s="191"/>
      <c r="BPH49" s="191"/>
      <c r="BPI49" s="191"/>
      <c r="BPJ49" s="191"/>
      <c r="BPK49" s="191"/>
      <c r="BPL49" s="191"/>
      <c r="BPM49" s="191"/>
      <c r="BPN49" s="191"/>
      <c r="BPO49" s="191"/>
      <c r="BPP49" s="191"/>
      <c r="BPQ49" s="191"/>
      <c r="BPR49" s="191"/>
      <c r="BPS49" s="191"/>
      <c r="BPT49" s="191"/>
      <c r="BPU49" s="191"/>
      <c r="BPV49" s="191"/>
      <c r="BPW49" s="191"/>
      <c r="BPX49" s="191"/>
      <c r="BPY49" s="191"/>
      <c r="BPZ49" s="191"/>
      <c r="BQA49" s="191"/>
      <c r="BQB49" s="191"/>
      <c r="BQC49" s="191"/>
      <c r="BQD49" s="191"/>
      <c r="BQE49" s="191"/>
      <c r="BQF49" s="191"/>
      <c r="BQG49" s="191"/>
      <c r="BQH49" s="191"/>
      <c r="BQI49" s="191"/>
      <c r="BQJ49" s="191"/>
      <c r="BQK49" s="191"/>
      <c r="BQL49" s="191"/>
      <c r="BQM49" s="191"/>
      <c r="BQN49" s="191"/>
      <c r="BQO49" s="191"/>
      <c r="BQP49" s="191"/>
      <c r="BQQ49" s="191"/>
      <c r="BQR49" s="191"/>
      <c r="BQS49" s="191"/>
      <c r="BQT49" s="191"/>
      <c r="BQU49" s="191"/>
      <c r="BQV49" s="191"/>
      <c r="BQW49" s="191"/>
      <c r="BQX49" s="191"/>
      <c r="BQY49" s="191"/>
      <c r="BQZ49" s="191"/>
      <c r="BRA49" s="191"/>
      <c r="BRB49" s="191"/>
      <c r="BRC49" s="191"/>
      <c r="BRD49" s="191"/>
      <c r="BRE49" s="191"/>
      <c r="BRF49" s="191"/>
      <c r="BRG49" s="191"/>
      <c r="BRH49" s="191"/>
      <c r="BRI49" s="191"/>
      <c r="BRJ49" s="191"/>
      <c r="BRK49" s="191"/>
      <c r="BRL49" s="191"/>
      <c r="BRM49" s="191"/>
      <c r="BRN49" s="191"/>
      <c r="BRO49" s="191"/>
      <c r="BRP49" s="191"/>
      <c r="BRQ49" s="191"/>
      <c r="BRR49" s="191"/>
      <c r="BRS49" s="191"/>
      <c r="BRT49" s="191"/>
      <c r="BRU49" s="191"/>
      <c r="BRV49" s="191"/>
      <c r="BRW49" s="191"/>
      <c r="BRX49" s="191"/>
      <c r="BRY49" s="191"/>
      <c r="BRZ49" s="191"/>
      <c r="BSA49" s="191"/>
      <c r="BSB49" s="191"/>
      <c r="BSC49" s="191"/>
      <c r="BSD49" s="191"/>
      <c r="BSE49" s="191"/>
      <c r="BSF49" s="191"/>
      <c r="BSG49" s="191"/>
      <c r="BSH49" s="191"/>
      <c r="BSI49" s="191"/>
      <c r="BSJ49" s="191"/>
      <c r="BSK49" s="191"/>
      <c r="BSL49" s="191"/>
      <c r="BSM49" s="191"/>
      <c r="BSN49" s="191"/>
      <c r="BSO49" s="191"/>
      <c r="BSP49" s="191"/>
      <c r="BSQ49" s="191"/>
      <c r="BSR49" s="191"/>
      <c r="BSS49" s="191"/>
      <c r="BST49" s="191"/>
      <c r="BSU49" s="191"/>
      <c r="BSV49" s="191"/>
      <c r="BSW49" s="191"/>
      <c r="BSX49" s="191"/>
      <c r="BSY49" s="191"/>
      <c r="BSZ49" s="191"/>
      <c r="BTA49" s="191"/>
      <c r="BTB49" s="191"/>
      <c r="BTC49" s="191"/>
      <c r="BTD49" s="191"/>
      <c r="BTE49" s="191"/>
      <c r="BTF49" s="191"/>
      <c r="BTG49" s="191"/>
      <c r="BTH49" s="191"/>
      <c r="BTI49" s="191"/>
      <c r="BTJ49" s="191"/>
      <c r="BTK49" s="191"/>
      <c r="BTL49" s="191"/>
      <c r="BTM49" s="191"/>
      <c r="BTN49" s="191"/>
      <c r="BTO49" s="191"/>
      <c r="BTP49" s="191"/>
      <c r="BTQ49" s="191"/>
      <c r="BTR49" s="191"/>
      <c r="BTS49" s="191"/>
      <c r="BTT49" s="191"/>
      <c r="BTU49" s="191"/>
      <c r="BTV49" s="191"/>
      <c r="BTW49" s="191"/>
      <c r="BTX49" s="191"/>
      <c r="BTY49" s="191"/>
      <c r="BTZ49" s="191"/>
      <c r="BUA49" s="191"/>
      <c r="BUB49" s="191"/>
      <c r="BUC49" s="191"/>
      <c r="BUD49" s="191"/>
      <c r="BUE49" s="191"/>
      <c r="BUF49" s="191"/>
      <c r="BUG49" s="191"/>
      <c r="BUH49" s="191"/>
      <c r="BUI49" s="191"/>
      <c r="BUJ49" s="191"/>
      <c r="BUK49" s="191"/>
      <c r="BUL49" s="191"/>
      <c r="BUM49" s="191"/>
      <c r="BUN49" s="191"/>
      <c r="BUO49" s="191"/>
      <c r="BUP49" s="191"/>
      <c r="BUQ49" s="191"/>
      <c r="BUR49" s="191"/>
      <c r="BUS49" s="191"/>
      <c r="BUT49" s="191"/>
      <c r="BUU49" s="191"/>
      <c r="BUV49" s="191"/>
      <c r="BUW49" s="191"/>
      <c r="BUX49" s="191"/>
      <c r="BUY49" s="191"/>
      <c r="BUZ49" s="191"/>
      <c r="BVA49" s="191"/>
      <c r="BVB49" s="191"/>
      <c r="BVC49" s="191"/>
      <c r="BVD49" s="191"/>
      <c r="BVE49" s="191"/>
      <c r="BVF49" s="191"/>
      <c r="BVG49" s="191"/>
      <c r="BVH49" s="191"/>
      <c r="BVI49" s="191"/>
      <c r="BVJ49" s="191"/>
      <c r="BVK49" s="191"/>
      <c r="BVL49" s="191"/>
      <c r="BVM49" s="191"/>
      <c r="BVN49" s="191"/>
      <c r="BVO49" s="191"/>
      <c r="BVP49" s="191"/>
      <c r="BVQ49" s="191"/>
      <c r="BVR49" s="191"/>
      <c r="BVS49" s="191"/>
      <c r="BVT49" s="191"/>
      <c r="BVU49" s="191"/>
      <c r="BVV49" s="191"/>
      <c r="BVW49" s="191"/>
      <c r="BVX49" s="191"/>
      <c r="BVY49" s="191"/>
      <c r="BVZ49" s="191"/>
      <c r="BWA49" s="191"/>
      <c r="BWB49" s="191"/>
      <c r="BWC49" s="191"/>
      <c r="BWD49" s="191"/>
      <c r="BWE49" s="191"/>
      <c r="BWF49" s="191"/>
      <c r="BWG49" s="191"/>
      <c r="BWH49" s="191"/>
      <c r="BWI49" s="191"/>
      <c r="BWJ49" s="191"/>
      <c r="BWK49" s="191"/>
      <c r="BWL49" s="191"/>
      <c r="BWM49" s="191"/>
      <c r="BWN49" s="191"/>
      <c r="BWO49" s="191"/>
      <c r="BWP49" s="191"/>
      <c r="BWQ49" s="191"/>
      <c r="BWR49" s="191"/>
      <c r="BWS49" s="191"/>
      <c r="BWT49" s="191"/>
      <c r="BWU49" s="191"/>
      <c r="BWV49" s="191"/>
      <c r="BWW49" s="191"/>
      <c r="BWX49" s="191"/>
      <c r="BWY49" s="191"/>
      <c r="BWZ49" s="191"/>
      <c r="BXA49" s="191"/>
      <c r="BXB49" s="191"/>
      <c r="BXC49" s="191"/>
      <c r="BXD49" s="191"/>
      <c r="BXE49" s="191"/>
      <c r="BXF49" s="191"/>
      <c r="BXG49" s="191"/>
      <c r="BXH49" s="191"/>
      <c r="BXI49" s="191"/>
      <c r="BXJ49" s="191"/>
      <c r="BXK49" s="191"/>
      <c r="BXL49" s="191"/>
      <c r="BXM49" s="191"/>
      <c r="BXN49" s="191"/>
      <c r="BXO49" s="191"/>
      <c r="BXP49" s="191"/>
      <c r="BXQ49" s="191"/>
      <c r="BXR49" s="191"/>
      <c r="BXS49" s="191"/>
      <c r="BXT49" s="191"/>
      <c r="BXU49" s="191"/>
      <c r="BXV49" s="191"/>
      <c r="BXW49" s="191"/>
      <c r="BXX49" s="191"/>
      <c r="BXY49" s="191"/>
      <c r="BXZ49" s="191"/>
      <c r="BYA49" s="191"/>
      <c r="BYB49" s="191"/>
      <c r="BYC49" s="191"/>
      <c r="BYD49" s="191"/>
      <c r="BYE49" s="191"/>
      <c r="BYF49" s="191"/>
      <c r="BYG49" s="191"/>
      <c r="BYH49" s="191"/>
      <c r="BYI49" s="191"/>
      <c r="BYJ49" s="191"/>
      <c r="BYK49" s="191"/>
      <c r="BYL49" s="191"/>
      <c r="BYM49" s="191"/>
      <c r="BYN49" s="191"/>
      <c r="BYO49" s="191"/>
      <c r="BYP49" s="191"/>
      <c r="BYQ49" s="191"/>
      <c r="BYR49" s="191"/>
      <c r="BYS49" s="191"/>
      <c r="BYT49" s="191"/>
      <c r="BYU49" s="191"/>
      <c r="BYV49" s="191"/>
      <c r="BYW49" s="191"/>
      <c r="BYX49" s="191"/>
      <c r="BYY49" s="191"/>
      <c r="BYZ49" s="191"/>
      <c r="BZA49" s="191"/>
      <c r="BZB49" s="191"/>
      <c r="BZC49" s="191"/>
      <c r="BZD49" s="191"/>
      <c r="BZE49" s="191"/>
      <c r="BZF49" s="191"/>
      <c r="BZG49" s="191"/>
      <c r="BZH49" s="191"/>
      <c r="BZI49" s="191"/>
      <c r="BZJ49" s="191"/>
      <c r="BZK49" s="191"/>
      <c r="BZL49" s="191"/>
      <c r="BZM49" s="191"/>
      <c r="BZN49" s="191"/>
      <c r="BZO49" s="191"/>
      <c r="BZP49" s="191"/>
      <c r="BZQ49" s="191"/>
      <c r="BZR49" s="191"/>
      <c r="BZS49" s="191"/>
      <c r="BZT49" s="191"/>
      <c r="BZU49" s="191"/>
      <c r="BZV49" s="191"/>
      <c r="BZW49" s="191"/>
      <c r="BZX49" s="191"/>
      <c r="BZY49" s="191"/>
      <c r="BZZ49" s="191"/>
      <c r="CAA49" s="191"/>
      <c r="CAB49" s="191"/>
      <c r="CAC49" s="191"/>
      <c r="CAD49" s="191"/>
      <c r="CAE49" s="191"/>
      <c r="CAF49" s="191"/>
      <c r="CAG49" s="191"/>
      <c r="CAH49" s="191"/>
      <c r="CAI49" s="191"/>
      <c r="CAJ49" s="191"/>
      <c r="CAK49" s="191"/>
      <c r="CAL49" s="191"/>
      <c r="CAM49" s="191"/>
      <c r="CAN49" s="191"/>
      <c r="CAO49" s="191"/>
      <c r="CAP49" s="191"/>
      <c r="CAQ49" s="191"/>
      <c r="CAR49" s="191"/>
      <c r="CAS49" s="191"/>
      <c r="CAT49" s="191"/>
      <c r="CAU49" s="191"/>
      <c r="CAV49" s="191"/>
      <c r="CAW49" s="191"/>
      <c r="CAX49" s="191"/>
      <c r="CAY49" s="191"/>
      <c r="CAZ49" s="191"/>
      <c r="CBA49" s="191"/>
      <c r="CBB49" s="191"/>
      <c r="CBC49" s="191"/>
      <c r="CBD49" s="191"/>
      <c r="CBE49" s="191"/>
      <c r="CBF49" s="191"/>
      <c r="CBG49" s="191"/>
      <c r="CBH49" s="191"/>
      <c r="CBI49" s="191"/>
      <c r="CBJ49" s="191"/>
      <c r="CBK49" s="191"/>
      <c r="CBL49" s="191"/>
      <c r="CBM49" s="191"/>
      <c r="CBN49" s="191"/>
      <c r="CBO49" s="191"/>
      <c r="CBP49" s="191"/>
      <c r="CBQ49" s="191"/>
      <c r="CBR49" s="191"/>
      <c r="CBS49" s="191"/>
      <c r="CBT49" s="191"/>
      <c r="CBU49" s="191"/>
      <c r="CBV49" s="191"/>
      <c r="CBW49" s="191"/>
      <c r="CBX49" s="191"/>
      <c r="CBY49" s="191"/>
      <c r="CBZ49" s="191"/>
      <c r="CCA49" s="191"/>
      <c r="CCB49" s="191"/>
      <c r="CCC49" s="191"/>
      <c r="CCD49" s="191"/>
      <c r="CCE49" s="191"/>
      <c r="CCF49" s="191"/>
      <c r="CCG49" s="191"/>
      <c r="CCH49" s="191"/>
      <c r="CCI49" s="191"/>
      <c r="CCJ49" s="191"/>
      <c r="CCK49" s="191"/>
      <c r="CCL49" s="191"/>
      <c r="CCM49" s="191"/>
      <c r="CCN49" s="191"/>
      <c r="CCO49" s="191"/>
      <c r="CCP49" s="191"/>
      <c r="CCQ49" s="191"/>
      <c r="CCR49" s="191"/>
      <c r="CCS49" s="191"/>
      <c r="CCT49" s="191"/>
      <c r="CCU49" s="191"/>
      <c r="CCV49" s="191"/>
      <c r="CCW49" s="191"/>
      <c r="CCX49" s="191"/>
      <c r="CCY49" s="191"/>
      <c r="CCZ49" s="191"/>
      <c r="CDA49" s="191"/>
      <c r="CDB49" s="191"/>
      <c r="CDC49" s="191"/>
      <c r="CDD49" s="191"/>
      <c r="CDE49" s="191"/>
      <c r="CDF49" s="191"/>
      <c r="CDG49" s="191"/>
      <c r="CDH49" s="191"/>
      <c r="CDI49" s="191"/>
      <c r="CDJ49" s="191"/>
      <c r="CDK49" s="191"/>
      <c r="CDL49" s="191"/>
      <c r="CDM49" s="191"/>
      <c r="CDN49" s="191"/>
      <c r="CDO49" s="191"/>
      <c r="CDP49" s="191"/>
      <c r="CDQ49" s="191"/>
      <c r="CDR49" s="191"/>
      <c r="CDS49" s="191"/>
      <c r="CDT49" s="191"/>
      <c r="CDU49" s="191"/>
      <c r="CDV49" s="191"/>
      <c r="CDW49" s="191"/>
      <c r="CDX49" s="191"/>
      <c r="CDY49" s="191"/>
      <c r="CDZ49" s="191"/>
      <c r="CEA49" s="191"/>
      <c r="CEB49" s="191"/>
      <c r="CEC49" s="191"/>
      <c r="CED49" s="191"/>
      <c r="CEE49" s="191"/>
      <c r="CEF49" s="191"/>
      <c r="CEG49" s="191"/>
      <c r="CEH49" s="191"/>
      <c r="CEI49" s="191"/>
      <c r="CEJ49" s="191"/>
      <c r="CEK49" s="191"/>
      <c r="CEL49" s="191"/>
      <c r="CEM49" s="191"/>
      <c r="CEN49" s="191"/>
      <c r="CEO49" s="191"/>
      <c r="CEP49" s="191"/>
      <c r="CEQ49" s="191"/>
      <c r="CER49" s="191"/>
      <c r="CES49" s="191"/>
      <c r="CET49" s="191"/>
      <c r="CEU49" s="191"/>
      <c r="CEV49" s="191"/>
      <c r="CEW49" s="191"/>
      <c r="CEX49" s="191"/>
      <c r="CEY49" s="191"/>
      <c r="CEZ49" s="191"/>
      <c r="CFA49" s="191"/>
      <c r="CFB49" s="191"/>
      <c r="CFC49" s="191"/>
      <c r="CFD49" s="191"/>
      <c r="CFE49" s="191"/>
      <c r="CFF49" s="191"/>
      <c r="CFG49" s="191"/>
      <c r="CFH49" s="191"/>
      <c r="CFI49" s="191"/>
      <c r="CFJ49" s="191"/>
      <c r="CFK49" s="191"/>
      <c r="CFL49" s="191"/>
      <c r="CFM49" s="191"/>
      <c r="CFN49" s="191"/>
      <c r="CFO49" s="191"/>
      <c r="CFP49" s="191"/>
      <c r="CFQ49" s="191"/>
      <c r="CFR49" s="191"/>
      <c r="CFS49" s="191"/>
      <c r="CFT49" s="191"/>
      <c r="CFU49" s="191"/>
      <c r="CFV49" s="191"/>
      <c r="CFW49" s="191"/>
      <c r="CFX49" s="191"/>
      <c r="CFY49" s="191"/>
      <c r="CFZ49" s="191"/>
      <c r="CGA49" s="191"/>
      <c r="CGB49" s="191"/>
      <c r="CGC49" s="191"/>
      <c r="CGD49" s="191"/>
      <c r="CGE49" s="191"/>
      <c r="CGF49" s="191"/>
      <c r="CGG49" s="191"/>
      <c r="CGH49" s="191"/>
      <c r="CGI49" s="191"/>
      <c r="CGJ49" s="191"/>
      <c r="CGK49" s="191"/>
      <c r="CGL49" s="191"/>
      <c r="CGM49" s="191"/>
      <c r="CGN49" s="191"/>
      <c r="CGO49" s="191"/>
      <c r="CGP49" s="191"/>
      <c r="CGQ49" s="191"/>
      <c r="CGR49" s="191"/>
      <c r="CGS49" s="191"/>
      <c r="CGT49" s="191"/>
      <c r="CGU49" s="191"/>
      <c r="CGV49" s="191"/>
      <c r="CGW49" s="191"/>
      <c r="CGX49" s="191"/>
      <c r="CGY49" s="191"/>
      <c r="CGZ49" s="191"/>
      <c r="CHA49" s="191"/>
      <c r="CHB49" s="191"/>
      <c r="CHC49" s="191"/>
      <c r="CHD49" s="191"/>
      <c r="CHE49" s="191"/>
      <c r="CHF49" s="191"/>
      <c r="CHG49" s="191"/>
      <c r="CHH49" s="191"/>
      <c r="CHI49" s="191"/>
      <c r="CHJ49" s="191"/>
      <c r="CHK49" s="191"/>
      <c r="CHL49" s="191"/>
      <c r="CHM49" s="191"/>
      <c r="CHN49" s="191"/>
      <c r="CHO49" s="191"/>
      <c r="CHP49" s="191"/>
      <c r="CHQ49" s="191"/>
      <c r="CHR49" s="191"/>
      <c r="CHS49" s="191"/>
      <c r="CHT49" s="191"/>
      <c r="CHU49" s="191"/>
      <c r="CHV49" s="191"/>
      <c r="CHW49" s="191"/>
      <c r="CHX49" s="191"/>
      <c r="CHY49" s="191"/>
      <c r="CHZ49" s="191"/>
      <c r="CIA49" s="191"/>
      <c r="CIB49" s="191"/>
      <c r="CIC49" s="191"/>
      <c r="CID49" s="191"/>
      <c r="CIE49" s="191"/>
      <c r="CIF49" s="191"/>
      <c r="CIG49" s="191"/>
      <c r="CIH49" s="191"/>
      <c r="CII49" s="191"/>
      <c r="CIJ49" s="191"/>
      <c r="CIK49" s="191"/>
      <c r="CIL49" s="191"/>
      <c r="CIM49" s="191"/>
      <c r="CIN49" s="191"/>
      <c r="CIO49" s="191"/>
      <c r="CIP49" s="191"/>
      <c r="CIQ49" s="191"/>
      <c r="CIR49" s="191"/>
      <c r="CIS49" s="191"/>
      <c r="CIT49" s="191"/>
      <c r="CIU49" s="191"/>
      <c r="CIV49" s="191"/>
      <c r="CIW49" s="191"/>
      <c r="CIX49" s="191"/>
      <c r="CIY49" s="191"/>
      <c r="CIZ49" s="191"/>
      <c r="CJA49" s="191"/>
      <c r="CJB49" s="191"/>
      <c r="CJC49" s="191"/>
      <c r="CJD49" s="191"/>
      <c r="CJE49" s="191"/>
      <c r="CJF49" s="191"/>
      <c r="CJG49" s="191"/>
      <c r="CJH49" s="191"/>
      <c r="CJI49" s="191"/>
      <c r="CJJ49" s="191"/>
      <c r="CJK49" s="191"/>
      <c r="CJL49" s="191"/>
      <c r="CJM49" s="191"/>
      <c r="CJN49" s="191"/>
      <c r="CJO49" s="191"/>
      <c r="CJP49" s="191"/>
      <c r="CJQ49" s="191"/>
      <c r="CJR49" s="191"/>
      <c r="CJS49" s="191"/>
      <c r="CJT49" s="191"/>
      <c r="CJU49" s="191"/>
      <c r="CJV49" s="191"/>
      <c r="CJW49" s="191"/>
      <c r="CJX49" s="191"/>
      <c r="CJY49" s="191"/>
      <c r="CJZ49" s="191"/>
      <c r="CKA49" s="191"/>
      <c r="CKB49" s="191"/>
      <c r="CKC49" s="191"/>
      <c r="CKD49" s="191"/>
      <c r="CKE49" s="191"/>
      <c r="CKF49" s="191"/>
      <c r="CKG49" s="191"/>
      <c r="CKH49" s="191"/>
      <c r="CKI49" s="191"/>
      <c r="CKJ49" s="191"/>
      <c r="CKK49" s="191"/>
      <c r="CKL49" s="191"/>
      <c r="CKM49" s="191"/>
      <c r="CKN49" s="191"/>
      <c r="CKO49" s="191"/>
      <c r="CKP49" s="191"/>
      <c r="CKQ49" s="191"/>
      <c r="CKR49" s="191"/>
      <c r="CKS49" s="191"/>
      <c r="CKT49" s="191"/>
      <c r="CKU49" s="191"/>
      <c r="CKV49" s="191"/>
      <c r="CKW49" s="191"/>
      <c r="CKX49" s="191"/>
      <c r="CKY49" s="191"/>
      <c r="CKZ49" s="191"/>
      <c r="CLA49" s="191"/>
      <c r="CLB49" s="191"/>
      <c r="CLC49" s="191"/>
      <c r="CLD49" s="191"/>
      <c r="CLE49" s="191"/>
      <c r="CLF49" s="191"/>
      <c r="CLG49" s="191"/>
      <c r="CLH49" s="191"/>
      <c r="CLI49" s="191"/>
      <c r="CLJ49" s="191"/>
      <c r="CLK49" s="191"/>
      <c r="CLL49" s="191"/>
      <c r="CLM49" s="191"/>
      <c r="CLN49" s="191"/>
      <c r="CLO49" s="191"/>
      <c r="CLP49" s="191"/>
      <c r="CLQ49" s="191"/>
      <c r="CLR49" s="191"/>
      <c r="CLS49" s="191"/>
      <c r="CLT49" s="191"/>
      <c r="CLU49" s="191"/>
      <c r="CLV49" s="191"/>
      <c r="CLW49" s="191"/>
      <c r="CLX49" s="191"/>
      <c r="CLY49" s="191"/>
      <c r="CLZ49" s="191"/>
      <c r="CMA49" s="191"/>
      <c r="CMB49" s="191"/>
      <c r="CMC49" s="191"/>
      <c r="CMD49" s="191"/>
      <c r="CME49" s="191"/>
      <c r="CMF49" s="191"/>
      <c r="CMG49" s="191"/>
      <c r="CMH49" s="191"/>
      <c r="CMI49" s="191"/>
      <c r="CMJ49" s="191"/>
      <c r="CMK49" s="191"/>
      <c r="CML49" s="191"/>
      <c r="CMM49" s="191"/>
      <c r="CMN49" s="191"/>
      <c r="CMO49" s="191"/>
      <c r="CMP49" s="191"/>
      <c r="CMQ49" s="191"/>
      <c r="CMR49" s="191"/>
      <c r="CMS49" s="191"/>
      <c r="CMT49" s="191"/>
      <c r="CMU49" s="191"/>
      <c r="CMV49" s="191"/>
      <c r="CMW49" s="191"/>
      <c r="CMX49" s="191"/>
      <c r="CMY49" s="191"/>
      <c r="CMZ49" s="191"/>
      <c r="CNA49" s="191"/>
      <c r="CNB49" s="191"/>
      <c r="CNC49" s="191"/>
      <c r="CND49" s="191"/>
      <c r="CNE49" s="191"/>
      <c r="CNF49" s="191"/>
      <c r="CNG49" s="191"/>
      <c r="CNH49" s="191"/>
      <c r="CNI49" s="191"/>
      <c r="CNJ49" s="191"/>
      <c r="CNK49" s="191"/>
      <c r="CNL49" s="191"/>
      <c r="CNM49" s="191"/>
      <c r="CNN49" s="191"/>
      <c r="CNO49" s="191"/>
      <c r="CNP49" s="191"/>
      <c r="CNQ49" s="191"/>
      <c r="CNR49" s="191"/>
      <c r="CNS49" s="191"/>
      <c r="CNT49" s="191"/>
      <c r="CNU49" s="191"/>
      <c r="CNV49" s="191"/>
      <c r="CNW49" s="191"/>
      <c r="CNX49" s="191"/>
      <c r="CNY49" s="191"/>
      <c r="CNZ49" s="191"/>
      <c r="COA49" s="191"/>
      <c r="COB49" s="191"/>
      <c r="COC49" s="191"/>
      <c r="COD49" s="191"/>
      <c r="COE49" s="191"/>
      <c r="COF49" s="191"/>
      <c r="COG49" s="191"/>
      <c r="COH49" s="191"/>
      <c r="COI49" s="191"/>
      <c r="COJ49" s="191"/>
      <c r="COK49" s="191"/>
      <c r="COL49" s="191"/>
      <c r="COM49" s="191"/>
      <c r="CON49" s="191"/>
      <c r="COO49" s="191"/>
      <c r="COP49" s="191"/>
      <c r="COQ49" s="191"/>
      <c r="COR49" s="191"/>
      <c r="COS49" s="191"/>
      <c r="COT49" s="191"/>
      <c r="COU49" s="191"/>
      <c r="COV49" s="191"/>
      <c r="COW49" s="191"/>
      <c r="COX49" s="191"/>
      <c r="COY49" s="191"/>
      <c r="COZ49" s="191"/>
      <c r="CPA49" s="191"/>
      <c r="CPB49" s="191"/>
      <c r="CPC49" s="191"/>
      <c r="CPD49" s="191"/>
      <c r="CPE49" s="191"/>
      <c r="CPF49" s="191"/>
      <c r="CPG49" s="191"/>
      <c r="CPH49" s="191"/>
      <c r="CPI49" s="191"/>
      <c r="CPJ49" s="191"/>
      <c r="CPK49" s="191"/>
      <c r="CPL49" s="191"/>
      <c r="CPM49" s="191"/>
      <c r="CPN49" s="191"/>
      <c r="CPO49" s="191"/>
      <c r="CPP49" s="191"/>
      <c r="CPQ49" s="191"/>
      <c r="CPR49" s="191"/>
      <c r="CPS49" s="191"/>
      <c r="CPT49" s="191"/>
      <c r="CPU49" s="191"/>
      <c r="CPV49" s="191"/>
      <c r="CPW49" s="191"/>
      <c r="CPX49" s="191"/>
      <c r="CPY49" s="191"/>
      <c r="CPZ49" s="191"/>
      <c r="CQA49" s="191"/>
      <c r="CQB49" s="191"/>
      <c r="CQC49" s="191"/>
      <c r="CQD49" s="191"/>
      <c r="CQE49" s="191"/>
      <c r="CQF49" s="191"/>
      <c r="CQG49" s="191"/>
      <c r="CQH49" s="191"/>
      <c r="CQI49" s="191"/>
      <c r="CQJ49" s="191"/>
      <c r="CQK49" s="191"/>
      <c r="CQL49" s="191"/>
      <c r="CQM49" s="191"/>
      <c r="CQN49" s="191"/>
      <c r="CQO49" s="191"/>
      <c r="CQP49" s="191"/>
      <c r="CQQ49" s="191"/>
      <c r="CQR49" s="191"/>
      <c r="CQS49" s="191"/>
      <c r="CQT49" s="191"/>
      <c r="CQU49" s="191"/>
      <c r="CQV49" s="191"/>
      <c r="CQW49" s="191"/>
      <c r="CQX49" s="191"/>
      <c r="CQY49" s="191"/>
      <c r="CQZ49" s="191"/>
      <c r="CRA49" s="191"/>
      <c r="CRB49" s="191"/>
      <c r="CRC49" s="191"/>
      <c r="CRD49" s="191"/>
      <c r="CRE49" s="191"/>
      <c r="CRF49" s="191"/>
      <c r="CRG49" s="191"/>
      <c r="CRH49" s="191"/>
      <c r="CRI49" s="191"/>
      <c r="CRJ49" s="191"/>
      <c r="CRK49" s="191"/>
      <c r="CRL49" s="191"/>
      <c r="CRM49" s="191"/>
      <c r="CRN49" s="191"/>
      <c r="CRO49" s="191"/>
      <c r="CRP49" s="191"/>
      <c r="CRQ49" s="191"/>
      <c r="CRR49" s="191"/>
      <c r="CRS49" s="191"/>
      <c r="CRT49" s="191"/>
      <c r="CRU49" s="191"/>
      <c r="CRV49" s="191"/>
      <c r="CRW49" s="191"/>
      <c r="CRX49" s="191"/>
      <c r="CRY49" s="191"/>
      <c r="CRZ49" s="191"/>
      <c r="CSA49" s="191"/>
      <c r="CSB49" s="191"/>
      <c r="CSC49" s="191"/>
      <c r="CSD49" s="191"/>
      <c r="CSE49" s="191"/>
      <c r="CSF49" s="191"/>
      <c r="CSG49" s="191"/>
      <c r="CSH49" s="191"/>
      <c r="CSI49" s="191"/>
      <c r="CSJ49" s="191"/>
      <c r="CSK49" s="191"/>
      <c r="CSL49" s="191"/>
      <c r="CSM49" s="191"/>
      <c r="CSN49" s="191"/>
      <c r="CSO49" s="191"/>
      <c r="CSP49" s="191"/>
      <c r="CSQ49" s="191"/>
      <c r="CSR49" s="191"/>
      <c r="CSS49" s="191"/>
      <c r="CST49" s="191"/>
      <c r="CSU49" s="191"/>
      <c r="CSV49" s="191"/>
      <c r="CSW49" s="191"/>
      <c r="CSX49" s="191"/>
      <c r="CSY49" s="191"/>
      <c r="CSZ49" s="191"/>
      <c r="CTA49" s="191"/>
      <c r="CTB49" s="191"/>
      <c r="CTC49" s="191"/>
      <c r="CTD49" s="191"/>
      <c r="CTE49" s="191"/>
      <c r="CTF49" s="191"/>
      <c r="CTG49" s="191"/>
      <c r="CTH49" s="191"/>
      <c r="CTI49" s="191"/>
      <c r="CTJ49" s="191"/>
      <c r="CTK49" s="191"/>
      <c r="CTL49" s="191"/>
      <c r="CTM49" s="191"/>
      <c r="CTN49" s="191"/>
      <c r="CTO49" s="191"/>
      <c r="CTP49" s="191"/>
      <c r="CTQ49" s="191"/>
      <c r="CTR49" s="191"/>
      <c r="CTS49" s="191"/>
      <c r="CTT49" s="191"/>
      <c r="CTU49" s="191"/>
      <c r="CTV49" s="191"/>
      <c r="CTW49" s="191"/>
      <c r="CTX49" s="191"/>
      <c r="CTY49" s="191"/>
      <c r="CTZ49" s="191"/>
      <c r="CUA49" s="191"/>
      <c r="CUB49" s="191"/>
      <c r="CUC49" s="191"/>
      <c r="CUD49" s="191"/>
      <c r="CUE49" s="191"/>
      <c r="CUF49" s="191"/>
      <c r="CUG49" s="191"/>
      <c r="CUH49" s="191"/>
      <c r="CUI49" s="191"/>
      <c r="CUJ49" s="191"/>
      <c r="CUK49" s="191"/>
      <c r="CUL49" s="191"/>
      <c r="CUM49" s="191"/>
      <c r="CUN49" s="191"/>
      <c r="CUO49" s="191"/>
      <c r="CUP49" s="191"/>
      <c r="CUQ49" s="191"/>
      <c r="CUR49" s="191"/>
      <c r="CUS49" s="191"/>
      <c r="CUT49" s="191"/>
      <c r="CUU49" s="191"/>
      <c r="CUV49" s="191"/>
      <c r="CUW49" s="191"/>
      <c r="CUX49" s="191"/>
      <c r="CUY49" s="191"/>
      <c r="CUZ49" s="191"/>
      <c r="CVA49" s="191"/>
      <c r="CVB49" s="191"/>
      <c r="CVC49" s="191"/>
      <c r="CVD49" s="191"/>
      <c r="CVE49" s="191"/>
      <c r="CVF49" s="191"/>
      <c r="CVG49" s="191"/>
      <c r="CVH49" s="191"/>
      <c r="CVI49" s="191"/>
      <c r="CVJ49" s="191"/>
      <c r="CVK49" s="191"/>
      <c r="CVL49" s="191"/>
      <c r="CVM49" s="191"/>
      <c r="CVN49" s="191"/>
      <c r="CVO49" s="191"/>
      <c r="CVP49" s="191"/>
      <c r="CVQ49" s="191"/>
      <c r="CVR49" s="191"/>
      <c r="CVS49" s="191"/>
      <c r="CVT49" s="191"/>
      <c r="CVU49" s="191"/>
      <c r="CVV49" s="191"/>
      <c r="CVW49" s="191"/>
      <c r="CVX49" s="191"/>
      <c r="CVY49" s="191"/>
      <c r="CVZ49" s="191"/>
      <c r="CWA49" s="191"/>
      <c r="CWB49" s="191"/>
      <c r="CWC49" s="191"/>
      <c r="CWD49" s="191"/>
      <c r="CWE49" s="191"/>
      <c r="CWF49" s="191"/>
      <c r="CWG49" s="191"/>
      <c r="CWH49" s="191"/>
      <c r="CWI49" s="191"/>
      <c r="CWJ49" s="191"/>
      <c r="CWK49" s="191"/>
      <c r="CWL49" s="191"/>
      <c r="CWM49" s="191"/>
      <c r="CWN49" s="191"/>
      <c r="CWO49" s="191"/>
      <c r="CWP49" s="191"/>
      <c r="CWQ49" s="191"/>
      <c r="CWR49" s="191"/>
      <c r="CWS49" s="191"/>
      <c r="CWT49" s="191"/>
      <c r="CWU49" s="191"/>
      <c r="CWV49" s="191"/>
      <c r="CWW49" s="191"/>
      <c r="CWX49" s="191"/>
      <c r="CWY49" s="191"/>
      <c r="CWZ49" s="191"/>
      <c r="CXA49" s="191"/>
      <c r="CXB49" s="191"/>
      <c r="CXC49" s="191"/>
      <c r="CXD49" s="191"/>
      <c r="CXE49" s="191"/>
      <c r="CXF49" s="191"/>
      <c r="CXG49" s="191"/>
      <c r="CXH49" s="191"/>
      <c r="CXI49" s="191"/>
      <c r="CXJ49" s="191"/>
      <c r="CXK49" s="191"/>
      <c r="CXL49" s="191"/>
      <c r="CXM49" s="191"/>
      <c r="CXN49" s="191"/>
      <c r="CXO49" s="191"/>
      <c r="CXP49" s="191"/>
      <c r="CXQ49" s="191"/>
      <c r="CXR49" s="191"/>
      <c r="CXS49" s="191"/>
      <c r="CXT49" s="191"/>
      <c r="CXU49" s="191"/>
      <c r="CXV49" s="191"/>
      <c r="CXW49" s="191"/>
      <c r="CXX49" s="191"/>
      <c r="CXY49" s="191"/>
      <c r="CXZ49" s="191"/>
      <c r="CYA49" s="191"/>
      <c r="CYB49" s="191"/>
      <c r="CYC49" s="191"/>
      <c r="CYD49" s="191"/>
      <c r="CYE49" s="191"/>
      <c r="CYF49" s="191"/>
      <c r="CYG49" s="191"/>
      <c r="CYH49" s="191"/>
      <c r="CYI49" s="191"/>
      <c r="CYJ49" s="191"/>
      <c r="CYK49" s="191"/>
      <c r="CYL49" s="191"/>
      <c r="CYM49" s="191"/>
      <c r="CYN49" s="191"/>
      <c r="CYO49" s="191"/>
      <c r="CYP49" s="191"/>
      <c r="CYQ49" s="191"/>
      <c r="CYR49" s="191"/>
      <c r="CYS49" s="191"/>
      <c r="CYT49" s="191"/>
      <c r="CYU49" s="191"/>
      <c r="CYV49" s="191"/>
      <c r="CYW49" s="191"/>
      <c r="CYX49" s="191"/>
      <c r="CYY49" s="191"/>
      <c r="CYZ49" s="191"/>
      <c r="CZA49" s="191"/>
      <c r="CZB49" s="191"/>
      <c r="CZC49" s="191"/>
      <c r="CZD49" s="191"/>
      <c r="CZE49" s="191"/>
      <c r="CZF49" s="191"/>
      <c r="CZG49" s="191"/>
      <c r="CZH49" s="191"/>
      <c r="CZI49" s="191"/>
      <c r="CZJ49" s="191"/>
      <c r="CZK49" s="191"/>
      <c r="CZL49" s="191"/>
      <c r="CZM49" s="191"/>
      <c r="CZN49" s="191"/>
      <c r="CZO49" s="191"/>
      <c r="CZP49" s="191"/>
      <c r="CZQ49" s="191"/>
      <c r="CZR49" s="191"/>
      <c r="CZS49" s="191"/>
      <c r="CZT49" s="191"/>
      <c r="CZU49" s="191"/>
      <c r="CZV49" s="191"/>
      <c r="CZW49" s="191"/>
      <c r="CZX49" s="191"/>
      <c r="CZY49" s="191"/>
      <c r="CZZ49" s="191"/>
      <c r="DAA49" s="191"/>
      <c r="DAB49" s="191"/>
      <c r="DAC49" s="191"/>
      <c r="DAD49" s="191"/>
      <c r="DAE49" s="191"/>
      <c r="DAF49" s="191"/>
      <c r="DAG49" s="191"/>
      <c r="DAH49" s="191"/>
      <c r="DAI49" s="191"/>
      <c r="DAJ49" s="191"/>
      <c r="DAK49" s="191"/>
      <c r="DAL49" s="191"/>
      <c r="DAM49" s="191"/>
      <c r="DAN49" s="191"/>
      <c r="DAO49" s="191"/>
      <c r="DAP49" s="191"/>
      <c r="DAQ49" s="191"/>
      <c r="DAR49" s="191"/>
      <c r="DAS49" s="191"/>
      <c r="DAT49" s="191"/>
      <c r="DAU49" s="191"/>
      <c r="DAV49" s="191"/>
      <c r="DAW49" s="191"/>
      <c r="DAX49" s="191"/>
      <c r="DAY49" s="191"/>
      <c r="DAZ49" s="191"/>
      <c r="DBA49" s="191"/>
      <c r="DBB49" s="191"/>
      <c r="DBC49" s="191"/>
      <c r="DBD49" s="191"/>
      <c r="DBE49" s="191"/>
      <c r="DBF49" s="191"/>
      <c r="DBG49" s="191"/>
      <c r="DBH49" s="191"/>
      <c r="DBI49" s="191"/>
      <c r="DBJ49" s="191"/>
      <c r="DBK49" s="191"/>
      <c r="DBL49" s="191"/>
      <c r="DBM49" s="191"/>
      <c r="DBN49" s="191"/>
      <c r="DBO49" s="191"/>
      <c r="DBP49" s="191"/>
      <c r="DBQ49" s="191"/>
      <c r="DBR49" s="191"/>
      <c r="DBS49" s="191"/>
      <c r="DBT49" s="191"/>
      <c r="DBU49" s="191"/>
      <c r="DBV49" s="191"/>
      <c r="DBW49" s="191"/>
      <c r="DBX49" s="191"/>
      <c r="DBY49" s="191"/>
      <c r="DBZ49" s="191"/>
      <c r="DCA49" s="191"/>
      <c r="DCB49" s="191"/>
      <c r="DCC49" s="191"/>
      <c r="DCD49" s="191"/>
      <c r="DCE49" s="191"/>
      <c r="DCF49" s="191"/>
      <c r="DCG49" s="191"/>
      <c r="DCH49" s="191"/>
      <c r="DCI49" s="191"/>
      <c r="DCJ49" s="191"/>
      <c r="DCK49" s="191"/>
      <c r="DCL49" s="191"/>
      <c r="DCM49" s="191"/>
      <c r="DCN49" s="191"/>
      <c r="DCO49" s="191"/>
      <c r="DCP49" s="191"/>
      <c r="DCQ49" s="191"/>
      <c r="DCR49" s="191"/>
      <c r="DCS49" s="191"/>
      <c r="DCT49" s="191"/>
      <c r="DCU49" s="191"/>
      <c r="DCV49" s="191"/>
      <c r="DCW49" s="191"/>
      <c r="DCX49" s="191"/>
      <c r="DCY49" s="191"/>
      <c r="DCZ49" s="191"/>
      <c r="DDA49" s="191"/>
      <c r="DDB49" s="191"/>
      <c r="DDC49" s="191"/>
      <c r="DDD49" s="191"/>
      <c r="DDE49" s="191"/>
      <c r="DDF49" s="191"/>
      <c r="DDG49" s="191"/>
      <c r="DDH49" s="191"/>
      <c r="DDI49" s="191"/>
      <c r="DDJ49" s="191"/>
      <c r="DDK49" s="191"/>
      <c r="DDL49" s="191"/>
      <c r="DDM49" s="191"/>
      <c r="DDN49" s="191"/>
      <c r="DDO49" s="191"/>
      <c r="DDP49" s="191"/>
      <c r="DDQ49" s="191"/>
      <c r="DDR49" s="191"/>
      <c r="DDS49" s="191"/>
      <c r="DDT49" s="191"/>
      <c r="DDU49" s="191"/>
      <c r="DDV49" s="191"/>
      <c r="DDW49" s="191"/>
      <c r="DDX49" s="191"/>
      <c r="DDY49" s="191"/>
      <c r="DDZ49" s="191"/>
      <c r="DEA49" s="191"/>
      <c r="DEB49" s="191"/>
      <c r="DEC49" s="191"/>
      <c r="DED49" s="191"/>
      <c r="DEE49" s="191"/>
      <c r="DEF49" s="191"/>
      <c r="DEG49" s="191"/>
      <c r="DEH49" s="191"/>
      <c r="DEI49" s="191"/>
      <c r="DEJ49" s="191"/>
      <c r="DEK49" s="191"/>
      <c r="DEL49" s="191"/>
      <c r="DEM49" s="191"/>
      <c r="DEN49" s="191"/>
      <c r="DEO49" s="191"/>
      <c r="DEP49" s="191"/>
      <c r="DEQ49" s="191"/>
      <c r="DER49" s="191"/>
      <c r="DES49" s="191"/>
      <c r="DET49" s="191"/>
      <c r="DEU49" s="191"/>
      <c r="DEV49" s="191"/>
      <c r="DEW49" s="191"/>
      <c r="DEX49" s="191"/>
      <c r="DEY49" s="191"/>
      <c r="DEZ49" s="191"/>
      <c r="DFA49" s="191"/>
      <c r="DFB49" s="191"/>
      <c r="DFC49" s="191"/>
      <c r="DFD49" s="191"/>
      <c r="DFE49" s="191"/>
      <c r="DFF49" s="191"/>
      <c r="DFG49" s="191"/>
      <c r="DFH49" s="191"/>
      <c r="DFI49" s="191"/>
      <c r="DFJ49" s="191"/>
      <c r="DFK49" s="191"/>
      <c r="DFL49" s="191"/>
      <c r="DFM49" s="191"/>
      <c r="DFN49" s="191"/>
      <c r="DFO49" s="191"/>
      <c r="DFP49" s="191"/>
      <c r="DFQ49" s="191"/>
      <c r="DFR49" s="191"/>
      <c r="DFS49" s="191"/>
      <c r="DFT49" s="191"/>
      <c r="DFU49" s="191"/>
      <c r="DFV49" s="191"/>
      <c r="DFW49" s="191"/>
      <c r="DFX49" s="191"/>
      <c r="DFY49" s="191"/>
      <c r="DFZ49" s="191"/>
      <c r="DGA49" s="191"/>
      <c r="DGB49" s="191"/>
      <c r="DGC49" s="191"/>
      <c r="DGD49" s="191"/>
      <c r="DGE49" s="191"/>
      <c r="DGF49" s="191"/>
      <c r="DGG49" s="191"/>
      <c r="DGH49" s="191"/>
      <c r="DGI49" s="191"/>
      <c r="DGJ49" s="191"/>
      <c r="DGK49" s="191"/>
      <c r="DGL49" s="191"/>
      <c r="DGM49" s="191"/>
      <c r="DGN49" s="191"/>
      <c r="DGO49" s="191"/>
      <c r="DGP49" s="191"/>
      <c r="DGQ49" s="191"/>
      <c r="DGR49" s="191"/>
      <c r="DGS49" s="191"/>
      <c r="DGT49" s="191"/>
      <c r="DGU49" s="191"/>
      <c r="DGV49" s="191"/>
      <c r="DGW49" s="191"/>
      <c r="DGX49" s="191"/>
      <c r="DGY49" s="191"/>
      <c r="DGZ49" s="191"/>
      <c r="DHA49" s="191"/>
      <c r="DHB49" s="191"/>
      <c r="DHC49" s="191"/>
      <c r="DHD49" s="191"/>
      <c r="DHE49" s="191"/>
      <c r="DHF49" s="191"/>
      <c r="DHG49" s="191"/>
      <c r="DHH49" s="191"/>
      <c r="DHI49" s="191"/>
      <c r="DHJ49" s="191"/>
      <c r="DHK49" s="191"/>
      <c r="DHL49" s="191"/>
      <c r="DHM49" s="191"/>
      <c r="DHN49" s="191"/>
      <c r="DHO49" s="191"/>
      <c r="DHP49" s="191"/>
      <c r="DHQ49" s="191"/>
      <c r="DHR49" s="191"/>
      <c r="DHS49" s="191"/>
      <c r="DHT49" s="191"/>
      <c r="DHU49" s="191"/>
      <c r="DHV49" s="191"/>
      <c r="DHW49" s="191"/>
      <c r="DHX49" s="191"/>
      <c r="DHY49" s="191"/>
      <c r="DHZ49" s="191"/>
      <c r="DIA49" s="191"/>
      <c r="DIB49" s="191"/>
      <c r="DIC49" s="191"/>
      <c r="DID49" s="191"/>
      <c r="DIE49" s="191"/>
      <c r="DIF49" s="191"/>
      <c r="DIG49" s="191"/>
      <c r="DIH49" s="191"/>
      <c r="DII49" s="191"/>
      <c r="DIJ49" s="191"/>
      <c r="DIK49" s="191"/>
      <c r="DIL49" s="191"/>
      <c r="DIM49" s="191"/>
      <c r="DIN49" s="191"/>
      <c r="DIO49" s="191"/>
      <c r="DIP49" s="191"/>
      <c r="DIQ49" s="191"/>
      <c r="DIR49" s="191"/>
      <c r="DIS49" s="191"/>
      <c r="DIT49" s="191"/>
      <c r="DIU49" s="191"/>
      <c r="DIV49" s="191"/>
      <c r="DIW49" s="191"/>
      <c r="DIX49" s="191"/>
      <c r="DIY49" s="191"/>
      <c r="DIZ49" s="191"/>
      <c r="DJA49" s="191"/>
      <c r="DJB49" s="191"/>
      <c r="DJC49" s="191"/>
      <c r="DJD49" s="191"/>
      <c r="DJE49" s="191"/>
      <c r="DJF49" s="191"/>
      <c r="DJG49" s="191"/>
      <c r="DJH49" s="191"/>
      <c r="DJI49" s="191"/>
      <c r="DJJ49" s="191"/>
      <c r="DJK49" s="191"/>
      <c r="DJL49" s="191"/>
      <c r="DJM49" s="191"/>
      <c r="DJN49" s="191"/>
      <c r="DJO49" s="191"/>
      <c r="DJP49" s="191"/>
      <c r="DJQ49" s="191"/>
      <c r="DJR49" s="191"/>
      <c r="DJS49" s="191"/>
      <c r="DJT49" s="191"/>
      <c r="DJU49" s="191"/>
      <c r="DJV49" s="191"/>
      <c r="DJW49" s="191"/>
      <c r="DJX49" s="191"/>
      <c r="DJY49" s="191"/>
      <c r="DJZ49" s="191"/>
      <c r="DKA49" s="191"/>
      <c r="DKB49" s="191"/>
      <c r="DKC49" s="191"/>
      <c r="DKD49" s="191"/>
      <c r="DKE49" s="191"/>
      <c r="DKF49" s="191"/>
      <c r="DKG49" s="191"/>
      <c r="DKH49" s="191"/>
      <c r="DKI49" s="191"/>
      <c r="DKJ49" s="191"/>
      <c r="DKK49" s="191"/>
      <c r="DKL49" s="191"/>
      <c r="DKM49" s="191"/>
      <c r="DKN49" s="191"/>
      <c r="DKO49" s="191"/>
      <c r="DKP49" s="191"/>
      <c r="DKQ49" s="191"/>
      <c r="DKR49" s="191"/>
      <c r="DKS49" s="191"/>
      <c r="DKT49" s="191"/>
      <c r="DKU49" s="191"/>
      <c r="DKV49" s="191"/>
      <c r="DKW49" s="191"/>
      <c r="DKX49" s="191"/>
      <c r="DKY49" s="191"/>
      <c r="DKZ49" s="191"/>
      <c r="DLA49" s="191"/>
      <c r="DLB49" s="191"/>
      <c r="DLC49" s="191"/>
      <c r="DLD49" s="191"/>
      <c r="DLE49" s="191"/>
      <c r="DLF49" s="191"/>
      <c r="DLG49" s="191"/>
      <c r="DLH49" s="191"/>
      <c r="DLI49" s="191"/>
      <c r="DLJ49" s="191"/>
      <c r="DLK49" s="191"/>
      <c r="DLL49" s="191"/>
      <c r="DLM49" s="191"/>
      <c r="DLN49" s="191"/>
      <c r="DLO49" s="191"/>
      <c r="DLP49" s="191"/>
      <c r="DLQ49" s="191"/>
      <c r="DLR49" s="191"/>
      <c r="DLS49" s="191"/>
      <c r="DLT49" s="191"/>
      <c r="DLU49" s="191"/>
      <c r="DLV49" s="191"/>
      <c r="DLW49" s="191"/>
      <c r="DLX49" s="191"/>
      <c r="DLY49" s="191"/>
      <c r="DLZ49" s="191"/>
      <c r="DMA49" s="191"/>
      <c r="DMB49" s="191"/>
      <c r="DMC49" s="191"/>
      <c r="DMD49" s="191"/>
      <c r="DME49" s="191"/>
      <c r="DMF49" s="191"/>
      <c r="DMG49" s="191"/>
      <c r="DMH49" s="191"/>
      <c r="DMI49" s="191"/>
      <c r="DMJ49" s="191"/>
      <c r="DMK49" s="191"/>
      <c r="DML49" s="191"/>
      <c r="DMM49" s="191"/>
      <c r="DMN49" s="191"/>
      <c r="DMO49" s="191"/>
      <c r="DMP49" s="191"/>
      <c r="DMQ49" s="191"/>
      <c r="DMR49" s="191"/>
      <c r="DMS49" s="191"/>
      <c r="DMT49" s="191"/>
      <c r="DMU49" s="191"/>
      <c r="DMV49" s="191"/>
      <c r="DMW49" s="191"/>
      <c r="DMX49" s="191"/>
      <c r="DMY49" s="191"/>
      <c r="DMZ49" s="191"/>
      <c r="DNA49" s="191"/>
      <c r="DNB49" s="191"/>
      <c r="DNC49" s="191"/>
      <c r="DND49" s="191"/>
      <c r="DNE49" s="191"/>
      <c r="DNF49" s="191"/>
      <c r="DNG49" s="191"/>
      <c r="DNH49" s="191"/>
      <c r="DNI49" s="191"/>
      <c r="DNJ49" s="191"/>
      <c r="DNK49" s="191"/>
      <c r="DNL49" s="191"/>
      <c r="DNM49" s="191"/>
      <c r="DNN49" s="191"/>
      <c r="DNO49" s="191"/>
      <c r="DNP49" s="191"/>
      <c r="DNQ49" s="191"/>
      <c r="DNR49" s="191"/>
      <c r="DNS49" s="191"/>
      <c r="DNT49" s="191"/>
      <c r="DNU49" s="191"/>
      <c r="DNV49" s="191"/>
      <c r="DNW49" s="191"/>
      <c r="DNX49" s="191"/>
      <c r="DNY49" s="191"/>
      <c r="DNZ49" s="191"/>
      <c r="DOA49" s="191"/>
      <c r="DOB49" s="191"/>
      <c r="DOC49" s="191"/>
      <c r="DOD49" s="191"/>
      <c r="DOE49" s="191"/>
      <c r="DOF49" s="191"/>
      <c r="DOG49" s="191"/>
      <c r="DOH49" s="191"/>
      <c r="DOI49" s="191"/>
      <c r="DOJ49" s="191"/>
      <c r="DOK49" s="191"/>
      <c r="DOL49" s="191"/>
      <c r="DOM49" s="191"/>
      <c r="DON49" s="191"/>
      <c r="DOO49" s="191"/>
      <c r="DOP49" s="191"/>
      <c r="DOQ49" s="191"/>
      <c r="DOR49" s="191"/>
      <c r="DOS49" s="191"/>
      <c r="DOT49" s="191"/>
      <c r="DOU49" s="191"/>
      <c r="DOV49" s="191"/>
      <c r="DOW49" s="191"/>
      <c r="DOX49" s="191"/>
      <c r="DOY49" s="191"/>
      <c r="DOZ49" s="191"/>
      <c r="DPA49" s="191"/>
      <c r="DPB49" s="191"/>
      <c r="DPC49" s="191"/>
      <c r="DPD49" s="191"/>
      <c r="DPE49" s="191"/>
      <c r="DPF49" s="191"/>
      <c r="DPG49" s="191"/>
      <c r="DPH49" s="191"/>
      <c r="DPI49" s="191"/>
      <c r="DPJ49" s="191"/>
      <c r="DPK49" s="191"/>
      <c r="DPL49" s="191"/>
      <c r="DPM49" s="191"/>
      <c r="DPN49" s="191"/>
      <c r="DPO49" s="191"/>
      <c r="DPP49" s="191"/>
      <c r="DPQ49" s="191"/>
      <c r="DPR49" s="191"/>
      <c r="DPS49" s="191"/>
      <c r="DPT49" s="191"/>
      <c r="DPU49" s="191"/>
      <c r="DPV49" s="191"/>
      <c r="DPW49" s="191"/>
      <c r="DPX49" s="191"/>
      <c r="DPY49" s="191"/>
      <c r="DPZ49" s="191"/>
      <c r="DQA49" s="191"/>
      <c r="DQB49" s="191"/>
      <c r="DQC49" s="191"/>
      <c r="DQD49" s="191"/>
      <c r="DQE49" s="191"/>
      <c r="DQF49" s="191"/>
      <c r="DQG49" s="191"/>
      <c r="DQH49" s="191"/>
      <c r="DQI49" s="191"/>
      <c r="DQJ49" s="191"/>
      <c r="DQK49" s="191"/>
      <c r="DQL49" s="191"/>
      <c r="DQM49" s="191"/>
      <c r="DQN49" s="191"/>
      <c r="DQO49" s="191"/>
      <c r="DQP49" s="191"/>
      <c r="DQQ49" s="191"/>
      <c r="DQR49" s="191"/>
      <c r="DQS49" s="191"/>
      <c r="DQT49" s="191"/>
      <c r="DQU49" s="191"/>
      <c r="DQV49" s="191"/>
      <c r="DQW49" s="191"/>
      <c r="DQX49" s="191"/>
      <c r="DQY49" s="191"/>
      <c r="DQZ49" s="191"/>
      <c r="DRA49" s="191"/>
      <c r="DRB49" s="191"/>
      <c r="DRC49" s="191"/>
      <c r="DRD49" s="191"/>
      <c r="DRE49" s="191"/>
      <c r="DRF49" s="191"/>
      <c r="DRG49" s="191"/>
      <c r="DRH49" s="191"/>
      <c r="DRI49" s="191"/>
      <c r="DRJ49" s="191"/>
      <c r="DRK49" s="191"/>
      <c r="DRL49" s="191"/>
      <c r="DRM49" s="191"/>
      <c r="DRN49" s="191"/>
      <c r="DRO49" s="191"/>
      <c r="DRP49" s="191"/>
      <c r="DRQ49" s="191"/>
      <c r="DRR49" s="191"/>
      <c r="DRS49" s="191"/>
      <c r="DRT49" s="191"/>
      <c r="DRU49" s="191"/>
      <c r="DRV49" s="191"/>
      <c r="DRW49" s="191"/>
      <c r="DRX49" s="191"/>
      <c r="DRY49" s="191"/>
      <c r="DRZ49" s="191"/>
      <c r="DSA49" s="191"/>
      <c r="DSB49" s="191"/>
      <c r="DSC49" s="191"/>
      <c r="DSD49" s="191"/>
      <c r="DSE49" s="191"/>
      <c r="DSF49" s="191"/>
      <c r="DSG49" s="191"/>
      <c r="DSH49" s="191"/>
      <c r="DSI49" s="191"/>
      <c r="DSJ49" s="191"/>
      <c r="DSK49" s="191"/>
      <c r="DSL49" s="191"/>
      <c r="DSM49" s="191"/>
      <c r="DSN49" s="191"/>
      <c r="DSO49" s="191"/>
      <c r="DSP49" s="191"/>
      <c r="DSQ49" s="191"/>
      <c r="DSR49" s="191"/>
      <c r="DSS49" s="191"/>
      <c r="DST49" s="191"/>
      <c r="DSU49" s="191"/>
      <c r="DSV49" s="191"/>
      <c r="DSW49" s="191"/>
      <c r="DSX49" s="191"/>
      <c r="DSY49" s="191"/>
      <c r="DSZ49" s="191"/>
      <c r="DTA49" s="191"/>
      <c r="DTB49" s="191"/>
      <c r="DTC49" s="191"/>
      <c r="DTD49" s="191"/>
      <c r="DTE49" s="191"/>
      <c r="DTF49" s="191"/>
      <c r="DTG49" s="191"/>
      <c r="DTH49" s="191"/>
      <c r="DTI49" s="191"/>
      <c r="DTJ49" s="191"/>
      <c r="DTK49" s="191"/>
      <c r="DTL49" s="191"/>
      <c r="DTM49" s="191"/>
      <c r="DTN49" s="191"/>
      <c r="DTO49" s="191"/>
      <c r="DTP49" s="191"/>
      <c r="DTQ49" s="191"/>
      <c r="DTR49" s="191"/>
      <c r="DTS49" s="191"/>
      <c r="DTT49" s="191"/>
      <c r="DTU49" s="191"/>
      <c r="DTV49" s="191"/>
      <c r="DTW49" s="191"/>
      <c r="DTX49" s="191"/>
      <c r="DTY49" s="191"/>
      <c r="DTZ49" s="191"/>
      <c r="DUA49" s="191"/>
      <c r="DUB49" s="191"/>
      <c r="DUC49" s="191"/>
      <c r="DUD49" s="191"/>
      <c r="DUE49" s="191"/>
      <c r="DUF49" s="191"/>
      <c r="DUG49" s="191"/>
      <c r="DUH49" s="191"/>
      <c r="DUI49" s="191"/>
      <c r="DUJ49" s="191"/>
      <c r="DUK49" s="191"/>
      <c r="DUL49" s="191"/>
      <c r="DUM49" s="191"/>
      <c r="DUN49" s="191"/>
      <c r="DUO49" s="191"/>
      <c r="DUP49" s="191"/>
      <c r="DUQ49" s="191"/>
      <c r="DUR49" s="191"/>
      <c r="DUS49" s="191"/>
      <c r="DUT49" s="191"/>
      <c r="DUU49" s="191"/>
      <c r="DUV49" s="191"/>
      <c r="DUW49" s="191"/>
      <c r="DUX49" s="191"/>
      <c r="DUY49" s="191"/>
      <c r="DUZ49" s="191"/>
      <c r="DVA49" s="191"/>
      <c r="DVB49" s="191"/>
      <c r="DVC49" s="191"/>
      <c r="DVD49" s="191"/>
      <c r="DVE49" s="191"/>
      <c r="DVF49" s="191"/>
      <c r="DVG49" s="191"/>
      <c r="DVH49" s="191"/>
      <c r="DVI49" s="191"/>
      <c r="DVJ49" s="191"/>
      <c r="DVK49" s="191"/>
      <c r="DVL49" s="191"/>
      <c r="DVM49" s="191"/>
      <c r="DVN49" s="191"/>
      <c r="DVO49" s="191"/>
      <c r="DVP49" s="191"/>
      <c r="DVQ49" s="191"/>
      <c r="DVR49" s="191"/>
      <c r="DVS49" s="191"/>
      <c r="DVT49" s="191"/>
      <c r="DVU49" s="191"/>
      <c r="DVV49" s="191"/>
      <c r="DVW49" s="191"/>
      <c r="DVX49" s="191"/>
      <c r="DVY49" s="191"/>
      <c r="DVZ49" s="191"/>
      <c r="DWA49" s="191"/>
      <c r="DWB49" s="191"/>
      <c r="DWC49" s="191"/>
      <c r="DWD49" s="191"/>
      <c r="DWE49" s="191"/>
      <c r="DWF49" s="191"/>
      <c r="DWG49" s="191"/>
      <c r="DWH49" s="191"/>
      <c r="DWI49" s="191"/>
      <c r="DWJ49" s="191"/>
      <c r="DWK49" s="191"/>
      <c r="DWL49" s="191"/>
      <c r="DWM49" s="191"/>
      <c r="DWN49" s="191"/>
      <c r="DWO49" s="191"/>
      <c r="DWP49" s="191"/>
      <c r="DWQ49" s="191"/>
      <c r="DWR49" s="191"/>
      <c r="DWS49" s="191"/>
      <c r="DWT49" s="191"/>
      <c r="DWU49" s="191"/>
      <c r="DWV49" s="191"/>
      <c r="DWW49" s="191"/>
      <c r="DWX49" s="191"/>
      <c r="DWY49" s="191"/>
      <c r="DWZ49" s="191"/>
      <c r="DXA49" s="191"/>
      <c r="DXB49" s="191"/>
      <c r="DXC49" s="191"/>
      <c r="DXD49" s="191"/>
      <c r="DXE49" s="191"/>
      <c r="DXF49" s="191"/>
      <c r="DXG49" s="191"/>
      <c r="DXH49" s="191"/>
      <c r="DXI49" s="191"/>
      <c r="DXJ49" s="191"/>
      <c r="DXK49" s="191"/>
      <c r="DXL49" s="191"/>
      <c r="DXM49" s="191"/>
      <c r="DXN49" s="191"/>
      <c r="DXO49" s="191"/>
      <c r="DXP49" s="191"/>
      <c r="DXQ49" s="191"/>
      <c r="DXR49" s="191"/>
      <c r="DXS49" s="191"/>
      <c r="DXT49" s="191"/>
      <c r="DXU49" s="191"/>
      <c r="DXV49" s="191"/>
      <c r="DXW49" s="191"/>
      <c r="DXX49" s="191"/>
      <c r="DXY49" s="191"/>
      <c r="DXZ49" s="191"/>
      <c r="DYA49" s="191"/>
      <c r="DYB49" s="191"/>
      <c r="DYC49" s="191"/>
      <c r="DYD49" s="191"/>
      <c r="DYE49" s="191"/>
      <c r="DYF49" s="191"/>
      <c r="DYG49" s="191"/>
      <c r="DYH49" s="191"/>
      <c r="DYI49" s="191"/>
      <c r="DYJ49" s="191"/>
      <c r="DYK49" s="191"/>
      <c r="DYL49" s="191"/>
      <c r="DYM49" s="191"/>
      <c r="DYN49" s="191"/>
      <c r="DYO49" s="191"/>
      <c r="DYP49" s="191"/>
      <c r="DYQ49" s="191"/>
      <c r="DYR49" s="191"/>
      <c r="DYS49" s="191"/>
      <c r="DYT49" s="191"/>
      <c r="DYU49" s="191"/>
      <c r="DYV49" s="191"/>
      <c r="DYW49" s="191"/>
      <c r="DYX49" s="191"/>
      <c r="DYY49" s="191"/>
      <c r="DYZ49" s="191"/>
      <c r="DZA49" s="191"/>
      <c r="DZB49" s="191"/>
      <c r="DZC49" s="191"/>
      <c r="DZD49" s="191"/>
      <c r="DZE49" s="191"/>
      <c r="DZF49" s="191"/>
      <c r="DZG49" s="191"/>
      <c r="DZH49" s="191"/>
      <c r="DZI49" s="191"/>
      <c r="DZJ49" s="191"/>
      <c r="DZK49" s="191"/>
      <c r="DZL49" s="191"/>
      <c r="DZM49" s="191"/>
      <c r="DZN49" s="191"/>
      <c r="DZO49" s="191"/>
      <c r="DZP49" s="191"/>
      <c r="DZQ49" s="191"/>
      <c r="DZR49" s="191"/>
      <c r="DZS49" s="191"/>
      <c r="DZT49" s="191"/>
      <c r="DZU49" s="191"/>
      <c r="DZV49" s="191"/>
      <c r="DZW49" s="191"/>
      <c r="DZX49" s="191"/>
      <c r="DZY49" s="191"/>
      <c r="DZZ49" s="191"/>
      <c r="EAA49" s="191"/>
      <c r="EAB49" s="191"/>
      <c r="EAC49" s="191"/>
      <c r="EAD49" s="191"/>
      <c r="EAE49" s="191"/>
      <c r="EAF49" s="191"/>
      <c r="EAG49" s="191"/>
      <c r="EAH49" s="191"/>
      <c r="EAI49" s="191"/>
      <c r="EAJ49" s="191"/>
      <c r="EAK49" s="191"/>
      <c r="EAL49" s="191"/>
      <c r="EAM49" s="191"/>
      <c r="EAN49" s="191"/>
      <c r="EAO49" s="191"/>
      <c r="EAP49" s="191"/>
      <c r="EAQ49" s="191"/>
      <c r="EAR49" s="191"/>
      <c r="EAS49" s="191"/>
      <c r="EAT49" s="191"/>
      <c r="EAU49" s="191"/>
      <c r="EAV49" s="191"/>
      <c r="EAW49" s="191"/>
      <c r="EAX49" s="191"/>
      <c r="EAY49" s="191"/>
      <c r="EAZ49" s="191"/>
      <c r="EBA49" s="191"/>
      <c r="EBB49" s="191"/>
      <c r="EBC49" s="191"/>
      <c r="EBD49" s="191"/>
      <c r="EBE49" s="191"/>
      <c r="EBF49" s="191"/>
      <c r="EBG49" s="191"/>
      <c r="EBH49" s="191"/>
      <c r="EBI49" s="191"/>
      <c r="EBJ49" s="191"/>
      <c r="EBK49" s="191"/>
      <c r="EBL49" s="191"/>
      <c r="EBM49" s="191"/>
      <c r="EBN49" s="191"/>
      <c r="EBO49" s="191"/>
      <c r="EBP49" s="191"/>
      <c r="EBQ49" s="191"/>
      <c r="EBR49" s="191"/>
      <c r="EBS49" s="191"/>
      <c r="EBT49" s="191"/>
      <c r="EBU49" s="191"/>
      <c r="EBV49" s="191"/>
      <c r="EBW49" s="191"/>
      <c r="EBX49" s="191"/>
      <c r="EBY49" s="191"/>
      <c r="EBZ49" s="191"/>
      <c r="ECA49" s="191"/>
      <c r="ECB49" s="191"/>
      <c r="ECC49" s="191"/>
      <c r="ECD49" s="191"/>
      <c r="ECE49" s="191"/>
      <c r="ECF49" s="191"/>
      <c r="ECG49" s="191"/>
      <c r="ECH49" s="191"/>
      <c r="ECI49" s="191"/>
      <c r="ECJ49" s="191"/>
      <c r="ECK49" s="191"/>
      <c r="ECL49" s="191"/>
      <c r="ECM49" s="191"/>
      <c r="ECN49" s="191"/>
      <c r="ECO49" s="191"/>
      <c r="ECP49" s="191"/>
      <c r="ECQ49" s="191"/>
      <c r="ECR49" s="191"/>
      <c r="ECS49" s="191"/>
      <c r="ECT49" s="191"/>
      <c r="ECU49" s="191"/>
      <c r="ECV49" s="191"/>
      <c r="ECW49" s="191"/>
      <c r="ECX49" s="191"/>
      <c r="ECY49" s="191"/>
      <c r="ECZ49" s="191"/>
      <c r="EDA49" s="191"/>
      <c r="EDB49" s="191"/>
      <c r="EDC49" s="191"/>
      <c r="EDD49" s="191"/>
      <c r="EDE49" s="191"/>
      <c r="EDF49" s="191"/>
      <c r="EDG49" s="191"/>
      <c r="EDH49" s="191"/>
      <c r="EDI49" s="191"/>
      <c r="EDJ49" s="191"/>
      <c r="EDK49" s="191"/>
      <c r="EDL49" s="191"/>
      <c r="EDM49" s="191"/>
      <c r="EDN49" s="191"/>
      <c r="EDO49" s="191"/>
      <c r="EDP49" s="191"/>
      <c r="EDQ49" s="191"/>
      <c r="EDR49" s="191"/>
      <c r="EDS49" s="191"/>
      <c r="EDT49" s="191"/>
      <c r="EDU49" s="191"/>
      <c r="EDV49" s="191"/>
      <c r="EDW49" s="191"/>
      <c r="EDX49" s="191"/>
      <c r="EDY49" s="191"/>
      <c r="EDZ49" s="191"/>
      <c r="EEA49" s="191"/>
      <c r="EEB49" s="191"/>
      <c r="EEC49" s="191"/>
      <c r="EED49" s="191"/>
      <c r="EEE49" s="191"/>
      <c r="EEF49" s="191"/>
      <c r="EEG49" s="191"/>
      <c r="EEH49" s="191"/>
      <c r="EEI49" s="191"/>
      <c r="EEJ49" s="191"/>
      <c r="EEK49" s="191"/>
      <c r="EEL49" s="191"/>
      <c r="EEM49" s="191"/>
      <c r="EEN49" s="191"/>
      <c r="EEO49" s="191"/>
      <c r="EEP49" s="191"/>
      <c r="EEQ49" s="191"/>
      <c r="EER49" s="191"/>
      <c r="EES49" s="191"/>
      <c r="EET49" s="191"/>
      <c r="EEU49" s="191"/>
      <c r="EEV49" s="191"/>
      <c r="EEW49" s="191"/>
      <c r="EEX49" s="191"/>
      <c r="EEY49" s="191"/>
      <c r="EEZ49" s="191"/>
      <c r="EFA49" s="191"/>
      <c r="EFB49" s="191"/>
      <c r="EFC49" s="191"/>
      <c r="EFD49" s="191"/>
      <c r="EFE49" s="191"/>
      <c r="EFF49" s="191"/>
      <c r="EFG49" s="191"/>
      <c r="EFH49" s="191"/>
      <c r="EFI49" s="191"/>
      <c r="EFJ49" s="191"/>
      <c r="EFK49" s="191"/>
      <c r="EFL49" s="191"/>
      <c r="EFM49" s="191"/>
      <c r="EFN49" s="191"/>
      <c r="EFO49" s="191"/>
      <c r="EFP49" s="191"/>
      <c r="EFQ49" s="191"/>
      <c r="EFR49" s="191"/>
      <c r="EFS49" s="191"/>
      <c r="EFT49" s="191"/>
      <c r="EFU49" s="191"/>
      <c r="EFV49" s="191"/>
      <c r="EFW49" s="191"/>
      <c r="EFX49" s="191"/>
      <c r="EFY49" s="191"/>
      <c r="EFZ49" s="191"/>
      <c r="EGA49" s="191"/>
      <c r="EGB49" s="191"/>
      <c r="EGC49" s="191"/>
      <c r="EGD49" s="191"/>
      <c r="EGE49" s="191"/>
      <c r="EGF49" s="191"/>
      <c r="EGG49" s="191"/>
      <c r="EGH49" s="191"/>
      <c r="EGI49" s="191"/>
      <c r="EGJ49" s="191"/>
      <c r="EGK49" s="191"/>
      <c r="EGL49" s="191"/>
      <c r="EGM49" s="191"/>
      <c r="EGN49" s="191"/>
      <c r="EGO49" s="191"/>
      <c r="EGP49" s="191"/>
      <c r="EGQ49" s="191"/>
      <c r="EGR49" s="191"/>
      <c r="EGS49" s="191"/>
      <c r="EGT49" s="191"/>
      <c r="EGU49" s="191"/>
      <c r="EGV49" s="191"/>
      <c r="EGW49" s="191"/>
      <c r="EGX49" s="191"/>
      <c r="EGY49" s="191"/>
      <c r="EGZ49" s="191"/>
      <c r="EHA49" s="191"/>
      <c r="EHB49" s="191"/>
      <c r="EHC49" s="191"/>
      <c r="EHD49" s="191"/>
      <c r="EHE49" s="191"/>
      <c r="EHF49" s="191"/>
      <c r="EHG49" s="191"/>
      <c r="EHH49" s="191"/>
      <c r="EHI49" s="191"/>
      <c r="EHJ49" s="191"/>
      <c r="EHK49" s="191"/>
      <c r="EHL49" s="191"/>
      <c r="EHM49" s="191"/>
      <c r="EHN49" s="191"/>
      <c r="EHO49" s="191"/>
      <c r="EHP49" s="191"/>
      <c r="EHQ49" s="191"/>
      <c r="EHR49" s="191"/>
      <c r="EHS49" s="191"/>
      <c r="EHT49" s="191"/>
      <c r="EHU49" s="191"/>
      <c r="EHV49" s="191"/>
      <c r="EHW49" s="191"/>
      <c r="EHX49" s="191"/>
      <c r="EHY49" s="191"/>
      <c r="EHZ49" s="191"/>
      <c r="EIA49" s="191"/>
      <c r="EIB49" s="191"/>
      <c r="EIC49" s="191"/>
      <c r="EID49" s="191"/>
      <c r="EIE49" s="191"/>
      <c r="EIF49" s="191"/>
      <c r="EIG49" s="191"/>
      <c r="EIH49" s="191"/>
      <c r="EII49" s="191"/>
      <c r="EIJ49" s="191"/>
      <c r="EIK49" s="191"/>
      <c r="EIL49" s="191"/>
      <c r="EIM49" s="191"/>
      <c r="EIN49" s="191"/>
      <c r="EIO49" s="191"/>
      <c r="EIP49" s="191"/>
      <c r="EIQ49" s="191"/>
      <c r="EIR49" s="191"/>
      <c r="EIS49" s="191"/>
      <c r="EIT49" s="191"/>
      <c r="EIU49" s="191"/>
      <c r="EIV49" s="191"/>
      <c r="EIW49" s="191"/>
      <c r="EIX49" s="191"/>
      <c r="EIY49" s="191"/>
      <c r="EIZ49" s="191"/>
      <c r="EJA49" s="191"/>
      <c r="EJB49" s="191"/>
      <c r="EJC49" s="191"/>
      <c r="EJD49" s="191"/>
      <c r="EJE49" s="191"/>
      <c r="EJF49" s="191"/>
      <c r="EJG49" s="191"/>
      <c r="EJH49" s="191"/>
      <c r="EJI49" s="191"/>
      <c r="EJJ49" s="191"/>
      <c r="EJK49" s="191"/>
      <c r="EJL49" s="191"/>
      <c r="EJM49" s="191"/>
      <c r="EJN49" s="191"/>
      <c r="EJO49" s="191"/>
      <c r="EJP49" s="191"/>
      <c r="EJQ49" s="191"/>
      <c r="EJR49" s="191"/>
      <c r="EJS49" s="191"/>
      <c r="EJT49" s="191"/>
      <c r="EJU49" s="191"/>
      <c r="EJV49" s="191"/>
      <c r="EJW49" s="191"/>
      <c r="EJX49" s="191"/>
      <c r="EJY49" s="191"/>
      <c r="EJZ49" s="191"/>
      <c r="EKA49" s="191"/>
      <c r="EKB49" s="191"/>
      <c r="EKC49" s="191"/>
      <c r="EKD49" s="191"/>
      <c r="EKE49" s="191"/>
      <c r="EKF49" s="191"/>
      <c r="EKG49" s="191"/>
      <c r="EKH49" s="191"/>
      <c r="EKI49" s="191"/>
      <c r="EKJ49" s="191"/>
      <c r="EKK49" s="191"/>
      <c r="EKL49" s="191"/>
      <c r="EKM49" s="191"/>
      <c r="EKN49" s="191"/>
      <c r="EKO49" s="191"/>
      <c r="EKP49" s="191"/>
      <c r="EKQ49" s="191"/>
      <c r="EKR49" s="191"/>
      <c r="EKS49" s="191"/>
      <c r="EKT49" s="191"/>
      <c r="EKU49" s="191"/>
      <c r="EKV49" s="191"/>
      <c r="EKW49" s="191"/>
      <c r="EKX49" s="191"/>
      <c r="EKY49" s="191"/>
      <c r="EKZ49" s="191"/>
      <c r="ELA49" s="191"/>
      <c r="ELB49" s="191"/>
      <c r="ELC49" s="191"/>
      <c r="ELD49" s="191"/>
      <c r="ELE49" s="191"/>
      <c r="ELF49" s="191"/>
      <c r="ELG49" s="191"/>
      <c r="ELH49" s="191"/>
      <c r="ELI49" s="191"/>
      <c r="ELJ49" s="191"/>
      <c r="ELK49" s="191"/>
      <c r="ELL49" s="191"/>
      <c r="ELM49" s="191"/>
      <c r="ELN49" s="191"/>
      <c r="ELO49" s="191"/>
      <c r="ELP49" s="191"/>
      <c r="ELQ49" s="191"/>
      <c r="ELR49" s="191"/>
      <c r="ELS49" s="191"/>
      <c r="ELT49" s="191"/>
      <c r="ELU49" s="191"/>
      <c r="ELV49" s="191"/>
      <c r="ELW49" s="191"/>
      <c r="ELX49" s="191"/>
      <c r="ELY49" s="191"/>
      <c r="ELZ49" s="191"/>
      <c r="EMA49" s="191"/>
      <c r="EMB49" s="191"/>
      <c r="EMC49" s="191"/>
      <c r="EMD49" s="191"/>
      <c r="EME49" s="191"/>
      <c r="EMF49" s="191"/>
      <c r="EMG49" s="191"/>
      <c r="EMH49" s="191"/>
      <c r="EMI49" s="191"/>
      <c r="EMJ49" s="191"/>
      <c r="EMK49" s="191"/>
      <c r="EML49" s="191"/>
      <c r="EMM49" s="191"/>
      <c r="EMN49" s="191"/>
      <c r="EMO49" s="191"/>
      <c r="EMP49" s="191"/>
      <c r="EMQ49" s="191"/>
      <c r="EMR49" s="191"/>
      <c r="EMS49" s="191"/>
      <c r="EMT49" s="191"/>
      <c r="EMU49" s="191"/>
      <c r="EMV49" s="191"/>
      <c r="EMW49" s="191"/>
      <c r="EMX49" s="191"/>
      <c r="EMY49" s="191"/>
      <c r="EMZ49" s="191"/>
      <c r="ENA49" s="191"/>
      <c r="ENB49" s="191"/>
      <c r="ENC49" s="191"/>
      <c r="END49" s="191"/>
      <c r="ENE49" s="191"/>
      <c r="ENF49" s="191"/>
      <c r="ENG49" s="191"/>
      <c r="ENH49" s="191"/>
      <c r="ENI49" s="191"/>
      <c r="ENJ49" s="191"/>
      <c r="ENK49" s="191"/>
      <c r="ENL49" s="191"/>
      <c r="ENM49" s="191"/>
      <c r="ENN49" s="191"/>
      <c r="ENO49" s="191"/>
      <c r="ENP49" s="191"/>
      <c r="ENQ49" s="191"/>
      <c r="ENR49" s="191"/>
      <c r="ENS49" s="191"/>
      <c r="ENT49" s="191"/>
      <c r="ENU49" s="191"/>
      <c r="ENV49" s="191"/>
      <c r="ENW49" s="191"/>
      <c r="ENX49" s="191"/>
      <c r="ENY49" s="191"/>
      <c r="ENZ49" s="191"/>
      <c r="EOA49" s="191"/>
      <c r="EOB49" s="191"/>
      <c r="EOC49" s="191"/>
      <c r="EOD49" s="191"/>
      <c r="EOE49" s="191"/>
      <c r="EOF49" s="191"/>
      <c r="EOG49" s="191"/>
      <c r="EOH49" s="191"/>
      <c r="EOI49" s="191"/>
      <c r="EOJ49" s="191"/>
      <c r="EOK49" s="191"/>
      <c r="EOL49" s="191"/>
      <c r="EOM49" s="191"/>
      <c r="EON49" s="191"/>
      <c r="EOO49" s="191"/>
      <c r="EOP49" s="191"/>
      <c r="EOQ49" s="191"/>
      <c r="EOR49" s="191"/>
      <c r="EOS49" s="191"/>
      <c r="EOT49" s="191"/>
      <c r="EOU49" s="191"/>
      <c r="EOV49" s="191"/>
      <c r="EOW49" s="191"/>
      <c r="EOX49" s="191"/>
      <c r="EOY49" s="191"/>
      <c r="EOZ49" s="191"/>
      <c r="EPA49" s="191"/>
      <c r="EPB49" s="191"/>
      <c r="EPC49" s="191"/>
      <c r="EPD49" s="191"/>
      <c r="EPE49" s="191"/>
      <c r="EPF49" s="191"/>
      <c r="EPG49" s="191"/>
      <c r="EPH49" s="191"/>
      <c r="EPI49" s="191"/>
      <c r="EPJ49" s="191"/>
      <c r="EPK49" s="191"/>
      <c r="EPL49" s="191"/>
      <c r="EPM49" s="191"/>
      <c r="EPN49" s="191"/>
      <c r="EPO49" s="191"/>
      <c r="EPP49" s="191"/>
      <c r="EPQ49" s="191"/>
      <c r="EPR49" s="191"/>
      <c r="EPS49" s="191"/>
      <c r="EPT49" s="191"/>
      <c r="EPU49" s="191"/>
      <c r="EPV49" s="191"/>
      <c r="EPW49" s="191"/>
      <c r="EPX49" s="191"/>
      <c r="EPY49" s="191"/>
      <c r="EPZ49" s="191"/>
      <c r="EQA49" s="191"/>
      <c r="EQB49" s="191"/>
      <c r="EQC49" s="191"/>
      <c r="EQD49" s="191"/>
      <c r="EQE49" s="191"/>
      <c r="EQF49" s="191"/>
      <c r="EQG49" s="191"/>
      <c r="EQH49" s="191"/>
      <c r="EQI49" s="191"/>
      <c r="EQJ49" s="191"/>
      <c r="EQK49" s="191"/>
      <c r="EQL49" s="191"/>
      <c r="EQM49" s="191"/>
      <c r="EQN49" s="191"/>
      <c r="EQO49" s="191"/>
      <c r="EQP49" s="191"/>
      <c r="EQQ49" s="191"/>
      <c r="EQR49" s="191"/>
      <c r="EQS49" s="191"/>
      <c r="EQT49" s="191"/>
      <c r="EQU49" s="191"/>
      <c r="EQV49" s="191"/>
      <c r="EQW49" s="191"/>
      <c r="EQX49" s="191"/>
      <c r="EQY49" s="191"/>
      <c r="EQZ49" s="191"/>
      <c r="ERA49" s="191"/>
      <c r="ERB49" s="191"/>
      <c r="ERC49" s="191"/>
      <c r="ERD49" s="191"/>
      <c r="ERE49" s="191"/>
      <c r="ERF49" s="191"/>
      <c r="ERG49" s="191"/>
      <c r="ERH49" s="191"/>
      <c r="ERI49" s="191"/>
      <c r="ERJ49" s="191"/>
      <c r="ERK49" s="191"/>
      <c r="ERL49" s="191"/>
      <c r="ERM49" s="191"/>
      <c r="ERN49" s="191"/>
      <c r="ERO49" s="191"/>
      <c r="ERP49" s="191"/>
      <c r="ERQ49" s="191"/>
      <c r="ERR49" s="191"/>
      <c r="ERS49" s="191"/>
      <c r="ERT49" s="191"/>
      <c r="ERU49" s="191"/>
      <c r="ERV49" s="191"/>
      <c r="ERW49" s="191"/>
      <c r="ERX49" s="191"/>
      <c r="ERY49" s="191"/>
      <c r="ERZ49" s="191"/>
      <c r="ESA49" s="191"/>
      <c r="ESB49" s="191"/>
      <c r="ESC49" s="191"/>
      <c r="ESD49" s="191"/>
      <c r="ESE49" s="191"/>
      <c r="ESF49" s="191"/>
      <c r="ESG49" s="191"/>
      <c r="ESH49" s="191"/>
      <c r="ESI49" s="191"/>
      <c r="ESJ49" s="191"/>
      <c r="ESK49" s="191"/>
      <c r="ESL49" s="191"/>
      <c r="ESM49" s="191"/>
      <c r="ESN49" s="191"/>
      <c r="ESO49" s="191"/>
      <c r="ESP49" s="191"/>
      <c r="ESQ49" s="191"/>
      <c r="ESR49" s="191"/>
      <c r="ESS49" s="191"/>
      <c r="EST49" s="191"/>
      <c r="ESU49" s="191"/>
      <c r="ESV49" s="191"/>
      <c r="ESW49" s="191"/>
      <c r="ESX49" s="191"/>
      <c r="ESY49" s="191"/>
      <c r="ESZ49" s="191"/>
      <c r="ETA49" s="191"/>
      <c r="ETB49" s="191"/>
      <c r="ETC49" s="191"/>
      <c r="ETD49" s="191"/>
      <c r="ETE49" s="191"/>
      <c r="ETF49" s="191"/>
      <c r="ETG49" s="191"/>
      <c r="ETH49" s="191"/>
      <c r="ETI49" s="191"/>
      <c r="ETJ49" s="191"/>
      <c r="ETK49" s="191"/>
      <c r="ETL49" s="191"/>
      <c r="ETM49" s="191"/>
      <c r="ETN49" s="191"/>
      <c r="ETO49" s="191"/>
      <c r="ETP49" s="191"/>
      <c r="ETQ49" s="191"/>
      <c r="ETR49" s="191"/>
      <c r="ETS49" s="191"/>
      <c r="ETT49" s="191"/>
      <c r="ETU49" s="191"/>
      <c r="ETV49" s="191"/>
      <c r="ETW49" s="191"/>
      <c r="ETX49" s="191"/>
      <c r="ETY49" s="191"/>
      <c r="ETZ49" s="191"/>
      <c r="EUA49" s="191"/>
      <c r="EUB49" s="191"/>
      <c r="EUC49" s="191"/>
      <c r="EUD49" s="191"/>
      <c r="EUE49" s="191"/>
      <c r="EUF49" s="191"/>
      <c r="EUG49" s="191"/>
      <c r="EUH49" s="191"/>
      <c r="EUI49" s="191"/>
      <c r="EUJ49" s="191"/>
      <c r="EUK49" s="191"/>
      <c r="EUL49" s="191"/>
      <c r="EUM49" s="191"/>
      <c r="EUN49" s="191"/>
      <c r="EUO49" s="191"/>
      <c r="EUP49" s="191"/>
      <c r="EUQ49" s="191"/>
      <c r="EUR49" s="191"/>
      <c r="EUS49" s="191"/>
      <c r="EUT49" s="191"/>
      <c r="EUU49" s="191"/>
      <c r="EUV49" s="191"/>
      <c r="EUW49" s="191"/>
      <c r="EUX49" s="191"/>
      <c r="EUY49" s="191"/>
      <c r="EUZ49" s="191"/>
      <c r="EVA49" s="191"/>
      <c r="EVB49" s="191"/>
      <c r="EVC49" s="191"/>
      <c r="EVD49" s="191"/>
      <c r="EVE49" s="191"/>
      <c r="EVF49" s="191"/>
      <c r="EVG49" s="191"/>
      <c r="EVH49" s="191"/>
      <c r="EVI49" s="191"/>
      <c r="EVJ49" s="191"/>
      <c r="EVK49" s="191"/>
      <c r="EVL49" s="191"/>
      <c r="EVM49" s="191"/>
      <c r="EVN49" s="191"/>
      <c r="EVO49" s="191"/>
      <c r="EVP49" s="191"/>
      <c r="EVQ49" s="191"/>
      <c r="EVR49" s="191"/>
      <c r="EVS49" s="191"/>
      <c r="EVT49" s="191"/>
      <c r="EVU49" s="191"/>
      <c r="EVV49" s="191"/>
      <c r="EVW49" s="191"/>
      <c r="EVX49" s="191"/>
      <c r="EVY49" s="191"/>
      <c r="EVZ49" s="191"/>
      <c r="EWA49" s="191"/>
      <c r="EWB49" s="191"/>
      <c r="EWC49" s="191"/>
      <c r="EWD49" s="191"/>
      <c r="EWE49" s="191"/>
      <c r="EWF49" s="191"/>
      <c r="EWG49" s="191"/>
      <c r="EWH49" s="191"/>
      <c r="EWI49" s="191"/>
      <c r="EWJ49" s="191"/>
      <c r="EWK49" s="191"/>
      <c r="EWL49" s="191"/>
      <c r="EWM49" s="191"/>
      <c r="EWN49" s="191"/>
      <c r="EWO49" s="191"/>
      <c r="EWP49" s="191"/>
      <c r="EWQ49" s="191"/>
      <c r="EWR49" s="191"/>
      <c r="EWS49" s="191"/>
      <c r="EWT49" s="191"/>
      <c r="EWU49" s="191"/>
      <c r="EWV49" s="191"/>
      <c r="EWW49" s="191"/>
      <c r="EWX49" s="191"/>
      <c r="EWY49" s="191"/>
      <c r="EWZ49" s="191"/>
      <c r="EXA49" s="191"/>
      <c r="EXB49" s="191"/>
      <c r="EXC49" s="191"/>
      <c r="EXD49" s="191"/>
      <c r="EXE49" s="191"/>
      <c r="EXF49" s="191"/>
      <c r="EXG49" s="191"/>
      <c r="EXH49" s="191"/>
      <c r="EXI49" s="191"/>
      <c r="EXJ49" s="191"/>
      <c r="EXK49" s="191"/>
      <c r="EXL49" s="191"/>
      <c r="EXM49" s="191"/>
      <c r="EXN49" s="191"/>
      <c r="EXO49" s="191"/>
      <c r="EXP49" s="191"/>
      <c r="EXQ49" s="191"/>
      <c r="EXR49" s="191"/>
      <c r="EXS49" s="191"/>
      <c r="EXT49" s="191"/>
      <c r="EXU49" s="191"/>
      <c r="EXV49" s="191"/>
      <c r="EXW49" s="191"/>
      <c r="EXX49" s="191"/>
      <c r="EXY49" s="191"/>
      <c r="EXZ49" s="191"/>
      <c r="EYA49" s="191"/>
      <c r="EYB49" s="191"/>
      <c r="EYC49" s="191"/>
      <c r="EYD49" s="191"/>
      <c r="EYE49" s="191"/>
      <c r="EYF49" s="191"/>
      <c r="EYG49" s="191"/>
      <c r="EYH49" s="191"/>
      <c r="EYI49" s="191"/>
      <c r="EYJ49" s="191"/>
      <c r="EYK49" s="191"/>
      <c r="EYL49" s="191"/>
      <c r="EYM49" s="191"/>
      <c r="EYN49" s="191"/>
      <c r="EYO49" s="191"/>
      <c r="EYP49" s="191"/>
      <c r="EYQ49" s="191"/>
      <c r="EYR49" s="191"/>
      <c r="EYS49" s="191"/>
      <c r="EYT49" s="191"/>
      <c r="EYU49" s="191"/>
      <c r="EYV49" s="191"/>
      <c r="EYW49" s="191"/>
      <c r="EYX49" s="191"/>
      <c r="EYY49" s="191"/>
      <c r="EYZ49" s="191"/>
      <c r="EZA49" s="191"/>
      <c r="EZB49" s="191"/>
      <c r="EZC49" s="191"/>
      <c r="EZD49" s="191"/>
      <c r="EZE49" s="191"/>
      <c r="EZF49" s="191"/>
      <c r="EZG49" s="191"/>
      <c r="EZH49" s="191"/>
      <c r="EZI49" s="191"/>
      <c r="EZJ49" s="191"/>
      <c r="EZK49" s="191"/>
      <c r="EZL49" s="191"/>
      <c r="EZM49" s="191"/>
      <c r="EZN49" s="191"/>
      <c r="EZO49" s="191"/>
      <c r="EZP49" s="191"/>
      <c r="EZQ49" s="191"/>
      <c r="EZR49" s="191"/>
      <c r="EZS49" s="191"/>
      <c r="EZT49" s="191"/>
      <c r="EZU49" s="191"/>
      <c r="EZV49" s="191"/>
      <c r="EZW49" s="191"/>
      <c r="EZX49" s="191"/>
      <c r="EZY49" s="191"/>
      <c r="EZZ49" s="191"/>
      <c r="FAA49" s="191"/>
      <c r="FAB49" s="191"/>
      <c r="FAC49" s="191"/>
      <c r="FAD49" s="191"/>
      <c r="FAE49" s="191"/>
      <c r="FAF49" s="191"/>
      <c r="FAG49" s="191"/>
      <c r="FAH49" s="191"/>
      <c r="FAI49" s="191"/>
      <c r="FAJ49" s="191"/>
      <c r="FAK49" s="191"/>
      <c r="FAL49" s="191"/>
      <c r="FAM49" s="191"/>
      <c r="FAN49" s="191"/>
      <c r="FAO49" s="191"/>
      <c r="FAP49" s="191"/>
      <c r="FAQ49" s="191"/>
      <c r="FAR49" s="191"/>
      <c r="FAS49" s="191"/>
      <c r="FAT49" s="191"/>
      <c r="FAU49" s="191"/>
      <c r="FAV49" s="191"/>
      <c r="FAW49" s="191"/>
      <c r="FAX49" s="191"/>
      <c r="FAY49" s="191"/>
      <c r="FAZ49" s="191"/>
      <c r="FBA49" s="191"/>
      <c r="FBB49" s="191"/>
      <c r="FBC49" s="191"/>
      <c r="FBD49" s="191"/>
      <c r="FBE49" s="191"/>
      <c r="FBF49" s="191"/>
      <c r="FBG49" s="191"/>
      <c r="FBH49" s="191"/>
      <c r="FBI49" s="191"/>
      <c r="FBJ49" s="191"/>
      <c r="FBK49" s="191"/>
      <c r="FBL49" s="191"/>
      <c r="FBM49" s="191"/>
      <c r="FBN49" s="191"/>
      <c r="FBO49" s="191"/>
      <c r="FBP49" s="191"/>
      <c r="FBQ49" s="191"/>
      <c r="FBR49" s="191"/>
      <c r="FBS49" s="191"/>
      <c r="FBT49" s="191"/>
      <c r="FBU49" s="191"/>
      <c r="FBV49" s="191"/>
      <c r="FBW49" s="191"/>
      <c r="FBX49" s="191"/>
      <c r="FBY49" s="191"/>
      <c r="FBZ49" s="191"/>
      <c r="FCA49" s="191"/>
      <c r="FCB49" s="191"/>
      <c r="FCC49" s="191"/>
      <c r="FCD49" s="191"/>
      <c r="FCE49" s="191"/>
      <c r="FCF49" s="191"/>
      <c r="FCG49" s="191"/>
      <c r="FCH49" s="191"/>
      <c r="FCI49" s="191"/>
      <c r="FCJ49" s="191"/>
      <c r="FCK49" s="191"/>
      <c r="FCL49" s="191"/>
      <c r="FCM49" s="191"/>
      <c r="FCN49" s="191"/>
      <c r="FCO49" s="191"/>
      <c r="FCP49" s="191"/>
      <c r="FCQ49" s="191"/>
      <c r="FCR49" s="191"/>
      <c r="FCS49" s="191"/>
      <c r="FCT49" s="191"/>
      <c r="FCU49" s="191"/>
      <c r="FCV49" s="191"/>
      <c r="FCW49" s="191"/>
      <c r="FCX49" s="191"/>
      <c r="FCY49" s="191"/>
      <c r="FCZ49" s="191"/>
      <c r="FDA49" s="191"/>
      <c r="FDB49" s="191"/>
      <c r="FDC49" s="191"/>
      <c r="FDD49" s="191"/>
      <c r="FDE49" s="191"/>
      <c r="FDF49" s="191"/>
      <c r="FDG49" s="191"/>
      <c r="FDH49" s="191"/>
      <c r="FDI49" s="191"/>
      <c r="FDJ49" s="191"/>
      <c r="FDK49" s="191"/>
      <c r="FDL49" s="191"/>
      <c r="FDM49" s="191"/>
      <c r="FDN49" s="191"/>
      <c r="FDO49" s="191"/>
      <c r="FDP49" s="191"/>
      <c r="FDQ49" s="191"/>
      <c r="FDR49" s="191"/>
      <c r="FDS49" s="191"/>
      <c r="FDT49" s="191"/>
      <c r="FDU49" s="191"/>
      <c r="FDV49" s="191"/>
      <c r="FDW49" s="191"/>
      <c r="FDX49" s="191"/>
      <c r="FDY49" s="191"/>
      <c r="FDZ49" s="191"/>
      <c r="FEA49" s="191"/>
      <c r="FEB49" s="191"/>
      <c r="FEC49" s="191"/>
      <c r="FED49" s="191"/>
      <c r="FEE49" s="191"/>
      <c r="FEF49" s="191"/>
      <c r="FEG49" s="191"/>
      <c r="FEH49" s="191"/>
      <c r="FEI49" s="191"/>
      <c r="FEJ49" s="191"/>
      <c r="FEK49" s="191"/>
      <c r="FEL49" s="191"/>
      <c r="FEM49" s="191"/>
      <c r="FEN49" s="191"/>
      <c r="FEO49" s="191"/>
      <c r="FEP49" s="191"/>
      <c r="FEQ49" s="191"/>
      <c r="FER49" s="191"/>
      <c r="FES49" s="191"/>
      <c r="FET49" s="191"/>
      <c r="FEU49" s="191"/>
      <c r="FEV49" s="191"/>
      <c r="FEW49" s="191"/>
      <c r="FEX49" s="191"/>
      <c r="FEY49" s="191"/>
      <c r="FEZ49" s="191"/>
      <c r="FFA49" s="191"/>
      <c r="FFB49" s="191"/>
      <c r="FFC49" s="191"/>
      <c r="FFD49" s="191"/>
      <c r="FFE49" s="191"/>
      <c r="FFF49" s="191"/>
      <c r="FFG49" s="191"/>
      <c r="FFH49" s="191"/>
      <c r="FFI49" s="191"/>
      <c r="FFJ49" s="191"/>
      <c r="FFK49" s="191"/>
      <c r="FFL49" s="191"/>
      <c r="FFM49" s="191"/>
      <c r="FFN49" s="191"/>
      <c r="FFO49" s="191"/>
      <c r="FFP49" s="191"/>
      <c r="FFQ49" s="191"/>
      <c r="FFR49" s="191"/>
      <c r="FFS49" s="191"/>
      <c r="FFT49" s="191"/>
      <c r="FFU49" s="191"/>
      <c r="FFV49" s="191"/>
      <c r="FFW49" s="191"/>
      <c r="FFX49" s="191"/>
      <c r="FFY49" s="191"/>
      <c r="FFZ49" s="191"/>
      <c r="FGA49" s="191"/>
      <c r="FGB49" s="191"/>
      <c r="FGC49" s="191"/>
      <c r="FGD49" s="191"/>
      <c r="FGE49" s="191"/>
      <c r="FGF49" s="191"/>
      <c r="FGG49" s="191"/>
      <c r="FGH49" s="191"/>
      <c r="FGI49" s="191"/>
      <c r="FGJ49" s="191"/>
      <c r="FGK49" s="191"/>
      <c r="FGL49" s="191"/>
      <c r="FGM49" s="191"/>
      <c r="FGN49" s="191"/>
      <c r="FGO49" s="191"/>
      <c r="FGP49" s="191"/>
      <c r="FGQ49" s="191"/>
      <c r="FGR49" s="191"/>
      <c r="FGS49" s="191"/>
      <c r="FGT49" s="191"/>
      <c r="FGU49" s="191"/>
      <c r="FGV49" s="191"/>
      <c r="FGW49" s="191"/>
      <c r="FGX49" s="191"/>
      <c r="FGY49" s="191"/>
      <c r="FGZ49" s="191"/>
      <c r="FHA49" s="191"/>
      <c r="FHB49" s="191"/>
      <c r="FHC49" s="191"/>
      <c r="FHD49" s="191"/>
      <c r="FHE49" s="191"/>
      <c r="FHF49" s="191"/>
      <c r="FHG49" s="191"/>
      <c r="FHH49" s="191"/>
      <c r="FHI49" s="191"/>
      <c r="FHJ49" s="191"/>
      <c r="FHK49" s="191"/>
      <c r="FHL49" s="191"/>
      <c r="FHM49" s="191"/>
      <c r="FHN49" s="191"/>
      <c r="FHO49" s="191"/>
      <c r="FHP49" s="191"/>
      <c r="FHQ49" s="191"/>
      <c r="FHR49" s="191"/>
      <c r="FHS49" s="191"/>
      <c r="FHT49" s="191"/>
      <c r="FHU49" s="191"/>
      <c r="FHV49" s="191"/>
      <c r="FHW49" s="191"/>
      <c r="FHX49" s="191"/>
      <c r="FHY49" s="191"/>
      <c r="FHZ49" s="191"/>
      <c r="FIA49" s="191"/>
      <c r="FIB49" s="191"/>
      <c r="FIC49" s="191"/>
      <c r="FID49" s="191"/>
      <c r="FIE49" s="191"/>
      <c r="FIF49" s="191"/>
      <c r="FIG49" s="191"/>
      <c r="FIH49" s="191"/>
      <c r="FII49" s="191"/>
      <c r="FIJ49" s="191"/>
      <c r="FIK49" s="191"/>
      <c r="FIL49" s="191"/>
      <c r="FIM49" s="191"/>
      <c r="FIN49" s="191"/>
      <c r="FIO49" s="191"/>
      <c r="FIP49" s="191"/>
      <c r="FIQ49" s="191"/>
      <c r="FIR49" s="191"/>
      <c r="FIS49" s="191"/>
      <c r="FIT49" s="191"/>
      <c r="FIU49" s="191"/>
      <c r="FIV49" s="191"/>
      <c r="FIW49" s="191"/>
      <c r="FIX49" s="191"/>
      <c r="FIY49" s="191"/>
      <c r="FIZ49" s="191"/>
      <c r="FJA49" s="191"/>
      <c r="FJB49" s="191"/>
      <c r="FJC49" s="191"/>
      <c r="FJD49" s="191"/>
      <c r="FJE49" s="191"/>
      <c r="FJF49" s="191"/>
      <c r="FJG49" s="191"/>
      <c r="FJH49" s="191"/>
      <c r="FJI49" s="191"/>
      <c r="FJJ49" s="191"/>
      <c r="FJK49" s="191"/>
      <c r="FJL49" s="191"/>
      <c r="FJM49" s="191"/>
      <c r="FJN49" s="191"/>
      <c r="FJO49" s="191"/>
      <c r="FJP49" s="191"/>
      <c r="FJQ49" s="191"/>
      <c r="FJR49" s="191"/>
      <c r="FJS49" s="191"/>
      <c r="FJT49" s="191"/>
      <c r="FJU49" s="191"/>
      <c r="FJV49" s="191"/>
      <c r="FJW49" s="191"/>
      <c r="FJX49" s="191"/>
      <c r="FJY49" s="191"/>
      <c r="FJZ49" s="191"/>
      <c r="FKA49" s="191"/>
      <c r="FKB49" s="191"/>
      <c r="FKC49" s="191"/>
      <c r="FKD49" s="191"/>
      <c r="FKE49" s="191"/>
      <c r="FKF49" s="191"/>
      <c r="FKG49" s="191"/>
      <c r="FKH49" s="191"/>
      <c r="FKI49" s="191"/>
      <c r="FKJ49" s="191"/>
      <c r="FKK49" s="191"/>
      <c r="FKL49" s="191"/>
      <c r="FKM49" s="191"/>
      <c r="FKN49" s="191"/>
      <c r="FKO49" s="191"/>
      <c r="FKP49" s="191"/>
      <c r="FKQ49" s="191"/>
      <c r="FKR49" s="191"/>
      <c r="FKS49" s="191"/>
      <c r="FKT49" s="191"/>
      <c r="FKU49" s="191"/>
      <c r="FKV49" s="191"/>
      <c r="FKW49" s="191"/>
      <c r="FKX49" s="191"/>
      <c r="FKY49" s="191"/>
      <c r="FKZ49" s="191"/>
      <c r="FLA49" s="191"/>
      <c r="FLB49" s="191"/>
      <c r="FLC49" s="191"/>
      <c r="FLD49" s="191"/>
      <c r="FLE49" s="191"/>
      <c r="FLF49" s="191"/>
      <c r="FLG49" s="191"/>
      <c r="FLH49" s="191"/>
      <c r="FLI49" s="191"/>
      <c r="FLJ49" s="191"/>
      <c r="FLK49" s="191"/>
      <c r="FLL49" s="191"/>
      <c r="FLM49" s="191"/>
      <c r="FLN49" s="191"/>
      <c r="FLO49" s="191"/>
      <c r="FLP49" s="191"/>
      <c r="FLQ49" s="191"/>
      <c r="FLR49" s="191"/>
      <c r="FLS49" s="191"/>
      <c r="FLT49" s="191"/>
      <c r="FLU49" s="191"/>
      <c r="FLV49" s="191"/>
      <c r="FLW49" s="191"/>
      <c r="FLX49" s="191"/>
      <c r="FLY49" s="191"/>
      <c r="FLZ49" s="191"/>
      <c r="FMA49" s="191"/>
      <c r="FMB49" s="191"/>
      <c r="FMC49" s="191"/>
      <c r="FMD49" s="191"/>
      <c r="FME49" s="191"/>
      <c r="FMF49" s="191"/>
      <c r="FMG49" s="191"/>
      <c r="FMH49" s="191"/>
      <c r="FMI49" s="191"/>
      <c r="FMJ49" s="191"/>
      <c r="FMK49" s="191"/>
      <c r="FML49" s="191"/>
      <c r="FMM49" s="191"/>
      <c r="FMN49" s="191"/>
      <c r="FMO49" s="191"/>
      <c r="FMP49" s="191"/>
      <c r="FMQ49" s="191"/>
      <c r="FMR49" s="191"/>
      <c r="FMS49" s="191"/>
      <c r="FMT49" s="191"/>
      <c r="FMU49" s="191"/>
      <c r="FMV49" s="191"/>
      <c r="FMW49" s="191"/>
      <c r="FMX49" s="191"/>
      <c r="FMY49" s="191"/>
      <c r="FMZ49" s="191"/>
      <c r="FNA49" s="191"/>
      <c r="FNB49" s="191"/>
      <c r="FNC49" s="191"/>
      <c r="FND49" s="191"/>
      <c r="FNE49" s="191"/>
      <c r="FNF49" s="191"/>
      <c r="FNG49" s="191"/>
      <c r="FNH49" s="191"/>
      <c r="FNI49" s="191"/>
      <c r="FNJ49" s="191"/>
      <c r="FNK49" s="191"/>
      <c r="FNL49" s="191"/>
      <c r="FNM49" s="191"/>
      <c r="FNN49" s="191"/>
      <c r="FNO49" s="191"/>
      <c r="FNP49" s="191"/>
      <c r="FNQ49" s="191"/>
      <c r="FNR49" s="191"/>
      <c r="FNS49" s="191"/>
      <c r="FNT49" s="191"/>
      <c r="FNU49" s="191"/>
      <c r="FNV49" s="191"/>
      <c r="FNW49" s="191"/>
      <c r="FNX49" s="191"/>
      <c r="FNY49" s="191"/>
      <c r="FNZ49" s="191"/>
      <c r="FOA49" s="191"/>
      <c r="FOB49" s="191"/>
      <c r="FOC49" s="191"/>
      <c r="FOD49" s="191"/>
      <c r="FOE49" s="191"/>
      <c r="FOF49" s="191"/>
      <c r="FOG49" s="191"/>
      <c r="FOH49" s="191"/>
      <c r="FOI49" s="191"/>
      <c r="FOJ49" s="191"/>
      <c r="FOK49" s="191"/>
      <c r="FOL49" s="191"/>
      <c r="FOM49" s="191"/>
      <c r="FON49" s="191"/>
      <c r="FOO49" s="191"/>
      <c r="FOP49" s="191"/>
      <c r="FOQ49" s="191"/>
      <c r="FOR49" s="191"/>
      <c r="FOS49" s="191"/>
      <c r="FOT49" s="191"/>
      <c r="FOU49" s="191"/>
      <c r="FOV49" s="191"/>
      <c r="FOW49" s="191"/>
      <c r="FOX49" s="191"/>
      <c r="FOY49" s="191"/>
      <c r="FOZ49" s="191"/>
      <c r="FPA49" s="191"/>
      <c r="FPB49" s="191"/>
      <c r="FPC49" s="191"/>
      <c r="FPD49" s="191"/>
      <c r="FPE49" s="191"/>
      <c r="FPF49" s="191"/>
      <c r="FPG49" s="191"/>
      <c r="FPH49" s="191"/>
      <c r="FPI49" s="191"/>
      <c r="FPJ49" s="191"/>
      <c r="FPK49" s="191"/>
      <c r="FPL49" s="191"/>
      <c r="FPM49" s="191"/>
      <c r="FPN49" s="191"/>
      <c r="FPO49" s="191"/>
      <c r="FPP49" s="191"/>
      <c r="FPQ49" s="191"/>
      <c r="FPR49" s="191"/>
      <c r="FPS49" s="191"/>
      <c r="FPT49" s="191"/>
      <c r="FPU49" s="191"/>
      <c r="FPV49" s="191"/>
      <c r="FPW49" s="191"/>
      <c r="FPX49" s="191"/>
      <c r="FPY49" s="191"/>
      <c r="FPZ49" s="191"/>
      <c r="FQA49" s="191"/>
      <c r="FQB49" s="191"/>
      <c r="FQC49" s="191"/>
      <c r="FQD49" s="191"/>
      <c r="FQE49" s="191"/>
      <c r="FQF49" s="191"/>
      <c r="FQG49" s="191"/>
      <c r="FQH49" s="191"/>
      <c r="FQI49" s="191"/>
      <c r="FQJ49" s="191"/>
      <c r="FQK49" s="191"/>
      <c r="FQL49" s="191"/>
      <c r="FQM49" s="191"/>
      <c r="FQN49" s="191"/>
      <c r="FQO49" s="191"/>
      <c r="FQP49" s="191"/>
      <c r="FQQ49" s="191"/>
      <c r="FQR49" s="191"/>
      <c r="FQS49" s="191"/>
      <c r="FQT49" s="191"/>
      <c r="FQU49" s="191"/>
      <c r="FQV49" s="191"/>
      <c r="FQW49" s="191"/>
      <c r="FQX49" s="191"/>
      <c r="FQY49" s="191"/>
      <c r="FQZ49" s="191"/>
      <c r="FRA49" s="191"/>
      <c r="FRB49" s="191"/>
      <c r="FRC49" s="191"/>
      <c r="FRD49" s="191"/>
      <c r="FRE49" s="191"/>
      <c r="FRF49" s="191"/>
      <c r="FRG49" s="191"/>
      <c r="FRH49" s="191"/>
      <c r="FRI49" s="191"/>
      <c r="FRJ49" s="191"/>
      <c r="FRK49" s="191"/>
      <c r="FRL49" s="191"/>
      <c r="FRM49" s="191"/>
      <c r="FRN49" s="191"/>
      <c r="FRO49" s="191"/>
      <c r="FRP49" s="191"/>
      <c r="FRQ49" s="191"/>
      <c r="FRR49" s="191"/>
      <c r="FRS49" s="191"/>
      <c r="FRT49" s="191"/>
      <c r="FRU49" s="191"/>
      <c r="FRV49" s="191"/>
      <c r="FRW49" s="191"/>
      <c r="FRX49" s="191"/>
      <c r="FRY49" s="191"/>
      <c r="FRZ49" s="191"/>
      <c r="FSA49" s="191"/>
      <c r="FSB49" s="191"/>
      <c r="FSC49" s="191"/>
      <c r="FSD49" s="191"/>
      <c r="FSE49" s="191"/>
      <c r="FSF49" s="191"/>
      <c r="FSG49" s="191"/>
      <c r="FSH49" s="191"/>
      <c r="FSI49" s="191"/>
      <c r="FSJ49" s="191"/>
      <c r="FSK49" s="191"/>
      <c r="FSL49" s="191"/>
      <c r="FSM49" s="191"/>
      <c r="FSN49" s="191"/>
      <c r="FSO49" s="191"/>
      <c r="FSP49" s="191"/>
      <c r="FSQ49" s="191"/>
      <c r="FSR49" s="191"/>
      <c r="FSS49" s="191"/>
      <c r="FST49" s="191"/>
      <c r="FSU49" s="191"/>
      <c r="FSV49" s="191"/>
      <c r="FSW49" s="191"/>
      <c r="FSX49" s="191"/>
      <c r="FSY49" s="191"/>
      <c r="FSZ49" s="191"/>
      <c r="FTA49" s="191"/>
      <c r="FTB49" s="191"/>
      <c r="FTC49" s="191"/>
      <c r="FTD49" s="191"/>
      <c r="FTE49" s="191"/>
      <c r="FTF49" s="191"/>
      <c r="FTG49" s="191"/>
      <c r="FTH49" s="191"/>
      <c r="FTI49" s="191"/>
      <c r="FTJ49" s="191"/>
      <c r="FTK49" s="191"/>
      <c r="FTL49" s="191"/>
      <c r="FTM49" s="191"/>
      <c r="FTN49" s="191"/>
      <c r="FTO49" s="191"/>
      <c r="FTP49" s="191"/>
      <c r="FTQ49" s="191"/>
      <c r="FTR49" s="191"/>
      <c r="FTS49" s="191"/>
      <c r="FTT49" s="191"/>
      <c r="FTU49" s="191"/>
      <c r="FTV49" s="191"/>
      <c r="FTW49" s="191"/>
      <c r="FTX49" s="191"/>
      <c r="FTY49" s="191"/>
      <c r="FTZ49" s="191"/>
      <c r="FUA49" s="191"/>
      <c r="FUB49" s="191"/>
      <c r="FUC49" s="191"/>
      <c r="FUD49" s="191"/>
      <c r="FUE49" s="191"/>
      <c r="FUF49" s="191"/>
      <c r="FUG49" s="191"/>
      <c r="FUH49" s="191"/>
      <c r="FUI49" s="191"/>
      <c r="FUJ49" s="191"/>
      <c r="FUK49" s="191"/>
      <c r="FUL49" s="191"/>
      <c r="FUM49" s="191"/>
      <c r="FUN49" s="191"/>
      <c r="FUO49" s="191"/>
      <c r="FUP49" s="191"/>
      <c r="FUQ49" s="191"/>
      <c r="FUR49" s="191"/>
      <c r="FUS49" s="191"/>
      <c r="FUT49" s="191"/>
      <c r="FUU49" s="191"/>
      <c r="FUV49" s="191"/>
      <c r="FUW49" s="191"/>
      <c r="FUX49" s="191"/>
      <c r="FUY49" s="191"/>
      <c r="FUZ49" s="191"/>
      <c r="FVA49" s="191"/>
      <c r="FVB49" s="191"/>
      <c r="FVC49" s="191"/>
      <c r="FVD49" s="191"/>
      <c r="FVE49" s="191"/>
      <c r="FVF49" s="191"/>
      <c r="FVG49" s="191"/>
      <c r="FVH49" s="191"/>
      <c r="FVI49" s="191"/>
      <c r="FVJ49" s="191"/>
      <c r="FVK49" s="191"/>
      <c r="FVL49" s="191"/>
      <c r="FVM49" s="191"/>
      <c r="FVN49" s="191"/>
      <c r="FVO49" s="191"/>
      <c r="FVP49" s="191"/>
      <c r="FVQ49" s="191"/>
      <c r="FVR49" s="191"/>
      <c r="FVS49" s="191"/>
      <c r="FVT49" s="191"/>
      <c r="FVU49" s="191"/>
      <c r="FVV49" s="191"/>
      <c r="FVW49" s="191"/>
      <c r="FVX49" s="191"/>
      <c r="FVY49" s="191"/>
      <c r="FVZ49" s="191"/>
      <c r="FWA49" s="191"/>
      <c r="FWB49" s="191"/>
      <c r="FWC49" s="191"/>
      <c r="FWD49" s="191"/>
      <c r="FWE49" s="191"/>
      <c r="FWF49" s="191"/>
      <c r="FWG49" s="191"/>
      <c r="FWH49" s="191"/>
      <c r="FWI49" s="191"/>
      <c r="FWJ49" s="191"/>
      <c r="FWK49" s="191"/>
      <c r="FWL49" s="191"/>
      <c r="FWM49" s="191"/>
      <c r="FWN49" s="191"/>
      <c r="FWO49" s="191"/>
      <c r="FWP49" s="191"/>
      <c r="FWQ49" s="191"/>
      <c r="FWR49" s="191"/>
      <c r="FWS49" s="191"/>
      <c r="FWT49" s="191"/>
      <c r="FWU49" s="191"/>
      <c r="FWV49" s="191"/>
      <c r="FWW49" s="191"/>
      <c r="FWX49" s="191"/>
      <c r="FWY49" s="191"/>
      <c r="FWZ49" s="191"/>
      <c r="FXA49" s="191"/>
      <c r="FXB49" s="191"/>
      <c r="FXC49" s="191"/>
      <c r="FXD49" s="191"/>
      <c r="FXE49" s="191"/>
      <c r="FXF49" s="191"/>
      <c r="FXG49" s="191"/>
      <c r="FXH49" s="191"/>
      <c r="FXI49" s="191"/>
      <c r="FXJ49" s="191"/>
      <c r="FXK49" s="191"/>
      <c r="FXL49" s="191"/>
      <c r="FXM49" s="191"/>
      <c r="FXN49" s="191"/>
      <c r="FXO49" s="191"/>
      <c r="FXP49" s="191"/>
      <c r="FXQ49" s="191"/>
      <c r="FXR49" s="191"/>
      <c r="FXS49" s="191"/>
      <c r="FXT49" s="191"/>
      <c r="FXU49" s="191"/>
      <c r="FXV49" s="191"/>
      <c r="FXW49" s="191"/>
      <c r="FXX49" s="191"/>
      <c r="FXY49" s="191"/>
      <c r="FXZ49" s="191"/>
      <c r="FYA49" s="191"/>
      <c r="FYB49" s="191"/>
      <c r="FYC49" s="191"/>
      <c r="FYD49" s="191"/>
      <c r="FYE49" s="191"/>
      <c r="FYF49" s="191"/>
      <c r="FYG49" s="191"/>
      <c r="FYH49" s="191"/>
      <c r="FYI49" s="191"/>
      <c r="FYJ49" s="191"/>
      <c r="FYK49" s="191"/>
      <c r="FYL49" s="191"/>
      <c r="FYM49" s="191"/>
      <c r="FYN49" s="191"/>
      <c r="FYO49" s="191"/>
      <c r="FYP49" s="191"/>
      <c r="FYQ49" s="191"/>
      <c r="FYR49" s="191"/>
      <c r="FYS49" s="191"/>
      <c r="FYT49" s="191"/>
      <c r="FYU49" s="191"/>
      <c r="FYV49" s="191"/>
      <c r="FYW49" s="191"/>
      <c r="FYX49" s="191"/>
      <c r="FYY49" s="191"/>
      <c r="FYZ49" s="191"/>
      <c r="FZA49" s="191"/>
      <c r="FZB49" s="191"/>
      <c r="FZC49" s="191"/>
      <c r="FZD49" s="191"/>
      <c r="FZE49" s="191"/>
      <c r="FZF49" s="191"/>
      <c r="FZG49" s="191"/>
      <c r="FZH49" s="191"/>
      <c r="FZI49" s="191"/>
      <c r="FZJ49" s="191"/>
      <c r="FZK49" s="191"/>
      <c r="FZL49" s="191"/>
      <c r="FZM49" s="191"/>
      <c r="FZN49" s="191"/>
      <c r="FZO49" s="191"/>
      <c r="FZP49" s="191"/>
      <c r="FZQ49" s="191"/>
      <c r="FZR49" s="191"/>
      <c r="FZS49" s="191"/>
      <c r="FZT49" s="191"/>
      <c r="FZU49" s="191"/>
      <c r="FZV49" s="191"/>
      <c r="FZW49" s="191"/>
      <c r="FZX49" s="191"/>
      <c r="FZY49" s="191"/>
      <c r="FZZ49" s="191"/>
      <c r="GAA49" s="191"/>
      <c r="GAB49" s="191"/>
      <c r="GAC49" s="191"/>
      <c r="GAD49" s="191"/>
      <c r="GAE49" s="191"/>
      <c r="GAF49" s="191"/>
      <c r="GAG49" s="191"/>
      <c r="GAH49" s="191"/>
      <c r="GAI49" s="191"/>
      <c r="GAJ49" s="191"/>
      <c r="GAK49" s="191"/>
      <c r="GAL49" s="191"/>
      <c r="GAM49" s="191"/>
      <c r="GAN49" s="191"/>
      <c r="GAO49" s="191"/>
      <c r="GAP49" s="191"/>
      <c r="GAQ49" s="191"/>
      <c r="GAR49" s="191"/>
      <c r="GAS49" s="191"/>
      <c r="GAT49" s="191"/>
      <c r="GAU49" s="191"/>
      <c r="GAV49" s="191"/>
      <c r="GAW49" s="191"/>
      <c r="GAX49" s="191"/>
      <c r="GAY49" s="191"/>
      <c r="GAZ49" s="191"/>
      <c r="GBA49" s="191"/>
      <c r="GBB49" s="191"/>
      <c r="GBC49" s="191"/>
      <c r="GBD49" s="191"/>
      <c r="GBE49" s="191"/>
      <c r="GBF49" s="191"/>
      <c r="GBG49" s="191"/>
      <c r="GBH49" s="191"/>
      <c r="GBI49" s="191"/>
      <c r="GBJ49" s="191"/>
      <c r="GBK49" s="191"/>
      <c r="GBL49" s="191"/>
      <c r="GBM49" s="191"/>
      <c r="GBN49" s="191"/>
      <c r="GBO49" s="191"/>
      <c r="GBP49" s="191"/>
      <c r="GBQ49" s="191"/>
      <c r="GBR49" s="191"/>
      <c r="GBS49" s="191"/>
      <c r="GBT49" s="191"/>
      <c r="GBU49" s="191"/>
      <c r="GBV49" s="191"/>
      <c r="GBW49" s="191"/>
      <c r="GBX49" s="191"/>
      <c r="GBY49" s="191"/>
      <c r="GBZ49" s="191"/>
      <c r="GCA49" s="191"/>
      <c r="GCB49" s="191"/>
      <c r="GCC49" s="191"/>
      <c r="GCD49" s="191"/>
      <c r="GCE49" s="191"/>
      <c r="GCF49" s="191"/>
      <c r="GCG49" s="191"/>
      <c r="GCH49" s="191"/>
      <c r="GCI49" s="191"/>
      <c r="GCJ49" s="191"/>
      <c r="GCK49" s="191"/>
      <c r="GCL49" s="191"/>
      <c r="GCM49" s="191"/>
      <c r="GCN49" s="191"/>
      <c r="GCO49" s="191"/>
      <c r="GCP49" s="191"/>
      <c r="GCQ49" s="191"/>
      <c r="GCR49" s="191"/>
      <c r="GCS49" s="191"/>
      <c r="GCT49" s="191"/>
      <c r="GCU49" s="191"/>
      <c r="GCV49" s="191"/>
      <c r="GCW49" s="191"/>
      <c r="GCX49" s="191"/>
      <c r="GCY49" s="191"/>
      <c r="GCZ49" s="191"/>
      <c r="GDA49" s="191"/>
      <c r="GDB49" s="191"/>
      <c r="GDC49" s="191"/>
      <c r="GDD49" s="191"/>
      <c r="GDE49" s="191"/>
      <c r="GDF49" s="191"/>
      <c r="GDG49" s="191"/>
      <c r="GDH49" s="191"/>
      <c r="GDI49" s="191"/>
      <c r="GDJ49" s="191"/>
      <c r="GDK49" s="191"/>
      <c r="GDL49" s="191"/>
      <c r="GDM49" s="191"/>
      <c r="GDN49" s="191"/>
      <c r="GDO49" s="191"/>
      <c r="GDP49" s="191"/>
      <c r="GDQ49" s="191"/>
      <c r="GDR49" s="191"/>
      <c r="GDS49" s="191"/>
      <c r="GDT49" s="191"/>
      <c r="GDU49" s="191"/>
      <c r="GDV49" s="191"/>
      <c r="GDW49" s="191"/>
      <c r="GDX49" s="191"/>
      <c r="GDY49" s="191"/>
      <c r="GDZ49" s="191"/>
      <c r="GEA49" s="191"/>
      <c r="GEB49" s="191"/>
      <c r="GEC49" s="191"/>
      <c r="GED49" s="191"/>
      <c r="GEE49" s="191"/>
      <c r="GEF49" s="191"/>
      <c r="GEG49" s="191"/>
      <c r="GEH49" s="191"/>
      <c r="GEI49" s="191"/>
      <c r="GEJ49" s="191"/>
      <c r="GEK49" s="191"/>
      <c r="GEL49" s="191"/>
      <c r="GEM49" s="191"/>
      <c r="GEN49" s="191"/>
      <c r="GEO49" s="191"/>
      <c r="GEP49" s="191"/>
      <c r="GEQ49" s="191"/>
      <c r="GER49" s="191"/>
      <c r="GES49" s="191"/>
      <c r="GET49" s="191"/>
      <c r="GEU49" s="191"/>
      <c r="GEV49" s="191"/>
      <c r="GEW49" s="191"/>
      <c r="GEX49" s="191"/>
      <c r="GEY49" s="191"/>
      <c r="GEZ49" s="191"/>
      <c r="GFA49" s="191"/>
      <c r="GFB49" s="191"/>
      <c r="GFC49" s="191"/>
      <c r="GFD49" s="191"/>
      <c r="GFE49" s="191"/>
      <c r="GFF49" s="191"/>
      <c r="GFG49" s="191"/>
      <c r="GFH49" s="191"/>
      <c r="GFI49" s="191"/>
      <c r="GFJ49" s="191"/>
      <c r="GFK49" s="191"/>
      <c r="GFL49" s="191"/>
      <c r="GFM49" s="191"/>
      <c r="GFN49" s="191"/>
      <c r="GFO49" s="191"/>
      <c r="GFP49" s="191"/>
      <c r="GFQ49" s="191"/>
      <c r="GFR49" s="191"/>
      <c r="GFS49" s="191"/>
      <c r="GFT49" s="191"/>
      <c r="GFU49" s="191"/>
      <c r="GFV49" s="191"/>
      <c r="GFW49" s="191"/>
      <c r="GFX49" s="191"/>
      <c r="GFY49" s="191"/>
      <c r="GFZ49" s="191"/>
      <c r="GGA49" s="191"/>
      <c r="GGB49" s="191"/>
      <c r="GGC49" s="191"/>
      <c r="GGD49" s="191"/>
      <c r="GGE49" s="191"/>
      <c r="GGF49" s="191"/>
      <c r="GGG49" s="191"/>
      <c r="GGH49" s="191"/>
      <c r="GGI49" s="191"/>
      <c r="GGJ49" s="191"/>
      <c r="GGK49" s="191"/>
      <c r="GGL49" s="191"/>
      <c r="GGM49" s="191"/>
      <c r="GGN49" s="191"/>
      <c r="GGO49" s="191"/>
      <c r="GGP49" s="191"/>
      <c r="GGQ49" s="191"/>
      <c r="GGR49" s="191"/>
      <c r="GGS49" s="191"/>
      <c r="GGT49" s="191"/>
      <c r="GGU49" s="191"/>
      <c r="GGV49" s="191"/>
      <c r="GGW49" s="191"/>
      <c r="GGX49" s="191"/>
      <c r="GGY49" s="191"/>
      <c r="GGZ49" s="191"/>
      <c r="GHA49" s="191"/>
      <c r="GHB49" s="191"/>
      <c r="GHC49" s="191"/>
      <c r="GHD49" s="191"/>
      <c r="GHE49" s="191"/>
      <c r="GHF49" s="191"/>
      <c r="GHG49" s="191"/>
      <c r="GHH49" s="191"/>
      <c r="GHI49" s="191"/>
      <c r="GHJ49" s="191"/>
      <c r="GHK49" s="191"/>
      <c r="GHL49" s="191"/>
      <c r="GHM49" s="191"/>
      <c r="GHN49" s="191"/>
      <c r="GHO49" s="191"/>
      <c r="GHP49" s="191"/>
      <c r="GHQ49" s="191"/>
      <c r="GHR49" s="191"/>
      <c r="GHS49" s="191"/>
      <c r="GHT49" s="191"/>
      <c r="GHU49" s="191"/>
      <c r="GHV49" s="191"/>
      <c r="GHW49" s="191"/>
      <c r="GHX49" s="191"/>
      <c r="GHY49" s="191"/>
      <c r="GHZ49" s="191"/>
      <c r="GIA49" s="191"/>
      <c r="GIB49" s="191"/>
      <c r="GIC49" s="191"/>
      <c r="GID49" s="191"/>
      <c r="GIE49" s="191"/>
      <c r="GIF49" s="191"/>
      <c r="GIG49" s="191"/>
      <c r="GIH49" s="191"/>
      <c r="GII49" s="191"/>
      <c r="GIJ49" s="191"/>
      <c r="GIK49" s="191"/>
      <c r="GIL49" s="191"/>
      <c r="GIM49" s="191"/>
      <c r="GIN49" s="191"/>
      <c r="GIO49" s="191"/>
      <c r="GIP49" s="191"/>
      <c r="GIQ49" s="191"/>
      <c r="GIR49" s="191"/>
      <c r="GIS49" s="191"/>
      <c r="GIT49" s="191"/>
      <c r="GIU49" s="191"/>
      <c r="GIV49" s="191"/>
      <c r="GIW49" s="191"/>
      <c r="GIX49" s="191"/>
      <c r="GIY49" s="191"/>
      <c r="GIZ49" s="191"/>
      <c r="GJA49" s="191"/>
      <c r="GJB49" s="191"/>
      <c r="GJC49" s="191"/>
      <c r="GJD49" s="191"/>
      <c r="GJE49" s="191"/>
      <c r="GJF49" s="191"/>
      <c r="GJG49" s="191"/>
      <c r="GJH49" s="191"/>
      <c r="GJI49" s="191"/>
      <c r="GJJ49" s="191"/>
      <c r="GJK49" s="191"/>
      <c r="GJL49" s="191"/>
      <c r="GJM49" s="191"/>
      <c r="GJN49" s="191"/>
      <c r="GJO49" s="191"/>
      <c r="GJP49" s="191"/>
      <c r="GJQ49" s="191"/>
      <c r="GJR49" s="191"/>
      <c r="GJS49" s="191"/>
      <c r="GJT49" s="191"/>
      <c r="GJU49" s="191"/>
      <c r="GJV49" s="191"/>
      <c r="GJW49" s="191"/>
      <c r="GJX49" s="191"/>
      <c r="GJY49" s="191"/>
      <c r="GJZ49" s="191"/>
      <c r="GKA49" s="191"/>
      <c r="GKB49" s="191"/>
      <c r="GKC49" s="191"/>
      <c r="GKD49" s="191"/>
      <c r="GKE49" s="191"/>
      <c r="GKF49" s="191"/>
      <c r="GKG49" s="191"/>
      <c r="GKH49" s="191"/>
      <c r="GKI49" s="191"/>
      <c r="GKJ49" s="191"/>
      <c r="GKK49" s="191"/>
      <c r="GKL49" s="191"/>
      <c r="GKM49" s="191"/>
      <c r="GKN49" s="191"/>
      <c r="GKO49" s="191"/>
      <c r="GKP49" s="191"/>
      <c r="GKQ49" s="191"/>
      <c r="GKR49" s="191"/>
      <c r="GKS49" s="191"/>
      <c r="GKT49" s="191"/>
      <c r="GKU49" s="191"/>
      <c r="GKV49" s="191"/>
      <c r="GKW49" s="191"/>
      <c r="GKX49" s="191"/>
      <c r="GKY49" s="191"/>
      <c r="GKZ49" s="191"/>
      <c r="GLA49" s="191"/>
      <c r="GLB49" s="191"/>
      <c r="GLC49" s="191"/>
      <c r="GLD49" s="191"/>
      <c r="GLE49" s="191"/>
      <c r="GLF49" s="191"/>
      <c r="GLG49" s="191"/>
      <c r="GLH49" s="191"/>
      <c r="GLI49" s="191"/>
      <c r="GLJ49" s="191"/>
      <c r="GLK49" s="191"/>
      <c r="GLL49" s="191"/>
      <c r="GLM49" s="191"/>
      <c r="GLN49" s="191"/>
      <c r="GLO49" s="191"/>
      <c r="GLP49" s="191"/>
      <c r="GLQ49" s="191"/>
      <c r="GLR49" s="191"/>
      <c r="GLS49" s="191"/>
      <c r="GLT49" s="191"/>
      <c r="GLU49" s="191"/>
      <c r="GLV49" s="191"/>
      <c r="GLW49" s="191"/>
      <c r="GLX49" s="191"/>
      <c r="GLY49" s="191"/>
      <c r="GLZ49" s="191"/>
      <c r="GMA49" s="191"/>
      <c r="GMB49" s="191"/>
      <c r="GMC49" s="191"/>
      <c r="GMD49" s="191"/>
      <c r="GME49" s="191"/>
      <c r="GMF49" s="191"/>
      <c r="GMG49" s="191"/>
      <c r="GMH49" s="191"/>
      <c r="GMI49" s="191"/>
      <c r="GMJ49" s="191"/>
      <c r="GMK49" s="191"/>
      <c r="GML49" s="191"/>
      <c r="GMM49" s="191"/>
      <c r="GMN49" s="191"/>
      <c r="GMO49" s="191"/>
      <c r="GMP49" s="191"/>
      <c r="GMQ49" s="191"/>
      <c r="GMR49" s="191"/>
      <c r="GMS49" s="191"/>
      <c r="GMT49" s="191"/>
      <c r="GMU49" s="191"/>
      <c r="GMV49" s="191"/>
      <c r="GMW49" s="191"/>
      <c r="GMX49" s="191"/>
      <c r="GMY49" s="191"/>
      <c r="GMZ49" s="191"/>
      <c r="GNA49" s="191"/>
      <c r="GNB49" s="191"/>
      <c r="GNC49" s="191"/>
      <c r="GND49" s="191"/>
      <c r="GNE49" s="191"/>
      <c r="GNF49" s="191"/>
      <c r="GNG49" s="191"/>
      <c r="GNH49" s="191"/>
      <c r="GNI49" s="191"/>
      <c r="GNJ49" s="191"/>
      <c r="GNK49" s="191"/>
      <c r="GNL49" s="191"/>
      <c r="GNM49" s="191"/>
      <c r="GNN49" s="191"/>
      <c r="GNO49" s="191"/>
      <c r="GNP49" s="191"/>
      <c r="GNQ49" s="191"/>
      <c r="GNR49" s="191"/>
      <c r="GNS49" s="191"/>
      <c r="GNT49" s="191"/>
      <c r="GNU49" s="191"/>
      <c r="GNV49" s="191"/>
      <c r="GNW49" s="191"/>
      <c r="GNX49" s="191"/>
      <c r="GNY49" s="191"/>
      <c r="GNZ49" s="191"/>
      <c r="GOA49" s="191"/>
      <c r="GOB49" s="191"/>
      <c r="GOC49" s="191"/>
      <c r="GOD49" s="191"/>
      <c r="GOE49" s="191"/>
      <c r="GOF49" s="191"/>
      <c r="GOG49" s="191"/>
      <c r="GOH49" s="191"/>
      <c r="GOI49" s="191"/>
      <c r="GOJ49" s="191"/>
      <c r="GOK49" s="191"/>
      <c r="GOL49" s="191"/>
      <c r="GOM49" s="191"/>
      <c r="GON49" s="191"/>
      <c r="GOO49" s="191"/>
      <c r="GOP49" s="191"/>
      <c r="GOQ49" s="191"/>
      <c r="GOR49" s="191"/>
      <c r="GOS49" s="191"/>
      <c r="GOT49" s="191"/>
      <c r="GOU49" s="191"/>
      <c r="GOV49" s="191"/>
      <c r="GOW49" s="191"/>
      <c r="GOX49" s="191"/>
      <c r="GOY49" s="191"/>
      <c r="GOZ49" s="191"/>
      <c r="GPA49" s="191"/>
      <c r="GPB49" s="191"/>
      <c r="GPC49" s="191"/>
      <c r="GPD49" s="191"/>
      <c r="GPE49" s="191"/>
      <c r="GPF49" s="191"/>
      <c r="GPG49" s="191"/>
      <c r="GPH49" s="191"/>
      <c r="GPI49" s="191"/>
      <c r="GPJ49" s="191"/>
      <c r="GPK49" s="191"/>
      <c r="GPL49" s="191"/>
      <c r="GPM49" s="191"/>
      <c r="GPN49" s="191"/>
      <c r="GPO49" s="191"/>
      <c r="GPP49" s="191"/>
      <c r="GPQ49" s="191"/>
      <c r="GPR49" s="191"/>
      <c r="GPS49" s="191"/>
      <c r="GPT49" s="191"/>
      <c r="GPU49" s="191"/>
      <c r="GPV49" s="191"/>
      <c r="GPW49" s="191"/>
      <c r="GPX49" s="191"/>
      <c r="GPY49" s="191"/>
      <c r="GPZ49" s="191"/>
      <c r="GQA49" s="191"/>
      <c r="GQB49" s="191"/>
      <c r="GQC49" s="191"/>
      <c r="GQD49" s="191"/>
      <c r="GQE49" s="191"/>
      <c r="GQF49" s="191"/>
      <c r="GQG49" s="191"/>
      <c r="GQH49" s="191"/>
      <c r="GQI49" s="191"/>
      <c r="GQJ49" s="191"/>
      <c r="GQK49" s="191"/>
      <c r="GQL49" s="191"/>
      <c r="GQM49" s="191"/>
      <c r="GQN49" s="191"/>
      <c r="GQO49" s="191"/>
      <c r="GQP49" s="191"/>
      <c r="GQQ49" s="191"/>
      <c r="GQR49" s="191"/>
      <c r="GQS49" s="191"/>
      <c r="GQT49" s="191"/>
      <c r="GQU49" s="191"/>
      <c r="GQV49" s="191"/>
      <c r="GQW49" s="191"/>
      <c r="GQX49" s="191"/>
      <c r="GQY49" s="191"/>
      <c r="GQZ49" s="191"/>
      <c r="GRA49" s="191"/>
      <c r="GRB49" s="191"/>
      <c r="GRC49" s="191"/>
    </row>
    <row r="50" spans="1:5203" s="173" customFormat="1" ht="15.75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129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 t="s">
        <v>242</v>
      </c>
      <c r="K50" s="194"/>
      <c r="L50" s="197">
        <v>447</v>
      </c>
      <c r="M50" s="197"/>
      <c r="N50" s="163">
        <v>5.5</v>
      </c>
      <c r="O50" s="197"/>
      <c r="P50" s="198">
        <v>17.733358591836733</v>
      </c>
      <c r="Q50" s="199">
        <f t="shared" si="10"/>
        <v>5.25</v>
      </c>
      <c r="R50" s="200">
        <v>2.4</v>
      </c>
      <c r="S50" s="168">
        <v>3</v>
      </c>
      <c r="T50" s="199">
        <v>2</v>
      </c>
      <c r="U50" s="168">
        <f t="shared" si="12"/>
        <v>0.83333333333333337</v>
      </c>
      <c r="V50" s="169">
        <f t="shared" si="9"/>
        <v>20.000000000000004</v>
      </c>
      <c r="W50" s="201">
        <v>0.4</v>
      </c>
      <c r="X50" s="202">
        <v>0</v>
      </c>
      <c r="Y50" s="171">
        <f t="shared" si="3"/>
        <v>2.2775999999999996</v>
      </c>
      <c r="Z50" s="171">
        <f t="shared" si="4"/>
        <v>2.847</v>
      </c>
      <c r="AA50" s="171">
        <f t="shared" si="5"/>
        <v>1.8979999999999999</v>
      </c>
      <c r="AB50" s="202">
        <f t="shared" si="6"/>
        <v>0.83333333333333337</v>
      </c>
      <c r="AC50" s="171">
        <f t="shared" si="2"/>
        <v>20.000000000000004</v>
      </c>
      <c r="AD50" s="163">
        <v>30</v>
      </c>
      <c r="AE50" s="202">
        <f t="shared" si="7"/>
        <v>68.327999999999989</v>
      </c>
      <c r="AF50" s="172"/>
    </row>
    <row r="51" spans="1:5203" s="173" customFormat="1" ht="15.75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 t="s">
        <v>255</v>
      </c>
      <c r="K51" s="163"/>
      <c r="L51" s="166">
        <v>415</v>
      </c>
      <c r="M51" s="166"/>
      <c r="N51" s="163">
        <v>0.8</v>
      </c>
      <c r="O51" s="166"/>
      <c r="P51" s="167">
        <v>15.986632204081632</v>
      </c>
      <c r="Q51" s="199">
        <f t="shared" si="10"/>
        <v>17.55</v>
      </c>
      <c r="R51" s="169">
        <v>3</v>
      </c>
      <c r="S51" s="168">
        <v>4.4000000000000004</v>
      </c>
      <c r="T51" s="168">
        <v>2</v>
      </c>
      <c r="U51" s="168">
        <f t="shared" si="12"/>
        <v>0.66666666666666663</v>
      </c>
      <c r="V51" s="169">
        <f t="shared" si="9"/>
        <v>31.818181818181824</v>
      </c>
      <c r="W51" s="170">
        <v>0.5</v>
      </c>
      <c r="X51" s="171">
        <v>0</v>
      </c>
      <c r="Y51" s="171">
        <f t="shared" si="3"/>
        <v>2.847</v>
      </c>
      <c r="Z51" s="171">
        <f t="shared" si="4"/>
        <v>4.1756000000000002</v>
      </c>
      <c r="AA51" s="171">
        <f t="shared" si="5"/>
        <v>1.8979999999999999</v>
      </c>
      <c r="AB51" s="171">
        <f t="shared" si="6"/>
        <v>0.66666666666666663</v>
      </c>
      <c r="AC51" s="171">
        <f t="shared" si="2"/>
        <v>31.818181818181824</v>
      </c>
      <c r="AD51" s="163">
        <v>30</v>
      </c>
      <c r="AE51" s="171">
        <f t="shared" si="7"/>
        <v>85.41</v>
      </c>
      <c r="AF51" s="172"/>
    </row>
    <row r="52" spans="1:5203" s="173" customFormat="1" ht="15.75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127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 t="s">
        <v>256</v>
      </c>
      <c r="K52" s="163"/>
      <c r="L52" s="166">
        <v>435</v>
      </c>
      <c r="M52" s="166"/>
      <c r="N52" s="163">
        <v>2.4</v>
      </c>
      <c r="O52" s="166"/>
      <c r="P52" s="167">
        <v>16.339906122448976</v>
      </c>
      <c r="Q52" s="168">
        <f t="shared" si="10"/>
        <v>12.35</v>
      </c>
      <c r="R52" s="169">
        <v>2.5</v>
      </c>
      <c r="S52" s="168">
        <v>3.2</v>
      </c>
      <c r="T52" s="168">
        <v>0</v>
      </c>
      <c r="U52" s="168">
        <f t="shared" si="12"/>
        <v>0</v>
      </c>
      <c r="V52" s="169">
        <f t="shared" si="9"/>
        <v>21.875000000000007</v>
      </c>
      <c r="W52" s="170">
        <v>0.7</v>
      </c>
      <c r="X52" s="171">
        <v>0</v>
      </c>
      <c r="Y52" s="171">
        <f t="shared" si="3"/>
        <v>2.3725000000000001</v>
      </c>
      <c r="Z52" s="171">
        <f t="shared" si="4"/>
        <v>3.0367999999999999</v>
      </c>
      <c r="AA52" s="171">
        <f t="shared" si="5"/>
        <v>0</v>
      </c>
      <c r="AB52" s="171">
        <f t="shared" si="6"/>
        <v>0</v>
      </c>
      <c r="AC52" s="171">
        <f t="shared" si="2"/>
        <v>21.875000000000007</v>
      </c>
      <c r="AD52" s="163">
        <v>30</v>
      </c>
      <c r="AE52" s="171">
        <f t="shared" si="7"/>
        <v>71.174999999999997</v>
      </c>
      <c r="AF52" s="172"/>
    </row>
    <row r="53" spans="1:5203" s="173" customFormat="1" ht="15.75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54</v>
      </c>
      <c r="M53" s="166"/>
      <c r="N53" s="163">
        <v>0</v>
      </c>
      <c r="O53" s="166"/>
      <c r="P53" s="167">
        <v>51.903067755102036</v>
      </c>
      <c r="Q53" s="168">
        <f t="shared" si="10"/>
        <v>7.2</v>
      </c>
      <c r="R53" s="169">
        <v>0.40200000000000002</v>
      </c>
      <c r="S53" s="168">
        <v>0.68200000000000005</v>
      </c>
      <c r="T53" s="168">
        <v>0</v>
      </c>
      <c r="U53" s="168">
        <f t="shared" si="12"/>
        <v>0</v>
      </c>
      <c r="V53" s="169">
        <f t="shared" si="9"/>
        <v>41.055718475073313</v>
      </c>
      <c r="W53" s="170">
        <v>0.2</v>
      </c>
      <c r="X53" s="171">
        <f t="shared" si="11"/>
        <v>9.4722222222222222E-2</v>
      </c>
      <c r="Y53" s="171">
        <f t="shared" si="3"/>
        <v>0.381498</v>
      </c>
      <c r="Z53" s="171">
        <f t="shared" si="4"/>
        <v>0.64721800000000007</v>
      </c>
      <c r="AA53" s="171">
        <f t="shared" si="5"/>
        <v>0</v>
      </c>
      <c r="AB53" s="171">
        <f t="shared" si="6"/>
        <v>0</v>
      </c>
      <c r="AC53" s="171">
        <f t="shared" si="2"/>
        <v>41.055718475073313</v>
      </c>
      <c r="AD53" s="163">
        <v>30</v>
      </c>
      <c r="AE53" s="171">
        <f t="shared" si="7"/>
        <v>11.444940000000001</v>
      </c>
      <c r="AF53" s="203"/>
    </row>
    <row r="54" spans="1:5203" s="173" customFormat="1" ht="15.75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559.03</v>
      </c>
      <c r="J54" s="163"/>
      <c r="K54" s="163">
        <v>341</v>
      </c>
      <c r="L54" s="163"/>
      <c r="M54" s="163">
        <v>0.6</v>
      </c>
      <c r="N54" s="163"/>
      <c r="O54" s="163"/>
      <c r="P54" s="182"/>
      <c r="Q54" s="171">
        <f t="shared" si="10"/>
        <v>0</v>
      </c>
      <c r="R54" s="170">
        <v>0</v>
      </c>
      <c r="S54" s="168">
        <v>0</v>
      </c>
      <c r="T54" s="171">
        <v>0</v>
      </c>
      <c r="U54" s="168">
        <v>0</v>
      </c>
      <c r="V54" s="169">
        <v>0</v>
      </c>
      <c r="W54" s="170">
        <v>0</v>
      </c>
      <c r="X54" s="171">
        <v>0</v>
      </c>
      <c r="Y54" s="171">
        <f t="shared" si="3"/>
        <v>0</v>
      </c>
      <c r="Z54" s="171">
        <f t="shared" si="4"/>
        <v>0</v>
      </c>
      <c r="AA54" s="171">
        <f t="shared" si="5"/>
        <v>0</v>
      </c>
      <c r="AB54" s="171">
        <f t="shared" si="6"/>
        <v>0</v>
      </c>
      <c r="AC54" s="171">
        <f t="shared" si="2"/>
        <v>0</v>
      </c>
      <c r="AD54" s="163">
        <v>0</v>
      </c>
      <c r="AE54" s="171">
        <f t="shared" si="7"/>
        <v>0</v>
      </c>
      <c r="AF54" s="190" t="s">
        <v>215</v>
      </c>
    </row>
    <row r="55" spans="1:5203" s="173" customFormat="1" ht="15.75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>
        <v>85</v>
      </c>
      <c r="K55" s="163"/>
      <c r="L55" s="163">
        <v>189</v>
      </c>
      <c r="M55" s="163"/>
      <c r="N55" s="163">
        <v>9.4</v>
      </c>
      <c r="O55" s="163"/>
      <c r="P55" s="182">
        <v>46.512791510204082</v>
      </c>
      <c r="Q55" s="171">
        <f t="shared" si="10"/>
        <v>18.7</v>
      </c>
      <c r="R55" s="170">
        <v>6.9</v>
      </c>
      <c r="S55" s="168">
        <v>15.9</v>
      </c>
      <c r="T55" s="171">
        <v>51</v>
      </c>
      <c r="U55" s="168">
        <f t="shared" si="12"/>
        <v>7.3913043478260869</v>
      </c>
      <c r="V55" s="169">
        <f t="shared" si="9"/>
        <v>56.60377358490566</v>
      </c>
      <c r="W55" s="170">
        <v>0.3</v>
      </c>
      <c r="X55" s="171">
        <f>S55/Q55</f>
        <v>0.85026737967914445</v>
      </c>
      <c r="Y55" s="171">
        <f t="shared" si="3"/>
        <v>6.5480999999999998</v>
      </c>
      <c r="Z55" s="171">
        <f t="shared" si="4"/>
        <v>15.0891</v>
      </c>
      <c r="AA55" s="171">
        <f t="shared" si="5"/>
        <v>48.399000000000001</v>
      </c>
      <c r="AB55" s="171">
        <f t="shared" si="6"/>
        <v>7.3913043478260869</v>
      </c>
      <c r="AC55" s="171">
        <f t="shared" si="2"/>
        <v>56.60377358490566</v>
      </c>
      <c r="AD55" s="163">
        <v>30</v>
      </c>
      <c r="AE55" s="171">
        <f t="shared" si="7"/>
        <v>196.44299999999998</v>
      </c>
      <c r="AF55" s="179"/>
    </row>
    <row r="56" spans="1:5203" s="173" customFormat="1" ht="15.75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 t="s">
        <v>248</v>
      </c>
      <c r="K56" s="163"/>
      <c r="L56" s="163">
        <v>447</v>
      </c>
      <c r="M56" s="163"/>
      <c r="N56" s="163">
        <v>9.5</v>
      </c>
      <c r="O56" s="163"/>
      <c r="P56" s="182">
        <v>21.798488122448976</v>
      </c>
      <c r="Q56" s="171">
        <f t="shared" si="10"/>
        <v>18.7</v>
      </c>
      <c r="R56" s="170">
        <v>9</v>
      </c>
      <c r="S56" s="168">
        <v>12.7</v>
      </c>
      <c r="T56" s="171">
        <v>61</v>
      </c>
      <c r="U56" s="171">
        <f t="shared" si="12"/>
        <v>6.7777777777777777</v>
      </c>
      <c r="V56" s="169">
        <f t="shared" si="9"/>
        <v>29.133858267716533</v>
      </c>
      <c r="W56" s="170">
        <v>0.2</v>
      </c>
      <c r="X56" s="171">
        <f>S56/Q56</f>
        <v>0.67914438502673791</v>
      </c>
      <c r="Y56" s="171">
        <f t="shared" si="3"/>
        <v>8.5410000000000004</v>
      </c>
      <c r="Z56" s="171">
        <f t="shared" si="4"/>
        <v>12.052299999999999</v>
      </c>
      <c r="AA56" s="171">
        <f t="shared" si="5"/>
        <v>57.888999999999996</v>
      </c>
      <c r="AB56" s="171">
        <f t="shared" si="6"/>
        <v>6.7777777777777777</v>
      </c>
      <c r="AC56" s="171">
        <f t="shared" si="2"/>
        <v>29.133858267716533</v>
      </c>
      <c r="AD56" s="163">
        <v>30</v>
      </c>
      <c r="AE56" s="171">
        <f t="shared" si="7"/>
        <v>256.23</v>
      </c>
      <c r="AF56" s="179"/>
    </row>
    <row r="57" spans="1:5203" s="178" customFormat="1" ht="15.9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 t="s">
        <v>243</v>
      </c>
      <c r="K57" s="158"/>
      <c r="L57" s="158">
        <v>378</v>
      </c>
      <c r="M57" s="158"/>
      <c r="N57" s="163">
        <v>8.1</v>
      </c>
      <c r="O57" s="158"/>
      <c r="P57" s="160">
        <v>25.750513775510207</v>
      </c>
      <c r="Q57" s="171">
        <f t="shared" si="10"/>
        <v>33</v>
      </c>
      <c r="R57" s="170">
        <v>7.4779999999999998</v>
      </c>
      <c r="S57" s="168">
        <v>9.0640000000000001</v>
      </c>
      <c r="T57" s="174">
        <v>971</v>
      </c>
      <c r="U57" s="171">
        <f>T57/R57</f>
        <v>129.84755282161007</v>
      </c>
      <c r="V57" s="169">
        <f t="shared" si="9"/>
        <v>17.497793468667258</v>
      </c>
      <c r="W57" s="170">
        <v>0.3</v>
      </c>
      <c r="X57" s="171">
        <f t="shared" ref="X57:X73" si="13">S57/Q57</f>
        <v>0.27466666666666667</v>
      </c>
      <c r="Y57" s="171">
        <f t="shared" si="3"/>
        <v>7.0966219999999991</v>
      </c>
      <c r="Z57" s="171">
        <f t="shared" si="4"/>
        <v>8.6017359999999989</v>
      </c>
      <c r="AA57" s="171">
        <f t="shared" si="5"/>
        <v>921.47899999999993</v>
      </c>
      <c r="AB57" s="171">
        <f t="shared" si="6"/>
        <v>129.84755282161007</v>
      </c>
      <c r="AC57" s="171">
        <f t="shared" si="2"/>
        <v>17.497793468667258</v>
      </c>
      <c r="AD57" s="163">
        <v>30</v>
      </c>
      <c r="AE57" s="171">
        <f>Y57*AD57</f>
        <v>212.89865999999998</v>
      </c>
      <c r="AF57" s="172"/>
    </row>
    <row r="58" spans="1:5203" s="178" customFormat="1" ht="15.9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 t="s">
        <v>240</v>
      </c>
      <c r="K58" s="158">
        <v>177</v>
      </c>
      <c r="L58" s="163"/>
      <c r="M58" s="158">
        <v>0.3</v>
      </c>
      <c r="N58" s="163"/>
      <c r="O58" s="158"/>
      <c r="P58" s="160"/>
      <c r="Q58" s="171">
        <f t="shared" si="10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 t="shared" si="3"/>
        <v>0</v>
      </c>
      <c r="Z58" s="171">
        <f t="shared" si="4"/>
        <v>0</v>
      </c>
      <c r="AA58" s="171">
        <f t="shared" si="5"/>
        <v>0</v>
      </c>
      <c r="AB58" s="171">
        <f t="shared" si="6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5203" s="178" customFormat="1" ht="15.9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 t="s">
        <v>248</v>
      </c>
      <c r="K59" s="158"/>
      <c r="L59" s="158">
        <v>435</v>
      </c>
      <c r="M59" s="158"/>
      <c r="N59" s="163">
        <v>3.8</v>
      </c>
      <c r="O59" s="158"/>
      <c r="P59" s="182">
        <v>17.73102857142857</v>
      </c>
      <c r="Q59" s="171">
        <f t="shared" si="10"/>
        <v>11.05</v>
      </c>
      <c r="R59" s="170">
        <v>4.2</v>
      </c>
      <c r="S59" s="168">
        <v>5.3</v>
      </c>
      <c r="T59" s="171">
        <v>0</v>
      </c>
      <c r="U59" s="171">
        <f>T59/R59</f>
        <v>0</v>
      </c>
      <c r="V59" s="169">
        <f t="shared" si="9"/>
        <v>20.754716981132066</v>
      </c>
      <c r="W59" s="170">
        <v>0.6</v>
      </c>
      <c r="X59" s="171">
        <v>1</v>
      </c>
      <c r="Y59" s="171">
        <f t="shared" si="3"/>
        <v>3.9857999999999998</v>
      </c>
      <c r="Z59" s="171">
        <f t="shared" si="4"/>
        <v>5.0296999999999992</v>
      </c>
      <c r="AA59" s="171">
        <f t="shared" si="5"/>
        <v>0</v>
      </c>
      <c r="AB59" s="171">
        <f t="shared" si="6"/>
        <v>0</v>
      </c>
      <c r="AC59" s="171">
        <f t="shared" si="2"/>
        <v>20.754716981132066</v>
      </c>
      <c r="AD59" s="163">
        <v>30</v>
      </c>
      <c r="AE59" s="171">
        <f t="shared" ref="AE59:AE71" si="14">Y59*AD59</f>
        <v>119.574</v>
      </c>
      <c r="AF59" s="172"/>
    </row>
    <row r="60" spans="1:5203" s="173" customFormat="1" ht="15.75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49</v>
      </c>
      <c r="I60" s="158">
        <v>542.91</v>
      </c>
      <c r="J60" s="163">
        <v>0</v>
      </c>
      <c r="K60" s="163">
        <v>240</v>
      </c>
      <c r="L60" s="163"/>
      <c r="M60" s="163">
        <v>0.7</v>
      </c>
      <c r="N60" s="163"/>
      <c r="O60" s="163"/>
      <c r="P60" s="182"/>
      <c r="Q60" s="171">
        <f t="shared" si="10"/>
        <v>0</v>
      </c>
      <c r="R60" s="170">
        <v>0</v>
      </c>
      <c r="S60" s="168">
        <v>0</v>
      </c>
      <c r="T60" s="171">
        <v>0</v>
      </c>
      <c r="U60" s="171">
        <v>0</v>
      </c>
      <c r="V60" s="169">
        <v>0</v>
      </c>
      <c r="W60" s="170">
        <v>0</v>
      </c>
      <c r="X60" s="171">
        <v>0</v>
      </c>
      <c r="Y60" s="171">
        <f t="shared" si="3"/>
        <v>0</v>
      </c>
      <c r="Z60" s="171">
        <f t="shared" si="4"/>
        <v>0</v>
      </c>
      <c r="AA60" s="171">
        <f t="shared" si="5"/>
        <v>0</v>
      </c>
      <c r="AB60" s="171">
        <f>U60</f>
        <v>0</v>
      </c>
      <c r="AC60" s="171">
        <f t="shared" si="2"/>
        <v>0</v>
      </c>
      <c r="AD60" s="163">
        <v>0</v>
      </c>
      <c r="AE60" s="171">
        <f t="shared" si="14"/>
        <v>0</v>
      </c>
      <c r="AF60" s="190" t="s">
        <v>215</v>
      </c>
    </row>
    <row r="61" spans="1:5203" s="173" customFormat="1" ht="15.75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350</v>
      </c>
      <c r="K61" s="163"/>
      <c r="L61" s="163">
        <v>415</v>
      </c>
      <c r="M61" s="163"/>
      <c r="N61" s="163">
        <v>10.6</v>
      </c>
      <c r="O61" s="163"/>
      <c r="P61" s="182">
        <v>23.667242346938778</v>
      </c>
      <c r="Q61" s="171">
        <f t="shared" si="10"/>
        <v>112</v>
      </c>
      <c r="R61" s="170">
        <v>26</v>
      </c>
      <c r="S61" s="168">
        <v>33</v>
      </c>
      <c r="T61" s="171">
        <v>1584</v>
      </c>
      <c r="U61" s="171">
        <f>T61/R61</f>
        <v>60.92307692307692</v>
      </c>
      <c r="V61" s="169">
        <f t="shared" si="9"/>
        <v>21.212121212121211</v>
      </c>
      <c r="W61" s="170">
        <v>0.2</v>
      </c>
      <c r="X61" s="171">
        <f t="shared" si="13"/>
        <v>0.29464285714285715</v>
      </c>
      <c r="Y61" s="171">
        <f t="shared" si="3"/>
        <v>24.673999999999999</v>
      </c>
      <c r="Z61" s="171">
        <f t="shared" si="4"/>
        <v>31.317</v>
      </c>
      <c r="AA61" s="171">
        <f t="shared" si="5"/>
        <v>1503.2159999999999</v>
      </c>
      <c r="AB61" s="171">
        <f t="shared" si="6"/>
        <v>60.92307692307692</v>
      </c>
      <c r="AC61" s="171">
        <f t="shared" si="2"/>
        <v>21.212121212121211</v>
      </c>
      <c r="AD61" s="163">
        <v>30</v>
      </c>
      <c r="AE61" s="171">
        <f t="shared" si="14"/>
        <v>740.22</v>
      </c>
      <c r="AF61" s="179"/>
    </row>
    <row r="62" spans="1:5203" s="173" customFormat="1" ht="15.75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 t="s">
        <v>258</v>
      </c>
      <c r="K62" s="163"/>
      <c r="L62" s="163">
        <v>443</v>
      </c>
      <c r="M62" s="163"/>
      <c r="N62" s="163">
        <v>8.6999999999999993</v>
      </c>
      <c r="O62" s="163"/>
      <c r="P62" s="182">
        <v>19.907866367346937</v>
      </c>
      <c r="Q62" s="171">
        <f t="shared" si="10"/>
        <v>34.1</v>
      </c>
      <c r="R62" s="170">
        <v>12</v>
      </c>
      <c r="S62" s="168">
        <v>15.7</v>
      </c>
      <c r="T62" s="171">
        <v>404</v>
      </c>
      <c r="U62" s="171">
        <f>T62/R62</f>
        <v>33.666666666666664</v>
      </c>
      <c r="V62" s="169">
        <f t="shared" si="9"/>
        <v>23.566878980891719</v>
      </c>
      <c r="W62" s="170">
        <v>0.4</v>
      </c>
      <c r="X62" s="171">
        <f t="shared" si="13"/>
        <v>0.46041055718475071</v>
      </c>
      <c r="Y62" s="171">
        <f t="shared" si="3"/>
        <v>11.388</v>
      </c>
      <c r="Z62" s="171">
        <f t="shared" si="4"/>
        <v>14.899299999999998</v>
      </c>
      <c r="AA62" s="171">
        <f t="shared" si="5"/>
        <v>383.39599999999996</v>
      </c>
      <c r="AB62" s="171">
        <f t="shared" si="6"/>
        <v>33.666666666666664</v>
      </c>
      <c r="AC62" s="171">
        <f t="shared" si="2"/>
        <v>23.566878980891719</v>
      </c>
      <c r="AD62" s="163">
        <v>30</v>
      </c>
      <c r="AE62" s="171">
        <f t="shared" si="14"/>
        <v>341.64</v>
      </c>
      <c r="AF62" s="179"/>
    </row>
    <row r="63" spans="1:5203" s="173" customFormat="1" ht="15.75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 t="s">
        <v>253</v>
      </c>
      <c r="K63" s="163"/>
      <c r="L63" s="163">
        <v>440</v>
      </c>
      <c r="M63" s="163"/>
      <c r="N63" s="163">
        <v>8.5</v>
      </c>
      <c r="O63" s="163"/>
      <c r="P63" s="182">
        <v>21.593303642857144</v>
      </c>
      <c r="Q63" s="171">
        <f t="shared" si="10"/>
        <v>25.3</v>
      </c>
      <c r="R63" s="170">
        <v>9.1999999999999993</v>
      </c>
      <c r="S63" s="168">
        <v>11.9</v>
      </c>
      <c r="T63" s="171">
        <v>70</v>
      </c>
      <c r="U63" s="171">
        <f>T63/R63</f>
        <v>7.608695652173914</v>
      </c>
      <c r="V63" s="169">
        <f t="shared" si="9"/>
        <v>22.689075630252109</v>
      </c>
      <c r="W63" s="170">
        <v>0.3</v>
      </c>
      <c r="X63" s="171">
        <f t="shared" si="13"/>
        <v>0.47035573122529645</v>
      </c>
      <c r="Y63" s="171">
        <f t="shared" si="3"/>
        <v>8.7307999999999986</v>
      </c>
      <c r="Z63" s="171">
        <f t="shared" si="4"/>
        <v>11.293099999999999</v>
      </c>
      <c r="AA63" s="171">
        <f t="shared" si="5"/>
        <v>66.429999999999993</v>
      </c>
      <c r="AB63" s="171">
        <f t="shared" si="6"/>
        <v>7.608695652173914</v>
      </c>
      <c r="AC63" s="171">
        <f t="shared" si="2"/>
        <v>22.689075630252109</v>
      </c>
      <c r="AD63" s="163">
        <v>30</v>
      </c>
      <c r="AE63" s="171">
        <f>Y63*AD63</f>
        <v>261.92399999999998</v>
      </c>
      <c r="AF63" s="179"/>
    </row>
    <row r="64" spans="1:5203" s="173" customFormat="1" ht="15.75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 t="s">
        <v>252</v>
      </c>
      <c r="K64" s="163"/>
      <c r="L64" s="163">
        <v>448</v>
      </c>
      <c r="M64" s="163"/>
      <c r="N64" s="163">
        <v>5.3</v>
      </c>
      <c r="O64" s="163"/>
      <c r="P64" s="182">
        <v>16.932695510204081</v>
      </c>
      <c r="Q64" s="171">
        <f t="shared" si="10"/>
        <v>91.2</v>
      </c>
      <c r="R64" s="170">
        <v>13</v>
      </c>
      <c r="S64" s="168">
        <v>16.2</v>
      </c>
      <c r="T64" s="171">
        <v>250</v>
      </c>
      <c r="U64" s="171">
        <f t="shared" si="8"/>
        <v>19.23076923076923</v>
      </c>
      <c r="V64" s="169">
        <f t="shared" si="9"/>
        <v>19.753086419753082</v>
      </c>
      <c r="W64" s="170">
        <v>0.4</v>
      </c>
      <c r="X64" s="171">
        <f t="shared" si="13"/>
        <v>0.17763157894736842</v>
      </c>
      <c r="Y64" s="171">
        <f t="shared" si="3"/>
        <v>12.337</v>
      </c>
      <c r="Z64" s="171">
        <f t="shared" si="4"/>
        <v>15.373799999999999</v>
      </c>
      <c r="AA64" s="171">
        <f t="shared" si="5"/>
        <v>237.25</v>
      </c>
      <c r="AB64" s="171">
        <f t="shared" si="6"/>
        <v>19.23076923076923</v>
      </c>
      <c r="AC64" s="171">
        <f t="shared" si="2"/>
        <v>19.753086419753082</v>
      </c>
      <c r="AD64" s="163">
        <v>30</v>
      </c>
      <c r="AE64" s="171">
        <f t="shared" si="14"/>
        <v>370.11</v>
      </c>
      <c r="AF64" s="179"/>
    </row>
    <row r="65" spans="1:32" s="173" customFormat="1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49</v>
      </c>
      <c r="I65" s="158">
        <v>534.24</v>
      </c>
      <c r="J65" s="163">
        <v>350</v>
      </c>
      <c r="K65" s="163"/>
      <c r="L65" s="163">
        <v>433</v>
      </c>
      <c r="M65" s="163"/>
      <c r="N65" s="163">
        <v>8.4</v>
      </c>
      <c r="O65" s="163"/>
      <c r="P65" s="182">
        <v>21.563857142857142</v>
      </c>
      <c r="Q65" s="171">
        <f t="shared" si="10"/>
        <v>112</v>
      </c>
      <c r="R65" s="170">
        <v>20.7</v>
      </c>
      <c r="S65" s="168">
        <v>26.5</v>
      </c>
      <c r="T65" s="171">
        <v>1148</v>
      </c>
      <c r="U65" s="171">
        <f t="shared" si="8"/>
        <v>55.458937198067638</v>
      </c>
      <c r="V65" s="169">
        <f t="shared" si="9"/>
        <v>21.886792452830193</v>
      </c>
      <c r="W65" s="170">
        <v>0.2</v>
      </c>
      <c r="X65" s="171">
        <f t="shared" si="13"/>
        <v>0.23660714285714285</v>
      </c>
      <c r="Y65" s="171">
        <f t="shared" si="3"/>
        <v>19.644299999999998</v>
      </c>
      <c r="Z65" s="171">
        <f t="shared" si="4"/>
        <v>25.148499999999999</v>
      </c>
      <c r="AA65" s="171">
        <f t="shared" si="5"/>
        <v>1089.452</v>
      </c>
      <c r="AB65" s="171">
        <f t="shared" si="6"/>
        <v>55.458937198067638</v>
      </c>
      <c r="AC65" s="171">
        <f t="shared" si="2"/>
        <v>21.886792452830193</v>
      </c>
      <c r="AD65" s="163">
        <v>30</v>
      </c>
      <c r="AE65" s="171">
        <f t="shared" si="14"/>
        <v>589.32899999999995</v>
      </c>
      <c r="AF65" s="190"/>
    </row>
    <row r="66" spans="1:32" s="173" customFormat="1" ht="15.75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168</v>
      </c>
      <c r="I66" s="158">
        <v>509.7</v>
      </c>
      <c r="J66" s="163">
        <v>200</v>
      </c>
      <c r="K66" s="163"/>
      <c r="L66" s="163">
        <v>179</v>
      </c>
      <c r="M66" s="163"/>
      <c r="N66" s="163">
        <v>9.1</v>
      </c>
      <c r="O66" s="163"/>
      <c r="P66" s="182">
        <v>41.776883591836722</v>
      </c>
      <c r="Q66" s="171">
        <f t="shared" si="10"/>
        <v>80</v>
      </c>
      <c r="R66" s="170">
        <v>43.1</v>
      </c>
      <c r="S66" s="168">
        <v>52.2</v>
      </c>
      <c r="T66" s="171">
        <v>975</v>
      </c>
      <c r="U66" s="171">
        <f t="shared" si="8"/>
        <v>22.621809744779583</v>
      </c>
      <c r="V66" s="169">
        <f t="shared" si="9"/>
        <v>17.432950191570885</v>
      </c>
      <c r="W66" s="170">
        <v>0.2</v>
      </c>
      <c r="X66" s="171">
        <f t="shared" si="13"/>
        <v>0.65250000000000008</v>
      </c>
      <c r="Y66" s="171">
        <f t="shared" si="3"/>
        <v>40.901899999999998</v>
      </c>
      <c r="Z66" s="171">
        <f t="shared" si="4"/>
        <v>49.537799999999997</v>
      </c>
      <c r="AA66" s="171">
        <f t="shared" si="5"/>
        <v>925.27499999999998</v>
      </c>
      <c r="AB66" s="171">
        <f t="shared" si="6"/>
        <v>22.621809744779583</v>
      </c>
      <c r="AC66" s="171">
        <f t="shared" si="2"/>
        <v>17.432950191570885</v>
      </c>
      <c r="AD66" s="163">
        <v>30</v>
      </c>
      <c r="AE66" s="171">
        <f t="shared" si="14"/>
        <v>1227.057</v>
      </c>
      <c r="AF66" s="179"/>
    </row>
    <row r="67" spans="1:32" s="173" customFormat="1" ht="15.75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 t="s">
        <v>243</v>
      </c>
      <c r="K67" s="163"/>
      <c r="L67" s="163">
        <v>330</v>
      </c>
      <c r="M67" s="163"/>
      <c r="N67" s="163">
        <v>10.4</v>
      </c>
      <c r="O67" s="163"/>
      <c r="P67" s="182">
        <v>30.394157959183669</v>
      </c>
      <c r="Q67" s="171">
        <f t="shared" si="10"/>
        <v>48</v>
      </c>
      <c r="R67" s="170">
        <v>18.2</v>
      </c>
      <c r="S67" s="168">
        <v>21.3</v>
      </c>
      <c r="T67" s="171">
        <v>900</v>
      </c>
      <c r="U67" s="171">
        <f t="shared" si="8"/>
        <v>49.450549450549453</v>
      </c>
      <c r="V67" s="169">
        <f t="shared" si="9"/>
        <v>14.553990610328645</v>
      </c>
      <c r="W67" s="170">
        <v>0.2</v>
      </c>
      <c r="X67" s="171">
        <f t="shared" si="13"/>
        <v>0.44375000000000003</v>
      </c>
      <c r="Y67" s="171">
        <f t="shared" si="3"/>
        <v>17.271799999999999</v>
      </c>
      <c r="Z67" s="171">
        <f t="shared" si="4"/>
        <v>20.213699999999999</v>
      </c>
      <c r="AA67" s="171">
        <f t="shared" si="5"/>
        <v>854.09999999999991</v>
      </c>
      <c r="AB67" s="171">
        <f t="shared" si="6"/>
        <v>49.450549450549453</v>
      </c>
      <c r="AC67" s="171">
        <f t="shared" si="2"/>
        <v>14.553990610328645</v>
      </c>
      <c r="AD67" s="163">
        <v>30</v>
      </c>
      <c r="AE67" s="171">
        <f t="shared" si="14"/>
        <v>518.154</v>
      </c>
      <c r="AF67" s="179"/>
    </row>
    <row r="68" spans="1:32" s="173" customFormat="1" ht="15.75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 t="s">
        <v>259</v>
      </c>
      <c r="K68" s="163"/>
      <c r="L68" s="163">
        <v>455</v>
      </c>
      <c r="M68" s="163"/>
      <c r="N68" s="163">
        <v>9</v>
      </c>
      <c r="O68" s="163"/>
      <c r="P68" s="182">
        <v>19.5821093877551</v>
      </c>
      <c r="Q68" s="171">
        <f t="shared" si="10"/>
        <v>104</v>
      </c>
      <c r="R68" s="170">
        <v>14</v>
      </c>
      <c r="S68" s="168">
        <v>17.100000000000001</v>
      </c>
      <c r="T68" s="171">
        <v>531</v>
      </c>
      <c r="U68" s="171">
        <f t="shared" si="8"/>
        <v>37.928571428571431</v>
      </c>
      <c r="V68" s="169">
        <f t="shared" si="9"/>
        <v>18.128654970760241</v>
      </c>
      <c r="W68" s="170">
        <v>0.3</v>
      </c>
      <c r="X68" s="171">
        <f t="shared" si="13"/>
        <v>0.16442307692307695</v>
      </c>
      <c r="Y68" s="171">
        <f t="shared" si="3"/>
        <v>13.286</v>
      </c>
      <c r="Z68" s="171">
        <f t="shared" si="4"/>
        <v>16.227900000000002</v>
      </c>
      <c r="AA68" s="171">
        <f t="shared" si="5"/>
        <v>503.91899999999998</v>
      </c>
      <c r="AB68" s="171">
        <f t="shared" si="6"/>
        <v>37.928571428571431</v>
      </c>
      <c r="AC68" s="171">
        <f t="shared" si="2"/>
        <v>18.128654970760241</v>
      </c>
      <c r="AD68" s="163">
        <v>30</v>
      </c>
      <c r="AE68" s="171">
        <f t="shared" si="14"/>
        <v>398.58</v>
      </c>
      <c r="AF68" s="179"/>
    </row>
    <row r="69" spans="1:32" s="173" customFormat="1" ht="15.75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 t="s">
        <v>248</v>
      </c>
      <c r="K69" s="163"/>
      <c r="L69" s="163">
        <v>249</v>
      </c>
      <c r="M69" s="163"/>
      <c r="N69" s="163">
        <v>13.2</v>
      </c>
      <c r="O69" s="163"/>
      <c r="P69" s="182">
        <v>43.457729795918368</v>
      </c>
      <c r="Q69" s="171">
        <f t="shared" si="10"/>
        <v>10.199999999999999</v>
      </c>
      <c r="R69" s="170">
        <v>1.204</v>
      </c>
      <c r="S69" s="168">
        <v>2.9769999999999999</v>
      </c>
      <c r="T69" s="171">
        <v>6</v>
      </c>
      <c r="U69" s="171">
        <f t="shared" si="8"/>
        <v>4.9833887043189371</v>
      </c>
      <c r="V69" s="169">
        <f t="shared" si="9"/>
        <v>59.556600604635534</v>
      </c>
      <c r="W69" s="170">
        <v>0.4</v>
      </c>
      <c r="X69" s="171">
        <f t="shared" si="13"/>
        <v>0.29186274509803922</v>
      </c>
      <c r="Y69" s="171">
        <f t="shared" si="3"/>
        <v>1.1425959999999999</v>
      </c>
      <c r="Z69" s="171">
        <f t="shared" si="4"/>
        <v>2.8251729999999999</v>
      </c>
      <c r="AA69" s="171">
        <f t="shared" si="5"/>
        <v>5.694</v>
      </c>
      <c r="AB69" s="171">
        <f t="shared" si="6"/>
        <v>4.9833887043189371</v>
      </c>
      <c r="AC69" s="171">
        <f t="shared" si="2"/>
        <v>59.556600604635534</v>
      </c>
      <c r="AD69" s="163">
        <v>30</v>
      </c>
      <c r="AE69" s="171">
        <f t="shared" si="14"/>
        <v>34.277879999999996</v>
      </c>
      <c r="AF69" s="179"/>
    </row>
    <row r="70" spans="1:32" s="173" customFormat="1" ht="15.75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90</v>
      </c>
      <c r="K70" s="163"/>
      <c r="L70" s="163">
        <v>434</v>
      </c>
      <c r="M70" s="163"/>
      <c r="N70" s="163">
        <v>2.2000000000000002</v>
      </c>
      <c r="O70" s="163"/>
      <c r="P70" s="182">
        <v>21.910876602040815</v>
      </c>
      <c r="Q70" s="171">
        <f t="shared" si="10"/>
        <v>19.8</v>
      </c>
      <c r="R70" s="170">
        <v>2.448</v>
      </c>
      <c r="S70" s="168">
        <v>2.835</v>
      </c>
      <c r="T70" s="171">
        <v>13</v>
      </c>
      <c r="U70" s="171">
        <f t="shared" si="8"/>
        <v>5.3104575163398691</v>
      </c>
      <c r="V70" s="169">
        <f t="shared" si="9"/>
        <v>13.650793650793652</v>
      </c>
      <c r="W70" s="170">
        <v>0.3</v>
      </c>
      <c r="X70" s="171">
        <f t="shared" si="13"/>
        <v>0.14318181818181819</v>
      </c>
      <c r="Y70" s="171">
        <f t="shared" si="3"/>
        <v>2.3231519999999999</v>
      </c>
      <c r="Z70" s="171">
        <f t="shared" si="4"/>
        <v>2.6904149999999998</v>
      </c>
      <c r="AA70" s="171">
        <f t="shared" si="5"/>
        <v>12.337</v>
      </c>
      <c r="AB70" s="171">
        <f t="shared" si="6"/>
        <v>5.3104575163398691</v>
      </c>
      <c r="AC70" s="171">
        <f t="shared" si="2"/>
        <v>13.650793650793652</v>
      </c>
      <c r="AD70" s="163">
        <v>30</v>
      </c>
      <c r="AE70" s="171">
        <f t="shared" si="14"/>
        <v>69.694559999999996</v>
      </c>
      <c r="AF70" s="179"/>
    </row>
    <row r="71" spans="1:32" s="173" customFormat="1" ht="15.75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100</v>
      </c>
      <c r="K71" s="163"/>
      <c r="L71" s="163">
        <v>468</v>
      </c>
      <c r="M71" s="163"/>
      <c r="N71" s="163">
        <v>0.9</v>
      </c>
      <c r="O71" s="163"/>
      <c r="P71" s="182">
        <v>13.31794</v>
      </c>
      <c r="Q71" s="171">
        <f t="shared" si="10"/>
        <v>13</v>
      </c>
      <c r="R71" s="170">
        <v>3.3820000000000001</v>
      </c>
      <c r="S71" s="168">
        <v>3.8930000000000002</v>
      </c>
      <c r="T71" s="171">
        <v>10</v>
      </c>
      <c r="U71" s="171">
        <f t="shared" si="8"/>
        <v>2.9568302779420459</v>
      </c>
      <c r="V71" s="169">
        <f t="shared" si="9"/>
        <v>13.126123811970206</v>
      </c>
      <c r="W71" s="170">
        <v>0.3</v>
      </c>
      <c r="X71" s="171">
        <f t="shared" si="13"/>
        <v>0.2994615384615385</v>
      </c>
      <c r="Y71" s="171">
        <f t="shared" si="3"/>
        <v>3.2095180000000001</v>
      </c>
      <c r="Z71" s="171">
        <f t="shared" si="4"/>
        <v>3.6944569999999999</v>
      </c>
      <c r="AA71" s="171">
        <f t="shared" si="5"/>
        <v>9.49</v>
      </c>
      <c r="AB71" s="171">
        <f t="shared" si="6"/>
        <v>2.9568302779420459</v>
      </c>
      <c r="AC71" s="171">
        <f t="shared" si="2"/>
        <v>13.126123811970206</v>
      </c>
      <c r="AD71" s="163">
        <v>30</v>
      </c>
      <c r="AE71" s="171">
        <f t="shared" si="14"/>
        <v>96.285539999999997</v>
      </c>
      <c r="AF71" s="179"/>
    </row>
    <row r="72" spans="1:32" s="173" customFormat="1" ht="15.75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 t="s">
        <v>243</v>
      </c>
      <c r="K72" s="163"/>
      <c r="L72" s="163">
        <v>376</v>
      </c>
      <c r="M72" s="163"/>
      <c r="N72" s="163">
        <v>8.6999999999999993</v>
      </c>
      <c r="O72" s="163"/>
      <c r="P72" s="160">
        <v>29.245318877551018</v>
      </c>
      <c r="Q72" s="171">
        <f>LEFT(H72,(FIND("K",H72,1)-1))*J72/100</f>
        <v>9</v>
      </c>
      <c r="R72" s="170">
        <v>2.85</v>
      </c>
      <c r="S72" s="168">
        <v>4.6479999999999997</v>
      </c>
      <c r="T72" s="171">
        <v>4</v>
      </c>
      <c r="U72" s="171">
        <f t="shared" si="8"/>
        <v>1.4035087719298245</v>
      </c>
      <c r="V72" s="169">
        <f t="shared" si="9"/>
        <v>38.683304647160064</v>
      </c>
      <c r="W72" s="170">
        <v>0.3</v>
      </c>
      <c r="X72" s="171">
        <f t="shared" si="13"/>
        <v>0.51644444444444437</v>
      </c>
      <c r="Y72" s="171">
        <f t="shared" si="3"/>
        <v>2.70465</v>
      </c>
      <c r="Z72" s="171">
        <f t="shared" si="4"/>
        <v>4.4109519999999991</v>
      </c>
      <c r="AA72" s="171">
        <f t="shared" si="5"/>
        <v>3.7959999999999998</v>
      </c>
      <c r="AB72" s="171">
        <f t="shared" si="6"/>
        <v>1.4035087719298245</v>
      </c>
      <c r="AC72" s="171">
        <f t="shared" si="2"/>
        <v>38.683304647160064</v>
      </c>
      <c r="AD72" s="163">
        <v>30</v>
      </c>
      <c r="AE72" s="171">
        <f>Y72*AD72</f>
        <v>81.139499999999998</v>
      </c>
      <c r="AF72" s="179"/>
    </row>
    <row r="73" spans="1:32" s="178" customFormat="1" ht="15.95" customHeight="1" x14ac:dyDescent="0.2">
      <c r="A73" s="184">
        <v>60</v>
      </c>
      <c r="B73" s="207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 t="s">
        <v>239</v>
      </c>
      <c r="K73" s="158"/>
      <c r="L73" s="158">
        <v>340</v>
      </c>
      <c r="M73" s="158"/>
      <c r="N73" s="163">
        <v>7.9</v>
      </c>
      <c r="O73" s="158"/>
      <c r="P73" s="284">
        <v>33.01738126530612</v>
      </c>
      <c r="Q73" s="174">
        <f>LEFT(H73,(FIND("K",H73,1)-1))*J73/100</f>
        <v>13</v>
      </c>
      <c r="R73" s="170">
        <v>1.448</v>
      </c>
      <c r="S73" s="168">
        <v>4.3580000000000005</v>
      </c>
      <c r="T73" s="174">
        <v>3</v>
      </c>
      <c r="U73" s="171">
        <f t="shared" si="8"/>
        <v>2.0718232044198897</v>
      </c>
      <c r="V73" s="169">
        <f t="shared" si="9"/>
        <v>66.773749426342363</v>
      </c>
      <c r="W73" s="170">
        <v>0.4</v>
      </c>
      <c r="X73" s="171">
        <f t="shared" si="13"/>
        <v>0.33523076923076928</v>
      </c>
      <c r="Y73" s="171">
        <f t="shared" si="3"/>
        <v>1.3741519999999998</v>
      </c>
      <c r="Z73" s="171">
        <f t="shared" si="4"/>
        <v>4.1357420000000005</v>
      </c>
      <c r="AA73" s="171">
        <f t="shared" si="5"/>
        <v>2.847</v>
      </c>
      <c r="AB73" s="171">
        <f t="shared" si="6"/>
        <v>2.0718232044198897</v>
      </c>
      <c r="AC73" s="171">
        <f t="shared" si="2"/>
        <v>66.773749426342363</v>
      </c>
      <c r="AD73" s="163">
        <v>30</v>
      </c>
      <c r="AE73" s="171">
        <f>Y73*AD73</f>
        <v>41.224559999999997</v>
      </c>
      <c r="AF73" s="172"/>
    </row>
    <row r="74" spans="1:32" s="211" customFormat="1" ht="15.95" customHeight="1" x14ac:dyDescent="0.2">
      <c r="A74" s="1879" t="s">
        <v>205</v>
      </c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437.84199999999993</v>
      </c>
      <c r="S74" s="209">
        <f>SUM(S14:S73)</f>
        <v>599.02199999999993</v>
      </c>
      <c r="T74" s="209">
        <f>SUM(T14:T73)</f>
        <v>20840</v>
      </c>
      <c r="U74" s="209">
        <f>T74/R74</f>
        <v>47.59707839814363</v>
      </c>
      <c r="V74" s="209"/>
      <c r="W74" s="209"/>
      <c r="X74" s="209"/>
      <c r="Y74" s="209">
        <f>SUM(Y14:Y73)</f>
        <v>415.51205799999991</v>
      </c>
      <c r="Z74" s="209">
        <f>SUM(Z14:Z73)</f>
        <v>568.47187799999995</v>
      </c>
      <c r="AA74" s="209">
        <f>SUM(AA14:AA73)</f>
        <v>19777.16</v>
      </c>
      <c r="AB74" s="209">
        <f>AA74/Y74</f>
        <v>47.59707839814363</v>
      </c>
      <c r="AC74" s="209"/>
      <c r="AD74" s="209"/>
      <c r="AE74" s="210">
        <f>SUM(AE14:AE73)</f>
        <v>12465.36174</v>
      </c>
      <c r="AF74" s="177"/>
    </row>
    <row r="75" spans="1:32" s="178" customFormat="1" ht="15.95" customHeight="1" x14ac:dyDescent="0.2">
      <c r="A75" s="1880" t="s">
        <v>200</v>
      </c>
      <c r="B75" s="1836"/>
      <c r="C75" s="1837"/>
      <c r="D75" s="1837"/>
      <c r="E75" s="1837"/>
      <c r="F75" s="1838"/>
      <c r="G75" s="281"/>
      <c r="H75" s="280"/>
      <c r="I75" s="280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282"/>
      <c r="V75" s="281"/>
      <c r="W75" s="281"/>
      <c r="X75" s="157"/>
      <c r="Y75" s="158"/>
      <c r="Z75" s="158"/>
      <c r="AA75" s="158"/>
      <c r="AB75" s="273"/>
      <c r="AC75" s="272"/>
      <c r="AD75" s="158"/>
      <c r="AE75" s="158"/>
      <c r="AF75" s="271"/>
    </row>
    <row r="76" spans="1:32" s="178" customFormat="1" ht="15.95" customHeight="1" x14ac:dyDescent="0.2">
      <c r="A76" s="216">
        <v>61</v>
      </c>
      <c r="B76" s="215" t="s">
        <v>131</v>
      </c>
      <c r="C76" s="216" t="s">
        <v>177</v>
      </c>
      <c r="D76" s="165">
        <v>389.74</v>
      </c>
      <c r="E76" s="16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125</v>
      </c>
      <c r="K76" s="163"/>
      <c r="L76" s="163">
        <v>20</v>
      </c>
      <c r="M76" s="163"/>
      <c r="N76" s="163">
        <v>0.1</v>
      </c>
      <c r="O76" s="163"/>
      <c r="P76" s="182">
        <v>16.12</v>
      </c>
      <c r="Q76" s="171"/>
      <c r="R76" s="170">
        <v>0.6</v>
      </c>
      <c r="S76" s="171">
        <v>0.58699999999999997</v>
      </c>
      <c r="T76" s="171">
        <v>0</v>
      </c>
      <c r="U76" s="171">
        <f>T76/R76</f>
        <v>0</v>
      </c>
      <c r="V76" s="170">
        <v>0</v>
      </c>
      <c r="W76" s="170">
        <v>0.4</v>
      </c>
      <c r="X76" s="171"/>
      <c r="Y76" s="171">
        <f>R76*0.9730706</f>
        <v>0.58384236</v>
      </c>
      <c r="Z76" s="171">
        <f>S76*0.954</f>
        <v>0.559998</v>
      </c>
      <c r="AA76" s="171">
        <f t="shared" ref="AA76:AC79" si="15">T76</f>
        <v>0</v>
      </c>
      <c r="AB76" s="171">
        <f t="shared" si="15"/>
        <v>0</v>
      </c>
      <c r="AC76" s="171">
        <f t="shared" si="15"/>
        <v>0</v>
      </c>
      <c r="AD76" s="163">
        <v>30</v>
      </c>
      <c r="AE76" s="171">
        <f>Y76*AD76</f>
        <v>17.5152708</v>
      </c>
      <c r="AF76" s="179"/>
    </row>
    <row r="77" spans="1:32" s="178" customFormat="1" ht="15.95" customHeight="1" x14ac:dyDescent="0.2">
      <c r="A77" s="216">
        <v>62</v>
      </c>
      <c r="B77" s="215" t="s">
        <v>132</v>
      </c>
      <c r="C77" s="216" t="s">
        <v>177</v>
      </c>
      <c r="D77" s="163">
        <v>387.72</v>
      </c>
      <c r="E77" s="163" t="s">
        <v>135</v>
      </c>
      <c r="F77" s="163">
        <v>177.8</v>
      </c>
      <c r="G77" s="163" t="s">
        <v>28</v>
      </c>
      <c r="H77" s="165" t="s">
        <v>58</v>
      </c>
      <c r="I77" s="158">
        <v>135.1</v>
      </c>
      <c r="J77" s="163"/>
      <c r="K77" s="163"/>
      <c r="L77" s="163"/>
      <c r="M77" s="163"/>
      <c r="N77" s="163"/>
      <c r="O77" s="163"/>
      <c r="P77" s="182"/>
      <c r="Q77" s="171"/>
      <c r="R77" s="170">
        <v>0</v>
      </c>
      <c r="S77" s="171">
        <v>0</v>
      </c>
      <c r="T77" s="171">
        <v>0</v>
      </c>
      <c r="U77" s="171">
        <v>0</v>
      </c>
      <c r="V77" s="170">
        <v>0</v>
      </c>
      <c r="W77" s="170">
        <v>0</v>
      </c>
      <c r="X77" s="171"/>
      <c r="Y77" s="171">
        <f t="shared" ref="Y77:Y78" si="16">R77*0.9730706</f>
        <v>0</v>
      </c>
      <c r="Z77" s="171">
        <f t="shared" ref="Z77:Z78" si="17">S77</f>
        <v>0</v>
      </c>
      <c r="AA77" s="171">
        <f t="shared" si="15"/>
        <v>0</v>
      </c>
      <c r="AB77" s="171">
        <v>0</v>
      </c>
      <c r="AC77" s="171">
        <f t="shared" si="15"/>
        <v>0</v>
      </c>
      <c r="AD77" s="163">
        <v>0</v>
      </c>
      <c r="AE77" s="171">
        <f>Y77*AD77</f>
        <v>0</v>
      </c>
      <c r="AF77" s="190" t="s">
        <v>215</v>
      </c>
    </row>
    <row r="78" spans="1:32" s="178" customFormat="1" ht="15.95" customHeight="1" x14ac:dyDescent="0.2">
      <c r="A78" s="285">
        <v>63</v>
      </c>
      <c r="B78" s="217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/>
      <c r="J78" s="163"/>
      <c r="K78" s="163">
        <v>11</v>
      </c>
      <c r="L78" s="163"/>
      <c r="M78" s="163">
        <v>0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>
        <v>0</v>
      </c>
      <c r="V78" s="170">
        <v>0</v>
      </c>
      <c r="W78" s="170">
        <v>0</v>
      </c>
      <c r="X78" s="171"/>
      <c r="Y78" s="171">
        <f t="shared" si="16"/>
        <v>0</v>
      </c>
      <c r="Z78" s="171">
        <f t="shared" si="17"/>
        <v>0</v>
      </c>
      <c r="AA78" s="171">
        <f t="shared" si="15"/>
        <v>0</v>
      </c>
      <c r="AB78" s="171">
        <f t="shared" si="15"/>
        <v>0</v>
      </c>
      <c r="AC78" s="171">
        <f t="shared" si="15"/>
        <v>0</v>
      </c>
      <c r="AD78" s="163">
        <v>0</v>
      </c>
      <c r="AE78" s="171">
        <f>Y78*AD78</f>
        <v>0</v>
      </c>
      <c r="AF78" s="190" t="s">
        <v>215</v>
      </c>
    </row>
    <row r="79" spans="1:32" s="211" customFormat="1" ht="15.9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175</v>
      </c>
      <c r="K79" s="175"/>
      <c r="L79" s="163">
        <v>36</v>
      </c>
      <c r="M79" s="175"/>
      <c r="N79" s="163">
        <v>0.3</v>
      </c>
      <c r="O79" s="175"/>
      <c r="P79" s="182">
        <v>14.89</v>
      </c>
      <c r="Q79" s="171"/>
      <c r="R79" s="170">
        <v>1.3</v>
      </c>
      <c r="S79" s="171">
        <v>1.3420000000000001</v>
      </c>
      <c r="T79" s="171">
        <v>0</v>
      </c>
      <c r="U79" s="171">
        <f>T79/R79</f>
        <v>0</v>
      </c>
      <c r="V79" s="171">
        <v>0.06</v>
      </c>
      <c r="W79" s="171">
        <v>0.3</v>
      </c>
      <c r="X79" s="171"/>
      <c r="Y79" s="171">
        <f>R79*0.948</f>
        <v>1.2323999999999999</v>
      </c>
      <c r="Z79" s="171">
        <f>S79*0.954</f>
        <v>1.280268</v>
      </c>
      <c r="AA79" s="171">
        <f t="shared" si="15"/>
        <v>0</v>
      </c>
      <c r="AB79" s="171">
        <f t="shared" si="15"/>
        <v>0</v>
      </c>
      <c r="AC79" s="171">
        <f t="shared" si="15"/>
        <v>0.06</v>
      </c>
      <c r="AD79" s="163">
        <v>30</v>
      </c>
      <c r="AE79" s="171">
        <f>Y79*AD79</f>
        <v>36.972000000000001</v>
      </c>
      <c r="AF79" s="177"/>
    </row>
    <row r="80" spans="1:32" s="178" customFormat="1" ht="15.95" customHeight="1" x14ac:dyDescent="0.2">
      <c r="A80" s="1879"/>
      <c r="B80" s="1834"/>
      <c r="C80" s="1834"/>
      <c r="D80" s="1834"/>
      <c r="E80" s="1835"/>
      <c r="F80" s="158"/>
      <c r="G80" s="281"/>
      <c r="H80" s="280"/>
      <c r="I80" s="280"/>
      <c r="J80" s="158"/>
      <c r="K80" s="158"/>
      <c r="L80" s="158"/>
      <c r="M80" s="158"/>
      <c r="N80" s="158"/>
      <c r="O80" s="158"/>
      <c r="P80" s="160"/>
      <c r="Q80" s="174"/>
      <c r="R80" s="209">
        <f>SUM(R76:R79)</f>
        <v>1.9</v>
      </c>
      <c r="S80" s="209">
        <f>SUM(S76:S79)</f>
        <v>1.929</v>
      </c>
      <c r="T80" s="209">
        <f>SUM(T76:T79)</f>
        <v>0</v>
      </c>
      <c r="U80" s="209">
        <f>SUM(U76:U79)</f>
        <v>0</v>
      </c>
      <c r="V80" s="281"/>
      <c r="W80" s="281"/>
      <c r="X80" s="272"/>
      <c r="Y80" s="209">
        <f>SUM(Y76:Y79)</f>
        <v>1.8162423599999999</v>
      </c>
      <c r="Z80" s="209">
        <f>SUM(Z76:Z79)</f>
        <v>1.840266</v>
      </c>
      <c r="AA80" s="209">
        <f>SUM(AA76:AA79)</f>
        <v>0</v>
      </c>
      <c r="AB80" s="209">
        <v>0</v>
      </c>
      <c r="AC80" s="272"/>
      <c r="AD80" s="158"/>
      <c r="AE80" s="209">
        <f>SUM(AE76:AE79)</f>
        <v>54.487270800000005</v>
      </c>
      <c r="AF80" s="218"/>
    </row>
    <row r="81" spans="1:32" s="178" customFormat="1" ht="15.95" customHeight="1" x14ac:dyDescent="0.2">
      <c r="A81" s="1827" t="s">
        <v>208</v>
      </c>
      <c r="B81" s="1828"/>
      <c r="C81" s="1828"/>
      <c r="D81" s="1828"/>
      <c r="E81" s="1828"/>
      <c r="F81" s="1829"/>
      <c r="G81" s="281"/>
      <c r="H81" s="280"/>
      <c r="I81" s="280"/>
      <c r="J81" s="158"/>
      <c r="K81" s="158"/>
      <c r="L81" s="158"/>
      <c r="M81" s="158"/>
      <c r="N81" s="158"/>
      <c r="O81" s="158"/>
      <c r="P81" s="160"/>
      <c r="Q81" s="174"/>
      <c r="R81" s="209"/>
      <c r="S81" s="209"/>
      <c r="T81" s="209"/>
      <c r="U81" s="209"/>
      <c r="V81" s="281"/>
      <c r="W81" s="281"/>
      <c r="X81" s="272"/>
      <c r="Y81" s="209"/>
      <c r="Z81" s="209"/>
      <c r="AA81" s="209"/>
      <c r="AB81" s="209"/>
      <c r="AC81" s="272"/>
      <c r="AD81" s="158"/>
      <c r="AE81" s="209"/>
      <c r="AF81" s="218"/>
    </row>
    <row r="82" spans="1:32" s="178" customFormat="1" ht="15.95" customHeight="1" x14ac:dyDescent="0.2">
      <c r="A82" s="165">
        <v>65</v>
      </c>
      <c r="B82" s="219" t="s">
        <v>220</v>
      </c>
      <c r="C82" s="163" t="s">
        <v>46</v>
      </c>
      <c r="D82" s="165">
        <v>685.69</v>
      </c>
      <c r="E82" s="286" t="s">
        <v>222</v>
      </c>
      <c r="F82" s="163">
        <v>177.8</v>
      </c>
      <c r="G82" s="163" t="s">
        <v>28</v>
      </c>
      <c r="H82" s="165" t="s">
        <v>221</v>
      </c>
      <c r="I82" s="165">
        <v>570.09</v>
      </c>
      <c r="J82" s="158"/>
      <c r="K82" s="158"/>
      <c r="L82" s="158"/>
      <c r="M82" s="158"/>
      <c r="N82" s="158"/>
      <c r="O82" s="158"/>
      <c r="P82" s="160"/>
      <c r="Q82" s="174"/>
      <c r="R82" s="158"/>
      <c r="S82" s="158"/>
      <c r="T82" s="158"/>
      <c r="U82" s="282"/>
      <c r="V82" s="281"/>
      <c r="W82" s="281"/>
      <c r="X82" s="272"/>
      <c r="Y82" s="221"/>
      <c r="Z82" s="222"/>
      <c r="AA82" s="271"/>
      <c r="AB82" s="274"/>
      <c r="AC82" s="158"/>
      <c r="AD82" s="163"/>
      <c r="AE82" s="171"/>
      <c r="AF82" s="172" t="s">
        <v>236</v>
      </c>
    </row>
    <row r="83" spans="1:32" s="178" customFormat="1" ht="15.6" customHeight="1" x14ac:dyDescent="0.2">
      <c r="A83" s="165"/>
      <c r="B83" s="219"/>
      <c r="C83" s="163"/>
      <c r="D83" s="223"/>
      <c r="E83" s="158"/>
      <c r="F83" s="163"/>
      <c r="G83" s="163"/>
      <c r="H83" s="165"/>
      <c r="I83" s="165"/>
      <c r="J83" s="158"/>
      <c r="K83" s="158"/>
      <c r="L83" s="158"/>
      <c r="M83" s="158"/>
      <c r="N83" s="158"/>
      <c r="O83" s="158"/>
      <c r="P83" s="160"/>
      <c r="Q83" s="174"/>
      <c r="R83" s="158"/>
      <c r="S83" s="158"/>
      <c r="T83" s="158"/>
      <c r="U83" s="282"/>
      <c r="V83" s="281"/>
      <c r="W83" s="281"/>
      <c r="X83" s="272"/>
      <c r="Y83" s="221"/>
      <c r="Z83" s="222"/>
      <c r="AA83" s="271"/>
      <c r="AB83" s="274"/>
      <c r="AC83" s="158"/>
      <c r="AD83" s="163"/>
      <c r="AE83" s="171"/>
      <c r="AF83" s="172"/>
    </row>
    <row r="84" spans="1:32" s="178" customFormat="1" ht="14.45" customHeight="1" x14ac:dyDescent="0.2">
      <c r="A84" s="165"/>
      <c r="B84" s="219"/>
      <c r="C84" s="163"/>
      <c r="D84" s="223"/>
      <c r="E84" s="165"/>
      <c r="F84" s="163"/>
      <c r="G84" s="163"/>
      <c r="H84" s="165"/>
      <c r="I84" s="165"/>
      <c r="J84" s="158"/>
      <c r="K84" s="158"/>
      <c r="L84" s="158"/>
      <c r="M84" s="158"/>
      <c r="N84" s="158"/>
      <c r="O84" s="158"/>
      <c r="P84" s="160"/>
      <c r="Q84" s="174"/>
      <c r="R84" s="158"/>
      <c r="S84" s="158"/>
      <c r="T84" s="158"/>
      <c r="U84" s="282"/>
      <c r="V84" s="281"/>
      <c r="W84" s="281"/>
      <c r="X84" s="272"/>
      <c r="Y84" s="221"/>
      <c r="Z84" s="222"/>
      <c r="AA84" s="271"/>
      <c r="AB84" s="274"/>
      <c r="AC84" s="158"/>
      <c r="AD84" s="163"/>
      <c r="AE84" s="171"/>
      <c r="AF84" s="172"/>
    </row>
    <row r="85" spans="1:32" s="211" customFormat="1" ht="15.95" customHeight="1" x14ac:dyDescent="0.2">
      <c r="A85" s="1879" t="s">
        <v>205</v>
      </c>
      <c r="B85" s="1834"/>
      <c r="C85" s="1834"/>
      <c r="D85" s="1834"/>
      <c r="E85" s="1835"/>
      <c r="F85" s="175"/>
      <c r="G85" s="163"/>
      <c r="H85" s="165"/>
      <c r="I85" s="171"/>
      <c r="J85" s="163"/>
      <c r="K85" s="175"/>
      <c r="L85" s="163"/>
      <c r="M85" s="175"/>
      <c r="N85" s="182"/>
      <c r="O85" s="175"/>
      <c r="P85" s="224"/>
      <c r="Q85" s="209"/>
      <c r="R85" s="209"/>
      <c r="S85" s="209"/>
      <c r="T85" s="209"/>
      <c r="U85" s="209"/>
      <c r="V85" s="209"/>
      <c r="W85" s="209"/>
      <c r="X85" s="209"/>
      <c r="Y85" s="209"/>
      <c r="Z85" s="225"/>
      <c r="AA85" s="209"/>
      <c r="AB85" s="209"/>
      <c r="AC85" s="209"/>
      <c r="AD85" s="209"/>
      <c r="AE85" s="209"/>
      <c r="AF85" s="177"/>
    </row>
    <row r="86" spans="1:32" s="178" customFormat="1" ht="15.95" customHeight="1" x14ac:dyDescent="0.2">
      <c r="A86" s="1819" t="s">
        <v>199</v>
      </c>
      <c r="B86" s="1843"/>
      <c r="C86" s="1839"/>
      <c r="D86" s="1839"/>
      <c r="E86" s="1839"/>
      <c r="F86" s="1839"/>
      <c r="G86" s="281"/>
      <c r="H86" s="280"/>
      <c r="I86" s="280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282"/>
      <c r="V86" s="281"/>
      <c r="W86" s="281"/>
      <c r="X86" s="272"/>
      <c r="Y86" s="158"/>
      <c r="Z86" s="158"/>
      <c r="AA86" s="158"/>
      <c r="AB86" s="273"/>
      <c r="AC86" s="272"/>
      <c r="AD86" s="158"/>
      <c r="AE86" s="158"/>
      <c r="AF86" s="271"/>
    </row>
    <row r="87" spans="1:32" s="178" customFormat="1" ht="15.95" customHeight="1" x14ac:dyDescent="0.2">
      <c r="A87" s="188">
        <v>66</v>
      </c>
      <c r="B87" s="226" t="s">
        <v>107</v>
      </c>
      <c r="C87" s="188" t="s">
        <v>109</v>
      </c>
      <c r="D87" s="279"/>
      <c r="E87" s="279"/>
      <c r="F87" s="158"/>
      <c r="G87" s="281"/>
      <c r="H87" s="280"/>
      <c r="I87" s="280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282"/>
      <c r="V87" s="281"/>
      <c r="W87" s="281"/>
      <c r="X87" s="272"/>
      <c r="Y87" s="271"/>
      <c r="Z87" s="271"/>
      <c r="AA87" s="158"/>
      <c r="AB87" s="273"/>
      <c r="AC87" s="272"/>
      <c r="AD87" s="228"/>
      <c r="AE87" s="158"/>
      <c r="AF87" s="229"/>
    </row>
    <row r="88" spans="1:32" s="178" customFormat="1" ht="15.95" customHeight="1" x14ac:dyDescent="0.2">
      <c r="A88" s="188">
        <v>67</v>
      </c>
      <c r="B88" s="226" t="s">
        <v>108</v>
      </c>
      <c r="C88" s="188" t="s">
        <v>109</v>
      </c>
      <c r="D88" s="279"/>
      <c r="E88" s="279"/>
      <c r="F88" s="158"/>
      <c r="G88" s="281"/>
      <c r="H88" s="280"/>
      <c r="I88" s="280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282"/>
      <c r="V88" s="281"/>
      <c r="W88" s="281"/>
      <c r="X88" s="272"/>
      <c r="Y88" s="271"/>
      <c r="Z88" s="271"/>
      <c r="AA88" s="158"/>
      <c r="AB88" s="273"/>
      <c r="AC88" s="272"/>
      <c r="AD88" s="228"/>
      <c r="AE88" s="158"/>
      <c r="AF88" s="229"/>
    </row>
    <row r="89" spans="1:32" s="178" customFormat="1" ht="15.95" customHeight="1" x14ac:dyDescent="0.2">
      <c r="A89" s="188">
        <v>68</v>
      </c>
      <c r="B89" s="226" t="s">
        <v>195</v>
      </c>
      <c r="C89" s="216" t="s">
        <v>193</v>
      </c>
      <c r="D89" s="279"/>
      <c r="E89" s="279"/>
      <c r="F89" s="158"/>
      <c r="G89" s="281"/>
      <c r="H89" s="280"/>
      <c r="I89" s="280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282"/>
      <c r="V89" s="281"/>
      <c r="W89" s="281"/>
      <c r="X89" s="272"/>
      <c r="Y89" s="271"/>
      <c r="Z89" s="271"/>
      <c r="AA89" s="158"/>
      <c r="AB89" s="273"/>
      <c r="AC89" s="272"/>
      <c r="AD89" s="228"/>
      <c r="AE89" s="158"/>
      <c r="AF89" s="229"/>
    </row>
    <row r="90" spans="1:32" s="178" customFormat="1" ht="15.95" customHeight="1" x14ac:dyDescent="0.2">
      <c r="A90" s="188">
        <v>69</v>
      </c>
      <c r="B90" s="226" t="s">
        <v>192</v>
      </c>
      <c r="C90" s="216" t="s">
        <v>193</v>
      </c>
      <c r="D90" s="279"/>
      <c r="E90" s="279"/>
      <c r="F90" s="158"/>
      <c r="G90" s="281"/>
      <c r="H90" s="280"/>
      <c r="I90" s="280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282"/>
      <c r="V90" s="281"/>
      <c r="W90" s="281"/>
      <c r="X90" s="272"/>
      <c r="Y90" s="271"/>
      <c r="Z90" s="271"/>
      <c r="AA90" s="158"/>
      <c r="AB90" s="273"/>
      <c r="AC90" s="272"/>
      <c r="AD90" s="228"/>
      <c r="AE90" s="158"/>
      <c r="AF90" s="229"/>
    </row>
    <row r="91" spans="1:32" s="178" customFormat="1" ht="15.95" customHeight="1" x14ac:dyDescent="0.2">
      <c r="A91" s="1819"/>
      <c r="B91" s="1843"/>
      <c r="C91" s="1839"/>
      <c r="D91" s="1839"/>
      <c r="E91" s="1839"/>
      <c r="F91" s="1839"/>
      <c r="G91" s="281"/>
      <c r="H91" s="280"/>
      <c r="I91" s="280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282"/>
      <c r="V91" s="281"/>
      <c r="W91" s="281"/>
      <c r="X91" s="272"/>
      <c r="Y91" s="158"/>
      <c r="Z91" s="158"/>
      <c r="AA91" s="158"/>
      <c r="AB91" s="273"/>
      <c r="AC91" s="272"/>
      <c r="AD91" s="158"/>
      <c r="AE91" s="158"/>
      <c r="AF91" s="271"/>
    </row>
    <row r="92" spans="1:32" s="178" customFormat="1" ht="15.95" customHeight="1" x14ac:dyDescent="0.2">
      <c r="A92" s="184">
        <v>70</v>
      </c>
      <c r="B92" s="207" t="s">
        <v>189</v>
      </c>
      <c r="C92" s="163" t="s">
        <v>46</v>
      </c>
      <c r="D92" s="189">
        <v>673</v>
      </c>
      <c r="E92" s="189" t="s">
        <v>190</v>
      </c>
      <c r="F92" s="163">
        <v>177.8</v>
      </c>
      <c r="G92" s="163"/>
      <c r="H92" s="165"/>
      <c r="I92" s="158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282"/>
      <c r="V92" s="281"/>
      <c r="W92" s="281"/>
      <c r="X92" s="272"/>
      <c r="Y92" s="230"/>
      <c r="Z92" s="231"/>
      <c r="AA92" s="271"/>
      <c r="AB92" s="273"/>
      <c r="AC92" s="158"/>
      <c r="AD92" s="163"/>
      <c r="AE92" s="171"/>
      <c r="AF92" s="179"/>
    </row>
    <row r="93" spans="1:32" s="178" customFormat="1" ht="15.95" customHeight="1" x14ac:dyDescent="0.25">
      <c r="A93" s="163">
        <v>71</v>
      </c>
      <c r="B93" s="164" t="s">
        <v>181</v>
      </c>
      <c r="C93" s="232" t="s">
        <v>183</v>
      </c>
      <c r="D93" s="165">
        <v>374.5</v>
      </c>
      <c r="E93" s="163" t="s">
        <v>182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s="178" customFormat="1" ht="15.95" customHeight="1" x14ac:dyDescent="0.2">
      <c r="A94" s="163">
        <v>72</v>
      </c>
      <c r="B94" s="164" t="s">
        <v>57</v>
      </c>
      <c r="C94" s="216" t="s">
        <v>176</v>
      </c>
      <c r="D94" s="165">
        <v>681.52</v>
      </c>
      <c r="E94" s="163" t="s">
        <v>93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s="178" customFormat="1" ht="15.95" customHeight="1" x14ac:dyDescent="0.2">
      <c r="A95" s="163">
        <v>73</v>
      </c>
      <c r="B95" s="164" t="s">
        <v>188</v>
      </c>
      <c r="C95" s="216" t="s">
        <v>183</v>
      </c>
      <c r="D95" s="165">
        <v>408.86</v>
      </c>
      <c r="E95" s="164" t="s">
        <v>235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s="178" customFormat="1" ht="15.95" customHeight="1" x14ac:dyDescent="0.2">
      <c r="A96" s="163">
        <v>74</v>
      </c>
      <c r="B96" s="164" t="s">
        <v>184</v>
      </c>
      <c r="C96" s="216" t="s">
        <v>176</v>
      </c>
      <c r="D96" s="165">
        <v>422.78</v>
      </c>
      <c r="E96" s="163" t="s">
        <v>185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s="178" customFormat="1" ht="15.95" customHeight="1" x14ac:dyDescent="0.2">
      <c r="A97" s="163">
        <v>75</v>
      </c>
      <c r="B97" s="164" t="s">
        <v>186</v>
      </c>
      <c r="C97" s="216" t="s">
        <v>176</v>
      </c>
      <c r="D97" s="165">
        <v>387.56</v>
      </c>
      <c r="E97" s="163"/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70"/>
      <c r="Q97" s="171"/>
      <c r="R97" s="170"/>
      <c r="S97" s="171"/>
      <c r="T97" s="171"/>
      <c r="U97" s="171"/>
      <c r="V97" s="170"/>
      <c r="W97" s="170"/>
      <c r="X97" s="233"/>
      <c r="Y97" s="171"/>
      <c r="Z97" s="171"/>
      <c r="AA97" s="171"/>
      <c r="AB97" s="171"/>
      <c r="AC97" s="171"/>
      <c r="AD97" s="163"/>
      <c r="AE97" s="171"/>
      <c r="AF97" s="179"/>
    </row>
    <row r="98" spans="1:32" s="178" customFormat="1" ht="15.95" customHeight="1" x14ac:dyDescent="0.2">
      <c r="A98" s="163">
        <v>76</v>
      </c>
      <c r="B98" s="164" t="s">
        <v>196</v>
      </c>
      <c r="C98" s="163" t="s">
        <v>46</v>
      </c>
      <c r="D98" s="165">
        <v>622.02</v>
      </c>
      <c r="E98" s="163" t="s">
        <v>197</v>
      </c>
      <c r="F98" s="163">
        <v>177.8</v>
      </c>
      <c r="G98" s="163"/>
      <c r="H98" s="165"/>
      <c r="I98" s="158"/>
      <c r="J98" s="163"/>
      <c r="K98" s="163"/>
      <c r="L98" s="163"/>
      <c r="M98" s="163"/>
      <c r="N98" s="182"/>
      <c r="O98" s="163"/>
      <c r="P98" s="170"/>
      <c r="Q98" s="171"/>
      <c r="R98" s="170"/>
      <c r="S98" s="171"/>
      <c r="T98" s="171"/>
      <c r="U98" s="171"/>
      <c r="V98" s="170"/>
      <c r="W98" s="170"/>
      <c r="X98" s="233"/>
      <c r="Y98" s="171"/>
      <c r="Z98" s="171"/>
      <c r="AA98" s="171"/>
      <c r="AB98" s="171"/>
      <c r="AC98" s="171"/>
      <c r="AD98" s="163"/>
      <c r="AE98" s="171"/>
      <c r="AF98" s="179"/>
    </row>
    <row r="99" spans="1:32" s="173" customFormat="1" ht="15.75" x14ac:dyDescent="0.2">
      <c r="A99" s="163">
        <v>77</v>
      </c>
      <c r="B99" s="164" t="s">
        <v>174</v>
      </c>
      <c r="C99" s="163" t="s">
        <v>46</v>
      </c>
      <c r="D99" s="165">
        <v>672</v>
      </c>
      <c r="E99" s="163" t="s">
        <v>175</v>
      </c>
      <c r="F99" s="163">
        <v>177.8</v>
      </c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s="178" customFormat="1" ht="15.95" customHeight="1" x14ac:dyDescent="0.2">
      <c r="A100" s="158">
        <v>78</v>
      </c>
      <c r="B100" s="204" t="s">
        <v>103</v>
      </c>
      <c r="C100" s="163" t="s">
        <v>46</v>
      </c>
      <c r="D100" s="158">
        <v>582</v>
      </c>
      <c r="E100" s="158" t="s">
        <v>112</v>
      </c>
      <c r="F100" s="163">
        <v>177.8</v>
      </c>
      <c r="G100" s="163"/>
      <c r="H100" s="165"/>
      <c r="I100" s="158"/>
      <c r="J100" s="158"/>
      <c r="K100" s="159"/>
      <c r="L100" s="158"/>
      <c r="M100" s="159"/>
      <c r="N100" s="158"/>
      <c r="O100" s="158"/>
      <c r="P100" s="160"/>
      <c r="Q100" s="174"/>
      <c r="R100" s="158"/>
      <c r="S100" s="158"/>
      <c r="T100" s="158"/>
      <c r="U100" s="282"/>
      <c r="V100" s="281"/>
      <c r="W100" s="281"/>
      <c r="X100" s="157"/>
      <c r="Y100" s="234"/>
      <c r="Z100" s="158"/>
      <c r="AA100" s="158"/>
      <c r="AB100" s="274"/>
      <c r="AC100" s="158"/>
      <c r="AD100" s="235"/>
      <c r="AE100" s="174"/>
      <c r="AF100" s="179"/>
    </row>
    <row r="101" spans="1:32" s="173" customFormat="1" ht="15.75" x14ac:dyDescent="0.2">
      <c r="A101" s="1819" t="s">
        <v>209</v>
      </c>
      <c r="B101" s="1843"/>
      <c r="C101" s="1839"/>
      <c r="D101" s="1839"/>
      <c r="E101" s="1839"/>
      <c r="F101" s="1839"/>
      <c r="G101" s="163"/>
      <c r="H101" s="165"/>
      <c r="I101" s="158"/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s="173" customFormat="1" ht="15.75" x14ac:dyDescent="0.2">
      <c r="A102" s="163">
        <v>79</v>
      </c>
      <c r="B102" s="164" t="s">
        <v>148</v>
      </c>
      <c r="C102" s="163" t="s">
        <v>46</v>
      </c>
      <c r="D102" s="163">
        <v>650</v>
      </c>
      <c r="E102" s="163" t="s">
        <v>75</v>
      </c>
      <c r="F102" s="163">
        <v>177.8</v>
      </c>
      <c r="G102" s="163"/>
      <c r="H102" s="165"/>
      <c r="I102" s="159">
        <v>536.14</v>
      </c>
      <c r="J102" s="163"/>
      <c r="K102" s="163"/>
      <c r="L102" s="163"/>
      <c r="M102" s="163"/>
      <c r="N102" s="182"/>
      <c r="O102" s="163"/>
      <c r="P102" s="182"/>
      <c r="Q102" s="171"/>
      <c r="R102" s="170"/>
      <c r="S102" s="171"/>
      <c r="T102" s="171"/>
      <c r="U102" s="171"/>
      <c r="V102" s="170"/>
      <c r="W102" s="170"/>
      <c r="X102" s="171"/>
      <c r="Y102" s="171"/>
      <c r="Z102" s="171"/>
      <c r="AA102" s="171"/>
      <c r="AB102" s="171"/>
      <c r="AC102" s="171"/>
      <c r="AD102" s="163"/>
      <c r="AE102" s="171"/>
      <c r="AF102" s="179"/>
    </row>
    <row r="103" spans="1:32" s="173" customFormat="1" ht="15.75" x14ac:dyDescent="0.2">
      <c r="A103" s="163">
        <v>80</v>
      </c>
      <c r="B103" s="164" t="s">
        <v>155</v>
      </c>
      <c r="C103" s="163" t="s">
        <v>46</v>
      </c>
      <c r="D103" s="163">
        <v>674.13</v>
      </c>
      <c r="E103" s="163" t="s">
        <v>83</v>
      </c>
      <c r="F103" s="163">
        <v>177.8</v>
      </c>
      <c r="G103" s="163"/>
      <c r="H103" s="165"/>
      <c r="I103" s="158">
        <v>527.75</v>
      </c>
      <c r="J103" s="163"/>
      <c r="K103" s="163"/>
      <c r="L103" s="163"/>
      <c r="M103" s="163"/>
      <c r="N103" s="182"/>
      <c r="O103" s="163"/>
      <c r="P103" s="182"/>
      <c r="Q103" s="171"/>
      <c r="R103" s="170"/>
      <c r="S103" s="171"/>
      <c r="T103" s="171"/>
      <c r="U103" s="171"/>
      <c r="V103" s="170"/>
      <c r="W103" s="170"/>
      <c r="X103" s="171"/>
      <c r="Y103" s="171"/>
      <c r="Z103" s="171"/>
      <c r="AA103" s="171"/>
      <c r="AB103" s="171"/>
      <c r="AC103" s="171"/>
      <c r="AD103" s="163"/>
      <c r="AE103" s="171"/>
      <c r="AF103" s="179"/>
    </row>
    <row r="104" spans="1:32" s="178" customFormat="1" ht="15.95" customHeight="1" x14ac:dyDescent="0.2">
      <c r="A104" s="163">
        <v>81</v>
      </c>
      <c r="B104" s="164" t="s">
        <v>56</v>
      </c>
      <c r="C104" s="163" t="s">
        <v>46</v>
      </c>
      <c r="D104" s="165">
        <v>680.52</v>
      </c>
      <c r="E104" s="163" t="s">
        <v>92</v>
      </c>
      <c r="F104" s="163">
        <v>177.8</v>
      </c>
      <c r="G104" s="163"/>
      <c r="H104" s="165"/>
      <c r="I104" s="158">
        <v>555.95000000000005</v>
      </c>
      <c r="J104" s="163"/>
      <c r="K104" s="163"/>
      <c r="L104" s="163"/>
      <c r="M104" s="163"/>
      <c r="N104" s="182"/>
      <c r="O104" s="163"/>
      <c r="P104" s="170"/>
      <c r="Q104" s="171"/>
      <c r="R104" s="170"/>
      <c r="S104" s="171"/>
      <c r="T104" s="171"/>
      <c r="U104" s="171"/>
      <c r="V104" s="170"/>
      <c r="W104" s="170"/>
      <c r="X104" s="233"/>
      <c r="Y104" s="171"/>
      <c r="Z104" s="171"/>
      <c r="AA104" s="171"/>
      <c r="AB104" s="171"/>
      <c r="AC104" s="171"/>
      <c r="AD104" s="163"/>
      <c r="AE104" s="171"/>
      <c r="AF104" s="179"/>
    </row>
    <row r="105" spans="1:32" s="178" customFormat="1" ht="15.95" customHeight="1" x14ac:dyDescent="0.2">
      <c r="A105" s="236"/>
      <c r="B105" s="237"/>
      <c r="C105" s="237"/>
      <c r="D105" s="238"/>
      <c r="E105" s="239"/>
      <c r="F105" s="240"/>
      <c r="G105" s="240"/>
      <c r="H105" s="241"/>
      <c r="I105" s="242"/>
      <c r="J105" s="240"/>
      <c r="K105" s="240"/>
      <c r="L105" s="240"/>
      <c r="M105" s="240"/>
      <c r="N105" s="243"/>
      <c r="O105" s="240"/>
      <c r="P105" s="244"/>
      <c r="Q105" s="245"/>
      <c r="R105" s="244"/>
      <c r="S105" s="245"/>
      <c r="T105" s="245"/>
      <c r="U105" s="245"/>
      <c r="V105" s="244"/>
      <c r="W105" s="244"/>
      <c r="X105" s="246"/>
      <c r="Y105" s="245"/>
      <c r="Z105" s="245"/>
      <c r="AA105" s="245"/>
      <c r="AB105" s="245"/>
      <c r="AC105" s="245"/>
      <c r="AD105" s="240"/>
      <c r="AE105" s="245"/>
      <c r="AF105" s="247"/>
    </row>
    <row r="106" spans="1:32" s="211" customFormat="1" ht="15.95" customHeight="1" x14ac:dyDescent="0.2">
      <c r="A106" s="1882" t="s">
        <v>205</v>
      </c>
      <c r="B106" s="1844"/>
      <c r="C106" s="1844"/>
      <c r="D106" s="1844"/>
      <c r="E106" s="1845"/>
      <c r="F106" s="248"/>
      <c r="G106" s="240"/>
      <c r="H106" s="241"/>
      <c r="I106" s="245"/>
      <c r="J106" s="240"/>
      <c r="K106" s="248"/>
      <c r="L106" s="240"/>
      <c r="M106" s="248"/>
      <c r="N106" s="243"/>
      <c r="O106" s="248"/>
      <c r="P106" s="249"/>
      <c r="Q106" s="250"/>
      <c r="R106" s="250">
        <f>R74+R80</f>
        <v>439.7419999999999</v>
      </c>
      <c r="S106" s="250">
        <f>S74+S80</f>
        <v>600.95099999999991</v>
      </c>
      <c r="T106" s="250">
        <f>T74+T80</f>
        <v>20840</v>
      </c>
      <c r="U106" s="250">
        <f>T106/R106</f>
        <v>47.391424971915363</v>
      </c>
      <c r="V106" s="250"/>
      <c r="W106" s="250"/>
      <c r="X106" s="250"/>
      <c r="Y106" s="250">
        <f>Y74+Y80+Y85</f>
        <v>417.3283003599999</v>
      </c>
      <c r="Z106" s="250">
        <f>Z74+Z80+Z85</f>
        <v>570.31214399999999</v>
      </c>
      <c r="AA106" s="250">
        <f>AA74+AA80</f>
        <v>19777.16</v>
      </c>
      <c r="AB106" s="250">
        <f>AA106/Y106</f>
        <v>47.389932537380353</v>
      </c>
      <c r="AC106" s="250"/>
      <c r="AD106" s="250"/>
      <c r="AE106" s="251">
        <f>AE74+AE80+AE85</f>
        <v>12519.849010800001</v>
      </c>
      <c r="AF106" s="252"/>
    </row>
    <row r="107" spans="1:32" s="178" customFormat="1" ht="15.95" customHeight="1" x14ac:dyDescent="0.2">
      <c r="A107" s="287"/>
      <c r="B107" s="253"/>
      <c r="C107" s="253"/>
      <c r="D107" s="253"/>
      <c r="E107" s="253"/>
      <c r="F107" s="254"/>
      <c r="G107" s="255"/>
      <c r="H107" s="256"/>
      <c r="I107" s="256"/>
      <c r="J107" s="254"/>
      <c r="K107" s="254"/>
      <c r="L107" s="254"/>
      <c r="M107" s="254"/>
      <c r="N107" s="254"/>
      <c r="O107" s="254"/>
      <c r="P107" s="257"/>
      <c r="Q107" s="258"/>
      <c r="R107" s="254"/>
      <c r="S107" s="254"/>
      <c r="T107" s="254"/>
      <c r="U107" s="259"/>
      <c r="V107" s="255"/>
      <c r="W107" s="255"/>
      <c r="X107" s="255"/>
      <c r="Y107" s="254"/>
      <c r="Z107" s="254"/>
      <c r="AA107" s="254"/>
      <c r="AB107" s="260"/>
      <c r="AC107" s="255"/>
      <c r="AD107" s="254"/>
      <c r="AE107" s="254"/>
      <c r="AF107" s="256"/>
    </row>
    <row r="108" spans="1:32" s="178" customFormat="1" ht="15.95" customHeight="1" x14ac:dyDescent="0.2">
      <c r="A108" s="288" t="s">
        <v>101</v>
      </c>
      <c r="B108" s="289"/>
      <c r="C108" s="191"/>
      <c r="D108" s="289"/>
      <c r="E108" s="268">
        <v>0.95</v>
      </c>
      <c r="F108" s="289"/>
      <c r="G108" s="289" t="s">
        <v>102</v>
      </c>
      <c r="H108" s="290"/>
      <c r="I108" s="262"/>
      <c r="J108" s="289"/>
      <c r="K108" s="1883">
        <f>AE106*E108</f>
        <v>11893.856560259999</v>
      </c>
      <c r="L108" s="1884"/>
      <c r="M108" s="1885"/>
      <c r="N108" s="191" t="s">
        <v>27</v>
      </c>
      <c r="O108" s="254"/>
      <c r="P108" s="257"/>
      <c r="Q108" s="258"/>
      <c r="R108" s="254"/>
      <c r="S108" s="254"/>
      <c r="T108" s="254"/>
      <c r="U108" s="259"/>
      <c r="V108" s="255"/>
      <c r="W108" s="255"/>
      <c r="X108" s="255"/>
      <c r="Y108" s="254"/>
      <c r="Z108" s="254"/>
      <c r="AA108" s="254"/>
      <c r="AB108" s="260"/>
      <c r="AC108" s="255"/>
      <c r="AD108" s="254"/>
      <c r="AE108" s="254"/>
      <c r="AF108" s="256"/>
    </row>
    <row r="109" spans="1:32" x14ac:dyDescent="0.2">
      <c r="A109" s="288"/>
      <c r="B109" s="289"/>
      <c r="C109" s="191"/>
      <c r="D109" s="289"/>
      <c r="E109" s="268"/>
      <c r="F109" s="289"/>
      <c r="G109" s="191"/>
      <c r="H109" s="290"/>
      <c r="I109" s="262"/>
      <c r="J109" s="289"/>
      <c r="K109" s="191"/>
      <c r="L109" s="263"/>
      <c r="M109" s="289"/>
      <c r="N109" s="289"/>
      <c r="O109" s="289"/>
      <c r="P109" s="291"/>
      <c r="Q109" s="292"/>
      <c r="R109" s="289"/>
      <c r="S109" s="289"/>
      <c r="T109" s="289"/>
      <c r="U109" s="289"/>
      <c r="V109" s="289"/>
      <c r="W109" s="289"/>
      <c r="X109" s="211"/>
      <c r="Y109" s="211"/>
      <c r="Z109" s="211"/>
      <c r="AA109" s="211"/>
      <c r="AB109" s="211"/>
      <c r="AC109" s="211"/>
      <c r="AD109" s="211"/>
      <c r="AE109" s="211"/>
      <c r="AF109" s="266"/>
    </row>
    <row r="110" spans="1:32" x14ac:dyDescent="0.2">
      <c r="A110" s="288"/>
      <c r="B110" s="289"/>
      <c r="C110" s="289"/>
      <c r="D110" s="289"/>
      <c r="E110" s="293" t="s">
        <v>214</v>
      </c>
      <c r="F110" s="1881" t="s">
        <v>264</v>
      </c>
      <c r="G110" s="1881"/>
      <c r="H110" s="1881"/>
      <c r="I110" s="289"/>
      <c r="J110" s="289"/>
      <c r="K110" s="191"/>
      <c r="L110" s="191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1842" t="s">
        <v>99</v>
      </c>
      <c r="Y110" s="1824"/>
      <c r="Z110" s="1824"/>
      <c r="AA110" s="1824"/>
      <c r="AB110" s="211" t="s">
        <v>216</v>
      </c>
      <c r="AC110" s="211"/>
      <c r="AD110" s="211"/>
      <c r="AE110" s="211"/>
      <c r="AF110" s="211"/>
    </row>
    <row r="111" spans="1:32" x14ac:dyDescent="0.2">
      <c r="A111" s="211"/>
      <c r="B111" s="211"/>
      <c r="C111" s="211"/>
      <c r="D111" s="211"/>
      <c r="E111" s="211"/>
      <c r="F111" s="211"/>
      <c r="G111" s="211"/>
      <c r="H111" s="138"/>
      <c r="I111" s="211"/>
      <c r="J111" s="211"/>
      <c r="K111" s="173"/>
      <c r="L111" s="173"/>
      <c r="M111" s="211"/>
      <c r="N111" s="211"/>
      <c r="O111" s="211"/>
      <c r="P111" s="211"/>
      <c r="Q111" s="211"/>
      <c r="R111" s="211"/>
      <c r="S111" s="211"/>
      <c r="T111" s="211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</row>
    <row r="112" spans="1:32" x14ac:dyDescent="0.2">
      <c r="A112" s="211"/>
      <c r="B112" s="211"/>
      <c r="C112" s="211"/>
      <c r="D112" s="211"/>
      <c r="E112" s="211"/>
      <c r="F112" s="211"/>
      <c r="G112" s="211"/>
      <c r="H112" s="138"/>
      <c r="I112" s="211"/>
      <c r="J112" s="211"/>
      <c r="K112" s="173"/>
      <c r="L112" s="173"/>
      <c r="M112" s="211"/>
      <c r="N112" s="211"/>
      <c r="O112" s="211"/>
      <c r="P112" s="211"/>
      <c r="Q112" s="211"/>
      <c r="R112" s="211"/>
      <c r="S112" s="211"/>
      <c r="T112" s="211"/>
      <c r="U112" s="211"/>
      <c r="V112" s="211"/>
      <c r="W112" s="211"/>
      <c r="X112" s="211"/>
      <c r="Y112" s="211"/>
      <c r="Z112" s="211"/>
      <c r="AA112" s="211"/>
      <c r="AB112" s="211"/>
      <c r="AC112" s="211"/>
      <c r="AD112" s="211"/>
      <c r="AE112" s="211"/>
      <c r="AF112" s="211"/>
    </row>
    <row r="114" spans="1:32" s="211" customFormat="1" ht="15.95" customHeight="1" x14ac:dyDescent="0.2">
      <c r="A114" s="277"/>
      <c r="B114" s="277"/>
      <c r="C114" s="277"/>
      <c r="D114" s="138"/>
      <c r="E114" s="138"/>
      <c r="F114" s="138"/>
      <c r="G114" s="277"/>
      <c r="H114" s="277"/>
      <c r="I114" s="138"/>
      <c r="J114" s="138"/>
      <c r="K114" s="277"/>
      <c r="L114" s="277"/>
      <c r="M114" s="138"/>
      <c r="N114" s="138"/>
      <c r="O114" s="138"/>
      <c r="P114" s="149"/>
      <c r="Q114" s="150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40"/>
    </row>
    <row r="115" spans="1:32" s="211" customFormat="1" ht="15" customHeight="1" x14ac:dyDescent="0.2">
      <c r="A115" s="277"/>
      <c r="B115" s="277"/>
      <c r="C115" s="277"/>
      <c r="D115" s="138"/>
      <c r="E115" s="138"/>
      <c r="F115" s="138"/>
      <c r="G115" s="277"/>
      <c r="H115" s="277"/>
      <c r="I115" s="138"/>
      <c r="J115" s="138"/>
      <c r="K115" s="277"/>
      <c r="L115" s="277"/>
      <c r="M115" s="138"/>
      <c r="N115" s="138"/>
      <c r="O115" s="138"/>
      <c r="P115" s="149"/>
      <c r="Q115" s="150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40"/>
    </row>
    <row r="116" spans="1:32" s="211" customFormat="1" ht="15" customHeight="1" x14ac:dyDescent="0.2">
      <c r="A116" s="277"/>
      <c r="B116" s="277"/>
      <c r="C116" s="277"/>
      <c r="D116" s="138"/>
      <c r="E116" s="138"/>
      <c r="F116" s="138"/>
      <c r="G116" s="277"/>
      <c r="H116" s="277"/>
      <c r="I116" s="138"/>
      <c r="J116" s="138"/>
      <c r="K116" s="277"/>
      <c r="L116" s="277"/>
      <c r="M116" s="138"/>
      <c r="N116" s="138"/>
      <c r="O116" s="138"/>
      <c r="P116" s="149"/>
      <c r="Q116" s="150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40"/>
    </row>
    <row r="117" spans="1:32" s="211" customFormat="1" ht="15" customHeight="1" x14ac:dyDescent="0.2">
      <c r="A117" s="173"/>
      <c r="B117" s="173"/>
      <c r="C117" s="173"/>
      <c r="G117" s="173"/>
      <c r="H117" s="277"/>
      <c r="K117" s="173"/>
      <c r="L117" s="173"/>
      <c r="P117" s="264"/>
      <c r="Q117" s="265"/>
      <c r="AF117" s="268"/>
    </row>
    <row r="118" spans="1:32" s="211" customFormat="1" ht="15" customHeight="1" x14ac:dyDescent="0.2">
      <c r="A118" s="173"/>
      <c r="B118" s="173"/>
      <c r="C118" s="173"/>
      <c r="G118" s="173"/>
      <c r="H118" s="277"/>
      <c r="K118" s="173"/>
      <c r="L118" s="173"/>
      <c r="P118" s="264"/>
      <c r="Q118" s="265"/>
      <c r="AF118" s="270"/>
    </row>
    <row r="119" spans="1:32" x14ac:dyDescent="0.2">
      <c r="A119" s="173"/>
      <c r="B119" s="173"/>
      <c r="C119" s="173"/>
      <c r="D119" s="211"/>
      <c r="E119" s="211"/>
      <c r="F119" s="211"/>
      <c r="G119" s="173"/>
      <c r="I119" s="211"/>
      <c r="J119" s="211"/>
      <c r="K119" s="173"/>
      <c r="L119" s="173"/>
      <c r="M119" s="211"/>
      <c r="N119" s="211"/>
      <c r="O119" s="211"/>
      <c r="P119" s="264"/>
      <c r="Q119" s="265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70"/>
    </row>
    <row r="120" spans="1:32" x14ac:dyDescent="0.2">
      <c r="A120" s="173"/>
      <c r="B120" s="173"/>
      <c r="C120" s="173"/>
      <c r="D120" s="211"/>
      <c r="E120" s="211"/>
      <c r="F120" s="211"/>
      <c r="G120" s="173"/>
      <c r="I120" s="211"/>
      <c r="J120" s="211"/>
      <c r="K120" s="173"/>
      <c r="L120" s="173"/>
      <c r="M120" s="211"/>
      <c r="N120" s="211"/>
      <c r="O120" s="211"/>
      <c r="P120" s="264"/>
      <c r="Q120" s="265"/>
      <c r="R120" s="211"/>
      <c r="S120" s="211"/>
      <c r="T120" s="211"/>
      <c r="U120" s="211"/>
      <c r="V120" s="211"/>
      <c r="W120" s="211"/>
      <c r="X120" s="211"/>
      <c r="Y120" s="211"/>
      <c r="Z120" s="211"/>
      <c r="AA120" s="211"/>
      <c r="AB120" s="211"/>
      <c r="AC120" s="211"/>
      <c r="AD120" s="211"/>
      <c r="AE120" s="211"/>
      <c r="AF120" s="270"/>
    </row>
    <row r="121" spans="1:32" x14ac:dyDescent="0.2">
      <c r="A121" s="173"/>
      <c r="B121" s="173"/>
      <c r="C121" s="173"/>
      <c r="D121" s="211"/>
      <c r="E121" s="211"/>
      <c r="F121" s="211"/>
      <c r="G121" s="173"/>
      <c r="I121" s="211"/>
      <c r="J121" s="211"/>
      <c r="K121" s="173"/>
      <c r="L121" s="173"/>
      <c r="M121" s="211"/>
      <c r="N121" s="211"/>
      <c r="O121" s="211"/>
      <c r="P121" s="264"/>
      <c r="Q121" s="265"/>
      <c r="R121" s="211"/>
      <c r="S121" s="211"/>
      <c r="T121" s="211"/>
      <c r="U121" s="211"/>
      <c r="V121" s="211"/>
      <c r="W121" s="211"/>
      <c r="X121" s="211"/>
      <c r="Y121" s="211"/>
      <c r="Z121" s="211"/>
      <c r="AA121" s="211"/>
      <c r="AB121" s="211"/>
      <c r="AC121" s="211"/>
      <c r="AD121" s="211"/>
      <c r="AE121" s="211"/>
      <c r="AF121" s="270"/>
    </row>
  </sheetData>
  <mergeCells count="40">
    <mergeCell ref="F110:H110"/>
    <mergeCell ref="X110:AA110"/>
    <mergeCell ref="A85:E85"/>
    <mergeCell ref="A86:F86"/>
    <mergeCell ref="A91:F91"/>
    <mergeCell ref="A101:F101"/>
    <mergeCell ref="A106:E106"/>
    <mergeCell ref="K108:M108"/>
    <mergeCell ref="AC12:AC13"/>
    <mergeCell ref="AF12:AF13"/>
    <mergeCell ref="A74:E74"/>
    <mergeCell ref="A75:F75"/>
    <mergeCell ref="A80:E80"/>
    <mergeCell ref="Y12:AA12"/>
    <mergeCell ref="AB12:AB13"/>
    <mergeCell ref="B11:B13"/>
    <mergeCell ref="C11:C13"/>
    <mergeCell ref="D11:D12"/>
    <mergeCell ref="E11:E12"/>
    <mergeCell ref="A81:F81"/>
    <mergeCell ref="U12:U13"/>
    <mergeCell ref="V12:V13"/>
    <mergeCell ref="W12:W13"/>
    <mergeCell ref="X12:X13"/>
    <mergeCell ref="F11:F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A11:A13"/>
    <mergeCell ref="I1:X1"/>
    <mergeCell ref="J2:W2"/>
    <mergeCell ref="A3:D3"/>
    <mergeCell ref="A7:E7"/>
    <mergeCell ref="A8:E8"/>
  </mergeCells>
  <pageMargins left="0.25" right="0.25" top="0.75" bottom="0.75" header="0.3" footer="0.3"/>
  <pageSetup paperSize="8" scale="35" orientation="landscape" r:id="rId1"/>
  <rowBreaks count="1" manualBreakCount="1">
    <brk id="80" max="31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08"/>
  <sheetViews>
    <sheetView zoomScale="70" zoomScaleNormal="70" zoomScaleSheetLayoutView="70" workbookViewId="0">
      <pane xSplit="2" ySplit="13" topLeftCell="C14" activePane="bottomRight" state="frozen"/>
      <selection pane="topRight" activeCell="C1" sqref="C1"/>
      <selection pane="bottomLeft" activeCell="A14" sqref="A14"/>
      <selection pane="bottomRight" activeCell="Q19" sqref="Q19"/>
    </sheetView>
  </sheetViews>
  <sheetFormatPr defaultColWidth="9.140625" defaultRowHeight="12.75" x14ac:dyDescent="0.2"/>
  <cols>
    <col min="1" max="2" width="9.140625" style="304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02"/>
      <c r="C1" s="302"/>
      <c r="D1" s="138"/>
      <c r="E1" s="138"/>
      <c r="F1" s="138"/>
      <c r="G1" s="302"/>
      <c r="H1" s="3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02"/>
      <c r="H2" s="302"/>
      <c r="I2" s="138"/>
      <c r="J2" s="1823" t="s">
        <v>274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03" t="s">
        <v>270</v>
      </c>
      <c r="B3" s="303"/>
      <c r="C3" s="303"/>
      <c r="D3" s="303"/>
      <c r="E3" s="303"/>
      <c r="F3" s="138"/>
      <c r="G3" s="302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01"/>
      <c r="S3" s="301"/>
      <c r="T3" s="301"/>
      <c r="U3" s="301"/>
      <c r="V3" s="301"/>
      <c r="W3" s="301"/>
      <c r="X3" s="301"/>
      <c r="Y3" s="301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03" t="s">
        <v>228</v>
      </c>
      <c r="B4" s="148"/>
      <c r="C4" s="148"/>
      <c r="D4" s="148"/>
      <c r="E4" s="138"/>
      <c r="F4" s="138"/>
      <c r="G4" s="302"/>
      <c r="H4" s="302"/>
      <c r="I4" s="141"/>
      <c r="J4" s="141"/>
      <c r="K4" s="141"/>
      <c r="L4" s="141"/>
      <c r="M4" s="141"/>
      <c r="N4" s="141"/>
      <c r="O4" s="141"/>
      <c r="P4" s="141"/>
      <c r="Q4" s="141"/>
      <c r="R4" s="300"/>
      <c r="S4" s="300"/>
      <c r="T4" s="300"/>
      <c r="U4" s="300"/>
      <c r="V4" s="300"/>
      <c r="W4" s="300"/>
      <c r="X4" s="138"/>
      <c r="Y4" s="138"/>
      <c r="Z4" s="138"/>
      <c r="AA4" s="138"/>
      <c r="AB4" s="138"/>
      <c r="AC4" s="143"/>
      <c r="AD4" s="143"/>
      <c r="AE4" s="143"/>
      <c r="AF4" s="147" t="s">
        <v>273</v>
      </c>
    </row>
    <row r="5" spans="1:32" ht="15" x14ac:dyDescent="0.2">
      <c r="A5" s="138"/>
      <c r="B5" s="303"/>
      <c r="C5" s="303"/>
      <c r="D5" s="303"/>
      <c r="E5" s="138"/>
      <c r="F5" s="138"/>
      <c r="G5" s="302"/>
      <c r="H5" s="302"/>
      <c r="I5" s="138"/>
      <c r="J5" s="138"/>
      <c r="K5" s="302"/>
      <c r="L5" s="302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02"/>
      <c r="H6" s="302"/>
      <c r="I6" s="140"/>
      <c r="J6" s="138"/>
      <c r="K6" s="302"/>
      <c r="L6" s="302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02"/>
      <c r="H7" s="302"/>
      <c r="I7" s="140"/>
      <c r="J7" s="138"/>
      <c r="K7" s="302"/>
      <c r="L7" s="302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02"/>
      <c r="H8" s="302"/>
      <c r="I8" s="140"/>
      <c r="J8" s="138"/>
      <c r="K8" s="302"/>
      <c r="L8" s="302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02"/>
      <c r="H9" s="302"/>
      <c r="I9" s="138"/>
      <c r="J9" s="138"/>
      <c r="K9" s="302"/>
      <c r="L9" s="302"/>
      <c r="M9" s="302"/>
      <c r="N9" s="302"/>
      <c r="O9" s="302"/>
      <c r="P9" s="302"/>
      <c r="Q9" s="302"/>
      <c r="R9" s="302"/>
      <c r="S9" s="302"/>
      <c r="T9" s="302"/>
      <c r="U9" s="302"/>
      <c r="V9" s="302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02"/>
      <c r="C10" s="302"/>
      <c r="D10" s="302"/>
      <c r="E10" s="138"/>
      <c r="F10" s="138"/>
      <c r="G10" s="302"/>
      <c r="H10" s="302"/>
      <c r="I10" s="140"/>
      <c r="J10" s="138"/>
      <c r="K10" s="302"/>
      <c r="L10" s="302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86" t="s">
        <v>35</v>
      </c>
      <c r="J12" s="297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297" t="s">
        <v>18</v>
      </c>
      <c r="AE12" s="297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86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377</v>
      </c>
      <c r="M14" s="166"/>
      <c r="N14" s="163">
        <v>7.1</v>
      </c>
      <c r="O14" s="166"/>
      <c r="P14" s="167">
        <v>24.3877046389896</v>
      </c>
      <c r="Q14" s="168">
        <f t="shared" ref="Q14:Q37" si="0">LEFT(H14,(FIND("K",H14,1)-1))*J14/100</f>
        <v>33</v>
      </c>
      <c r="R14" s="169">
        <v>1.1739999999999999</v>
      </c>
      <c r="S14" s="168">
        <v>3.9769999999999999</v>
      </c>
      <c r="T14" s="168">
        <v>3</v>
      </c>
      <c r="U14" s="168">
        <f>T14/R14</f>
        <v>2.5553662691652472</v>
      </c>
      <c r="V14" s="169">
        <f>(S14-R14)/S14*100</f>
        <v>70.480261503645963</v>
      </c>
      <c r="W14" s="170">
        <v>0.3</v>
      </c>
      <c r="X14" s="171">
        <f t="shared" ref="X14:X45" si="1">S14/Q14</f>
        <v>0.12051515151515151</v>
      </c>
      <c r="Y14" s="171">
        <f>R14*0.949</f>
        <v>1.1141259999999999</v>
      </c>
      <c r="Z14" s="171">
        <f>S14*0.949</f>
        <v>3.7741729999999998</v>
      </c>
      <c r="AA14" s="171">
        <f>T14*0.949</f>
        <v>2.847</v>
      </c>
      <c r="AB14" s="171">
        <f>U14</f>
        <v>2.5553662691652472</v>
      </c>
      <c r="AC14" s="171">
        <f t="shared" ref="AC14:AC73" si="2">V14</f>
        <v>70.480261503645963</v>
      </c>
      <c r="AD14" s="163">
        <v>31</v>
      </c>
      <c r="AE14" s="171">
        <f>Y14*AD14</f>
        <v>34.537906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300</v>
      </c>
      <c r="L15" s="166">
        <v>0</v>
      </c>
      <c r="M15" s="166">
        <v>0.2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73" si="3">R15*0.949</f>
        <v>0</v>
      </c>
      <c r="Z15" s="171">
        <f t="shared" si="3"/>
        <v>0</v>
      </c>
      <c r="AA15" s="171">
        <f t="shared" si="3"/>
        <v>0</v>
      </c>
      <c r="AB15" s="171">
        <f t="shared" ref="AB15:AB73" si="4">U15</f>
        <v>0</v>
      </c>
      <c r="AC15" s="171">
        <f t="shared" si="2"/>
        <v>0</v>
      </c>
      <c r="AD15" s="163">
        <v>0</v>
      </c>
      <c r="AE15" s="171">
        <f t="shared" ref="AE15:AE56" si="5">Y15*AD15</f>
        <v>0</v>
      </c>
      <c r="AF15" s="172" t="s">
        <v>215</v>
      </c>
    </row>
    <row r="16" spans="1:32" ht="15.75" customHeight="1" x14ac:dyDescent="0.2">
      <c r="A16" s="163">
        <v>3</v>
      </c>
      <c r="B16" s="309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307">
        <v>560.22</v>
      </c>
      <c r="J16" s="163">
        <v>275</v>
      </c>
      <c r="K16" s="163"/>
      <c r="L16" s="166">
        <v>488</v>
      </c>
      <c r="M16" s="166"/>
      <c r="N16" s="182">
        <v>8.3000000000000007</v>
      </c>
      <c r="O16" s="166"/>
      <c r="P16" s="167">
        <v>12.939724677554828</v>
      </c>
      <c r="Q16" s="168">
        <f>LEFT(H16,(FIND("K",H16,1)-1))*J16/100</f>
        <v>88</v>
      </c>
      <c r="R16" s="169">
        <v>18.731999999999999</v>
      </c>
      <c r="S16" s="168">
        <v>27.957999999999998</v>
      </c>
      <c r="T16" s="168">
        <v>5666</v>
      </c>
      <c r="U16" s="168">
        <f t="shared" ref="U16:U73" si="6">T16/R16</f>
        <v>302.477044629511</v>
      </c>
      <c r="V16" s="169">
        <f t="shared" ref="V16:V73" si="7">(S16-R16)/S16*100</f>
        <v>32.999499248873306</v>
      </c>
      <c r="W16" s="170">
        <v>0.6</v>
      </c>
      <c r="X16" s="171">
        <f t="shared" si="1"/>
        <v>0.31770454545454546</v>
      </c>
      <c r="Y16" s="171">
        <f t="shared" si="3"/>
        <v>17.776667999999997</v>
      </c>
      <c r="Z16" s="171">
        <f t="shared" si="3"/>
        <v>26.532141999999997</v>
      </c>
      <c r="AA16" s="171">
        <f t="shared" si="3"/>
        <v>5377.0339999999997</v>
      </c>
      <c r="AB16" s="171">
        <f t="shared" si="4"/>
        <v>302.477044629511</v>
      </c>
      <c r="AC16" s="171">
        <f t="shared" si="2"/>
        <v>32.999499248873306</v>
      </c>
      <c r="AD16" s="163">
        <v>31</v>
      </c>
      <c r="AE16" s="171">
        <f>Y16*AD16</f>
        <v>551.07670799999994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175</v>
      </c>
      <c r="K17" s="163"/>
      <c r="L17" s="166">
        <v>457</v>
      </c>
      <c r="M17" s="166"/>
      <c r="N17" s="182">
        <v>3</v>
      </c>
      <c r="O17" s="166"/>
      <c r="P17" s="167">
        <v>12.99785724270628</v>
      </c>
      <c r="Q17" s="168">
        <f t="shared" si="0"/>
        <v>22.75</v>
      </c>
      <c r="R17" s="169">
        <v>4.2009999999999996</v>
      </c>
      <c r="S17" s="168">
        <v>5.6879999999999997</v>
      </c>
      <c r="T17" s="168">
        <v>42</v>
      </c>
      <c r="U17" s="168">
        <f t="shared" si="6"/>
        <v>9.9976196143775304</v>
      </c>
      <c r="V17" s="169">
        <f t="shared" si="7"/>
        <v>26.142756680731367</v>
      </c>
      <c r="W17" s="170">
        <v>0.3</v>
      </c>
      <c r="X17" s="171">
        <f t="shared" si="1"/>
        <v>0.25002197802197801</v>
      </c>
      <c r="Y17" s="171">
        <f t="shared" si="3"/>
        <v>3.9867489999999997</v>
      </c>
      <c r="Z17" s="171">
        <f t="shared" si="3"/>
        <v>5.3979119999999998</v>
      </c>
      <c r="AA17" s="171">
        <f t="shared" si="3"/>
        <v>39.857999999999997</v>
      </c>
      <c r="AB17" s="171">
        <f t="shared" si="4"/>
        <v>9.9976196143775304</v>
      </c>
      <c r="AC17" s="171">
        <f t="shared" si="2"/>
        <v>26.142756680731367</v>
      </c>
      <c r="AD17" s="163">
        <v>31</v>
      </c>
      <c r="AE17" s="171">
        <f t="shared" si="5"/>
        <v>123.58921899999999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433</v>
      </c>
      <c r="M18" s="166"/>
      <c r="N18" s="163">
        <v>4.5999999999999996</v>
      </c>
      <c r="O18" s="166"/>
      <c r="P18" s="167">
        <v>16.492321678163311</v>
      </c>
      <c r="Q18" s="168">
        <f t="shared" si="0"/>
        <v>9</v>
      </c>
      <c r="R18" s="169">
        <v>4.1849999999999996</v>
      </c>
      <c r="S18" s="168">
        <v>5.4209999999999994</v>
      </c>
      <c r="T18" s="168">
        <v>18</v>
      </c>
      <c r="U18" s="168">
        <f t="shared" si="6"/>
        <v>4.3010752688172049</v>
      </c>
      <c r="V18" s="169">
        <f t="shared" si="7"/>
        <v>22.80022136137244</v>
      </c>
      <c r="W18" s="170">
        <v>0.3</v>
      </c>
      <c r="X18" s="171">
        <f t="shared" si="1"/>
        <v>0.60233333333333328</v>
      </c>
      <c r="Y18" s="171">
        <f t="shared" si="3"/>
        <v>3.9715649999999996</v>
      </c>
      <c r="Z18" s="171">
        <f t="shared" si="3"/>
        <v>5.1445289999999995</v>
      </c>
      <c r="AA18" s="171">
        <f t="shared" si="3"/>
        <v>17.082000000000001</v>
      </c>
      <c r="AB18" s="171">
        <f t="shared" si="4"/>
        <v>4.3010752688172049</v>
      </c>
      <c r="AC18" s="171">
        <f t="shared" si="2"/>
        <v>22.80022136137244</v>
      </c>
      <c r="AD18" s="163">
        <v>31</v>
      </c>
      <c r="AE18" s="171">
        <f t="shared" si="5"/>
        <v>123.11851499999999</v>
      </c>
      <c r="AF18" s="172"/>
    </row>
    <row r="19" spans="1:32" ht="15.75" customHeight="1" x14ac:dyDescent="0.2">
      <c r="A19" s="163">
        <v>6</v>
      </c>
      <c r="B19" s="309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307">
        <v>584.32000000000005</v>
      </c>
      <c r="J19" s="163">
        <v>200</v>
      </c>
      <c r="K19" s="163"/>
      <c r="L19" s="166">
        <v>437</v>
      </c>
      <c r="M19" s="166"/>
      <c r="N19" s="163">
        <v>1.3</v>
      </c>
      <c r="O19" s="166"/>
      <c r="P19" s="167">
        <v>14.426844402981461</v>
      </c>
      <c r="Q19" s="168">
        <f t="shared" si="0"/>
        <v>12</v>
      </c>
      <c r="R19" s="169">
        <v>2.6659999999999999</v>
      </c>
      <c r="S19" s="168">
        <v>3.4089999999999998</v>
      </c>
      <c r="T19" s="168">
        <v>5</v>
      </c>
      <c r="U19" s="168">
        <f t="shared" si="6"/>
        <v>1.8754688672168043</v>
      </c>
      <c r="V19" s="169">
        <f t="shared" si="7"/>
        <v>21.795247873276619</v>
      </c>
      <c r="W19" s="170">
        <v>0.4</v>
      </c>
      <c r="X19" s="171">
        <f>S19/Q19</f>
        <v>0.2840833333333333</v>
      </c>
      <c r="Y19" s="171">
        <f t="shared" si="3"/>
        <v>2.5300339999999997</v>
      </c>
      <c r="Z19" s="171">
        <f t="shared" si="3"/>
        <v>3.2351409999999996</v>
      </c>
      <c r="AA19" s="171">
        <f t="shared" si="3"/>
        <v>4.7450000000000001</v>
      </c>
      <c r="AB19" s="171">
        <f t="shared" si="4"/>
        <v>1.8754688672168043</v>
      </c>
      <c r="AC19" s="171">
        <f t="shared" si="2"/>
        <v>21.795247873276619</v>
      </c>
      <c r="AD19" s="163">
        <v>31</v>
      </c>
      <c r="AE19" s="171">
        <f t="shared" si="5"/>
        <v>78.431053999999989</v>
      </c>
      <c r="AF19" s="172"/>
    </row>
    <row r="20" spans="1:32" ht="15.75" customHeight="1" x14ac:dyDescent="0.2">
      <c r="A20" s="163">
        <v>7</v>
      </c>
      <c r="B20" s="309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307">
        <v>588.04</v>
      </c>
      <c r="J20" s="163">
        <v>100</v>
      </c>
      <c r="K20" s="163"/>
      <c r="L20" s="166">
        <v>384</v>
      </c>
      <c r="M20" s="166"/>
      <c r="N20" s="163">
        <v>6.7</v>
      </c>
      <c r="O20" s="166"/>
      <c r="P20" s="167">
        <v>23.722639922861386</v>
      </c>
      <c r="Q20" s="168">
        <f t="shared" si="0"/>
        <v>22</v>
      </c>
      <c r="R20" s="169">
        <v>5.9790000000000001</v>
      </c>
      <c r="S20" s="168">
        <v>8.0510000000000002</v>
      </c>
      <c r="T20" s="168">
        <v>7</v>
      </c>
      <c r="U20" s="168">
        <f t="shared" si="6"/>
        <v>1.1707643418631879</v>
      </c>
      <c r="V20" s="169">
        <f t="shared" si="7"/>
        <v>25.735933424419326</v>
      </c>
      <c r="W20" s="170">
        <v>0.3</v>
      </c>
      <c r="X20" s="171">
        <f t="shared" si="1"/>
        <v>0.36595454545454548</v>
      </c>
      <c r="Y20" s="171">
        <f t="shared" si="3"/>
        <v>5.6740709999999996</v>
      </c>
      <c r="Z20" s="171">
        <f t="shared" si="3"/>
        <v>7.6403989999999995</v>
      </c>
      <c r="AA20" s="171">
        <f t="shared" si="3"/>
        <v>6.6429999999999998</v>
      </c>
      <c r="AB20" s="171">
        <f t="shared" si="4"/>
        <v>1.1707643418631879</v>
      </c>
      <c r="AC20" s="171">
        <f t="shared" si="2"/>
        <v>25.735933424419326</v>
      </c>
      <c r="AD20" s="163">
        <v>31</v>
      </c>
      <c r="AE20" s="171">
        <f t="shared" si="5"/>
        <v>175.89620099999999</v>
      </c>
      <c r="AF20" s="172"/>
    </row>
    <row r="21" spans="1:32" ht="15.75" customHeight="1" x14ac:dyDescent="0.2">
      <c r="A21" s="163">
        <v>8</v>
      </c>
      <c r="B21" s="309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308">
        <v>593.1</v>
      </c>
      <c r="J21" s="163">
        <v>180</v>
      </c>
      <c r="K21" s="175"/>
      <c r="L21" s="166">
        <v>484</v>
      </c>
      <c r="M21" s="176"/>
      <c r="N21" s="163">
        <v>7.8</v>
      </c>
      <c r="O21" s="176"/>
      <c r="P21" s="167">
        <v>15.959523107788007</v>
      </c>
      <c r="Q21" s="168">
        <f t="shared" si="0"/>
        <v>39.6</v>
      </c>
      <c r="R21" s="169">
        <v>12.516</v>
      </c>
      <c r="S21" s="168">
        <v>18.134999999999998</v>
      </c>
      <c r="T21" s="168">
        <v>381</v>
      </c>
      <c r="U21" s="168">
        <f t="shared" si="6"/>
        <v>30.441035474592521</v>
      </c>
      <c r="V21" s="169">
        <f t="shared" si="7"/>
        <v>30.984284532671623</v>
      </c>
      <c r="W21" s="170">
        <v>0.3</v>
      </c>
      <c r="X21" s="171">
        <f t="shared" si="1"/>
        <v>0.45795454545454539</v>
      </c>
      <c r="Y21" s="171">
        <f t="shared" si="3"/>
        <v>11.877683999999999</v>
      </c>
      <c r="Z21" s="171">
        <f t="shared" si="3"/>
        <v>17.210114999999998</v>
      </c>
      <c r="AA21" s="171">
        <f t="shared" si="3"/>
        <v>361.56899999999996</v>
      </c>
      <c r="AB21" s="171">
        <f t="shared" si="4"/>
        <v>30.441035474592521</v>
      </c>
      <c r="AC21" s="171">
        <f t="shared" si="2"/>
        <v>30.984284532671623</v>
      </c>
      <c r="AD21" s="163">
        <v>31</v>
      </c>
      <c r="AE21" s="171">
        <f t="shared" si="5"/>
        <v>368.20820399999997</v>
      </c>
      <c r="AF21" s="177"/>
    </row>
    <row r="22" spans="1:32" ht="15.75" customHeight="1" x14ac:dyDescent="0.2">
      <c r="A22" s="163">
        <v>9</v>
      </c>
      <c r="B22" s="309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307">
        <v>591.98</v>
      </c>
      <c r="J22" s="163">
        <v>100</v>
      </c>
      <c r="K22" s="163"/>
      <c r="L22" s="166">
        <v>480</v>
      </c>
      <c r="M22" s="166"/>
      <c r="N22" s="163">
        <v>6.9</v>
      </c>
      <c r="O22" s="166"/>
      <c r="P22" s="167">
        <v>15.044383053842784</v>
      </c>
      <c r="Q22" s="168">
        <f t="shared" si="0"/>
        <v>22</v>
      </c>
      <c r="R22" s="169">
        <v>6.8520000000000003</v>
      </c>
      <c r="S22" s="168">
        <v>9.8990000000000009</v>
      </c>
      <c r="T22" s="168">
        <v>17</v>
      </c>
      <c r="U22" s="168">
        <v>0</v>
      </c>
      <c r="V22" s="169">
        <f t="shared" si="7"/>
        <v>30.780886958278618</v>
      </c>
      <c r="W22" s="170">
        <v>0.3</v>
      </c>
      <c r="X22" s="171">
        <v>0</v>
      </c>
      <c r="Y22" s="171">
        <f t="shared" si="3"/>
        <v>6.502548</v>
      </c>
      <c r="Z22" s="171">
        <f t="shared" si="3"/>
        <v>9.3941510000000008</v>
      </c>
      <c r="AA22" s="171">
        <f t="shared" si="3"/>
        <v>16.132999999999999</v>
      </c>
      <c r="AB22" s="171">
        <f t="shared" si="4"/>
        <v>0</v>
      </c>
      <c r="AC22" s="171">
        <f t="shared" si="2"/>
        <v>30.780886958278618</v>
      </c>
      <c r="AD22" s="163">
        <v>31</v>
      </c>
      <c r="AE22" s="171">
        <f t="shared" si="5"/>
        <v>201.57898800000001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294</v>
      </c>
      <c r="M23" s="166"/>
      <c r="N23" s="163">
        <v>7.8</v>
      </c>
      <c r="O23" s="166"/>
      <c r="P23" s="167">
        <v>33.110816276753759</v>
      </c>
      <c r="Q23" s="168">
        <f t="shared" si="0"/>
        <v>27.5</v>
      </c>
      <c r="R23" s="169">
        <v>0.63200000000000001</v>
      </c>
      <c r="S23" s="168">
        <v>1.054</v>
      </c>
      <c r="T23" s="168">
        <v>0</v>
      </c>
      <c r="U23" s="168">
        <f t="shared" si="6"/>
        <v>0</v>
      </c>
      <c r="V23" s="169">
        <f t="shared" si="7"/>
        <v>40.037950664136623</v>
      </c>
      <c r="W23" s="170">
        <v>0.2</v>
      </c>
      <c r="X23" s="171">
        <f t="shared" si="1"/>
        <v>3.8327272727272731E-2</v>
      </c>
      <c r="Y23" s="171">
        <f t="shared" si="3"/>
        <v>0.59976799999999997</v>
      </c>
      <c r="Z23" s="171">
        <f t="shared" si="3"/>
        <v>1.000246</v>
      </c>
      <c r="AA23" s="171">
        <f t="shared" si="3"/>
        <v>0</v>
      </c>
      <c r="AB23" s="171">
        <f t="shared" si="4"/>
        <v>0</v>
      </c>
      <c r="AC23" s="171">
        <f t="shared" si="2"/>
        <v>40.037950664136623</v>
      </c>
      <c r="AD23" s="163">
        <v>31</v>
      </c>
      <c r="AE23" s="171">
        <f t="shared" si="5"/>
        <v>18.592807999999998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402</v>
      </c>
      <c r="M24" s="166"/>
      <c r="N24" s="163">
        <v>0.5</v>
      </c>
      <c r="O24" s="166"/>
      <c r="P24" s="167">
        <v>17.320478993673792</v>
      </c>
      <c r="Q24" s="168">
        <f t="shared" si="0"/>
        <v>11.18</v>
      </c>
      <c r="R24" s="169">
        <v>0.92700000000000005</v>
      </c>
      <c r="S24" s="168">
        <v>2.7370000000000001</v>
      </c>
      <c r="T24" s="168">
        <v>0</v>
      </c>
      <c r="U24" s="168">
        <f t="shared" si="6"/>
        <v>0</v>
      </c>
      <c r="V24" s="169">
        <f t="shared" si="7"/>
        <v>66.130800146145418</v>
      </c>
      <c r="W24" s="170">
        <v>0.3</v>
      </c>
      <c r="X24" s="171">
        <f t="shared" si="1"/>
        <v>0.24481216457960644</v>
      </c>
      <c r="Y24" s="171">
        <f t="shared" si="3"/>
        <v>0.87972300000000003</v>
      </c>
      <c r="Z24" s="171">
        <f t="shared" si="3"/>
        <v>2.597413</v>
      </c>
      <c r="AA24" s="171">
        <f t="shared" si="3"/>
        <v>0</v>
      </c>
      <c r="AB24" s="171">
        <f t="shared" si="4"/>
        <v>0</v>
      </c>
      <c r="AC24" s="171">
        <f t="shared" si="2"/>
        <v>66.130800146145418</v>
      </c>
      <c r="AD24" s="163">
        <v>31</v>
      </c>
      <c r="AE24" s="171">
        <f t="shared" si="5"/>
        <v>27.271413000000003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85</v>
      </c>
      <c r="K25" s="163"/>
      <c r="L25" s="166">
        <v>215</v>
      </c>
      <c r="M25" s="166"/>
      <c r="N25" s="163">
        <v>1.7</v>
      </c>
      <c r="O25" s="166"/>
      <c r="P25" s="167">
        <v>35.542672358283504</v>
      </c>
      <c r="Q25" s="168">
        <f t="shared" si="0"/>
        <v>18.7</v>
      </c>
      <c r="R25" s="169">
        <v>4.968</v>
      </c>
      <c r="S25" s="168">
        <v>7.7170000000000005</v>
      </c>
      <c r="T25" s="168">
        <v>3</v>
      </c>
      <c r="U25" s="168">
        <f t="shared" si="6"/>
        <v>0.60386473429951693</v>
      </c>
      <c r="V25" s="169">
        <f t="shared" si="7"/>
        <v>35.622651289361158</v>
      </c>
      <c r="W25" s="170">
        <v>0.5</v>
      </c>
      <c r="X25" s="171">
        <f t="shared" si="1"/>
        <v>0.41267379679144389</v>
      </c>
      <c r="Y25" s="171">
        <f t="shared" si="3"/>
        <v>4.7146319999999999</v>
      </c>
      <c r="Z25" s="171">
        <f t="shared" si="3"/>
        <v>7.3234330000000005</v>
      </c>
      <c r="AA25" s="171">
        <f t="shared" si="3"/>
        <v>2.847</v>
      </c>
      <c r="AB25" s="171">
        <f t="shared" si="4"/>
        <v>0.60386473429951693</v>
      </c>
      <c r="AC25" s="171">
        <f t="shared" si="2"/>
        <v>35.622651289361158</v>
      </c>
      <c r="AD25" s="163">
        <v>31</v>
      </c>
      <c r="AE25" s="171">
        <f t="shared" si="5"/>
        <v>146.153592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526.69000000000005</v>
      </c>
      <c r="J26" s="163">
        <v>180</v>
      </c>
      <c r="K26" s="163"/>
      <c r="L26" s="166">
        <v>444</v>
      </c>
      <c r="M26" s="166"/>
      <c r="N26" s="163">
        <v>6.7</v>
      </c>
      <c r="O26" s="166"/>
      <c r="P26" s="167">
        <v>15.534086725311331</v>
      </c>
      <c r="Q26" s="168">
        <f t="shared" si="0"/>
        <v>57.6</v>
      </c>
      <c r="R26" s="169">
        <v>12.929</v>
      </c>
      <c r="S26" s="168">
        <v>16.879000000000001</v>
      </c>
      <c r="T26" s="168">
        <v>1139</v>
      </c>
      <c r="U26" s="168">
        <f t="shared" si="6"/>
        <v>88.096527186944073</v>
      </c>
      <c r="V26" s="169">
        <f t="shared" si="7"/>
        <v>23.401860299780797</v>
      </c>
      <c r="W26" s="170">
        <v>0.5</v>
      </c>
      <c r="X26" s="171">
        <f t="shared" si="1"/>
        <v>0.29303819444444446</v>
      </c>
      <c r="Y26" s="171">
        <f t="shared" si="3"/>
        <v>12.269620999999999</v>
      </c>
      <c r="Z26" s="171">
        <f t="shared" si="3"/>
        <v>16.018170999999999</v>
      </c>
      <c r="AA26" s="171">
        <f t="shared" si="3"/>
        <v>1080.9110000000001</v>
      </c>
      <c r="AB26" s="171">
        <f t="shared" si="4"/>
        <v>88.096527186944073</v>
      </c>
      <c r="AC26" s="171">
        <f t="shared" si="2"/>
        <v>23.401860299780797</v>
      </c>
      <c r="AD26" s="163">
        <v>31</v>
      </c>
      <c r="AE26" s="171">
        <f t="shared" si="5"/>
        <v>380.358251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342</v>
      </c>
      <c r="M27" s="166"/>
      <c r="N27" s="163">
        <v>9.8000000000000007</v>
      </c>
      <c r="O27" s="166"/>
      <c r="P27" s="167">
        <v>27.609623480992646</v>
      </c>
      <c r="Q27" s="168">
        <f t="shared" si="0"/>
        <v>74.8</v>
      </c>
      <c r="R27" s="169">
        <v>14.645</v>
      </c>
      <c r="S27" s="168">
        <v>22.09</v>
      </c>
      <c r="T27" s="168">
        <v>3857</v>
      </c>
      <c r="U27" s="168">
        <f t="shared" si="6"/>
        <v>263.36633663366337</v>
      </c>
      <c r="V27" s="169">
        <f t="shared" si="7"/>
        <v>33.703033046627432</v>
      </c>
      <c r="W27" s="170">
        <v>0.3</v>
      </c>
      <c r="X27" s="171">
        <f t="shared" si="1"/>
        <v>0.29532085561497329</v>
      </c>
      <c r="Y27" s="171">
        <f t="shared" si="3"/>
        <v>13.898104999999999</v>
      </c>
      <c r="Z27" s="171">
        <f t="shared" si="3"/>
        <v>20.96341</v>
      </c>
      <c r="AA27" s="171">
        <f t="shared" si="3"/>
        <v>3660.2929999999997</v>
      </c>
      <c r="AB27" s="171">
        <f t="shared" si="4"/>
        <v>263.36633663366337</v>
      </c>
      <c r="AC27" s="171">
        <f t="shared" si="2"/>
        <v>33.703033046627432</v>
      </c>
      <c r="AD27" s="163">
        <v>31</v>
      </c>
      <c r="AE27" s="171">
        <f t="shared" si="5"/>
        <v>430.84125499999999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466</v>
      </c>
      <c r="M28" s="166"/>
      <c r="N28" s="163">
        <v>6.5</v>
      </c>
      <c r="O28" s="166"/>
      <c r="P28" s="167">
        <v>17.364540303313593</v>
      </c>
      <c r="Q28" s="168">
        <f t="shared" si="0"/>
        <v>11.05</v>
      </c>
      <c r="R28" s="169">
        <v>4.6669999999999998</v>
      </c>
      <c r="S28" s="168">
        <v>6.9239999999999995</v>
      </c>
      <c r="T28" s="168">
        <v>8</v>
      </c>
      <c r="U28" s="168">
        <f t="shared" si="6"/>
        <v>1.7141632740518535</v>
      </c>
      <c r="V28" s="169">
        <f t="shared" si="7"/>
        <v>32.596764875794335</v>
      </c>
      <c r="W28" s="170">
        <v>0.4</v>
      </c>
      <c r="X28" s="171">
        <f t="shared" si="1"/>
        <v>0.62660633484162886</v>
      </c>
      <c r="Y28" s="171">
        <f t="shared" si="3"/>
        <v>4.4289829999999997</v>
      </c>
      <c r="Z28" s="171">
        <f t="shared" si="3"/>
        <v>6.5708759999999993</v>
      </c>
      <c r="AA28" s="171">
        <f t="shared" si="3"/>
        <v>7.5919999999999996</v>
      </c>
      <c r="AB28" s="171">
        <f t="shared" si="4"/>
        <v>1.7141632740518535</v>
      </c>
      <c r="AC28" s="171">
        <f t="shared" si="2"/>
        <v>32.596764875794335</v>
      </c>
      <c r="AD28" s="163">
        <v>31</v>
      </c>
      <c r="AE28" s="171">
        <f>Y28*AD28</f>
        <v>137.298473</v>
      </c>
      <c r="AF28" s="179"/>
    </row>
    <row r="29" spans="1:32" ht="15.75" customHeight="1" x14ac:dyDescent="0.2">
      <c r="A29" s="163">
        <v>16</v>
      </c>
      <c r="B29" s="309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309">
        <v>590.9</v>
      </c>
      <c r="J29" s="164">
        <v>300</v>
      </c>
      <c r="K29" s="164"/>
      <c r="L29" s="164">
        <v>503</v>
      </c>
      <c r="M29" s="164"/>
      <c r="N29" s="164">
        <v>9.5</v>
      </c>
      <c r="O29" s="164"/>
      <c r="P29" s="164">
        <v>14.770573864195786</v>
      </c>
      <c r="Q29" s="164">
        <f t="shared" si="0"/>
        <v>96</v>
      </c>
      <c r="R29" s="181">
        <v>17.423999999999999</v>
      </c>
      <c r="S29" s="168">
        <v>20.87</v>
      </c>
      <c r="T29" s="164">
        <v>1043</v>
      </c>
      <c r="U29" s="181">
        <f t="shared" si="6"/>
        <v>59.859963269054177</v>
      </c>
      <c r="V29" s="181">
        <f t="shared" si="7"/>
        <v>16.511739338763782</v>
      </c>
      <c r="W29" s="164">
        <v>0.4</v>
      </c>
      <c r="X29" s="181">
        <f t="shared" si="1"/>
        <v>0.21739583333333334</v>
      </c>
      <c r="Y29" s="171">
        <f t="shared" si="3"/>
        <v>16.535375999999999</v>
      </c>
      <c r="Z29" s="171">
        <f t="shared" si="3"/>
        <v>19.805630000000001</v>
      </c>
      <c r="AA29" s="171">
        <f t="shared" si="3"/>
        <v>989.8069999999999</v>
      </c>
      <c r="AB29" s="181">
        <f t="shared" si="4"/>
        <v>59.859963269054177</v>
      </c>
      <c r="AC29" s="181">
        <f t="shared" si="2"/>
        <v>16.511739338763782</v>
      </c>
      <c r="AD29" s="164">
        <v>31</v>
      </c>
      <c r="AE29" s="181">
        <f>Y29*AD29</f>
        <v>512.59665599999994</v>
      </c>
      <c r="AF29" s="164"/>
    </row>
    <row r="30" spans="1:32" ht="15.75" customHeight="1" x14ac:dyDescent="0.2">
      <c r="A30" s="163">
        <v>17</v>
      </c>
      <c r="B30" s="309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308">
        <v>605.78</v>
      </c>
      <c r="J30" s="163"/>
      <c r="K30" s="163">
        <v>75</v>
      </c>
      <c r="L30" s="166"/>
      <c r="M30" s="166">
        <v>0.7</v>
      </c>
      <c r="N30" s="166"/>
      <c r="O30" s="166"/>
      <c r="P30" s="166"/>
      <c r="Q30" s="168">
        <v>0</v>
      </c>
      <c r="R30" s="169"/>
      <c r="S30" s="168"/>
      <c r="T30" s="168"/>
      <c r="U30" s="168">
        <v>0</v>
      </c>
      <c r="V30" s="168">
        <v>0</v>
      </c>
      <c r="W30" s="168"/>
      <c r="X30" s="168">
        <v>0</v>
      </c>
      <c r="Y30" s="171">
        <f t="shared" si="3"/>
        <v>0</v>
      </c>
      <c r="Z30" s="171">
        <f t="shared" si="3"/>
        <v>0</v>
      </c>
      <c r="AA30" s="171">
        <f t="shared" si="3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/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si="3"/>
        <v>0</v>
      </c>
      <c r="Z31" s="171">
        <f t="shared" si="3"/>
        <v>0</v>
      </c>
      <c r="AA31" s="171">
        <f t="shared" si="3"/>
        <v>0</v>
      </c>
      <c r="AB31" s="171">
        <f>U31</f>
        <v>0</v>
      </c>
      <c r="AC31" s="171">
        <f t="shared" si="2"/>
        <v>0</v>
      </c>
      <c r="AD31" s="163">
        <v>0</v>
      </c>
      <c r="AE31" s="171">
        <f t="shared" si="5"/>
        <v>0</v>
      </c>
      <c r="AF31" s="172" t="s">
        <v>215</v>
      </c>
    </row>
    <row r="32" spans="1:32" ht="15.75" customHeight="1" x14ac:dyDescent="0.2">
      <c r="A32" s="163">
        <v>19</v>
      </c>
      <c r="B32" s="309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307">
        <v>571.29</v>
      </c>
      <c r="J32" s="163">
        <v>85</v>
      </c>
      <c r="K32" s="163"/>
      <c r="L32" s="166">
        <v>390</v>
      </c>
      <c r="M32" s="166"/>
      <c r="N32" s="163">
        <v>6.5</v>
      </c>
      <c r="O32" s="166"/>
      <c r="P32" s="167">
        <v>22.666489688862242</v>
      </c>
      <c r="Q32" s="168">
        <f t="shared" si="0"/>
        <v>18.7</v>
      </c>
      <c r="R32" s="169">
        <v>9.8000000000000007</v>
      </c>
      <c r="S32" s="168">
        <v>14.207000000000001</v>
      </c>
      <c r="T32" s="168">
        <v>211</v>
      </c>
      <c r="U32" s="168">
        <f t="shared" si="6"/>
        <v>21.530612244897959</v>
      </c>
      <c r="V32" s="169">
        <f>(S32-R32)/S32*100</f>
        <v>31.019919757865839</v>
      </c>
      <c r="W32" s="170">
        <v>0.3</v>
      </c>
      <c r="X32" s="171">
        <f t="shared" si="1"/>
        <v>0.75973262032085564</v>
      </c>
      <c r="Y32" s="171">
        <f t="shared" si="3"/>
        <v>9.3002000000000002</v>
      </c>
      <c r="Z32" s="171">
        <f t="shared" si="3"/>
        <v>13.482443</v>
      </c>
      <c r="AA32" s="171">
        <f t="shared" si="3"/>
        <v>200.239</v>
      </c>
      <c r="AB32" s="171">
        <f t="shared" si="4"/>
        <v>21.530612244897959</v>
      </c>
      <c r="AC32" s="171">
        <f t="shared" si="2"/>
        <v>31.019919757865839</v>
      </c>
      <c r="AD32" s="163">
        <v>31</v>
      </c>
      <c r="AE32" s="171">
        <f t="shared" si="5"/>
        <v>288.30619999999999</v>
      </c>
      <c r="AF32" s="172"/>
    </row>
    <row r="33" spans="1:32" ht="15.75" customHeight="1" x14ac:dyDescent="0.2">
      <c r="A33" s="163">
        <v>20</v>
      </c>
      <c r="B33" s="309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307">
        <v>588.04999999999995</v>
      </c>
      <c r="J33" s="163">
        <v>100</v>
      </c>
      <c r="K33" s="163"/>
      <c r="L33" s="166">
        <v>472</v>
      </c>
      <c r="M33" s="166"/>
      <c r="N33" s="163">
        <v>4.9000000000000004</v>
      </c>
      <c r="O33" s="166"/>
      <c r="P33" s="167">
        <v>14.588174006803859</v>
      </c>
      <c r="Q33" s="168">
        <f>LEFT(H33,(FIND("K",H33,1)-1))*J33/100</f>
        <v>13</v>
      </c>
      <c r="R33" s="169">
        <v>4.3630000000000004</v>
      </c>
      <c r="S33" s="168">
        <v>7.4640000000000004</v>
      </c>
      <c r="T33" s="168">
        <v>0</v>
      </c>
      <c r="U33" s="168">
        <v>0</v>
      </c>
      <c r="V33" s="169">
        <f t="shared" si="7"/>
        <v>41.546087888531616</v>
      </c>
      <c r="W33" s="170">
        <v>0.2</v>
      </c>
      <c r="X33" s="171">
        <v>0</v>
      </c>
      <c r="Y33" s="171">
        <f t="shared" si="3"/>
        <v>4.1404870000000003</v>
      </c>
      <c r="Z33" s="171">
        <f t="shared" si="3"/>
        <v>7.0833360000000001</v>
      </c>
      <c r="AA33" s="171">
        <f t="shared" si="3"/>
        <v>0</v>
      </c>
      <c r="AB33" s="171">
        <f t="shared" si="4"/>
        <v>0</v>
      </c>
      <c r="AC33" s="171">
        <f t="shared" si="2"/>
        <v>41.546087888531616</v>
      </c>
      <c r="AD33" s="163">
        <v>31</v>
      </c>
      <c r="AE33" s="171">
        <f>Y33*AD33</f>
        <v>128.355097</v>
      </c>
      <c r="AF33" s="172"/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471</v>
      </c>
      <c r="M34" s="166"/>
      <c r="N34" s="163">
        <v>7.1</v>
      </c>
      <c r="O34" s="166"/>
      <c r="P34" s="167">
        <v>14.286644703139928</v>
      </c>
      <c r="Q34" s="168">
        <f t="shared" si="0"/>
        <v>66</v>
      </c>
      <c r="R34" s="169">
        <v>5.1239999999999997</v>
      </c>
      <c r="S34" s="168">
        <v>6.6459999999999999</v>
      </c>
      <c r="T34" s="168">
        <v>651</v>
      </c>
      <c r="U34" s="168">
        <f t="shared" si="6"/>
        <v>127.04918032786887</v>
      </c>
      <c r="V34" s="169">
        <f t="shared" si="7"/>
        <v>22.90099307854349</v>
      </c>
      <c r="W34" s="170">
        <v>0.3</v>
      </c>
      <c r="X34" s="171">
        <f t="shared" si="1"/>
        <v>0.1006969696969697</v>
      </c>
      <c r="Y34" s="171">
        <v>6.9</v>
      </c>
      <c r="Z34" s="171">
        <v>8.6999999999999993</v>
      </c>
      <c r="AA34" s="171">
        <v>617.79899999999998</v>
      </c>
      <c r="AB34" s="171">
        <v>89.536086956521729</v>
      </c>
      <c r="AC34" s="171">
        <v>26</v>
      </c>
      <c r="AD34" s="163">
        <v>28</v>
      </c>
      <c r="AE34" s="171">
        <f t="shared" si="5"/>
        <v>193.20000000000002</v>
      </c>
      <c r="AF34" s="183" t="s">
        <v>280</v>
      </c>
    </row>
    <row r="35" spans="1:32" ht="15.75" customHeight="1" x14ac:dyDescent="0.2">
      <c r="A35" s="163">
        <v>22</v>
      </c>
      <c r="B35" s="309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307">
        <v>589.66</v>
      </c>
      <c r="J35" s="163">
        <v>125</v>
      </c>
      <c r="K35" s="163"/>
      <c r="L35" s="166">
        <v>473</v>
      </c>
      <c r="M35" s="166"/>
      <c r="N35" s="163">
        <v>8</v>
      </c>
      <c r="O35" s="166"/>
      <c r="P35" s="167">
        <v>17.480533589705448</v>
      </c>
      <c r="Q35" s="168">
        <f t="shared" si="0"/>
        <v>16.25</v>
      </c>
      <c r="R35" s="169">
        <v>8.0329999999999995</v>
      </c>
      <c r="S35" s="168">
        <v>11.117999999999999</v>
      </c>
      <c r="T35" s="168">
        <v>17</v>
      </c>
      <c r="U35" s="168">
        <f t="shared" si="6"/>
        <v>2.116270384663264</v>
      </c>
      <c r="V35" s="169">
        <f t="shared" si="7"/>
        <v>27.747796366252921</v>
      </c>
      <c r="W35" s="170">
        <v>1</v>
      </c>
      <c r="X35" s="171">
        <f t="shared" si="1"/>
        <v>0.68418461538461528</v>
      </c>
      <c r="Y35" s="171">
        <f t="shared" si="3"/>
        <v>7.6233169999999992</v>
      </c>
      <c r="Z35" s="171">
        <f t="shared" si="3"/>
        <v>10.550981999999998</v>
      </c>
      <c r="AA35" s="171">
        <f t="shared" si="3"/>
        <v>16.132999999999999</v>
      </c>
      <c r="AB35" s="171">
        <f t="shared" si="4"/>
        <v>2.116270384663264</v>
      </c>
      <c r="AC35" s="171">
        <f t="shared" si="2"/>
        <v>27.747796366252921</v>
      </c>
      <c r="AD35" s="163">
        <v>31</v>
      </c>
      <c r="AE35" s="171">
        <f t="shared" si="5"/>
        <v>236.32282699999999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5">
        <v>551.13</v>
      </c>
      <c r="J36" s="163">
        <v>85</v>
      </c>
      <c r="K36" s="163"/>
      <c r="L36" s="166">
        <v>387</v>
      </c>
      <c r="M36" s="166"/>
      <c r="N36" s="163">
        <v>7.7</v>
      </c>
      <c r="O36" s="166"/>
      <c r="P36" s="167">
        <v>25.213996516271852</v>
      </c>
      <c r="Q36" s="168">
        <f t="shared" si="0"/>
        <v>18.7</v>
      </c>
      <c r="R36" s="169">
        <v>3.4220000000000002</v>
      </c>
      <c r="S36" s="168">
        <v>7.9310000000000009</v>
      </c>
      <c r="T36" s="168">
        <v>49</v>
      </c>
      <c r="U36" s="168">
        <v>0</v>
      </c>
      <c r="V36" s="169">
        <f t="shared" si="7"/>
        <v>56.852855881982087</v>
      </c>
      <c r="W36" s="170">
        <v>0.4</v>
      </c>
      <c r="X36" s="171">
        <v>0</v>
      </c>
      <c r="Y36" s="171">
        <f t="shared" si="3"/>
        <v>3.2474780000000001</v>
      </c>
      <c r="Z36" s="171">
        <f t="shared" si="3"/>
        <v>7.5265190000000004</v>
      </c>
      <c r="AA36" s="171">
        <f t="shared" si="3"/>
        <v>46.500999999999998</v>
      </c>
      <c r="AB36" s="171">
        <f t="shared" si="4"/>
        <v>0</v>
      </c>
      <c r="AC36" s="171">
        <f t="shared" si="2"/>
        <v>56.852855881982087</v>
      </c>
      <c r="AD36" s="163">
        <v>31</v>
      </c>
      <c r="AE36" s="171">
        <f t="shared" si="5"/>
        <v>100.671818</v>
      </c>
      <c r="AF36" s="172"/>
    </row>
    <row r="37" spans="1:32" ht="15.75" customHeight="1" x14ac:dyDescent="0.2">
      <c r="A37" s="163">
        <v>24</v>
      </c>
      <c r="B37" s="309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310">
        <v>592.85</v>
      </c>
      <c r="J37" s="163">
        <v>185</v>
      </c>
      <c r="K37" s="163"/>
      <c r="L37" s="166">
        <v>234</v>
      </c>
      <c r="M37" s="166"/>
      <c r="N37" s="163">
        <v>7.8</v>
      </c>
      <c r="O37" s="166"/>
      <c r="P37" s="167">
        <v>40.372329894111175</v>
      </c>
      <c r="Q37" s="168">
        <f t="shared" si="0"/>
        <v>40.700000000000003</v>
      </c>
      <c r="R37" s="169">
        <v>18.681000000000001</v>
      </c>
      <c r="S37" s="168">
        <v>34.191000000000003</v>
      </c>
      <c r="T37" s="168">
        <v>146</v>
      </c>
      <c r="U37" s="168">
        <f t="shared" si="6"/>
        <v>7.8154274396445587</v>
      </c>
      <c r="V37" s="169">
        <f t="shared" si="7"/>
        <v>45.362814775818201</v>
      </c>
      <c r="W37" s="170">
        <v>0.5</v>
      </c>
      <c r="X37" s="171">
        <f t="shared" si="1"/>
        <v>0.84007371007371012</v>
      </c>
      <c r="Y37" s="171">
        <f t="shared" si="3"/>
        <v>17.728269000000001</v>
      </c>
      <c r="Z37" s="171">
        <f t="shared" si="3"/>
        <v>32.447259000000003</v>
      </c>
      <c r="AA37" s="171">
        <f t="shared" si="3"/>
        <v>138.554</v>
      </c>
      <c r="AB37" s="171">
        <f t="shared" si="4"/>
        <v>7.8154274396445587</v>
      </c>
      <c r="AC37" s="171">
        <f t="shared" si="2"/>
        <v>45.362814775818201</v>
      </c>
      <c r="AD37" s="163">
        <v>31</v>
      </c>
      <c r="AE37" s="171">
        <f t="shared" si="5"/>
        <v>549.57633900000008</v>
      </c>
      <c r="AF37" s="172"/>
    </row>
    <row r="38" spans="1:32" ht="15.75" customHeight="1" x14ac:dyDescent="0.2">
      <c r="A38" s="163">
        <v>25</v>
      </c>
      <c r="B38" s="309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307">
        <v>592.95000000000005</v>
      </c>
      <c r="J38" s="163">
        <v>285</v>
      </c>
      <c r="K38" s="163"/>
      <c r="L38" s="166">
        <v>500</v>
      </c>
      <c r="M38" s="166"/>
      <c r="N38" s="163">
        <v>8.1999999999999993</v>
      </c>
      <c r="O38" s="166"/>
      <c r="P38" s="167">
        <v>14.428225201369283</v>
      </c>
      <c r="Q38" s="168">
        <f>LEFT(H38,(FIND("K",H38,1)-1))*J38/100</f>
        <v>62.7</v>
      </c>
      <c r="R38" s="169">
        <v>14.201000000000001</v>
      </c>
      <c r="S38" s="168">
        <v>22.991</v>
      </c>
      <c r="T38" s="168">
        <v>985</v>
      </c>
      <c r="U38" s="168">
        <f t="shared" si="6"/>
        <v>69.361312583620872</v>
      </c>
      <c r="V38" s="169">
        <f t="shared" si="7"/>
        <v>38.232351789830801</v>
      </c>
      <c r="W38" s="170">
        <v>0.4</v>
      </c>
      <c r="X38" s="171">
        <f t="shared" si="1"/>
        <v>0.36668261562998405</v>
      </c>
      <c r="Y38" s="171">
        <f t="shared" si="3"/>
        <v>13.476749</v>
      </c>
      <c r="Z38" s="171">
        <f t="shared" si="3"/>
        <v>21.818458999999997</v>
      </c>
      <c r="AA38" s="171">
        <f t="shared" si="3"/>
        <v>934.76499999999999</v>
      </c>
      <c r="AB38" s="171">
        <f t="shared" si="4"/>
        <v>69.361312583620872</v>
      </c>
      <c r="AC38" s="171">
        <f t="shared" si="2"/>
        <v>38.232351789830801</v>
      </c>
      <c r="AD38" s="163">
        <v>31</v>
      </c>
      <c r="AE38" s="171">
        <f t="shared" si="5"/>
        <v>417.77921900000001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130</v>
      </c>
      <c r="K39" s="163"/>
      <c r="L39" s="163">
        <v>306</v>
      </c>
      <c r="M39" s="166"/>
      <c r="N39" s="163">
        <v>7.8</v>
      </c>
      <c r="O39" s="166"/>
      <c r="P39" s="182">
        <v>30.984348959509287</v>
      </c>
      <c r="Q39" s="171">
        <f t="shared" ref="Q39:Q71" si="8">LEFT(H39,(FIND("K",H39,1)-1))*J39/100</f>
        <v>10.4</v>
      </c>
      <c r="R39" s="170">
        <v>5.8490000000000002</v>
      </c>
      <c r="S39" s="168">
        <v>7.6970000000000001</v>
      </c>
      <c r="T39" s="171">
        <v>51</v>
      </c>
      <c r="U39" s="171">
        <f t="shared" si="6"/>
        <v>8.7194392203795523</v>
      </c>
      <c r="V39" s="169">
        <f t="shared" si="7"/>
        <v>24.00935429388073</v>
      </c>
      <c r="W39" s="170">
        <v>0.2</v>
      </c>
      <c r="X39" s="171">
        <f t="shared" si="1"/>
        <v>0.74009615384615379</v>
      </c>
      <c r="Y39" s="171">
        <f t="shared" si="3"/>
        <v>5.5507010000000001</v>
      </c>
      <c r="Z39" s="171">
        <f t="shared" si="3"/>
        <v>7.3044529999999996</v>
      </c>
      <c r="AA39" s="171">
        <f t="shared" si="3"/>
        <v>48.399000000000001</v>
      </c>
      <c r="AB39" s="171">
        <f t="shared" si="4"/>
        <v>8.7194392203795523</v>
      </c>
      <c r="AC39" s="171">
        <f t="shared" si="2"/>
        <v>24.00935429388073</v>
      </c>
      <c r="AD39" s="163">
        <v>31</v>
      </c>
      <c r="AE39" s="171">
        <f t="shared" si="5"/>
        <v>172.071731</v>
      </c>
      <c r="AF39" s="172"/>
    </row>
    <row r="40" spans="1:32" ht="15.75" customHeight="1" x14ac:dyDescent="0.2">
      <c r="A40" s="159">
        <v>27</v>
      </c>
      <c r="B40" s="187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424</v>
      </c>
      <c r="M40" s="159"/>
      <c r="N40" s="163">
        <v>6.3</v>
      </c>
      <c r="O40" s="159"/>
      <c r="P40" s="160">
        <v>18.123612132048979</v>
      </c>
      <c r="Q40" s="171">
        <f t="shared" si="8"/>
        <v>25.3</v>
      </c>
      <c r="R40" s="170">
        <v>8.2650000000000006</v>
      </c>
      <c r="S40" s="168">
        <v>11.024000000000001</v>
      </c>
      <c r="T40" s="174">
        <v>522</v>
      </c>
      <c r="U40" s="171">
        <f t="shared" si="6"/>
        <v>63.157894736842103</v>
      </c>
      <c r="V40" s="169">
        <f t="shared" si="7"/>
        <v>25.027213352685052</v>
      </c>
      <c r="W40" s="170">
        <v>0.4</v>
      </c>
      <c r="X40" s="171">
        <f t="shared" si="1"/>
        <v>0.4357312252964427</v>
      </c>
      <c r="Y40" s="171">
        <f t="shared" si="3"/>
        <v>7.8434850000000003</v>
      </c>
      <c r="Z40" s="171">
        <f t="shared" si="3"/>
        <v>10.461776</v>
      </c>
      <c r="AA40" s="171">
        <f t="shared" si="3"/>
        <v>495.37799999999999</v>
      </c>
      <c r="AB40" s="171">
        <f t="shared" si="4"/>
        <v>63.157894736842103</v>
      </c>
      <c r="AC40" s="171">
        <f t="shared" si="2"/>
        <v>25.027213352685052</v>
      </c>
      <c r="AD40" s="163">
        <v>31</v>
      </c>
      <c r="AE40" s="171">
        <f t="shared" si="5"/>
        <v>243.14803500000002</v>
      </c>
      <c r="AF40" s="190"/>
    </row>
    <row r="41" spans="1:32" ht="15.75" customHeight="1" x14ac:dyDescent="0.2">
      <c r="A41" s="159">
        <v>28</v>
      </c>
      <c r="B41" s="187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122</v>
      </c>
      <c r="L41" s="163"/>
      <c r="M41" s="159">
        <v>0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si="3"/>
        <v>0</v>
      </c>
      <c r="Z41" s="171">
        <f t="shared" si="3"/>
        <v>0</v>
      </c>
      <c r="AA41" s="171">
        <f t="shared" si="3"/>
        <v>0</v>
      </c>
      <c r="AB41" s="171">
        <f t="shared" si="4"/>
        <v>0</v>
      </c>
      <c r="AC41" s="171">
        <f t="shared" si="2"/>
        <v>0</v>
      </c>
      <c r="AD41" s="163">
        <v>0</v>
      </c>
      <c r="AE41" s="171">
        <f t="shared" si="5"/>
        <v>0</v>
      </c>
      <c r="AF41" s="190" t="s">
        <v>215</v>
      </c>
    </row>
    <row r="42" spans="1:32" ht="15.75" customHeight="1" x14ac:dyDescent="0.2">
      <c r="A42" s="159">
        <v>29</v>
      </c>
      <c r="B42" s="187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217</v>
      </c>
      <c r="M42" s="159"/>
      <c r="N42" s="163">
        <v>2.9</v>
      </c>
      <c r="O42" s="159"/>
      <c r="P42" s="160">
        <v>39.197860066933025</v>
      </c>
      <c r="Q42" s="171">
        <f t="shared" si="8"/>
        <v>5.0999999999999996</v>
      </c>
      <c r="R42" s="170">
        <v>2.7320000000000002</v>
      </c>
      <c r="S42" s="168">
        <v>4.12</v>
      </c>
      <c r="T42" s="174">
        <v>3</v>
      </c>
      <c r="U42" s="171">
        <f>T42/R42</f>
        <v>1.0980966325036603</v>
      </c>
      <c r="V42" s="169">
        <f t="shared" si="7"/>
        <v>33.689320388349515</v>
      </c>
      <c r="W42" s="170">
        <v>0.3</v>
      </c>
      <c r="X42" s="171">
        <f t="shared" si="1"/>
        <v>0.80784313725490209</v>
      </c>
      <c r="Y42" s="171">
        <f t="shared" si="3"/>
        <v>2.5926680000000002</v>
      </c>
      <c r="Z42" s="171">
        <f t="shared" si="3"/>
        <v>3.9098799999999998</v>
      </c>
      <c r="AA42" s="171">
        <f t="shared" si="3"/>
        <v>2.847</v>
      </c>
      <c r="AB42" s="171">
        <f t="shared" si="4"/>
        <v>1.0980966325036603</v>
      </c>
      <c r="AC42" s="171">
        <f t="shared" si="2"/>
        <v>33.689320388349515</v>
      </c>
      <c r="AD42" s="163">
        <v>31</v>
      </c>
      <c r="AE42" s="171">
        <f t="shared" si="5"/>
        <v>80.372708000000003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428</v>
      </c>
      <c r="M43" s="166"/>
      <c r="N43" s="163">
        <v>2.8</v>
      </c>
      <c r="O43" s="166"/>
      <c r="P43" s="182">
        <v>15.222739052822755</v>
      </c>
      <c r="Q43" s="171">
        <f t="shared" si="8"/>
        <v>11.05</v>
      </c>
      <c r="R43" s="170">
        <v>3.218</v>
      </c>
      <c r="S43" s="168">
        <v>3.931</v>
      </c>
      <c r="T43" s="171">
        <v>3</v>
      </c>
      <c r="U43" s="171">
        <f t="shared" si="6"/>
        <v>0.93225605966438785</v>
      </c>
      <c r="V43" s="169">
        <f t="shared" si="7"/>
        <v>18.13787840244213</v>
      </c>
      <c r="W43" s="170">
        <v>0.3</v>
      </c>
      <c r="X43" s="171">
        <f t="shared" si="1"/>
        <v>0.35574660633484162</v>
      </c>
      <c r="Y43" s="171">
        <f t="shared" si="3"/>
        <v>3.0538819999999998</v>
      </c>
      <c r="Z43" s="171">
        <f t="shared" si="3"/>
        <v>3.7305189999999997</v>
      </c>
      <c r="AA43" s="171">
        <f t="shared" si="3"/>
        <v>2.847</v>
      </c>
      <c r="AB43" s="171">
        <f>U43</f>
        <v>0.93225605966438785</v>
      </c>
      <c r="AC43" s="171">
        <f t="shared" si="2"/>
        <v>18.13787840244213</v>
      </c>
      <c r="AD43" s="163">
        <v>31</v>
      </c>
      <c r="AE43" s="171">
        <f t="shared" si="5"/>
        <v>94.670341999999991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85</v>
      </c>
      <c r="K44" s="163"/>
      <c r="L44" s="163">
        <v>171</v>
      </c>
      <c r="M44" s="166"/>
      <c r="N44" s="182">
        <v>3.8</v>
      </c>
      <c r="O44" s="166"/>
      <c r="P44" s="182">
        <v>41.786309317044235</v>
      </c>
      <c r="Q44" s="171">
        <f t="shared" si="8"/>
        <v>5.0999999999999996</v>
      </c>
      <c r="R44" s="170">
        <v>1.4990000000000001</v>
      </c>
      <c r="S44" s="168">
        <v>2.5460000000000003</v>
      </c>
      <c r="T44" s="171">
        <v>0</v>
      </c>
      <c r="U44" s="171">
        <f t="shared" si="6"/>
        <v>0</v>
      </c>
      <c r="V44" s="169">
        <f t="shared" si="7"/>
        <v>41.123330714846823</v>
      </c>
      <c r="W44" s="170">
        <v>0.4</v>
      </c>
      <c r="X44" s="171">
        <f t="shared" si="1"/>
        <v>0.49921568627450991</v>
      </c>
      <c r="Y44" s="171">
        <f t="shared" si="3"/>
        <v>1.4225510000000001</v>
      </c>
      <c r="Z44" s="171">
        <f t="shared" si="3"/>
        <v>2.4161540000000001</v>
      </c>
      <c r="AA44" s="171">
        <f t="shared" si="3"/>
        <v>0</v>
      </c>
      <c r="AB44" s="171">
        <f>U44</f>
        <v>0</v>
      </c>
      <c r="AC44" s="171">
        <f t="shared" si="2"/>
        <v>41.123330714846823</v>
      </c>
      <c r="AD44" s="163">
        <v>31</v>
      </c>
      <c r="AE44" s="171">
        <f t="shared" si="5"/>
        <v>44.099081000000005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463</v>
      </c>
      <c r="M45" s="166"/>
      <c r="N45" s="163">
        <v>7</v>
      </c>
      <c r="O45" s="166"/>
      <c r="P45" s="167">
        <v>15.572495980709876</v>
      </c>
      <c r="Q45" s="168">
        <f t="shared" si="8"/>
        <v>13</v>
      </c>
      <c r="R45" s="169">
        <v>2.9460000000000002</v>
      </c>
      <c r="S45" s="168">
        <v>5.7170000000000005</v>
      </c>
      <c r="T45" s="168">
        <v>92</v>
      </c>
      <c r="U45" s="168">
        <f t="shared" si="6"/>
        <v>31.228784792939578</v>
      </c>
      <c r="V45" s="169">
        <f t="shared" si="7"/>
        <v>48.469476998425748</v>
      </c>
      <c r="W45" s="170">
        <v>0.3</v>
      </c>
      <c r="X45" s="171">
        <f t="shared" si="1"/>
        <v>0.4397692307692308</v>
      </c>
      <c r="Y45" s="171">
        <f t="shared" si="3"/>
        <v>2.7957540000000001</v>
      </c>
      <c r="Z45" s="171">
        <f t="shared" si="3"/>
        <v>5.425433</v>
      </c>
      <c r="AA45" s="171">
        <f t="shared" si="3"/>
        <v>87.307999999999993</v>
      </c>
      <c r="AB45" s="171">
        <f t="shared" si="4"/>
        <v>31.228784792939578</v>
      </c>
      <c r="AC45" s="171">
        <f t="shared" si="2"/>
        <v>48.469476998425748</v>
      </c>
      <c r="AD45" s="163">
        <v>31</v>
      </c>
      <c r="AE45" s="171">
        <f t="shared" si="5"/>
        <v>86.668374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250</v>
      </c>
      <c r="L46" s="163"/>
      <c r="M46" s="166">
        <v>0.5</v>
      </c>
      <c r="N46" s="163">
        <v>0</v>
      </c>
      <c r="O46" s="166"/>
      <c r="P46" s="167">
        <v>0</v>
      </c>
      <c r="Q46" s="168">
        <f t="shared" si="8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3"/>
        <v>0</v>
      </c>
      <c r="Z46" s="171">
        <f t="shared" si="3"/>
        <v>0</v>
      </c>
      <c r="AA46" s="171">
        <f t="shared" si="3"/>
        <v>0</v>
      </c>
      <c r="AB46" s="171">
        <f t="shared" si="4"/>
        <v>0</v>
      </c>
      <c r="AC46" s="171">
        <f t="shared" si="2"/>
        <v>0</v>
      </c>
      <c r="AD46" s="163">
        <v>0</v>
      </c>
      <c r="AE46" s="171">
        <f t="shared" si="5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428</v>
      </c>
      <c r="M47" s="166"/>
      <c r="N47" s="163">
        <v>7.4</v>
      </c>
      <c r="O47" s="166"/>
      <c r="P47" s="167">
        <v>21.203193053861114</v>
      </c>
      <c r="Q47" s="168">
        <f t="shared" si="8"/>
        <v>13</v>
      </c>
      <c r="R47" s="169">
        <v>5.0419999999999998</v>
      </c>
      <c r="S47" s="168">
        <v>8.3390000000000004</v>
      </c>
      <c r="T47" s="168">
        <v>74</v>
      </c>
      <c r="U47" s="168">
        <f>T47/R47</f>
        <v>14.676715589051964</v>
      </c>
      <c r="V47" s="169">
        <f t="shared" si="7"/>
        <v>39.537114761961874</v>
      </c>
      <c r="W47" s="170">
        <v>0.7</v>
      </c>
      <c r="X47" s="171">
        <f t="shared" ref="X47:X53" si="9">S47/Q47</f>
        <v>0.64146153846153853</v>
      </c>
      <c r="Y47" s="171">
        <f t="shared" si="3"/>
        <v>4.7848579999999998</v>
      </c>
      <c r="Z47" s="171">
        <f t="shared" si="3"/>
        <v>7.9137110000000002</v>
      </c>
      <c r="AA47" s="171">
        <f t="shared" si="3"/>
        <v>70.225999999999999</v>
      </c>
      <c r="AB47" s="171">
        <f t="shared" si="4"/>
        <v>14.676715589051964</v>
      </c>
      <c r="AC47" s="171">
        <f t="shared" si="2"/>
        <v>39.537114761961874</v>
      </c>
      <c r="AD47" s="163">
        <v>31</v>
      </c>
      <c r="AE47" s="171">
        <f t="shared" si="5"/>
        <v>148.33059800000001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250</v>
      </c>
      <c r="K48" s="163"/>
      <c r="L48" s="166">
        <v>411</v>
      </c>
      <c r="M48" s="166"/>
      <c r="N48" s="163">
        <v>0.1</v>
      </c>
      <c r="O48" s="166"/>
      <c r="P48" s="167">
        <v>15.76599322433094</v>
      </c>
      <c r="Q48" s="168">
        <f t="shared" si="8"/>
        <v>15</v>
      </c>
      <c r="R48" s="169">
        <v>1.62</v>
      </c>
      <c r="S48" s="168">
        <v>2.1880000000000002</v>
      </c>
      <c r="T48" s="168">
        <v>4</v>
      </c>
      <c r="U48" s="168">
        <f t="shared" ref="U48:U56" si="10">T48/R48</f>
        <v>2.4691358024691357</v>
      </c>
      <c r="V48" s="169">
        <f t="shared" si="7"/>
        <v>25.959780621572214</v>
      </c>
      <c r="W48" s="170">
        <v>0.3</v>
      </c>
      <c r="X48" s="171">
        <v>0</v>
      </c>
      <c r="Y48" s="171">
        <f t="shared" si="3"/>
        <v>1.53738</v>
      </c>
      <c r="Z48" s="171">
        <f t="shared" si="3"/>
        <v>2.0764119999999999</v>
      </c>
      <c r="AA48" s="171">
        <f t="shared" si="3"/>
        <v>3.7959999999999998</v>
      </c>
      <c r="AB48" s="171">
        <f t="shared" si="4"/>
        <v>2.4691358024691357</v>
      </c>
      <c r="AC48" s="171">
        <f t="shared" si="2"/>
        <v>25.959780621572214</v>
      </c>
      <c r="AD48" s="163">
        <v>31</v>
      </c>
      <c r="AE48" s="171">
        <f t="shared" si="5"/>
        <v>47.65878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89</v>
      </c>
      <c r="M49" s="166"/>
      <c r="N49" s="163">
        <v>4.5</v>
      </c>
      <c r="O49" s="166"/>
      <c r="P49" s="167">
        <v>51.803178415421449</v>
      </c>
      <c r="Q49" s="168">
        <f t="shared" si="8"/>
        <v>11.05</v>
      </c>
      <c r="R49" s="169">
        <v>2.4180000000000001</v>
      </c>
      <c r="S49" s="168">
        <v>9.6449999999999996</v>
      </c>
      <c r="T49" s="168">
        <v>0</v>
      </c>
      <c r="U49" s="168">
        <f t="shared" si="10"/>
        <v>0</v>
      </c>
      <c r="V49" s="169">
        <f t="shared" si="7"/>
        <v>74.930015552099533</v>
      </c>
      <c r="W49" s="170">
        <v>0</v>
      </c>
      <c r="X49" s="171">
        <v>0</v>
      </c>
      <c r="Y49" s="171">
        <f t="shared" si="3"/>
        <v>2.2946819999999999</v>
      </c>
      <c r="Z49" s="171">
        <f t="shared" si="3"/>
        <v>9.153105</v>
      </c>
      <c r="AA49" s="171">
        <f t="shared" si="3"/>
        <v>0</v>
      </c>
      <c r="AB49" s="171">
        <f t="shared" si="4"/>
        <v>0</v>
      </c>
      <c r="AC49" s="171">
        <f t="shared" si="2"/>
        <v>74.930015552099533</v>
      </c>
      <c r="AD49" s="163">
        <v>31</v>
      </c>
      <c r="AE49" s="171">
        <f t="shared" si="5"/>
        <v>71.135142000000002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129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>
        <v>175</v>
      </c>
      <c r="K50" s="194"/>
      <c r="L50" s="197">
        <v>447</v>
      </c>
      <c r="M50" s="197"/>
      <c r="N50" s="163">
        <v>5.5</v>
      </c>
      <c r="O50" s="197"/>
      <c r="P50" s="198">
        <v>17.259798546134363</v>
      </c>
      <c r="Q50" s="199">
        <f t="shared" si="8"/>
        <v>5.25</v>
      </c>
      <c r="R50" s="200">
        <v>2.6360000000000001</v>
      </c>
      <c r="S50" s="168">
        <v>3.41</v>
      </c>
      <c r="T50" s="199">
        <v>0</v>
      </c>
      <c r="U50" s="168">
        <f t="shared" si="10"/>
        <v>0</v>
      </c>
      <c r="V50" s="169">
        <f t="shared" si="7"/>
        <v>22.697947214076247</v>
      </c>
      <c r="W50" s="201">
        <v>0.4</v>
      </c>
      <c r="X50" s="202">
        <v>0</v>
      </c>
      <c r="Y50" s="171">
        <f t="shared" si="3"/>
        <v>2.5015640000000001</v>
      </c>
      <c r="Z50" s="171">
        <f t="shared" si="3"/>
        <v>3.2360899999999999</v>
      </c>
      <c r="AA50" s="171">
        <f t="shared" si="3"/>
        <v>0</v>
      </c>
      <c r="AB50" s="202">
        <f t="shared" si="4"/>
        <v>0</v>
      </c>
      <c r="AC50" s="171">
        <f t="shared" si="2"/>
        <v>22.697947214076247</v>
      </c>
      <c r="AD50" s="163">
        <v>31</v>
      </c>
      <c r="AE50" s="202">
        <f t="shared" si="5"/>
        <v>77.548484000000002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135</v>
      </c>
      <c r="K51" s="163"/>
      <c r="L51" s="166">
        <v>415</v>
      </c>
      <c r="M51" s="166"/>
      <c r="N51" s="163">
        <v>0.8</v>
      </c>
      <c r="O51" s="166"/>
      <c r="P51" s="167">
        <v>15.569250721807517</v>
      </c>
      <c r="Q51" s="199">
        <f t="shared" si="8"/>
        <v>17.55</v>
      </c>
      <c r="R51" s="169">
        <v>2.4689999999999999</v>
      </c>
      <c r="S51" s="168">
        <v>3.7699999999999996</v>
      </c>
      <c r="T51" s="168">
        <v>2</v>
      </c>
      <c r="U51" s="168">
        <f t="shared" si="10"/>
        <v>0.81004455245038487</v>
      </c>
      <c r="V51" s="169">
        <f t="shared" si="7"/>
        <v>34.509283819628642</v>
      </c>
      <c r="W51" s="170">
        <v>0.5</v>
      </c>
      <c r="X51" s="171">
        <v>0</v>
      </c>
      <c r="Y51" s="171">
        <f t="shared" si="3"/>
        <v>2.3430809999999997</v>
      </c>
      <c r="Z51" s="171">
        <f t="shared" si="3"/>
        <v>3.5777299999999994</v>
      </c>
      <c r="AA51" s="171">
        <f t="shared" si="3"/>
        <v>1.8979999999999999</v>
      </c>
      <c r="AB51" s="171">
        <f t="shared" si="4"/>
        <v>0.81004455245038487</v>
      </c>
      <c r="AC51" s="171">
        <f t="shared" si="2"/>
        <v>34.509283819628642</v>
      </c>
      <c r="AD51" s="163">
        <v>31</v>
      </c>
      <c r="AE51" s="171">
        <f t="shared" si="5"/>
        <v>72.635510999999994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127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95</v>
      </c>
      <c r="K52" s="163"/>
      <c r="L52" s="166">
        <v>435</v>
      </c>
      <c r="M52" s="166"/>
      <c r="N52" s="163">
        <v>2.4</v>
      </c>
      <c r="O52" s="166"/>
      <c r="P52" s="167">
        <v>15.717595013757546</v>
      </c>
      <c r="Q52" s="168">
        <f t="shared" si="8"/>
        <v>12.35</v>
      </c>
      <c r="R52" s="169">
        <v>3.3519999999999999</v>
      </c>
      <c r="S52" s="168">
        <v>4.5510000000000002</v>
      </c>
      <c r="T52" s="168">
        <v>4</v>
      </c>
      <c r="U52" s="168">
        <f t="shared" si="10"/>
        <v>1.1933174224343677</v>
      </c>
      <c r="V52" s="169">
        <f t="shared" si="7"/>
        <v>26.345858053175132</v>
      </c>
      <c r="W52" s="170">
        <v>0.7</v>
      </c>
      <c r="X52" s="171">
        <v>0</v>
      </c>
      <c r="Y52" s="171">
        <f t="shared" si="3"/>
        <v>3.1810479999999997</v>
      </c>
      <c r="Z52" s="171">
        <f t="shared" si="3"/>
        <v>4.318899</v>
      </c>
      <c r="AA52" s="171">
        <f t="shared" si="3"/>
        <v>3.7959999999999998</v>
      </c>
      <c r="AB52" s="171">
        <f t="shared" si="4"/>
        <v>1.1933174224343677</v>
      </c>
      <c r="AC52" s="171">
        <f t="shared" si="2"/>
        <v>26.345858053175132</v>
      </c>
      <c r="AD52" s="163">
        <v>31</v>
      </c>
      <c r="AE52" s="171">
        <f t="shared" si="5"/>
        <v>98.612487999999985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47</v>
      </c>
      <c r="M53" s="166"/>
      <c r="N53" s="163">
        <v>0</v>
      </c>
      <c r="O53" s="166"/>
      <c r="P53" s="167">
        <v>50.894836666515175</v>
      </c>
      <c r="Q53" s="168">
        <f t="shared" si="8"/>
        <v>7.2</v>
      </c>
      <c r="R53" s="169">
        <v>0.14899999999999999</v>
      </c>
      <c r="S53" s="168">
        <v>0.53100000000000003</v>
      </c>
      <c r="T53" s="168">
        <v>0</v>
      </c>
      <c r="U53" s="168">
        <f t="shared" si="10"/>
        <v>0</v>
      </c>
      <c r="V53" s="169">
        <f t="shared" si="7"/>
        <v>71.939736346516</v>
      </c>
      <c r="W53" s="170">
        <v>0.4</v>
      </c>
      <c r="X53" s="171">
        <f t="shared" si="9"/>
        <v>7.3749999999999996E-2</v>
      </c>
      <c r="Y53" s="171">
        <f t="shared" si="3"/>
        <v>0.141401</v>
      </c>
      <c r="Z53" s="171">
        <f t="shared" si="3"/>
        <v>0.50391900000000001</v>
      </c>
      <c r="AA53" s="171">
        <f t="shared" si="3"/>
        <v>0</v>
      </c>
      <c r="AB53" s="171">
        <f t="shared" si="4"/>
        <v>0</v>
      </c>
      <c r="AC53" s="171">
        <f t="shared" si="2"/>
        <v>71.939736346516</v>
      </c>
      <c r="AD53" s="163">
        <v>31</v>
      </c>
      <c r="AE53" s="171">
        <f t="shared" si="5"/>
        <v>4.3834309999999999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559.03</v>
      </c>
      <c r="J54" s="163"/>
      <c r="K54" s="163">
        <v>343</v>
      </c>
      <c r="L54" s="163"/>
      <c r="M54" s="163">
        <v>0.6</v>
      </c>
      <c r="N54" s="163"/>
      <c r="O54" s="163"/>
      <c r="P54" s="182">
        <v>0</v>
      </c>
      <c r="Q54" s="171">
        <f t="shared" si="8"/>
        <v>0</v>
      </c>
      <c r="R54" s="170">
        <v>0</v>
      </c>
      <c r="S54" s="168">
        <v>0</v>
      </c>
      <c r="T54" s="171">
        <v>0</v>
      </c>
      <c r="U54" s="168">
        <v>0</v>
      </c>
      <c r="V54" s="169">
        <v>0</v>
      </c>
      <c r="W54" s="170">
        <v>0</v>
      </c>
      <c r="X54" s="171">
        <v>0</v>
      </c>
      <c r="Y54" s="171">
        <v>5.6</v>
      </c>
      <c r="Z54" s="171">
        <v>8.6</v>
      </c>
      <c r="AA54" s="171">
        <v>49</v>
      </c>
      <c r="AB54" s="171">
        <f>AA54/Y54</f>
        <v>8.75</v>
      </c>
      <c r="AC54" s="171">
        <v>54</v>
      </c>
      <c r="AD54" s="163">
        <v>29</v>
      </c>
      <c r="AE54" s="171">
        <f t="shared" si="5"/>
        <v>162.39999999999998</v>
      </c>
      <c r="AF54" s="190" t="s">
        <v>280</v>
      </c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>
        <v>100</v>
      </c>
      <c r="K55" s="163"/>
      <c r="L55" s="163">
        <v>216</v>
      </c>
      <c r="M55" s="163"/>
      <c r="N55" s="163">
        <v>8.9</v>
      </c>
      <c r="O55" s="163"/>
      <c r="P55" s="182">
        <v>42.126634389045279</v>
      </c>
      <c r="Q55" s="171">
        <f t="shared" si="8"/>
        <v>22</v>
      </c>
      <c r="R55" s="170">
        <v>9.5559999999999992</v>
      </c>
      <c r="S55" s="168">
        <v>19.448</v>
      </c>
      <c r="T55" s="171">
        <v>50</v>
      </c>
      <c r="U55" s="168">
        <f t="shared" si="10"/>
        <v>5.2323147760569277</v>
      </c>
      <c r="V55" s="169">
        <f t="shared" si="7"/>
        <v>50.863842040312633</v>
      </c>
      <c r="W55" s="170">
        <v>0.6</v>
      </c>
      <c r="X55" s="171">
        <f>S55/Q55</f>
        <v>0.88400000000000001</v>
      </c>
      <c r="Y55" s="171">
        <f t="shared" si="3"/>
        <v>9.068643999999999</v>
      </c>
      <c r="Z55" s="171">
        <f t="shared" si="3"/>
        <v>18.456151999999999</v>
      </c>
      <c r="AA55" s="171">
        <f t="shared" si="3"/>
        <v>47.449999999999996</v>
      </c>
      <c r="AB55" s="171">
        <f t="shared" si="4"/>
        <v>5.2323147760569277</v>
      </c>
      <c r="AC55" s="171">
        <f t="shared" si="2"/>
        <v>50.863842040312633</v>
      </c>
      <c r="AD55" s="163">
        <v>31</v>
      </c>
      <c r="AE55" s="171">
        <f t="shared" si="5"/>
        <v>281.12796399999996</v>
      </c>
      <c r="AF55" s="179"/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447</v>
      </c>
      <c r="M56" s="163"/>
      <c r="N56" s="163">
        <v>8.6</v>
      </c>
      <c r="O56" s="163"/>
      <c r="P56" s="182">
        <v>20.796232813497181</v>
      </c>
      <c r="Q56" s="171">
        <f t="shared" si="8"/>
        <v>18.7</v>
      </c>
      <c r="R56" s="170">
        <v>5.7030000000000003</v>
      </c>
      <c r="S56" s="168">
        <v>12.15</v>
      </c>
      <c r="T56" s="171">
        <v>91</v>
      </c>
      <c r="U56" s="171">
        <f t="shared" si="10"/>
        <v>15.956514115377871</v>
      </c>
      <c r="V56" s="169">
        <f t="shared" si="7"/>
        <v>53.061728395061728</v>
      </c>
      <c r="W56" s="170">
        <v>1</v>
      </c>
      <c r="X56" s="171">
        <f>S56/Q56</f>
        <v>0.64973262032085566</v>
      </c>
      <c r="Y56" s="171">
        <f t="shared" si="3"/>
        <v>5.412147</v>
      </c>
      <c r="Z56" s="171">
        <f t="shared" si="3"/>
        <v>11.53035</v>
      </c>
      <c r="AA56" s="171">
        <f t="shared" si="3"/>
        <v>86.358999999999995</v>
      </c>
      <c r="AB56" s="171">
        <f t="shared" si="4"/>
        <v>15.956514115377871</v>
      </c>
      <c r="AC56" s="171">
        <f t="shared" si="2"/>
        <v>53.061728395061728</v>
      </c>
      <c r="AD56" s="163">
        <v>31</v>
      </c>
      <c r="AE56" s="171">
        <f t="shared" si="5"/>
        <v>167.776557</v>
      </c>
      <c r="AF56" s="179"/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389</v>
      </c>
      <c r="M57" s="158"/>
      <c r="N57" s="163">
        <v>7.6</v>
      </c>
      <c r="O57" s="158"/>
      <c r="P57" s="160">
        <v>23.271092076488273</v>
      </c>
      <c r="Q57" s="171">
        <f t="shared" si="8"/>
        <v>33</v>
      </c>
      <c r="R57" s="170">
        <v>9.6989999999999998</v>
      </c>
      <c r="S57" s="168">
        <v>12.148</v>
      </c>
      <c r="T57" s="174">
        <v>967</v>
      </c>
      <c r="U57" s="171">
        <f>T57/R57</f>
        <v>99.701000103103411</v>
      </c>
      <c r="V57" s="169">
        <f t="shared" si="7"/>
        <v>20.159697069476458</v>
      </c>
      <c r="W57" s="170">
        <v>0.4</v>
      </c>
      <c r="X57" s="171">
        <f t="shared" ref="X57:X73" si="11">S57/Q57</f>
        <v>0.36812121212121213</v>
      </c>
      <c r="Y57" s="171">
        <f t="shared" si="3"/>
        <v>9.2043509999999991</v>
      </c>
      <c r="Z57" s="171">
        <f t="shared" si="3"/>
        <v>11.528452</v>
      </c>
      <c r="AA57" s="171">
        <f t="shared" si="3"/>
        <v>917.68299999999999</v>
      </c>
      <c r="AB57" s="171">
        <f t="shared" si="4"/>
        <v>99.701000103103411</v>
      </c>
      <c r="AC57" s="171">
        <f t="shared" si="2"/>
        <v>20.159697069476458</v>
      </c>
      <c r="AD57" s="163">
        <v>31</v>
      </c>
      <c r="AE57" s="171">
        <f>Y57*AD57</f>
        <v>285.334881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179</v>
      </c>
      <c r="L58" s="163"/>
      <c r="M58" s="158">
        <v>0.4</v>
      </c>
      <c r="N58" s="163"/>
      <c r="O58" s="158"/>
      <c r="P58" s="160">
        <v>0</v>
      </c>
      <c r="Q58" s="171">
        <f t="shared" si="8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 t="shared" si="3"/>
        <v>0</v>
      </c>
      <c r="Z58" s="171">
        <f t="shared" si="3"/>
        <v>0</v>
      </c>
      <c r="AA58" s="171">
        <f t="shared" si="3"/>
        <v>0</v>
      </c>
      <c r="AB58" s="171">
        <f t="shared" si="4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432</v>
      </c>
      <c r="M59" s="158"/>
      <c r="N59" s="163">
        <v>3.3</v>
      </c>
      <c r="O59" s="158"/>
      <c r="P59" s="182">
        <v>17.011443564696588</v>
      </c>
      <c r="Q59" s="171">
        <f t="shared" si="8"/>
        <v>11.05</v>
      </c>
      <c r="R59" s="170">
        <v>3.9910000000000001</v>
      </c>
      <c r="S59" s="168">
        <v>5.07</v>
      </c>
      <c r="T59" s="171">
        <v>9</v>
      </c>
      <c r="U59" s="171">
        <f>T59/R59</f>
        <v>2.2550739163117011</v>
      </c>
      <c r="V59" s="169">
        <f t="shared" si="7"/>
        <v>21.282051282051285</v>
      </c>
      <c r="W59" s="170">
        <v>0.5</v>
      </c>
      <c r="X59" s="171">
        <v>1</v>
      </c>
      <c r="Y59" s="171">
        <f t="shared" si="3"/>
        <v>3.7874590000000001</v>
      </c>
      <c r="Z59" s="171">
        <f t="shared" si="3"/>
        <v>4.8114299999999997</v>
      </c>
      <c r="AA59" s="171">
        <f t="shared" si="3"/>
        <v>8.5410000000000004</v>
      </c>
      <c r="AB59" s="171">
        <f t="shared" si="4"/>
        <v>2.2550739163117011</v>
      </c>
      <c r="AC59" s="171">
        <f t="shared" si="2"/>
        <v>21.282051282051285</v>
      </c>
      <c r="AD59" s="163">
        <v>31</v>
      </c>
      <c r="AE59" s="171">
        <f t="shared" ref="AE59:AE71" si="12">Y59*AD59</f>
        <v>117.41122900000001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49</v>
      </c>
      <c r="I60" s="158">
        <v>542.91</v>
      </c>
      <c r="J60" s="163">
        <v>0</v>
      </c>
      <c r="K60" s="163">
        <v>223</v>
      </c>
      <c r="L60" s="163"/>
      <c r="M60" s="163">
        <v>0.9</v>
      </c>
      <c r="N60" s="163"/>
      <c r="O60" s="163"/>
      <c r="P60" s="182">
        <v>0</v>
      </c>
      <c r="Q60" s="171">
        <f t="shared" si="8"/>
        <v>0</v>
      </c>
      <c r="R60" s="170">
        <v>0</v>
      </c>
      <c r="S60" s="168">
        <v>0</v>
      </c>
      <c r="T60" s="171">
        <v>0</v>
      </c>
      <c r="U60" s="171">
        <v>0</v>
      </c>
      <c r="V60" s="169">
        <v>0</v>
      </c>
      <c r="W60" s="170">
        <v>0</v>
      </c>
      <c r="X60" s="171">
        <v>0</v>
      </c>
      <c r="Y60" s="171">
        <v>3.4</v>
      </c>
      <c r="Z60" s="171">
        <v>5.8</v>
      </c>
      <c r="AA60" s="171">
        <v>944</v>
      </c>
      <c r="AB60" s="182">
        <f>AA60/Y60</f>
        <v>277.64705882352939</v>
      </c>
      <c r="AC60" s="171">
        <v>67</v>
      </c>
      <c r="AD60" s="163">
        <v>22</v>
      </c>
      <c r="AE60" s="171">
        <f t="shared" si="12"/>
        <v>74.8</v>
      </c>
      <c r="AF60" s="190" t="s">
        <v>280</v>
      </c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350</v>
      </c>
      <c r="K61" s="163"/>
      <c r="L61" s="163">
        <v>410</v>
      </c>
      <c r="M61" s="163"/>
      <c r="N61" s="163">
        <v>8.4</v>
      </c>
      <c r="O61" s="163"/>
      <c r="P61" s="182">
        <v>22.052441046293875</v>
      </c>
      <c r="Q61" s="171">
        <f t="shared" si="8"/>
        <v>112</v>
      </c>
      <c r="R61" s="170">
        <v>23.626000000000001</v>
      </c>
      <c r="S61" s="168">
        <v>28.025000000000002</v>
      </c>
      <c r="T61" s="171">
        <v>1500</v>
      </c>
      <c r="U61" s="171">
        <f>T61/R61</f>
        <v>63.489376111064075</v>
      </c>
      <c r="V61" s="169">
        <f t="shared" si="7"/>
        <v>15.696699375557541</v>
      </c>
      <c r="W61" s="170">
        <v>0.3</v>
      </c>
      <c r="X61" s="171">
        <f t="shared" si="11"/>
        <v>0.25022321428571431</v>
      </c>
      <c r="Y61" s="171">
        <f t="shared" si="3"/>
        <v>22.421074000000001</v>
      </c>
      <c r="Z61" s="171">
        <f t="shared" si="3"/>
        <v>26.595725000000002</v>
      </c>
      <c r="AA61" s="171">
        <f t="shared" si="3"/>
        <v>1423.5</v>
      </c>
      <c r="AB61" s="171">
        <f t="shared" si="4"/>
        <v>63.489376111064075</v>
      </c>
      <c r="AC61" s="171">
        <f t="shared" si="2"/>
        <v>15.696699375557541</v>
      </c>
      <c r="AD61" s="163">
        <v>31</v>
      </c>
      <c r="AE61" s="171">
        <f t="shared" si="12"/>
        <v>695.05329400000005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434</v>
      </c>
      <c r="M62" s="163"/>
      <c r="N62" s="163">
        <v>8</v>
      </c>
      <c r="O62" s="163"/>
      <c r="P62" s="182">
        <v>19.32627483731963</v>
      </c>
      <c r="Q62" s="171">
        <f t="shared" si="8"/>
        <v>34.1</v>
      </c>
      <c r="R62" s="170">
        <v>13.198</v>
      </c>
      <c r="S62" s="168">
        <v>17.05</v>
      </c>
      <c r="T62" s="171">
        <v>493</v>
      </c>
      <c r="U62" s="171">
        <f>T62/R62</f>
        <v>37.354144567358688</v>
      </c>
      <c r="V62" s="169">
        <f t="shared" si="7"/>
        <v>22.592375366568916</v>
      </c>
      <c r="W62" s="170">
        <v>0.4</v>
      </c>
      <c r="X62" s="171">
        <f t="shared" si="11"/>
        <v>0.5</v>
      </c>
      <c r="Y62" s="171">
        <f t="shared" si="3"/>
        <v>12.524901999999999</v>
      </c>
      <c r="Z62" s="171">
        <f t="shared" si="3"/>
        <v>16.18045</v>
      </c>
      <c r="AA62" s="171">
        <f t="shared" si="3"/>
        <v>467.85699999999997</v>
      </c>
      <c r="AB62" s="171">
        <f t="shared" si="4"/>
        <v>37.354144567358688</v>
      </c>
      <c r="AC62" s="171">
        <f t="shared" si="2"/>
        <v>22.592375366568916</v>
      </c>
      <c r="AD62" s="163">
        <v>31</v>
      </c>
      <c r="AE62" s="171">
        <f t="shared" si="12"/>
        <v>388.27196199999997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439</v>
      </c>
      <c r="M63" s="163"/>
      <c r="N63" s="163">
        <v>7.9</v>
      </c>
      <c r="O63" s="163"/>
      <c r="P63" s="182">
        <v>20.279125431965131</v>
      </c>
      <c r="Q63" s="171">
        <f t="shared" si="8"/>
        <v>25.3</v>
      </c>
      <c r="R63" s="170">
        <v>8.359</v>
      </c>
      <c r="S63" s="168">
        <v>11.733000000000001</v>
      </c>
      <c r="T63" s="171">
        <v>100</v>
      </c>
      <c r="U63" s="171">
        <f>T63/R63</f>
        <v>11.963153487259241</v>
      </c>
      <c r="V63" s="169">
        <f t="shared" si="7"/>
        <v>28.756498764169443</v>
      </c>
      <c r="W63" s="170">
        <v>0.3</v>
      </c>
      <c r="X63" s="171">
        <f t="shared" si="11"/>
        <v>0.46375494071146245</v>
      </c>
      <c r="Y63" s="171">
        <f t="shared" si="3"/>
        <v>7.9326909999999993</v>
      </c>
      <c r="Z63" s="171">
        <f t="shared" si="3"/>
        <v>11.134617</v>
      </c>
      <c r="AA63" s="171">
        <f t="shared" si="3"/>
        <v>94.899999999999991</v>
      </c>
      <c r="AB63" s="171">
        <f t="shared" si="4"/>
        <v>11.963153487259241</v>
      </c>
      <c r="AC63" s="171">
        <f t="shared" si="2"/>
        <v>28.756498764169443</v>
      </c>
      <c r="AD63" s="163">
        <v>31</v>
      </c>
      <c r="AE63" s="171">
        <f>Y63*AD63</f>
        <v>245.91342099999997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450</v>
      </c>
      <c r="M64" s="163"/>
      <c r="N64" s="163">
        <v>6.4</v>
      </c>
      <c r="O64" s="163"/>
      <c r="P64" s="182">
        <v>16.853679998751868</v>
      </c>
      <c r="Q64" s="171">
        <f t="shared" si="8"/>
        <v>91.2</v>
      </c>
      <c r="R64" s="170">
        <v>13.101000000000001</v>
      </c>
      <c r="S64" s="168">
        <v>15.540000000000001</v>
      </c>
      <c r="T64" s="171">
        <v>320</v>
      </c>
      <c r="U64" s="171">
        <f t="shared" si="6"/>
        <v>24.425616365162963</v>
      </c>
      <c r="V64" s="169">
        <f t="shared" si="7"/>
        <v>15.694980694980694</v>
      </c>
      <c r="W64" s="170">
        <v>0.5</v>
      </c>
      <c r="X64" s="171">
        <f t="shared" si="11"/>
        <v>0.17039473684210527</v>
      </c>
      <c r="Y64" s="171">
        <f t="shared" si="3"/>
        <v>12.432849000000001</v>
      </c>
      <c r="Z64" s="171">
        <f t="shared" si="3"/>
        <v>14.74746</v>
      </c>
      <c r="AA64" s="171">
        <f t="shared" si="3"/>
        <v>303.68</v>
      </c>
      <c r="AB64" s="171">
        <f t="shared" si="4"/>
        <v>24.425616365162963</v>
      </c>
      <c r="AC64" s="171">
        <f t="shared" si="2"/>
        <v>15.694980694980694</v>
      </c>
      <c r="AD64" s="163">
        <v>31</v>
      </c>
      <c r="AE64" s="171">
        <f t="shared" si="12"/>
        <v>385.41831900000005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49</v>
      </c>
      <c r="I65" s="158">
        <v>534.24</v>
      </c>
      <c r="J65" s="163">
        <v>330</v>
      </c>
      <c r="K65" s="163"/>
      <c r="L65" s="163">
        <v>454</v>
      </c>
      <c r="M65" s="163"/>
      <c r="N65" s="163">
        <v>8.4</v>
      </c>
      <c r="O65" s="163"/>
      <c r="P65" s="182">
        <v>17.460452871279259</v>
      </c>
      <c r="Q65" s="171">
        <f t="shared" si="8"/>
        <v>105.6</v>
      </c>
      <c r="R65" s="170">
        <v>20</v>
      </c>
      <c r="S65" s="168">
        <v>25.266000000000002</v>
      </c>
      <c r="T65" s="171">
        <v>693</v>
      </c>
      <c r="U65" s="171">
        <f t="shared" si="6"/>
        <v>34.65</v>
      </c>
      <c r="V65" s="169">
        <f t="shared" si="7"/>
        <v>20.842238581492921</v>
      </c>
      <c r="W65" s="170">
        <v>0.7</v>
      </c>
      <c r="X65" s="171">
        <f t="shared" si="11"/>
        <v>0.23926136363636366</v>
      </c>
      <c r="Y65" s="171">
        <f t="shared" si="3"/>
        <v>18.98</v>
      </c>
      <c r="Z65" s="171">
        <f t="shared" si="3"/>
        <v>23.977433999999999</v>
      </c>
      <c r="AA65" s="171">
        <f t="shared" si="3"/>
        <v>657.65699999999993</v>
      </c>
      <c r="AB65" s="171">
        <f t="shared" si="4"/>
        <v>34.65</v>
      </c>
      <c r="AC65" s="171">
        <f t="shared" si="2"/>
        <v>20.842238581492921</v>
      </c>
      <c r="AD65" s="163">
        <v>31</v>
      </c>
      <c r="AE65" s="171">
        <f t="shared" si="12"/>
        <v>588.38</v>
      </c>
      <c r="AF65" s="190"/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168</v>
      </c>
      <c r="I66" s="158">
        <v>509.7</v>
      </c>
      <c r="J66" s="163">
        <v>200</v>
      </c>
      <c r="K66" s="163"/>
      <c r="L66" s="163">
        <v>158</v>
      </c>
      <c r="M66" s="163"/>
      <c r="N66" s="163">
        <v>8.6999999999999993</v>
      </c>
      <c r="O66" s="163"/>
      <c r="P66" s="182">
        <v>41.087825912250125</v>
      </c>
      <c r="Q66" s="171">
        <f t="shared" si="8"/>
        <v>80</v>
      </c>
      <c r="R66" s="170">
        <v>31.009</v>
      </c>
      <c r="S66" s="168">
        <v>36.130000000000003</v>
      </c>
      <c r="T66" s="171">
        <v>800</v>
      </c>
      <c r="U66" s="171">
        <f t="shared" si="6"/>
        <v>25.79896159179593</v>
      </c>
      <c r="V66" s="169">
        <f t="shared" si="7"/>
        <v>14.173816772765022</v>
      </c>
      <c r="W66" s="170">
        <v>0.3</v>
      </c>
      <c r="X66" s="171">
        <f t="shared" si="11"/>
        <v>0.45162500000000005</v>
      </c>
      <c r="Y66" s="171">
        <f>R66*0.91</f>
        <v>28.21819</v>
      </c>
      <c r="Z66" s="171">
        <f>S66*0.91</f>
        <v>32.878300000000003</v>
      </c>
      <c r="AA66" s="171">
        <f>T66*0.91</f>
        <v>728</v>
      </c>
      <c r="AB66" s="171">
        <f t="shared" si="4"/>
        <v>25.79896159179593</v>
      </c>
      <c r="AC66" s="171">
        <f t="shared" si="2"/>
        <v>14.173816772765022</v>
      </c>
      <c r="AD66" s="163">
        <v>28</v>
      </c>
      <c r="AE66" s="171">
        <f t="shared" si="12"/>
        <v>790.10932000000003</v>
      </c>
      <c r="AF66" s="179" t="s">
        <v>280</v>
      </c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>
        <v>150</v>
      </c>
      <c r="K67" s="163"/>
      <c r="L67" s="163">
        <v>346</v>
      </c>
      <c r="M67" s="163"/>
      <c r="N67" s="163">
        <v>9.8000000000000007</v>
      </c>
      <c r="O67" s="163"/>
      <c r="P67" s="182">
        <v>27.146089852297173</v>
      </c>
      <c r="Q67" s="171">
        <f t="shared" si="8"/>
        <v>48</v>
      </c>
      <c r="R67" s="170">
        <v>17.488</v>
      </c>
      <c r="S67" s="168">
        <v>20.423999999999999</v>
      </c>
      <c r="T67" s="171">
        <v>1054</v>
      </c>
      <c r="U67" s="171">
        <f t="shared" si="6"/>
        <v>60.269899359560846</v>
      </c>
      <c r="V67" s="169">
        <f t="shared" si="7"/>
        <v>14.375244810027418</v>
      </c>
      <c r="W67" s="170">
        <v>0.3</v>
      </c>
      <c r="X67" s="171">
        <f t="shared" si="11"/>
        <v>0.42549999999999999</v>
      </c>
      <c r="Y67" s="171">
        <f t="shared" si="3"/>
        <v>16.596111999999998</v>
      </c>
      <c r="Z67" s="171">
        <f t="shared" si="3"/>
        <v>19.382375999999997</v>
      </c>
      <c r="AA67" s="171">
        <f t="shared" si="3"/>
        <v>1000.246</v>
      </c>
      <c r="AB67" s="171">
        <f t="shared" si="4"/>
        <v>60.269899359560846</v>
      </c>
      <c r="AC67" s="171">
        <f t="shared" si="2"/>
        <v>14.375244810027418</v>
      </c>
      <c r="AD67" s="163">
        <v>31</v>
      </c>
      <c r="AE67" s="171">
        <f t="shared" si="12"/>
        <v>514.47947199999999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452</v>
      </c>
      <c r="M68" s="163"/>
      <c r="N68" s="163">
        <v>9.1999999999999993</v>
      </c>
      <c r="O68" s="163"/>
      <c r="P68" s="182">
        <v>18.915398261049791</v>
      </c>
      <c r="Q68" s="171">
        <f t="shared" si="8"/>
        <v>104</v>
      </c>
      <c r="R68" s="170">
        <v>14</v>
      </c>
      <c r="S68" s="168">
        <v>15.884</v>
      </c>
      <c r="T68" s="171">
        <v>612</v>
      </c>
      <c r="U68" s="171">
        <f t="shared" si="6"/>
        <v>43.714285714285715</v>
      </c>
      <c r="V68" s="169">
        <f t="shared" si="7"/>
        <v>11.860992193402167</v>
      </c>
      <c r="W68" s="170">
        <v>0.3</v>
      </c>
      <c r="X68" s="171">
        <f t="shared" si="11"/>
        <v>0.15273076923076923</v>
      </c>
      <c r="Y68" s="171">
        <f t="shared" si="3"/>
        <v>13.286</v>
      </c>
      <c r="Z68" s="171">
        <f t="shared" si="3"/>
        <v>15.073915999999999</v>
      </c>
      <c r="AA68" s="171">
        <f t="shared" si="3"/>
        <v>580.78800000000001</v>
      </c>
      <c r="AB68" s="171">
        <f t="shared" si="4"/>
        <v>43.714285714285715</v>
      </c>
      <c r="AC68" s="171">
        <f t="shared" si="2"/>
        <v>11.860992193402167</v>
      </c>
      <c r="AD68" s="163">
        <v>31</v>
      </c>
      <c r="AE68" s="171">
        <f t="shared" si="12"/>
        <v>411.86599999999999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>
        <v>85</v>
      </c>
      <c r="K69" s="163"/>
      <c r="L69" s="163">
        <v>226</v>
      </c>
      <c r="M69" s="163"/>
      <c r="N69" s="163">
        <v>8.6</v>
      </c>
      <c r="O69" s="163"/>
      <c r="P69" s="182">
        <v>40.390858210582074</v>
      </c>
      <c r="Q69" s="171">
        <f t="shared" si="8"/>
        <v>10.199999999999999</v>
      </c>
      <c r="R69" s="170">
        <v>2.6379999999999999</v>
      </c>
      <c r="S69" s="168">
        <v>5.4569999999999999</v>
      </c>
      <c r="T69" s="171">
        <v>6</v>
      </c>
      <c r="U69" s="171">
        <f t="shared" si="6"/>
        <v>2.2744503411675514</v>
      </c>
      <c r="V69" s="169">
        <f t="shared" si="7"/>
        <v>51.658420377496796</v>
      </c>
      <c r="W69" s="170">
        <v>0.3</v>
      </c>
      <c r="X69" s="171">
        <f t="shared" si="11"/>
        <v>0.53500000000000003</v>
      </c>
      <c r="Y69" s="171">
        <f t="shared" si="3"/>
        <v>2.5034619999999999</v>
      </c>
      <c r="Z69" s="171">
        <f t="shared" si="3"/>
        <v>5.178693</v>
      </c>
      <c r="AA69" s="171">
        <f t="shared" si="3"/>
        <v>5.694</v>
      </c>
      <c r="AB69" s="171">
        <f t="shared" si="4"/>
        <v>2.2744503411675514</v>
      </c>
      <c r="AC69" s="171">
        <f t="shared" si="2"/>
        <v>51.658420377496796</v>
      </c>
      <c r="AD69" s="163">
        <v>31</v>
      </c>
      <c r="AE69" s="171">
        <f t="shared" si="12"/>
        <v>77.607321999999996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90</v>
      </c>
      <c r="K70" s="163"/>
      <c r="L70" s="163">
        <v>437</v>
      </c>
      <c r="M70" s="163"/>
      <c r="N70" s="163">
        <v>2.5</v>
      </c>
      <c r="O70" s="163"/>
      <c r="P70" s="182">
        <v>15.383367527290327</v>
      </c>
      <c r="Q70" s="171">
        <f t="shared" si="8"/>
        <v>19.8</v>
      </c>
      <c r="R70" s="170">
        <v>1.4790000000000001</v>
      </c>
      <c r="S70" s="168">
        <v>6.0170000000000003</v>
      </c>
      <c r="T70" s="171">
        <v>22</v>
      </c>
      <c r="U70" s="171">
        <f t="shared" si="6"/>
        <v>14.874915483434751</v>
      </c>
      <c r="V70" s="169">
        <f t="shared" si="7"/>
        <v>75.419644341033745</v>
      </c>
      <c r="W70" s="170">
        <v>1</v>
      </c>
      <c r="X70" s="171">
        <f t="shared" si="11"/>
        <v>0.30388888888888888</v>
      </c>
      <c r="Y70" s="171">
        <f t="shared" si="3"/>
        <v>1.4035710000000001</v>
      </c>
      <c r="Z70" s="171">
        <f t="shared" si="3"/>
        <v>5.7101329999999999</v>
      </c>
      <c r="AA70" s="171">
        <f t="shared" si="3"/>
        <v>20.878</v>
      </c>
      <c r="AB70" s="171">
        <f t="shared" si="4"/>
        <v>14.874915483434751</v>
      </c>
      <c r="AC70" s="171">
        <f t="shared" si="2"/>
        <v>75.419644341033745</v>
      </c>
      <c r="AD70" s="163">
        <v>31</v>
      </c>
      <c r="AE70" s="171">
        <f t="shared" si="12"/>
        <v>43.510701000000005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100</v>
      </c>
      <c r="K71" s="163"/>
      <c r="L71" s="163">
        <v>461</v>
      </c>
      <c r="M71" s="163"/>
      <c r="N71" s="163">
        <v>0.6</v>
      </c>
      <c r="O71" s="163"/>
      <c r="P71" s="182">
        <v>11.28190008130332</v>
      </c>
      <c r="Q71" s="171">
        <f t="shared" si="8"/>
        <v>13</v>
      </c>
      <c r="R71" s="170">
        <v>4.0860000000000003</v>
      </c>
      <c r="S71" s="168">
        <v>4.8010000000000002</v>
      </c>
      <c r="T71" s="171">
        <v>12</v>
      </c>
      <c r="U71" s="171">
        <f t="shared" si="6"/>
        <v>2.9368575624082229</v>
      </c>
      <c r="V71" s="169">
        <f t="shared" si="7"/>
        <v>14.892730681108098</v>
      </c>
      <c r="W71" s="170">
        <v>0.5</v>
      </c>
      <c r="X71" s="171">
        <f t="shared" si="11"/>
        <v>0.36930769230769234</v>
      </c>
      <c r="Y71" s="171">
        <f t="shared" si="3"/>
        <v>3.8776139999999999</v>
      </c>
      <c r="Z71" s="171">
        <f t="shared" si="3"/>
        <v>4.5561489999999996</v>
      </c>
      <c r="AA71" s="171">
        <f t="shared" si="3"/>
        <v>11.388</v>
      </c>
      <c r="AB71" s="171">
        <f t="shared" si="4"/>
        <v>2.9368575624082229</v>
      </c>
      <c r="AC71" s="171">
        <f t="shared" si="2"/>
        <v>14.892730681108098</v>
      </c>
      <c r="AD71" s="163">
        <v>31</v>
      </c>
      <c r="AE71" s="171">
        <f t="shared" si="12"/>
        <v>120.206034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395</v>
      </c>
      <c r="M72" s="163"/>
      <c r="N72" s="163">
        <v>8.4</v>
      </c>
      <c r="O72" s="163"/>
      <c r="P72" s="160">
        <v>25.91145144526503</v>
      </c>
      <c r="Q72" s="171">
        <f>LEFT(H72,(FIND("K",H72,1)-1))*J72/100</f>
        <v>9</v>
      </c>
      <c r="R72" s="170">
        <v>3.3210000000000002</v>
      </c>
      <c r="S72" s="168">
        <v>6.5980000000000008</v>
      </c>
      <c r="T72" s="171">
        <v>7</v>
      </c>
      <c r="U72" s="171">
        <f t="shared" si="6"/>
        <v>2.1077988557663354</v>
      </c>
      <c r="V72" s="169">
        <f t="shared" si="7"/>
        <v>49.666565625947264</v>
      </c>
      <c r="W72" s="170">
        <v>0.5</v>
      </c>
      <c r="X72" s="171">
        <f t="shared" si="11"/>
        <v>0.73311111111111116</v>
      </c>
      <c r="Y72" s="171">
        <f t="shared" si="3"/>
        <v>3.1516290000000002</v>
      </c>
      <c r="Z72" s="171">
        <f t="shared" si="3"/>
        <v>6.2615020000000001</v>
      </c>
      <c r="AA72" s="171">
        <f t="shared" si="3"/>
        <v>6.6429999999999998</v>
      </c>
      <c r="AB72" s="171">
        <f t="shared" si="4"/>
        <v>2.1077988557663354</v>
      </c>
      <c r="AC72" s="171">
        <f t="shared" si="2"/>
        <v>49.666565625947264</v>
      </c>
      <c r="AD72" s="163">
        <v>31</v>
      </c>
      <c r="AE72" s="171">
        <f>Y72*AD72</f>
        <v>97.700499000000008</v>
      </c>
      <c r="AF72" s="179"/>
    </row>
    <row r="73" spans="1:32" ht="15.75" customHeight="1" x14ac:dyDescent="0.2">
      <c r="A73" s="184">
        <v>60</v>
      </c>
      <c r="B73" s="207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242</v>
      </c>
      <c r="M73" s="158"/>
      <c r="N73" s="163">
        <v>7.3</v>
      </c>
      <c r="O73" s="158"/>
      <c r="P73" s="284">
        <v>40.692120213247065</v>
      </c>
      <c r="Q73" s="174">
        <f>LEFT(H73,(FIND("K",H73,1)-1))*J73/100</f>
        <v>13</v>
      </c>
      <c r="R73" s="170">
        <v>0.372</v>
      </c>
      <c r="S73" s="168">
        <v>0.436</v>
      </c>
      <c r="T73" s="174">
        <v>0</v>
      </c>
      <c r="U73" s="171">
        <f t="shared" si="6"/>
        <v>0</v>
      </c>
      <c r="V73" s="169">
        <f t="shared" si="7"/>
        <v>14.678899082568808</v>
      </c>
      <c r="W73" s="170">
        <v>0.3</v>
      </c>
      <c r="X73" s="171">
        <f t="shared" si="11"/>
        <v>3.3538461538461538E-2</v>
      </c>
      <c r="Y73" s="171">
        <f t="shared" si="3"/>
        <v>0.35302799999999995</v>
      </c>
      <c r="Z73" s="171">
        <f t="shared" si="3"/>
        <v>0.41376399999999997</v>
      </c>
      <c r="AA73" s="171">
        <f t="shared" si="3"/>
        <v>0</v>
      </c>
      <c r="AB73" s="171">
        <f t="shared" si="4"/>
        <v>0</v>
      </c>
      <c r="AC73" s="171">
        <f t="shared" si="2"/>
        <v>14.678899082568808</v>
      </c>
      <c r="AD73" s="163">
        <v>31</v>
      </c>
      <c r="AE73" s="171">
        <f>Y73*AD73</f>
        <v>10.943867999999998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399.94199999999995</v>
      </c>
      <c r="S74" s="209">
        <f>SUM(S14:S73)</f>
        <v>575.00300000000004</v>
      </c>
      <c r="T74" s="209">
        <f>SUM(T14:T73)</f>
        <v>21739</v>
      </c>
      <c r="U74" s="209">
        <f>T74/R74</f>
        <v>54.355381530321907</v>
      </c>
      <c r="V74" s="209"/>
      <c r="W74" s="209"/>
      <c r="X74" s="209"/>
      <c r="Y74" s="209">
        <f>SUM(Y14:Y73)</f>
        <v>389.37293099999999</v>
      </c>
      <c r="Z74" s="209">
        <f>SUM(Z14:Z73)</f>
        <v>561.06172299999992</v>
      </c>
      <c r="AA74" s="209">
        <f>SUM(AA14:AA73)</f>
        <v>21592.111000000004</v>
      </c>
      <c r="AB74" s="209">
        <f>AA74/Y74</f>
        <v>55.453549235039155</v>
      </c>
      <c r="AC74" s="209"/>
      <c r="AD74" s="209"/>
      <c r="AE74" s="210">
        <f>SUM(AE14:AE73)</f>
        <v>11923.406290999999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297"/>
      <c r="H75" s="296"/>
      <c r="I75" s="296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299"/>
      <c r="V75" s="297"/>
      <c r="W75" s="297"/>
      <c r="X75" s="157"/>
      <c r="Y75" s="158"/>
      <c r="Z75" s="158"/>
      <c r="AA75" s="158"/>
      <c r="AB75" s="298"/>
      <c r="AC75" s="297"/>
      <c r="AD75" s="158"/>
      <c r="AE75" s="158"/>
      <c r="AF75" s="296"/>
    </row>
    <row r="76" spans="1:32" ht="15.75" customHeight="1" x14ac:dyDescent="0.2">
      <c r="A76" s="216">
        <v>61</v>
      </c>
      <c r="B76" s="215" t="s">
        <v>131</v>
      </c>
      <c r="C76" s="216" t="s">
        <v>177</v>
      </c>
      <c r="D76" s="165">
        <v>389.74</v>
      </c>
      <c r="E76" s="16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160</v>
      </c>
      <c r="K76" s="163"/>
      <c r="L76" s="163">
        <v>0</v>
      </c>
      <c r="M76" s="163"/>
      <c r="N76" s="163">
        <v>0</v>
      </c>
      <c r="O76" s="163"/>
      <c r="P76" s="182">
        <v>17.8</v>
      </c>
      <c r="Q76" s="171"/>
      <c r="R76" s="170">
        <v>0.26100000000000001</v>
      </c>
      <c r="S76" s="171">
        <v>0</v>
      </c>
      <c r="T76" s="171">
        <v>0</v>
      </c>
      <c r="U76" s="171">
        <f>T76/R76</f>
        <v>0</v>
      </c>
      <c r="V76" s="170">
        <v>0</v>
      </c>
      <c r="W76" s="170">
        <v>0.4</v>
      </c>
      <c r="X76" s="171"/>
      <c r="Y76" s="171">
        <f>R76*0.9730706</f>
        <v>0.25397142659999999</v>
      </c>
      <c r="Z76" s="171">
        <f>S76*0.954</f>
        <v>0</v>
      </c>
      <c r="AA76" s="171">
        <f t="shared" ref="AA76:AC79" si="13">T76</f>
        <v>0</v>
      </c>
      <c r="AB76" s="171">
        <f t="shared" si="13"/>
        <v>0</v>
      </c>
      <c r="AC76" s="171">
        <f t="shared" si="13"/>
        <v>0</v>
      </c>
      <c r="AD76" s="163">
        <v>31</v>
      </c>
      <c r="AE76" s="171">
        <f>Y76*AD76</f>
        <v>7.8731142246000001</v>
      </c>
      <c r="AF76" s="179"/>
    </row>
    <row r="77" spans="1:32" ht="15.75" customHeight="1" x14ac:dyDescent="0.2">
      <c r="A77" s="216">
        <v>62</v>
      </c>
      <c r="B77" s="215" t="s">
        <v>132</v>
      </c>
      <c r="C77" s="216" t="s">
        <v>177</v>
      </c>
      <c r="D77" s="163">
        <v>387.72</v>
      </c>
      <c r="E77" s="163" t="s">
        <v>135</v>
      </c>
      <c r="F77" s="163">
        <v>177.8</v>
      </c>
      <c r="G77" s="163" t="s">
        <v>28</v>
      </c>
      <c r="H77" s="165" t="s">
        <v>58</v>
      </c>
      <c r="I77" s="158">
        <v>135.1</v>
      </c>
      <c r="J77" s="163"/>
      <c r="K77" s="163"/>
      <c r="L77" s="163"/>
      <c r="M77" s="163"/>
      <c r="N77" s="163"/>
      <c r="O77" s="163"/>
      <c r="P77" s="182"/>
      <c r="Q77" s="171"/>
      <c r="R77" s="170">
        <v>0</v>
      </c>
      <c r="S77" s="171">
        <v>0</v>
      </c>
      <c r="T77" s="171">
        <v>0</v>
      </c>
      <c r="U77" s="171">
        <v>0</v>
      </c>
      <c r="V77" s="170">
        <v>0</v>
      </c>
      <c r="W77" s="170">
        <v>0</v>
      </c>
      <c r="X77" s="171"/>
      <c r="Y77" s="171">
        <v>1.5</v>
      </c>
      <c r="Z77" s="171">
        <v>1.5</v>
      </c>
      <c r="AA77" s="171">
        <v>0</v>
      </c>
      <c r="AB77" s="171">
        <v>0</v>
      </c>
      <c r="AC77" s="171">
        <v>0</v>
      </c>
      <c r="AD77" s="163">
        <v>11</v>
      </c>
      <c r="AE77" s="171">
        <f>Y77*AD77</f>
        <v>16.5</v>
      </c>
      <c r="AF77" s="190" t="s">
        <v>280</v>
      </c>
    </row>
    <row r="78" spans="1:32" ht="15.75" customHeight="1" x14ac:dyDescent="0.2">
      <c r="A78" s="285">
        <v>63</v>
      </c>
      <c r="B78" s="217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/>
      <c r="J78" s="163"/>
      <c r="K78" s="163">
        <v>10</v>
      </c>
      <c r="L78" s="163"/>
      <c r="M78" s="163">
        <v>0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>
        <v>0</v>
      </c>
      <c r="V78" s="170">
        <v>0</v>
      </c>
      <c r="W78" s="170">
        <v>0</v>
      </c>
      <c r="X78" s="171"/>
      <c r="Y78" s="171">
        <v>0.7</v>
      </c>
      <c r="Z78" s="171">
        <v>0.7</v>
      </c>
      <c r="AA78" s="171">
        <v>0</v>
      </c>
      <c r="AB78" s="171">
        <v>0</v>
      </c>
      <c r="AC78" s="171">
        <v>0</v>
      </c>
      <c r="AD78" s="163">
        <v>7</v>
      </c>
      <c r="AE78" s="171">
        <f>Y78*AD78</f>
        <v>4.8999999999999995</v>
      </c>
      <c r="AF78" s="190" t="s">
        <v>280</v>
      </c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200</v>
      </c>
      <c r="K79" s="175"/>
      <c r="L79" s="163">
        <v>40</v>
      </c>
      <c r="M79" s="175"/>
      <c r="N79" s="163">
        <v>0</v>
      </c>
      <c r="O79" s="175"/>
      <c r="P79" s="182">
        <v>13.667090179465799</v>
      </c>
      <c r="Q79" s="171"/>
      <c r="R79" s="170">
        <v>2.258</v>
      </c>
      <c r="S79" s="171">
        <v>4.0000000000000001E-3</v>
      </c>
      <c r="T79" s="171">
        <v>0</v>
      </c>
      <c r="U79" s="171">
        <f>T79/R79</f>
        <v>0</v>
      </c>
      <c r="V79" s="171">
        <v>0.06</v>
      </c>
      <c r="W79" s="171">
        <v>0.3</v>
      </c>
      <c r="X79" s="171"/>
      <c r="Y79" s="171">
        <f>R79*0.948</f>
        <v>2.140584</v>
      </c>
      <c r="Z79" s="171">
        <f>S79*0.954</f>
        <v>3.8159999999999999E-3</v>
      </c>
      <c r="AA79" s="171">
        <f t="shared" si="13"/>
        <v>0</v>
      </c>
      <c r="AB79" s="171">
        <f t="shared" si="13"/>
        <v>0</v>
      </c>
      <c r="AC79" s="171">
        <f t="shared" si="13"/>
        <v>0.06</v>
      </c>
      <c r="AD79" s="163">
        <v>31</v>
      </c>
      <c r="AE79" s="171">
        <f>Y79*AD79</f>
        <v>66.358103999999997</v>
      </c>
      <c r="AF79" s="177"/>
    </row>
    <row r="80" spans="1:32" ht="15.75" customHeight="1" x14ac:dyDescent="0.2">
      <c r="A80" s="306"/>
      <c r="B80" s="1834"/>
      <c r="C80" s="1834"/>
      <c r="D80" s="1834"/>
      <c r="E80" s="1835"/>
      <c r="F80" s="158"/>
      <c r="G80" s="297"/>
      <c r="H80" s="296"/>
      <c r="I80" s="296"/>
      <c r="J80" s="158"/>
      <c r="K80" s="158"/>
      <c r="L80" s="158"/>
      <c r="M80" s="158"/>
      <c r="N80" s="158"/>
      <c r="O80" s="158"/>
      <c r="P80" s="160"/>
      <c r="Q80" s="174"/>
      <c r="R80" s="209">
        <f>SUM(R76:R79)</f>
        <v>2.5190000000000001</v>
      </c>
      <c r="S80" s="209">
        <f>SUM(S76:S79)</f>
        <v>4.0000000000000001E-3</v>
      </c>
      <c r="T80" s="209">
        <f>SUM(T76:T79)</f>
        <v>0</v>
      </c>
      <c r="U80" s="209">
        <f>SUM(U76:U79)</f>
        <v>0</v>
      </c>
      <c r="V80" s="297"/>
      <c r="W80" s="297"/>
      <c r="X80" s="297"/>
      <c r="Y80" s="209">
        <f>SUM(Y76:Y79)</f>
        <v>4.5945554265999995</v>
      </c>
      <c r="Z80" s="209">
        <f>SUM(Z76:Z79)</f>
        <v>2.2038160000000002</v>
      </c>
      <c r="AA80" s="209">
        <f>SUM(AA76:AA79)</f>
        <v>0</v>
      </c>
      <c r="AB80" s="209">
        <v>0</v>
      </c>
      <c r="AC80" s="297"/>
      <c r="AD80" s="158"/>
      <c r="AE80" s="209">
        <f>SUM(AE76:AE79)</f>
        <v>95.631218224599991</v>
      </c>
      <c r="AF80" s="218"/>
    </row>
    <row r="81" spans="1:32" ht="15.75" x14ac:dyDescent="0.2">
      <c r="A81" s="306"/>
      <c r="B81" s="1828" t="s">
        <v>275</v>
      </c>
      <c r="C81" s="1828"/>
      <c r="D81" s="1828"/>
      <c r="E81" s="1828"/>
      <c r="F81" s="1829"/>
      <c r="G81" s="297"/>
      <c r="H81" s="296"/>
      <c r="I81" s="296"/>
      <c r="J81" s="158"/>
      <c r="K81" s="158"/>
      <c r="L81" s="158"/>
      <c r="M81" s="158"/>
      <c r="N81" s="158"/>
      <c r="O81" s="158"/>
      <c r="P81" s="160"/>
      <c r="Q81" s="174"/>
      <c r="R81" s="209"/>
      <c r="S81" s="209"/>
      <c r="T81" s="209"/>
      <c r="U81" s="209"/>
      <c r="V81" s="297"/>
      <c r="W81" s="297"/>
      <c r="X81" s="297"/>
      <c r="Y81" s="209"/>
      <c r="Z81" s="209"/>
      <c r="AA81" s="209"/>
      <c r="AB81" s="209"/>
      <c r="AC81" s="297"/>
      <c r="AD81" s="158"/>
      <c r="AE81" s="209"/>
      <c r="AF81" s="218"/>
    </row>
    <row r="82" spans="1:32" ht="15.75" x14ac:dyDescent="0.2">
      <c r="A82" s="163">
        <v>65</v>
      </c>
      <c r="B82" s="219" t="s">
        <v>220</v>
      </c>
      <c r="C82" s="163" t="s">
        <v>46</v>
      </c>
      <c r="D82" s="165">
        <v>685.69</v>
      </c>
      <c r="E82" s="286" t="s">
        <v>222</v>
      </c>
      <c r="F82" s="163">
        <v>177.8</v>
      </c>
      <c r="G82" s="163" t="s">
        <v>28</v>
      </c>
      <c r="H82" s="165" t="s">
        <v>221</v>
      </c>
      <c r="I82" s="165">
        <v>570.09</v>
      </c>
      <c r="J82" s="158"/>
      <c r="K82" s="158"/>
      <c r="L82" s="158"/>
      <c r="M82" s="158"/>
      <c r="N82" s="158"/>
      <c r="O82" s="158"/>
      <c r="P82" s="160"/>
      <c r="Q82" s="174"/>
      <c r="R82" s="158"/>
      <c r="S82" s="158"/>
      <c r="T82" s="158"/>
      <c r="U82" s="299"/>
      <c r="V82" s="297"/>
      <c r="W82" s="297"/>
      <c r="X82" s="297"/>
      <c r="Y82" s="221"/>
      <c r="Z82" s="222"/>
      <c r="AA82" s="296"/>
      <c r="AB82" s="299"/>
      <c r="AC82" s="158"/>
      <c r="AD82" s="163"/>
      <c r="AE82" s="171"/>
      <c r="AF82" s="172" t="s">
        <v>236</v>
      </c>
    </row>
    <row r="83" spans="1:32" ht="15.75" x14ac:dyDescent="0.2">
      <c r="A83" s="306"/>
      <c r="B83" s="1834"/>
      <c r="C83" s="1834"/>
      <c r="D83" s="1834"/>
      <c r="E83" s="1835"/>
      <c r="F83" s="175"/>
      <c r="G83" s="163"/>
      <c r="H83" s="165"/>
      <c r="I83" s="171"/>
      <c r="J83" s="163"/>
      <c r="K83" s="175"/>
      <c r="L83" s="163"/>
      <c r="M83" s="175"/>
      <c r="N83" s="182"/>
      <c r="O83" s="175"/>
      <c r="P83" s="224"/>
      <c r="Q83" s="209"/>
      <c r="R83" s="209"/>
      <c r="S83" s="209"/>
      <c r="T83" s="209"/>
      <c r="U83" s="209"/>
      <c r="V83" s="209"/>
      <c r="W83" s="209"/>
      <c r="X83" s="209"/>
      <c r="Y83" s="209"/>
      <c r="Z83" s="225"/>
      <c r="AA83" s="209"/>
      <c r="AB83" s="209"/>
      <c r="AC83" s="209"/>
      <c r="AD83" s="209"/>
      <c r="AE83" s="209"/>
      <c r="AF83" s="177"/>
    </row>
    <row r="84" spans="1:32" ht="15.75" x14ac:dyDescent="0.2">
      <c r="A84" s="306"/>
      <c r="B84" s="1843" t="s">
        <v>276</v>
      </c>
      <c r="C84" s="1839"/>
      <c r="D84" s="1839"/>
      <c r="E84" s="1839"/>
      <c r="F84" s="1839"/>
      <c r="G84" s="297"/>
      <c r="H84" s="296"/>
      <c r="I84" s="296"/>
      <c r="J84" s="158"/>
      <c r="K84" s="158"/>
      <c r="L84" s="158"/>
      <c r="M84" s="158"/>
      <c r="N84" s="158"/>
      <c r="O84" s="158"/>
      <c r="P84" s="160"/>
      <c r="Q84" s="174"/>
      <c r="R84" s="158"/>
      <c r="S84" s="158"/>
      <c r="T84" s="158"/>
      <c r="U84" s="299"/>
      <c r="V84" s="297"/>
      <c r="W84" s="297"/>
      <c r="X84" s="297"/>
      <c r="Y84" s="158"/>
      <c r="Z84" s="158"/>
      <c r="AA84" s="158"/>
      <c r="AB84" s="298"/>
      <c r="AC84" s="297"/>
      <c r="AD84" s="158"/>
      <c r="AE84" s="158"/>
      <c r="AF84" s="296"/>
    </row>
    <row r="85" spans="1:32" ht="15.75" x14ac:dyDescent="0.2">
      <c r="A85" s="306">
        <v>66</v>
      </c>
      <c r="B85" s="226" t="s">
        <v>107</v>
      </c>
      <c r="C85" s="188" t="s">
        <v>109</v>
      </c>
      <c r="D85" s="295"/>
      <c r="E85" s="295"/>
      <c r="F85" s="158"/>
      <c r="G85" s="297"/>
      <c r="H85" s="296"/>
      <c r="I85" s="296"/>
      <c r="J85" s="158"/>
      <c r="K85" s="158"/>
      <c r="L85" s="158"/>
      <c r="M85" s="158"/>
      <c r="N85" s="158"/>
      <c r="O85" s="158"/>
      <c r="P85" s="160"/>
      <c r="Q85" s="174"/>
      <c r="R85" s="158"/>
      <c r="S85" s="158"/>
      <c r="T85" s="158"/>
      <c r="U85" s="299"/>
      <c r="V85" s="297"/>
      <c r="W85" s="297"/>
      <c r="X85" s="297"/>
      <c r="Y85" s="296"/>
      <c r="Z85" s="296"/>
      <c r="AA85" s="158"/>
      <c r="AB85" s="298"/>
      <c r="AC85" s="297"/>
      <c r="AD85" s="228"/>
      <c r="AE85" s="158"/>
      <c r="AF85" s="229"/>
    </row>
    <row r="86" spans="1:32" ht="15.75" x14ac:dyDescent="0.2">
      <c r="A86" s="306">
        <v>67</v>
      </c>
      <c r="B86" s="226" t="s">
        <v>108</v>
      </c>
      <c r="C86" s="188" t="s">
        <v>109</v>
      </c>
      <c r="D86" s="295"/>
      <c r="E86" s="295"/>
      <c r="F86" s="158"/>
      <c r="G86" s="297"/>
      <c r="H86" s="296"/>
      <c r="I86" s="296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299"/>
      <c r="V86" s="297"/>
      <c r="W86" s="297"/>
      <c r="X86" s="297"/>
      <c r="Y86" s="296"/>
      <c r="Z86" s="296"/>
      <c r="AA86" s="158"/>
      <c r="AB86" s="298"/>
      <c r="AC86" s="297"/>
      <c r="AD86" s="228"/>
      <c r="AE86" s="158"/>
      <c r="AF86" s="229"/>
    </row>
    <row r="87" spans="1:32" ht="15.75" x14ac:dyDescent="0.2">
      <c r="A87" s="306">
        <v>68</v>
      </c>
      <c r="B87" s="226" t="s">
        <v>195</v>
      </c>
      <c r="C87" s="216" t="s">
        <v>193</v>
      </c>
      <c r="D87" s="295"/>
      <c r="E87" s="295"/>
      <c r="F87" s="158"/>
      <c r="G87" s="297"/>
      <c r="H87" s="296"/>
      <c r="I87" s="296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299"/>
      <c r="V87" s="297"/>
      <c r="W87" s="297"/>
      <c r="X87" s="297"/>
      <c r="Y87" s="296"/>
      <c r="Z87" s="296"/>
      <c r="AA87" s="158"/>
      <c r="AB87" s="298"/>
      <c r="AC87" s="297"/>
      <c r="AD87" s="228"/>
      <c r="AE87" s="158"/>
      <c r="AF87" s="229"/>
    </row>
    <row r="88" spans="1:32" ht="15.75" x14ac:dyDescent="0.2">
      <c r="A88" s="306">
        <v>69</v>
      </c>
      <c r="B88" s="226" t="s">
        <v>192</v>
      </c>
      <c r="C88" s="216" t="s">
        <v>193</v>
      </c>
      <c r="D88" s="295"/>
      <c r="E88" s="295"/>
      <c r="F88" s="158"/>
      <c r="G88" s="297"/>
      <c r="H88" s="296"/>
      <c r="I88" s="296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299"/>
      <c r="V88" s="297"/>
      <c r="W88" s="297"/>
      <c r="X88" s="297"/>
      <c r="Y88" s="296"/>
      <c r="Z88" s="296"/>
      <c r="AA88" s="158"/>
      <c r="AB88" s="298"/>
      <c r="AC88" s="297"/>
      <c r="AD88" s="228"/>
      <c r="AE88" s="158"/>
      <c r="AF88" s="229"/>
    </row>
    <row r="89" spans="1:32" ht="15.75" x14ac:dyDescent="0.2">
      <c r="A89" s="306"/>
      <c r="B89" s="1843" t="s">
        <v>278</v>
      </c>
      <c r="C89" s="1839"/>
      <c r="D89" s="1839"/>
      <c r="E89" s="1839"/>
      <c r="F89" s="1839"/>
      <c r="G89" s="297"/>
      <c r="H89" s="296"/>
      <c r="I89" s="296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299"/>
      <c r="V89" s="297"/>
      <c r="W89" s="297"/>
      <c r="X89" s="297"/>
      <c r="Y89" s="158"/>
      <c r="Z89" s="158"/>
      <c r="AA89" s="158"/>
      <c r="AB89" s="298"/>
      <c r="AC89" s="297"/>
      <c r="AD89" s="158"/>
      <c r="AE89" s="158"/>
      <c r="AF89" s="296"/>
    </row>
    <row r="90" spans="1:32" ht="15.75" x14ac:dyDescent="0.2">
      <c r="A90" s="306">
        <v>70</v>
      </c>
      <c r="B90" s="207" t="s">
        <v>189</v>
      </c>
      <c r="C90" s="163" t="s">
        <v>46</v>
      </c>
      <c r="D90" s="189">
        <v>673</v>
      </c>
      <c r="E90" s="189" t="s">
        <v>190</v>
      </c>
      <c r="F90" s="163">
        <v>177.8</v>
      </c>
      <c r="G90" s="163"/>
      <c r="H90" s="165"/>
      <c r="I90" s="158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299"/>
      <c r="V90" s="297"/>
      <c r="W90" s="297"/>
      <c r="X90" s="297"/>
      <c r="Y90" s="230"/>
      <c r="Z90" s="231"/>
      <c r="AA90" s="296"/>
      <c r="AB90" s="298"/>
      <c r="AC90" s="158"/>
      <c r="AD90" s="163"/>
      <c r="AE90" s="171"/>
      <c r="AF90" s="179"/>
    </row>
    <row r="91" spans="1:32" ht="15.75" x14ac:dyDescent="0.25">
      <c r="A91" s="306">
        <v>71</v>
      </c>
      <c r="B91" s="164" t="s">
        <v>181</v>
      </c>
      <c r="C91" s="232" t="s">
        <v>183</v>
      </c>
      <c r="D91" s="165">
        <v>374.5</v>
      </c>
      <c r="E91" s="163" t="s">
        <v>182</v>
      </c>
      <c r="F91" s="163">
        <v>177.8</v>
      </c>
      <c r="G91" s="163"/>
      <c r="H91" s="165"/>
      <c r="I91" s="158"/>
      <c r="J91" s="163"/>
      <c r="K91" s="163"/>
      <c r="L91" s="163"/>
      <c r="M91" s="163"/>
      <c r="N91" s="182"/>
      <c r="O91" s="163"/>
      <c r="P91" s="170"/>
      <c r="Q91" s="171"/>
      <c r="R91" s="170"/>
      <c r="S91" s="171"/>
      <c r="T91" s="171"/>
      <c r="U91" s="171"/>
      <c r="V91" s="170"/>
      <c r="W91" s="170"/>
      <c r="X91" s="233"/>
      <c r="Y91" s="171"/>
      <c r="Z91" s="171"/>
      <c r="AA91" s="171"/>
      <c r="AB91" s="171"/>
      <c r="AC91" s="171"/>
      <c r="AD91" s="163"/>
      <c r="AE91" s="171"/>
      <c r="AF91" s="179"/>
    </row>
    <row r="92" spans="1:32" ht="15.75" x14ac:dyDescent="0.2">
      <c r="A92" s="306">
        <v>72</v>
      </c>
      <c r="B92" s="164" t="s">
        <v>57</v>
      </c>
      <c r="C92" s="216" t="s">
        <v>176</v>
      </c>
      <c r="D92" s="165">
        <v>681.52</v>
      </c>
      <c r="E92" s="163" t="s">
        <v>93</v>
      </c>
      <c r="F92" s="163">
        <v>177.8</v>
      </c>
      <c r="G92" s="163"/>
      <c r="H92" s="165"/>
      <c r="I92" s="158"/>
      <c r="J92" s="163"/>
      <c r="K92" s="163"/>
      <c r="L92" s="163"/>
      <c r="M92" s="163"/>
      <c r="N92" s="182"/>
      <c r="O92" s="163"/>
      <c r="P92" s="170"/>
      <c r="Q92" s="171"/>
      <c r="R92" s="170"/>
      <c r="S92" s="171"/>
      <c r="T92" s="171"/>
      <c r="U92" s="171"/>
      <c r="V92" s="170"/>
      <c r="W92" s="170"/>
      <c r="X92" s="233"/>
      <c r="Y92" s="171"/>
      <c r="Z92" s="171"/>
      <c r="AA92" s="171"/>
      <c r="AB92" s="171"/>
      <c r="AC92" s="171"/>
      <c r="AD92" s="163"/>
      <c r="AE92" s="171"/>
      <c r="AF92" s="179"/>
    </row>
    <row r="93" spans="1:32" ht="15.75" x14ac:dyDescent="0.2">
      <c r="A93" s="306">
        <v>73</v>
      </c>
      <c r="B93" s="164" t="s">
        <v>188</v>
      </c>
      <c r="C93" s="216" t="s">
        <v>183</v>
      </c>
      <c r="D93" s="165">
        <v>408.86</v>
      </c>
      <c r="E93" s="164" t="s">
        <v>235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ht="15.75" x14ac:dyDescent="0.2">
      <c r="A94" s="306">
        <v>74</v>
      </c>
      <c r="B94" s="164" t="s">
        <v>184</v>
      </c>
      <c r="C94" s="216" t="s">
        <v>176</v>
      </c>
      <c r="D94" s="165">
        <v>422.78</v>
      </c>
      <c r="E94" s="163" t="s">
        <v>185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306">
        <v>75</v>
      </c>
      <c r="B95" s="164" t="s">
        <v>186</v>
      </c>
      <c r="C95" s="216" t="s">
        <v>176</v>
      </c>
      <c r="D95" s="165">
        <v>387.56</v>
      </c>
      <c r="E95" s="163"/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306">
        <v>76</v>
      </c>
      <c r="B96" s="164" t="s">
        <v>196</v>
      </c>
      <c r="C96" s="163" t="s">
        <v>46</v>
      </c>
      <c r="D96" s="165">
        <v>622.02</v>
      </c>
      <c r="E96" s="163" t="s">
        <v>197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ht="15.75" x14ac:dyDescent="0.2">
      <c r="A97" s="306">
        <v>77</v>
      </c>
      <c r="B97" s="164" t="s">
        <v>174</v>
      </c>
      <c r="C97" s="163" t="s">
        <v>46</v>
      </c>
      <c r="D97" s="165">
        <v>672</v>
      </c>
      <c r="E97" s="163" t="s">
        <v>175</v>
      </c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customHeight="1" x14ac:dyDescent="0.2">
      <c r="A98" s="306">
        <v>78</v>
      </c>
      <c r="B98" s="204" t="s">
        <v>103</v>
      </c>
      <c r="C98" s="163" t="s">
        <v>46</v>
      </c>
      <c r="D98" s="158">
        <v>582</v>
      </c>
      <c r="E98" s="158" t="s">
        <v>112</v>
      </c>
      <c r="F98" s="163">
        <v>177.8</v>
      </c>
      <c r="G98" s="163"/>
      <c r="H98" s="165"/>
      <c r="I98" s="158"/>
      <c r="J98" s="158"/>
      <c r="K98" s="159"/>
      <c r="L98" s="158"/>
      <c r="M98" s="159"/>
      <c r="N98" s="158"/>
      <c r="O98" s="158"/>
      <c r="P98" s="160"/>
      <c r="Q98" s="174"/>
      <c r="R98" s="158"/>
      <c r="S98" s="158"/>
      <c r="T98" s="158"/>
      <c r="U98" s="299"/>
      <c r="V98" s="297"/>
      <c r="W98" s="297"/>
      <c r="X98" s="157"/>
      <c r="Y98" s="234"/>
      <c r="Z98" s="158"/>
      <c r="AA98" s="158"/>
      <c r="AB98" s="299"/>
      <c r="AC98" s="158"/>
      <c r="AD98" s="235"/>
      <c r="AE98" s="174"/>
      <c r="AF98" s="179"/>
    </row>
    <row r="99" spans="1:32" ht="15.75" x14ac:dyDescent="0.2">
      <c r="A99" s="306"/>
      <c r="B99" s="1843" t="s">
        <v>279</v>
      </c>
      <c r="C99" s="1839"/>
      <c r="D99" s="1839"/>
      <c r="E99" s="1839"/>
      <c r="F99" s="1839"/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306">
        <v>79</v>
      </c>
      <c r="B100" s="164" t="s">
        <v>148</v>
      </c>
      <c r="C100" s="163" t="s">
        <v>46</v>
      </c>
      <c r="D100" s="163">
        <v>650</v>
      </c>
      <c r="E100" s="163" t="s">
        <v>75</v>
      </c>
      <c r="F100" s="163">
        <v>177.8</v>
      </c>
      <c r="G100" s="163"/>
      <c r="H100" s="165"/>
      <c r="I100" s="159">
        <v>536.14</v>
      </c>
      <c r="J100" s="163"/>
      <c r="K100" s="163"/>
      <c r="L100" s="163"/>
      <c r="M100" s="163"/>
      <c r="N100" s="182"/>
      <c r="O100" s="163"/>
      <c r="P100" s="182"/>
      <c r="Q100" s="171"/>
      <c r="R100" s="170"/>
      <c r="S100" s="171"/>
      <c r="T100" s="171"/>
      <c r="U100" s="171"/>
      <c r="V100" s="170"/>
      <c r="W100" s="170"/>
      <c r="X100" s="171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.75" x14ac:dyDescent="0.2">
      <c r="A101" s="306">
        <v>80</v>
      </c>
      <c r="B101" s="164" t="s">
        <v>155</v>
      </c>
      <c r="C101" s="163" t="s">
        <v>46</v>
      </c>
      <c r="D101" s="163">
        <v>674.13</v>
      </c>
      <c r="E101" s="163" t="s">
        <v>83</v>
      </c>
      <c r="F101" s="163">
        <v>177.8</v>
      </c>
      <c r="G101" s="163"/>
      <c r="H101" s="165"/>
      <c r="I101" s="158">
        <v>527.75</v>
      </c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ht="15.75" x14ac:dyDescent="0.2">
      <c r="A102" s="306">
        <v>81</v>
      </c>
      <c r="B102" s="164" t="s">
        <v>56</v>
      </c>
      <c r="C102" s="163" t="s">
        <v>46</v>
      </c>
      <c r="D102" s="165">
        <v>680.52</v>
      </c>
      <c r="E102" s="163" t="s">
        <v>92</v>
      </c>
      <c r="F102" s="163">
        <v>177.8</v>
      </c>
      <c r="G102" s="163"/>
      <c r="H102" s="165"/>
      <c r="I102" s="158">
        <v>555.95000000000005</v>
      </c>
      <c r="J102" s="163"/>
      <c r="K102" s="163"/>
      <c r="L102" s="163"/>
      <c r="M102" s="163"/>
      <c r="N102" s="182"/>
      <c r="O102" s="163"/>
      <c r="P102" s="170"/>
      <c r="Q102" s="171"/>
      <c r="R102" s="170"/>
      <c r="S102" s="171"/>
      <c r="T102" s="171"/>
      <c r="U102" s="171"/>
      <c r="V102" s="170"/>
      <c r="W102" s="170"/>
      <c r="X102" s="233"/>
      <c r="Y102" s="171"/>
      <c r="Z102" s="171"/>
      <c r="AA102" s="171"/>
      <c r="AB102" s="171"/>
      <c r="AC102" s="171"/>
      <c r="AD102" s="163"/>
      <c r="AE102" s="171"/>
      <c r="AF102" s="179"/>
    </row>
    <row r="103" spans="1:32" ht="15" x14ac:dyDescent="0.2">
      <c r="A103" s="305"/>
      <c r="B103" s="237"/>
      <c r="C103" s="237"/>
      <c r="D103" s="238"/>
      <c r="E103" s="239"/>
      <c r="F103" s="240"/>
      <c r="G103" s="240"/>
      <c r="H103" s="241"/>
      <c r="I103" s="242"/>
      <c r="J103" s="240"/>
      <c r="K103" s="240"/>
      <c r="L103" s="240"/>
      <c r="M103" s="240"/>
      <c r="N103" s="243"/>
      <c r="O103" s="240"/>
      <c r="P103" s="244"/>
      <c r="Q103" s="245"/>
      <c r="R103" s="244"/>
      <c r="S103" s="245"/>
      <c r="T103" s="245"/>
      <c r="U103" s="245"/>
      <c r="V103" s="244"/>
      <c r="W103" s="244"/>
      <c r="X103" s="246"/>
      <c r="Y103" s="245"/>
      <c r="Z103" s="245"/>
      <c r="AA103" s="245"/>
      <c r="AB103" s="245"/>
      <c r="AC103" s="245"/>
      <c r="AD103" s="240"/>
      <c r="AE103" s="245"/>
      <c r="AF103" s="247"/>
    </row>
    <row r="104" spans="1:32" ht="15" x14ac:dyDescent="0.2">
      <c r="A104" s="305"/>
      <c r="B104" s="1844"/>
      <c r="C104" s="1844"/>
      <c r="D104" s="1844"/>
      <c r="E104" s="1845"/>
      <c r="F104" s="248"/>
      <c r="G104" s="240"/>
      <c r="H104" s="241"/>
      <c r="I104" s="245"/>
      <c r="J104" s="240"/>
      <c r="K104" s="248"/>
      <c r="L104" s="240"/>
      <c r="M104" s="248"/>
      <c r="N104" s="243"/>
      <c r="O104" s="248"/>
      <c r="P104" s="249"/>
      <c r="Q104" s="250"/>
      <c r="R104" s="250">
        <f>R74+R80</f>
        <v>402.46099999999996</v>
      </c>
      <c r="S104" s="250">
        <f>S74+S80</f>
        <v>575.00700000000006</v>
      </c>
      <c r="T104" s="250">
        <f>T74+T80</f>
        <v>21739</v>
      </c>
      <c r="U104" s="250">
        <f>T104/R104</f>
        <v>54.015171656384105</v>
      </c>
      <c r="V104" s="250"/>
      <c r="W104" s="250"/>
      <c r="X104" s="250"/>
      <c r="Y104" s="250">
        <f>Y74+Y80+Y83</f>
        <v>393.96748642659998</v>
      </c>
      <c r="Z104" s="250">
        <f>Z74+Z80+Z83</f>
        <v>563.26553899999988</v>
      </c>
      <c r="AA104" s="250">
        <f>AA74+AA80</f>
        <v>21592.111000000004</v>
      </c>
      <c r="AB104" s="250">
        <f>AA104/Y104</f>
        <v>54.806834939214781</v>
      </c>
      <c r="AC104" s="250"/>
      <c r="AD104" s="250"/>
      <c r="AE104" s="251">
        <f>AE74+AE80+AE83</f>
        <v>12019.037509224599</v>
      </c>
      <c r="AF104" s="252"/>
    </row>
    <row r="105" spans="1:32" ht="15" x14ac:dyDescent="0.2">
      <c r="B105" s="253"/>
      <c r="C105" s="253"/>
      <c r="D105" s="253"/>
      <c r="E105" s="253"/>
      <c r="F105" s="254"/>
      <c r="G105" s="255"/>
      <c r="H105" s="256"/>
      <c r="I105" s="256"/>
      <c r="J105" s="254"/>
      <c r="K105" s="254"/>
      <c r="L105" s="254"/>
      <c r="M105" s="254"/>
      <c r="N105" s="254"/>
      <c r="O105" s="254"/>
      <c r="P105" s="257"/>
      <c r="Q105" s="258"/>
      <c r="R105" s="254"/>
      <c r="S105" s="254"/>
      <c r="T105" s="254"/>
      <c r="U105" s="259"/>
      <c r="V105" s="255"/>
      <c r="W105" s="255"/>
      <c r="X105" s="255"/>
      <c r="Y105" s="254"/>
      <c r="Z105" s="254"/>
      <c r="AA105" s="254"/>
      <c r="AB105" s="260"/>
      <c r="AC105" s="255"/>
      <c r="AD105" s="254"/>
      <c r="AE105" s="254"/>
      <c r="AF105" s="256"/>
    </row>
    <row r="106" spans="1:32" ht="15" x14ac:dyDescent="0.2">
      <c r="B106" s="289"/>
      <c r="C106" s="191"/>
      <c r="D106" s="289"/>
      <c r="E106" s="268">
        <v>0.95</v>
      </c>
      <c r="F106" s="289"/>
      <c r="G106" s="289" t="s">
        <v>102</v>
      </c>
      <c r="H106" s="290"/>
      <c r="I106" s="262"/>
      <c r="J106" s="289"/>
      <c r="K106" s="1883">
        <f>AE104*E106</f>
        <v>11418.085633763369</v>
      </c>
      <c r="L106" s="1884"/>
      <c r="M106" s="1885"/>
      <c r="N106" s="191" t="s">
        <v>27</v>
      </c>
      <c r="O106" s="254"/>
      <c r="P106" s="257"/>
      <c r="Q106" s="258"/>
      <c r="R106" s="254"/>
      <c r="S106" s="254"/>
      <c r="T106" s="254"/>
      <c r="U106" s="259"/>
      <c r="V106" s="255"/>
      <c r="W106" s="255"/>
      <c r="X106" s="255"/>
      <c r="Y106" s="254"/>
      <c r="Z106" s="254"/>
      <c r="AA106" s="254"/>
      <c r="AB106" s="260"/>
      <c r="AC106" s="255"/>
      <c r="AD106" s="254"/>
      <c r="AE106" s="254"/>
      <c r="AF106" s="256"/>
    </row>
    <row r="107" spans="1:32" ht="15" x14ac:dyDescent="0.2">
      <c r="B107" s="289"/>
      <c r="C107" s="191"/>
      <c r="D107" s="289"/>
      <c r="E107" s="268"/>
      <c r="F107" s="289"/>
      <c r="G107" s="191"/>
      <c r="H107" s="290"/>
      <c r="I107" s="262"/>
      <c r="J107" s="289"/>
      <c r="K107" s="191"/>
      <c r="L107" s="263"/>
      <c r="M107" s="289"/>
      <c r="N107" s="289"/>
      <c r="O107" s="289"/>
      <c r="P107" s="291"/>
      <c r="Q107" s="292"/>
      <c r="R107" s="289"/>
      <c r="S107" s="289"/>
      <c r="T107" s="289"/>
      <c r="U107" s="289"/>
      <c r="V107" s="289"/>
      <c r="W107" s="289"/>
      <c r="X107" s="211"/>
      <c r="Y107" s="211"/>
      <c r="Z107" s="211"/>
      <c r="AA107" s="211"/>
      <c r="AB107" s="211"/>
      <c r="AC107" s="211"/>
      <c r="AD107" s="211"/>
      <c r="AE107" s="211"/>
      <c r="AF107" s="266"/>
    </row>
    <row r="108" spans="1:32" ht="15" x14ac:dyDescent="0.2">
      <c r="B108" s="289"/>
      <c r="C108" s="289"/>
      <c r="D108" s="289"/>
      <c r="E108" s="293" t="s">
        <v>214</v>
      </c>
      <c r="F108" s="1881" t="s">
        <v>264</v>
      </c>
      <c r="G108" s="1881"/>
      <c r="H108" s="1881"/>
      <c r="I108" s="289"/>
      <c r="J108" s="289"/>
      <c r="K108" s="191"/>
      <c r="L108" s="191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1842" t="s">
        <v>99</v>
      </c>
      <c r="Y108" s="1824"/>
      <c r="Z108" s="1824"/>
      <c r="AA108" s="1824"/>
      <c r="AB108" s="211" t="s">
        <v>216</v>
      </c>
      <c r="AC108" s="211"/>
      <c r="AD108" s="211"/>
      <c r="AE108" s="211"/>
      <c r="AF108" s="211"/>
    </row>
  </sheetData>
  <mergeCells count="41">
    <mergeCell ref="X108:AA108"/>
    <mergeCell ref="B84:F84"/>
    <mergeCell ref="B89:F89"/>
    <mergeCell ref="B99:F99"/>
    <mergeCell ref="B104:E104"/>
    <mergeCell ref="K106:M106"/>
    <mergeCell ref="F108:H108"/>
    <mergeCell ref="AF12:AF13"/>
    <mergeCell ref="B74:E74"/>
    <mergeCell ref="B75:F75"/>
    <mergeCell ref="B80:E80"/>
    <mergeCell ref="B81:F81"/>
    <mergeCell ref="AB12:AB13"/>
    <mergeCell ref="AC12:AC13"/>
    <mergeCell ref="B83:E83"/>
    <mergeCell ref="V12:V13"/>
    <mergeCell ref="W12:W13"/>
    <mergeCell ref="X12:X13"/>
    <mergeCell ref="Y12:AA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U12:U13"/>
    <mergeCell ref="F11:F12"/>
    <mergeCell ref="A11:A13"/>
    <mergeCell ref="B11:B13"/>
    <mergeCell ref="C11:C13"/>
    <mergeCell ref="D11:D12"/>
    <mergeCell ref="E11:E12"/>
    <mergeCell ref="B8:E8"/>
    <mergeCell ref="I1:X1"/>
    <mergeCell ref="A2:D2"/>
    <mergeCell ref="J2:W2"/>
    <mergeCell ref="A6:E6"/>
    <mergeCell ref="A7:E7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08"/>
  <sheetViews>
    <sheetView topLeftCell="C1" zoomScale="70" zoomScaleNormal="70" zoomScaleSheetLayoutView="70" workbookViewId="0">
      <selection activeCell="L14" sqref="L14:L29"/>
    </sheetView>
  </sheetViews>
  <sheetFormatPr defaultColWidth="9.140625" defaultRowHeight="12.75" x14ac:dyDescent="0.2"/>
  <cols>
    <col min="1" max="1" width="9.140625" style="304" customWidth="1"/>
    <col min="2" max="2" width="42.7109375" style="304" customWidth="1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3" width="9.140625" style="304"/>
    <col min="24" max="24" width="10.42578125" style="304" customWidth="1"/>
    <col min="25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18"/>
      <c r="C1" s="318"/>
      <c r="D1" s="138"/>
      <c r="E1" s="138"/>
      <c r="F1" s="138"/>
      <c r="G1" s="318"/>
      <c r="H1" s="318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18"/>
      <c r="H2" s="318"/>
      <c r="I2" s="138"/>
      <c r="J2" s="1823" t="s">
        <v>281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19" t="s">
        <v>270</v>
      </c>
      <c r="B3" s="319"/>
      <c r="C3" s="319"/>
      <c r="D3" s="319"/>
      <c r="E3" s="319"/>
      <c r="F3" s="138"/>
      <c r="G3" s="318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17"/>
      <c r="S3" s="317"/>
      <c r="T3" s="317"/>
      <c r="U3" s="317"/>
      <c r="V3" s="317"/>
      <c r="W3" s="317"/>
      <c r="X3" s="317"/>
      <c r="Y3" s="317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19" t="s">
        <v>228</v>
      </c>
      <c r="B4" s="148"/>
      <c r="C4" s="148"/>
      <c r="D4" s="148"/>
      <c r="E4" s="138"/>
      <c r="F4" s="138"/>
      <c r="G4" s="318"/>
      <c r="H4" s="318"/>
      <c r="I4" s="141"/>
      <c r="J4" s="141"/>
      <c r="K4" s="141"/>
      <c r="L4" s="141"/>
      <c r="M4" s="141"/>
      <c r="N4" s="141"/>
      <c r="O4" s="141"/>
      <c r="P4" s="141"/>
      <c r="Q4" s="141"/>
      <c r="R4" s="316"/>
      <c r="S4" s="316"/>
      <c r="T4" s="316"/>
      <c r="U4" s="316"/>
      <c r="V4" s="316"/>
      <c r="W4" s="316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19"/>
      <c r="C5" s="319"/>
      <c r="D5" s="319"/>
      <c r="E5" s="138"/>
      <c r="F5" s="138"/>
      <c r="G5" s="318"/>
      <c r="H5" s="318"/>
      <c r="I5" s="138"/>
      <c r="J5" s="138"/>
      <c r="K5" s="318"/>
      <c r="L5" s="318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18"/>
      <c r="H6" s="318"/>
      <c r="I6" s="140"/>
      <c r="J6" s="138"/>
      <c r="K6" s="318"/>
      <c r="L6" s="318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18"/>
      <c r="H7" s="318"/>
      <c r="I7" s="140"/>
      <c r="J7" s="138"/>
      <c r="K7" s="318"/>
      <c r="L7" s="318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18"/>
      <c r="H8" s="318"/>
      <c r="I8" s="140"/>
      <c r="J8" s="138"/>
      <c r="K8" s="318"/>
      <c r="L8" s="318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18"/>
      <c r="H9" s="318"/>
      <c r="I9" s="138"/>
      <c r="J9" s="138"/>
      <c r="K9" s="318"/>
      <c r="L9" s="318"/>
      <c r="M9" s="318"/>
      <c r="N9" s="318"/>
      <c r="O9" s="318"/>
      <c r="P9" s="318"/>
      <c r="Q9" s="318"/>
      <c r="R9" s="318"/>
      <c r="S9" s="318"/>
      <c r="T9" s="318"/>
      <c r="U9" s="318"/>
      <c r="V9" s="318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18"/>
      <c r="C10" s="318"/>
      <c r="D10" s="318"/>
      <c r="E10" s="138"/>
      <c r="F10" s="138"/>
      <c r="G10" s="318"/>
      <c r="H10" s="318"/>
      <c r="I10" s="140"/>
      <c r="J10" s="138"/>
      <c r="K10" s="318"/>
      <c r="L10" s="318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13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13" t="s">
        <v>18</v>
      </c>
      <c r="AE12" s="313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377</v>
      </c>
      <c r="M14" s="166"/>
      <c r="N14" s="163">
        <v>7.1</v>
      </c>
      <c r="O14" s="166"/>
      <c r="P14" s="167">
        <v>24.3877046389896</v>
      </c>
      <c r="Q14" s="168">
        <f t="shared" ref="Q14:Q37" si="0">LEFT(H14,(FIND("K",H14,1)-1))*J14/100</f>
        <v>33</v>
      </c>
      <c r="R14" s="169">
        <v>1.498</v>
      </c>
      <c r="S14" s="168">
        <v>3.71</v>
      </c>
      <c r="T14" s="168">
        <v>2</v>
      </c>
      <c r="U14" s="168">
        <f>T14/R14</f>
        <v>1.3351134846461949</v>
      </c>
      <c r="V14" s="169">
        <f>(S14-R14)/S14*100</f>
        <v>59.622641509433961</v>
      </c>
      <c r="W14" s="170">
        <v>0.3</v>
      </c>
      <c r="X14" s="171">
        <f t="shared" ref="X14:X45" si="1">S14/Q14</f>
        <v>0.11242424242424243</v>
      </c>
      <c r="Y14" s="171">
        <f>R14*0.9494</f>
        <v>1.4222011999999999</v>
      </c>
      <c r="Z14" s="171">
        <f t="shared" ref="Z14:AA14" si="2">S14*0.9494</f>
        <v>3.5222739999999999</v>
      </c>
      <c r="AA14" s="171">
        <f t="shared" si="2"/>
        <v>1.8988</v>
      </c>
      <c r="AB14" s="171">
        <f>U14</f>
        <v>1.3351134846461949</v>
      </c>
      <c r="AC14" s="171">
        <f t="shared" ref="AC14:AC73" si="3">V14</f>
        <v>59.622641509433961</v>
      </c>
      <c r="AD14" s="163">
        <v>30</v>
      </c>
      <c r="AE14" s="171">
        <f>Y14*AD14</f>
        <v>42.666035999999998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300</v>
      </c>
      <c r="L15" s="166">
        <v>0</v>
      </c>
      <c r="M15" s="166">
        <v>0.2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" si="4">R15*0.9438</f>
        <v>0</v>
      </c>
      <c r="Z15" s="171">
        <f t="shared" ref="Z15" si="5">S15*0.9438</f>
        <v>0</v>
      </c>
      <c r="AA15" s="171">
        <f t="shared" ref="AA15" si="6">T15*0.9438</f>
        <v>0</v>
      </c>
      <c r="AB15" s="171">
        <f t="shared" ref="AB15:AB73" si="7">U15</f>
        <v>0</v>
      </c>
      <c r="AC15" s="171">
        <f t="shared" si="3"/>
        <v>0</v>
      </c>
      <c r="AD15" s="163">
        <v>0</v>
      </c>
      <c r="AE15" s="171">
        <f t="shared" ref="AE15:AE56" si="8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>
        <v>275</v>
      </c>
      <c r="K16" s="163"/>
      <c r="L16" s="166">
        <v>491</v>
      </c>
      <c r="M16" s="166"/>
      <c r="N16" s="182">
        <v>8.4</v>
      </c>
      <c r="O16" s="166"/>
      <c r="P16" s="167">
        <v>12.77</v>
      </c>
      <c r="Q16" s="168">
        <f>LEFT(H16,(FIND("K",H16,1)-1))*J16/100</f>
        <v>88</v>
      </c>
      <c r="R16" s="169">
        <v>22.472000000000001</v>
      </c>
      <c r="S16" s="168">
        <v>27.527000000000001</v>
      </c>
      <c r="T16" s="168">
        <v>5916</v>
      </c>
      <c r="U16" s="168">
        <f t="shared" ref="U16:U73" si="9">T16/R16</f>
        <v>263.26094695621214</v>
      </c>
      <c r="V16" s="169">
        <f t="shared" ref="V16:V73" si="10">(S16-R16)/S16*100</f>
        <v>18.36378828059723</v>
      </c>
      <c r="W16" s="170">
        <v>0.2</v>
      </c>
      <c r="X16" s="171">
        <f t="shared" si="1"/>
        <v>0.31280681818181821</v>
      </c>
      <c r="Y16" s="171">
        <f>R16*0.9494</f>
        <v>21.334916800000002</v>
      </c>
      <c r="Z16" s="171">
        <f t="shared" ref="Z16" si="11">S16*0.9494</f>
        <v>26.134133800000001</v>
      </c>
      <c r="AA16" s="171">
        <f t="shared" ref="AA16" si="12">T16*0.9494</f>
        <v>5616.6504000000004</v>
      </c>
      <c r="AB16" s="171">
        <f t="shared" si="7"/>
        <v>263.26094695621214</v>
      </c>
      <c r="AC16" s="171">
        <f t="shared" si="3"/>
        <v>18.36378828059723</v>
      </c>
      <c r="AD16" s="163">
        <v>30</v>
      </c>
      <c r="AE16" s="171">
        <f>Y16*AD16</f>
        <v>640.04750400000012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175</v>
      </c>
      <c r="K17" s="163"/>
      <c r="L17" s="166">
        <v>466</v>
      </c>
      <c r="M17" s="166"/>
      <c r="N17" s="182">
        <v>2.8</v>
      </c>
      <c r="O17" s="166"/>
      <c r="P17" s="167">
        <v>11.93</v>
      </c>
      <c r="Q17" s="168">
        <f t="shared" si="0"/>
        <v>22.75</v>
      </c>
      <c r="R17" s="169">
        <v>3.496</v>
      </c>
      <c r="S17" s="168">
        <v>5.532</v>
      </c>
      <c r="T17" s="168">
        <v>32</v>
      </c>
      <c r="U17" s="168">
        <f t="shared" si="9"/>
        <v>9.1533180778032044</v>
      </c>
      <c r="V17" s="169">
        <f t="shared" si="10"/>
        <v>36.804049168474336</v>
      </c>
      <c r="W17" s="170">
        <v>0.2</v>
      </c>
      <c r="X17" s="171">
        <f t="shared" si="1"/>
        <v>0.24316483516483517</v>
      </c>
      <c r="Y17" s="171">
        <f t="shared" ref="Y17:Y29" si="13">R17*0.9494</f>
        <v>3.3191024000000002</v>
      </c>
      <c r="Z17" s="171">
        <f t="shared" ref="Z17:Z29" si="14">S17*0.9494</f>
        <v>5.2520807999999999</v>
      </c>
      <c r="AA17" s="171">
        <f t="shared" ref="AA17:AA29" si="15">T17*0.9494</f>
        <v>30.380800000000001</v>
      </c>
      <c r="AB17" s="171">
        <f t="shared" si="7"/>
        <v>9.1533180778032044</v>
      </c>
      <c r="AC17" s="171">
        <f t="shared" si="3"/>
        <v>36.804049168474336</v>
      </c>
      <c r="AD17" s="163">
        <v>30</v>
      </c>
      <c r="AE17" s="171">
        <f t="shared" si="8"/>
        <v>99.57307200000001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434</v>
      </c>
      <c r="M18" s="166"/>
      <c r="N18" s="163">
        <v>4.4000000000000004</v>
      </c>
      <c r="O18" s="166"/>
      <c r="P18" s="167">
        <v>16.13</v>
      </c>
      <c r="Q18" s="168">
        <f t="shared" si="0"/>
        <v>9</v>
      </c>
      <c r="R18" s="169">
        <v>3.919</v>
      </c>
      <c r="S18" s="168">
        <v>4.8760000000000003</v>
      </c>
      <c r="T18" s="168">
        <v>19</v>
      </c>
      <c r="U18" s="168">
        <f t="shared" si="9"/>
        <v>4.8481755549885177</v>
      </c>
      <c r="V18" s="169">
        <f t="shared" si="10"/>
        <v>19.626743232157512</v>
      </c>
      <c r="W18" s="170">
        <v>0.4</v>
      </c>
      <c r="X18" s="171">
        <f t="shared" si="1"/>
        <v>0.5417777777777778</v>
      </c>
      <c r="Y18" s="171">
        <f t="shared" si="13"/>
        <v>3.7206986</v>
      </c>
      <c r="Z18" s="171">
        <f t="shared" si="14"/>
        <v>4.6292744000000008</v>
      </c>
      <c r="AA18" s="171">
        <f t="shared" si="15"/>
        <v>18.038599999999999</v>
      </c>
      <c r="AB18" s="171">
        <f t="shared" si="7"/>
        <v>4.8481755549885177</v>
      </c>
      <c r="AC18" s="171">
        <f t="shared" si="3"/>
        <v>19.626743232157512</v>
      </c>
      <c r="AD18" s="163">
        <v>30</v>
      </c>
      <c r="AE18" s="171">
        <f t="shared" si="8"/>
        <v>111.620958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230</v>
      </c>
      <c r="K19" s="163"/>
      <c r="L19" s="166">
        <v>430</v>
      </c>
      <c r="M19" s="166"/>
      <c r="N19" s="163">
        <v>1.2</v>
      </c>
      <c r="O19" s="166"/>
      <c r="P19" s="167">
        <v>14.94</v>
      </c>
      <c r="Q19" s="168">
        <f t="shared" si="0"/>
        <v>13.8</v>
      </c>
      <c r="R19" s="169">
        <v>3.0550000000000002</v>
      </c>
      <c r="S19" s="168">
        <v>4.2220000000000004</v>
      </c>
      <c r="T19" s="168">
        <v>0</v>
      </c>
      <c r="U19" s="168">
        <f t="shared" si="9"/>
        <v>0</v>
      </c>
      <c r="V19" s="169">
        <f t="shared" si="10"/>
        <v>27.640928469919473</v>
      </c>
      <c r="W19" s="170">
        <v>0.8</v>
      </c>
      <c r="X19" s="171">
        <f>S19/Q19</f>
        <v>0.30594202898550726</v>
      </c>
      <c r="Y19" s="171">
        <f t="shared" si="13"/>
        <v>2.900417</v>
      </c>
      <c r="Z19" s="171">
        <f t="shared" si="14"/>
        <v>4.0083668000000001</v>
      </c>
      <c r="AA19" s="171">
        <f t="shared" si="15"/>
        <v>0</v>
      </c>
      <c r="AB19" s="171">
        <f t="shared" si="7"/>
        <v>0</v>
      </c>
      <c r="AC19" s="171">
        <f t="shared" si="3"/>
        <v>27.640928469919473</v>
      </c>
      <c r="AD19" s="163">
        <v>30</v>
      </c>
      <c r="AE19" s="171">
        <f t="shared" si="8"/>
        <v>87.012510000000006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380</v>
      </c>
      <c r="M20" s="166"/>
      <c r="N20" s="163">
        <v>6.6</v>
      </c>
      <c r="O20" s="166"/>
      <c r="P20" s="167">
        <v>24.06</v>
      </c>
      <c r="Q20" s="168">
        <f t="shared" si="0"/>
        <v>22</v>
      </c>
      <c r="R20" s="169">
        <v>6.1189999999999998</v>
      </c>
      <c r="S20" s="168">
        <v>8.0909999999999993</v>
      </c>
      <c r="T20" s="168">
        <v>8</v>
      </c>
      <c r="U20" s="168">
        <f t="shared" si="9"/>
        <v>1.3074031704526885</v>
      </c>
      <c r="V20" s="169">
        <f t="shared" si="10"/>
        <v>24.372759856630822</v>
      </c>
      <c r="W20" s="170">
        <v>0.3</v>
      </c>
      <c r="X20" s="171">
        <f t="shared" si="1"/>
        <v>0.36777272727272725</v>
      </c>
      <c r="Y20" s="171">
        <f t="shared" si="13"/>
        <v>5.8093785999999996</v>
      </c>
      <c r="Z20" s="171">
        <f t="shared" si="14"/>
        <v>7.6815953999999991</v>
      </c>
      <c r="AA20" s="171">
        <f t="shared" si="15"/>
        <v>7.5952000000000002</v>
      </c>
      <c r="AB20" s="171">
        <f t="shared" si="7"/>
        <v>1.3074031704526885</v>
      </c>
      <c r="AC20" s="171">
        <f t="shared" si="3"/>
        <v>24.372759856630822</v>
      </c>
      <c r="AD20" s="163">
        <v>30</v>
      </c>
      <c r="AE20" s="171">
        <f t="shared" si="8"/>
        <v>174.28135799999998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502</v>
      </c>
      <c r="M21" s="176"/>
      <c r="N21" s="163">
        <v>17</v>
      </c>
      <c r="O21" s="176"/>
      <c r="P21" s="167">
        <v>23.34</v>
      </c>
      <c r="Q21" s="168">
        <f t="shared" si="0"/>
        <v>22</v>
      </c>
      <c r="R21" s="169">
        <v>5.093</v>
      </c>
      <c r="S21" s="168">
        <v>12.166</v>
      </c>
      <c r="T21" s="168">
        <v>185</v>
      </c>
      <c r="U21" s="168">
        <f t="shared" si="9"/>
        <v>36.324366777930493</v>
      </c>
      <c r="V21" s="169">
        <f t="shared" si="10"/>
        <v>58.137432188065098</v>
      </c>
      <c r="W21" s="170">
        <v>0.3</v>
      </c>
      <c r="X21" s="171">
        <f t="shared" si="1"/>
        <v>0.55300000000000005</v>
      </c>
      <c r="Y21" s="171">
        <f t="shared" si="13"/>
        <v>4.8352941999999999</v>
      </c>
      <c r="Z21" s="171">
        <f t="shared" si="14"/>
        <v>11.550400400000001</v>
      </c>
      <c r="AA21" s="171">
        <f t="shared" si="15"/>
        <v>175.63900000000001</v>
      </c>
      <c r="AB21" s="171">
        <f t="shared" si="7"/>
        <v>36.324366777930493</v>
      </c>
      <c r="AC21" s="171">
        <f t="shared" si="3"/>
        <v>58.137432188065098</v>
      </c>
      <c r="AD21" s="163">
        <v>30</v>
      </c>
      <c r="AE21" s="171">
        <f t="shared" si="8"/>
        <v>145.05882600000001</v>
      </c>
      <c r="AF21" s="177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480</v>
      </c>
      <c r="M22" s="166"/>
      <c r="N22" s="163">
        <v>6.9</v>
      </c>
      <c r="O22" s="166"/>
      <c r="P22" s="167">
        <v>15.04</v>
      </c>
      <c r="Q22" s="168">
        <f t="shared" si="0"/>
        <v>22</v>
      </c>
      <c r="R22" s="169">
        <v>6.1980000000000004</v>
      </c>
      <c r="S22" s="168">
        <v>8.5869999999999997</v>
      </c>
      <c r="T22" s="168">
        <v>13</v>
      </c>
      <c r="U22" s="168">
        <f t="shared" si="9"/>
        <v>2.0974507905776054</v>
      </c>
      <c r="V22" s="169">
        <f t="shared" si="10"/>
        <v>27.821124956329328</v>
      </c>
      <c r="W22" s="170">
        <v>0.3</v>
      </c>
      <c r="X22" s="171">
        <f t="shared" si="1"/>
        <v>0.39031818181818179</v>
      </c>
      <c r="Y22" s="171">
        <f t="shared" si="13"/>
        <v>5.8843812000000009</v>
      </c>
      <c r="Z22" s="171">
        <f t="shared" si="14"/>
        <v>8.1524978000000008</v>
      </c>
      <c r="AA22" s="171">
        <f t="shared" si="15"/>
        <v>12.3422</v>
      </c>
      <c r="AB22" s="171">
        <f t="shared" si="7"/>
        <v>2.0974507905776054</v>
      </c>
      <c r="AC22" s="171">
        <f t="shared" si="3"/>
        <v>27.821124956329328</v>
      </c>
      <c r="AD22" s="163">
        <v>30</v>
      </c>
      <c r="AE22" s="171">
        <f t="shared" si="8"/>
        <v>176.53143600000001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318</v>
      </c>
      <c r="M23" s="166"/>
      <c r="N23" s="163">
        <v>7.8</v>
      </c>
      <c r="O23" s="166"/>
      <c r="P23" s="167">
        <v>30.79</v>
      </c>
      <c r="Q23" s="168">
        <f t="shared" si="0"/>
        <v>27.5</v>
      </c>
      <c r="R23" s="169">
        <v>0.53900000000000003</v>
      </c>
      <c r="S23" s="168">
        <v>1.583</v>
      </c>
      <c r="T23" s="168">
        <v>0</v>
      </c>
      <c r="U23" s="168">
        <f t="shared" si="9"/>
        <v>0</v>
      </c>
      <c r="V23" s="169">
        <f t="shared" si="10"/>
        <v>65.950726468730252</v>
      </c>
      <c r="W23" s="170">
        <v>0.2</v>
      </c>
      <c r="X23" s="171">
        <f t="shared" si="1"/>
        <v>5.7563636363636365E-2</v>
      </c>
      <c r="Y23" s="171">
        <f t="shared" si="13"/>
        <v>0.51172660000000003</v>
      </c>
      <c r="Z23" s="171">
        <f t="shared" si="14"/>
        <v>1.5029002</v>
      </c>
      <c r="AA23" s="171">
        <f t="shared" si="15"/>
        <v>0</v>
      </c>
      <c r="AB23" s="171">
        <f t="shared" si="7"/>
        <v>0</v>
      </c>
      <c r="AC23" s="171">
        <f t="shared" si="3"/>
        <v>65.950726468730252</v>
      </c>
      <c r="AD23" s="163">
        <v>30</v>
      </c>
      <c r="AE23" s="171">
        <f t="shared" si="8"/>
        <v>15.351798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393</v>
      </c>
      <c r="M24" s="166"/>
      <c r="N24" s="163">
        <v>0.2</v>
      </c>
      <c r="O24" s="166"/>
      <c r="P24" s="167">
        <v>18.07</v>
      </c>
      <c r="Q24" s="168">
        <f t="shared" si="0"/>
        <v>11.18</v>
      </c>
      <c r="R24" s="169">
        <v>1.206</v>
      </c>
      <c r="S24" s="168">
        <v>1.909</v>
      </c>
      <c r="T24" s="168">
        <v>0</v>
      </c>
      <c r="U24" s="168">
        <f t="shared" si="9"/>
        <v>0</v>
      </c>
      <c r="V24" s="169">
        <f t="shared" si="10"/>
        <v>36.825563122053431</v>
      </c>
      <c r="W24" s="170">
        <v>0.2</v>
      </c>
      <c r="X24" s="171">
        <f t="shared" si="1"/>
        <v>0.17075134168157424</v>
      </c>
      <c r="Y24" s="171">
        <f t="shared" si="13"/>
        <v>1.1449764</v>
      </c>
      <c r="Z24" s="171">
        <f t="shared" si="14"/>
        <v>1.8124046</v>
      </c>
      <c r="AA24" s="171">
        <f t="shared" si="15"/>
        <v>0</v>
      </c>
      <c r="AB24" s="171">
        <f t="shared" si="7"/>
        <v>0</v>
      </c>
      <c r="AC24" s="171">
        <f t="shared" si="3"/>
        <v>36.825563122053431</v>
      </c>
      <c r="AD24" s="163">
        <v>30</v>
      </c>
      <c r="AE24" s="171">
        <f t="shared" si="8"/>
        <v>34.349291999999998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115</v>
      </c>
      <c r="K25" s="163"/>
      <c r="L25" s="166">
        <v>207</v>
      </c>
      <c r="M25" s="166"/>
      <c r="N25" s="163">
        <v>1.6</v>
      </c>
      <c r="O25" s="166"/>
      <c r="P25" s="167">
        <v>35.61</v>
      </c>
      <c r="Q25" s="168">
        <f t="shared" si="0"/>
        <v>25.3</v>
      </c>
      <c r="R25" s="169">
        <v>4.9390000000000001</v>
      </c>
      <c r="S25" s="168">
        <v>8.0869999999999997</v>
      </c>
      <c r="T25" s="168">
        <v>2</v>
      </c>
      <c r="U25" s="168">
        <f t="shared" si="9"/>
        <v>0.40494027130998178</v>
      </c>
      <c r="V25" s="169">
        <f t="shared" si="10"/>
        <v>38.92667243724496</v>
      </c>
      <c r="W25" s="170">
        <v>0.4</v>
      </c>
      <c r="X25" s="171">
        <f t="shared" si="1"/>
        <v>0.31964426877470353</v>
      </c>
      <c r="Y25" s="171">
        <f t="shared" si="13"/>
        <v>4.6890866000000004</v>
      </c>
      <c r="Z25" s="171">
        <f t="shared" si="14"/>
        <v>7.6777977999999996</v>
      </c>
      <c r="AA25" s="171">
        <f t="shared" si="15"/>
        <v>1.8988</v>
      </c>
      <c r="AB25" s="171">
        <f t="shared" si="7"/>
        <v>0.40494027130998178</v>
      </c>
      <c r="AC25" s="171">
        <f t="shared" si="3"/>
        <v>38.92667243724496</v>
      </c>
      <c r="AD25" s="163">
        <v>30</v>
      </c>
      <c r="AE25" s="171">
        <f t="shared" si="8"/>
        <v>140.67259800000002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573.67999999999995</v>
      </c>
      <c r="J26" s="163">
        <v>150</v>
      </c>
      <c r="K26" s="163"/>
      <c r="L26" s="166">
        <v>452</v>
      </c>
      <c r="M26" s="166"/>
      <c r="N26" s="163">
        <v>24.1</v>
      </c>
      <c r="O26" s="166"/>
      <c r="P26" s="167">
        <v>32.44</v>
      </c>
      <c r="Q26" s="168">
        <f t="shared" si="0"/>
        <v>48</v>
      </c>
      <c r="R26" s="169">
        <v>2.8220000000000001</v>
      </c>
      <c r="S26" s="168">
        <v>21.106999999999999</v>
      </c>
      <c r="T26" s="168">
        <v>31.5</v>
      </c>
      <c r="U26" s="168">
        <f t="shared" si="9"/>
        <v>11.162296243798725</v>
      </c>
      <c r="V26" s="169">
        <f t="shared" si="10"/>
        <v>86.630027952811872</v>
      </c>
      <c r="W26" s="170">
        <v>0.4</v>
      </c>
      <c r="X26" s="171">
        <f t="shared" si="1"/>
        <v>0.43972916666666667</v>
      </c>
      <c r="Y26" s="171">
        <f t="shared" si="13"/>
        <v>2.6792068000000002</v>
      </c>
      <c r="Z26" s="171">
        <f t="shared" si="14"/>
        <v>20.038985799999999</v>
      </c>
      <c r="AA26" s="171">
        <f t="shared" si="15"/>
        <v>29.906100000000002</v>
      </c>
      <c r="AB26" s="171">
        <f t="shared" si="7"/>
        <v>11.162296243798725</v>
      </c>
      <c r="AC26" s="171">
        <f t="shared" si="3"/>
        <v>86.630027952811872</v>
      </c>
      <c r="AD26" s="163">
        <v>30</v>
      </c>
      <c r="AE26" s="171">
        <f t="shared" si="8"/>
        <v>80.376204000000001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358</v>
      </c>
      <c r="M27" s="166"/>
      <c r="N27" s="163">
        <v>9.5</v>
      </c>
      <c r="O27" s="166"/>
      <c r="P27" s="167">
        <v>25.88</v>
      </c>
      <c r="Q27" s="168">
        <f t="shared" si="0"/>
        <v>74.8</v>
      </c>
      <c r="R27" s="169">
        <v>18.172999999999998</v>
      </c>
      <c r="S27" s="168">
        <v>22.242000000000001</v>
      </c>
      <c r="T27" s="168">
        <v>4015</v>
      </c>
      <c r="U27" s="168">
        <f t="shared" si="9"/>
        <v>220.9321520937655</v>
      </c>
      <c r="V27" s="169">
        <f t="shared" si="10"/>
        <v>18.294218145850206</v>
      </c>
      <c r="W27" s="170">
        <v>0.3</v>
      </c>
      <c r="X27" s="171">
        <f t="shared" si="1"/>
        <v>0.2973529411764706</v>
      </c>
      <c r="Y27" s="171">
        <f t="shared" si="13"/>
        <v>17.253446199999999</v>
      </c>
      <c r="Z27" s="171">
        <f t="shared" si="14"/>
        <v>21.116554800000003</v>
      </c>
      <c r="AA27" s="171">
        <f t="shared" si="15"/>
        <v>3811.8409999999999</v>
      </c>
      <c r="AB27" s="171">
        <f t="shared" si="7"/>
        <v>220.9321520937655</v>
      </c>
      <c r="AC27" s="171">
        <f t="shared" si="3"/>
        <v>18.294218145850206</v>
      </c>
      <c r="AD27" s="163">
        <v>30</v>
      </c>
      <c r="AE27" s="171">
        <f t="shared" si="8"/>
        <v>517.603386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449</v>
      </c>
      <c r="M28" s="166"/>
      <c r="N28" s="163">
        <v>6.5</v>
      </c>
      <c r="O28" s="166"/>
      <c r="P28" s="167">
        <v>18.989999999999998</v>
      </c>
      <c r="Q28" s="168">
        <f t="shared" si="0"/>
        <v>11.05</v>
      </c>
      <c r="R28" s="169">
        <v>5.0359999999999996</v>
      </c>
      <c r="S28" s="168">
        <v>6.7119999999999997</v>
      </c>
      <c r="T28" s="168">
        <v>15</v>
      </c>
      <c r="U28" s="168">
        <f t="shared" si="9"/>
        <v>2.9785544082605244</v>
      </c>
      <c r="V28" s="169">
        <f t="shared" si="10"/>
        <v>24.970202622169253</v>
      </c>
      <c r="W28" s="170">
        <v>0.6</v>
      </c>
      <c r="X28" s="171">
        <f t="shared" si="1"/>
        <v>0.60742081447963792</v>
      </c>
      <c r="Y28" s="171">
        <f t="shared" si="13"/>
        <v>4.7811783999999999</v>
      </c>
      <c r="Z28" s="171">
        <f t="shared" si="14"/>
        <v>6.3723727999999999</v>
      </c>
      <c r="AA28" s="171">
        <f t="shared" si="15"/>
        <v>14.241</v>
      </c>
      <c r="AB28" s="171">
        <f t="shared" si="7"/>
        <v>2.9785544082605244</v>
      </c>
      <c r="AC28" s="171">
        <f t="shared" si="3"/>
        <v>24.970202622169253</v>
      </c>
      <c r="AD28" s="163">
        <v>30</v>
      </c>
      <c r="AE28" s="171">
        <f>Y28*AD28</f>
        <v>143.43535199999999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505</v>
      </c>
      <c r="M29" s="164"/>
      <c r="N29" s="164">
        <v>9.9</v>
      </c>
      <c r="O29" s="164"/>
      <c r="P29" s="164">
        <v>15.03</v>
      </c>
      <c r="Q29" s="164">
        <f t="shared" si="0"/>
        <v>96</v>
      </c>
      <c r="R29" s="181">
        <v>19.015999999999998</v>
      </c>
      <c r="S29" s="168">
        <v>22.887</v>
      </c>
      <c r="T29" s="164">
        <v>1086</v>
      </c>
      <c r="U29" s="181">
        <f t="shared" si="9"/>
        <v>57.109802271771144</v>
      </c>
      <c r="V29" s="181">
        <f t="shared" si="10"/>
        <v>16.913531699217906</v>
      </c>
      <c r="W29" s="164">
        <v>0.4</v>
      </c>
      <c r="X29" s="181">
        <f t="shared" si="1"/>
        <v>0.23840625000000001</v>
      </c>
      <c r="Y29" s="171">
        <f t="shared" si="13"/>
        <v>18.0537904</v>
      </c>
      <c r="Z29" s="171">
        <f t="shared" si="14"/>
        <v>21.728917800000001</v>
      </c>
      <c r="AA29" s="171">
        <f t="shared" si="15"/>
        <v>1031.0484000000001</v>
      </c>
      <c r="AB29" s="181">
        <f t="shared" si="7"/>
        <v>57.109802271771144</v>
      </c>
      <c r="AC29" s="181">
        <f t="shared" si="3"/>
        <v>16.913531699217906</v>
      </c>
      <c r="AD29" s="164">
        <v>30</v>
      </c>
      <c r="AE29" s="181">
        <f>Y29*AD29</f>
        <v>541.61371199999996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75</v>
      </c>
      <c r="L30" s="166"/>
      <c r="M30" s="166">
        <v>0.7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" si="16">R31</f>
        <v>0</v>
      </c>
      <c r="Z31" s="171">
        <f t="shared" ref="Z31" si="17">S31</f>
        <v>0</v>
      </c>
      <c r="AA31" s="171">
        <f t="shared" ref="AA31" si="18">T31</f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8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390</v>
      </c>
      <c r="M32" s="166"/>
      <c r="N32" s="163">
        <v>6.3</v>
      </c>
      <c r="O32" s="166"/>
      <c r="P32" s="167">
        <v>22.44</v>
      </c>
      <c r="Q32" s="168">
        <f t="shared" si="0"/>
        <v>18.7</v>
      </c>
      <c r="R32" s="169">
        <v>0.82799999999999996</v>
      </c>
      <c r="S32" s="168">
        <v>12.411</v>
      </c>
      <c r="T32" s="168">
        <v>221</v>
      </c>
      <c r="U32" s="168">
        <f t="shared" si="9"/>
        <v>266.90821256038646</v>
      </c>
      <c r="V32" s="169">
        <f>(S32-R32)/S32*100</f>
        <v>93.32849891225527</v>
      </c>
      <c r="W32" s="170">
        <v>0</v>
      </c>
      <c r="X32" s="171">
        <f t="shared" si="1"/>
        <v>0.66368983957219252</v>
      </c>
      <c r="Y32" s="171">
        <f>R32*0.9949</f>
        <v>0.82377719999999999</v>
      </c>
      <c r="Z32" s="171">
        <f>S32*0.9949</f>
        <v>12.347703899999999</v>
      </c>
      <c r="AA32" s="171">
        <f>T32*0.9949</f>
        <v>219.87290000000002</v>
      </c>
      <c r="AB32" s="171">
        <f t="shared" si="7"/>
        <v>266.90821256038646</v>
      </c>
      <c r="AC32" s="171">
        <f t="shared" si="3"/>
        <v>93.32849891225527</v>
      </c>
      <c r="AD32" s="163">
        <v>25</v>
      </c>
      <c r="AE32" s="171">
        <f t="shared" si="8"/>
        <v>20.594429999999999</v>
      </c>
      <c r="AF32" s="183" t="s">
        <v>280</v>
      </c>
    </row>
    <row r="33" spans="1:32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100</v>
      </c>
      <c r="K33" s="163"/>
      <c r="L33" s="166">
        <v>468</v>
      </c>
      <c r="M33" s="166"/>
      <c r="N33" s="163">
        <v>4.9000000000000004</v>
      </c>
      <c r="O33" s="166"/>
      <c r="P33" s="167">
        <v>14.97</v>
      </c>
      <c r="Q33" s="168">
        <f>LEFT(H33,(FIND("K",H33,1)-1))*J33/100</f>
        <v>13</v>
      </c>
      <c r="R33" s="169">
        <v>3.85</v>
      </c>
      <c r="S33" s="168">
        <v>7.2910000000000004</v>
      </c>
      <c r="T33" s="168">
        <v>1</v>
      </c>
      <c r="U33" s="168">
        <f t="shared" si="9"/>
        <v>0.25974025974025972</v>
      </c>
      <c r="V33" s="169">
        <f t="shared" si="10"/>
        <v>47.195172130023316</v>
      </c>
      <c r="W33" s="170">
        <v>0.2</v>
      </c>
      <c r="X33" s="171">
        <v>0</v>
      </c>
      <c r="Y33" s="171">
        <f t="shared" ref="Y33" si="19">R33*0.9494</f>
        <v>3.6551900000000002</v>
      </c>
      <c r="Z33" s="171">
        <f t="shared" ref="Z33" si="20">S33*0.9494</f>
        <v>6.9220754000000007</v>
      </c>
      <c r="AA33" s="171">
        <f t="shared" ref="AA33" si="21">T33*0.9494</f>
        <v>0.94940000000000002</v>
      </c>
      <c r="AB33" s="171">
        <f t="shared" si="7"/>
        <v>0.25974025974025972</v>
      </c>
      <c r="AC33" s="171">
        <f t="shared" si="3"/>
        <v>47.195172130023316</v>
      </c>
      <c r="AD33" s="163">
        <v>30</v>
      </c>
      <c r="AE33" s="171">
        <f>Y33*AD33</f>
        <v>109.65570000000001</v>
      </c>
      <c r="AF33" s="172"/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469</v>
      </c>
      <c r="M34" s="166"/>
      <c r="N34" s="163">
        <v>6.6</v>
      </c>
      <c r="O34" s="166"/>
      <c r="P34" s="167">
        <v>14.02</v>
      </c>
      <c r="Q34" s="168">
        <f t="shared" si="0"/>
        <v>66</v>
      </c>
      <c r="R34" s="169">
        <v>5.4359999999999999</v>
      </c>
      <c r="S34" s="168">
        <v>6.7380000000000004</v>
      </c>
      <c r="T34" s="168">
        <v>602</v>
      </c>
      <c r="U34" s="168">
        <f t="shared" si="9"/>
        <v>110.74319352465048</v>
      </c>
      <c r="V34" s="169">
        <f t="shared" si="10"/>
        <v>19.323241317898493</v>
      </c>
      <c r="W34" s="170">
        <v>0.2</v>
      </c>
      <c r="X34" s="171">
        <f t="shared" si="1"/>
        <v>0.10209090909090909</v>
      </c>
      <c r="Y34" s="171">
        <f t="shared" ref="Y34:Y40" si="22">R34*0.9494</f>
        <v>5.1609384</v>
      </c>
      <c r="Z34" s="171">
        <f t="shared" ref="Z34:Z40" si="23">S34*0.9494</f>
        <v>6.3970572000000008</v>
      </c>
      <c r="AA34" s="171">
        <f t="shared" ref="AA34:AA40" si="24">T34*0.9494</f>
        <v>571.53880000000004</v>
      </c>
      <c r="AB34" s="171">
        <v>89.536086956521729</v>
      </c>
      <c r="AC34" s="171">
        <v>26</v>
      </c>
      <c r="AD34" s="163">
        <v>30</v>
      </c>
      <c r="AE34" s="171">
        <f t="shared" si="8"/>
        <v>154.82815199999999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470</v>
      </c>
      <c r="M35" s="166"/>
      <c r="N35" s="163">
        <v>7.8</v>
      </c>
      <c r="O35" s="166"/>
      <c r="P35" s="167">
        <v>17.559999999999999</v>
      </c>
      <c r="Q35" s="168">
        <f t="shared" si="0"/>
        <v>16.25</v>
      </c>
      <c r="R35" s="169">
        <v>7.7110000000000003</v>
      </c>
      <c r="S35" s="168">
        <v>10.481</v>
      </c>
      <c r="T35" s="168">
        <v>17</v>
      </c>
      <c r="U35" s="168">
        <f t="shared" si="9"/>
        <v>2.2046427181947865</v>
      </c>
      <c r="V35" s="169">
        <f t="shared" si="10"/>
        <v>26.428775880164103</v>
      </c>
      <c r="W35" s="170">
        <v>0.7</v>
      </c>
      <c r="X35" s="171">
        <f t="shared" si="1"/>
        <v>0.64498461538461538</v>
      </c>
      <c r="Y35" s="171">
        <f t="shared" si="22"/>
        <v>7.3208234000000001</v>
      </c>
      <c r="Z35" s="171">
        <f t="shared" si="23"/>
        <v>9.9506613999999995</v>
      </c>
      <c r="AA35" s="171">
        <f t="shared" si="24"/>
        <v>16.139800000000001</v>
      </c>
      <c r="AB35" s="171">
        <f t="shared" si="7"/>
        <v>2.2046427181947865</v>
      </c>
      <c r="AC35" s="171">
        <f t="shared" si="3"/>
        <v>26.428775880164103</v>
      </c>
      <c r="AD35" s="163">
        <v>30</v>
      </c>
      <c r="AE35" s="171">
        <f t="shared" si="8"/>
        <v>219.62470200000001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387</v>
      </c>
      <c r="M36" s="166"/>
      <c r="N36" s="163">
        <v>7.7</v>
      </c>
      <c r="O36" s="166"/>
      <c r="P36" s="167">
        <v>25.21</v>
      </c>
      <c r="Q36" s="168">
        <f t="shared" si="0"/>
        <v>18.7</v>
      </c>
      <c r="R36" s="169">
        <v>4.3140000000000001</v>
      </c>
      <c r="S36" s="168">
        <v>8.0980000000000008</v>
      </c>
      <c r="T36" s="168">
        <v>57</v>
      </c>
      <c r="U36" s="168">
        <f t="shared" si="9"/>
        <v>13.21279554937413</v>
      </c>
      <c r="V36" s="169">
        <f t="shared" si="10"/>
        <v>46.727587058532976</v>
      </c>
      <c r="W36" s="170">
        <v>0.4</v>
      </c>
      <c r="X36" s="171">
        <v>0</v>
      </c>
      <c r="Y36" s="171">
        <f t="shared" si="22"/>
        <v>4.0957116000000005</v>
      </c>
      <c r="Z36" s="171">
        <f t="shared" si="23"/>
        <v>7.6882412000000011</v>
      </c>
      <c r="AA36" s="171">
        <f t="shared" si="24"/>
        <v>54.1158</v>
      </c>
      <c r="AB36" s="171">
        <f t="shared" si="7"/>
        <v>13.21279554937413</v>
      </c>
      <c r="AC36" s="171">
        <f t="shared" si="3"/>
        <v>46.727587058532976</v>
      </c>
      <c r="AD36" s="163">
        <v>30</v>
      </c>
      <c r="AE36" s="171">
        <f t="shared" si="8"/>
        <v>122.87134800000001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185</v>
      </c>
      <c r="K37" s="163"/>
      <c r="L37" s="166">
        <v>241</v>
      </c>
      <c r="M37" s="166"/>
      <c r="N37" s="163">
        <v>7.7</v>
      </c>
      <c r="O37" s="166"/>
      <c r="P37" s="167">
        <v>39.29</v>
      </c>
      <c r="Q37" s="168">
        <f t="shared" si="0"/>
        <v>40.700000000000003</v>
      </c>
      <c r="R37" s="169">
        <v>20.332000000000001</v>
      </c>
      <c r="S37" s="168">
        <v>33.597000000000001</v>
      </c>
      <c r="T37" s="168">
        <v>182</v>
      </c>
      <c r="U37" s="168">
        <f t="shared" si="9"/>
        <v>8.9514066496163682</v>
      </c>
      <c r="V37" s="169">
        <f t="shared" si="10"/>
        <v>39.482691907015507</v>
      </c>
      <c r="W37" s="170">
        <v>0.8</v>
      </c>
      <c r="X37" s="171">
        <f t="shared" si="1"/>
        <v>0.82547911547911546</v>
      </c>
      <c r="Y37" s="171">
        <f t="shared" si="22"/>
        <v>19.303200800000003</v>
      </c>
      <c r="Z37" s="171">
        <f t="shared" si="23"/>
        <v>31.896991800000002</v>
      </c>
      <c r="AA37" s="171">
        <f t="shared" si="24"/>
        <v>172.79079999999999</v>
      </c>
      <c r="AB37" s="171">
        <f t="shared" si="7"/>
        <v>8.9514066496163682</v>
      </c>
      <c r="AC37" s="171">
        <f t="shared" si="3"/>
        <v>39.482691907015507</v>
      </c>
      <c r="AD37" s="163">
        <v>30</v>
      </c>
      <c r="AE37" s="171">
        <f t="shared" si="8"/>
        <v>579.09602400000006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492</v>
      </c>
      <c r="M38" s="166"/>
      <c r="N38" s="163">
        <v>8</v>
      </c>
      <c r="O38" s="166"/>
      <c r="P38" s="167">
        <v>15.02</v>
      </c>
      <c r="Q38" s="168">
        <f>LEFT(H38,(FIND("K",H38,1)-1))*J38/100</f>
        <v>62.7</v>
      </c>
      <c r="R38" s="169">
        <v>14.077999999999999</v>
      </c>
      <c r="S38" s="168">
        <v>21.056000000000001</v>
      </c>
      <c r="T38" s="168">
        <v>833</v>
      </c>
      <c r="U38" s="168">
        <f t="shared" si="9"/>
        <v>59.170336695553345</v>
      </c>
      <c r="V38" s="169">
        <f t="shared" si="10"/>
        <v>33.140197568389063</v>
      </c>
      <c r="W38" s="170">
        <v>0.3</v>
      </c>
      <c r="X38" s="171">
        <f t="shared" si="1"/>
        <v>0.3358213716108453</v>
      </c>
      <c r="Y38" s="171">
        <f t="shared" si="22"/>
        <v>13.365653200000001</v>
      </c>
      <c r="Z38" s="171">
        <f t="shared" si="23"/>
        <v>19.990566400000002</v>
      </c>
      <c r="AA38" s="171">
        <f t="shared" si="24"/>
        <v>790.85019999999997</v>
      </c>
      <c r="AB38" s="171">
        <f t="shared" si="7"/>
        <v>59.170336695553345</v>
      </c>
      <c r="AC38" s="171">
        <f t="shared" si="3"/>
        <v>33.140197568389063</v>
      </c>
      <c r="AD38" s="163">
        <v>30</v>
      </c>
      <c r="AE38" s="171">
        <f t="shared" si="8"/>
        <v>400.96959600000002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130</v>
      </c>
      <c r="K39" s="163"/>
      <c r="L39" s="163">
        <v>306</v>
      </c>
      <c r="M39" s="166"/>
      <c r="N39" s="163">
        <v>7.8</v>
      </c>
      <c r="O39" s="166"/>
      <c r="P39" s="182">
        <v>30.98</v>
      </c>
      <c r="Q39" s="171">
        <f t="shared" ref="Q39:Q71" si="25">LEFT(H39,(FIND("K",H39,1)-1))*J39/100</f>
        <v>10.4</v>
      </c>
      <c r="R39" s="170">
        <v>5.8490000000000002</v>
      </c>
      <c r="S39" s="168">
        <v>7.6970000000000001</v>
      </c>
      <c r="T39" s="171">
        <v>51</v>
      </c>
      <c r="U39" s="171">
        <f t="shared" si="9"/>
        <v>8.7194392203795523</v>
      </c>
      <c r="V39" s="169">
        <f t="shared" si="10"/>
        <v>24.00935429388073</v>
      </c>
      <c r="W39" s="170">
        <v>0.2</v>
      </c>
      <c r="X39" s="171">
        <f t="shared" si="1"/>
        <v>0.74009615384615379</v>
      </c>
      <c r="Y39" s="171">
        <f t="shared" si="22"/>
        <v>5.5530406000000001</v>
      </c>
      <c r="Z39" s="171">
        <f t="shared" si="23"/>
        <v>7.3075318000000005</v>
      </c>
      <c r="AA39" s="171">
        <f t="shared" si="24"/>
        <v>48.419400000000003</v>
      </c>
      <c r="AB39" s="171">
        <f t="shared" si="7"/>
        <v>8.7194392203795523</v>
      </c>
      <c r="AC39" s="171">
        <f t="shared" si="3"/>
        <v>24.00935429388073</v>
      </c>
      <c r="AD39" s="163">
        <v>30</v>
      </c>
      <c r="AE39" s="171">
        <f t="shared" si="8"/>
        <v>166.591218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431</v>
      </c>
      <c r="M40" s="159"/>
      <c r="N40" s="163">
        <v>6.6</v>
      </c>
      <c r="O40" s="159"/>
      <c r="P40" s="160">
        <v>17.79</v>
      </c>
      <c r="Q40" s="171">
        <f t="shared" si="25"/>
        <v>25.3</v>
      </c>
      <c r="R40" s="170">
        <v>9.0939999999999994</v>
      </c>
      <c r="S40" s="168">
        <v>11.548</v>
      </c>
      <c r="T40" s="174">
        <v>544</v>
      </c>
      <c r="U40" s="171">
        <f t="shared" si="9"/>
        <v>59.81966131515285</v>
      </c>
      <c r="V40" s="169">
        <f t="shared" si="10"/>
        <v>21.250432975407001</v>
      </c>
      <c r="W40" s="170">
        <v>0.4</v>
      </c>
      <c r="X40" s="171">
        <f t="shared" si="1"/>
        <v>0.45644268774703556</v>
      </c>
      <c r="Y40" s="171">
        <f t="shared" si="22"/>
        <v>8.6338436000000005</v>
      </c>
      <c r="Z40" s="171">
        <f t="shared" si="23"/>
        <v>10.9636712</v>
      </c>
      <c r="AA40" s="171">
        <f t="shared" si="24"/>
        <v>516.47360000000003</v>
      </c>
      <c r="AB40" s="171">
        <f t="shared" si="7"/>
        <v>59.81966131515285</v>
      </c>
      <c r="AC40" s="171">
        <f t="shared" si="3"/>
        <v>21.250432975407001</v>
      </c>
      <c r="AD40" s="163">
        <v>30</v>
      </c>
      <c r="AE40" s="171">
        <f t="shared" si="8"/>
        <v>259.015308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122</v>
      </c>
      <c r="L41" s="163"/>
      <c r="M41" s="159">
        <v>0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6" si="26">R41*0.949</f>
        <v>0</v>
      </c>
      <c r="Z41" s="171">
        <f t="shared" si="26"/>
        <v>0</v>
      </c>
      <c r="AA41" s="171">
        <f t="shared" si="26"/>
        <v>0</v>
      </c>
      <c r="AB41" s="171">
        <f t="shared" si="7"/>
        <v>0</v>
      </c>
      <c r="AC41" s="171">
        <f t="shared" si="3"/>
        <v>0</v>
      </c>
      <c r="AD41" s="163">
        <v>0</v>
      </c>
      <c r="AE41" s="171">
        <f t="shared" si="8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215</v>
      </c>
      <c r="M42" s="159"/>
      <c r="N42" s="163">
        <v>3</v>
      </c>
      <c r="O42" s="159"/>
      <c r="P42" s="160">
        <v>39.700000000000003</v>
      </c>
      <c r="Q42" s="171">
        <f t="shared" si="25"/>
        <v>5.0999999999999996</v>
      </c>
      <c r="R42" s="170">
        <v>2.2170000000000001</v>
      </c>
      <c r="S42" s="168">
        <v>3.78</v>
      </c>
      <c r="T42" s="174">
        <v>3</v>
      </c>
      <c r="U42" s="171">
        <f>T42/R42</f>
        <v>1.3531799729364005</v>
      </c>
      <c r="V42" s="169">
        <f t="shared" si="10"/>
        <v>41.349206349206348</v>
      </c>
      <c r="W42" s="170">
        <v>0.3</v>
      </c>
      <c r="X42" s="171">
        <f t="shared" si="1"/>
        <v>0.74117647058823533</v>
      </c>
      <c r="Y42" s="171">
        <f t="shared" ref="Y42" si="27">R42*0.9494</f>
        <v>2.1048198</v>
      </c>
      <c r="Z42" s="171">
        <f t="shared" ref="Z42" si="28">S42*0.9494</f>
        <v>3.5887319999999998</v>
      </c>
      <c r="AA42" s="171">
        <f t="shared" ref="AA42" si="29">T42*0.9494</f>
        <v>2.8482000000000003</v>
      </c>
      <c r="AB42" s="171">
        <f t="shared" si="7"/>
        <v>1.3531799729364005</v>
      </c>
      <c r="AC42" s="171">
        <f t="shared" si="3"/>
        <v>41.349206349206348</v>
      </c>
      <c r="AD42" s="163">
        <v>30</v>
      </c>
      <c r="AE42" s="171">
        <f t="shared" si="8"/>
        <v>63.144593999999998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429</v>
      </c>
      <c r="M43" s="166"/>
      <c r="N43" s="163">
        <v>2.9</v>
      </c>
      <c r="O43" s="166"/>
      <c r="P43" s="182">
        <v>15.28</v>
      </c>
      <c r="Q43" s="171">
        <f t="shared" si="25"/>
        <v>11.05</v>
      </c>
      <c r="R43" s="170">
        <v>3.702</v>
      </c>
      <c r="S43" s="168">
        <v>4.3940000000000001</v>
      </c>
      <c r="T43" s="171">
        <v>4</v>
      </c>
      <c r="U43" s="171">
        <f t="shared" si="9"/>
        <v>1.0804970286331712</v>
      </c>
      <c r="V43" s="169">
        <f t="shared" si="10"/>
        <v>15.748748293126994</v>
      </c>
      <c r="W43" s="170">
        <v>0.4</v>
      </c>
      <c r="X43" s="171">
        <f t="shared" si="1"/>
        <v>0.39764705882352941</v>
      </c>
      <c r="Y43" s="171">
        <f t="shared" ref="Y43:Y45" si="30">R43*0.9494</f>
        <v>3.5146788</v>
      </c>
      <c r="Z43" s="171">
        <f t="shared" ref="Z43:Z45" si="31">S43*0.9494</f>
        <v>4.1716636000000005</v>
      </c>
      <c r="AA43" s="171">
        <f t="shared" ref="AA43:AA45" si="32">T43*0.9494</f>
        <v>3.7976000000000001</v>
      </c>
      <c r="AB43" s="171">
        <f>U43</f>
        <v>1.0804970286331712</v>
      </c>
      <c r="AC43" s="171">
        <f t="shared" si="3"/>
        <v>15.748748293126994</v>
      </c>
      <c r="AD43" s="163">
        <v>30</v>
      </c>
      <c r="AE43" s="171">
        <f t="shared" si="8"/>
        <v>105.440364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115</v>
      </c>
      <c r="K44" s="163"/>
      <c r="L44" s="163">
        <v>212</v>
      </c>
      <c r="M44" s="166"/>
      <c r="N44" s="182">
        <v>2.9</v>
      </c>
      <c r="O44" s="166"/>
      <c r="P44" s="182">
        <v>36.97</v>
      </c>
      <c r="Q44" s="171">
        <f t="shared" si="25"/>
        <v>6.9</v>
      </c>
      <c r="R44" s="170">
        <v>3.1749999999999998</v>
      </c>
      <c r="S44" s="168">
        <v>4.806</v>
      </c>
      <c r="T44" s="171">
        <v>0.5</v>
      </c>
      <c r="U44" s="171">
        <f t="shared" si="9"/>
        <v>0.15748031496062992</v>
      </c>
      <c r="V44" s="169">
        <f t="shared" si="10"/>
        <v>33.936745734498544</v>
      </c>
      <c r="W44" s="170">
        <v>0.5</v>
      </c>
      <c r="X44" s="171">
        <f t="shared" si="1"/>
        <v>0.6965217391304348</v>
      </c>
      <c r="Y44" s="171">
        <f t="shared" si="30"/>
        <v>3.0143450000000001</v>
      </c>
      <c r="Z44" s="171">
        <f t="shared" si="31"/>
        <v>4.5628164</v>
      </c>
      <c r="AA44" s="171">
        <f t="shared" si="32"/>
        <v>0.47470000000000001</v>
      </c>
      <c r="AB44" s="171">
        <f>U44</f>
        <v>0.15748031496062992</v>
      </c>
      <c r="AC44" s="171">
        <f t="shared" si="3"/>
        <v>33.936745734498544</v>
      </c>
      <c r="AD44" s="163">
        <v>30</v>
      </c>
      <c r="AE44" s="171">
        <f t="shared" si="8"/>
        <v>90.430350000000004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463</v>
      </c>
      <c r="M45" s="166"/>
      <c r="N45" s="163">
        <v>7.1</v>
      </c>
      <c r="O45" s="166"/>
      <c r="P45" s="167">
        <v>15.62</v>
      </c>
      <c r="Q45" s="168">
        <f t="shared" si="25"/>
        <v>13</v>
      </c>
      <c r="R45" s="169">
        <v>3.0049999999999999</v>
      </c>
      <c r="S45" s="168">
        <v>5.931</v>
      </c>
      <c r="T45" s="168">
        <v>114</v>
      </c>
      <c r="U45" s="168">
        <f t="shared" si="9"/>
        <v>37.93677204658902</v>
      </c>
      <c r="V45" s="169">
        <f t="shared" si="10"/>
        <v>49.334007755859048</v>
      </c>
      <c r="W45" s="170">
        <v>0.3</v>
      </c>
      <c r="X45" s="171">
        <f t="shared" si="1"/>
        <v>0.45623076923076922</v>
      </c>
      <c r="Y45" s="171">
        <f t="shared" si="30"/>
        <v>2.8529469999999999</v>
      </c>
      <c r="Z45" s="171">
        <f t="shared" si="31"/>
        <v>5.6308914000000003</v>
      </c>
      <c r="AA45" s="171">
        <f t="shared" si="32"/>
        <v>108.2316</v>
      </c>
      <c r="AB45" s="171">
        <f t="shared" si="7"/>
        <v>37.93677204658902</v>
      </c>
      <c r="AC45" s="171">
        <f t="shared" si="3"/>
        <v>49.334007755859048</v>
      </c>
      <c r="AD45" s="163">
        <v>30</v>
      </c>
      <c r="AE45" s="171">
        <f t="shared" si="8"/>
        <v>85.588409999999996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250</v>
      </c>
      <c r="L46" s="163"/>
      <c r="M46" s="166">
        <v>0.5</v>
      </c>
      <c r="N46" s="163">
        <v>0</v>
      </c>
      <c r="O46" s="166"/>
      <c r="P46" s="167">
        <v>0</v>
      </c>
      <c r="Q46" s="168">
        <f t="shared" si="25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26"/>
        <v>0</v>
      </c>
      <c r="Z46" s="171">
        <f t="shared" si="26"/>
        <v>0</v>
      </c>
      <c r="AA46" s="171">
        <f t="shared" si="26"/>
        <v>0</v>
      </c>
      <c r="AB46" s="171">
        <f t="shared" si="7"/>
        <v>0</v>
      </c>
      <c r="AC46" s="171">
        <f t="shared" si="3"/>
        <v>0</v>
      </c>
      <c r="AD46" s="163">
        <v>0</v>
      </c>
      <c r="AE46" s="171">
        <f t="shared" si="8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419</v>
      </c>
      <c r="M47" s="166"/>
      <c r="N47" s="163">
        <v>7.4</v>
      </c>
      <c r="O47" s="166"/>
      <c r="P47" s="167">
        <v>22.14</v>
      </c>
      <c r="Q47" s="168">
        <f t="shared" si="25"/>
        <v>13</v>
      </c>
      <c r="R47" s="169">
        <v>5.3529999999999998</v>
      </c>
      <c r="S47" s="168">
        <v>9.2159999999999993</v>
      </c>
      <c r="T47" s="168">
        <v>61</v>
      </c>
      <c r="U47" s="168">
        <f>T47/R47</f>
        <v>11.395479170558566</v>
      </c>
      <c r="V47" s="169">
        <f t="shared" si="10"/>
        <v>41.916232638888893</v>
      </c>
      <c r="W47" s="170">
        <v>0.4</v>
      </c>
      <c r="X47" s="171">
        <f t="shared" ref="X47:X54" si="33">S47/Q47</f>
        <v>0.70892307692307688</v>
      </c>
      <c r="Y47" s="171">
        <f t="shared" ref="Y47" si="34">R47*0.9494</f>
        <v>5.0821382000000002</v>
      </c>
      <c r="Z47" s="171">
        <f t="shared" ref="Z47" si="35">S47*0.9494</f>
        <v>8.7496703999999994</v>
      </c>
      <c r="AA47" s="171">
        <f t="shared" ref="AA47" si="36">T47*0.9494</f>
        <v>57.913400000000003</v>
      </c>
      <c r="AB47" s="171">
        <f t="shared" si="7"/>
        <v>11.395479170558566</v>
      </c>
      <c r="AC47" s="171">
        <f t="shared" si="3"/>
        <v>41.916232638888893</v>
      </c>
      <c r="AD47" s="163">
        <v>30</v>
      </c>
      <c r="AE47" s="171">
        <f t="shared" si="8"/>
        <v>152.464146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250</v>
      </c>
      <c r="K48" s="163"/>
      <c r="L48" s="166">
        <v>411</v>
      </c>
      <c r="M48" s="166"/>
      <c r="N48" s="163">
        <v>0.1</v>
      </c>
      <c r="O48" s="166"/>
      <c r="P48" s="167">
        <v>15.77</v>
      </c>
      <c r="Q48" s="168">
        <f t="shared" si="25"/>
        <v>15</v>
      </c>
      <c r="R48" s="169">
        <v>1.62</v>
      </c>
      <c r="S48" s="168">
        <v>2.1880000000000002</v>
      </c>
      <c r="T48" s="168">
        <v>4</v>
      </c>
      <c r="U48" s="168">
        <f t="shared" ref="U48:U56" si="37">T48/R48</f>
        <v>2.4691358024691357</v>
      </c>
      <c r="V48" s="169">
        <f t="shared" si="10"/>
        <v>25.959780621572214</v>
      </c>
      <c r="W48" s="170">
        <v>0.3</v>
      </c>
      <c r="X48" s="171">
        <v>0</v>
      </c>
      <c r="Y48" s="171">
        <f t="shared" ref="Y48:Y54" si="38">R48*0.9494</f>
        <v>1.5380280000000002</v>
      </c>
      <c r="Z48" s="171">
        <f t="shared" ref="Z48:Z54" si="39">S48*0.9494</f>
        <v>2.0772872000000002</v>
      </c>
      <c r="AA48" s="171">
        <f t="shared" ref="AA48:AA54" si="40">T48*0.9494</f>
        <v>3.7976000000000001</v>
      </c>
      <c r="AB48" s="171">
        <f t="shared" si="7"/>
        <v>2.4691358024691357</v>
      </c>
      <c r="AC48" s="171">
        <f t="shared" si="3"/>
        <v>25.959780621572214</v>
      </c>
      <c r="AD48" s="163">
        <v>30</v>
      </c>
      <c r="AE48" s="171">
        <f t="shared" si="8"/>
        <v>46.140840000000004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89</v>
      </c>
      <c r="M49" s="166"/>
      <c r="N49" s="163">
        <v>4.5</v>
      </c>
      <c r="O49" s="166"/>
      <c r="P49" s="167">
        <v>51.803178415421449</v>
      </c>
      <c r="Q49" s="168">
        <f t="shared" si="25"/>
        <v>11.05</v>
      </c>
      <c r="R49" s="169">
        <v>2.4180000000000001</v>
      </c>
      <c r="S49" s="168">
        <v>9.6449999999999996</v>
      </c>
      <c r="T49" s="168">
        <v>0</v>
      </c>
      <c r="U49" s="168">
        <f t="shared" si="37"/>
        <v>0</v>
      </c>
      <c r="V49" s="169">
        <f t="shared" si="10"/>
        <v>74.930015552099533</v>
      </c>
      <c r="W49" s="170">
        <v>0</v>
      </c>
      <c r="X49" s="171">
        <v>0</v>
      </c>
      <c r="Y49" s="171">
        <f t="shared" si="38"/>
        <v>2.2956492000000002</v>
      </c>
      <c r="Z49" s="171">
        <f t="shared" si="39"/>
        <v>9.1569629999999993</v>
      </c>
      <c r="AA49" s="171">
        <f t="shared" si="40"/>
        <v>0</v>
      </c>
      <c r="AB49" s="171">
        <f t="shared" si="7"/>
        <v>0</v>
      </c>
      <c r="AC49" s="171">
        <f t="shared" si="3"/>
        <v>74.930015552099533</v>
      </c>
      <c r="AD49" s="163">
        <v>30</v>
      </c>
      <c r="AE49" s="171">
        <f t="shared" si="8"/>
        <v>68.869476000000006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129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>
        <v>215</v>
      </c>
      <c r="K50" s="194"/>
      <c r="L50" s="197">
        <v>444</v>
      </c>
      <c r="M50" s="197"/>
      <c r="N50" s="163">
        <v>4.9000000000000004</v>
      </c>
      <c r="O50" s="197"/>
      <c r="P50" s="198">
        <v>17.010000000000002</v>
      </c>
      <c r="Q50" s="199">
        <f t="shared" si="25"/>
        <v>6.45</v>
      </c>
      <c r="R50" s="200">
        <v>2.0230000000000001</v>
      </c>
      <c r="S50" s="168">
        <v>2.75</v>
      </c>
      <c r="T50" s="199">
        <v>0</v>
      </c>
      <c r="U50" s="168">
        <f t="shared" si="37"/>
        <v>0</v>
      </c>
      <c r="V50" s="169">
        <f t="shared" si="10"/>
        <v>26.43636363636363</v>
      </c>
      <c r="W50" s="201">
        <v>0.5</v>
      </c>
      <c r="X50" s="202">
        <v>0</v>
      </c>
      <c r="Y50" s="171">
        <f t="shared" si="38"/>
        <v>1.9206362000000001</v>
      </c>
      <c r="Z50" s="171">
        <f t="shared" si="39"/>
        <v>2.6108500000000001</v>
      </c>
      <c r="AA50" s="171">
        <f t="shared" si="40"/>
        <v>0</v>
      </c>
      <c r="AB50" s="202">
        <f t="shared" si="7"/>
        <v>0</v>
      </c>
      <c r="AC50" s="171">
        <f t="shared" si="3"/>
        <v>26.43636363636363</v>
      </c>
      <c r="AD50" s="163">
        <v>30</v>
      </c>
      <c r="AE50" s="202">
        <f t="shared" si="8"/>
        <v>57.619086000000003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135</v>
      </c>
      <c r="K51" s="163"/>
      <c r="L51" s="166">
        <v>415</v>
      </c>
      <c r="M51" s="166"/>
      <c r="N51" s="163">
        <v>0.8</v>
      </c>
      <c r="O51" s="166"/>
      <c r="P51" s="167">
        <v>15.57</v>
      </c>
      <c r="Q51" s="199">
        <f t="shared" si="25"/>
        <v>17.55</v>
      </c>
      <c r="R51" s="169">
        <v>2.4689999999999999</v>
      </c>
      <c r="S51" s="168">
        <v>3.7699999999999996</v>
      </c>
      <c r="T51" s="168">
        <v>2</v>
      </c>
      <c r="U51" s="168">
        <f t="shared" si="37"/>
        <v>0.81004455245038487</v>
      </c>
      <c r="V51" s="169">
        <f t="shared" si="10"/>
        <v>34.509283819628642</v>
      </c>
      <c r="W51" s="170">
        <v>0.5</v>
      </c>
      <c r="X51" s="171">
        <v>0</v>
      </c>
      <c r="Y51" s="171">
        <f t="shared" si="38"/>
        <v>2.3440685999999999</v>
      </c>
      <c r="Z51" s="171">
        <f t="shared" si="39"/>
        <v>3.5792379999999997</v>
      </c>
      <c r="AA51" s="171">
        <f t="shared" si="40"/>
        <v>1.8988</v>
      </c>
      <c r="AB51" s="171">
        <f t="shared" si="7"/>
        <v>0.81004455245038487</v>
      </c>
      <c r="AC51" s="171">
        <f t="shared" si="3"/>
        <v>34.509283819628642</v>
      </c>
      <c r="AD51" s="163">
        <v>30</v>
      </c>
      <c r="AE51" s="171">
        <f t="shared" si="8"/>
        <v>70.322057999999998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127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95</v>
      </c>
      <c r="K52" s="163"/>
      <c r="L52" s="166">
        <v>435</v>
      </c>
      <c r="M52" s="166"/>
      <c r="N52" s="163">
        <v>2.4</v>
      </c>
      <c r="O52" s="166"/>
      <c r="P52" s="167">
        <v>15.72</v>
      </c>
      <c r="Q52" s="168">
        <f t="shared" si="25"/>
        <v>12.35</v>
      </c>
      <c r="R52" s="169">
        <v>3.3519999999999999</v>
      </c>
      <c r="S52" s="168">
        <v>4.5510000000000002</v>
      </c>
      <c r="T52" s="168">
        <v>4</v>
      </c>
      <c r="U52" s="168">
        <f t="shared" si="37"/>
        <v>1.1933174224343677</v>
      </c>
      <c r="V52" s="169">
        <f t="shared" si="10"/>
        <v>26.345858053175132</v>
      </c>
      <c r="W52" s="170">
        <v>0.7</v>
      </c>
      <c r="X52" s="171">
        <v>0</v>
      </c>
      <c r="Y52" s="171">
        <f t="shared" si="38"/>
        <v>3.1823888</v>
      </c>
      <c r="Z52" s="171">
        <f t="shared" si="39"/>
        <v>4.3207194000000007</v>
      </c>
      <c r="AA52" s="171">
        <f t="shared" si="40"/>
        <v>3.7976000000000001</v>
      </c>
      <c r="AB52" s="171">
        <f t="shared" si="7"/>
        <v>1.1933174224343677</v>
      </c>
      <c r="AC52" s="171">
        <f t="shared" si="3"/>
        <v>26.345858053175132</v>
      </c>
      <c r="AD52" s="163">
        <v>30</v>
      </c>
      <c r="AE52" s="171">
        <f t="shared" si="8"/>
        <v>95.471664000000004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50</v>
      </c>
      <c r="M53" s="166"/>
      <c r="N53" s="163">
        <v>0.3</v>
      </c>
      <c r="O53" s="166"/>
      <c r="P53" s="167">
        <v>51.11</v>
      </c>
      <c r="Q53" s="168">
        <f t="shared" si="25"/>
        <v>7.2</v>
      </c>
      <c r="R53" s="169">
        <v>0.59799999999999998</v>
      </c>
      <c r="S53" s="168">
        <v>0.89200000000000002</v>
      </c>
      <c r="T53" s="168">
        <v>0</v>
      </c>
      <c r="U53" s="168">
        <f t="shared" si="37"/>
        <v>0</v>
      </c>
      <c r="V53" s="169">
        <f t="shared" si="10"/>
        <v>32.959641255605391</v>
      </c>
      <c r="W53" s="170">
        <v>0.3</v>
      </c>
      <c r="X53" s="171">
        <f t="shared" si="33"/>
        <v>0.12388888888888888</v>
      </c>
      <c r="Y53" s="171">
        <f t="shared" si="38"/>
        <v>0.56774119999999995</v>
      </c>
      <c r="Z53" s="171">
        <f t="shared" si="39"/>
        <v>0.84686480000000008</v>
      </c>
      <c r="AA53" s="171">
        <f t="shared" si="40"/>
        <v>0</v>
      </c>
      <c r="AB53" s="171">
        <f t="shared" si="7"/>
        <v>0</v>
      </c>
      <c r="AC53" s="171">
        <f t="shared" si="3"/>
        <v>32.959641255605391</v>
      </c>
      <c r="AD53" s="163">
        <v>30</v>
      </c>
      <c r="AE53" s="171">
        <f t="shared" si="8"/>
        <v>17.032235999999997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558.87</v>
      </c>
      <c r="J54" s="163">
        <v>85</v>
      </c>
      <c r="K54" s="163"/>
      <c r="L54" s="163">
        <v>200</v>
      </c>
      <c r="M54" s="163"/>
      <c r="N54" s="163">
        <v>7.3</v>
      </c>
      <c r="O54" s="163"/>
      <c r="P54" s="182">
        <v>44.02</v>
      </c>
      <c r="Q54" s="171">
        <f t="shared" si="25"/>
        <v>18.7</v>
      </c>
      <c r="R54" s="170">
        <v>0.63800000000000001</v>
      </c>
      <c r="S54" s="168">
        <v>12.374000000000001</v>
      </c>
      <c r="T54" s="171">
        <v>36</v>
      </c>
      <c r="U54" s="168">
        <f t="shared" si="37"/>
        <v>56.426332288401255</v>
      </c>
      <c r="V54" s="169">
        <f t="shared" si="10"/>
        <v>94.844027800226286</v>
      </c>
      <c r="W54" s="170">
        <v>0.5</v>
      </c>
      <c r="X54" s="171">
        <f t="shared" si="33"/>
        <v>0.66171122994652409</v>
      </c>
      <c r="Y54" s="171">
        <f t="shared" si="38"/>
        <v>0.60571720000000007</v>
      </c>
      <c r="Z54" s="171">
        <f t="shared" si="39"/>
        <v>11.7478756</v>
      </c>
      <c r="AA54" s="171">
        <f t="shared" si="40"/>
        <v>34.178400000000003</v>
      </c>
      <c r="AB54" s="171">
        <f t="shared" si="7"/>
        <v>56.426332288401255</v>
      </c>
      <c r="AC54" s="171">
        <f t="shared" si="3"/>
        <v>94.844027800226286</v>
      </c>
      <c r="AD54" s="163">
        <v>30</v>
      </c>
      <c r="AE54" s="171">
        <f t="shared" si="8"/>
        <v>18.171516</v>
      </c>
      <c r="AF54" s="190"/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>
        <v>100</v>
      </c>
      <c r="K55" s="163"/>
      <c r="L55" s="163">
        <v>220</v>
      </c>
      <c r="M55" s="163"/>
      <c r="N55" s="163">
        <v>8.6999999999999993</v>
      </c>
      <c r="O55" s="163"/>
      <c r="P55" s="182">
        <v>41.54</v>
      </c>
      <c r="Q55" s="171">
        <f t="shared" si="25"/>
        <v>22</v>
      </c>
      <c r="R55" s="170">
        <v>1.9470000000000001</v>
      </c>
      <c r="S55" s="168">
        <v>15.111000000000001</v>
      </c>
      <c r="T55" s="171">
        <v>42</v>
      </c>
      <c r="U55" s="168">
        <f t="shared" si="37"/>
        <v>21.571648690292758</v>
      </c>
      <c r="V55" s="169">
        <f t="shared" si="10"/>
        <v>87.115346436370871</v>
      </c>
      <c r="W55" s="170">
        <v>0.3</v>
      </c>
      <c r="X55" s="171">
        <f>S55/Q55</f>
        <v>0.68686363636363634</v>
      </c>
      <c r="Y55" s="171">
        <f t="shared" ref="Y55:AA56" si="41">R55</f>
        <v>1.9470000000000001</v>
      </c>
      <c r="Z55" s="171">
        <f t="shared" si="41"/>
        <v>15.111000000000001</v>
      </c>
      <c r="AA55" s="171">
        <f t="shared" si="41"/>
        <v>42</v>
      </c>
      <c r="AB55" s="171">
        <f t="shared" si="7"/>
        <v>21.571648690292758</v>
      </c>
      <c r="AC55" s="171">
        <f t="shared" si="3"/>
        <v>87.115346436370871</v>
      </c>
      <c r="AD55" s="163">
        <v>25</v>
      </c>
      <c r="AE55" s="171">
        <f t="shared" si="8"/>
        <v>48.675000000000004</v>
      </c>
      <c r="AF55" s="179" t="s">
        <v>280</v>
      </c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450</v>
      </c>
      <c r="M56" s="163"/>
      <c r="N56" s="163">
        <v>8.4</v>
      </c>
      <c r="O56" s="163"/>
      <c r="P56" s="182">
        <v>20.28</v>
      </c>
      <c r="Q56" s="171">
        <f t="shared" si="25"/>
        <v>18.7</v>
      </c>
      <c r="R56" s="170">
        <v>1.296</v>
      </c>
      <c r="S56" s="168">
        <v>9.8119999999999994</v>
      </c>
      <c r="T56" s="171">
        <v>91</v>
      </c>
      <c r="U56" s="171">
        <f t="shared" si="37"/>
        <v>70.216049382716051</v>
      </c>
      <c r="V56" s="169">
        <f t="shared" si="10"/>
        <v>86.791683652670201</v>
      </c>
      <c r="W56" s="170">
        <v>0.4</v>
      </c>
      <c r="X56" s="171">
        <f>S56/Q56</f>
        <v>0.52470588235294113</v>
      </c>
      <c r="Y56" s="171">
        <f t="shared" si="41"/>
        <v>1.296</v>
      </c>
      <c r="Z56" s="171">
        <f t="shared" si="41"/>
        <v>9.8119999999999994</v>
      </c>
      <c r="AA56" s="171">
        <f t="shared" si="41"/>
        <v>91</v>
      </c>
      <c r="AB56" s="171">
        <f t="shared" si="7"/>
        <v>70.216049382716051</v>
      </c>
      <c r="AC56" s="171">
        <f t="shared" si="3"/>
        <v>86.791683652670201</v>
      </c>
      <c r="AD56" s="163">
        <v>28</v>
      </c>
      <c r="AE56" s="171">
        <f t="shared" si="8"/>
        <v>36.288000000000004</v>
      </c>
      <c r="AF56" s="179" t="s">
        <v>280</v>
      </c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396</v>
      </c>
      <c r="M57" s="158"/>
      <c r="N57" s="163">
        <v>7.8</v>
      </c>
      <c r="O57" s="158"/>
      <c r="P57" s="160">
        <v>22.82</v>
      </c>
      <c r="Q57" s="171">
        <f t="shared" si="25"/>
        <v>33</v>
      </c>
      <c r="R57" s="170">
        <v>9.8780000000000001</v>
      </c>
      <c r="S57" s="168">
        <v>11.891999999999999</v>
      </c>
      <c r="T57" s="174">
        <v>876</v>
      </c>
      <c r="U57" s="171">
        <f>T57/R57</f>
        <v>88.681919416886004</v>
      </c>
      <c r="V57" s="169">
        <f t="shared" si="10"/>
        <v>16.935755129498816</v>
      </c>
      <c r="W57" s="170">
        <v>0.5</v>
      </c>
      <c r="X57" s="171">
        <f t="shared" ref="X57:X73" si="42">S57/Q57</f>
        <v>0.36036363636363633</v>
      </c>
      <c r="Y57" s="171">
        <f t="shared" ref="Y57" si="43">R57*0.9494</f>
        <v>9.3781732000000009</v>
      </c>
      <c r="Z57" s="171">
        <f t="shared" ref="Z57" si="44">S57*0.9494</f>
        <v>11.290264799999999</v>
      </c>
      <c r="AA57" s="171">
        <f t="shared" ref="AA57" si="45">T57*0.9494</f>
        <v>831.67439999999999</v>
      </c>
      <c r="AB57" s="171">
        <f t="shared" si="7"/>
        <v>88.681919416886004</v>
      </c>
      <c r="AC57" s="171">
        <f t="shared" si="3"/>
        <v>16.935755129498816</v>
      </c>
      <c r="AD57" s="163">
        <v>30</v>
      </c>
      <c r="AE57" s="171">
        <f>Y57*AD57</f>
        <v>281.34519600000004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179</v>
      </c>
      <c r="L58" s="163"/>
      <c r="M58" s="158">
        <v>0.4</v>
      </c>
      <c r="N58" s="163"/>
      <c r="O58" s="158"/>
      <c r="P58" s="160">
        <v>0</v>
      </c>
      <c r="Q58" s="171">
        <f t="shared" si="25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>R58</f>
        <v>0</v>
      </c>
      <c r="Z58" s="171">
        <f>S58</f>
        <v>0</v>
      </c>
      <c r="AA58" s="171">
        <f>T58</f>
        <v>0</v>
      </c>
      <c r="AB58" s="171">
        <f t="shared" si="7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433</v>
      </c>
      <c r="M59" s="158"/>
      <c r="N59" s="163">
        <v>3.6</v>
      </c>
      <c r="O59" s="158"/>
      <c r="P59" s="182">
        <v>17.18</v>
      </c>
      <c r="Q59" s="171">
        <f t="shared" si="25"/>
        <v>11.05</v>
      </c>
      <c r="R59" s="170">
        <v>5.15</v>
      </c>
      <c r="S59" s="168">
        <v>6.3239999999999998</v>
      </c>
      <c r="T59" s="171">
        <v>8</v>
      </c>
      <c r="U59" s="171">
        <f>T59/R59</f>
        <v>1.5533980582524272</v>
      </c>
      <c r="V59" s="169">
        <f t="shared" si="10"/>
        <v>18.564199873497778</v>
      </c>
      <c r="W59" s="170">
        <v>0.8</v>
      </c>
      <c r="X59" s="171">
        <f t="shared" si="42"/>
        <v>0.5723076923076923</v>
      </c>
      <c r="Y59" s="171">
        <f t="shared" ref="Y59" si="46">R59*0.9494</f>
        <v>4.8894100000000007</v>
      </c>
      <c r="Z59" s="171">
        <f t="shared" ref="Z59" si="47">S59*0.9494</f>
        <v>6.0040056000000002</v>
      </c>
      <c r="AA59" s="171">
        <f t="shared" ref="AA59" si="48">T59*0.9494</f>
        <v>7.5952000000000002</v>
      </c>
      <c r="AB59" s="171">
        <f t="shared" si="7"/>
        <v>1.5533980582524272</v>
      </c>
      <c r="AC59" s="171">
        <f t="shared" si="3"/>
        <v>18.564199873497778</v>
      </c>
      <c r="AD59" s="163">
        <v>30</v>
      </c>
      <c r="AE59" s="171">
        <f t="shared" ref="AE59:AE71" si="49">Y59*AD59</f>
        <v>146.68230000000003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52</v>
      </c>
      <c r="I60" s="158">
        <v>593</v>
      </c>
      <c r="J60" s="163">
        <v>85</v>
      </c>
      <c r="K60" s="163"/>
      <c r="L60" s="163">
        <v>340</v>
      </c>
      <c r="M60" s="163"/>
      <c r="N60" s="163">
        <v>9</v>
      </c>
      <c r="O60" s="163"/>
      <c r="P60" s="182">
        <v>29.49</v>
      </c>
      <c r="Q60" s="171">
        <f t="shared" si="25"/>
        <v>18.7</v>
      </c>
      <c r="R60" s="170">
        <v>12.994999999999999</v>
      </c>
      <c r="S60" s="168">
        <v>17.149000000000001</v>
      </c>
      <c r="T60" s="171">
        <v>63</v>
      </c>
      <c r="U60" s="171">
        <f>T60/R60</f>
        <v>4.8480184686417855</v>
      </c>
      <c r="V60" s="169">
        <f t="shared" si="10"/>
        <v>24.222986763076573</v>
      </c>
      <c r="W60" s="170">
        <v>0.3</v>
      </c>
      <c r="X60" s="171">
        <f t="shared" si="42"/>
        <v>0.91705882352941182</v>
      </c>
      <c r="Y60" s="171">
        <f t="shared" ref="Y60:Y64" si="50">R60*0.9494</f>
        <v>12.337453</v>
      </c>
      <c r="Z60" s="171">
        <f t="shared" ref="Z60:Z64" si="51">S60*0.9494</f>
        <v>16.2812606</v>
      </c>
      <c r="AA60" s="171">
        <f t="shared" ref="AA60:AA64" si="52">T60*0.9494</f>
        <v>59.812200000000004</v>
      </c>
      <c r="AB60" s="171">
        <f t="shared" si="7"/>
        <v>4.8480184686417855</v>
      </c>
      <c r="AC60" s="171">
        <v>67</v>
      </c>
      <c r="AD60" s="163">
        <v>30</v>
      </c>
      <c r="AE60" s="171">
        <f t="shared" si="49"/>
        <v>370.12358999999998</v>
      </c>
      <c r="AF60" s="190"/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350</v>
      </c>
      <c r="K61" s="163"/>
      <c r="L61" s="163">
        <v>412</v>
      </c>
      <c r="M61" s="163"/>
      <c r="N61" s="163">
        <v>8.1999999999999993</v>
      </c>
      <c r="O61" s="163"/>
      <c r="P61" s="182">
        <v>21.62</v>
      </c>
      <c r="Q61" s="171">
        <f t="shared" si="25"/>
        <v>112</v>
      </c>
      <c r="R61" s="170">
        <v>20.445</v>
      </c>
      <c r="S61" s="168">
        <v>24.154</v>
      </c>
      <c r="T61" s="171">
        <v>1550</v>
      </c>
      <c r="U61" s="171">
        <f>T61/R61</f>
        <v>75.813157251161655</v>
      </c>
      <c r="V61" s="169">
        <f t="shared" si="10"/>
        <v>15.35563467748613</v>
      </c>
      <c r="W61" s="170">
        <v>0.3</v>
      </c>
      <c r="X61" s="171">
        <f t="shared" si="42"/>
        <v>0.21566071428571429</v>
      </c>
      <c r="Y61" s="171">
        <f t="shared" si="50"/>
        <v>19.410482999999999</v>
      </c>
      <c r="Z61" s="171">
        <f t="shared" si="51"/>
        <v>22.931807599999999</v>
      </c>
      <c r="AA61" s="171">
        <f t="shared" si="52"/>
        <v>1471.57</v>
      </c>
      <c r="AB61" s="171">
        <f t="shared" si="7"/>
        <v>75.813157251161655</v>
      </c>
      <c r="AC61" s="171">
        <f t="shared" si="3"/>
        <v>15.35563467748613</v>
      </c>
      <c r="AD61" s="163">
        <v>30</v>
      </c>
      <c r="AE61" s="171">
        <f t="shared" si="49"/>
        <v>582.31448999999998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432</v>
      </c>
      <c r="M62" s="163"/>
      <c r="N62" s="163">
        <v>8</v>
      </c>
      <c r="O62" s="163"/>
      <c r="P62" s="182">
        <v>19.559999999999999</v>
      </c>
      <c r="Q62" s="171">
        <f t="shared" si="25"/>
        <v>34.1</v>
      </c>
      <c r="R62" s="170">
        <v>13.315</v>
      </c>
      <c r="S62" s="168">
        <v>16.245000000000001</v>
      </c>
      <c r="T62" s="171">
        <v>533</v>
      </c>
      <c r="U62" s="171">
        <f>T62/R62</f>
        <v>40.030041306796846</v>
      </c>
      <c r="V62" s="169">
        <f t="shared" si="10"/>
        <v>18.036318867343805</v>
      </c>
      <c r="W62" s="170">
        <v>0.3</v>
      </c>
      <c r="X62" s="171">
        <f t="shared" si="42"/>
        <v>0.47639296187683283</v>
      </c>
      <c r="Y62" s="171">
        <f t="shared" si="50"/>
        <v>12.641261</v>
      </c>
      <c r="Z62" s="171">
        <f t="shared" si="51"/>
        <v>15.423003000000001</v>
      </c>
      <c r="AA62" s="171">
        <f t="shared" si="52"/>
        <v>506.03020000000004</v>
      </c>
      <c r="AB62" s="171">
        <f t="shared" si="7"/>
        <v>40.030041306796846</v>
      </c>
      <c r="AC62" s="171">
        <f t="shared" si="3"/>
        <v>18.036318867343805</v>
      </c>
      <c r="AD62" s="163">
        <v>30</v>
      </c>
      <c r="AE62" s="171">
        <f t="shared" si="49"/>
        <v>379.23783000000003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437</v>
      </c>
      <c r="M63" s="163"/>
      <c r="N63" s="163">
        <v>7.9</v>
      </c>
      <c r="O63" s="163"/>
      <c r="P63" s="182">
        <v>20.440000000000001</v>
      </c>
      <c r="Q63" s="171">
        <f t="shared" si="25"/>
        <v>25.3</v>
      </c>
      <c r="R63" s="170">
        <v>6.6669999999999998</v>
      </c>
      <c r="S63" s="168">
        <v>10.271000000000001</v>
      </c>
      <c r="T63" s="171">
        <v>118</v>
      </c>
      <c r="U63" s="171">
        <f>T63/R63</f>
        <v>17.699115044247787</v>
      </c>
      <c r="V63" s="169">
        <f t="shared" si="10"/>
        <v>35.089085775484378</v>
      </c>
      <c r="W63" s="170">
        <v>0.3</v>
      </c>
      <c r="X63" s="171">
        <f t="shared" si="42"/>
        <v>0.40596837944664033</v>
      </c>
      <c r="Y63" s="171">
        <f t="shared" si="50"/>
        <v>6.3296498000000003</v>
      </c>
      <c r="Z63" s="171">
        <f t="shared" si="51"/>
        <v>9.7512874000000007</v>
      </c>
      <c r="AA63" s="171">
        <f t="shared" si="52"/>
        <v>112.0292</v>
      </c>
      <c r="AB63" s="171">
        <f t="shared" si="7"/>
        <v>17.699115044247787</v>
      </c>
      <c r="AC63" s="171">
        <f t="shared" si="3"/>
        <v>35.089085775484378</v>
      </c>
      <c r="AD63" s="163">
        <v>30</v>
      </c>
      <c r="AE63" s="171">
        <f>Y63*AD63</f>
        <v>189.88949400000001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450</v>
      </c>
      <c r="M64" s="163"/>
      <c r="N64" s="163">
        <v>7.3</v>
      </c>
      <c r="O64" s="163"/>
      <c r="P64" s="182">
        <v>17.63</v>
      </c>
      <c r="Q64" s="171">
        <f t="shared" si="25"/>
        <v>91.2</v>
      </c>
      <c r="R64" s="170">
        <v>12.233000000000001</v>
      </c>
      <c r="S64" s="168">
        <v>14.504</v>
      </c>
      <c r="T64" s="171">
        <v>400</v>
      </c>
      <c r="U64" s="171">
        <f t="shared" si="9"/>
        <v>32.698438649554483</v>
      </c>
      <c r="V64" s="169">
        <f t="shared" si="10"/>
        <v>15.65774958632101</v>
      </c>
      <c r="W64" s="170">
        <v>0.6</v>
      </c>
      <c r="X64" s="171">
        <f t="shared" si="42"/>
        <v>0.15903508771929822</v>
      </c>
      <c r="Y64" s="171">
        <f t="shared" si="50"/>
        <v>11.614010200000001</v>
      </c>
      <c r="Z64" s="171">
        <f t="shared" si="51"/>
        <v>13.7700976</v>
      </c>
      <c r="AA64" s="171">
        <f t="shared" si="52"/>
        <v>379.76</v>
      </c>
      <c r="AB64" s="171">
        <f t="shared" si="7"/>
        <v>32.698438649554483</v>
      </c>
      <c r="AC64" s="171">
        <f t="shared" si="3"/>
        <v>15.65774958632101</v>
      </c>
      <c r="AD64" s="163">
        <v>30</v>
      </c>
      <c r="AE64" s="171">
        <f t="shared" si="49"/>
        <v>348.42030600000004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49</v>
      </c>
      <c r="I65" s="158">
        <v>534.24</v>
      </c>
      <c r="J65" s="163">
        <v>325</v>
      </c>
      <c r="K65" s="163"/>
      <c r="L65" s="163">
        <v>400</v>
      </c>
      <c r="M65" s="163"/>
      <c r="N65" s="163">
        <v>8.6</v>
      </c>
      <c r="O65" s="163"/>
      <c r="P65" s="182">
        <v>22.7</v>
      </c>
      <c r="Q65" s="171">
        <v>104</v>
      </c>
      <c r="R65" s="170">
        <v>30.126000000000001</v>
      </c>
      <c r="S65" s="168">
        <v>43.076000000000001</v>
      </c>
      <c r="T65" s="171">
        <v>611</v>
      </c>
      <c r="U65" s="171">
        <v>20.281484432052046</v>
      </c>
      <c r="V65" s="169">
        <v>30.063144210233073</v>
      </c>
      <c r="W65" s="170">
        <v>0.7</v>
      </c>
      <c r="X65" s="171">
        <f t="shared" si="42"/>
        <v>0.41419230769230769</v>
      </c>
      <c r="Y65" s="171">
        <v>28.6</v>
      </c>
      <c r="Z65" s="171">
        <v>40.880000000000003</v>
      </c>
      <c r="AA65" s="171">
        <v>579.79999999999995</v>
      </c>
      <c r="AB65" s="171">
        <v>20.28</v>
      </c>
      <c r="AC65" s="171">
        <v>30</v>
      </c>
      <c r="AD65" s="322">
        <v>20</v>
      </c>
      <c r="AE65" s="171">
        <f t="shared" si="49"/>
        <v>572</v>
      </c>
      <c r="AF65" s="321" t="s">
        <v>280</v>
      </c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168</v>
      </c>
      <c r="I66" s="158">
        <v>509.7</v>
      </c>
      <c r="J66" s="163">
        <v>225</v>
      </c>
      <c r="K66" s="163"/>
      <c r="L66" s="163">
        <v>168</v>
      </c>
      <c r="M66" s="163"/>
      <c r="N66" s="163">
        <v>8.6999999999999993</v>
      </c>
      <c r="O66" s="163"/>
      <c r="P66" s="182">
        <v>39.869999999999997</v>
      </c>
      <c r="Q66" s="171">
        <v>90</v>
      </c>
      <c r="R66" s="170">
        <v>20.151</v>
      </c>
      <c r="S66" s="168">
        <v>23.48</v>
      </c>
      <c r="T66" s="171">
        <v>539</v>
      </c>
      <c r="U66" s="171">
        <v>26.748052205845863</v>
      </c>
      <c r="V66" s="169">
        <v>14.178023850085181</v>
      </c>
      <c r="W66" s="170">
        <v>0.3</v>
      </c>
      <c r="X66" s="171">
        <f t="shared" si="42"/>
        <v>0.26088888888888889</v>
      </c>
      <c r="Y66" s="171">
        <v>18.3</v>
      </c>
      <c r="Z66" s="171">
        <v>21.37</v>
      </c>
      <c r="AA66" s="171">
        <v>490.49</v>
      </c>
      <c r="AB66" s="171">
        <v>26.75</v>
      </c>
      <c r="AC66" s="171">
        <v>14.18</v>
      </c>
      <c r="AD66" s="163">
        <v>15</v>
      </c>
      <c r="AE66" s="171">
        <f t="shared" si="49"/>
        <v>274.5</v>
      </c>
      <c r="AF66" s="321" t="s">
        <v>280</v>
      </c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>
        <v>150</v>
      </c>
      <c r="K67" s="163"/>
      <c r="L67" s="163">
        <v>356</v>
      </c>
      <c r="M67" s="163"/>
      <c r="N67" s="163">
        <v>9.8000000000000007</v>
      </c>
      <c r="O67" s="163"/>
      <c r="P67" s="182">
        <v>26.35</v>
      </c>
      <c r="Q67" s="171">
        <f t="shared" si="25"/>
        <v>48</v>
      </c>
      <c r="R67" s="170">
        <v>18.173999999999999</v>
      </c>
      <c r="S67" s="168">
        <v>20.753</v>
      </c>
      <c r="T67" s="171">
        <v>1034</v>
      </c>
      <c r="U67" s="171">
        <f t="shared" si="9"/>
        <v>56.894464619786511</v>
      </c>
      <c r="V67" s="169">
        <f t="shared" si="10"/>
        <v>12.42711897075122</v>
      </c>
      <c r="W67" s="170">
        <v>0.4</v>
      </c>
      <c r="X67" s="171">
        <f t="shared" si="42"/>
        <v>0.43235416666666665</v>
      </c>
      <c r="Y67" s="171">
        <f t="shared" ref="Y67" si="53">R67*0.9494</f>
        <v>17.254395599999999</v>
      </c>
      <c r="Z67" s="171">
        <f t="shared" ref="Z67" si="54">S67*0.9494</f>
        <v>19.7028982</v>
      </c>
      <c r="AA67" s="171">
        <f t="shared" ref="AA67" si="55">T67*0.9494</f>
        <v>981.67960000000005</v>
      </c>
      <c r="AB67" s="171">
        <f t="shared" si="7"/>
        <v>56.894464619786511</v>
      </c>
      <c r="AC67" s="171">
        <f t="shared" si="3"/>
        <v>12.42711897075122</v>
      </c>
      <c r="AD67" s="163">
        <v>30</v>
      </c>
      <c r="AE67" s="171">
        <f t="shared" si="49"/>
        <v>517.63186799999994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453</v>
      </c>
      <c r="M68" s="163"/>
      <c r="N68" s="163">
        <v>9.1</v>
      </c>
      <c r="O68" s="163"/>
      <c r="P68" s="182">
        <v>18.690000000000001</v>
      </c>
      <c r="Q68" s="171">
        <f t="shared" si="25"/>
        <v>104</v>
      </c>
      <c r="R68" s="170">
        <v>13.577999999999999</v>
      </c>
      <c r="S68" s="168">
        <v>15.913</v>
      </c>
      <c r="T68" s="171">
        <v>637</v>
      </c>
      <c r="U68" s="171">
        <f t="shared" si="9"/>
        <v>46.914125791721908</v>
      </c>
      <c r="V68" s="169">
        <f t="shared" si="10"/>
        <v>14.673537359391698</v>
      </c>
      <c r="W68" s="170">
        <v>0.3</v>
      </c>
      <c r="X68" s="171">
        <f t="shared" si="42"/>
        <v>0.15300961538461538</v>
      </c>
      <c r="Y68" s="171">
        <f t="shared" ref="Y68:Y73" si="56">R68*0.9494</f>
        <v>12.8909532</v>
      </c>
      <c r="Z68" s="171">
        <f t="shared" ref="Z68:Z73" si="57">S68*0.9494</f>
        <v>15.1078022</v>
      </c>
      <c r="AA68" s="171">
        <f t="shared" ref="AA68:AA73" si="58">T68*0.9494</f>
        <v>604.76779999999997</v>
      </c>
      <c r="AB68" s="171">
        <f t="shared" si="7"/>
        <v>46.914125791721908</v>
      </c>
      <c r="AC68" s="171">
        <f t="shared" si="3"/>
        <v>14.673537359391698</v>
      </c>
      <c r="AD68" s="163">
        <v>30</v>
      </c>
      <c r="AE68" s="171">
        <f t="shared" si="49"/>
        <v>386.72859599999998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>
        <v>85</v>
      </c>
      <c r="K69" s="163"/>
      <c r="L69" s="163">
        <v>250</v>
      </c>
      <c r="M69" s="163"/>
      <c r="N69" s="163">
        <v>10.3</v>
      </c>
      <c r="O69" s="163"/>
      <c r="P69" s="182">
        <v>42.23</v>
      </c>
      <c r="Q69" s="171">
        <f t="shared" si="25"/>
        <v>10.199999999999999</v>
      </c>
      <c r="R69" s="170">
        <v>1.954</v>
      </c>
      <c r="S69" s="168">
        <v>6.3550000000000004</v>
      </c>
      <c r="T69" s="171">
        <v>10</v>
      </c>
      <c r="U69" s="171">
        <f t="shared" si="9"/>
        <v>5.1177072671443193</v>
      </c>
      <c r="V69" s="169">
        <f t="shared" si="10"/>
        <v>69.252557041699461</v>
      </c>
      <c r="W69" s="170">
        <v>0.7</v>
      </c>
      <c r="X69" s="171">
        <f t="shared" si="42"/>
        <v>0.62303921568627463</v>
      </c>
      <c r="Y69" s="171">
        <f t="shared" si="56"/>
        <v>1.8551276000000001</v>
      </c>
      <c r="Z69" s="171">
        <f t="shared" si="57"/>
        <v>6.0334370000000002</v>
      </c>
      <c r="AA69" s="171">
        <f t="shared" si="58"/>
        <v>9.4939999999999998</v>
      </c>
      <c r="AB69" s="171">
        <f t="shared" si="7"/>
        <v>5.1177072671443193</v>
      </c>
      <c r="AC69" s="171">
        <f t="shared" si="3"/>
        <v>69.252557041699461</v>
      </c>
      <c r="AD69" s="163">
        <v>30</v>
      </c>
      <c r="AE69" s="171">
        <f t="shared" si="49"/>
        <v>55.653828000000004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90</v>
      </c>
      <c r="K70" s="163"/>
      <c r="L70" s="163">
        <v>436</v>
      </c>
      <c r="M70" s="163"/>
      <c r="N70" s="163">
        <v>2.2999999999999998</v>
      </c>
      <c r="O70" s="163"/>
      <c r="P70" s="182">
        <v>15.26</v>
      </c>
      <c r="Q70" s="171">
        <f t="shared" si="25"/>
        <v>19.8</v>
      </c>
      <c r="R70" s="170">
        <v>4.5609999999999999</v>
      </c>
      <c r="S70" s="168">
        <v>5.4020000000000001</v>
      </c>
      <c r="T70" s="171">
        <v>31</v>
      </c>
      <c r="U70" s="171">
        <f t="shared" si="9"/>
        <v>6.7967550975663231</v>
      </c>
      <c r="V70" s="169">
        <f t="shared" si="10"/>
        <v>15.568308034061463</v>
      </c>
      <c r="W70" s="170">
        <v>0.5</v>
      </c>
      <c r="X70" s="171">
        <f t="shared" si="42"/>
        <v>0.27282828282828281</v>
      </c>
      <c r="Y70" s="171">
        <f t="shared" si="56"/>
        <v>4.3302133999999999</v>
      </c>
      <c r="Z70" s="171">
        <f t="shared" si="57"/>
        <v>5.1286588000000002</v>
      </c>
      <c r="AA70" s="171">
        <f t="shared" si="58"/>
        <v>29.4314</v>
      </c>
      <c r="AB70" s="171">
        <f t="shared" si="7"/>
        <v>6.7967550975663231</v>
      </c>
      <c r="AC70" s="171">
        <f t="shared" si="3"/>
        <v>15.568308034061463</v>
      </c>
      <c r="AD70" s="163">
        <v>30</v>
      </c>
      <c r="AE70" s="171">
        <f t="shared" si="49"/>
        <v>129.90640199999999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100</v>
      </c>
      <c r="K71" s="163"/>
      <c r="L71" s="163">
        <v>468</v>
      </c>
      <c r="M71" s="163"/>
      <c r="N71" s="163">
        <v>1.6</v>
      </c>
      <c r="O71" s="163"/>
      <c r="P71" s="182">
        <v>11.59</v>
      </c>
      <c r="Q71" s="171">
        <f t="shared" si="25"/>
        <v>13</v>
      </c>
      <c r="R71" s="170">
        <v>3.71</v>
      </c>
      <c r="S71" s="168">
        <v>4.2380000000000004</v>
      </c>
      <c r="T71" s="171">
        <v>15</v>
      </c>
      <c r="U71" s="171">
        <f t="shared" si="9"/>
        <v>4.0431266846361185</v>
      </c>
      <c r="V71" s="169">
        <f t="shared" si="10"/>
        <v>12.458706937234554</v>
      </c>
      <c r="W71" s="170">
        <v>0.4</v>
      </c>
      <c r="X71" s="171">
        <f t="shared" si="42"/>
        <v>0.32600000000000001</v>
      </c>
      <c r="Y71" s="171">
        <f t="shared" si="56"/>
        <v>3.5222739999999999</v>
      </c>
      <c r="Z71" s="171">
        <f t="shared" si="57"/>
        <v>4.0235572000000008</v>
      </c>
      <c r="AA71" s="171">
        <f t="shared" si="58"/>
        <v>14.241</v>
      </c>
      <c r="AB71" s="171">
        <f t="shared" si="7"/>
        <v>4.0431266846361185</v>
      </c>
      <c r="AC71" s="171">
        <f t="shared" si="3"/>
        <v>12.458706937234554</v>
      </c>
      <c r="AD71" s="163">
        <v>30</v>
      </c>
      <c r="AE71" s="171">
        <f t="shared" si="49"/>
        <v>105.66821999999999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403</v>
      </c>
      <c r="M72" s="163"/>
      <c r="N72" s="163">
        <v>8.1</v>
      </c>
      <c r="O72" s="163"/>
      <c r="P72" s="160">
        <v>24.94</v>
      </c>
      <c r="Q72" s="171">
        <f>LEFT(H72,(FIND("K",H72,1)-1))*J72/100</f>
        <v>9</v>
      </c>
      <c r="R72" s="170">
        <v>3.78</v>
      </c>
      <c r="S72" s="168">
        <v>6.5090000000000003</v>
      </c>
      <c r="T72" s="171">
        <v>6</v>
      </c>
      <c r="U72" s="171">
        <f t="shared" si="9"/>
        <v>1.5873015873015874</v>
      </c>
      <c r="V72" s="169">
        <f t="shared" si="10"/>
        <v>41.926563220156709</v>
      </c>
      <c r="W72" s="170">
        <v>0.5</v>
      </c>
      <c r="X72" s="171">
        <f t="shared" si="42"/>
        <v>0.72322222222222221</v>
      </c>
      <c r="Y72" s="171">
        <f t="shared" si="56"/>
        <v>3.5887319999999998</v>
      </c>
      <c r="Z72" s="171">
        <f t="shared" si="57"/>
        <v>6.1796446000000005</v>
      </c>
      <c r="AA72" s="171">
        <f t="shared" si="58"/>
        <v>5.6964000000000006</v>
      </c>
      <c r="AB72" s="171">
        <f t="shared" si="7"/>
        <v>1.5873015873015874</v>
      </c>
      <c r="AC72" s="171">
        <f t="shared" si="3"/>
        <v>41.926563220156709</v>
      </c>
      <c r="AD72" s="163">
        <v>30</v>
      </c>
      <c r="AE72" s="171">
        <f>Y72*AD72</f>
        <v>107.66195999999999</v>
      </c>
      <c r="AF72" s="179"/>
    </row>
    <row r="73" spans="1:32" ht="15.75" customHeight="1" x14ac:dyDescent="0.2">
      <c r="A73" s="184">
        <v>60</v>
      </c>
      <c r="B73" s="219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250</v>
      </c>
      <c r="M73" s="158"/>
      <c r="N73" s="163">
        <v>6.9</v>
      </c>
      <c r="O73" s="158"/>
      <c r="P73" s="284">
        <v>39.229999999999997</v>
      </c>
      <c r="Q73" s="174">
        <f>LEFT(H73,(FIND("K",H73,1)-1))*J73/100</f>
        <v>13</v>
      </c>
      <c r="R73" s="170">
        <v>1.8440000000000001</v>
      </c>
      <c r="S73" s="168">
        <v>3.3180000000000001</v>
      </c>
      <c r="T73" s="174">
        <v>0</v>
      </c>
      <c r="U73" s="171">
        <f t="shared" si="9"/>
        <v>0</v>
      </c>
      <c r="V73" s="169">
        <f t="shared" si="10"/>
        <v>44.424352019288726</v>
      </c>
      <c r="W73" s="170">
        <v>0.6</v>
      </c>
      <c r="X73" s="171">
        <f t="shared" si="42"/>
        <v>0.25523076923076926</v>
      </c>
      <c r="Y73" s="171">
        <f t="shared" si="56"/>
        <v>1.7506936000000002</v>
      </c>
      <c r="Z73" s="171">
        <f t="shared" si="57"/>
        <v>3.1501092000000002</v>
      </c>
      <c r="AA73" s="171">
        <f t="shared" si="58"/>
        <v>0</v>
      </c>
      <c r="AB73" s="171">
        <f t="shared" si="7"/>
        <v>0</v>
      </c>
      <c r="AC73" s="171">
        <f t="shared" si="3"/>
        <v>44.424352019288726</v>
      </c>
      <c r="AD73" s="163">
        <v>30</v>
      </c>
      <c r="AE73" s="171">
        <f>Y73*AD73</f>
        <v>52.520808000000002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387.44699999999995</v>
      </c>
      <c r="S74" s="209">
        <f>SUM(S14:S73)</f>
        <v>596.9580000000002</v>
      </c>
      <c r="T74" s="209">
        <f>SUM(T14:T73)</f>
        <v>20625</v>
      </c>
      <c r="U74" s="209">
        <f>T74/R74</f>
        <v>53.233087364207243</v>
      </c>
      <c r="V74" s="209"/>
      <c r="W74" s="209"/>
      <c r="X74" s="209"/>
      <c r="Y74" s="209">
        <f>SUM(Y14:Y73)</f>
        <v>367.21096780000005</v>
      </c>
      <c r="Z74" s="209">
        <f>SUM(Z14:Z73)</f>
        <v>567.63946310000006</v>
      </c>
      <c r="AA74" s="209">
        <f>SUM(AA14:AA73)</f>
        <v>19576.640300000003</v>
      </c>
      <c r="AB74" s="209">
        <f>AA74/Y74</f>
        <v>53.311698224281635</v>
      </c>
      <c r="AC74" s="209"/>
      <c r="AD74" s="209"/>
      <c r="AE74" s="210">
        <f>SUM(AE14:AE73)</f>
        <v>10439.383148000001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313"/>
      <c r="H75" s="312"/>
      <c r="I75" s="312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315"/>
      <c r="V75" s="313"/>
      <c r="W75" s="313"/>
      <c r="X75" s="157"/>
      <c r="Y75" s="158"/>
      <c r="Z75" s="158"/>
      <c r="AA75" s="158"/>
      <c r="AB75" s="314"/>
      <c r="AC75" s="313"/>
      <c r="AD75" s="158"/>
      <c r="AE75" s="158"/>
      <c r="AF75" s="312"/>
    </row>
    <row r="76" spans="1:32" ht="15.75" customHeight="1" x14ac:dyDescent="0.2">
      <c r="A76" s="216">
        <v>61</v>
      </c>
      <c r="B76" s="163" t="s">
        <v>131</v>
      </c>
      <c r="C76" s="216" t="s">
        <v>177</v>
      </c>
      <c r="D76" s="165">
        <v>389.74</v>
      </c>
      <c r="E76" s="32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160</v>
      </c>
      <c r="K76" s="163"/>
      <c r="L76" s="163">
        <v>0</v>
      </c>
      <c r="M76" s="163"/>
      <c r="N76" s="163">
        <v>0</v>
      </c>
      <c r="O76" s="163"/>
      <c r="P76" s="182">
        <v>17.57</v>
      </c>
      <c r="Q76" s="174"/>
      <c r="R76" s="170">
        <v>1.4590000000000001</v>
      </c>
      <c r="S76" s="171">
        <v>1.784</v>
      </c>
      <c r="T76" s="171">
        <v>0</v>
      </c>
      <c r="U76" s="171">
        <f>T76/R76</f>
        <v>0</v>
      </c>
      <c r="V76" s="169">
        <f t="shared" ref="V76:V79" si="59">(S76-R76)/S76*100</f>
        <v>18.217488789237667</v>
      </c>
      <c r="W76" s="170">
        <v>0.6</v>
      </c>
      <c r="X76" s="171"/>
      <c r="Y76" s="171">
        <f>R76*0.9494</f>
        <v>1.3851746</v>
      </c>
      <c r="Z76" s="171">
        <f t="shared" ref="Z76:AA76" si="60">S76*0.9494</f>
        <v>1.6937296000000002</v>
      </c>
      <c r="AA76" s="171">
        <f t="shared" si="60"/>
        <v>0</v>
      </c>
      <c r="AB76" s="171">
        <f t="shared" ref="AB76:AC79" si="61">U76</f>
        <v>0</v>
      </c>
      <c r="AC76" s="171">
        <f t="shared" si="61"/>
        <v>18.217488789237667</v>
      </c>
      <c r="AD76" s="163">
        <v>30</v>
      </c>
      <c r="AE76" s="171">
        <f>Y76*AD76</f>
        <v>41.555238000000003</v>
      </c>
      <c r="AF76" s="179"/>
    </row>
    <row r="77" spans="1:32" ht="15.75" customHeight="1" x14ac:dyDescent="0.2">
      <c r="A77" s="216">
        <v>62</v>
      </c>
      <c r="B77" s="163" t="s">
        <v>132</v>
      </c>
      <c r="C77" s="216" t="s">
        <v>177</v>
      </c>
      <c r="D77" s="163">
        <v>387.72</v>
      </c>
      <c r="E77" s="323" t="s">
        <v>135</v>
      </c>
      <c r="F77" s="163">
        <v>177.8</v>
      </c>
      <c r="G77" s="163" t="s">
        <v>28</v>
      </c>
      <c r="H77" s="165" t="s">
        <v>58</v>
      </c>
      <c r="I77" s="158">
        <v>134.44999999999999</v>
      </c>
      <c r="J77" s="163">
        <v>85</v>
      </c>
      <c r="K77" s="163"/>
      <c r="L77" s="163">
        <v>18</v>
      </c>
      <c r="M77" s="163"/>
      <c r="N77" s="163">
        <v>0.2</v>
      </c>
      <c r="O77" s="163"/>
      <c r="P77" s="182"/>
      <c r="Q77" s="171"/>
      <c r="R77" s="170">
        <v>2.1</v>
      </c>
      <c r="S77" s="171">
        <v>2.1</v>
      </c>
      <c r="T77" s="171">
        <v>0</v>
      </c>
      <c r="U77" s="171">
        <v>0</v>
      </c>
      <c r="V77" s="169">
        <v>19.3</v>
      </c>
      <c r="W77" s="170">
        <v>0</v>
      </c>
      <c r="X77" s="171"/>
      <c r="Y77" s="171">
        <f t="shared" ref="Y77:Y79" si="62">R77*0.9494</f>
        <v>1.9937400000000001</v>
      </c>
      <c r="Z77" s="171">
        <f t="shared" ref="Z77:Z79" si="63">S77*0.9494</f>
        <v>1.9937400000000001</v>
      </c>
      <c r="AA77" s="171">
        <f t="shared" ref="AA77:AA79" si="64">T77*0.9494</f>
        <v>0</v>
      </c>
      <c r="AB77" s="171">
        <v>0</v>
      </c>
      <c r="AC77" s="171">
        <f>V77</f>
        <v>19.3</v>
      </c>
      <c r="AD77" s="163">
        <v>30</v>
      </c>
      <c r="AE77" s="171">
        <f>Y77*AD77</f>
        <v>59.812200000000004</v>
      </c>
      <c r="AF77" s="190"/>
    </row>
    <row r="78" spans="1:32" ht="15.75" customHeight="1" x14ac:dyDescent="0.2">
      <c r="A78" s="285">
        <v>63</v>
      </c>
      <c r="B78" s="163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>
        <v>139.04</v>
      </c>
      <c r="J78" s="163">
        <v>85</v>
      </c>
      <c r="K78" s="163"/>
      <c r="L78" s="163">
        <v>0</v>
      </c>
      <c r="M78" s="163"/>
      <c r="N78" s="163">
        <v>0.3</v>
      </c>
      <c r="O78" s="163"/>
      <c r="P78" s="182"/>
      <c r="Q78" s="171"/>
      <c r="R78" s="170">
        <v>0.86</v>
      </c>
      <c r="S78" s="171">
        <v>1.4</v>
      </c>
      <c r="T78" s="171">
        <v>0</v>
      </c>
      <c r="U78" s="171">
        <v>0</v>
      </c>
      <c r="V78" s="169">
        <v>48</v>
      </c>
      <c r="W78" s="170">
        <v>0</v>
      </c>
      <c r="X78" s="171"/>
      <c r="Y78" s="171">
        <f t="shared" si="62"/>
        <v>0.81648399999999999</v>
      </c>
      <c r="Z78" s="171">
        <f t="shared" si="63"/>
        <v>1.3291599999999999</v>
      </c>
      <c r="AA78" s="171">
        <f t="shared" si="64"/>
        <v>0</v>
      </c>
      <c r="AB78" s="171">
        <v>0</v>
      </c>
      <c r="AC78" s="171">
        <f>V78</f>
        <v>48</v>
      </c>
      <c r="AD78" s="163">
        <v>30</v>
      </c>
      <c r="AE78" s="171">
        <f>Y78*AD78</f>
        <v>24.494520000000001</v>
      </c>
      <c r="AF78" s="320"/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200</v>
      </c>
      <c r="K79" s="175"/>
      <c r="L79" s="163">
        <v>42</v>
      </c>
      <c r="M79" s="175"/>
      <c r="N79" s="163">
        <v>0.1</v>
      </c>
      <c r="O79" s="175"/>
      <c r="P79" s="182">
        <v>13.48</v>
      </c>
      <c r="Q79" s="171"/>
      <c r="R79" s="170">
        <v>4.3120000000000003</v>
      </c>
      <c r="S79" s="171">
        <v>4.32</v>
      </c>
      <c r="T79" s="171">
        <v>0</v>
      </c>
      <c r="U79" s="171">
        <f>T79/R79</f>
        <v>0</v>
      </c>
      <c r="V79" s="169">
        <f t="shared" si="59"/>
        <v>0.18518518518518534</v>
      </c>
      <c r="W79" s="171">
        <v>0.6</v>
      </c>
      <c r="X79" s="171"/>
      <c r="Y79" s="171">
        <f t="shared" si="62"/>
        <v>4.0938128000000003</v>
      </c>
      <c r="Z79" s="171">
        <f t="shared" si="63"/>
        <v>4.1014080000000002</v>
      </c>
      <c r="AA79" s="171">
        <f t="shared" si="64"/>
        <v>0</v>
      </c>
      <c r="AB79" s="171">
        <f t="shared" si="61"/>
        <v>0</v>
      </c>
      <c r="AC79" s="171">
        <f t="shared" si="61"/>
        <v>0.18518518518518534</v>
      </c>
      <c r="AD79" s="163">
        <v>30</v>
      </c>
      <c r="AE79" s="171">
        <f>Y79*AD79</f>
        <v>122.814384</v>
      </c>
      <c r="AF79" s="177"/>
    </row>
    <row r="80" spans="1:32" ht="15.75" customHeight="1" x14ac:dyDescent="0.2">
      <c r="A80" s="163">
        <v>65</v>
      </c>
      <c r="B80" s="215" t="s">
        <v>57</v>
      </c>
      <c r="C80" s="215" t="s">
        <v>176</v>
      </c>
      <c r="D80" s="215">
        <v>681.52</v>
      </c>
      <c r="E80" s="164" t="s">
        <v>93</v>
      </c>
      <c r="F80" s="163">
        <v>177.8</v>
      </c>
      <c r="G80" s="163"/>
      <c r="H80" s="165"/>
      <c r="I80" s="171"/>
      <c r="J80" s="163"/>
      <c r="K80" s="175"/>
      <c r="L80" s="163"/>
      <c r="M80" s="175"/>
      <c r="N80" s="163"/>
      <c r="O80" s="175"/>
      <c r="P80" s="182"/>
      <c r="Q80" s="171"/>
      <c r="R80" s="170"/>
      <c r="S80" s="171"/>
      <c r="T80" s="171"/>
      <c r="U80" s="171"/>
      <c r="V80" s="169"/>
      <c r="W80" s="171"/>
      <c r="X80" s="171"/>
      <c r="Y80" s="171"/>
      <c r="Z80" s="171"/>
      <c r="AA80" s="171"/>
      <c r="AB80" s="171"/>
      <c r="AC80" s="171"/>
      <c r="AD80" s="163"/>
      <c r="AE80" s="171"/>
      <c r="AF80" s="172" t="s">
        <v>283</v>
      </c>
    </row>
    <row r="81" spans="1:32" ht="15.75" customHeight="1" x14ac:dyDescent="0.2">
      <c r="A81" s="163">
        <v>66</v>
      </c>
      <c r="B81" s="215" t="s">
        <v>188</v>
      </c>
      <c r="C81" s="215" t="s">
        <v>183</v>
      </c>
      <c r="D81" s="215">
        <v>408.86</v>
      </c>
      <c r="E81" s="164" t="s">
        <v>235</v>
      </c>
      <c r="F81" s="163">
        <v>177.8</v>
      </c>
      <c r="G81" s="163"/>
      <c r="H81" s="165"/>
      <c r="I81" s="171"/>
      <c r="J81" s="163"/>
      <c r="K81" s="175"/>
      <c r="L81" s="163"/>
      <c r="M81" s="175"/>
      <c r="N81" s="163"/>
      <c r="O81" s="175"/>
      <c r="P81" s="182"/>
      <c r="Q81" s="171"/>
      <c r="R81" s="170"/>
      <c r="S81" s="171"/>
      <c r="T81" s="171"/>
      <c r="U81" s="171"/>
      <c r="V81" s="169"/>
      <c r="W81" s="171"/>
      <c r="X81" s="171"/>
      <c r="Y81" s="171"/>
      <c r="Z81" s="171"/>
      <c r="AA81" s="171"/>
      <c r="AB81" s="171"/>
      <c r="AC81" s="171"/>
      <c r="AD81" s="163"/>
      <c r="AE81" s="171"/>
      <c r="AF81" s="172" t="s">
        <v>283</v>
      </c>
    </row>
    <row r="82" spans="1:32" ht="15.75" customHeight="1" x14ac:dyDescent="0.2">
      <c r="A82" s="163">
        <v>67</v>
      </c>
      <c r="B82" s="215" t="s">
        <v>184</v>
      </c>
      <c r="C82" s="215" t="s">
        <v>176</v>
      </c>
      <c r="D82" s="215">
        <v>422.78</v>
      </c>
      <c r="E82" s="164" t="s">
        <v>185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customHeight="1" x14ac:dyDescent="0.2">
      <c r="A83" s="163">
        <v>68</v>
      </c>
      <c r="B83" s="215" t="s">
        <v>186</v>
      </c>
      <c r="C83" s="215" t="s">
        <v>176</v>
      </c>
      <c r="D83" s="215">
        <v>387.56</v>
      </c>
      <c r="E83" s="164"/>
      <c r="F83" s="163">
        <v>177.8</v>
      </c>
      <c r="G83" s="163"/>
      <c r="H83" s="165"/>
      <c r="I83" s="171"/>
      <c r="J83" s="163"/>
      <c r="K83" s="175"/>
      <c r="L83" s="163"/>
      <c r="M83" s="175"/>
      <c r="N83" s="163"/>
      <c r="O83" s="175"/>
      <c r="P83" s="182"/>
      <c r="Q83" s="171"/>
      <c r="R83" s="170"/>
      <c r="S83" s="171"/>
      <c r="T83" s="171"/>
      <c r="U83" s="171"/>
      <c r="V83" s="169"/>
      <c r="W83" s="171"/>
      <c r="X83" s="171"/>
      <c r="Y83" s="171"/>
      <c r="Z83" s="171"/>
      <c r="AA83" s="171"/>
      <c r="AB83" s="171"/>
      <c r="AC83" s="171"/>
      <c r="AD83" s="163"/>
      <c r="AE83" s="171"/>
      <c r="AF83" s="172" t="s">
        <v>283</v>
      </c>
    </row>
    <row r="84" spans="1:32" ht="15.75" customHeight="1" x14ac:dyDescent="0.2">
      <c r="A84" s="306"/>
      <c r="B84" s="1834"/>
      <c r="C84" s="1834"/>
      <c r="D84" s="1834"/>
      <c r="E84" s="1835"/>
      <c r="F84" s="158"/>
      <c r="G84" s="313"/>
      <c r="H84" s="312"/>
      <c r="I84" s="312"/>
      <c r="J84" s="158"/>
      <c r="K84" s="158"/>
      <c r="L84" s="158"/>
      <c r="M84" s="158"/>
      <c r="N84" s="158"/>
      <c r="O84" s="158"/>
      <c r="P84" s="160"/>
      <c r="Q84" s="174"/>
      <c r="R84" s="209">
        <f>SUM(R76:R79)</f>
        <v>8.7310000000000016</v>
      </c>
      <c r="S84" s="209">
        <f>SUM(S76:S79)</f>
        <v>9.604000000000001</v>
      </c>
      <c r="T84" s="209">
        <f>SUM(T76:T79)</f>
        <v>0</v>
      </c>
      <c r="U84" s="209">
        <f>SUM(U76:U79)</f>
        <v>0</v>
      </c>
      <c r="V84" s="313"/>
      <c r="W84" s="313"/>
      <c r="X84" s="313"/>
      <c r="Y84" s="209">
        <f>SUM(Y76:Y79)</f>
        <v>8.2892113999999992</v>
      </c>
      <c r="Z84" s="209">
        <f>SUM(Z76:Z79)</f>
        <v>9.118037600000001</v>
      </c>
      <c r="AA84" s="209">
        <f>SUM(AA76:AA79)</f>
        <v>0</v>
      </c>
      <c r="AB84" s="209">
        <v>0</v>
      </c>
      <c r="AC84" s="313"/>
      <c r="AD84" s="158"/>
      <c r="AE84" s="209">
        <f>SUM(AE76:AE79)</f>
        <v>248.67634200000003</v>
      </c>
      <c r="AF84" s="218"/>
    </row>
    <row r="85" spans="1:32" ht="15.75" x14ac:dyDescent="0.2">
      <c r="A85" s="306"/>
      <c r="B85" s="1828" t="s">
        <v>275</v>
      </c>
      <c r="C85" s="1828"/>
      <c r="D85" s="1828"/>
      <c r="E85" s="1828"/>
      <c r="F85" s="1829"/>
      <c r="G85" s="313"/>
      <c r="H85" s="312"/>
      <c r="I85" s="312"/>
      <c r="J85" s="158"/>
      <c r="K85" s="158"/>
      <c r="L85" s="158"/>
      <c r="M85" s="158"/>
      <c r="N85" s="158"/>
      <c r="O85" s="158"/>
      <c r="P85" s="160"/>
      <c r="Q85" s="174"/>
      <c r="R85" s="209"/>
      <c r="S85" s="209"/>
      <c r="T85" s="209"/>
      <c r="U85" s="209"/>
      <c r="V85" s="313"/>
      <c r="W85" s="313"/>
      <c r="X85" s="313"/>
      <c r="Y85" s="209"/>
      <c r="Z85" s="209"/>
      <c r="AA85" s="209"/>
      <c r="AB85" s="209"/>
      <c r="AC85" s="313"/>
      <c r="AD85" s="158"/>
      <c r="AE85" s="209"/>
      <c r="AF85" s="218"/>
    </row>
    <row r="86" spans="1:32" ht="15.75" x14ac:dyDescent="0.2">
      <c r="A86" s="163">
        <v>69</v>
      </c>
      <c r="B86" s="219" t="s">
        <v>220</v>
      </c>
      <c r="C86" s="163" t="s">
        <v>46</v>
      </c>
      <c r="D86" s="165">
        <v>685.69</v>
      </c>
      <c r="E86" s="286" t="s">
        <v>222</v>
      </c>
      <c r="F86" s="163">
        <v>177.8</v>
      </c>
      <c r="G86" s="163" t="s">
        <v>28</v>
      </c>
      <c r="H86" s="165" t="s">
        <v>221</v>
      </c>
      <c r="I86" s="165">
        <v>570.09</v>
      </c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15"/>
      <c r="V86" s="313"/>
      <c r="W86" s="313"/>
      <c r="X86" s="313"/>
      <c r="Y86" s="221"/>
      <c r="Z86" s="222"/>
      <c r="AA86" s="312"/>
      <c r="AB86" s="315"/>
      <c r="AC86" s="158"/>
      <c r="AD86" s="163"/>
      <c r="AE86" s="171"/>
      <c r="AF86" s="172" t="s">
        <v>236</v>
      </c>
    </row>
    <row r="87" spans="1:32" ht="15.75" x14ac:dyDescent="0.2">
      <c r="A87" s="306"/>
      <c r="B87" s="1834"/>
      <c r="C87" s="1834"/>
      <c r="D87" s="1834"/>
      <c r="E87" s="1835"/>
      <c r="F87" s="175"/>
      <c r="G87" s="163"/>
      <c r="H87" s="165"/>
      <c r="I87" s="171"/>
      <c r="J87" s="163"/>
      <c r="K87" s="175"/>
      <c r="L87" s="163"/>
      <c r="M87" s="175"/>
      <c r="N87" s="182"/>
      <c r="O87" s="175"/>
      <c r="P87" s="224"/>
      <c r="Q87" s="209"/>
      <c r="R87" s="209"/>
      <c r="S87" s="209"/>
      <c r="T87" s="209"/>
      <c r="U87" s="209"/>
      <c r="V87" s="209"/>
      <c r="W87" s="209"/>
      <c r="X87" s="209"/>
      <c r="Y87" s="209"/>
      <c r="Z87" s="225"/>
      <c r="AA87" s="209"/>
      <c r="AB87" s="209"/>
      <c r="AC87" s="209"/>
      <c r="AD87" s="209"/>
      <c r="AE87" s="209"/>
      <c r="AF87" s="177"/>
    </row>
    <row r="88" spans="1:32" ht="15.75" x14ac:dyDescent="0.2">
      <c r="A88" s="306"/>
      <c r="B88" s="1843" t="s">
        <v>276</v>
      </c>
      <c r="C88" s="1839"/>
      <c r="D88" s="1839"/>
      <c r="E88" s="1839"/>
      <c r="F88" s="1839"/>
      <c r="G88" s="313"/>
      <c r="H88" s="312"/>
      <c r="I88" s="31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15"/>
      <c r="V88" s="313"/>
      <c r="W88" s="313"/>
      <c r="X88" s="313"/>
      <c r="Y88" s="158"/>
      <c r="Z88" s="158"/>
      <c r="AA88" s="158"/>
      <c r="AB88" s="314"/>
      <c r="AC88" s="313"/>
      <c r="AD88" s="158"/>
      <c r="AE88" s="158"/>
      <c r="AF88" s="312"/>
    </row>
    <row r="89" spans="1:32" ht="15.75" x14ac:dyDescent="0.2">
      <c r="A89" s="163">
        <v>70</v>
      </c>
      <c r="B89" s="226" t="s">
        <v>107</v>
      </c>
      <c r="C89" s="188" t="s">
        <v>109</v>
      </c>
      <c r="D89" s="311"/>
      <c r="E89" s="311"/>
      <c r="F89" s="158"/>
      <c r="G89" s="313"/>
      <c r="H89" s="312"/>
      <c r="I89" s="31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15"/>
      <c r="V89" s="313"/>
      <c r="W89" s="313"/>
      <c r="X89" s="313"/>
      <c r="Y89" s="312"/>
      <c r="Z89" s="312"/>
      <c r="AA89" s="158"/>
      <c r="AB89" s="314"/>
      <c r="AC89" s="313"/>
      <c r="AD89" s="228"/>
      <c r="AE89" s="158"/>
      <c r="AF89" s="229"/>
    </row>
    <row r="90" spans="1:32" ht="15.75" x14ac:dyDescent="0.2">
      <c r="A90" s="163">
        <v>71</v>
      </c>
      <c r="B90" s="226" t="s">
        <v>108</v>
      </c>
      <c r="C90" s="188" t="s">
        <v>109</v>
      </c>
      <c r="D90" s="311"/>
      <c r="E90" s="311"/>
      <c r="F90" s="158"/>
      <c r="G90" s="313"/>
      <c r="H90" s="312"/>
      <c r="I90" s="31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15"/>
      <c r="V90" s="313"/>
      <c r="W90" s="313"/>
      <c r="X90" s="313"/>
      <c r="Y90" s="312"/>
      <c r="Z90" s="312"/>
      <c r="AA90" s="158"/>
      <c r="AB90" s="314"/>
      <c r="AC90" s="313"/>
      <c r="AD90" s="228"/>
      <c r="AE90" s="158"/>
      <c r="AF90" s="229"/>
    </row>
    <row r="91" spans="1:32" ht="15.75" x14ac:dyDescent="0.2">
      <c r="A91" s="163">
        <v>72</v>
      </c>
      <c r="B91" s="226" t="s">
        <v>195</v>
      </c>
      <c r="C91" s="216" t="s">
        <v>193</v>
      </c>
      <c r="D91" s="311"/>
      <c r="E91" s="311"/>
      <c r="F91" s="158"/>
      <c r="G91" s="313"/>
      <c r="H91" s="312"/>
      <c r="I91" s="312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15"/>
      <c r="V91" s="313"/>
      <c r="W91" s="313"/>
      <c r="X91" s="313"/>
      <c r="Y91" s="312"/>
      <c r="Z91" s="312"/>
      <c r="AA91" s="158"/>
      <c r="AB91" s="314"/>
      <c r="AC91" s="313"/>
      <c r="AD91" s="228"/>
      <c r="AE91" s="158"/>
      <c r="AF91" s="229"/>
    </row>
    <row r="92" spans="1:32" ht="15.75" x14ac:dyDescent="0.2">
      <c r="A92" s="163">
        <v>73</v>
      </c>
      <c r="B92" s="226" t="s">
        <v>192</v>
      </c>
      <c r="C92" s="216" t="s">
        <v>193</v>
      </c>
      <c r="D92" s="311"/>
      <c r="E92" s="311"/>
      <c r="F92" s="158"/>
      <c r="G92" s="313"/>
      <c r="H92" s="312"/>
      <c r="I92" s="312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15"/>
      <c r="V92" s="313"/>
      <c r="W92" s="313"/>
      <c r="X92" s="313"/>
      <c r="Y92" s="312"/>
      <c r="Z92" s="312"/>
      <c r="AA92" s="158"/>
      <c r="AB92" s="314"/>
      <c r="AC92" s="313"/>
      <c r="AD92" s="228"/>
      <c r="AE92" s="158"/>
      <c r="AF92" s="229"/>
    </row>
    <row r="93" spans="1:32" ht="15.75" x14ac:dyDescent="0.2">
      <c r="A93" s="163"/>
      <c r="B93" s="1843" t="s">
        <v>278</v>
      </c>
      <c r="C93" s="1839"/>
      <c r="D93" s="1839"/>
      <c r="E93" s="1839"/>
      <c r="F93" s="1839"/>
      <c r="G93" s="313"/>
      <c r="H93" s="312"/>
      <c r="I93" s="312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15"/>
      <c r="V93" s="313"/>
      <c r="W93" s="313"/>
      <c r="X93" s="313"/>
      <c r="Y93" s="158"/>
      <c r="Z93" s="158"/>
      <c r="AA93" s="158"/>
      <c r="AB93" s="314"/>
      <c r="AC93" s="313"/>
      <c r="AD93" s="158"/>
      <c r="AE93" s="158"/>
      <c r="AF93" s="312"/>
    </row>
    <row r="94" spans="1:32" ht="15.75" x14ac:dyDescent="0.2">
      <c r="A94" s="163">
        <v>74</v>
      </c>
      <c r="B94" s="207" t="s">
        <v>189</v>
      </c>
      <c r="C94" s="163" t="s">
        <v>46</v>
      </c>
      <c r="D94" s="189">
        <v>673</v>
      </c>
      <c r="E94" s="189" t="s">
        <v>190</v>
      </c>
      <c r="F94" s="163">
        <v>177.8</v>
      </c>
      <c r="G94" s="163"/>
      <c r="H94" s="165"/>
      <c r="I94" s="158"/>
      <c r="J94" s="158"/>
      <c r="K94" s="158"/>
      <c r="L94" s="158"/>
      <c r="M94" s="158"/>
      <c r="N94" s="158"/>
      <c r="O94" s="158"/>
      <c r="P94" s="160"/>
      <c r="Q94" s="174"/>
      <c r="R94" s="158"/>
      <c r="S94" s="158"/>
      <c r="T94" s="158"/>
      <c r="U94" s="315"/>
      <c r="V94" s="313"/>
      <c r="W94" s="313"/>
      <c r="X94" s="313"/>
      <c r="Y94" s="230"/>
      <c r="Z94" s="231"/>
      <c r="AA94" s="312"/>
      <c r="AB94" s="314"/>
      <c r="AC94" s="158"/>
      <c r="AD94" s="163"/>
      <c r="AE94" s="171"/>
      <c r="AF94" s="179"/>
    </row>
    <row r="95" spans="1:32" ht="15.75" x14ac:dyDescent="0.25">
      <c r="A95" s="163">
        <v>75</v>
      </c>
      <c r="B95" s="164" t="s">
        <v>181</v>
      </c>
      <c r="C95" s="232" t="s">
        <v>183</v>
      </c>
      <c r="D95" s="165">
        <v>374.5</v>
      </c>
      <c r="E95" s="163" t="s">
        <v>182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76</v>
      </c>
      <c r="B96" s="164" t="s">
        <v>196</v>
      </c>
      <c r="C96" s="163" t="s">
        <v>46</v>
      </c>
      <c r="D96" s="165">
        <v>622.02</v>
      </c>
      <c r="E96" s="163" t="s">
        <v>197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ht="15.75" x14ac:dyDescent="0.2">
      <c r="A97" s="163">
        <v>77</v>
      </c>
      <c r="B97" s="164" t="s">
        <v>174</v>
      </c>
      <c r="C97" s="163" t="s">
        <v>46</v>
      </c>
      <c r="D97" s="165">
        <v>672</v>
      </c>
      <c r="E97" s="163" t="s">
        <v>175</v>
      </c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customHeight="1" x14ac:dyDescent="0.2">
      <c r="A98" s="163">
        <v>78</v>
      </c>
      <c r="B98" s="204" t="s">
        <v>103</v>
      </c>
      <c r="C98" s="163" t="s">
        <v>46</v>
      </c>
      <c r="D98" s="158">
        <v>582</v>
      </c>
      <c r="E98" s="158" t="s">
        <v>112</v>
      </c>
      <c r="F98" s="163">
        <v>177.8</v>
      </c>
      <c r="G98" s="163"/>
      <c r="H98" s="165"/>
      <c r="I98" s="158"/>
      <c r="J98" s="158"/>
      <c r="K98" s="159"/>
      <c r="L98" s="158"/>
      <c r="M98" s="159"/>
      <c r="N98" s="158"/>
      <c r="O98" s="158"/>
      <c r="P98" s="160"/>
      <c r="Q98" s="174"/>
      <c r="R98" s="158"/>
      <c r="S98" s="158"/>
      <c r="T98" s="158"/>
      <c r="U98" s="315"/>
      <c r="V98" s="313"/>
      <c r="W98" s="313"/>
      <c r="X98" s="157"/>
      <c r="Y98" s="234"/>
      <c r="Z98" s="158"/>
      <c r="AA98" s="158"/>
      <c r="AB98" s="315"/>
      <c r="AC98" s="158"/>
      <c r="AD98" s="235"/>
      <c r="AE98" s="174"/>
      <c r="AF98" s="179"/>
    </row>
    <row r="99" spans="1:32" ht="15.75" x14ac:dyDescent="0.2">
      <c r="A99" s="163"/>
      <c r="B99" s="1843" t="s">
        <v>279</v>
      </c>
      <c r="C99" s="1839"/>
      <c r="D99" s="1839"/>
      <c r="E99" s="1839"/>
      <c r="F99" s="1839"/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79</v>
      </c>
      <c r="B100" s="164" t="s">
        <v>148</v>
      </c>
      <c r="C100" s="163" t="s">
        <v>46</v>
      </c>
      <c r="D100" s="163">
        <v>650</v>
      </c>
      <c r="E100" s="163" t="s">
        <v>75</v>
      </c>
      <c r="F100" s="163">
        <v>177.8</v>
      </c>
      <c r="G100" s="163"/>
      <c r="H100" s="165"/>
      <c r="I100" s="159">
        <v>536.14</v>
      </c>
      <c r="J100" s="163"/>
      <c r="K100" s="163"/>
      <c r="L100" s="163"/>
      <c r="M100" s="163"/>
      <c r="N100" s="182"/>
      <c r="O100" s="163"/>
      <c r="P100" s="182"/>
      <c r="Q100" s="171"/>
      <c r="R100" s="170"/>
      <c r="S100" s="171"/>
      <c r="T100" s="171"/>
      <c r="U100" s="171"/>
      <c r="V100" s="170"/>
      <c r="W100" s="170"/>
      <c r="X100" s="171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.75" x14ac:dyDescent="0.2">
      <c r="A101" s="163">
        <v>80</v>
      </c>
      <c r="B101" s="164" t="s">
        <v>155</v>
      </c>
      <c r="C101" s="163" t="s">
        <v>46</v>
      </c>
      <c r="D101" s="163">
        <v>674.13</v>
      </c>
      <c r="E101" s="163" t="s">
        <v>83</v>
      </c>
      <c r="F101" s="163">
        <v>177.8</v>
      </c>
      <c r="G101" s="163"/>
      <c r="H101" s="165"/>
      <c r="I101" s="158">
        <v>527.75</v>
      </c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ht="15.75" x14ac:dyDescent="0.2">
      <c r="A102" s="163">
        <v>81</v>
      </c>
      <c r="B102" s="164" t="s">
        <v>56</v>
      </c>
      <c r="C102" s="163" t="s">
        <v>46</v>
      </c>
      <c r="D102" s="165">
        <v>680.52</v>
      </c>
      <c r="E102" s="163" t="s">
        <v>92</v>
      </c>
      <c r="F102" s="163">
        <v>177.8</v>
      </c>
      <c r="G102" s="163"/>
      <c r="H102" s="165"/>
      <c r="I102" s="158">
        <v>555.95000000000005</v>
      </c>
      <c r="J102" s="163"/>
      <c r="K102" s="163"/>
      <c r="L102" s="163"/>
      <c r="M102" s="163"/>
      <c r="N102" s="182"/>
      <c r="O102" s="163"/>
      <c r="P102" s="170"/>
      <c r="Q102" s="171"/>
      <c r="R102" s="170"/>
      <c r="S102" s="171"/>
      <c r="T102" s="171"/>
      <c r="U102" s="171"/>
      <c r="V102" s="170"/>
      <c r="W102" s="170"/>
      <c r="X102" s="233"/>
      <c r="Y102" s="171"/>
      <c r="Z102" s="171"/>
      <c r="AA102" s="171"/>
      <c r="AB102" s="171"/>
      <c r="AC102" s="171"/>
      <c r="AD102" s="163"/>
      <c r="AE102" s="171"/>
      <c r="AF102" s="179"/>
    </row>
    <row r="103" spans="1:32" ht="15" x14ac:dyDescent="0.2">
      <c r="A103" s="305"/>
      <c r="B103" s="237"/>
      <c r="C103" s="237"/>
      <c r="D103" s="238"/>
      <c r="E103" s="239"/>
      <c r="F103" s="240"/>
      <c r="G103" s="240"/>
      <c r="H103" s="241"/>
      <c r="I103" s="242"/>
      <c r="J103" s="240"/>
      <c r="K103" s="240"/>
      <c r="L103" s="240"/>
      <c r="M103" s="240"/>
      <c r="N103" s="243"/>
      <c r="O103" s="240"/>
      <c r="P103" s="244"/>
      <c r="Q103" s="245"/>
      <c r="R103" s="244"/>
      <c r="S103" s="245"/>
      <c r="T103" s="245"/>
      <c r="U103" s="245"/>
      <c r="V103" s="244"/>
      <c r="W103" s="244"/>
      <c r="X103" s="246"/>
      <c r="Y103" s="245"/>
      <c r="Z103" s="245"/>
      <c r="AA103" s="245"/>
      <c r="AB103" s="245"/>
      <c r="AC103" s="245"/>
      <c r="AD103" s="240"/>
      <c r="AE103" s="245"/>
      <c r="AF103" s="247"/>
    </row>
    <row r="104" spans="1:32" ht="15" x14ac:dyDescent="0.2">
      <c r="A104" s="305"/>
      <c r="B104" s="1844"/>
      <c r="C104" s="1844"/>
      <c r="D104" s="1844"/>
      <c r="E104" s="1845"/>
      <c r="F104" s="248"/>
      <c r="G104" s="240"/>
      <c r="H104" s="241"/>
      <c r="I104" s="245"/>
      <c r="J104" s="240"/>
      <c r="K104" s="248"/>
      <c r="L104" s="240"/>
      <c r="M104" s="248"/>
      <c r="N104" s="243"/>
      <c r="O104" s="248"/>
      <c r="P104" s="249"/>
      <c r="Q104" s="250"/>
      <c r="R104" s="250">
        <f>R74+R84</f>
        <v>396.17799999999994</v>
      </c>
      <c r="S104" s="250">
        <f>S74+S84</f>
        <v>606.56200000000024</v>
      </c>
      <c r="T104" s="250">
        <f>T74+T84</f>
        <v>20625</v>
      </c>
      <c r="U104" s="250">
        <f>T104/R104</f>
        <v>52.059932656533185</v>
      </c>
      <c r="V104" s="250"/>
      <c r="W104" s="250"/>
      <c r="X104" s="250"/>
      <c r="Y104" s="250">
        <f>Y74+Y84+Y87</f>
        <v>375.50017920000005</v>
      </c>
      <c r="Z104" s="250">
        <f>Z74+Z84+Z87</f>
        <v>576.75750070000004</v>
      </c>
      <c r="AA104" s="250">
        <f>AA74+AA84</f>
        <v>19576.640300000003</v>
      </c>
      <c r="AB104" s="250">
        <f>AA104/Y104</f>
        <v>52.134836105026288</v>
      </c>
      <c r="AC104" s="250"/>
      <c r="AD104" s="250"/>
      <c r="AE104" s="251">
        <f>AE74+AE84+AE87</f>
        <v>10688.059490000001</v>
      </c>
      <c r="AF104" s="252"/>
    </row>
    <row r="105" spans="1:32" ht="15" x14ac:dyDescent="0.2">
      <c r="B105" s="253"/>
      <c r="C105" s="253"/>
      <c r="D105" s="253"/>
      <c r="E105" s="253"/>
      <c r="F105" s="254"/>
      <c r="G105" s="255"/>
      <c r="H105" s="256"/>
      <c r="I105" s="256"/>
      <c r="J105" s="254"/>
      <c r="K105" s="254"/>
      <c r="L105" s="254"/>
      <c r="M105" s="254"/>
      <c r="N105" s="254"/>
      <c r="O105" s="254"/>
      <c r="P105" s="257"/>
      <c r="Q105" s="258"/>
      <c r="R105" s="254"/>
      <c r="S105" s="254"/>
      <c r="T105" s="254"/>
      <c r="U105" s="259"/>
      <c r="V105" s="255"/>
      <c r="W105" s="255"/>
      <c r="X105" s="255"/>
      <c r="Y105" s="254"/>
      <c r="Z105" s="254"/>
      <c r="AA105" s="254"/>
      <c r="AB105" s="260"/>
      <c r="AC105" s="255"/>
      <c r="AD105" s="254"/>
      <c r="AE105" s="254"/>
      <c r="AF105" s="256"/>
    </row>
    <row r="106" spans="1:32" ht="15" x14ac:dyDescent="0.2">
      <c r="B106" s="289"/>
      <c r="C106" s="191"/>
      <c r="D106" s="289"/>
      <c r="E106" s="268">
        <v>0.95</v>
      </c>
      <c r="F106" s="289"/>
      <c r="G106" s="289" t="s">
        <v>102</v>
      </c>
      <c r="H106" s="290"/>
      <c r="I106" s="262"/>
      <c r="J106" s="289"/>
      <c r="K106" s="1883">
        <f>AE104*E106</f>
        <v>10153.656515500001</v>
      </c>
      <c r="L106" s="1884"/>
      <c r="M106" s="1885"/>
      <c r="N106" s="191" t="s">
        <v>27</v>
      </c>
      <c r="O106" s="254"/>
      <c r="P106" s="257"/>
      <c r="Q106" s="258"/>
      <c r="R106" s="254"/>
      <c r="S106" s="254"/>
      <c r="T106" s="254"/>
      <c r="U106" s="259"/>
      <c r="V106" s="255"/>
      <c r="W106" s="255"/>
      <c r="X106" s="255"/>
      <c r="Y106" s="254"/>
      <c r="Z106" s="254"/>
      <c r="AA106" s="254"/>
      <c r="AB106" s="260"/>
      <c r="AC106" s="255"/>
      <c r="AD106" s="254"/>
      <c r="AE106" s="254"/>
      <c r="AF106" s="256"/>
    </row>
    <row r="107" spans="1:32" ht="15" x14ac:dyDescent="0.2">
      <c r="B107" s="289"/>
      <c r="C107" s="191"/>
      <c r="D107" s="289"/>
      <c r="E107" s="268"/>
      <c r="F107" s="289"/>
      <c r="G107" s="191"/>
      <c r="H107" s="290"/>
      <c r="I107" s="262"/>
      <c r="J107" s="289"/>
      <c r="K107" s="191"/>
      <c r="L107" s="263"/>
      <c r="M107" s="289"/>
      <c r="N107" s="289"/>
      <c r="O107" s="289"/>
      <c r="P107" s="291"/>
      <c r="Q107" s="292"/>
      <c r="R107" s="289"/>
      <c r="S107" s="289"/>
      <c r="T107" s="289"/>
      <c r="U107" s="289"/>
      <c r="V107" s="289"/>
      <c r="W107" s="289"/>
      <c r="X107" s="211"/>
      <c r="Y107" s="211"/>
      <c r="Z107" s="211"/>
      <c r="AA107" s="211"/>
      <c r="AB107" s="211"/>
      <c r="AC107" s="211"/>
      <c r="AD107" s="211"/>
      <c r="AE107" s="211"/>
      <c r="AF107" s="266"/>
    </row>
    <row r="108" spans="1:32" ht="15" x14ac:dyDescent="0.2">
      <c r="B108" s="289"/>
      <c r="C108" s="289"/>
      <c r="D108" s="289"/>
      <c r="E108" s="293" t="s">
        <v>214</v>
      </c>
      <c r="F108" s="1881" t="s">
        <v>264</v>
      </c>
      <c r="G108" s="1881"/>
      <c r="H108" s="1881"/>
      <c r="I108" s="289"/>
      <c r="J108" s="289"/>
      <c r="K108" s="191"/>
      <c r="L108" s="191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1842" t="s">
        <v>99</v>
      </c>
      <c r="Y108" s="1824"/>
      <c r="Z108" s="1824"/>
      <c r="AA108" s="1824"/>
      <c r="AB108" s="211" t="s">
        <v>282</v>
      </c>
      <c r="AC108" s="211"/>
      <c r="AD108" s="211"/>
      <c r="AE108" s="211"/>
      <c r="AF108" s="211"/>
    </row>
  </sheetData>
  <mergeCells count="41">
    <mergeCell ref="X108:AA108"/>
    <mergeCell ref="B88:F88"/>
    <mergeCell ref="B93:F93"/>
    <mergeCell ref="B99:F99"/>
    <mergeCell ref="B104:E104"/>
    <mergeCell ref="K106:M106"/>
    <mergeCell ref="F108:H108"/>
    <mergeCell ref="AF12:AF13"/>
    <mergeCell ref="B74:E74"/>
    <mergeCell ref="B75:F75"/>
    <mergeCell ref="B84:E84"/>
    <mergeCell ref="B85:F85"/>
    <mergeCell ref="AB12:AB13"/>
    <mergeCell ref="AC12:AC13"/>
    <mergeCell ref="B87:E87"/>
    <mergeCell ref="V12:V13"/>
    <mergeCell ref="W12:W13"/>
    <mergeCell ref="X12:X13"/>
    <mergeCell ref="Y12:AA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U12:U13"/>
    <mergeCell ref="F11:F12"/>
    <mergeCell ref="A11:A13"/>
    <mergeCell ref="B11:B13"/>
    <mergeCell ref="C11:C13"/>
    <mergeCell ref="D11:D12"/>
    <mergeCell ref="E11:E12"/>
    <mergeCell ref="B8:E8"/>
    <mergeCell ref="I1:X1"/>
    <mergeCell ref="A2:D2"/>
    <mergeCell ref="J2:W2"/>
    <mergeCell ref="A6:E6"/>
    <mergeCell ref="A7:E7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8"/>
  <sheetViews>
    <sheetView zoomScale="70" zoomScaleNormal="70" zoomScaleSheetLayoutView="7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AF4" sqref="AF4"/>
    </sheetView>
  </sheetViews>
  <sheetFormatPr defaultColWidth="9.140625" defaultRowHeight="12.75" x14ac:dyDescent="0.2"/>
  <cols>
    <col min="1" max="1" width="9.140625" style="304" customWidth="1"/>
    <col min="2" max="2" width="42.7109375" style="304" customWidth="1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3" width="9.140625" style="304"/>
    <col min="24" max="24" width="10.42578125" style="304" customWidth="1"/>
    <col min="25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28"/>
      <c r="C1" s="328"/>
      <c r="D1" s="138"/>
      <c r="E1" s="138"/>
      <c r="F1" s="138"/>
      <c r="G1" s="328"/>
      <c r="H1" s="328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28"/>
      <c r="H2" s="328"/>
      <c r="I2" s="138"/>
      <c r="J2" s="1823" t="s">
        <v>287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29" t="s">
        <v>270</v>
      </c>
      <c r="B3" s="329"/>
      <c r="C3" s="329"/>
      <c r="D3" s="329"/>
      <c r="E3" s="329"/>
      <c r="F3" s="138"/>
      <c r="G3" s="328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27"/>
      <c r="S3" s="327"/>
      <c r="T3" s="327"/>
      <c r="U3" s="327"/>
      <c r="V3" s="327"/>
      <c r="W3" s="327"/>
      <c r="X3" s="327"/>
      <c r="Y3" s="327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29" t="s">
        <v>228</v>
      </c>
      <c r="B4" s="148"/>
      <c r="C4" s="148"/>
      <c r="D4" s="148"/>
      <c r="E4" s="138"/>
      <c r="F4" s="138"/>
      <c r="G4" s="328"/>
      <c r="H4" s="328"/>
      <c r="I4" s="141"/>
      <c r="J4" s="141"/>
      <c r="K4" s="141"/>
      <c r="L4" s="141"/>
      <c r="M4" s="141"/>
      <c r="N4" s="141"/>
      <c r="O4" s="141"/>
      <c r="P4" s="141"/>
      <c r="Q4" s="141"/>
      <c r="R4" s="326"/>
      <c r="S4" s="326"/>
      <c r="T4" s="326"/>
      <c r="U4" s="326"/>
      <c r="V4" s="326"/>
      <c r="W4" s="326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29"/>
      <c r="C5" s="329"/>
      <c r="D5" s="329"/>
      <c r="E5" s="138"/>
      <c r="F5" s="138"/>
      <c r="G5" s="328"/>
      <c r="H5" s="328"/>
      <c r="I5" s="138"/>
      <c r="J5" s="138"/>
      <c r="K5" s="328"/>
      <c r="L5" s="328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28"/>
      <c r="H6" s="328"/>
      <c r="I6" s="140"/>
      <c r="J6" s="138"/>
      <c r="K6" s="328"/>
      <c r="L6" s="328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28"/>
      <c r="H7" s="328"/>
      <c r="I7" s="140"/>
      <c r="J7" s="138"/>
      <c r="K7" s="328"/>
      <c r="L7" s="328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28"/>
      <c r="H8" s="328"/>
      <c r="I8" s="140"/>
      <c r="J8" s="138"/>
      <c r="K8" s="328"/>
      <c r="L8" s="328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28"/>
      <c r="H9" s="328"/>
      <c r="I9" s="138"/>
      <c r="J9" s="138"/>
      <c r="K9" s="328"/>
      <c r="L9" s="328"/>
      <c r="M9" s="328"/>
      <c r="N9" s="328"/>
      <c r="O9" s="328"/>
      <c r="P9" s="328"/>
      <c r="Q9" s="328"/>
      <c r="R9" s="328"/>
      <c r="S9" s="328"/>
      <c r="T9" s="328"/>
      <c r="U9" s="328"/>
      <c r="V9" s="328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28"/>
      <c r="C10" s="328"/>
      <c r="D10" s="328"/>
      <c r="E10" s="138"/>
      <c r="F10" s="138"/>
      <c r="G10" s="328"/>
      <c r="H10" s="328"/>
      <c r="I10" s="140"/>
      <c r="J10" s="138"/>
      <c r="K10" s="328"/>
      <c r="L10" s="328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25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25" t="s">
        <v>18</v>
      </c>
      <c r="AE12" s="325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264</v>
      </c>
      <c r="M14" s="166"/>
      <c r="N14" s="163">
        <v>2.2999999999999998</v>
      </c>
      <c r="O14" s="166"/>
      <c r="P14" s="167">
        <v>30.28</v>
      </c>
      <c r="Q14" s="168">
        <f t="shared" ref="Q14:Q37" si="0">LEFT(H14,(FIND("K",H14,1)-1))*J14/100</f>
        <v>33</v>
      </c>
      <c r="R14" s="169">
        <v>1.181</v>
      </c>
      <c r="S14" s="168">
        <v>2.4950000000000001</v>
      </c>
      <c r="T14" s="168">
        <v>0</v>
      </c>
      <c r="U14" s="168">
        <f>T14/R14</f>
        <v>0</v>
      </c>
      <c r="V14" s="169">
        <f>(S14-R14)/S14*100</f>
        <v>52.665330661322642</v>
      </c>
      <c r="W14" s="170">
        <v>0.2</v>
      </c>
      <c r="X14" s="171">
        <f t="shared" ref="X14:X45" si="1">S14/Q14</f>
        <v>7.5606060606060607E-2</v>
      </c>
      <c r="Y14" s="171">
        <f>R14*0.9494</f>
        <v>1.1212414000000002</v>
      </c>
      <c r="Z14" s="171">
        <f t="shared" ref="Z14:AA14" si="2">S14*0.9494</f>
        <v>2.3687530000000003</v>
      </c>
      <c r="AA14" s="171">
        <f t="shared" si="2"/>
        <v>0</v>
      </c>
      <c r="AB14" s="171">
        <f>U14</f>
        <v>0</v>
      </c>
      <c r="AC14" s="171">
        <f t="shared" ref="AC14:AC73" si="3">V14</f>
        <v>52.665330661322642</v>
      </c>
      <c r="AD14" s="163">
        <v>31</v>
      </c>
      <c r="AE14" s="171">
        <f>Y14*AD14</f>
        <v>34.758483400000003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300</v>
      </c>
      <c r="L15" s="166">
        <v>0</v>
      </c>
      <c r="M15" s="166">
        <v>0.2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15" si="4">R15*0.9438</f>
        <v>0</v>
      </c>
      <c r="Z15" s="171">
        <f t="shared" si="4"/>
        <v>0</v>
      </c>
      <c r="AA15" s="171">
        <f t="shared" si="4"/>
        <v>0</v>
      </c>
      <c r="AB15" s="171">
        <f t="shared" ref="AB15:AB73" si="5">U15</f>
        <v>0</v>
      </c>
      <c r="AC15" s="171">
        <f t="shared" si="3"/>
        <v>0</v>
      </c>
      <c r="AD15" s="163">
        <v>0</v>
      </c>
      <c r="AE15" s="171">
        <f t="shared" ref="AE15:AE56" si="6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>
        <v>275</v>
      </c>
      <c r="K16" s="163"/>
      <c r="L16" s="166">
        <v>493</v>
      </c>
      <c r="M16" s="166"/>
      <c r="N16" s="182">
        <v>8.6999999999999993</v>
      </c>
      <c r="O16" s="166"/>
      <c r="P16" s="167">
        <v>12.78</v>
      </c>
      <c r="Q16" s="168">
        <f>LEFT(H16,(FIND("K",H16,1)-1))*J16/100</f>
        <v>88</v>
      </c>
      <c r="R16" s="169">
        <v>20.137</v>
      </c>
      <c r="S16" s="168">
        <v>24.710999999999999</v>
      </c>
      <c r="T16" s="168">
        <v>5716</v>
      </c>
      <c r="U16" s="168">
        <f t="shared" ref="U16:U73" si="7">T16/R16</f>
        <v>283.85558921388485</v>
      </c>
      <c r="V16" s="169">
        <f t="shared" ref="V16:V73" si="8">(S16-R16)/S16*100</f>
        <v>18.509975314637199</v>
      </c>
      <c r="W16" s="170">
        <v>0.3</v>
      </c>
      <c r="X16" s="171">
        <f t="shared" si="1"/>
        <v>0.28080681818181819</v>
      </c>
      <c r="Y16" s="171">
        <f>R16*0.9494</f>
        <v>19.118067800000002</v>
      </c>
      <c r="Z16" s="171">
        <f t="shared" ref="Z16:AA29" si="9">S16*0.9494</f>
        <v>23.460623399999999</v>
      </c>
      <c r="AA16" s="171">
        <f t="shared" si="9"/>
        <v>5426.7704000000003</v>
      </c>
      <c r="AB16" s="171">
        <f t="shared" si="5"/>
        <v>283.85558921388485</v>
      </c>
      <c r="AC16" s="171">
        <f t="shared" si="3"/>
        <v>18.509975314637199</v>
      </c>
      <c r="AD16" s="163">
        <v>31</v>
      </c>
      <c r="AE16" s="171">
        <f>Y16*AD16</f>
        <v>592.66010180000012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185</v>
      </c>
      <c r="K17" s="163"/>
      <c r="L17" s="166">
        <v>467</v>
      </c>
      <c r="M17" s="166"/>
      <c r="N17" s="182">
        <v>3.3</v>
      </c>
      <c r="O17" s="166"/>
      <c r="P17" s="167">
        <v>12.34</v>
      </c>
      <c r="Q17" s="168">
        <f t="shared" si="0"/>
        <v>24.05</v>
      </c>
      <c r="R17" s="169">
        <v>4.7889999999999997</v>
      </c>
      <c r="S17" s="168">
        <v>5.867</v>
      </c>
      <c r="T17" s="168">
        <v>25</v>
      </c>
      <c r="U17" s="168">
        <f t="shared" si="7"/>
        <v>5.2202965128419301</v>
      </c>
      <c r="V17" s="169">
        <f t="shared" si="8"/>
        <v>18.373956025225844</v>
      </c>
      <c r="W17" s="170">
        <v>0.2</v>
      </c>
      <c r="X17" s="171">
        <f t="shared" si="1"/>
        <v>0.24395010395010394</v>
      </c>
      <c r="Y17" s="171">
        <f t="shared" ref="Y17:Y29" si="10">R17*0.9494</f>
        <v>4.5466765999999996</v>
      </c>
      <c r="Z17" s="171">
        <f t="shared" si="9"/>
        <v>5.5701298000000001</v>
      </c>
      <c r="AA17" s="171">
        <f t="shared" si="9"/>
        <v>23.734999999999999</v>
      </c>
      <c r="AB17" s="171">
        <f t="shared" si="5"/>
        <v>5.2202965128419301</v>
      </c>
      <c r="AC17" s="171">
        <f t="shared" si="3"/>
        <v>18.373956025225844</v>
      </c>
      <c r="AD17" s="163">
        <v>31</v>
      </c>
      <c r="AE17" s="171">
        <f t="shared" si="6"/>
        <v>140.94697459999998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438</v>
      </c>
      <c r="M18" s="166"/>
      <c r="N18" s="163">
        <v>5.3</v>
      </c>
      <c r="O18" s="166"/>
      <c r="P18" s="167">
        <v>16.670000000000002</v>
      </c>
      <c r="Q18" s="168">
        <f t="shared" si="0"/>
        <v>9</v>
      </c>
      <c r="R18" s="169">
        <v>4.6920000000000002</v>
      </c>
      <c r="S18" s="168">
        <v>5.593</v>
      </c>
      <c r="T18" s="168">
        <v>22</v>
      </c>
      <c r="U18" s="168">
        <f t="shared" si="7"/>
        <v>4.6888320545609545</v>
      </c>
      <c r="V18" s="169">
        <f t="shared" si="8"/>
        <v>16.109422492401212</v>
      </c>
      <c r="W18" s="170">
        <v>1</v>
      </c>
      <c r="X18" s="171">
        <f t="shared" si="1"/>
        <v>0.62144444444444447</v>
      </c>
      <c r="Y18" s="171">
        <f t="shared" si="10"/>
        <v>4.4545848000000001</v>
      </c>
      <c r="Z18" s="171">
        <f t="shared" si="9"/>
        <v>5.3099942000000002</v>
      </c>
      <c r="AA18" s="171">
        <f t="shared" si="9"/>
        <v>20.886800000000001</v>
      </c>
      <c r="AB18" s="171">
        <f t="shared" si="5"/>
        <v>4.6888320545609545</v>
      </c>
      <c r="AC18" s="171">
        <f t="shared" si="3"/>
        <v>16.109422492401212</v>
      </c>
      <c r="AD18" s="163">
        <v>31</v>
      </c>
      <c r="AE18" s="171">
        <f t="shared" si="6"/>
        <v>138.09212880000001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240</v>
      </c>
      <c r="K19" s="163"/>
      <c r="L19" s="166">
        <v>435</v>
      </c>
      <c r="M19" s="166"/>
      <c r="N19" s="163">
        <v>1.6</v>
      </c>
      <c r="O19" s="166"/>
      <c r="P19" s="167">
        <v>14.95</v>
      </c>
      <c r="Q19" s="168">
        <f t="shared" si="0"/>
        <v>14.4</v>
      </c>
      <c r="R19" s="169">
        <v>2.2850000000000001</v>
      </c>
      <c r="S19" s="168">
        <v>3.38</v>
      </c>
      <c r="T19" s="168">
        <v>5</v>
      </c>
      <c r="U19" s="168">
        <f t="shared" si="7"/>
        <v>2.1881838074398248</v>
      </c>
      <c r="V19" s="169">
        <f t="shared" si="8"/>
        <v>32.396449704142007</v>
      </c>
      <c r="W19" s="170">
        <v>0.4</v>
      </c>
      <c r="X19" s="171">
        <f>S19/Q19</f>
        <v>0.23472222222222222</v>
      </c>
      <c r="Y19" s="171">
        <f t="shared" si="10"/>
        <v>2.1693790000000002</v>
      </c>
      <c r="Z19" s="171">
        <f t="shared" si="9"/>
        <v>3.2089720000000002</v>
      </c>
      <c r="AA19" s="171">
        <f t="shared" si="9"/>
        <v>4.7469999999999999</v>
      </c>
      <c r="AB19" s="171">
        <f t="shared" si="5"/>
        <v>2.1881838074398248</v>
      </c>
      <c r="AC19" s="171">
        <f t="shared" si="3"/>
        <v>32.396449704142007</v>
      </c>
      <c r="AD19" s="163">
        <v>31</v>
      </c>
      <c r="AE19" s="171">
        <f t="shared" si="6"/>
        <v>67.250748999999999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369</v>
      </c>
      <c r="M20" s="166"/>
      <c r="N20" s="163">
        <v>6.8</v>
      </c>
      <c r="O20" s="166"/>
      <c r="P20" s="167">
        <v>25.12</v>
      </c>
      <c r="Q20" s="168">
        <f t="shared" si="0"/>
        <v>22</v>
      </c>
      <c r="R20" s="169">
        <v>6.8840000000000003</v>
      </c>
      <c r="S20" s="168">
        <v>8.4250000000000007</v>
      </c>
      <c r="T20" s="168">
        <v>14</v>
      </c>
      <c r="U20" s="168">
        <f t="shared" si="7"/>
        <v>2.0337013364323067</v>
      </c>
      <c r="V20" s="169">
        <f t="shared" si="8"/>
        <v>18.290801186943622</v>
      </c>
      <c r="W20" s="170">
        <v>0.3</v>
      </c>
      <c r="X20" s="171">
        <f t="shared" si="1"/>
        <v>0.38295454545454549</v>
      </c>
      <c r="Y20" s="171">
        <f t="shared" si="10"/>
        <v>6.5356696000000003</v>
      </c>
      <c r="Z20" s="171">
        <f t="shared" si="9"/>
        <v>7.9986950000000006</v>
      </c>
      <c r="AA20" s="171">
        <f t="shared" si="9"/>
        <v>13.291600000000001</v>
      </c>
      <c r="AB20" s="171">
        <f t="shared" si="5"/>
        <v>2.0337013364323067</v>
      </c>
      <c r="AC20" s="171">
        <f t="shared" si="3"/>
        <v>18.290801186943622</v>
      </c>
      <c r="AD20" s="163">
        <v>31</v>
      </c>
      <c r="AE20" s="171">
        <f t="shared" si="6"/>
        <v>202.6057576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395</v>
      </c>
      <c r="M21" s="176"/>
      <c r="N21" s="163">
        <v>8.1</v>
      </c>
      <c r="O21" s="176"/>
      <c r="P21" s="167">
        <v>24.24</v>
      </c>
      <c r="Q21" s="168">
        <f t="shared" si="0"/>
        <v>22</v>
      </c>
      <c r="R21" s="169">
        <v>13.872999999999999</v>
      </c>
      <c r="S21" s="168">
        <v>19.396000000000001</v>
      </c>
      <c r="T21" s="168">
        <v>232</v>
      </c>
      <c r="U21" s="168">
        <f t="shared" si="7"/>
        <v>16.723131262163918</v>
      </c>
      <c r="V21" s="169">
        <f t="shared" si="8"/>
        <v>28.474943287275735</v>
      </c>
      <c r="W21" s="170">
        <v>0.3</v>
      </c>
      <c r="X21" s="171">
        <f t="shared" si="1"/>
        <v>0.88163636363636366</v>
      </c>
      <c r="Y21" s="171">
        <f t="shared" si="10"/>
        <v>13.1710262</v>
      </c>
      <c r="Z21" s="171">
        <f t="shared" si="9"/>
        <v>18.414562400000001</v>
      </c>
      <c r="AA21" s="171">
        <f t="shared" si="9"/>
        <v>220.26080000000002</v>
      </c>
      <c r="AB21" s="171">
        <f t="shared" si="5"/>
        <v>16.723131262163918</v>
      </c>
      <c r="AC21" s="171">
        <f t="shared" si="3"/>
        <v>28.474943287275735</v>
      </c>
      <c r="AD21" s="163">
        <v>31</v>
      </c>
      <c r="AE21" s="171">
        <f t="shared" si="6"/>
        <v>408.30181219999997</v>
      </c>
      <c r="AF21" s="177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473</v>
      </c>
      <c r="M22" s="166"/>
      <c r="N22" s="163">
        <v>6.6</v>
      </c>
      <c r="O22" s="166"/>
      <c r="P22" s="167">
        <v>15.37</v>
      </c>
      <c r="Q22" s="168">
        <f t="shared" si="0"/>
        <v>22</v>
      </c>
      <c r="R22" s="169">
        <v>7.4370000000000003</v>
      </c>
      <c r="S22" s="168">
        <v>9.4039999999999999</v>
      </c>
      <c r="T22" s="168">
        <v>12</v>
      </c>
      <c r="U22" s="168">
        <f t="shared" si="7"/>
        <v>1.6135538523598225</v>
      </c>
      <c r="V22" s="169">
        <f t="shared" si="8"/>
        <v>20.916631220757122</v>
      </c>
      <c r="W22" s="170">
        <v>0.3</v>
      </c>
      <c r="X22" s="171">
        <f t="shared" si="1"/>
        <v>0.42745454545454548</v>
      </c>
      <c r="Y22" s="171">
        <f t="shared" si="10"/>
        <v>7.0606878000000002</v>
      </c>
      <c r="Z22" s="171">
        <f t="shared" si="9"/>
        <v>8.9281576000000005</v>
      </c>
      <c r="AA22" s="171">
        <f t="shared" si="9"/>
        <v>11.392800000000001</v>
      </c>
      <c r="AB22" s="171">
        <f t="shared" si="5"/>
        <v>1.6135538523598225</v>
      </c>
      <c r="AC22" s="171">
        <f t="shared" si="3"/>
        <v>20.916631220757122</v>
      </c>
      <c r="AD22" s="163">
        <v>31</v>
      </c>
      <c r="AE22" s="171">
        <f t="shared" si="6"/>
        <v>218.88132179999999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316</v>
      </c>
      <c r="M23" s="166"/>
      <c r="N23" s="163">
        <v>7.7</v>
      </c>
      <c r="O23" s="166"/>
      <c r="P23" s="167">
        <v>30.48</v>
      </c>
      <c r="Q23" s="168">
        <f t="shared" si="0"/>
        <v>27.5</v>
      </c>
      <c r="R23" s="169">
        <v>0.60099999999999998</v>
      </c>
      <c r="S23" s="168">
        <v>1.1659999999999999</v>
      </c>
      <c r="T23" s="168">
        <v>0</v>
      </c>
      <c r="U23" s="168">
        <f t="shared" si="7"/>
        <v>0</v>
      </c>
      <c r="V23" s="169">
        <f t="shared" si="8"/>
        <v>48.456260720411663</v>
      </c>
      <c r="W23" s="170">
        <v>0.3</v>
      </c>
      <c r="X23" s="171">
        <f t="shared" si="1"/>
        <v>4.24E-2</v>
      </c>
      <c r="Y23" s="171">
        <f t="shared" si="10"/>
        <v>0.57058940000000002</v>
      </c>
      <c r="Z23" s="171">
        <f t="shared" si="9"/>
        <v>1.1070004</v>
      </c>
      <c r="AA23" s="171">
        <f t="shared" si="9"/>
        <v>0</v>
      </c>
      <c r="AB23" s="171">
        <f t="shared" si="5"/>
        <v>0</v>
      </c>
      <c r="AC23" s="171">
        <f t="shared" si="3"/>
        <v>48.456260720411663</v>
      </c>
      <c r="AD23" s="163">
        <v>31</v>
      </c>
      <c r="AE23" s="171">
        <f t="shared" si="6"/>
        <v>17.688271400000001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403</v>
      </c>
      <c r="M24" s="166"/>
      <c r="N24" s="163">
        <v>0.9</v>
      </c>
      <c r="O24" s="166"/>
      <c r="P24" s="167">
        <v>17.52</v>
      </c>
      <c r="Q24" s="168">
        <f t="shared" si="0"/>
        <v>11.18</v>
      </c>
      <c r="R24" s="169">
        <v>0.60199999999999998</v>
      </c>
      <c r="S24" s="168">
        <v>1.3640000000000001</v>
      </c>
      <c r="T24" s="168">
        <v>0</v>
      </c>
      <c r="U24" s="168">
        <f t="shared" si="7"/>
        <v>0</v>
      </c>
      <c r="V24" s="169">
        <f t="shared" si="8"/>
        <v>55.865102639296197</v>
      </c>
      <c r="W24" s="170">
        <v>0.4</v>
      </c>
      <c r="X24" s="171">
        <f t="shared" si="1"/>
        <v>0.12200357781753132</v>
      </c>
      <c r="Y24" s="171">
        <f t="shared" si="10"/>
        <v>0.57153880000000001</v>
      </c>
      <c r="Z24" s="171">
        <f t="shared" si="9"/>
        <v>1.2949816000000001</v>
      </c>
      <c r="AA24" s="171">
        <f t="shared" si="9"/>
        <v>0</v>
      </c>
      <c r="AB24" s="171">
        <f t="shared" si="5"/>
        <v>0</v>
      </c>
      <c r="AC24" s="171">
        <f t="shared" si="3"/>
        <v>55.865102639296197</v>
      </c>
      <c r="AD24" s="163">
        <v>31</v>
      </c>
      <c r="AE24" s="171">
        <f t="shared" si="6"/>
        <v>17.717702800000001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115</v>
      </c>
      <c r="K25" s="163"/>
      <c r="L25" s="166">
        <v>246</v>
      </c>
      <c r="M25" s="166"/>
      <c r="N25" s="163">
        <v>2.2999999999999998</v>
      </c>
      <c r="O25" s="166"/>
      <c r="P25" s="167">
        <v>32.58</v>
      </c>
      <c r="Q25" s="168">
        <f t="shared" si="0"/>
        <v>25.3</v>
      </c>
      <c r="R25" s="169">
        <v>7.2489999999999997</v>
      </c>
      <c r="S25" s="168">
        <v>11.317</v>
      </c>
      <c r="T25" s="168">
        <v>5</v>
      </c>
      <c r="U25" s="168">
        <f t="shared" si="7"/>
        <v>0.68975031038763968</v>
      </c>
      <c r="V25" s="169">
        <f t="shared" si="8"/>
        <v>35.945922064151283</v>
      </c>
      <c r="W25" s="170">
        <v>0.5</v>
      </c>
      <c r="X25" s="171">
        <f t="shared" si="1"/>
        <v>0.44731225296442689</v>
      </c>
      <c r="Y25" s="171">
        <f t="shared" si="10"/>
        <v>6.8822006</v>
      </c>
      <c r="Z25" s="171">
        <f t="shared" si="9"/>
        <v>10.7443598</v>
      </c>
      <c r="AA25" s="171">
        <f t="shared" si="9"/>
        <v>4.7469999999999999</v>
      </c>
      <c r="AB25" s="171">
        <f t="shared" si="5"/>
        <v>0.68975031038763968</v>
      </c>
      <c r="AC25" s="171">
        <f t="shared" si="3"/>
        <v>35.945922064151283</v>
      </c>
      <c r="AD25" s="163">
        <v>31</v>
      </c>
      <c r="AE25" s="171">
        <f t="shared" si="6"/>
        <v>213.3482186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573.67999999999995</v>
      </c>
      <c r="J26" s="163">
        <v>150</v>
      </c>
      <c r="K26" s="163"/>
      <c r="L26" s="166">
        <v>348</v>
      </c>
      <c r="M26" s="166"/>
      <c r="N26" s="163">
        <v>7.5</v>
      </c>
      <c r="O26" s="166"/>
      <c r="P26" s="167">
        <v>25.44</v>
      </c>
      <c r="Q26" s="168">
        <f t="shared" si="0"/>
        <v>48</v>
      </c>
      <c r="R26" s="169">
        <v>17.478000000000002</v>
      </c>
      <c r="S26" s="168">
        <v>31.207000000000001</v>
      </c>
      <c r="T26" s="168">
        <v>267</v>
      </c>
      <c r="U26" s="168">
        <f t="shared" si="7"/>
        <v>15.27634740817027</v>
      </c>
      <c r="V26" s="169">
        <f t="shared" si="8"/>
        <v>43.993334828724322</v>
      </c>
      <c r="W26" s="170">
        <v>0.3</v>
      </c>
      <c r="X26" s="171">
        <f t="shared" si="1"/>
        <v>0.65014583333333331</v>
      </c>
      <c r="Y26" s="171">
        <f t="shared" si="10"/>
        <v>16.5936132</v>
      </c>
      <c r="Z26" s="171">
        <f t="shared" si="9"/>
        <v>29.6279258</v>
      </c>
      <c r="AA26" s="171">
        <f t="shared" si="9"/>
        <v>253.4898</v>
      </c>
      <c r="AB26" s="171">
        <f t="shared" si="5"/>
        <v>15.27634740817027</v>
      </c>
      <c r="AC26" s="171">
        <f t="shared" si="3"/>
        <v>43.993334828724322</v>
      </c>
      <c r="AD26" s="163">
        <v>31</v>
      </c>
      <c r="AE26" s="171">
        <f t="shared" si="6"/>
        <v>514.40200919999995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367</v>
      </c>
      <c r="M27" s="166"/>
      <c r="N27" s="163">
        <v>9.4</v>
      </c>
      <c r="O27" s="166"/>
      <c r="P27" s="167">
        <v>24.62</v>
      </c>
      <c r="Q27" s="168">
        <f t="shared" si="0"/>
        <v>74.8</v>
      </c>
      <c r="R27" s="169">
        <v>17.657</v>
      </c>
      <c r="S27" s="168">
        <v>21.690999999999999</v>
      </c>
      <c r="T27" s="168">
        <v>4014</v>
      </c>
      <c r="U27" s="168">
        <f t="shared" si="7"/>
        <v>227.33193634252703</v>
      </c>
      <c r="V27" s="169">
        <f t="shared" si="8"/>
        <v>18.597575031118893</v>
      </c>
      <c r="W27" s="170">
        <v>0.3</v>
      </c>
      <c r="X27" s="171">
        <f t="shared" si="1"/>
        <v>0.28998663101604277</v>
      </c>
      <c r="Y27" s="171">
        <f t="shared" si="10"/>
        <v>16.763555799999999</v>
      </c>
      <c r="Z27" s="171">
        <f t="shared" si="9"/>
        <v>20.593435400000001</v>
      </c>
      <c r="AA27" s="171">
        <f t="shared" si="9"/>
        <v>3810.8915999999999</v>
      </c>
      <c r="AB27" s="171">
        <f t="shared" si="5"/>
        <v>227.33193634252703</v>
      </c>
      <c r="AC27" s="171">
        <f t="shared" si="3"/>
        <v>18.597575031118893</v>
      </c>
      <c r="AD27" s="163">
        <v>31</v>
      </c>
      <c r="AE27" s="171">
        <f t="shared" si="6"/>
        <v>519.67022980000002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452</v>
      </c>
      <c r="M28" s="166"/>
      <c r="N28" s="163">
        <v>7.2</v>
      </c>
      <c r="O28" s="166"/>
      <c r="P28" s="167">
        <v>19.21</v>
      </c>
      <c r="Q28" s="168">
        <f t="shared" si="0"/>
        <v>11.05</v>
      </c>
      <c r="R28" s="169">
        <v>4.8360000000000003</v>
      </c>
      <c r="S28" s="168">
        <v>5.9909999999999997</v>
      </c>
      <c r="T28" s="168">
        <v>14</v>
      </c>
      <c r="U28" s="168">
        <f t="shared" si="7"/>
        <v>2.8949545078577335</v>
      </c>
      <c r="V28" s="169">
        <f t="shared" si="8"/>
        <v>19.278918377566338</v>
      </c>
      <c r="W28" s="170">
        <v>0.4</v>
      </c>
      <c r="X28" s="171">
        <f t="shared" si="1"/>
        <v>0.54217194570135741</v>
      </c>
      <c r="Y28" s="171">
        <f t="shared" si="10"/>
        <v>4.5912984000000003</v>
      </c>
      <c r="Z28" s="171">
        <f t="shared" si="9"/>
        <v>5.6878554000000001</v>
      </c>
      <c r="AA28" s="171">
        <f t="shared" si="9"/>
        <v>13.291600000000001</v>
      </c>
      <c r="AB28" s="171">
        <f t="shared" si="5"/>
        <v>2.8949545078577335</v>
      </c>
      <c r="AC28" s="171">
        <f t="shared" si="3"/>
        <v>19.278918377566338</v>
      </c>
      <c r="AD28" s="163">
        <v>31</v>
      </c>
      <c r="AE28" s="171">
        <f>Y28*AD28</f>
        <v>142.33025040000001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505</v>
      </c>
      <c r="M29" s="164"/>
      <c r="N29" s="164">
        <v>10</v>
      </c>
      <c r="O29" s="164"/>
      <c r="P29" s="164">
        <v>15.05</v>
      </c>
      <c r="Q29" s="164">
        <f t="shared" si="0"/>
        <v>96</v>
      </c>
      <c r="R29" s="181">
        <v>18.829000000000001</v>
      </c>
      <c r="S29" s="168">
        <v>22.355</v>
      </c>
      <c r="T29" s="164">
        <v>1034</v>
      </c>
      <c r="U29" s="181">
        <f t="shared" si="7"/>
        <v>54.915290243772901</v>
      </c>
      <c r="V29" s="181">
        <f t="shared" si="8"/>
        <v>15.772757772310445</v>
      </c>
      <c r="W29" s="164">
        <v>0.3</v>
      </c>
      <c r="X29" s="181">
        <f t="shared" si="1"/>
        <v>0.23286458333333335</v>
      </c>
      <c r="Y29" s="171">
        <f t="shared" si="10"/>
        <v>17.876252600000001</v>
      </c>
      <c r="Z29" s="171">
        <f t="shared" si="9"/>
        <v>21.223837</v>
      </c>
      <c r="AA29" s="171">
        <f t="shared" si="9"/>
        <v>981.67960000000005</v>
      </c>
      <c r="AB29" s="181">
        <f t="shared" si="5"/>
        <v>54.915290243772901</v>
      </c>
      <c r="AC29" s="181">
        <f t="shared" si="3"/>
        <v>15.772757772310445</v>
      </c>
      <c r="AD29" s="164">
        <v>31</v>
      </c>
      <c r="AE29" s="181">
        <f>Y29*AD29</f>
        <v>554.16383059999998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75</v>
      </c>
      <c r="L30" s="166"/>
      <c r="M30" s="166">
        <v>0.7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:AA31" si="11">R31</f>
        <v>0</v>
      </c>
      <c r="Z31" s="171">
        <f t="shared" si="11"/>
        <v>0</v>
      </c>
      <c r="AA31" s="171">
        <f t="shared" si="11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6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403</v>
      </c>
      <c r="M32" s="166"/>
      <c r="N32" s="163">
        <v>6.9</v>
      </c>
      <c r="O32" s="166"/>
      <c r="P32" s="167">
        <v>20.94</v>
      </c>
      <c r="Q32" s="168">
        <f t="shared" si="0"/>
        <v>18.7</v>
      </c>
      <c r="R32" s="169">
        <v>6.2830000000000004</v>
      </c>
      <c r="S32" s="168">
        <v>12.403</v>
      </c>
      <c r="T32" s="168">
        <v>290</v>
      </c>
      <c r="U32" s="168">
        <f t="shared" si="7"/>
        <v>46.156294763647935</v>
      </c>
      <c r="V32" s="169">
        <f>(S32-R32)/S32*100</f>
        <v>49.342900911069904</v>
      </c>
      <c r="W32" s="170">
        <v>0.3</v>
      </c>
      <c r="X32" s="171">
        <f t="shared" si="1"/>
        <v>0.66326203208556156</v>
      </c>
      <c r="Y32" s="171">
        <f>R32*0.9949</f>
        <v>6.2509567000000006</v>
      </c>
      <c r="Z32" s="171">
        <f>S32*0.9949</f>
        <v>12.339744700000001</v>
      </c>
      <c r="AA32" s="171">
        <f>T32*0.9949</f>
        <v>288.52100000000002</v>
      </c>
      <c r="AB32" s="171">
        <f t="shared" si="5"/>
        <v>46.156294763647935</v>
      </c>
      <c r="AC32" s="171">
        <f t="shared" si="3"/>
        <v>49.342900911069904</v>
      </c>
      <c r="AD32" s="163">
        <v>31</v>
      </c>
      <c r="AE32" s="171">
        <f t="shared" si="6"/>
        <v>193.77965770000003</v>
      </c>
      <c r="AF32" s="183"/>
    </row>
    <row r="33" spans="1:32" s="342" customFormat="1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100</v>
      </c>
      <c r="K33" s="163"/>
      <c r="L33" s="163">
        <v>440</v>
      </c>
      <c r="M33" s="163"/>
      <c r="N33" s="163">
        <v>6.4</v>
      </c>
      <c r="O33" s="163"/>
      <c r="P33" s="182">
        <v>18.89</v>
      </c>
      <c r="Q33" s="171">
        <f>LEFT(H33,(FIND("K",H33,1)-1))*J33/100</f>
        <v>13</v>
      </c>
      <c r="R33" s="170">
        <v>3.0579999999999998</v>
      </c>
      <c r="S33" s="171">
        <v>5.3869999999999996</v>
      </c>
      <c r="T33" s="171">
        <v>1.5</v>
      </c>
      <c r="U33" s="171">
        <f t="shared" si="7"/>
        <v>0.49051667756703732</v>
      </c>
      <c r="V33" s="170">
        <f t="shared" si="8"/>
        <v>43.233710785223685</v>
      </c>
      <c r="W33" s="170">
        <v>0.2</v>
      </c>
      <c r="X33" s="171">
        <v>0</v>
      </c>
      <c r="Y33" s="171">
        <v>0</v>
      </c>
      <c r="Z33" s="171">
        <v>0</v>
      </c>
      <c r="AA33" s="171"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468</v>
      </c>
      <c r="M34" s="166"/>
      <c r="N34" s="163">
        <v>7</v>
      </c>
      <c r="O34" s="166"/>
      <c r="P34" s="167">
        <v>14.46</v>
      </c>
      <c r="Q34" s="168">
        <f t="shared" si="0"/>
        <v>66</v>
      </c>
      <c r="R34" s="169">
        <v>6.2930000000000001</v>
      </c>
      <c r="S34" s="168">
        <v>7.4770000000000003</v>
      </c>
      <c r="T34" s="168">
        <v>584</v>
      </c>
      <c r="U34" s="168">
        <f t="shared" si="7"/>
        <v>92.80152550452884</v>
      </c>
      <c r="V34" s="169">
        <f t="shared" si="8"/>
        <v>15.835228032633411</v>
      </c>
      <c r="W34" s="170">
        <v>0.2</v>
      </c>
      <c r="X34" s="171">
        <f t="shared" si="1"/>
        <v>0.1132878787878788</v>
      </c>
      <c r="Y34" s="171">
        <f t="shared" ref="Y34:AA40" si="12">R34*0.9494</f>
        <v>5.9745742000000002</v>
      </c>
      <c r="Z34" s="171">
        <f t="shared" si="12"/>
        <v>7.0986638000000006</v>
      </c>
      <c r="AA34" s="171">
        <f t="shared" si="12"/>
        <v>554.44960000000003</v>
      </c>
      <c r="AB34" s="171">
        <v>89.536086956521729</v>
      </c>
      <c r="AC34" s="171">
        <v>26</v>
      </c>
      <c r="AD34" s="163">
        <v>31</v>
      </c>
      <c r="AE34" s="171">
        <f t="shared" si="6"/>
        <v>185.2118002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472</v>
      </c>
      <c r="M35" s="166"/>
      <c r="N35" s="163">
        <v>8</v>
      </c>
      <c r="O35" s="166"/>
      <c r="P35" s="167">
        <v>17.46</v>
      </c>
      <c r="Q35" s="168">
        <f t="shared" si="0"/>
        <v>16.25</v>
      </c>
      <c r="R35" s="169">
        <v>8.0630000000000006</v>
      </c>
      <c r="S35" s="168">
        <v>10.445</v>
      </c>
      <c r="T35" s="168">
        <v>19</v>
      </c>
      <c r="U35" s="168">
        <f t="shared" si="7"/>
        <v>2.3564430112861214</v>
      </c>
      <c r="V35" s="169">
        <f t="shared" si="8"/>
        <v>22.805169937769264</v>
      </c>
      <c r="W35" s="170">
        <v>1.4</v>
      </c>
      <c r="X35" s="171">
        <f t="shared" si="1"/>
        <v>0.64276923076923076</v>
      </c>
      <c r="Y35" s="171">
        <f t="shared" si="12"/>
        <v>7.6550122000000007</v>
      </c>
      <c r="Z35" s="171">
        <f t="shared" si="12"/>
        <v>9.9164830000000013</v>
      </c>
      <c r="AA35" s="171">
        <f t="shared" si="12"/>
        <v>18.038599999999999</v>
      </c>
      <c r="AB35" s="171">
        <f t="shared" si="5"/>
        <v>2.3564430112861214</v>
      </c>
      <c r="AC35" s="171">
        <f t="shared" si="3"/>
        <v>22.805169937769264</v>
      </c>
      <c r="AD35" s="163">
        <v>31</v>
      </c>
      <c r="AE35" s="171">
        <f t="shared" si="6"/>
        <v>237.30537820000004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435</v>
      </c>
      <c r="M36" s="166"/>
      <c r="N36" s="163">
        <v>7.3</v>
      </c>
      <c r="O36" s="166"/>
      <c r="P36" s="167">
        <v>19.86</v>
      </c>
      <c r="Q36" s="168">
        <f t="shared" si="0"/>
        <v>18.7</v>
      </c>
      <c r="R36" s="169">
        <v>3.5680000000000001</v>
      </c>
      <c r="S36" s="168">
        <v>7.258</v>
      </c>
      <c r="T36" s="168">
        <v>64</v>
      </c>
      <c r="U36" s="168">
        <f t="shared" si="7"/>
        <v>17.937219730941703</v>
      </c>
      <c r="V36" s="169">
        <f t="shared" si="8"/>
        <v>50.840451915128135</v>
      </c>
      <c r="W36" s="170">
        <v>0.3</v>
      </c>
      <c r="X36" s="171">
        <v>0</v>
      </c>
      <c r="Y36" s="171">
        <f t="shared" si="12"/>
        <v>3.3874592000000003</v>
      </c>
      <c r="Z36" s="171">
        <f t="shared" si="12"/>
        <v>6.8907452000000005</v>
      </c>
      <c r="AA36" s="171">
        <f t="shared" si="12"/>
        <v>60.761600000000001</v>
      </c>
      <c r="AB36" s="171">
        <f t="shared" si="5"/>
        <v>17.937219730941703</v>
      </c>
      <c r="AC36" s="171">
        <f t="shared" si="3"/>
        <v>50.840451915128135</v>
      </c>
      <c r="AD36" s="163">
        <v>31</v>
      </c>
      <c r="AE36" s="171">
        <f t="shared" si="6"/>
        <v>105.01123520000002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185</v>
      </c>
      <c r="K37" s="163"/>
      <c r="L37" s="166">
        <v>252</v>
      </c>
      <c r="M37" s="166"/>
      <c r="N37" s="163">
        <v>7.9</v>
      </c>
      <c r="O37" s="166"/>
      <c r="P37" s="167">
        <v>37.69</v>
      </c>
      <c r="Q37" s="168">
        <f t="shared" si="0"/>
        <v>40.700000000000003</v>
      </c>
      <c r="R37" s="169">
        <v>22.983000000000001</v>
      </c>
      <c r="S37" s="168">
        <v>33.738999999999997</v>
      </c>
      <c r="T37" s="168">
        <v>216</v>
      </c>
      <c r="U37" s="168">
        <f t="shared" si="7"/>
        <v>9.3982508810860192</v>
      </c>
      <c r="V37" s="169">
        <f t="shared" si="8"/>
        <v>31.880020154717087</v>
      </c>
      <c r="W37" s="170">
        <v>0.2</v>
      </c>
      <c r="X37" s="171">
        <f t="shared" si="1"/>
        <v>0.82896805896805881</v>
      </c>
      <c r="Y37" s="171">
        <f t="shared" si="12"/>
        <v>21.8200602</v>
      </c>
      <c r="Z37" s="171">
        <f t="shared" si="12"/>
        <v>32.031806599999996</v>
      </c>
      <c r="AA37" s="171">
        <f t="shared" si="12"/>
        <v>205.07040000000001</v>
      </c>
      <c r="AB37" s="171">
        <f t="shared" si="5"/>
        <v>9.3982508810860192</v>
      </c>
      <c r="AC37" s="171">
        <f t="shared" si="3"/>
        <v>31.880020154717087</v>
      </c>
      <c r="AD37" s="163">
        <v>31</v>
      </c>
      <c r="AE37" s="171">
        <f t="shared" si="6"/>
        <v>676.42186620000007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494</v>
      </c>
      <c r="M38" s="166"/>
      <c r="N38" s="163">
        <v>8.4</v>
      </c>
      <c r="O38" s="166"/>
      <c r="P38" s="167">
        <v>15.11</v>
      </c>
      <c r="Q38" s="168">
        <f>LEFT(H38,(FIND("K",H38,1)-1))*J38/100</f>
        <v>62.7</v>
      </c>
      <c r="R38" s="169">
        <v>14.095000000000001</v>
      </c>
      <c r="S38" s="168">
        <v>20.811</v>
      </c>
      <c r="T38" s="168">
        <v>675</v>
      </c>
      <c r="U38" s="168">
        <f t="shared" si="7"/>
        <v>47.889322454771197</v>
      </c>
      <c r="V38" s="169">
        <f t="shared" si="8"/>
        <v>32.271394935370715</v>
      </c>
      <c r="W38" s="170">
        <v>0.4</v>
      </c>
      <c r="X38" s="171">
        <f t="shared" si="1"/>
        <v>0.33191387559808611</v>
      </c>
      <c r="Y38" s="171">
        <f t="shared" si="12"/>
        <v>13.381793</v>
      </c>
      <c r="Z38" s="171">
        <f t="shared" si="12"/>
        <v>19.757963400000001</v>
      </c>
      <c r="AA38" s="171">
        <f t="shared" si="12"/>
        <v>640.84500000000003</v>
      </c>
      <c r="AB38" s="171">
        <f t="shared" si="5"/>
        <v>47.889322454771197</v>
      </c>
      <c r="AC38" s="171">
        <f t="shared" si="3"/>
        <v>32.271394935370715</v>
      </c>
      <c r="AD38" s="163">
        <v>31</v>
      </c>
      <c r="AE38" s="171">
        <f t="shared" si="6"/>
        <v>414.83558299999999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130</v>
      </c>
      <c r="K39" s="163"/>
      <c r="L39" s="163">
        <v>306</v>
      </c>
      <c r="M39" s="166"/>
      <c r="N39" s="163">
        <v>7.8</v>
      </c>
      <c r="O39" s="166"/>
      <c r="P39" s="182">
        <v>30.89</v>
      </c>
      <c r="Q39" s="171">
        <f t="shared" ref="Q39:Q71" si="13">LEFT(H39,(FIND("K",H39,1)-1))*J39/100</f>
        <v>10.4</v>
      </c>
      <c r="R39" s="170">
        <v>6.4770000000000003</v>
      </c>
      <c r="S39" s="168">
        <v>7.6520000000000001</v>
      </c>
      <c r="T39" s="171">
        <v>51</v>
      </c>
      <c r="U39" s="171">
        <f t="shared" si="7"/>
        <v>7.8740157480314954</v>
      </c>
      <c r="V39" s="169">
        <f t="shared" si="8"/>
        <v>15.355462624150546</v>
      </c>
      <c r="W39" s="170">
        <v>0.2</v>
      </c>
      <c r="X39" s="171">
        <f t="shared" si="1"/>
        <v>0.73576923076923073</v>
      </c>
      <c r="Y39" s="171">
        <f t="shared" si="12"/>
        <v>6.1492638000000008</v>
      </c>
      <c r="Z39" s="171">
        <f t="shared" si="12"/>
        <v>7.2648088</v>
      </c>
      <c r="AA39" s="171">
        <f t="shared" si="12"/>
        <v>48.419400000000003</v>
      </c>
      <c r="AB39" s="171">
        <f t="shared" si="5"/>
        <v>7.8740157480314954</v>
      </c>
      <c r="AC39" s="171">
        <f t="shared" si="3"/>
        <v>15.355462624150546</v>
      </c>
      <c r="AD39" s="163">
        <v>31</v>
      </c>
      <c r="AE39" s="171">
        <f t="shared" si="6"/>
        <v>190.62717780000003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435</v>
      </c>
      <c r="M40" s="159"/>
      <c r="N40" s="163">
        <v>7</v>
      </c>
      <c r="O40" s="159"/>
      <c r="P40" s="160">
        <v>17.489999999999998</v>
      </c>
      <c r="Q40" s="171">
        <f t="shared" si="13"/>
        <v>25.3</v>
      </c>
      <c r="R40" s="170">
        <v>9.125</v>
      </c>
      <c r="S40" s="168">
        <v>11.853</v>
      </c>
      <c r="T40" s="174">
        <v>536</v>
      </c>
      <c r="U40" s="171">
        <f t="shared" si="7"/>
        <v>58.739726027397261</v>
      </c>
      <c r="V40" s="169">
        <f t="shared" si="8"/>
        <v>23.015270395680417</v>
      </c>
      <c r="W40" s="170">
        <v>0.3</v>
      </c>
      <c r="X40" s="171">
        <f t="shared" si="1"/>
        <v>0.46849802371541499</v>
      </c>
      <c r="Y40" s="171">
        <f t="shared" si="12"/>
        <v>8.6632750000000005</v>
      </c>
      <c r="Z40" s="171">
        <f t="shared" si="12"/>
        <v>11.2532382</v>
      </c>
      <c r="AA40" s="171">
        <f t="shared" si="12"/>
        <v>508.8784</v>
      </c>
      <c r="AB40" s="171">
        <f t="shared" si="5"/>
        <v>58.739726027397261</v>
      </c>
      <c r="AC40" s="171">
        <f t="shared" si="3"/>
        <v>23.015270395680417</v>
      </c>
      <c r="AD40" s="163">
        <v>31</v>
      </c>
      <c r="AE40" s="171">
        <f t="shared" si="6"/>
        <v>268.56152500000002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122</v>
      </c>
      <c r="L41" s="163"/>
      <c r="M41" s="159">
        <v>0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6" si="14">R41*0.949</f>
        <v>0</v>
      </c>
      <c r="Z41" s="171">
        <f t="shared" si="14"/>
        <v>0</v>
      </c>
      <c r="AA41" s="171">
        <f t="shared" si="14"/>
        <v>0</v>
      </c>
      <c r="AB41" s="171">
        <f t="shared" si="5"/>
        <v>0</v>
      </c>
      <c r="AC41" s="171">
        <f t="shared" si="3"/>
        <v>0</v>
      </c>
      <c r="AD41" s="163">
        <v>0</v>
      </c>
      <c r="AE41" s="171">
        <f t="shared" si="6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219</v>
      </c>
      <c r="M42" s="159"/>
      <c r="N42" s="163">
        <v>3.7</v>
      </c>
      <c r="O42" s="159"/>
      <c r="P42" s="160">
        <v>39.21</v>
      </c>
      <c r="Q42" s="171">
        <f t="shared" si="13"/>
        <v>5.0999999999999996</v>
      </c>
      <c r="R42" s="170">
        <v>3.1139999999999999</v>
      </c>
      <c r="S42" s="168">
        <v>4.0720000000000001</v>
      </c>
      <c r="T42" s="174">
        <v>2</v>
      </c>
      <c r="U42" s="171">
        <f>T42/R42</f>
        <v>0.64226075786769432</v>
      </c>
      <c r="V42" s="169">
        <f t="shared" si="8"/>
        <v>23.526522593320241</v>
      </c>
      <c r="W42" s="170">
        <v>0.4</v>
      </c>
      <c r="X42" s="171">
        <f t="shared" si="1"/>
        <v>0.79843137254901964</v>
      </c>
      <c r="Y42" s="171">
        <f t="shared" ref="Y42:AA45" si="15">R42*0.9494</f>
        <v>2.9564316000000002</v>
      </c>
      <c r="Z42" s="171">
        <f t="shared" si="15"/>
        <v>3.8659568000000002</v>
      </c>
      <c r="AA42" s="171">
        <f t="shared" si="15"/>
        <v>1.8988</v>
      </c>
      <c r="AB42" s="171">
        <f t="shared" si="5"/>
        <v>0.64226075786769432</v>
      </c>
      <c r="AC42" s="171">
        <f t="shared" si="3"/>
        <v>23.526522593320241</v>
      </c>
      <c r="AD42" s="163">
        <v>31</v>
      </c>
      <c r="AE42" s="171">
        <f t="shared" si="6"/>
        <v>91.649379600000003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430</v>
      </c>
      <c r="M43" s="166"/>
      <c r="N43" s="163">
        <v>3</v>
      </c>
      <c r="O43" s="166"/>
      <c r="P43" s="182">
        <v>15.02</v>
      </c>
      <c r="Q43" s="171">
        <f t="shared" si="13"/>
        <v>11.05</v>
      </c>
      <c r="R43" s="170">
        <v>2.9129999999999998</v>
      </c>
      <c r="S43" s="168">
        <v>3.7639999999999998</v>
      </c>
      <c r="T43" s="171">
        <v>4</v>
      </c>
      <c r="U43" s="171">
        <f t="shared" si="7"/>
        <v>1.3731548232063167</v>
      </c>
      <c r="V43" s="169">
        <f t="shared" si="8"/>
        <v>22.608926673751327</v>
      </c>
      <c r="W43" s="170">
        <v>0.3</v>
      </c>
      <c r="X43" s="171">
        <f t="shared" si="1"/>
        <v>0.34063348416289591</v>
      </c>
      <c r="Y43" s="171">
        <f t="shared" si="15"/>
        <v>2.7656022</v>
      </c>
      <c r="Z43" s="171">
        <f t="shared" si="15"/>
        <v>3.5735416</v>
      </c>
      <c r="AA43" s="171">
        <f t="shared" si="15"/>
        <v>3.7976000000000001</v>
      </c>
      <c r="AB43" s="171">
        <f>U43</f>
        <v>1.3731548232063167</v>
      </c>
      <c r="AC43" s="171">
        <f t="shared" si="3"/>
        <v>22.608926673751327</v>
      </c>
      <c r="AD43" s="163">
        <v>31</v>
      </c>
      <c r="AE43" s="171">
        <f t="shared" si="6"/>
        <v>85.733668199999997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125</v>
      </c>
      <c r="K44" s="163"/>
      <c r="L44" s="163">
        <v>240</v>
      </c>
      <c r="M44" s="166"/>
      <c r="N44" s="182">
        <v>4</v>
      </c>
      <c r="O44" s="166"/>
      <c r="P44" s="182">
        <v>34.869999999999997</v>
      </c>
      <c r="Q44" s="171">
        <f t="shared" si="13"/>
        <v>7.5</v>
      </c>
      <c r="R44" s="170">
        <v>3.5670000000000002</v>
      </c>
      <c r="S44" s="168">
        <v>5.375</v>
      </c>
      <c r="T44" s="171">
        <v>1.5</v>
      </c>
      <c r="U44" s="171">
        <f t="shared" si="7"/>
        <v>0.42052144659377627</v>
      </c>
      <c r="V44" s="169">
        <f t="shared" si="8"/>
        <v>33.63720930232558</v>
      </c>
      <c r="W44" s="170">
        <v>0.5</v>
      </c>
      <c r="X44" s="171">
        <f t="shared" si="1"/>
        <v>0.71666666666666667</v>
      </c>
      <c r="Y44" s="171">
        <f t="shared" si="15"/>
        <v>3.3865098000000002</v>
      </c>
      <c r="Z44" s="171">
        <f t="shared" si="15"/>
        <v>5.1030249999999997</v>
      </c>
      <c r="AA44" s="171">
        <f t="shared" si="15"/>
        <v>1.4241000000000001</v>
      </c>
      <c r="AB44" s="171">
        <f>U44</f>
        <v>0.42052144659377627</v>
      </c>
      <c r="AC44" s="171">
        <f t="shared" si="3"/>
        <v>33.63720930232558</v>
      </c>
      <c r="AD44" s="163">
        <v>31</v>
      </c>
      <c r="AE44" s="171">
        <f t="shared" si="6"/>
        <v>104.98180380000001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461</v>
      </c>
      <c r="M45" s="166"/>
      <c r="N45" s="163">
        <v>7.3</v>
      </c>
      <c r="O45" s="166"/>
      <c r="P45" s="167">
        <v>16.66</v>
      </c>
      <c r="Q45" s="168">
        <f t="shared" si="13"/>
        <v>13</v>
      </c>
      <c r="R45" s="169">
        <v>3.609</v>
      </c>
      <c r="S45" s="168">
        <v>5.9909999999999997</v>
      </c>
      <c r="T45" s="168">
        <v>107</v>
      </c>
      <c r="U45" s="168">
        <f t="shared" si="7"/>
        <v>29.648101967303962</v>
      </c>
      <c r="V45" s="169">
        <f t="shared" si="8"/>
        <v>39.759639459188776</v>
      </c>
      <c r="W45" s="170">
        <v>0.3</v>
      </c>
      <c r="X45" s="171">
        <f t="shared" si="1"/>
        <v>0.46084615384615379</v>
      </c>
      <c r="Y45" s="171">
        <f t="shared" si="15"/>
        <v>3.4263846</v>
      </c>
      <c r="Z45" s="171">
        <f t="shared" si="15"/>
        <v>5.6878554000000001</v>
      </c>
      <c r="AA45" s="171">
        <f t="shared" si="15"/>
        <v>101.58580000000001</v>
      </c>
      <c r="AB45" s="171">
        <f t="shared" si="5"/>
        <v>29.648101967303962</v>
      </c>
      <c r="AC45" s="171">
        <f t="shared" si="3"/>
        <v>39.759639459188776</v>
      </c>
      <c r="AD45" s="163">
        <v>31</v>
      </c>
      <c r="AE45" s="171">
        <f t="shared" si="6"/>
        <v>106.21792259999999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250</v>
      </c>
      <c r="L46" s="163"/>
      <c r="M46" s="166">
        <v>0.5</v>
      </c>
      <c r="N46" s="163">
        <v>0</v>
      </c>
      <c r="O46" s="166"/>
      <c r="P46" s="167">
        <v>0</v>
      </c>
      <c r="Q46" s="168">
        <f t="shared" si="13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14"/>
        <v>0</v>
      </c>
      <c r="Z46" s="171">
        <f t="shared" si="14"/>
        <v>0</v>
      </c>
      <c r="AA46" s="171">
        <f t="shared" si="14"/>
        <v>0</v>
      </c>
      <c r="AB46" s="171">
        <f t="shared" si="5"/>
        <v>0</v>
      </c>
      <c r="AC46" s="171">
        <f t="shared" si="3"/>
        <v>0</v>
      </c>
      <c r="AD46" s="163">
        <v>0</v>
      </c>
      <c r="AE46" s="171">
        <f t="shared" si="6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418</v>
      </c>
      <c r="M47" s="166"/>
      <c r="N47" s="163">
        <v>7.2</v>
      </c>
      <c r="O47" s="166"/>
      <c r="P47" s="167">
        <v>21.42</v>
      </c>
      <c r="Q47" s="168">
        <f t="shared" si="13"/>
        <v>13</v>
      </c>
      <c r="R47" s="169">
        <v>4.6020000000000003</v>
      </c>
      <c r="S47" s="168">
        <v>7.2919999999999998</v>
      </c>
      <c r="T47" s="168">
        <v>52</v>
      </c>
      <c r="U47" s="168">
        <f>T47/R47</f>
        <v>11.299435028248586</v>
      </c>
      <c r="V47" s="169">
        <f t="shared" si="8"/>
        <v>36.889742183214473</v>
      </c>
      <c r="W47" s="170">
        <v>0.4</v>
      </c>
      <c r="X47" s="171">
        <f t="shared" ref="X47:X54" si="16">S47/Q47</f>
        <v>0.56092307692307686</v>
      </c>
      <c r="Y47" s="171">
        <f t="shared" ref="Y47:AA54" si="17">R47*0.9494</f>
        <v>4.3691388</v>
      </c>
      <c r="Z47" s="171">
        <f t="shared" si="17"/>
        <v>6.9230248000000003</v>
      </c>
      <c r="AA47" s="171">
        <f t="shared" si="17"/>
        <v>49.3688</v>
      </c>
      <c r="AB47" s="171">
        <f t="shared" si="5"/>
        <v>11.299435028248586</v>
      </c>
      <c r="AC47" s="171">
        <f t="shared" si="3"/>
        <v>36.889742183214473</v>
      </c>
      <c r="AD47" s="163">
        <v>31</v>
      </c>
      <c r="AE47" s="171">
        <f t="shared" si="6"/>
        <v>135.4433028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250</v>
      </c>
      <c r="K48" s="163"/>
      <c r="L48" s="166">
        <v>418</v>
      </c>
      <c r="M48" s="166"/>
      <c r="N48" s="163">
        <v>1</v>
      </c>
      <c r="O48" s="166"/>
      <c r="P48" s="167">
        <v>15.4</v>
      </c>
      <c r="Q48" s="168">
        <f t="shared" si="13"/>
        <v>15</v>
      </c>
      <c r="R48" s="169">
        <v>2.2130000000000001</v>
      </c>
      <c r="S48" s="168">
        <v>2.6819999999999999</v>
      </c>
      <c r="T48" s="168">
        <v>0</v>
      </c>
      <c r="U48" s="168">
        <f t="shared" ref="U48:U56" si="18">T48/R48</f>
        <v>0</v>
      </c>
      <c r="V48" s="169">
        <f t="shared" si="8"/>
        <v>17.486950037285602</v>
      </c>
      <c r="W48" s="170">
        <v>0.4</v>
      </c>
      <c r="X48" s="171">
        <v>0</v>
      </c>
      <c r="Y48" s="171">
        <f t="shared" si="17"/>
        <v>2.1010222000000001</v>
      </c>
      <c r="Z48" s="171">
        <f t="shared" si="17"/>
        <v>2.5462908</v>
      </c>
      <c r="AA48" s="171">
        <f t="shared" si="17"/>
        <v>0</v>
      </c>
      <c r="AB48" s="171">
        <f t="shared" si="5"/>
        <v>0</v>
      </c>
      <c r="AC48" s="171">
        <f t="shared" si="3"/>
        <v>17.486950037285602</v>
      </c>
      <c r="AD48" s="163">
        <v>31</v>
      </c>
      <c r="AE48" s="171">
        <f t="shared" si="6"/>
        <v>65.131688199999999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89</v>
      </c>
      <c r="M49" s="166"/>
      <c r="N49" s="163">
        <v>4.5</v>
      </c>
      <c r="O49" s="166"/>
      <c r="P49" s="167">
        <v>51.76</v>
      </c>
      <c r="Q49" s="168">
        <f t="shared" si="13"/>
        <v>11.05</v>
      </c>
      <c r="R49" s="169">
        <v>0.113</v>
      </c>
      <c r="S49" s="168">
        <v>6.2169999999999996</v>
      </c>
      <c r="T49" s="168">
        <v>0</v>
      </c>
      <c r="U49" s="168">
        <f t="shared" si="18"/>
        <v>0</v>
      </c>
      <c r="V49" s="169">
        <f t="shared" si="8"/>
        <v>98.182403088306245</v>
      </c>
      <c r="W49" s="170">
        <v>0</v>
      </c>
      <c r="X49" s="171">
        <v>0</v>
      </c>
      <c r="Y49" s="171">
        <f t="shared" si="17"/>
        <v>0.10728220000000001</v>
      </c>
      <c r="Z49" s="171">
        <f t="shared" si="17"/>
        <v>5.9024197999999997</v>
      </c>
      <c r="AA49" s="171">
        <f t="shared" si="17"/>
        <v>0</v>
      </c>
      <c r="AB49" s="171">
        <f t="shared" si="5"/>
        <v>0</v>
      </c>
      <c r="AC49" s="171">
        <f t="shared" si="3"/>
        <v>98.182403088306245</v>
      </c>
      <c r="AD49" s="163">
        <v>31</v>
      </c>
      <c r="AE49" s="171">
        <f t="shared" si="6"/>
        <v>3.3257482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286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>
        <v>240</v>
      </c>
      <c r="K50" s="194"/>
      <c r="L50" s="197">
        <v>441</v>
      </c>
      <c r="M50" s="197"/>
      <c r="N50" s="163">
        <v>4.5</v>
      </c>
      <c r="O50" s="197"/>
      <c r="P50" s="198">
        <v>16.899999999999999</v>
      </c>
      <c r="Q50" s="199">
        <f t="shared" si="13"/>
        <v>7.2</v>
      </c>
      <c r="R50" s="200">
        <v>3.1869999999999998</v>
      </c>
      <c r="S50" s="168">
        <v>3.7829999999999999</v>
      </c>
      <c r="T50" s="199">
        <v>2.5</v>
      </c>
      <c r="U50" s="168">
        <f t="shared" si="18"/>
        <v>0.78443677439598369</v>
      </c>
      <c r="V50" s="169">
        <f t="shared" si="8"/>
        <v>15.75469204335184</v>
      </c>
      <c r="W50" s="201">
        <v>0.4</v>
      </c>
      <c r="X50" s="202">
        <v>0</v>
      </c>
      <c r="Y50" s="171">
        <f t="shared" si="17"/>
        <v>3.0257377999999999</v>
      </c>
      <c r="Z50" s="171">
        <f t="shared" si="17"/>
        <v>3.5915802000000001</v>
      </c>
      <c r="AA50" s="171">
        <f t="shared" si="17"/>
        <v>2.3734999999999999</v>
      </c>
      <c r="AB50" s="202">
        <f t="shared" si="5"/>
        <v>0.78443677439598369</v>
      </c>
      <c r="AC50" s="171">
        <f t="shared" si="3"/>
        <v>15.75469204335184</v>
      </c>
      <c r="AD50" s="163">
        <v>31</v>
      </c>
      <c r="AE50" s="202">
        <f t="shared" si="6"/>
        <v>93.797871799999996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160</v>
      </c>
      <c r="K51" s="163"/>
      <c r="L51" s="166">
        <v>404</v>
      </c>
      <c r="M51" s="166"/>
      <c r="N51" s="163">
        <v>0.9</v>
      </c>
      <c r="O51" s="166"/>
      <c r="P51" s="167">
        <v>16.649999999999999</v>
      </c>
      <c r="Q51" s="199">
        <f t="shared" si="13"/>
        <v>20.8</v>
      </c>
      <c r="R51" s="169">
        <v>1.964</v>
      </c>
      <c r="S51" s="168">
        <v>2.8109999999999999</v>
      </c>
      <c r="T51" s="168">
        <v>0.5</v>
      </c>
      <c r="U51" s="168">
        <f t="shared" si="18"/>
        <v>0.25458248472505091</v>
      </c>
      <c r="V51" s="169">
        <f t="shared" si="8"/>
        <v>30.131625755958737</v>
      </c>
      <c r="W51" s="170">
        <v>0.5</v>
      </c>
      <c r="X51" s="171">
        <v>0</v>
      </c>
      <c r="Y51" s="171">
        <f t="shared" si="17"/>
        <v>1.8646216</v>
      </c>
      <c r="Z51" s="171">
        <f t="shared" si="17"/>
        <v>2.6687634</v>
      </c>
      <c r="AA51" s="171">
        <f t="shared" si="17"/>
        <v>0.47470000000000001</v>
      </c>
      <c r="AB51" s="171">
        <f t="shared" si="5"/>
        <v>0.25458248472505091</v>
      </c>
      <c r="AC51" s="171">
        <f t="shared" si="3"/>
        <v>30.131625755958737</v>
      </c>
      <c r="AD51" s="163">
        <v>31</v>
      </c>
      <c r="AE51" s="171">
        <f t="shared" si="6"/>
        <v>57.8032696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285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95</v>
      </c>
      <c r="K52" s="163"/>
      <c r="L52" s="166">
        <v>427</v>
      </c>
      <c r="M52" s="166"/>
      <c r="N52" s="163">
        <v>2.1</v>
      </c>
      <c r="O52" s="166"/>
      <c r="P52" s="167">
        <v>16.079999999999998</v>
      </c>
      <c r="Q52" s="168">
        <f t="shared" si="13"/>
        <v>12.35</v>
      </c>
      <c r="R52" s="169">
        <v>3.8889999999999998</v>
      </c>
      <c r="S52" s="168">
        <v>4.8319999999999999</v>
      </c>
      <c r="T52" s="168">
        <v>4.5</v>
      </c>
      <c r="U52" s="168">
        <f t="shared" si="18"/>
        <v>1.1571097968629469</v>
      </c>
      <c r="V52" s="169">
        <f t="shared" si="8"/>
        <v>19.515728476821195</v>
      </c>
      <c r="W52" s="170">
        <v>0.4</v>
      </c>
      <c r="X52" s="171">
        <v>0</v>
      </c>
      <c r="Y52" s="171">
        <f t="shared" si="17"/>
        <v>3.6922166000000001</v>
      </c>
      <c r="Z52" s="171">
        <f t="shared" si="17"/>
        <v>4.5875007999999999</v>
      </c>
      <c r="AA52" s="171">
        <f t="shared" si="17"/>
        <v>4.2723000000000004</v>
      </c>
      <c r="AB52" s="171">
        <f t="shared" si="5"/>
        <v>1.1571097968629469</v>
      </c>
      <c r="AC52" s="171">
        <f t="shared" si="3"/>
        <v>19.515728476821195</v>
      </c>
      <c r="AD52" s="163">
        <v>31</v>
      </c>
      <c r="AE52" s="171">
        <f t="shared" si="6"/>
        <v>114.45871460000001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60</v>
      </c>
      <c r="M53" s="166"/>
      <c r="N53" s="163">
        <v>0.6</v>
      </c>
      <c r="O53" s="166"/>
      <c r="P53" s="167">
        <v>50.23</v>
      </c>
      <c r="Q53" s="168">
        <f t="shared" si="13"/>
        <v>7.2</v>
      </c>
      <c r="R53" s="169">
        <v>0.44</v>
      </c>
      <c r="S53" s="168">
        <v>1.127</v>
      </c>
      <c r="T53" s="168">
        <v>0</v>
      </c>
      <c r="U53" s="168">
        <f t="shared" si="18"/>
        <v>0</v>
      </c>
      <c r="V53" s="169">
        <f t="shared" si="8"/>
        <v>60.958296362023077</v>
      </c>
      <c r="W53" s="170">
        <v>0.3</v>
      </c>
      <c r="X53" s="171">
        <f t="shared" si="16"/>
        <v>0.15652777777777777</v>
      </c>
      <c r="Y53" s="171">
        <f t="shared" si="17"/>
        <v>0.417736</v>
      </c>
      <c r="Z53" s="171">
        <f t="shared" si="17"/>
        <v>1.0699738000000001</v>
      </c>
      <c r="AA53" s="171">
        <f t="shared" si="17"/>
        <v>0</v>
      </c>
      <c r="AB53" s="171">
        <f t="shared" si="5"/>
        <v>0</v>
      </c>
      <c r="AC53" s="171">
        <f t="shared" si="3"/>
        <v>60.958296362023077</v>
      </c>
      <c r="AD53" s="163">
        <v>31</v>
      </c>
      <c r="AE53" s="171">
        <f t="shared" si="6"/>
        <v>12.949816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558.87</v>
      </c>
      <c r="J54" s="163">
        <v>85</v>
      </c>
      <c r="K54" s="163"/>
      <c r="L54" s="163">
        <v>208</v>
      </c>
      <c r="M54" s="163"/>
      <c r="N54" s="163">
        <v>7.7</v>
      </c>
      <c r="O54" s="163"/>
      <c r="P54" s="182">
        <v>43.57</v>
      </c>
      <c r="Q54" s="171">
        <f t="shared" si="13"/>
        <v>18.7</v>
      </c>
      <c r="R54" s="170">
        <v>0.42799999999999999</v>
      </c>
      <c r="S54" s="168">
        <v>6.2789999999999999</v>
      </c>
      <c r="T54" s="171">
        <v>30</v>
      </c>
      <c r="U54" s="168">
        <f t="shared" si="18"/>
        <v>70.09345794392523</v>
      </c>
      <c r="V54" s="169">
        <f t="shared" si="8"/>
        <v>93.183627966236656</v>
      </c>
      <c r="W54" s="170">
        <v>0.2</v>
      </c>
      <c r="X54" s="171">
        <f t="shared" si="16"/>
        <v>0.3357754010695187</v>
      </c>
      <c r="Y54" s="171">
        <f t="shared" si="17"/>
        <v>0.40634320000000002</v>
      </c>
      <c r="Z54" s="171">
        <f t="shared" si="17"/>
        <v>5.9612825999999997</v>
      </c>
      <c r="AA54" s="171">
        <f t="shared" si="17"/>
        <v>28.481999999999999</v>
      </c>
      <c r="AB54" s="171">
        <f t="shared" si="5"/>
        <v>70.09345794392523</v>
      </c>
      <c r="AC54" s="171">
        <f t="shared" si="3"/>
        <v>93.183627966236656</v>
      </c>
      <c r="AD54" s="163">
        <v>31</v>
      </c>
      <c r="AE54" s="171">
        <f t="shared" si="6"/>
        <v>12.5966392</v>
      </c>
      <c r="AF54" s="190"/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540.15</v>
      </c>
      <c r="J55" s="163">
        <v>85</v>
      </c>
      <c r="K55" s="163"/>
      <c r="L55" s="163">
        <v>223</v>
      </c>
      <c r="M55" s="163"/>
      <c r="N55" s="163">
        <v>8.9</v>
      </c>
      <c r="O55" s="163"/>
      <c r="P55" s="182">
        <v>40.869999999999997</v>
      </c>
      <c r="Q55" s="171">
        <f t="shared" si="13"/>
        <v>18.7</v>
      </c>
      <c r="R55" s="170">
        <v>2.97</v>
      </c>
      <c r="S55" s="168">
        <v>11.093999999999999</v>
      </c>
      <c r="T55" s="171">
        <v>47</v>
      </c>
      <c r="U55" s="168">
        <f t="shared" si="18"/>
        <v>15.824915824915823</v>
      </c>
      <c r="V55" s="169">
        <f t="shared" si="8"/>
        <v>73.228772309356401</v>
      </c>
      <c r="W55" s="170">
        <v>0.4</v>
      </c>
      <c r="X55" s="171">
        <f>S55/Q55</f>
        <v>0.5932620320855615</v>
      </c>
      <c r="Y55" s="171">
        <f t="shared" ref="Y55:AA56" si="19">R55</f>
        <v>2.97</v>
      </c>
      <c r="Z55" s="171">
        <f t="shared" si="19"/>
        <v>11.093999999999999</v>
      </c>
      <c r="AA55" s="171">
        <f t="shared" si="19"/>
        <v>47</v>
      </c>
      <c r="AB55" s="171">
        <f t="shared" si="5"/>
        <v>15.824915824915823</v>
      </c>
      <c r="AC55" s="171">
        <f t="shared" si="3"/>
        <v>73.228772309356401</v>
      </c>
      <c r="AD55" s="163">
        <v>25</v>
      </c>
      <c r="AE55" s="171">
        <f t="shared" si="6"/>
        <v>74.25</v>
      </c>
      <c r="AF55" s="179" t="s">
        <v>280</v>
      </c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442</v>
      </c>
      <c r="M56" s="163"/>
      <c r="N56" s="163">
        <v>8.8000000000000007</v>
      </c>
      <c r="O56" s="163"/>
      <c r="P56" s="182">
        <v>21.4</v>
      </c>
      <c r="Q56" s="171">
        <f t="shared" si="13"/>
        <v>18.7</v>
      </c>
      <c r="R56" s="170">
        <v>1.073</v>
      </c>
      <c r="S56" s="168">
        <v>7.8559999999999999</v>
      </c>
      <c r="T56" s="171">
        <v>87</v>
      </c>
      <c r="U56" s="171">
        <f t="shared" si="18"/>
        <v>81.081081081081081</v>
      </c>
      <c r="V56" s="169">
        <f t="shared" si="8"/>
        <v>86.341649694501015</v>
      </c>
      <c r="W56" s="170">
        <v>0.2</v>
      </c>
      <c r="X56" s="171">
        <f>S56/Q56</f>
        <v>0.42010695187165775</v>
      </c>
      <c r="Y56" s="171">
        <f t="shared" si="19"/>
        <v>1.073</v>
      </c>
      <c r="Z56" s="171">
        <f t="shared" si="19"/>
        <v>7.8559999999999999</v>
      </c>
      <c r="AA56" s="171">
        <f t="shared" si="19"/>
        <v>87</v>
      </c>
      <c r="AB56" s="171">
        <f t="shared" si="5"/>
        <v>81.081081081081081</v>
      </c>
      <c r="AC56" s="171">
        <f t="shared" si="3"/>
        <v>86.341649694501015</v>
      </c>
      <c r="AD56" s="163">
        <v>28</v>
      </c>
      <c r="AE56" s="171">
        <f t="shared" si="6"/>
        <v>30.043999999999997</v>
      </c>
      <c r="AF56" s="179" t="s">
        <v>280</v>
      </c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405</v>
      </c>
      <c r="M57" s="158"/>
      <c r="N57" s="163">
        <v>8.1</v>
      </c>
      <c r="O57" s="158"/>
      <c r="P57" s="160">
        <v>21.97</v>
      </c>
      <c r="Q57" s="171">
        <f t="shared" si="13"/>
        <v>33</v>
      </c>
      <c r="R57" s="170">
        <v>10.779</v>
      </c>
      <c r="S57" s="168">
        <v>12.808</v>
      </c>
      <c r="T57" s="174">
        <v>758</v>
      </c>
      <c r="U57" s="171">
        <f>T57/R57</f>
        <v>70.321922256238977</v>
      </c>
      <c r="V57" s="169">
        <f t="shared" si="8"/>
        <v>15.84166146158651</v>
      </c>
      <c r="W57" s="170">
        <v>0.8</v>
      </c>
      <c r="X57" s="171">
        <f t="shared" ref="X57:X73" si="20">S57/Q57</f>
        <v>0.38812121212121209</v>
      </c>
      <c r="Y57" s="171">
        <f t="shared" ref="Y57:AA57" si="21">R57*0.9494</f>
        <v>10.2335826</v>
      </c>
      <c r="Z57" s="171">
        <f t="shared" si="21"/>
        <v>12.1599152</v>
      </c>
      <c r="AA57" s="171">
        <f t="shared" si="21"/>
        <v>719.64520000000005</v>
      </c>
      <c r="AB57" s="171">
        <f t="shared" si="5"/>
        <v>70.321922256238977</v>
      </c>
      <c r="AC57" s="171">
        <f t="shared" si="3"/>
        <v>15.84166146158651</v>
      </c>
      <c r="AD57" s="163">
        <v>31</v>
      </c>
      <c r="AE57" s="171">
        <f>Y57*AD57</f>
        <v>317.24106060000003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179</v>
      </c>
      <c r="L58" s="163"/>
      <c r="M58" s="158">
        <v>0.4</v>
      </c>
      <c r="N58" s="163"/>
      <c r="O58" s="158"/>
      <c r="P58" s="160">
        <v>0</v>
      </c>
      <c r="Q58" s="171">
        <f t="shared" si="13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>R58</f>
        <v>0</v>
      </c>
      <c r="Z58" s="171">
        <f>S58</f>
        <v>0</v>
      </c>
      <c r="AA58" s="171">
        <f>T58</f>
        <v>0</v>
      </c>
      <c r="AB58" s="171">
        <f t="shared" si="5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433</v>
      </c>
      <c r="M59" s="158"/>
      <c r="N59" s="163">
        <v>3.7</v>
      </c>
      <c r="O59" s="158"/>
      <c r="P59" s="182">
        <v>17.18</v>
      </c>
      <c r="Q59" s="171">
        <f t="shared" si="13"/>
        <v>11.05</v>
      </c>
      <c r="R59" s="170">
        <v>4</v>
      </c>
      <c r="S59" s="168">
        <v>4.7869999999999999</v>
      </c>
      <c r="T59" s="171">
        <v>8.5</v>
      </c>
      <c r="U59" s="171">
        <f>T59/R59</f>
        <v>2.125</v>
      </c>
      <c r="V59" s="169">
        <f t="shared" si="8"/>
        <v>16.44035930645498</v>
      </c>
      <c r="W59" s="170">
        <v>2.8</v>
      </c>
      <c r="X59" s="171">
        <f t="shared" si="20"/>
        <v>0.43321266968325789</v>
      </c>
      <c r="Y59" s="171">
        <f t="shared" ref="Y59:AA64" si="22">R59*0.9494</f>
        <v>3.7976000000000001</v>
      </c>
      <c r="Z59" s="171">
        <f t="shared" si="22"/>
        <v>4.5447778000000003</v>
      </c>
      <c r="AA59" s="171">
        <f t="shared" si="22"/>
        <v>8.0699000000000005</v>
      </c>
      <c r="AB59" s="171">
        <f t="shared" si="5"/>
        <v>2.125</v>
      </c>
      <c r="AC59" s="171">
        <f t="shared" si="3"/>
        <v>16.44035930645498</v>
      </c>
      <c r="AD59" s="163">
        <v>31</v>
      </c>
      <c r="AE59" s="171">
        <f t="shared" ref="AE59:AE71" si="23">Y59*AD59</f>
        <v>117.7256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52</v>
      </c>
      <c r="I60" s="158">
        <v>593</v>
      </c>
      <c r="J60" s="163">
        <v>85</v>
      </c>
      <c r="K60" s="163"/>
      <c r="L60" s="163">
        <v>356</v>
      </c>
      <c r="M60" s="163"/>
      <c r="N60" s="163">
        <v>9.1999999999999993</v>
      </c>
      <c r="O60" s="163"/>
      <c r="P60" s="182">
        <v>27.55</v>
      </c>
      <c r="Q60" s="171">
        <f t="shared" si="13"/>
        <v>18.7</v>
      </c>
      <c r="R60" s="170">
        <v>11.6</v>
      </c>
      <c r="S60" s="168">
        <v>14.8</v>
      </c>
      <c r="T60" s="171">
        <v>65</v>
      </c>
      <c r="U60" s="171">
        <f>T60/R60</f>
        <v>5.6034482758620694</v>
      </c>
      <c r="V60" s="169">
        <f t="shared" si="8"/>
        <v>21.621621621621628</v>
      </c>
      <c r="W60" s="170">
        <v>0.3</v>
      </c>
      <c r="X60" s="171">
        <f t="shared" si="20"/>
        <v>0.79144385026737973</v>
      </c>
      <c r="Y60" s="171">
        <f t="shared" si="22"/>
        <v>11.01304</v>
      </c>
      <c r="Z60" s="171">
        <f t="shared" si="22"/>
        <v>14.051120000000001</v>
      </c>
      <c r="AA60" s="171">
        <f t="shared" si="22"/>
        <v>61.710999999999999</v>
      </c>
      <c r="AB60" s="171">
        <f t="shared" si="5"/>
        <v>5.6034482758620694</v>
      </c>
      <c r="AC60" s="171">
        <v>67</v>
      </c>
      <c r="AD60" s="163">
        <v>31</v>
      </c>
      <c r="AE60" s="171">
        <f t="shared" si="23"/>
        <v>341.40424000000002</v>
      </c>
      <c r="AF60" s="190"/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350</v>
      </c>
      <c r="K61" s="163"/>
      <c r="L61" s="163">
        <v>404</v>
      </c>
      <c r="M61" s="163"/>
      <c r="N61" s="163">
        <v>8.4</v>
      </c>
      <c r="O61" s="163"/>
      <c r="P61" s="182">
        <v>22.3</v>
      </c>
      <c r="Q61" s="171">
        <f t="shared" si="13"/>
        <v>112</v>
      </c>
      <c r="R61" s="170">
        <v>19.759</v>
      </c>
      <c r="S61" s="168">
        <v>23.08</v>
      </c>
      <c r="T61" s="171">
        <v>1656</v>
      </c>
      <c r="U61" s="171">
        <f>T61/R61</f>
        <v>83.809909408370871</v>
      </c>
      <c r="V61" s="169">
        <f t="shared" si="8"/>
        <v>14.389081455805886</v>
      </c>
      <c r="W61" s="170">
        <v>0.2</v>
      </c>
      <c r="X61" s="171">
        <f t="shared" si="20"/>
        <v>0.20607142857142854</v>
      </c>
      <c r="Y61" s="171">
        <f t="shared" si="22"/>
        <v>18.759194600000001</v>
      </c>
      <c r="Z61" s="171">
        <f t="shared" si="22"/>
        <v>21.912151999999999</v>
      </c>
      <c r="AA61" s="171">
        <f t="shared" si="22"/>
        <v>1572.2064</v>
      </c>
      <c r="AB61" s="171">
        <f t="shared" si="5"/>
        <v>83.809909408370871</v>
      </c>
      <c r="AC61" s="171">
        <f t="shared" si="3"/>
        <v>14.389081455805886</v>
      </c>
      <c r="AD61" s="163">
        <v>31</v>
      </c>
      <c r="AE61" s="171">
        <f t="shared" si="23"/>
        <v>581.53503260000002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439</v>
      </c>
      <c r="M62" s="163"/>
      <c r="N62" s="163">
        <v>8.1</v>
      </c>
      <c r="O62" s="163"/>
      <c r="P62" s="182">
        <v>18.760000000000002</v>
      </c>
      <c r="Q62" s="171">
        <f t="shared" si="13"/>
        <v>34.1</v>
      </c>
      <c r="R62" s="170">
        <v>12.8</v>
      </c>
      <c r="S62" s="168">
        <v>15.378</v>
      </c>
      <c r="T62" s="171">
        <v>528</v>
      </c>
      <c r="U62" s="171">
        <f>T62/R62</f>
        <v>41.25</v>
      </c>
      <c r="V62" s="169">
        <f t="shared" si="8"/>
        <v>16.76420860970217</v>
      </c>
      <c r="W62" s="170">
        <v>0.4</v>
      </c>
      <c r="X62" s="171">
        <f t="shared" si="20"/>
        <v>0.45096774193548383</v>
      </c>
      <c r="Y62" s="171">
        <f t="shared" si="22"/>
        <v>12.152320000000001</v>
      </c>
      <c r="Z62" s="171">
        <f t="shared" si="22"/>
        <v>14.599873200000001</v>
      </c>
      <c r="AA62" s="171">
        <f t="shared" si="22"/>
        <v>501.28320000000002</v>
      </c>
      <c r="AB62" s="171">
        <f t="shared" si="5"/>
        <v>41.25</v>
      </c>
      <c r="AC62" s="171">
        <f t="shared" si="3"/>
        <v>16.76420860970217</v>
      </c>
      <c r="AD62" s="163">
        <v>31</v>
      </c>
      <c r="AE62" s="171">
        <f t="shared" si="23"/>
        <v>376.72192000000007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438</v>
      </c>
      <c r="M63" s="163"/>
      <c r="N63" s="163">
        <v>8.1</v>
      </c>
      <c r="O63" s="163"/>
      <c r="P63" s="182">
        <v>20.2</v>
      </c>
      <c r="Q63" s="171">
        <f t="shared" si="13"/>
        <v>25.3</v>
      </c>
      <c r="R63" s="170">
        <v>7.3079999999999998</v>
      </c>
      <c r="S63" s="168">
        <v>9.5220000000000002</v>
      </c>
      <c r="T63" s="171">
        <v>102</v>
      </c>
      <c r="U63" s="171">
        <f>T63/R63</f>
        <v>13.957307060755337</v>
      </c>
      <c r="V63" s="169">
        <f t="shared" si="8"/>
        <v>23.251417769376186</v>
      </c>
      <c r="W63" s="170">
        <v>0.3</v>
      </c>
      <c r="X63" s="171">
        <f t="shared" si="20"/>
        <v>0.37636363636363634</v>
      </c>
      <c r="Y63" s="171">
        <f t="shared" si="22"/>
        <v>6.9382152000000001</v>
      </c>
      <c r="Z63" s="171">
        <f t="shared" si="22"/>
        <v>9.0401868000000007</v>
      </c>
      <c r="AA63" s="171">
        <f t="shared" si="22"/>
        <v>96.838800000000006</v>
      </c>
      <c r="AB63" s="171">
        <f t="shared" si="5"/>
        <v>13.957307060755337</v>
      </c>
      <c r="AC63" s="171">
        <f t="shared" si="3"/>
        <v>23.251417769376186</v>
      </c>
      <c r="AD63" s="163">
        <v>31</v>
      </c>
      <c r="AE63" s="171">
        <f>Y63*AD63</f>
        <v>215.0846712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455</v>
      </c>
      <c r="M64" s="163"/>
      <c r="N64" s="163">
        <v>8.6999999999999993</v>
      </c>
      <c r="O64" s="163"/>
      <c r="P64" s="182">
        <v>18.59</v>
      </c>
      <c r="Q64" s="171">
        <f t="shared" si="13"/>
        <v>91.2</v>
      </c>
      <c r="R64" s="170">
        <v>9.8539999999999992</v>
      </c>
      <c r="S64" s="168">
        <v>11.621</v>
      </c>
      <c r="T64" s="171">
        <v>452</v>
      </c>
      <c r="U64" s="171">
        <f t="shared" si="7"/>
        <v>45.869697584737168</v>
      </c>
      <c r="V64" s="169">
        <f t="shared" si="8"/>
        <v>15.205231907753216</v>
      </c>
      <c r="W64" s="170">
        <v>0.3</v>
      </c>
      <c r="X64" s="171">
        <f t="shared" si="20"/>
        <v>0.12742324561403509</v>
      </c>
      <c r="Y64" s="171">
        <f t="shared" si="22"/>
        <v>9.3553876000000002</v>
      </c>
      <c r="Z64" s="171">
        <f t="shared" si="22"/>
        <v>11.0329774</v>
      </c>
      <c r="AA64" s="171">
        <f t="shared" si="22"/>
        <v>429.12880000000001</v>
      </c>
      <c r="AB64" s="171">
        <f t="shared" si="5"/>
        <v>45.869697584737168</v>
      </c>
      <c r="AC64" s="171">
        <f t="shared" si="3"/>
        <v>15.205231907753216</v>
      </c>
      <c r="AD64" s="163">
        <v>31</v>
      </c>
      <c r="AE64" s="171">
        <f t="shared" si="23"/>
        <v>290.01701560000004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218</v>
      </c>
      <c r="I65" s="158">
        <v>579.14</v>
      </c>
      <c r="J65" s="163">
        <v>130</v>
      </c>
      <c r="K65" s="163"/>
      <c r="L65" s="163">
        <v>143</v>
      </c>
      <c r="M65" s="163"/>
      <c r="N65" s="163">
        <v>8.1999999999999993</v>
      </c>
      <c r="O65" s="163"/>
      <c r="P65" s="182">
        <v>46.34</v>
      </c>
      <c r="Q65" s="171">
        <f t="shared" si="13"/>
        <v>41.6</v>
      </c>
      <c r="R65" s="170">
        <v>10.006</v>
      </c>
      <c r="S65" s="168">
        <v>19.832000000000001</v>
      </c>
      <c r="T65" s="171">
        <v>84</v>
      </c>
      <c r="U65" s="171">
        <f t="shared" si="7"/>
        <v>8.3949630221866887</v>
      </c>
      <c r="V65" s="169">
        <f t="shared" si="8"/>
        <v>49.546187979023799</v>
      </c>
      <c r="W65" s="170">
        <v>0.3</v>
      </c>
      <c r="X65" s="171">
        <f t="shared" si="20"/>
        <v>0.47673076923076924</v>
      </c>
      <c r="Y65" s="171">
        <v>28.6</v>
      </c>
      <c r="Z65" s="171">
        <v>40.880000000000003</v>
      </c>
      <c r="AA65" s="171">
        <v>579.79999999999995</v>
      </c>
      <c r="AB65" s="171">
        <f t="shared" si="5"/>
        <v>8.3949630221866887</v>
      </c>
      <c r="AC65" s="171">
        <v>30</v>
      </c>
      <c r="AD65" s="163">
        <v>31</v>
      </c>
      <c r="AE65" s="171">
        <f t="shared" si="23"/>
        <v>886.6</v>
      </c>
      <c r="AF65" s="321"/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218</v>
      </c>
      <c r="I66" s="158">
        <v>508.57</v>
      </c>
      <c r="J66" s="163">
        <v>115</v>
      </c>
      <c r="K66" s="163"/>
      <c r="L66" s="163">
        <v>146</v>
      </c>
      <c r="M66" s="163"/>
      <c r="N66" s="163">
        <v>8.9</v>
      </c>
      <c r="O66" s="163"/>
      <c r="P66" s="182">
        <v>41.88</v>
      </c>
      <c r="Q66" s="171">
        <f t="shared" si="13"/>
        <v>36.799999999999997</v>
      </c>
      <c r="R66" s="170">
        <v>25.113</v>
      </c>
      <c r="S66" s="168">
        <v>29.016999999999999</v>
      </c>
      <c r="T66" s="171">
        <v>545</v>
      </c>
      <c r="U66" s="171">
        <f t="shared" si="7"/>
        <v>21.70190737864851</v>
      </c>
      <c r="V66" s="169">
        <f t="shared" si="8"/>
        <v>13.454182031223075</v>
      </c>
      <c r="W66" s="170">
        <v>0.2</v>
      </c>
      <c r="X66" s="171">
        <f t="shared" si="20"/>
        <v>0.78850543478260871</v>
      </c>
      <c r="Y66" s="171">
        <v>18.3</v>
      </c>
      <c r="Z66" s="171">
        <v>21.37</v>
      </c>
      <c r="AA66" s="171">
        <v>490.49</v>
      </c>
      <c r="AB66" s="171">
        <f t="shared" si="5"/>
        <v>21.70190737864851</v>
      </c>
      <c r="AC66" s="171">
        <v>14.18</v>
      </c>
      <c r="AD66" s="163">
        <v>31</v>
      </c>
      <c r="AE66" s="171">
        <f t="shared" si="23"/>
        <v>567.30000000000007</v>
      </c>
      <c r="AF66" s="321"/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>
        <v>150</v>
      </c>
      <c r="K67" s="163"/>
      <c r="L67" s="163">
        <v>369</v>
      </c>
      <c r="M67" s="163"/>
      <c r="N67" s="163">
        <v>10</v>
      </c>
      <c r="O67" s="163"/>
      <c r="P67" s="182">
        <v>25.23</v>
      </c>
      <c r="Q67" s="171">
        <f t="shared" si="13"/>
        <v>48</v>
      </c>
      <c r="R67" s="170">
        <v>18.899999999999999</v>
      </c>
      <c r="S67" s="168">
        <v>22.023</v>
      </c>
      <c r="T67" s="171">
        <v>1156</v>
      </c>
      <c r="U67" s="171">
        <f t="shared" si="7"/>
        <v>61.164021164021172</v>
      </c>
      <c r="V67" s="169">
        <f t="shared" si="8"/>
        <v>14.180629342051496</v>
      </c>
      <c r="W67" s="170">
        <v>0.3</v>
      </c>
      <c r="X67" s="171">
        <f t="shared" si="20"/>
        <v>0.45881250000000001</v>
      </c>
      <c r="Y67" s="171">
        <f t="shared" ref="Y67:AA73" si="24">R67*0.9494</f>
        <v>17.943659999999998</v>
      </c>
      <c r="Z67" s="171">
        <f t="shared" si="24"/>
        <v>20.9086362</v>
      </c>
      <c r="AA67" s="171">
        <f t="shared" si="24"/>
        <v>1097.5064</v>
      </c>
      <c r="AB67" s="171">
        <f t="shared" si="5"/>
        <v>61.164021164021172</v>
      </c>
      <c r="AC67" s="171">
        <f t="shared" si="3"/>
        <v>14.180629342051496</v>
      </c>
      <c r="AD67" s="163">
        <v>31</v>
      </c>
      <c r="AE67" s="171">
        <f t="shared" si="23"/>
        <v>556.2534599999999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453</v>
      </c>
      <c r="M68" s="163"/>
      <c r="N68" s="163">
        <v>9.1999999999999993</v>
      </c>
      <c r="O68" s="163"/>
      <c r="P68" s="182">
        <v>18.899999999999999</v>
      </c>
      <c r="Q68" s="171">
        <f t="shared" si="13"/>
        <v>104</v>
      </c>
      <c r="R68" s="170">
        <v>13.462999999999999</v>
      </c>
      <c r="S68" s="168">
        <v>15.782</v>
      </c>
      <c r="T68" s="171">
        <v>692</v>
      </c>
      <c r="U68" s="171">
        <f t="shared" si="7"/>
        <v>51.400133699769739</v>
      </c>
      <c r="V68" s="169">
        <f t="shared" si="8"/>
        <v>14.693955138765688</v>
      </c>
      <c r="W68" s="170">
        <v>0.3</v>
      </c>
      <c r="X68" s="171">
        <f t="shared" si="20"/>
        <v>0.15175</v>
      </c>
      <c r="Y68" s="171">
        <f t="shared" si="24"/>
        <v>12.781772199999999</v>
      </c>
      <c r="Z68" s="171">
        <f t="shared" si="24"/>
        <v>14.983430800000001</v>
      </c>
      <c r="AA68" s="171">
        <f t="shared" si="24"/>
        <v>656.98480000000006</v>
      </c>
      <c r="AB68" s="171">
        <f t="shared" si="5"/>
        <v>51.400133699769739</v>
      </c>
      <c r="AC68" s="171">
        <f t="shared" si="3"/>
        <v>14.693955138765688</v>
      </c>
      <c r="AD68" s="163">
        <v>31</v>
      </c>
      <c r="AE68" s="171">
        <f t="shared" si="23"/>
        <v>396.23493819999999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>
        <v>85</v>
      </c>
      <c r="K69" s="163"/>
      <c r="L69" s="163">
        <v>244</v>
      </c>
      <c r="M69" s="163"/>
      <c r="N69" s="163">
        <v>9.9</v>
      </c>
      <c r="O69" s="163"/>
      <c r="P69" s="182">
        <v>42.54</v>
      </c>
      <c r="Q69" s="171">
        <f t="shared" si="13"/>
        <v>10.199999999999999</v>
      </c>
      <c r="R69" s="170">
        <v>0.23499999999999999</v>
      </c>
      <c r="S69" s="168">
        <v>4.1820000000000004</v>
      </c>
      <c r="T69" s="171">
        <v>16.5</v>
      </c>
      <c r="U69" s="171">
        <f t="shared" si="7"/>
        <v>70.212765957446805</v>
      </c>
      <c r="V69" s="169">
        <f t="shared" si="8"/>
        <v>94.380679100908665</v>
      </c>
      <c r="W69" s="170">
        <v>0.3</v>
      </c>
      <c r="X69" s="171">
        <f t="shared" si="20"/>
        <v>0.41000000000000009</v>
      </c>
      <c r="Y69" s="171">
        <f t="shared" si="24"/>
        <v>0.223109</v>
      </c>
      <c r="Z69" s="171">
        <f t="shared" si="24"/>
        <v>3.9703908000000006</v>
      </c>
      <c r="AA69" s="171">
        <f t="shared" si="24"/>
        <v>15.665100000000001</v>
      </c>
      <c r="AB69" s="171">
        <f t="shared" si="5"/>
        <v>70.212765957446805</v>
      </c>
      <c r="AC69" s="171">
        <f t="shared" si="3"/>
        <v>94.380679100908665</v>
      </c>
      <c r="AD69" s="163">
        <v>31</v>
      </c>
      <c r="AE69" s="171">
        <f t="shared" si="23"/>
        <v>6.9163790000000001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90</v>
      </c>
      <c r="K70" s="163"/>
      <c r="L70" s="163">
        <v>448</v>
      </c>
      <c r="M70" s="163"/>
      <c r="N70" s="163">
        <v>4.3</v>
      </c>
      <c r="O70" s="163"/>
      <c r="P70" s="182">
        <v>16.14</v>
      </c>
      <c r="Q70" s="171">
        <f t="shared" si="13"/>
        <v>19.8</v>
      </c>
      <c r="R70" s="170">
        <v>4.6529999999999996</v>
      </c>
      <c r="S70" s="168">
        <v>5.508</v>
      </c>
      <c r="T70" s="171">
        <v>30</v>
      </c>
      <c r="U70" s="171">
        <f t="shared" si="7"/>
        <v>6.4474532559638948</v>
      </c>
      <c r="V70" s="169">
        <f t="shared" si="8"/>
        <v>15.522875816993473</v>
      </c>
      <c r="W70" s="170">
        <v>1.1000000000000001</v>
      </c>
      <c r="X70" s="171">
        <f t="shared" si="20"/>
        <v>0.2781818181818182</v>
      </c>
      <c r="Y70" s="171">
        <f t="shared" si="24"/>
        <v>4.4175581999999993</v>
      </c>
      <c r="Z70" s="171">
        <f t="shared" si="24"/>
        <v>5.2292952000000001</v>
      </c>
      <c r="AA70" s="171">
        <f t="shared" si="24"/>
        <v>28.481999999999999</v>
      </c>
      <c r="AB70" s="171">
        <f t="shared" si="5"/>
        <v>6.4474532559638948</v>
      </c>
      <c r="AC70" s="171">
        <f t="shared" si="3"/>
        <v>15.522875816993473</v>
      </c>
      <c r="AD70" s="163">
        <v>31</v>
      </c>
      <c r="AE70" s="171">
        <f t="shared" si="23"/>
        <v>136.94430419999998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100</v>
      </c>
      <c r="K71" s="163"/>
      <c r="L71" s="163">
        <v>473</v>
      </c>
      <c r="M71" s="163"/>
      <c r="N71" s="163">
        <v>3</v>
      </c>
      <c r="O71" s="163"/>
      <c r="P71" s="182">
        <v>12.48</v>
      </c>
      <c r="Q71" s="171">
        <f t="shared" si="13"/>
        <v>13</v>
      </c>
      <c r="R71" s="170">
        <v>3.05</v>
      </c>
      <c r="S71" s="168">
        <v>3.6059999999999999</v>
      </c>
      <c r="T71" s="171">
        <v>0</v>
      </c>
      <c r="U71" s="171">
        <f t="shared" si="7"/>
        <v>0</v>
      </c>
      <c r="V71" s="169">
        <f t="shared" si="8"/>
        <v>15.418746533555188</v>
      </c>
      <c r="W71" s="170">
        <v>0.7</v>
      </c>
      <c r="X71" s="171">
        <f t="shared" si="20"/>
        <v>0.2773846153846154</v>
      </c>
      <c r="Y71" s="171">
        <f t="shared" si="24"/>
        <v>2.89567</v>
      </c>
      <c r="Z71" s="171">
        <f t="shared" si="24"/>
        <v>3.4235364000000001</v>
      </c>
      <c r="AA71" s="171">
        <f t="shared" si="24"/>
        <v>0</v>
      </c>
      <c r="AB71" s="171">
        <f t="shared" si="5"/>
        <v>0</v>
      </c>
      <c r="AC71" s="171">
        <f t="shared" si="3"/>
        <v>15.418746533555188</v>
      </c>
      <c r="AD71" s="163">
        <v>31</v>
      </c>
      <c r="AE71" s="171">
        <f t="shared" si="23"/>
        <v>89.765770000000003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402</v>
      </c>
      <c r="M72" s="163"/>
      <c r="N72" s="163">
        <v>8.1</v>
      </c>
      <c r="O72" s="163"/>
      <c r="P72" s="160">
        <v>24.8</v>
      </c>
      <c r="Q72" s="171">
        <f>LEFT(H72,(FIND("K",H72,1)-1))*J72/100</f>
        <v>9</v>
      </c>
      <c r="R72" s="170">
        <v>2.7440000000000002</v>
      </c>
      <c r="S72" s="168">
        <v>4.51</v>
      </c>
      <c r="T72" s="171">
        <v>2.5</v>
      </c>
      <c r="U72" s="171">
        <f t="shared" si="7"/>
        <v>0.91107871720116607</v>
      </c>
      <c r="V72" s="169">
        <f t="shared" si="8"/>
        <v>39.157427937915735</v>
      </c>
      <c r="W72" s="170">
        <v>1</v>
      </c>
      <c r="X72" s="171">
        <f t="shared" si="20"/>
        <v>0.50111111111111106</v>
      </c>
      <c r="Y72" s="171">
        <f t="shared" si="24"/>
        <v>2.6051536000000004</v>
      </c>
      <c r="Z72" s="171">
        <f t="shared" si="24"/>
        <v>4.2817939999999997</v>
      </c>
      <c r="AA72" s="171">
        <f t="shared" si="24"/>
        <v>2.3734999999999999</v>
      </c>
      <c r="AB72" s="171">
        <f t="shared" si="5"/>
        <v>0.91107871720116607</v>
      </c>
      <c r="AC72" s="171">
        <f t="shared" si="3"/>
        <v>39.157427937915735</v>
      </c>
      <c r="AD72" s="163">
        <v>31</v>
      </c>
      <c r="AE72" s="171">
        <f>Y72*AD72</f>
        <v>80.759761600000019</v>
      </c>
      <c r="AF72" s="179"/>
    </row>
    <row r="73" spans="1:32" ht="15.75" customHeight="1" x14ac:dyDescent="0.2">
      <c r="A73" s="184">
        <v>60</v>
      </c>
      <c r="B73" s="219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229</v>
      </c>
      <c r="M73" s="158"/>
      <c r="N73" s="163">
        <v>4.9000000000000004</v>
      </c>
      <c r="O73" s="158"/>
      <c r="P73" s="284">
        <v>39.01</v>
      </c>
      <c r="Q73" s="174">
        <f>LEFT(H73,(FIND("K",H73,1)-1))*J73/100</f>
        <v>13</v>
      </c>
      <c r="R73" s="170">
        <v>0.44900000000000001</v>
      </c>
      <c r="S73" s="168">
        <v>1.544</v>
      </c>
      <c r="T73" s="174">
        <v>0</v>
      </c>
      <c r="U73" s="171">
        <f t="shared" si="7"/>
        <v>0</v>
      </c>
      <c r="V73" s="169">
        <f t="shared" si="8"/>
        <v>70.919689119170982</v>
      </c>
      <c r="W73" s="170">
        <v>0.6</v>
      </c>
      <c r="X73" s="171">
        <f t="shared" si="20"/>
        <v>0.11876923076923077</v>
      </c>
      <c r="Y73" s="171">
        <f t="shared" si="24"/>
        <v>0.42628060000000001</v>
      </c>
      <c r="Z73" s="171">
        <f t="shared" si="24"/>
        <v>1.4658736000000001</v>
      </c>
      <c r="AA73" s="171">
        <f t="shared" si="24"/>
        <v>0</v>
      </c>
      <c r="AB73" s="171">
        <f t="shared" si="5"/>
        <v>0</v>
      </c>
      <c r="AC73" s="171">
        <f t="shared" si="3"/>
        <v>70.919689119170982</v>
      </c>
      <c r="AD73" s="163">
        <v>31</v>
      </c>
      <c r="AE73" s="171">
        <f>Y73*AD73</f>
        <v>13.2146986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397.2700000000001</v>
      </c>
      <c r="S74" s="209">
        <f>SUM(S14:S73)</f>
        <v>562.5619999999999</v>
      </c>
      <c r="T74" s="209">
        <f>SUM(T14:T73)</f>
        <v>20230</v>
      </c>
      <c r="U74" s="209">
        <f>T74/R74</f>
        <v>50.922546379036916</v>
      </c>
      <c r="V74" s="209"/>
      <c r="W74" s="209"/>
      <c r="X74" s="209"/>
      <c r="Y74" s="209">
        <f>SUM(Y14:Y73)</f>
        <v>388.31334649999991</v>
      </c>
      <c r="Z74" s="209">
        <f>SUM(Z14:Z73)</f>
        <v>546.37791090000007</v>
      </c>
      <c r="AA74" s="209">
        <f>SUM(AA14:AA73)</f>
        <v>19698.030699999999</v>
      </c>
      <c r="AB74" s="209">
        <f>AA74/Y74</f>
        <v>50.727153412431072</v>
      </c>
      <c r="AC74" s="209"/>
      <c r="AD74" s="209"/>
      <c r="AE74" s="210">
        <f>SUM(AE14:AE73)</f>
        <v>12016.674741500003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325"/>
      <c r="H75" s="324"/>
      <c r="I75" s="324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330"/>
      <c r="V75" s="325"/>
      <c r="W75" s="325"/>
      <c r="X75" s="157"/>
      <c r="Y75" s="158"/>
      <c r="Z75" s="158"/>
      <c r="AA75" s="158"/>
      <c r="AB75" s="332"/>
      <c r="AC75" s="325"/>
      <c r="AD75" s="158"/>
      <c r="AE75" s="158"/>
      <c r="AF75" s="324"/>
    </row>
    <row r="76" spans="1:32" ht="15.75" customHeight="1" x14ac:dyDescent="0.2">
      <c r="A76" s="216">
        <v>61</v>
      </c>
      <c r="B76" s="163" t="s">
        <v>131</v>
      </c>
      <c r="C76" s="216" t="s">
        <v>177</v>
      </c>
      <c r="D76" s="165">
        <v>389.74</v>
      </c>
      <c r="E76" s="32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170</v>
      </c>
      <c r="K76" s="163"/>
      <c r="L76" s="163">
        <v>31</v>
      </c>
      <c r="M76" s="163"/>
      <c r="N76" s="163">
        <v>0.5</v>
      </c>
      <c r="O76" s="163"/>
      <c r="P76" s="182">
        <v>15.04</v>
      </c>
      <c r="Q76" s="174"/>
      <c r="R76" s="170">
        <v>2.2850000000000001</v>
      </c>
      <c r="S76" s="171">
        <v>2.52</v>
      </c>
      <c r="T76" s="171">
        <v>0</v>
      </c>
      <c r="U76" s="171">
        <f>T76/R76</f>
        <v>0</v>
      </c>
      <c r="V76" s="169">
        <f t="shared" ref="V76:V79" si="25">(S76-R76)/S76*100</f>
        <v>9.3253968253968207</v>
      </c>
      <c r="W76" s="170">
        <v>1</v>
      </c>
      <c r="X76" s="171"/>
      <c r="Y76" s="171">
        <f>R76*0.9494</f>
        <v>2.1693790000000002</v>
      </c>
      <c r="Z76" s="171">
        <f t="shared" ref="Z76:AA79" si="26">S76*0.9494</f>
        <v>2.3924880000000002</v>
      </c>
      <c r="AA76" s="171">
        <f t="shared" si="26"/>
        <v>0</v>
      </c>
      <c r="AB76" s="171">
        <f t="shared" ref="AB76:AC79" si="27">U76</f>
        <v>0</v>
      </c>
      <c r="AC76" s="171">
        <f t="shared" si="27"/>
        <v>9.3253968253968207</v>
      </c>
      <c r="AD76" s="163">
        <v>31</v>
      </c>
      <c r="AE76" s="171">
        <f>Y76*AD76</f>
        <v>67.250748999999999</v>
      </c>
      <c r="AF76" s="179"/>
    </row>
    <row r="77" spans="1:32" ht="15.75" customHeight="1" x14ac:dyDescent="0.2">
      <c r="A77" s="216">
        <v>62</v>
      </c>
      <c r="B77" s="163" t="s">
        <v>132</v>
      </c>
      <c r="C77" s="216" t="s">
        <v>177</v>
      </c>
      <c r="D77" s="163">
        <v>387.72</v>
      </c>
      <c r="E77" s="323" t="s">
        <v>135</v>
      </c>
      <c r="F77" s="163">
        <v>177.8</v>
      </c>
      <c r="G77" s="163" t="s">
        <v>28</v>
      </c>
      <c r="H77" s="165" t="s">
        <v>58</v>
      </c>
      <c r="I77" s="158">
        <v>136.03</v>
      </c>
      <c r="J77" s="163">
        <v>105</v>
      </c>
      <c r="K77" s="163"/>
      <c r="L77" s="163">
        <v>23</v>
      </c>
      <c r="M77" s="163"/>
      <c r="N77" s="163">
        <v>0.5</v>
      </c>
      <c r="O77" s="163"/>
      <c r="P77" s="182">
        <v>14.45</v>
      </c>
      <c r="Q77" s="171"/>
      <c r="R77" s="170">
        <v>2.3889999999999998</v>
      </c>
      <c r="S77" s="171">
        <v>2.7909999999999999</v>
      </c>
      <c r="T77" s="171">
        <v>0</v>
      </c>
      <c r="U77" s="171">
        <v>0</v>
      </c>
      <c r="V77" s="169">
        <f t="shared" si="25"/>
        <v>14.403439627373707</v>
      </c>
      <c r="W77" s="170">
        <v>1</v>
      </c>
      <c r="X77" s="171"/>
      <c r="Y77" s="171">
        <f t="shared" ref="Y77:Y79" si="28">R77*0.9494</f>
        <v>2.2681165999999999</v>
      </c>
      <c r="Z77" s="171">
        <f t="shared" si="26"/>
        <v>2.6497753999999998</v>
      </c>
      <c r="AA77" s="171">
        <f t="shared" si="26"/>
        <v>0</v>
      </c>
      <c r="AB77" s="171">
        <v>0</v>
      </c>
      <c r="AC77" s="171">
        <f>V77</f>
        <v>14.403439627373707</v>
      </c>
      <c r="AD77" s="163">
        <v>31</v>
      </c>
      <c r="AE77" s="171">
        <f>Y77*AD77</f>
        <v>70.311614599999999</v>
      </c>
      <c r="AF77" s="190"/>
    </row>
    <row r="78" spans="1:32" ht="15.75" customHeight="1" x14ac:dyDescent="0.2">
      <c r="A78" s="285">
        <v>63</v>
      </c>
      <c r="B78" s="163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>
        <v>140.41999999999999</v>
      </c>
      <c r="J78" s="163">
        <v>105</v>
      </c>
      <c r="K78" s="163"/>
      <c r="L78" s="163">
        <v>23</v>
      </c>
      <c r="M78" s="163"/>
      <c r="N78" s="163">
        <v>0.8</v>
      </c>
      <c r="O78" s="163"/>
      <c r="P78" s="182">
        <v>14.65</v>
      </c>
      <c r="Q78" s="171"/>
      <c r="R78" s="170">
        <v>1.57</v>
      </c>
      <c r="S78" s="171">
        <v>1.8720000000000001</v>
      </c>
      <c r="T78" s="171">
        <v>0</v>
      </c>
      <c r="U78" s="171">
        <v>0</v>
      </c>
      <c r="V78" s="169">
        <f t="shared" si="25"/>
        <v>16.132478632478634</v>
      </c>
      <c r="W78" s="170">
        <v>23</v>
      </c>
      <c r="X78" s="171"/>
      <c r="Y78" s="171">
        <v>0</v>
      </c>
      <c r="Z78" s="171">
        <v>0</v>
      </c>
      <c r="AA78" s="171">
        <f t="shared" si="26"/>
        <v>0</v>
      </c>
      <c r="AB78" s="171">
        <v>0</v>
      </c>
      <c r="AC78" s="171">
        <f>V78</f>
        <v>16.132478632478634</v>
      </c>
      <c r="AD78" s="163">
        <v>0</v>
      </c>
      <c r="AE78" s="171">
        <f>Y78*AD78</f>
        <v>0</v>
      </c>
      <c r="AF78" s="172" t="s">
        <v>215</v>
      </c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210</v>
      </c>
      <c r="K79" s="175"/>
      <c r="L79" s="163">
        <v>45</v>
      </c>
      <c r="M79" s="175"/>
      <c r="N79" s="163">
        <v>0.5</v>
      </c>
      <c r="O79" s="175"/>
      <c r="P79" s="182">
        <v>13.57</v>
      </c>
      <c r="Q79" s="171"/>
      <c r="R79" s="170">
        <v>5.6139999999999999</v>
      </c>
      <c r="S79" s="171">
        <v>5.75</v>
      </c>
      <c r="T79" s="171">
        <v>0</v>
      </c>
      <c r="U79" s="171">
        <f>T79/R79</f>
        <v>0</v>
      </c>
      <c r="V79" s="169">
        <f t="shared" si="25"/>
        <v>2.3652173913043502</v>
      </c>
      <c r="W79" s="171">
        <v>5</v>
      </c>
      <c r="X79" s="171"/>
      <c r="Y79" s="171">
        <f t="shared" si="28"/>
        <v>5.3299316000000001</v>
      </c>
      <c r="Z79" s="171">
        <f t="shared" si="26"/>
        <v>5.4590500000000004</v>
      </c>
      <c r="AA79" s="171">
        <f t="shared" si="26"/>
        <v>0</v>
      </c>
      <c r="AB79" s="171">
        <f t="shared" si="27"/>
        <v>0</v>
      </c>
      <c r="AC79" s="171">
        <f t="shared" si="27"/>
        <v>2.3652173913043502</v>
      </c>
      <c r="AD79" s="163">
        <v>31</v>
      </c>
      <c r="AE79" s="171">
        <f>Y79*AD79</f>
        <v>165.22787959999999</v>
      </c>
      <c r="AF79" s="177"/>
    </row>
    <row r="80" spans="1:32" ht="15.75" customHeight="1" x14ac:dyDescent="0.2">
      <c r="A80" s="163">
        <v>65</v>
      </c>
      <c r="B80" s="215" t="s">
        <v>57</v>
      </c>
      <c r="C80" s="215" t="s">
        <v>176</v>
      </c>
      <c r="D80" s="215">
        <v>681.52</v>
      </c>
      <c r="E80" s="164" t="s">
        <v>93</v>
      </c>
      <c r="F80" s="163">
        <v>177.8</v>
      </c>
      <c r="G80" s="163"/>
      <c r="H80" s="165"/>
      <c r="I80" s="171"/>
      <c r="J80" s="163"/>
      <c r="K80" s="175"/>
      <c r="L80" s="163"/>
      <c r="M80" s="175"/>
      <c r="N80" s="163"/>
      <c r="O80" s="175"/>
      <c r="P80" s="182"/>
      <c r="Q80" s="171"/>
      <c r="R80" s="170"/>
      <c r="S80" s="171"/>
      <c r="T80" s="171"/>
      <c r="U80" s="171"/>
      <c r="V80" s="169"/>
      <c r="W80" s="171"/>
      <c r="X80" s="171"/>
      <c r="Y80" s="171"/>
      <c r="Z80" s="171"/>
      <c r="AA80" s="171"/>
      <c r="AB80" s="171"/>
      <c r="AC80" s="171"/>
      <c r="AD80" s="163"/>
      <c r="AE80" s="171"/>
      <c r="AF80" s="172" t="s">
        <v>283</v>
      </c>
    </row>
    <row r="81" spans="1:32" ht="15.75" customHeight="1" x14ac:dyDescent="0.2">
      <c r="A81" s="163">
        <v>66</v>
      </c>
      <c r="B81" s="215" t="s">
        <v>188</v>
      </c>
      <c r="C81" s="215" t="s">
        <v>183</v>
      </c>
      <c r="D81" s="215">
        <v>408.86</v>
      </c>
      <c r="E81" s="164" t="s">
        <v>235</v>
      </c>
      <c r="F81" s="163">
        <v>177.8</v>
      </c>
      <c r="G81" s="163"/>
      <c r="H81" s="165"/>
      <c r="I81" s="171"/>
      <c r="J81" s="163"/>
      <c r="K81" s="175"/>
      <c r="L81" s="163"/>
      <c r="M81" s="175"/>
      <c r="N81" s="163"/>
      <c r="O81" s="175"/>
      <c r="P81" s="182"/>
      <c r="Q81" s="171"/>
      <c r="R81" s="170"/>
      <c r="S81" s="171"/>
      <c r="T81" s="171"/>
      <c r="U81" s="171"/>
      <c r="V81" s="169"/>
      <c r="W81" s="171"/>
      <c r="X81" s="171"/>
      <c r="Y81" s="171"/>
      <c r="Z81" s="171"/>
      <c r="AA81" s="171"/>
      <c r="AB81" s="171"/>
      <c r="AC81" s="171"/>
      <c r="AD81" s="163"/>
      <c r="AE81" s="171"/>
      <c r="AF81" s="172" t="s">
        <v>283</v>
      </c>
    </row>
    <row r="82" spans="1:32" ht="15.75" customHeight="1" x14ac:dyDescent="0.2">
      <c r="A82" s="163">
        <v>67</v>
      </c>
      <c r="B82" s="215" t="s">
        <v>184</v>
      </c>
      <c r="C82" s="215" t="s">
        <v>176</v>
      </c>
      <c r="D82" s="215">
        <v>422.78</v>
      </c>
      <c r="E82" s="164" t="s">
        <v>185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customHeight="1" x14ac:dyDescent="0.2">
      <c r="A83" s="163">
        <v>68</v>
      </c>
      <c r="B83" s="215" t="s">
        <v>186</v>
      </c>
      <c r="C83" s="215" t="s">
        <v>176</v>
      </c>
      <c r="D83" s="215">
        <v>387.56</v>
      </c>
      <c r="E83" s="164"/>
      <c r="F83" s="163">
        <v>177.8</v>
      </c>
      <c r="G83" s="163"/>
      <c r="H83" s="165"/>
      <c r="I83" s="171"/>
      <c r="J83" s="163"/>
      <c r="K83" s="175"/>
      <c r="L83" s="163"/>
      <c r="M83" s="175"/>
      <c r="N83" s="163"/>
      <c r="O83" s="175"/>
      <c r="P83" s="182"/>
      <c r="Q83" s="171"/>
      <c r="R83" s="170"/>
      <c r="S83" s="171"/>
      <c r="T83" s="171"/>
      <c r="U83" s="171"/>
      <c r="V83" s="169"/>
      <c r="W83" s="171"/>
      <c r="X83" s="171"/>
      <c r="Y83" s="171"/>
      <c r="Z83" s="171"/>
      <c r="AA83" s="171"/>
      <c r="AB83" s="171"/>
      <c r="AC83" s="171"/>
      <c r="AD83" s="163"/>
      <c r="AE83" s="171"/>
      <c r="AF83" s="172" t="s">
        <v>283</v>
      </c>
    </row>
    <row r="84" spans="1:32" ht="15.75" customHeight="1" x14ac:dyDescent="0.2">
      <c r="A84" s="306"/>
      <c r="B84" s="1834"/>
      <c r="C84" s="1834"/>
      <c r="D84" s="1834"/>
      <c r="E84" s="1835"/>
      <c r="F84" s="158"/>
      <c r="G84" s="325"/>
      <c r="H84" s="324"/>
      <c r="I84" s="324"/>
      <c r="J84" s="158"/>
      <c r="K84" s="158"/>
      <c r="L84" s="158"/>
      <c r="M84" s="158"/>
      <c r="N84" s="158"/>
      <c r="O84" s="158"/>
      <c r="P84" s="160"/>
      <c r="Q84" s="174"/>
      <c r="R84" s="209">
        <f>SUM(R76:R79)</f>
        <v>11.858000000000001</v>
      </c>
      <c r="S84" s="209">
        <f>SUM(S76:S79)</f>
        <v>12.933</v>
      </c>
      <c r="T84" s="209">
        <f>SUM(T76:T79)</f>
        <v>0</v>
      </c>
      <c r="U84" s="209">
        <f>SUM(U76:U79)</f>
        <v>0</v>
      </c>
      <c r="V84" s="325"/>
      <c r="W84" s="325"/>
      <c r="X84" s="325"/>
      <c r="Y84" s="209">
        <f>SUM(Y76:Y79)</f>
        <v>9.7674272000000002</v>
      </c>
      <c r="Z84" s="209">
        <f>SUM(Z76:Z79)</f>
        <v>10.501313400000001</v>
      </c>
      <c r="AA84" s="209">
        <f>SUM(AA76:AA79)</f>
        <v>0</v>
      </c>
      <c r="AB84" s="209">
        <v>0</v>
      </c>
      <c r="AC84" s="325"/>
      <c r="AD84" s="158"/>
      <c r="AE84" s="209">
        <f>SUM(AE76:AE79)</f>
        <v>302.79024319999996</v>
      </c>
      <c r="AF84" s="218"/>
    </row>
    <row r="85" spans="1:32" ht="15.75" x14ac:dyDescent="0.2">
      <c r="A85" s="306"/>
      <c r="B85" s="1828" t="s">
        <v>275</v>
      </c>
      <c r="C85" s="1828"/>
      <c r="D85" s="1828"/>
      <c r="E85" s="1828"/>
      <c r="F85" s="1829"/>
      <c r="G85" s="325"/>
      <c r="H85" s="324"/>
      <c r="I85" s="324"/>
      <c r="J85" s="158"/>
      <c r="K85" s="158"/>
      <c r="L85" s="158"/>
      <c r="M85" s="158"/>
      <c r="N85" s="158"/>
      <c r="O85" s="158"/>
      <c r="P85" s="160"/>
      <c r="Q85" s="174"/>
      <c r="R85" s="209"/>
      <c r="S85" s="209"/>
      <c r="T85" s="209"/>
      <c r="U85" s="209"/>
      <c r="V85" s="325"/>
      <c r="W85" s="325"/>
      <c r="X85" s="325"/>
      <c r="Y85" s="209"/>
      <c r="Z85" s="209"/>
      <c r="AA85" s="209"/>
      <c r="AB85" s="209"/>
      <c r="AC85" s="325"/>
      <c r="AD85" s="158"/>
      <c r="AE85" s="209"/>
      <c r="AF85" s="218"/>
    </row>
    <row r="86" spans="1:32" ht="15.75" x14ac:dyDescent="0.2">
      <c r="A86" s="163">
        <v>69</v>
      </c>
      <c r="B86" s="219" t="s">
        <v>220</v>
      </c>
      <c r="C86" s="163" t="s">
        <v>46</v>
      </c>
      <c r="D86" s="165">
        <v>685.69</v>
      </c>
      <c r="E86" s="286" t="s">
        <v>222</v>
      </c>
      <c r="F86" s="163">
        <v>177.8</v>
      </c>
      <c r="G86" s="163" t="s">
        <v>28</v>
      </c>
      <c r="H86" s="165" t="s">
        <v>221</v>
      </c>
      <c r="I86" s="165">
        <v>570.09</v>
      </c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30"/>
      <c r="V86" s="325"/>
      <c r="W86" s="325"/>
      <c r="X86" s="325"/>
      <c r="Y86" s="221"/>
      <c r="Z86" s="222"/>
      <c r="AA86" s="324"/>
      <c r="AB86" s="330"/>
      <c r="AC86" s="158"/>
      <c r="AD86" s="163"/>
      <c r="AE86" s="171"/>
      <c r="AF86" s="172" t="s">
        <v>236</v>
      </c>
    </row>
    <row r="87" spans="1:32" ht="15.75" x14ac:dyDescent="0.2">
      <c r="A87" s="306"/>
      <c r="B87" s="1834"/>
      <c r="C87" s="1834"/>
      <c r="D87" s="1834"/>
      <c r="E87" s="1835"/>
      <c r="F87" s="175"/>
      <c r="G87" s="163"/>
      <c r="H87" s="165"/>
      <c r="I87" s="171"/>
      <c r="J87" s="163"/>
      <c r="K87" s="175"/>
      <c r="L87" s="163"/>
      <c r="M87" s="175"/>
      <c r="N87" s="182"/>
      <c r="O87" s="175"/>
      <c r="P87" s="224"/>
      <c r="Q87" s="209"/>
      <c r="R87" s="209"/>
      <c r="S87" s="209"/>
      <c r="T87" s="209"/>
      <c r="U87" s="209"/>
      <c r="V87" s="209"/>
      <c r="W87" s="209"/>
      <c r="X87" s="209"/>
      <c r="Y87" s="209"/>
      <c r="Z87" s="225"/>
      <c r="AA87" s="209"/>
      <c r="AB87" s="209"/>
      <c r="AC87" s="209"/>
      <c r="AD87" s="209"/>
      <c r="AE87" s="209"/>
      <c r="AF87" s="177"/>
    </row>
    <row r="88" spans="1:32" ht="15.75" x14ac:dyDescent="0.2">
      <c r="A88" s="306"/>
      <c r="B88" s="1843" t="s">
        <v>276</v>
      </c>
      <c r="C88" s="1839"/>
      <c r="D88" s="1839"/>
      <c r="E88" s="1839"/>
      <c r="F88" s="1839"/>
      <c r="G88" s="325"/>
      <c r="H88" s="324"/>
      <c r="I88" s="324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30"/>
      <c r="V88" s="325"/>
      <c r="W88" s="325"/>
      <c r="X88" s="325"/>
      <c r="Y88" s="158"/>
      <c r="Z88" s="158"/>
      <c r="AA88" s="158"/>
      <c r="AB88" s="332"/>
      <c r="AC88" s="325"/>
      <c r="AD88" s="158"/>
      <c r="AE88" s="158"/>
      <c r="AF88" s="324"/>
    </row>
    <row r="89" spans="1:32" ht="15.75" x14ac:dyDescent="0.2">
      <c r="A89" s="163">
        <v>70</v>
      </c>
      <c r="B89" s="226" t="s">
        <v>107</v>
      </c>
      <c r="C89" s="188" t="s">
        <v>109</v>
      </c>
      <c r="D89" s="331"/>
      <c r="E89" s="331"/>
      <c r="F89" s="158"/>
      <c r="G89" s="325"/>
      <c r="H89" s="324"/>
      <c r="I89" s="324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30"/>
      <c r="V89" s="325"/>
      <c r="W89" s="325"/>
      <c r="X89" s="325"/>
      <c r="Y89" s="324"/>
      <c r="Z89" s="324"/>
      <c r="AA89" s="158"/>
      <c r="AB89" s="332"/>
      <c r="AC89" s="325"/>
      <c r="AD89" s="228"/>
      <c r="AE89" s="158"/>
      <c r="AF89" s="229"/>
    </row>
    <row r="90" spans="1:32" ht="15.75" x14ac:dyDescent="0.2">
      <c r="A90" s="163">
        <v>71</v>
      </c>
      <c r="B90" s="226" t="s">
        <v>108</v>
      </c>
      <c r="C90" s="188" t="s">
        <v>109</v>
      </c>
      <c r="D90" s="331"/>
      <c r="E90" s="331"/>
      <c r="F90" s="158"/>
      <c r="G90" s="325"/>
      <c r="H90" s="324"/>
      <c r="I90" s="324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30"/>
      <c r="V90" s="325"/>
      <c r="W90" s="325"/>
      <c r="X90" s="325"/>
      <c r="Y90" s="324"/>
      <c r="Z90" s="324"/>
      <c r="AA90" s="158"/>
      <c r="AB90" s="332"/>
      <c r="AC90" s="325"/>
      <c r="AD90" s="228"/>
      <c r="AE90" s="158"/>
      <c r="AF90" s="229"/>
    </row>
    <row r="91" spans="1:32" ht="15.75" x14ac:dyDescent="0.2">
      <c r="A91" s="163">
        <v>72</v>
      </c>
      <c r="B91" s="226" t="s">
        <v>195</v>
      </c>
      <c r="C91" s="216" t="s">
        <v>193</v>
      </c>
      <c r="D91" s="331"/>
      <c r="E91" s="331"/>
      <c r="F91" s="158"/>
      <c r="G91" s="325"/>
      <c r="H91" s="324"/>
      <c r="I91" s="324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30"/>
      <c r="V91" s="325"/>
      <c r="W91" s="325"/>
      <c r="X91" s="325"/>
      <c r="Y91" s="324"/>
      <c r="Z91" s="324"/>
      <c r="AA91" s="158"/>
      <c r="AB91" s="332"/>
      <c r="AC91" s="325"/>
      <c r="AD91" s="228"/>
      <c r="AE91" s="158"/>
      <c r="AF91" s="229"/>
    </row>
    <row r="92" spans="1:32" ht="15.75" x14ac:dyDescent="0.2">
      <c r="A92" s="163">
        <v>73</v>
      </c>
      <c r="B92" s="226" t="s">
        <v>192</v>
      </c>
      <c r="C92" s="216" t="s">
        <v>193</v>
      </c>
      <c r="D92" s="331"/>
      <c r="E92" s="331"/>
      <c r="F92" s="158"/>
      <c r="G92" s="325"/>
      <c r="H92" s="324"/>
      <c r="I92" s="324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30"/>
      <c r="V92" s="325"/>
      <c r="W92" s="325"/>
      <c r="X92" s="325"/>
      <c r="Y92" s="324"/>
      <c r="Z92" s="324"/>
      <c r="AA92" s="158"/>
      <c r="AB92" s="332"/>
      <c r="AC92" s="325"/>
      <c r="AD92" s="228"/>
      <c r="AE92" s="158"/>
      <c r="AF92" s="229"/>
    </row>
    <row r="93" spans="1:32" ht="15.75" x14ac:dyDescent="0.2">
      <c r="A93" s="163"/>
      <c r="B93" s="1843" t="s">
        <v>278</v>
      </c>
      <c r="C93" s="1839"/>
      <c r="D93" s="1839"/>
      <c r="E93" s="1839"/>
      <c r="F93" s="1839"/>
      <c r="G93" s="325"/>
      <c r="H93" s="324"/>
      <c r="I93" s="324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30"/>
      <c r="V93" s="325"/>
      <c r="W93" s="325"/>
      <c r="X93" s="325"/>
      <c r="Y93" s="158"/>
      <c r="Z93" s="158"/>
      <c r="AA93" s="158"/>
      <c r="AB93" s="332"/>
      <c r="AC93" s="325"/>
      <c r="AD93" s="158"/>
      <c r="AE93" s="158"/>
      <c r="AF93" s="324"/>
    </row>
    <row r="94" spans="1:32" ht="15.75" x14ac:dyDescent="0.2">
      <c r="A94" s="163">
        <v>74</v>
      </c>
      <c r="B94" s="207" t="s">
        <v>189</v>
      </c>
      <c r="C94" s="163" t="s">
        <v>46</v>
      </c>
      <c r="D94" s="189">
        <v>673</v>
      </c>
      <c r="E94" s="189" t="s">
        <v>190</v>
      </c>
      <c r="F94" s="163">
        <v>177.8</v>
      </c>
      <c r="G94" s="163"/>
      <c r="H94" s="165"/>
      <c r="I94" s="158"/>
      <c r="J94" s="158"/>
      <c r="K94" s="158"/>
      <c r="L94" s="158"/>
      <c r="M94" s="158"/>
      <c r="N94" s="158"/>
      <c r="O94" s="158"/>
      <c r="P94" s="160"/>
      <c r="Q94" s="174"/>
      <c r="R94" s="158"/>
      <c r="S94" s="158"/>
      <c r="T94" s="158"/>
      <c r="U94" s="330"/>
      <c r="V94" s="325"/>
      <c r="W94" s="325"/>
      <c r="X94" s="325"/>
      <c r="Y94" s="230"/>
      <c r="Z94" s="231"/>
      <c r="AA94" s="324"/>
      <c r="AB94" s="332"/>
      <c r="AC94" s="158"/>
      <c r="AD94" s="163"/>
      <c r="AE94" s="171"/>
      <c r="AF94" s="179"/>
    </row>
    <row r="95" spans="1:32" ht="15.75" x14ac:dyDescent="0.25">
      <c r="A95" s="163">
        <v>75</v>
      </c>
      <c r="B95" s="164" t="s">
        <v>181</v>
      </c>
      <c r="C95" s="232" t="s">
        <v>183</v>
      </c>
      <c r="D95" s="165">
        <v>374.5</v>
      </c>
      <c r="E95" s="163" t="s">
        <v>182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76</v>
      </c>
      <c r="B96" s="164" t="s">
        <v>196</v>
      </c>
      <c r="C96" s="163" t="s">
        <v>46</v>
      </c>
      <c r="D96" s="165">
        <v>622.02</v>
      </c>
      <c r="E96" s="163" t="s">
        <v>197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ht="15.75" x14ac:dyDescent="0.2">
      <c r="A97" s="163">
        <v>77</v>
      </c>
      <c r="B97" s="164" t="s">
        <v>174</v>
      </c>
      <c r="C97" s="163" t="s">
        <v>46</v>
      </c>
      <c r="D97" s="165">
        <v>672</v>
      </c>
      <c r="E97" s="163" t="s">
        <v>175</v>
      </c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customHeight="1" x14ac:dyDescent="0.2">
      <c r="A98" s="163">
        <v>78</v>
      </c>
      <c r="B98" s="204" t="s">
        <v>103</v>
      </c>
      <c r="C98" s="163" t="s">
        <v>46</v>
      </c>
      <c r="D98" s="158">
        <v>582</v>
      </c>
      <c r="E98" s="158" t="s">
        <v>112</v>
      </c>
      <c r="F98" s="163">
        <v>177.8</v>
      </c>
      <c r="G98" s="163"/>
      <c r="H98" s="165"/>
      <c r="I98" s="158"/>
      <c r="J98" s="158"/>
      <c r="K98" s="159"/>
      <c r="L98" s="158"/>
      <c r="M98" s="159"/>
      <c r="N98" s="158"/>
      <c r="O98" s="158"/>
      <c r="P98" s="160"/>
      <c r="Q98" s="174"/>
      <c r="R98" s="158"/>
      <c r="S98" s="158"/>
      <c r="T98" s="158"/>
      <c r="U98" s="330"/>
      <c r="V98" s="325"/>
      <c r="W98" s="325"/>
      <c r="X98" s="157"/>
      <c r="Y98" s="234"/>
      <c r="Z98" s="158"/>
      <c r="AA98" s="158"/>
      <c r="AB98" s="330"/>
      <c r="AC98" s="158"/>
      <c r="AD98" s="235"/>
      <c r="AE98" s="174"/>
      <c r="AF98" s="179"/>
    </row>
    <row r="99" spans="1:32" ht="15.75" x14ac:dyDescent="0.2">
      <c r="A99" s="163"/>
      <c r="B99" s="1843" t="s">
        <v>279</v>
      </c>
      <c r="C99" s="1839"/>
      <c r="D99" s="1839"/>
      <c r="E99" s="1839"/>
      <c r="F99" s="1839"/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79</v>
      </c>
      <c r="B100" s="164" t="s">
        <v>148</v>
      </c>
      <c r="C100" s="163" t="s">
        <v>46</v>
      </c>
      <c r="D100" s="163">
        <v>650</v>
      </c>
      <c r="E100" s="163" t="s">
        <v>75</v>
      </c>
      <c r="F100" s="163">
        <v>177.8</v>
      </c>
      <c r="G100" s="163"/>
      <c r="H100" s="165"/>
      <c r="I100" s="159">
        <v>536.14</v>
      </c>
      <c r="J100" s="163"/>
      <c r="K100" s="163"/>
      <c r="L100" s="163"/>
      <c r="M100" s="163"/>
      <c r="N100" s="182"/>
      <c r="O100" s="163"/>
      <c r="P100" s="182"/>
      <c r="Q100" s="171"/>
      <c r="R100" s="170"/>
      <c r="S100" s="171"/>
      <c r="T100" s="171"/>
      <c r="U100" s="171"/>
      <c r="V100" s="170"/>
      <c r="W100" s="170"/>
      <c r="X100" s="171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.75" x14ac:dyDescent="0.2">
      <c r="A101" s="163">
        <v>80</v>
      </c>
      <c r="B101" s="164" t="s">
        <v>155</v>
      </c>
      <c r="C101" s="163" t="s">
        <v>46</v>
      </c>
      <c r="D101" s="163">
        <v>674.13</v>
      </c>
      <c r="E101" s="163" t="s">
        <v>83</v>
      </c>
      <c r="F101" s="163">
        <v>177.8</v>
      </c>
      <c r="G101" s="163"/>
      <c r="H101" s="165"/>
      <c r="I101" s="158">
        <v>527.75</v>
      </c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ht="15.75" x14ac:dyDescent="0.2">
      <c r="A102" s="163">
        <v>81</v>
      </c>
      <c r="B102" s="164" t="s">
        <v>56</v>
      </c>
      <c r="C102" s="163" t="s">
        <v>46</v>
      </c>
      <c r="D102" s="165">
        <v>680.52</v>
      </c>
      <c r="E102" s="163" t="s">
        <v>92</v>
      </c>
      <c r="F102" s="163">
        <v>177.8</v>
      </c>
      <c r="G102" s="163"/>
      <c r="H102" s="165"/>
      <c r="I102" s="158">
        <v>555.95000000000005</v>
      </c>
      <c r="J102" s="163"/>
      <c r="K102" s="163"/>
      <c r="L102" s="163"/>
      <c r="M102" s="163"/>
      <c r="N102" s="182"/>
      <c r="O102" s="163"/>
      <c r="P102" s="170"/>
      <c r="Q102" s="171"/>
      <c r="R102" s="170"/>
      <c r="S102" s="171"/>
      <c r="T102" s="171"/>
      <c r="U102" s="171"/>
      <c r="V102" s="170"/>
      <c r="W102" s="170"/>
      <c r="X102" s="233"/>
      <c r="Y102" s="171"/>
      <c r="Z102" s="171"/>
      <c r="AA102" s="171"/>
      <c r="AB102" s="171"/>
      <c r="AC102" s="171"/>
      <c r="AD102" s="163"/>
      <c r="AE102" s="171"/>
      <c r="AF102" s="179"/>
    </row>
    <row r="103" spans="1:32" ht="15" x14ac:dyDescent="0.2">
      <c r="A103" s="305"/>
      <c r="B103" s="237"/>
      <c r="C103" s="237"/>
      <c r="D103" s="238"/>
      <c r="E103" s="239"/>
      <c r="F103" s="240"/>
      <c r="G103" s="240"/>
      <c r="H103" s="241"/>
      <c r="I103" s="242"/>
      <c r="J103" s="240"/>
      <c r="K103" s="240"/>
      <c r="L103" s="240"/>
      <c r="M103" s="240"/>
      <c r="N103" s="243"/>
      <c r="O103" s="240"/>
      <c r="P103" s="244"/>
      <c r="Q103" s="245"/>
      <c r="R103" s="244"/>
      <c r="S103" s="245"/>
      <c r="T103" s="245"/>
      <c r="U103" s="245"/>
      <c r="V103" s="244"/>
      <c r="W103" s="244"/>
      <c r="X103" s="246"/>
      <c r="Y103" s="245"/>
      <c r="Z103" s="245"/>
      <c r="AA103" s="245"/>
      <c r="AB103" s="245"/>
      <c r="AC103" s="245"/>
      <c r="AD103" s="240"/>
      <c r="AE103" s="245"/>
      <c r="AF103" s="247"/>
    </row>
    <row r="104" spans="1:32" ht="15" x14ac:dyDescent="0.2">
      <c r="A104" s="305"/>
      <c r="B104" s="1844"/>
      <c r="C104" s="1844"/>
      <c r="D104" s="1844"/>
      <c r="E104" s="1845"/>
      <c r="F104" s="248"/>
      <c r="G104" s="240"/>
      <c r="H104" s="241"/>
      <c r="I104" s="245"/>
      <c r="J104" s="240"/>
      <c r="K104" s="248"/>
      <c r="L104" s="240"/>
      <c r="M104" s="248"/>
      <c r="N104" s="243"/>
      <c r="O104" s="248"/>
      <c r="P104" s="249"/>
      <c r="Q104" s="250"/>
      <c r="R104" s="250">
        <f>R74+R84</f>
        <v>409.1280000000001</v>
      </c>
      <c r="S104" s="250">
        <f>S74+S84</f>
        <v>575.49499999999989</v>
      </c>
      <c r="T104" s="250">
        <f>T74+T84</f>
        <v>20230</v>
      </c>
      <c r="U104" s="250">
        <f>T104/R104</f>
        <v>49.446627950176946</v>
      </c>
      <c r="V104" s="250"/>
      <c r="W104" s="250"/>
      <c r="X104" s="250"/>
      <c r="Y104" s="250">
        <f>Y74+Y84+Y87</f>
        <v>398.0807736999999</v>
      </c>
      <c r="Z104" s="250">
        <f>Z74+Z84+Z87</f>
        <v>556.87922430000003</v>
      </c>
      <c r="AA104" s="250">
        <f>AA74+AA84</f>
        <v>19698.030699999999</v>
      </c>
      <c r="AB104" s="250">
        <f>AA104/Y104</f>
        <v>49.482497024196284</v>
      </c>
      <c r="AC104" s="250"/>
      <c r="AD104" s="250"/>
      <c r="AE104" s="251">
        <f>AE74+AE84+AE87</f>
        <v>12319.464984700002</v>
      </c>
      <c r="AF104" s="252"/>
    </row>
    <row r="105" spans="1:32" ht="15" x14ac:dyDescent="0.2">
      <c r="B105" s="253"/>
      <c r="C105" s="253"/>
      <c r="D105" s="253"/>
      <c r="E105" s="253"/>
      <c r="F105" s="254"/>
      <c r="G105" s="255"/>
      <c r="H105" s="256"/>
      <c r="I105" s="256"/>
      <c r="J105" s="254"/>
      <c r="K105" s="254"/>
      <c r="L105" s="254"/>
      <c r="M105" s="254"/>
      <c r="N105" s="254"/>
      <c r="O105" s="254"/>
      <c r="P105" s="257"/>
      <c r="Q105" s="258"/>
      <c r="R105" s="254"/>
      <c r="S105" s="254"/>
      <c r="T105" s="254"/>
      <c r="U105" s="259"/>
      <c r="V105" s="255"/>
      <c r="W105" s="255"/>
      <c r="X105" s="255"/>
      <c r="Y105" s="254"/>
      <c r="Z105" s="254"/>
      <c r="AA105" s="254"/>
      <c r="AB105" s="260"/>
      <c r="AC105" s="255"/>
      <c r="AD105" s="254"/>
      <c r="AE105" s="254"/>
      <c r="AF105" s="256"/>
    </row>
    <row r="106" spans="1:32" ht="15" x14ac:dyDescent="0.2">
      <c r="B106" s="289"/>
      <c r="C106" s="191"/>
      <c r="D106" s="289"/>
      <c r="E106" s="268">
        <v>0.95</v>
      </c>
      <c r="F106" s="289"/>
      <c r="G106" s="289" t="s">
        <v>102</v>
      </c>
      <c r="H106" s="290"/>
      <c r="I106" s="262"/>
      <c r="J106" s="289"/>
      <c r="K106" s="1883">
        <f>AE104*E106</f>
        <v>11703.491735465001</v>
      </c>
      <c r="L106" s="1884"/>
      <c r="M106" s="1885"/>
      <c r="N106" s="191" t="s">
        <v>27</v>
      </c>
      <c r="O106" s="254"/>
      <c r="P106" s="257"/>
      <c r="Q106" s="258"/>
      <c r="R106" s="254"/>
      <c r="S106" s="254"/>
      <c r="T106" s="254"/>
      <c r="U106" s="259"/>
      <c r="V106" s="255"/>
      <c r="W106" s="255"/>
      <c r="X106" s="255"/>
      <c r="Y106" s="254"/>
      <c r="Z106" s="254"/>
      <c r="AA106" s="254"/>
      <c r="AB106" s="260"/>
      <c r="AC106" s="255"/>
      <c r="AD106" s="254"/>
      <c r="AE106" s="254"/>
      <c r="AF106" s="256"/>
    </row>
    <row r="107" spans="1:32" ht="15" x14ac:dyDescent="0.2">
      <c r="B107" s="289"/>
      <c r="C107" s="191"/>
      <c r="D107" s="289"/>
      <c r="E107" s="268"/>
      <c r="F107" s="289"/>
      <c r="G107" s="191"/>
      <c r="H107" s="290"/>
      <c r="I107" s="262"/>
      <c r="J107" s="289"/>
      <c r="K107" s="191"/>
      <c r="L107" s="263"/>
      <c r="M107" s="289"/>
      <c r="N107" s="289"/>
      <c r="O107" s="289"/>
      <c r="P107" s="291"/>
      <c r="Q107" s="292"/>
      <c r="R107" s="289"/>
      <c r="S107" s="289"/>
      <c r="T107" s="289"/>
      <c r="U107" s="289"/>
      <c r="V107" s="289"/>
      <c r="W107" s="289"/>
      <c r="X107" s="211"/>
      <c r="Y107" s="211"/>
      <c r="Z107" s="211"/>
      <c r="AA107" s="211"/>
      <c r="AB107" s="211"/>
      <c r="AC107" s="211"/>
      <c r="AD107" s="211"/>
      <c r="AE107" s="211"/>
      <c r="AF107" s="266"/>
    </row>
    <row r="108" spans="1:32" ht="15" x14ac:dyDescent="0.2">
      <c r="B108" s="289"/>
      <c r="C108" s="289"/>
      <c r="D108" s="289"/>
      <c r="E108" s="293" t="s">
        <v>214</v>
      </c>
      <c r="F108" s="1881" t="s">
        <v>264</v>
      </c>
      <c r="G108" s="1881"/>
      <c r="H108" s="1881"/>
      <c r="I108" s="289"/>
      <c r="J108" s="289"/>
      <c r="K108" s="191"/>
      <c r="L108" s="191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1842" t="s">
        <v>99</v>
      </c>
      <c r="Y108" s="1824"/>
      <c r="Z108" s="1824"/>
      <c r="AA108" s="1824"/>
      <c r="AB108" s="211" t="s">
        <v>282</v>
      </c>
      <c r="AC108" s="211"/>
      <c r="AD108" s="211"/>
      <c r="AE108" s="211"/>
      <c r="AF108" s="211"/>
    </row>
  </sheetData>
  <mergeCells count="41">
    <mergeCell ref="B8:E8"/>
    <mergeCell ref="I1:X1"/>
    <mergeCell ref="A2:D2"/>
    <mergeCell ref="J2:W2"/>
    <mergeCell ref="A6:E6"/>
    <mergeCell ref="A7:E7"/>
    <mergeCell ref="A11:A13"/>
    <mergeCell ref="B11:B13"/>
    <mergeCell ref="C11:C13"/>
    <mergeCell ref="D11:D12"/>
    <mergeCell ref="E11:E12"/>
    <mergeCell ref="B87:E87"/>
    <mergeCell ref="V12:V13"/>
    <mergeCell ref="W12:W13"/>
    <mergeCell ref="X12:X13"/>
    <mergeCell ref="Y12:AA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U12:U13"/>
    <mergeCell ref="F11:F12"/>
    <mergeCell ref="AF12:AF13"/>
    <mergeCell ref="B74:E74"/>
    <mergeCell ref="B75:F75"/>
    <mergeCell ref="B84:E84"/>
    <mergeCell ref="B85:F85"/>
    <mergeCell ref="AB12:AB13"/>
    <mergeCell ref="AC12:AC13"/>
    <mergeCell ref="X108:AA108"/>
    <mergeCell ref="B88:F88"/>
    <mergeCell ref="B93:F93"/>
    <mergeCell ref="B99:F99"/>
    <mergeCell ref="B104:E104"/>
    <mergeCell ref="K106:M106"/>
    <mergeCell ref="F108:H108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08"/>
  <sheetViews>
    <sheetView zoomScale="60" zoomScaleNormal="60" zoomScaleSheetLayoutView="70" workbookViewId="0">
      <pane xSplit="3" ySplit="13" topLeftCell="L14" activePane="bottomRight" state="frozen"/>
      <selection pane="topRight" activeCell="D1" sqref="D1"/>
      <selection pane="bottomLeft" activeCell="A14" sqref="A14"/>
      <selection pane="bottomRight" activeCell="AD56" sqref="AD56"/>
    </sheetView>
  </sheetViews>
  <sheetFormatPr defaultColWidth="9.140625" defaultRowHeight="12.75" x14ac:dyDescent="0.2"/>
  <cols>
    <col min="1" max="1" width="9.140625" style="304" customWidth="1"/>
    <col min="2" max="2" width="42.7109375" style="304" customWidth="1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3" width="9.140625" style="304"/>
    <col min="24" max="24" width="10.42578125" style="304" customWidth="1"/>
    <col min="25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40"/>
      <c r="C1" s="340"/>
      <c r="D1" s="138"/>
      <c r="E1" s="138"/>
      <c r="F1" s="138"/>
      <c r="G1" s="340"/>
      <c r="H1" s="340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40"/>
      <c r="H2" s="340"/>
      <c r="I2" s="138"/>
      <c r="J2" s="1823" t="s">
        <v>288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41" t="s">
        <v>270</v>
      </c>
      <c r="B3" s="341"/>
      <c r="C3" s="341"/>
      <c r="D3" s="341"/>
      <c r="E3" s="341"/>
      <c r="F3" s="138"/>
      <c r="G3" s="340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39"/>
      <c r="S3" s="339"/>
      <c r="T3" s="339"/>
      <c r="U3" s="339"/>
      <c r="V3" s="339"/>
      <c r="W3" s="339"/>
      <c r="X3" s="339"/>
      <c r="Y3" s="339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41" t="s">
        <v>228</v>
      </c>
      <c r="B4" s="148"/>
      <c r="C4" s="148"/>
      <c r="D4" s="148"/>
      <c r="E4" s="138"/>
      <c r="F4" s="138"/>
      <c r="G4" s="340"/>
      <c r="H4" s="340"/>
      <c r="I4" s="141"/>
      <c r="J4" s="141"/>
      <c r="K4" s="141"/>
      <c r="L4" s="141"/>
      <c r="M4" s="141"/>
      <c r="N4" s="141"/>
      <c r="O4" s="141"/>
      <c r="P4" s="141"/>
      <c r="Q4" s="141"/>
      <c r="R4" s="338"/>
      <c r="S4" s="338"/>
      <c r="T4" s="338"/>
      <c r="U4" s="338"/>
      <c r="V4" s="338"/>
      <c r="W4" s="338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41"/>
      <c r="C5" s="341"/>
      <c r="D5" s="341"/>
      <c r="E5" s="138"/>
      <c r="F5" s="138"/>
      <c r="G5" s="340"/>
      <c r="H5" s="340"/>
      <c r="I5" s="138"/>
      <c r="J5" s="138"/>
      <c r="K5" s="340"/>
      <c r="L5" s="340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40"/>
      <c r="H6" s="340"/>
      <c r="I6" s="140"/>
      <c r="J6" s="138"/>
      <c r="K6" s="340"/>
      <c r="L6" s="340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40"/>
      <c r="H7" s="340"/>
      <c r="I7" s="140"/>
      <c r="J7" s="138"/>
      <c r="K7" s="340"/>
      <c r="L7" s="340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40"/>
      <c r="H8" s="340"/>
      <c r="I8" s="140"/>
      <c r="J8" s="138"/>
      <c r="K8" s="340"/>
      <c r="L8" s="340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40"/>
      <c r="H9" s="340"/>
      <c r="I9" s="138"/>
      <c r="J9" s="138"/>
      <c r="K9" s="340"/>
      <c r="L9" s="340"/>
      <c r="M9" s="340"/>
      <c r="N9" s="340"/>
      <c r="O9" s="340"/>
      <c r="P9" s="340"/>
      <c r="Q9" s="340"/>
      <c r="R9" s="340"/>
      <c r="S9" s="340"/>
      <c r="T9" s="340"/>
      <c r="U9" s="340"/>
      <c r="V9" s="340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40"/>
      <c r="C10" s="340"/>
      <c r="D10" s="340"/>
      <c r="E10" s="138"/>
      <c r="F10" s="138"/>
      <c r="G10" s="340"/>
      <c r="H10" s="340"/>
      <c r="I10" s="140"/>
      <c r="J10" s="138"/>
      <c r="K10" s="340"/>
      <c r="L10" s="340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35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35" t="s">
        <v>18</v>
      </c>
      <c r="AE12" s="335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273</v>
      </c>
      <c r="M14" s="166"/>
      <c r="N14" s="163">
        <v>3.1</v>
      </c>
      <c r="O14" s="166"/>
      <c r="P14" s="167">
        <v>30.23</v>
      </c>
      <c r="Q14" s="168">
        <f t="shared" ref="Q14:Q37" si="0">LEFT(H14,(FIND("K",H14,1)-1))*J14/100</f>
        <v>33</v>
      </c>
      <c r="R14" s="169">
        <v>1.2430000000000001</v>
      </c>
      <c r="S14" s="168">
        <v>2.794</v>
      </c>
      <c r="T14" s="168">
        <v>0.9</v>
      </c>
      <c r="U14" s="168">
        <f>T14/R14</f>
        <v>0.72405470635559122</v>
      </c>
      <c r="V14" s="169">
        <f>(S14-R14)/S14*100</f>
        <v>55.511811023622052</v>
      </c>
      <c r="W14" s="170">
        <v>0.3</v>
      </c>
      <c r="X14" s="171">
        <f t="shared" ref="X14:X45" si="1">S14/Q14</f>
        <v>8.4666666666666668E-2</v>
      </c>
      <c r="Y14" s="171">
        <f>R14*0.9494</f>
        <v>1.1801042000000002</v>
      </c>
      <c r="Z14" s="171">
        <f t="shared" ref="Z14:AA14" si="2">S14*0.9494</f>
        <v>2.6526236000000001</v>
      </c>
      <c r="AA14" s="171">
        <f t="shared" si="2"/>
        <v>0.85446</v>
      </c>
      <c r="AB14" s="171">
        <f>U14</f>
        <v>0.72405470635559122</v>
      </c>
      <c r="AC14" s="171">
        <f t="shared" ref="AC14:AC73" si="3">V14</f>
        <v>55.511811023622052</v>
      </c>
      <c r="AD14" s="163">
        <v>31</v>
      </c>
      <c r="AE14" s="171">
        <f>Y14*AD14</f>
        <v>36.583230200000003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366</v>
      </c>
      <c r="L15" s="166">
        <v>0</v>
      </c>
      <c r="M15" s="166">
        <v>20.399999999999999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15" si="4">R15*0.9438</f>
        <v>0</v>
      </c>
      <c r="Z15" s="171">
        <f t="shared" si="4"/>
        <v>0</v>
      </c>
      <c r="AA15" s="171">
        <f t="shared" si="4"/>
        <v>0</v>
      </c>
      <c r="AB15" s="171">
        <f t="shared" ref="AB15:AB73" si="5">U15</f>
        <v>0</v>
      </c>
      <c r="AC15" s="171">
        <f t="shared" si="3"/>
        <v>0</v>
      </c>
      <c r="AD15" s="163">
        <v>0</v>
      </c>
      <c r="AE15" s="171">
        <f t="shared" ref="AE15:AE56" si="6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49</v>
      </c>
      <c r="I16" s="158">
        <v>560.22</v>
      </c>
      <c r="J16" s="163">
        <v>275</v>
      </c>
      <c r="K16" s="163"/>
      <c r="L16" s="166">
        <v>492</v>
      </c>
      <c r="M16" s="166"/>
      <c r="N16" s="182">
        <v>8.5</v>
      </c>
      <c r="O16" s="166"/>
      <c r="P16" s="167">
        <v>12.68</v>
      </c>
      <c r="Q16" s="168">
        <f>LEFT(H16,(FIND("K",H16,1)-1))*J16/100</f>
        <v>88</v>
      </c>
      <c r="R16" s="169">
        <v>18.13</v>
      </c>
      <c r="S16" s="168">
        <v>23.187000000000001</v>
      </c>
      <c r="T16" s="168">
        <v>5233</v>
      </c>
      <c r="U16" s="168">
        <f t="shared" ref="U16:U73" si="7">T16/R16</f>
        <v>288.6376172090458</v>
      </c>
      <c r="V16" s="169">
        <f t="shared" ref="V16:V73" si="8">(S16-R16)/S16*100</f>
        <v>21.809634709104248</v>
      </c>
      <c r="W16" s="170">
        <v>0.2</v>
      </c>
      <c r="X16" s="171">
        <f t="shared" si="1"/>
        <v>0.2634886363636364</v>
      </c>
      <c r="Y16" s="171">
        <f>R16*0.9494</f>
        <v>17.212622</v>
      </c>
      <c r="Z16" s="171">
        <f t="shared" ref="Z16:AA29" si="9">S16*0.9494</f>
        <v>22.013737800000001</v>
      </c>
      <c r="AA16" s="171">
        <f t="shared" si="9"/>
        <v>4968.2102000000004</v>
      </c>
      <c r="AB16" s="171">
        <f t="shared" si="5"/>
        <v>288.6376172090458</v>
      </c>
      <c r="AC16" s="171">
        <f t="shared" si="3"/>
        <v>21.809634709104248</v>
      </c>
      <c r="AD16" s="163">
        <v>31</v>
      </c>
      <c r="AE16" s="171">
        <f>Y16*AD16</f>
        <v>533.59128199999998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205</v>
      </c>
      <c r="K17" s="163"/>
      <c r="L17" s="166">
        <v>471</v>
      </c>
      <c r="M17" s="166"/>
      <c r="N17" s="182">
        <v>3.2</v>
      </c>
      <c r="O17" s="166"/>
      <c r="P17" s="167">
        <v>11.68</v>
      </c>
      <c r="Q17" s="168">
        <f t="shared" si="0"/>
        <v>26.65</v>
      </c>
      <c r="R17" s="169">
        <v>5.69</v>
      </c>
      <c r="S17" s="168">
        <v>5.867</v>
      </c>
      <c r="T17" s="168">
        <v>33</v>
      </c>
      <c r="U17" s="168">
        <f t="shared" si="7"/>
        <v>5.7996485061511418</v>
      </c>
      <c r="V17" s="169">
        <f t="shared" si="8"/>
        <v>3.0168740412476498</v>
      </c>
      <c r="W17" s="170">
        <v>0.2</v>
      </c>
      <c r="X17" s="171">
        <f>S17/Q17</f>
        <v>0.2201500938086304</v>
      </c>
      <c r="Y17" s="171">
        <f t="shared" ref="Y17:Y29" si="10">R17*0.9494</f>
        <v>5.4020860000000006</v>
      </c>
      <c r="Z17" s="171">
        <f t="shared" si="9"/>
        <v>5.5701298000000001</v>
      </c>
      <c r="AA17" s="171">
        <f t="shared" si="9"/>
        <v>31.330200000000001</v>
      </c>
      <c r="AB17" s="171">
        <f t="shared" si="5"/>
        <v>5.7996485061511418</v>
      </c>
      <c r="AC17" s="171">
        <f t="shared" si="3"/>
        <v>3.0168740412476498</v>
      </c>
      <c r="AD17" s="163">
        <v>31</v>
      </c>
      <c r="AE17" s="171">
        <f t="shared" si="6"/>
        <v>167.46466600000002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441</v>
      </c>
      <c r="M18" s="166"/>
      <c r="N18" s="163">
        <v>6.2</v>
      </c>
      <c r="O18" s="166"/>
      <c r="P18" s="167">
        <v>17.190000000000001</v>
      </c>
      <c r="Q18" s="168">
        <f t="shared" si="0"/>
        <v>9</v>
      </c>
      <c r="R18" s="169">
        <v>4.6459999999999999</v>
      </c>
      <c r="S18" s="168">
        <v>5.2309999999999999</v>
      </c>
      <c r="T18" s="168">
        <v>18</v>
      </c>
      <c r="U18" s="168">
        <f t="shared" si="7"/>
        <v>3.8743004735256137</v>
      </c>
      <c r="V18" s="169">
        <f t="shared" si="8"/>
        <v>11.183330147199388</v>
      </c>
      <c r="W18" s="170">
        <v>0.6</v>
      </c>
      <c r="X18" s="171">
        <f t="shared" si="1"/>
        <v>0.5812222222222222</v>
      </c>
      <c r="Y18" s="171">
        <f t="shared" si="10"/>
        <v>4.4109124</v>
      </c>
      <c r="Z18" s="171">
        <f t="shared" si="9"/>
        <v>4.9663114000000004</v>
      </c>
      <c r="AA18" s="171">
        <f t="shared" si="9"/>
        <v>17.089200000000002</v>
      </c>
      <c r="AB18" s="171">
        <f t="shared" si="5"/>
        <v>3.8743004735256137</v>
      </c>
      <c r="AC18" s="171">
        <f t="shared" si="3"/>
        <v>11.183330147199388</v>
      </c>
      <c r="AD18" s="163">
        <v>31</v>
      </c>
      <c r="AE18" s="171">
        <f t="shared" si="6"/>
        <v>136.7382844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434</v>
      </c>
      <c r="M19" s="166"/>
      <c r="N19" s="163">
        <v>1.4</v>
      </c>
      <c r="O19" s="166"/>
      <c r="P19" s="167">
        <v>14.78</v>
      </c>
      <c r="Q19" s="168">
        <f t="shared" si="0"/>
        <v>15</v>
      </c>
      <c r="R19" s="169">
        <v>2.6320000000000001</v>
      </c>
      <c r="S19" s="168">
        <v>3.7309999999999999</v>
      </c>
      <c r="T19" s="168">
        <v>0.8</v>
      </c>
      <c r="U19" s="168">
        <f t="shared" si="7"/>
        <v>0.303951367781155</v>
      </c>
      <c r="V19" s="169">
        <f t="shared" si="8"/>
        <v>29.455909943714815</v>
      </c>
      <c r="W19" s="170">
        <v>0.6</v>
      </c>
      <c r="X19" s="171">
        <f>S19/Q19</f>
        <v>0.24873333333333333</v>
      </c>
      <c r="Y19" s="171">
        <f t="shared" si="10"/>
        <v>2.4988208000000003</v>
      </c>
      <c r="Z19" s="171">
        <f t="shared" si="9"/>
        <v>3.5422113999999998</v>
      </c>
      <c r="AA19" s="171">
        <f t="shared" si="9"/>
        <v>0.75952000000000008</v>
      </c>
      <c r="AB19" s="171">
        <f t="shared" si="5"/>
        <v>0.303951367781155</v>
      </c>
      <c r="AC19" s="171">
        <f t="shared" si="3"/>
        <v>29.455909943714815</v>
      </c>
      <c r="AD19" s="163">
        <v>31</v>
      </c>
      <c r="AE19" s="171">
        <f t="shared" si="6"/>
        <v>77.463444800000005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379</v>
      </c>
      <c r="M20" s="166"/>
      <c r="N20" s="163">
        <v>6.9</v>
      </c>
      <c r="O20" s="166"/>
      <c r="P20" s="167">
        <v>24.27</v>
      </c>
      <c r="Q20" s="168">
        <f t="shared" si="0"/>
        <v>22</v>
      </c>
      <c r="R20" s="169">
        <v>7.4</v>
      </c>
      <c r="S20" s="168">
        <v>8.8290000000000006</v>
      </c>
      <c r="T20" s="168">
        <v>9</v>
      </c>
      <c r="U20" s="168">
        <f t="shared" si="7"/>
        <v>1.2162162162162162</v>
      </c>
      <c r="V20" s="169">
        <f t="shared" si="8"/>
        <v>16.185298448295391</v>
      </c>
      <c r="W20" s="170">
        <v>0.4</v>
      </c>
      <c r="X20" s="171">
        <f t="shared" si="1"/>
        <v>0.40131818181818185</v>
      </c>
      <c r="Y20" s="171">
        <f t="shared" si="10"/>
        <v>7.0255600000000005</v>
      </c>
      <c r="Z20" s="171">
        <f t="shared" si="9"/>
        <v>8.3822526000000011</v>
      </c>
      <c r="AA20" s="171">
        <f t="shared" si="9"/>
        <v>8.5446000000000009</v>
      </c>
      <c r="AB20" s="171">
        <f t="shared" si="5"/>
        <v>1.2162162162162162</v>
      </c>
      <c r="AC20" s="171">
        <f t="shared" si="3"/>
        <v>16.185298448295391</v>
      </c>
      <c r="AD20" s="163">
        <v>31</v>
      </c>
      <c r="AE20" s="171">
        <f t="shared" si="6"/>
        <v>217.79236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425</v>
      </c>
      <c r="M21" s="176"/>
      <c r="N21" s="163">
        <v>8.1</v>
      </c>
      <c r="O21" s="176"/>
      <c r="P21" s="167">
        <v>21.54</v>
      </c>
      <c r="Q21" s="168">
        <f t="shared" si="0"/>
        <v>22</v>
      </c>
      <c r="R21" s="169">
        <v>12.260999999999999</v>
      </c>
      <c r="S21" s="168">
        <v>19.364999999999998</v>
      </c>
      <c r="T21" s="168">
        <v>136</v>
      </c>
      <c r="U21" s="168">
        <f t="shared" si="7"/>
        <v>11.092080580703042</v>
      </c>
      <c r="V21" s="169">
        <f t="shared" si="8"/>
        <v>36.684740511231603</v>
      </c>
      <c r="W21" s="170">
        <v>0.3</v>
      </c>
      <c r="X21" s="171">
        <f t="shared" si="1"/>
        <v>0.88022727272727264</v>
      </c>
      <c r="Y21" s="171">
        <f t="shared" si="10"/>
        <v>11.6405934</v>
      </c>
      <c r="Z21" s="171">
        <f t="shared" si="9"/>
        <v>18.385130999999998</v>
      </c>
      <c r="AA21" s="171">
        <f t="shared" si="9"/>
        <v>129.11840000000001</v>
      </c>
      <c r="AB21" s="171">
        <f t="shared" si="5"/>
        <v>11.092080580703042</v>
      </c>
      <c r="AC21" s="171">
        <f t="shared" si="3"/>
        <v>36.684740511231603</v>
      </c>
      <c r="AD21" s="163">
        <v>31</v>
      </c>
      <c r="AE21" s="171">
        <f t="shared" si="6"/>
        <v>360.85839540000001</v>
      </c>
      <c r="AF21" s="177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474</v>
      </c>
      <c r="M22" s="166"/>
      <c r="N22" s="163">
        <v>6.2</v>
      </c>
      <c r="O22" s="166"/>
      <c r="P22" s="167">
        <v>14.96</v>
      </c>
      <c r="Q22" s="168">
        <f t="shared" si="0"/>
        <v>22</v>
      </c>
      <c r="R22" s="169">
        <v>6.3579999999999997</v>
      </c>
      <c r="S22" s="168">
        <v>9.2919999999999998</v>
      </c>
      <c r="T22" s="168">
        <v>11</v>
      </c>
      <c r="U22" s="168">
        <f t="shared" si="7"/>
        <v>1.7301038062283738</v>
      </c>
      <c r="V22" s="169">
        <f t="shared" si="8"/>
        <v>31.575548859233756</v>
      </c>
      <c r="W22" s="170">
        <v>0.3</v>
      </c>
      <c r="X22" s="171">
        <f t="shared" si="1"/>
        <v>0.42236363636363633</v>
      </c>
      <c r="Y22" s="171">
        <f t="shared" si="10"/>
        <v>6.0362852</v>
      </c>
      <c r="Z22" s="171">
        <f t="shared" si="9"/>
        <v>8.8218247999999999</v>
      </c>
      <c r="AA22" s="171">
        <f t="shared" si="9"/>
        <v>10.4434</v>
      </c>
      <c r="AB22" s="171">
        <f t="shared" si="5"/>
        <v>1.7301038062283738</v>
      </c>
      <c r="AC22" s="171">
        <f t="shared" si="3"/>
        <v>31.575548859233756</v>
      </c>
      <c r="AD22" s="163">
        <v>31</v>
      </c>
      <c r="AE22" s="171">
        <f t="shared" si="6"/>
        <v>187.12484119999999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323</v>
      </c>
      <c r="M23" s="166"/>
      <c r="N23" s="163">
        <v>7.6</v>
      </c>
      <c r="O23" s="166"/>
      <c r="P23" s="167">
        <v>29.67</v>
      </c>
      <c r="Q23" s="168">
        <f t="shared" si="0"/>
        <v>27.5</v>
      </c>
      <c r="R23" s="169">
        <v>0.61199999999999999</v>
      </c>
      <c r="S23" s="168">
        <v>1.1240000000000001</v>
      </c>
      <c r="T23" s="168">
        <v>0</v>
      </c>
      <c r="U23" s="168">
        <f t="shared" si="7"/>
        <v>0</v>
      </c>
      <c r="V23" s="169">
        <f t="shared" si="8"/>
        <v>45.551601423487554</v>
      </c>
      <c r="W23" s="170">
        <v>0.3</v>
      </c>
      <c r="X23" s="171">
        <f t="shared" si="1"/>
        <v>4.0872727272727276E-2</v>
      </c>
      <c r="Y23" s="171">
        <f t="shared" si="10"/>
        <v>0.58103280000000002</v>
      </c>
      <c r="Z23" s="171">
        <f t="shared" si="9"/>
        <v>1.0671256000000002</v>
      </c>
      <c r="AA23" s="171">
        <f t="shared" si="9"/>
        <v>0</v>
      </c>
      <c r="AB23" s="171">
        <f t="shared" si="5"/>
        <v>0</v>
      </c>
      <c r="AC23" s="171">
        <f t="shared" si="3"/>
        <v>45.551601423487554</v>
      </c>
      <c r="AD23" s="163">
        <v>31</v>
      </c>
      <c r="AE23" s="171">
        <f t="shared" si="6"/>
        <v>18.012016800000001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416</v>
      </c>
      <c r="M24" s="166"/>
      <c r="N24" s="163">
        <v>1.4</v>
      </c>
      <c r="O24" s="166"/>
      <c r="P24" s="167">
        <v>16.64</v>
      </c>
      <c r="Q24" s="168">
        <f t="shared" si="0"/>
        <v>11.18</v>
      </c>
      <c r="R24" s="169">
        <v>0.82199999999999995</v>
      </c>
      <c r="S24" s="168">
        <v>1.516</v>
      </c>
      <c r="T24" s="168">
        <v>0.2</v>
      </c>
      <c r="U24" s="168">
        <f t="shared" si="7"/>
        <v>0.24330900243309006</v>
      </c>
      <c r="V24" s="169">
        <f t="shared" si="8"/>
        <v>45.778364116094991</v>
      </c>
      <c r="W24" s="170">
        <v>0.4</v>
      </c>
      <c r="X24" s="171">
        <f t="shared" si="1"/>
        <v>0.13559928443649374</v>
      </c>
      <c r="Y24" s="171">
        <f t="shared" si="10"/>
        <v>0.78040679999999996</v>
      </c>
      <c r="Z24" s="171">
        <f t="shared" si="9"/>
        <v>1.4392904</v>
      </c>
      <c r="AA24" s="171">
        <f t="shared" si="9"/>
        <v>0.18988000000000002</v>
      </c>
      <c r="AB24" s="171">
        <f t="shared" si="5"/>
        <v>0.24330900243309006</v>
      </c>
      <c r="AC24" s="171">
        <f t="shared" si="3"/>
        <v>45.778364116094991</v>
      </c>
      <c r="AD24" s="163">
        <v>31</v>
      </c>
      <c r="AE24" s="171">
        <f t="shared" si="6"/>
        <v>24.192610799999997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100</v>
      </c>
      <c r="K25" s="163"/>
      <c r="L25" s="166">
        <v>237</v>
      </c>
      <c r="M25" s="166"/>
      <c r="N25" s="163">
        <v>3</v>
      </c>
      <c r="O25" s="166"/>
      <c r="P25" s="167">
        <v>34.65</v>
      </c>
      <c r="Q25" s="168">
        <f t="shared" si="0"/>
        <v>22</v>
      </c>
      <c r="R25" s="169">
        <v>3.6309999999999998</v>
      </c>
      <c r="S25" s="168">
        <v>7.7910000000000004</v>
      </c>
      <c r="T25" s="168">
        <v>2.5</v>
      </c>
      <c r="U25" s="168">
        <f t="shared" si="7"/>
        <v>0.68851556045166629</v>
      </c>
      <c r="V25" s="169">
        <f t="shared" si="8"/>
        <v>53.394942882813503</v>
      </c>
      <c r="W25" s="170">
        <v>0.5</v>
      </c>
      <c r="X25" s="171">
        <f t="shared" si="1"/>
        <v>0.35413636363636364</v>
      </c>
      <c r="Y25" s="171">
        <f t="shared" si="10"/>
        <v>3.4472714</v>
      </c>
      <c r="Z25" s="171">
        <f t="shared" si="9"/>
        <v>7.3967754000000001</v>
      </c>
      <c r="AA25" s="171">
        <f t="shared" si="9"/>
        <v>2.3734999999999999</v>
      </c>
      <c r="AB25" s="171">
        <f t="shared" si="5"/>
        <v>0.68851556045166629</v>
      </c>
      <c r="AC25" s="171">
        <f t="shared" si="3"/>
        <v>53.394942882813503</v>
      </c>
      <c r="AD25" s="163">
        <v>31</v>
      </c>
      <c r="AE25" s="171">
        <f t="shared" si="6"/>
        <v>106.86541339999999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573.67999999999995</v>
      </c>
      <c r="J26" s="163">
        <v>150</v>
      </c>
      <c r="K26" s="163"/>
      <c r="L26" s="166">
        <v>357</v>
      </c>
      <c r="M26" s="166"/>
      <c r="N26" s="163">
        <v>7.4</v>
      </c>
      <c r="O26" s="166"/>
      <c r="P26" s="167">
        <v>24.43</v>
      </c>
      <c r="Q26" s="168">
        <f t="shared" si="0"/>
        <v>48</v>
      </c>
      <c r="R26" s="169">
        <v>21.992000000000001</v>
      </c>
      <c r="S26" s="168">
        <v>36.682000000000002</v>
      </c>
      <c r="T26" s="168">
        <v>1044</v>
      </c>
      <c r="U26" s="168">
        <f t="shared" si="7"/>
        <v>47.471807930156416</v>
      </c>
      <c r="V26" s="169">
        <f t="shared" si="8"/>
        <v>40.046889482580013</v>
      </c>
      <c r="W26" s="170">
        <v>0.3</v>
      </c>
      <c r="X26" s="171">
        <f t="shared" si="1"/>
        <v>0.76420833333333338</v>
      </c>
      <c r="Y26" s="171">
        <f t="shared" si="10"/>
        <v>20.8792048</v>
      </c>
      <c r="Z26" s="171">
        <f t="shared" si="9"/>
        <v>34.825890800000003</v>
      </c>
      <c r="AA26" s="171">
        <f t="shared" si="9"/>
        <v>991.17360000000008</v>
      </c>
      <c r="AB26" s="171">
        <f t="shared" si="5"/>
        <v>47.471807930156416</v>
      </c>
      <c r="AC26" s="171">
        <f t="shared" si="3"/>
        <v>40.046889482580013</v>
      </c>
      <c r="AD26" s="163">
        <v>31</v>
      </c>
      <c r="AE26" s="171">
        <f t="shared" si="6"/>
        <v>647.25534879999998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366</v>
      </c>
      <c r="M27" s="166"/>
      <c r="N27" s="163">
        <v>9.1</v>
      </c>
      <c r="O27" s="166"/>
      <c r="P27" s="167">
        <v>24.49</v>
      </c>
      <c r="Q27" s="168">
        <f t="shared" si="0"/>
        <v>74.8</v>
      </c>
      <c r="R27" s="169">
        <v>16.131</v>
      </c>
      <c r="S27" s="168">
        <v>20.946000000000002</v>
      </c>
      <c r="T27" s="168">
        <v>3866</v>
      </c>
      <c r="U27" s="168">
        <f t="shared" si="7"/>
        <v>239.66276114314053</v>
      </c>
      <c r="V27" s="169">
        <f t="shared" si="8"/>
        <v>22.987682612431971</v>
      </c>
      <c r="W27" s="170">
        <v>0.4</v>
      </c>
      <c r="X27" s="171">
        <f t="shared" si="1"/>
        <v>0.2800267379679145</v>
      </c>
      <c r="Y27" s="171">
        <f t="shared" si="10"/>
        <v>15.3147714</v>
      </c>
      <c r="Z27" s="171">
        <f t="shared" si="9"/>
        <v>19.886132400000001</v>
      </c>
      <c r="AA27" s="171">
        <f t="shared" si="9"/>
        <v>3670.3804</v>
      </c>
      <c r="AB27" s="171">
        <f t="shared" si="5"/>
        <v>239.66276114314053</v>
      </c>
      <c r="AC27" s="171">
        <f t="shared" si="3"/>
        <v>22.987682612431971</v>
      </c>
      <c r="AD27" s="163">
        <v>31</v>
      </c>
      <c r="AE27" s="171">
        <f t="shared" si="6"/>
        <v>474.75791340000001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453</v>
      </c>
      <c r="M28" s="166"/>
      <c r="N28" s="163">
        <v>7.4</v>
      </c>
      <c r="O28" s="166"/>
      <c r="P28" s="167">
        <v>19.309999999999999</v>
      </c>
      <c r="Q28" s="168">
        <f t="shared" si="0"/>
        <v>11.05</v>
      </c>
      <c r="R28" s="169">
        <v>4.8360000000000003</v>
      </c>
      <c r="S28" s="168">
        <v>5.88</v>
      </c>
      <c r="T28" s="168">
        <v>12</v>
      </c>
      <c r="U28" s="168">
        <f t="shared" si="7"/>
        <v>2.4813895781637716</v>
      </c>
      <c r="V28" s="169">
        <f t="shared" si="8"/>
        <v>17.755102040816322</v>
      </c>
      <c r="W28" s="170">
        <v>0.3</v>
      </c>
      <c r="X28" s="171">
        <f t="shared" si="1"/>
        <v>0.53212669683257918</v>
      </c>
      <c r="Y28" s="171">
        <f t="shared" si="10"/>
        <v>4.5912984000000003</v>
      </c>
      <c r="Z28" s="171">
        <f t="shared" si="9"/>
        <v>5.5824720000000001</v>
      </c>
      <c r="AA28" s="171">
        <f t="shared" si="9"/>
        <v>11.392800000000001</v>
      </c>
      <c r="AB28" s="171">
        <f t="shared" si="5"/>
        <v>2.4813895781637716</v>
      </c>
      <c r="AC28" s="171">
        <f t="shared" si="3"/>
        <v>17.755102040816322</v>
      </c>
      <c r="AD28" s="163">
        <v>31</v>
      </c>
      <c r="AE28" s="171">
        <f>Y28*AD28</f>
        <v>142.33025040000001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505</v>
      </c>
      <c r="M29" s="164"/>
      <c r="N29" s="164">
        <v>9.9</v>
      </c>
      <c r="O29" s="164"/>
      <c r="P29" s="164">
        <v>14.97</v>
      </c>
      <c r="Q29" s="164">
        <f t="shared" si="0"/>
        <v>96</v>
      </c>
      <c r="R29" s="181">
        <v>16.103000000000002</v>
      </c>
      <c r="S29" s="168">
        <v>19.448</v>
      </c>
      <c r="T29" s="164">
        <v>948</v>
      </c>
      <c r="U29" s="181">
        <f t="shared" si="7"/>
        <v>58.871017822765936</v>
      </c>
      <c r="V29" s="181">
        <f t="shared" si="8"/>
        <v>17.199712052653222</v>
      </c>
      <c r="W29" s="164">
        <v>0.6</v>
      </c>
      <c r="X29" s="181">
        <f t="shared" si="1"/>
        <v>0.20258333333333334</v>
      </c>
      <c r="Y29" s="171">
        <f t="shared" si="10"/>
        <v>15.288188200000002</v>
      </c>
      <c r="Z29" s="171">
        <f t="shared" si="9"/>
        <v>18.463931200000001</v>
      </c>
      <c r="AA29" s="171">
        <f t="shared" si="9"/>
        <v>900.03120000000001</v>
      </c>
      <c r="AB29" s="181">
        <f t="shared" si="5"/>
        <v>58.871017822765936</v>
      </c>
      <c r="AC29" s="181">
        <f t="shared" si="3"/>
        <v>17.199712052653222</v>
      </c>
      <c r="AD29" s="164">
        <v>31</v>
      </c>
      <c r="AE29" s="181">
        <f>Y29*AD29</f>
        <v>473.93383420000009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204</v>
      </c>
      <c r="L30" s="163"/>
      <c r="M30" s="163">
        <v>13.3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:AA31" si="11">R31</f>
        <v>0</v>
      </c>
      <c r="Z31" s="171">
        <f t="shared" si="11"/>
        <v>0</v>
      </c>
      <c r="AA31" s="171">
        <f t="shared" si="11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6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404</v>
      </c>
      <c r="M32" s="166"/>
      <c r="N32" s="163">
        <v>6.6</v>
      </c>
      <c r="O32" s="166"/>
      <c r="P32" s="167">
        <v>20.48</v>
      </c>
      <c r="Q32" s="168">
        <f t="shared" si="0"/>
        <v>18.7</v>
      </c>
      <c r="R32" s="169">
        <v>6.8070000000000004</v>
      </c>
      <c r="S32" s="168">
        <v>12.625</v>
      </c>
      <c r="T32" s="168">
        <v>377</v>
      </c>
      <c r="U32" s="168">
        <f t="shared" si="7"/>
        <v>55.384163361245776</v>
      </c>
      <c r="V32" s="169">
        <f>(S32-R32)/S32*100</f>
        <v>46.083168316831681</v>
      </c>
      <c r="W32" s="170">
        <v>0.3</v>
      </c>
      <c r="X32" s="171">
        <f t="shared" si="1"/>
        <v>0.67513368983957223</v>
      </c>
      <c r="Y32" s="171">
        <f>R32*0.9949</f>
        <v>6.7722843000000008</v>
      </c>
      <c r="Z32" s="171">
        <f>S32*0.9949</f>
        <v>12.5606125</v>
      </c>
      <c r="AA32" s="171">
        <f>T32*0.9949</f>
        <v>375.07729999999998</v>
      </c>
      <c r="AB32" s="171">
        <f t="shared" si="5"/>
        <v>55.384163361245776</v>
      </c>
      <c r="AC32" s="171">
        <f t="shared" si="3"/>
        <v>46.083168316831681</v>
      </c>
      <c r="AD32" s="163">
        <v>31</v>
      </c>
      <c r="AE32" s="171">
        <f t="shared" si="6"/>
        <v>209.94081330000003</v>
      </c>
      <c r="AF32" s="183"/>
    </row>
    <row r="33" spans="1:32" s="342" customFormat="1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154</v>
      </c>
      <c r="L33" s="163"/>
      <c r="M33" s="163">
        <v>1</v>
      </c>
      <c r="N33" s="163"/>
      <c r="O33" s="163"/>
      <c r="P33" s="182">
        <v>0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v>0</v>
      </c>
      <c r="Z33" s="171">
        <v>0</v>
      </c>
      <c r="AA33" s="171"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469</v>
      </c>
      <c r="M34" s="166"/>
      <c r="N34" s="163">
        <v>6.5</v>
      </c>
      <c r="O34" s="166"/>
      <c r="P34" s="167">
        <v>13.84</v>
      </c>
      <c r="Q34" s="168">
        <f t="shared" si="0"/>
        <v>66</v>
      </c>
      <c r="R34" s="169">
        <v>6.2729999999999997</v>
      </c>
      <c r="S34" s="168">
        <v>7.12</v>
      </c>
      <c r="T34" s="168">
        <v>595</v>
      </c>
      <c r="U34" s="168">
        <f t="shared" si="7"/>
        <v>94.850948509485093</v>
      </c>
      <c r="V34" s="169">
        <f t="shared" si="8"/>
        <v>11.896067415730343</v>
      </c>
      <c r="W34" s="170">
        <v>0.3</v>
      </c>
      <c r="X34" s="171">
        <f t="shared" si="1"/>
        <v>0.10787878787878788</v>
      </c>
      <c r="Y34" s="171">
        <f t="shared" ref="Y34:AA40" si="12">R34*0.9494</f>
        <v>5.9555861999999999</v>
      </c>
      <c r="Z34" s="171">
        <f t="shared" si="12"/>
        <v>6.759728</v>
      </c>
      <c r="AA34" s="171">
        <f t="shared" si="12"/>
        <v>564.89300000000003</v>
      </c>
      <c r="AB34" s="171">
        <v>89.536086956521729</v>
      </c>
      <c r="AC34" s="171">
        <v>26</v>
      </c>
      <c r="AD34" s="163">
        <v>31</v>
      </c>
      <c r="AE34" s="171">
        <f t="shared" si="6"/>
        <v>184.6231722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472</v>
      </c>
      <c r="M35" s="166"/>
      <c r="N35" s="163">
        <v>7.8</v>
      </c>
      <c r="O35" s="166"/>
      <c r="P35" s="167">
        <v>17.239999999999998</v>
      </c>
      <c r="Q35" s="168">
        <f t="shared" si="0"/>
        <v>16.25</v>
      </c>
      <c r="R35" s="169">
        <v>7.7859999999999996</v>
      </c>
      <c r="S35" s="168">
        <v>10.406000000000001</v>
      </c>
      <c r="T35" s="168">
        <v>21</v>
      </c>
      <c r="U35" s="168">
        <f t="shared" si="7"/>
        <v>2.6971487284870284</v>
      </c>
      <c r="V35" s="169">
        <f t="shared" si="8"/>
        <v>25.177782048817999</v>
      </c>
      <c r="W35" s="170">
        <v>0.5</v>
      </c>
      <c r="X35" s="171">
        <f t="shared" si="1"/>
        <v>0.6403692307692308</v>
      </c>
      <c r="Y35" s="171">
        <f t="shared" si="12"/>
        <v>7.3920284000000001</v>
      </c>
      <c r="Z35" s="171">
        <f t="shared" si="12"/>
        <v>9.8794564000000005</v>
      </c>
      <c r="AA35" s="171">
        <f t="shared" si="12"/>
        <v>19.9374</v>
      </c>
      <c r="AB35" s="171">
        <f t="shared" si="5"/>
        <v>2.6971487284870284</v>
      </c>
      <c r="AC35" s="171">
        <f t="shared" si="3"/>
        <v>25.177782048817999</v>
      </c>
      <c r="AD35" s="163">
        <v>31</v>
      </c>
      <c r="AE35" s="171">
        <f t="shared" si="6"/>
        <v>229.15288040000002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426</v>
      </c>
      <c r="M36" s="166"/>
      <c r="N36" s="163">
        <v>7.4</v>
      </c>
      <c r="O36" s="166"/>
      <c r="P36" s="167">
        <v>21.13</v>
      </c>
      <c r="Q36" s="168">
        <f t="shared" si="0"/>
        <v>18.7</v>
      </c>
      <c r="R36" s="169">
        <v>1.5780000000000001</v>
      </c>
      <c r="S36" s="168">
        <v>7.1520000000000001</v>
      </c>
      <c r="T36" s="168">
        <v>43</v>
      </c>
      <c r="U36" s="168">
        <f t="shared" si="7"/>
        <v>27.249683143219265</v>
      </c>
      <c r="V36" s="169">
        <f t="shared" si="8"/>
        <v>77.93624161073825</v>
      </c>
      <c r="W36" s="170">
        <v>0.9</v>
      </c>
      <c r="X36" s="171">
        <f t="shared" si="1"/>
        <v>0.38245989304812839</v>
      </c>
      <c r="Y36" s="171">
        <f t="shared" si="12"/>
        <v>1.4981532000000002</v>
      </c>
      <c r="Z36" s="171">
        <f t="shared" si="12"/>
        <v>6.7901088000000005</v>
      </c>
      <c r="AA36" s="171">
        <f t="shared" si="12"/>
        <v>40.824199999999998</v>
      </c>
      <c r="AB36" s="171">
        <f t="shared" si="5"/>
        <v>27.249683143219265</v>
      </c>
      <c r="AC36" s="171">
        <f t="shared" si="3"/>
        <v>77.93624161073825</v>
      </c>
      <c r="AD36" s="163">
        <v>31</v>
      </c>
      <c r="AE36" s="171">
        <f t="shared" si="6"/>
        <v>46.442749200000009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185</v>
      </c>
      <c r="K37" s="163"/>
      <c r="L37" s="166">
        <v>240</v>
      </c>
      <c r="M37" s="166"/>
      <c r="N37" s="163">
        <v>7.9</v>
      </c>
      <c r="O37" s="166"/>
      <c r="P37" s="167">
        <v>38.840000000000003</v>
      </c>
      <c r="Q37" s="168">
        <f t="shared" si="0"/>
        <v>40.700000000000003</v>
      </c>
      <c r="R37" s="169">
        <v>22.306000000000001</v>
      </c>
      <c r="S37" s="168">
        <v>34.226999999999997</v>
      </c>
      <c r="T37" s="168">
        <v>181</v>
      </c>
      <c r="U37" s="168">
        <f t="shared" si="7"/>
        <v>8.1144086792791175</v>
      </c>
      <c r="V37" s="169">
        <f t="shared" si="8"/>
        <v>34.829228386945971</v>
      </c>
      <c r="W37" s="170">
        <v>0.6</v>
      </c>
      <c r="X37" s="171">
        <f t="shared" si="1"/>
        <v>0.84095823095823086</v>
      </c>
      <c r="Y37" s="171">
        <f t="shared" si="12"/>
        <v>21.177316400000002</v>
      </c>
      <c r="Z37" s="171">
        <f t="shared" si="12"/>
        <v>32.495113799999999</v>
      </c>
      <c r="AA37" s="171">
        <f t="shared" si="12"/>
        <v>171.84139999999999</v>
      </c>
      <c r="AB37" s="171">
        <f t="shared" si="5"/>
        <v>8.1144086792791175</v>
      </c>
      <c r="AC37" s="171">
        <f t="shared" si="3"/>
        <v>34.829228386945971</v>
      </c>
      <c r="AD37" s="163">
        <v>31</v>
      </c>
      <c r="AE37" s="171">
        <f t="shared" si="6"/>
        <v>656.49680840000008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497</v>
      </c>
      <c r="M38" s="166"/>
      <c r="N38" s="163">
        <v>8.3000000000000007</v>
      </c>
      <c r="O38" s="166"/>
      <c r="P38" s="167">
        <v>14.75</v>
      </c>
      <c r="Q38" s="168">
        <f>LEFT(H38,(FIND("K",H38,1)-1))*J38/100</f>
        <v>62.7</v>
      </c>
      <c r="R38" s="169">
        <v>15.722</v>
      </c>
      <c r="S38" s="168">
        <v>23.474</v>
      </c>
      <c r="T38" s="168">
        <v>586</v>
      </c>
      <c r="U38" s="168">
        <f t="shared" si="7"/>
        <v>37.272611627019465</v>
      </c>
      <c r="V38" s="169">
        <f t="shared" si="8"/>
        <v>33.023770980659457</v>
      </c>
      <c r="W38" s="170">
        <v>0.4</v>
      </c>
      <c r="X38" s="171">
        <f t="shared" si="1"/>
        <v>0.37438596491228071</v>
      </c>
      <c r="Y38" s="171">
        <f t="shared" si="12"/>
        <v>14.9264668</v>
      </c>
      <c r="Z38" s="171">
        <f t="shared" si="12"/>
        <v>22.286215600000002</v>
      </c>
      <c r="AA38" s="171">
        <f t="shared" si="12"/>
        <v>556.34839999999997</v>
      </c>
      <c r="AB38" s="171">
        <f t="shared" si="5"/>
        <v>37.272611627019465</v>
      </c>
      <c r="AC38" s="171">
        <f t="shared" si="3"/>
        <v>33.023770980659457</v>
      </c>
      <c r="AD38" s="163">
        <v>31</v>
      </c>
      <c r="AE38" s="171">
        <f t="shared" si="6"/>
        <v>462.72047079999999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100</v>
      </c>
      <c r="K39" s="163"/>
      <c r="L39" s="163">
        <v>457</v>
      </c>
      <c r="M39" s="166"/>
      <c r="N39" s="163">
        <v>16.2</v>
      </c>
      <c r="O39" s="166"/>
      <c r="P39" s="182">
        <v>25.23</v>
      </c>
      <c r="Q39" s="171">
        <f t="shared" ref="Q39:Q71" si="13">LEFT(H39,(FIND("K",H39,1)-1))*J39/100</f>
        <v>8</v>
      </c>
      <c r="R39" s="170">
        <v>6.2640000000000002</v>
      </c>
      <c r="S39" s="168">
        <v>7.0019999999999998</v>
      </c>
      <c r="T39" s="171">
        <v>21</v>
      </c>
      <c r="U39" s="171">
        <f t="shared" si="7"/>
        <v>3.3524904214559386</v>
      </c>
      <c r="V39" s="169">
        <f t="shared" si="8"/>
        <v>10.539845758354751</v>
      </c>
      <c r="W39" s="170">
        <v>0.2</v>
      </c>
      <c r="X39" s="171">
        <f t="shared" si="1"/>
        <v>0.87524999999999997</v>
      </c>
      <c r="Y39" s="171">
        <f t="shared" si="12"/>
        <v>5.9470416000000004</v>
      </c>
      <c r="Z39" s="171">
        <f t="shared" si="12"/>
        <v>6.6476987999999997</v>
      </c>
      <c r="AA39" s="171">
        <f t="shared" si="12"/>
        <v>19.9374</v>
      </c>
      <c r="AB39" s="171">
        <f t="shared" si="5"/>
        <v>3.3524904214559386</v>
      </c>
      <c r="AC39" s="171">
        <f t="shared" si="3"/>
        <v>10.539845758354751</v>
      </c>
      <c r="AD39" s="163">
        <v>31</v>
      </c>
      <c r="AE39" s="171">
        <f t="shared" si="6"/>
        <v>184.35828960000001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438</v>
      </c>
      <c r="M40" s="159"/>
      <c r="N40" s="163">
        <v>7</v>
      </c>
      <c r="O40" s="159"/>
      <c r="P40" s="160">
        <v>17.190000000000001</v>
      </c>
      <c r="Q40" s="171">
        <f t="shared" si="13"/>
        <v>25.3</v>
      </c>
      <c r="R40" s="170">
        <v>8.7509999999999994</v>
      </c>
      <c r="S40" s="168">
        <v>11.097</v>
      </c>
      <c r="T40" s="174">
        <v>503</v>
      </c>
      <c r="U40" s="171">
        <f t="shared" si="7"/>
        <v>57.479145240543943</v>
      </c>
      <c r="V40" s="169">
        <f t="shared" si="8"/>
        <v>21.140848878075158</v>
      </c>
      <c r="W40" s="170">
        <v>0.3</v>
      </c>
      <c r="X40" s="171">
        <f t="shared" si="1"/>
        <v>0.43861660079051379</v>
      </c>
      <c r="Y40" s="171">
        <f t="shared" si="12"/>
        <v>8.3081993999999995</v>
      </c>
      <c r="Z40" s="171">
        <f t="shared" si="12"/>
        <v>10.535491799999999</v>
      </c>
      <c r="AA40" s="171">
        <f t="shared" si="12"/>
        <v>477.54820000000001</v>
      </c>
      <c r="AB40" s="171">
        <f t="shared" si="5"/>
        <v>57.479145240543943</v>
      </c>
      <c r="AC40" s="171">
        <f t="shared" si="3"/>
        <v>21.140848878075158</v>
      </c>
      <c r="AD40" s="163">
        <v>31</v>
      </c>
      <c r="AE40" s="171">
        <f t="shared" si="6"/>
        <v>257.5541814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55</v>
      </c>
      <c r="L41" s="163"/>
      <c r="M41" s="159">
        <v>0.8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6" si="14">R41*0.949</f>
        <v>0</v>
      </c>
      <c r="Z41" s="171">
        <f t="shared" si="14"/>
        <v>0</v>
      </c>
      <c r="AA41" s="171">
        <f t="shared" si="14"/>
        <v>0</v>
      </c>
      <c r="AB41" s="171">
        <f t="shared" si="5"/>
        <v>0</v>
      </c>
      <c r="AC41" s="171">
        <f t="shared" si="3"/>
        <v>0</v>
      </c>
      <c r="AD41" s="163">
        <v>0</v>
      </c>
      <c r="AE41" s="171">
        <f t="shared" si="6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220</v>
      </c>
      <c r="M42" s="159"/>
      <c r="N42" s="163">
        <v>4</v>
      </c>
      <c r="O42" s="159"/>
      <c r="P42" s="160">
        <v>39.770000000000003</v>
      </c>
      <c r="Q42" s="171">
        <f t="shared" si="13"/>
        <v>5.0999999999999996</v>
      </c>
      <c r="R42" s="170">
        <v>2.68</v>
      </c>
      <c r="S42" s="168">
        <v>3.93</v>
      </c>
      <c r="T42" s="174">
        <v>2</v>
      </c>
      <c r="U42" s="171">
        <f>T42/R42</f>
        <v>0.74626865671641784</v>
      </c>
      <c r="V42" s="169">
        <f t="shared" si="8"/>
        <v>31.806615776081426</v>
      </c>
      <c r="W42" s="170">
        <v>0.3</v>
      </c>
      <c r="X42" s="171">
        <f t="shared" si="1"/>
        <v>0.77058823529411768</v>
      </c>
      <c r="Y42" s="171">
        <f t="shared" ref="Y42:AA45" si="15">R42*0.9494</f>
        <v>2.5443920000000002</v>
      </c>
      <c r="Z42" s="171">
        <f t="shared" si="15"/>
        <v>3.7311420000000002</v>
      </c>
      <c r="AA42" s="171">
        <f t="shared" si="15"/>
        <v>1.8988</v>
      </c>
      <c r="AB42" s="171">
        <f t="shared" si="5"/>
        <v>0.74626865671641784</v>
      </c>
      <c r="AC42" s="171">
        <f t="shared" si="3"/>
        <v>31.806615776081426</v>
      </c>
      <c r="AD42" s="163">
        <v>31</v>
      </c>
      <c r="AE42" s="171">
        <f t="shared" si="6"/>
        <v>78.876152000000005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434</v>
      </c>
      <c r="M43" s="166"/>
      <c r="N43" s="163">
        <v>3.2</v>
      </c>
      <c r="O43" s="166"/>
      <c r="P43" s="182">
        <v>14.86</v>
      </c>
      <c r="Q43" s="171">
        <f t="shared" si="13"/>
        <v>11.05</v>
      </c>
      <c r="R43" s="170">
        <v>2.6589999999999998</v>
      </c>
      <c r="S43" s="168">
        <v>3.5739999999999998</v>
      </c>
      <c r="T43" s="171">
        <v>2</v>
      </c>
      <c r="U43" s="171">
        <f t="shared" si="7"/>
        <v>0.75216246709289214</v>
      </c>
      <c r="V43" s="169">
        <f t="shared" si="8"/>
        <v>25.601566871852267</v>
      </c>
      <c r="W43" s="170">
        <v>0.3</v>
      </c>
      <c r="X43" s="171">
        <f t="shared" si="1"/>
        <v>0.3234389140271493</v>
      </c>
      <c r="Y43" s="171">
        <f t="shared" si="15"/>
        <v>2.5244545999999999</v>
      </c>
      <c r="Z43" s="171">
        <f t="shared" si="15"/>
        <v>3.3931556</v>
      </c>
      <c r="AA43" s="171">
        <f t="shared" si="15"/>
        <v>1.8988</v>
      </c>
      <c r="AB43" s="171">
        <f>U43</f>
        <v>0.75216246709289214</v>
      </c>
      <c r="AC43" s="171">
        <f t="shared" si="3"/>
        <v>25.601566871852267</v>
      </c>
      <c r="AD43" s="163">
        <v>31</v>
      </c>
      <c r="AE43" s="171">
        <f t="shared" si="6"/>
        <v>78.258092599999998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125</v>
      </c>
      <c r="K44" s="163"/>
      <c r="L44" s="163">
        <v>256</v>
      </c>
      <c r="M44" s="166"/>
      <c r="N44" s="182">
        <v>4.2</v>
      </c>
      <c r="O44" s="166"/>
      <c r="P44" s="182">
        <v>33.549999999999997</v>
      </c>
      <c r="Q44" s="171">
        <f t="shared" si="13"/>
        <v>7.5</v>
      </c>
      <c r="R44" s="170">
        <v>3.7959999999999998</v>
      </c>
      <c r="S44" s="168">
        <v>5.7190000000000003</v>
      </c>
      <c r="T44" s="171">
        <v>1.2</v>
      </c>
      <c r="U44" s="171">
        <f t="shared" si="7"/>
        <v>0.31612223393045313</v>
      </c>
      <c r="V44" s="169">
        <f t="shared" si="8"/>
        <v>33.624759573351994</v>
      </c>
      <c r="W44" s="170">
        <v>0.5</v>
      </c>
      <c r="X44" s="171">
        <f t="shared" si="1"/>
        <v>0.7625333333333334</v>
      </c>
      <c r="Y44" s="171">
        <f t="shared" si="15"/>
        <v>3.6039224000000001</v>
      </c>
      <c r="Z44" s="171">
        <f t="shared" si="15"/>
        <v>5.4296186000000004</v>
      </c>
      <c r="AA44" s="171">
        <f t="shared" si="15"/>
        <v>1.1392800000000001</v>
      </c>
      <c r="AB44" s="171">
        <f>U44</f>
        <v>0.31612223393045313</v>
      </c>
      <c r="AC44" s="171">
        <f t="shared" si="3"/>
        <v>33.624759573351994</v>
      </c>
      <c r="AD44" s="163">
        <v>31</v>
      </c>
      <c r="AE44" s="171">
        <f t="shared" si="6"/>
        <v>111.7215944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461</v>
      </c>
      <c r="M45" s="166"/>
      <c r="N45" s="163">
        <v>7.4</v>
      </c>
      <c r="O45" s="166"/>
      <c r="P45" s="167">
        <v>16.07</v>
      </c>
      <c r="Q45" s="168">
        <f t="shared" si="13"/>
        <v>13</v>
      </c>
      <c r="R45" s="169">
        <v>4.5890000000000004</v>
      </c>
      <c r="S45" s="168">
        <v>6.6349999999999998</v>
      </c>
      <c r="T45" s="168">
        <v>128</v>
      </c>
      <c r="U45" s="168">
        <f t="shared" si="7"/>
        <v>27.892787099585963</v>
      </c>
      <c r="V45" s="169">
        <f t="shared" si="8"/>
        <v>30.83647324792765</v>
      </c>
      <c r="W45" s="170">
        <v>0.2</v>
      </c>
      <c r="X45" s="171">
        <f t="shared" si="1"/>
        <v>0.51038461538461533</v>
      </c>
      <c r="Y45" s="171">
        <f t="shared" si="15"/>
        <v>4.3567966000000009</v>
      </c>
      <c r="Z45" s="171">
        <f t="shared" si="15"/>
        <v>6.2992689999999998</v>
      </c>
      <c r="AA45" s="171">
        <f t="shared" si="15"/>
        <v>121.5232</v>
      </c>
      <c r="AB45" s="171">
        <f t="shared" si="5"/>
        <v>27.892787099585963</v>
      </c>
      <c r="AC45" s="171">
        <f t="shared" si="3"/>
        <v>30.83647324792765</v>
      </c>
      <c r="AD45" s="163">
        <v>31</v>
      </c>
      <c r="AE45" s="171">
        <f t="shared" si="6"/>
        <v>135.06069460000003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495</v>
      </c>
      <c r="L46" s="163"/>
      <c r="M46" s="166">
        <v>20.2</v>
      </c>
      <c r="N46" s="163">
        <v>0</v>
      </c>
      <c r="O46" s="166"/>
      <c r="P46" s="167">
        <v>0</v>
      </c>
      <c r="Q46" s="168">
        <f t="shared" si="13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14"/>
        <v>0</v>
      </c>
      <c r="Z46" s="171">
        <f t="shared" si="14"/>
        <v>0</v>
      </c>
      <c r="AA46" s="171">
        <f t="shared" si="14"/>
        <v>0</v>
      </c>
      <c r="AB46" s="171">
        <f t="shared" si="5"/>
        <v>0</v>
      </c>
      <c r="AC46" s="171">
        <f t="shared" si="3"/>
        <v>0</v>
      </c>
      <c r="AD46" s="163">
        <v>0</v>
      </c>
      <c r="AE46" s="171">
        <f t="shared" si="6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362</v>
      </c>
      <c r="M47" s="166"/>
      <c r="N47" s="163">
        <v>7.1</v>
      </c>
      <c r="O47" s="166"/>
      <c r="P47" s="167">
        <v>27.59</v>
      </c>
      <c r="Q47" s="168">
        <f t="shared" si="13"/>
        <v>13</v>
      </c>
      <c r="R47" s="169">
        <v>0.17199999999999999</v>
      </c>
      <c r="S47" s="168">
        <v>2.69</v>
      </c>
      <c r="T47" s="168">
        <v>16</v>
      </c>
      <c r="U47" s="168">
        <f>T47/R47</f>
        <v>93.023255813953497</v>
      </c>
      <c r="V47" s="169">
        <f t="shared" si="8"/>
        <v>93.605947955390334</v>
      </c>
      <c r="W47" s="170">
        <v>0.3</v>
      </c>
      <c r="X47" s="171">
        <f t="shared" ref="X47:X54" si="16">S47/Q47</f>
        <v>0.20692307692307693</v>
      </c>
      <c r="Y47" s="171">
        <f t="shared" ref="Y47:AA54" si="17">R47*0.9494</f>
        <v>0.16329679999999999</v>
      </c>
      <c r="Z47" s="171">
        <f t="shared" si="17"/>
        <v>2.5538859999999999</v>
      </c>
      <c r="AA47" s="171">
        <f t="shared" si="17"/>
        <v>15.1904</v>
      </c>
      <c r="AB47" s="171">
        <f t="shared" si="5"/>
        <v>93.023255813953497</v>
      </c>
      <c r="AC47" s="171">
        <f t="shared" si="3"/>
        <v>93.605947955390334</v>
      </c>
      <c r="AD47" s="163">
        <v>31</v>
      </c>
      <c r="AE47" s="171">
        <f t="shared" si="6"/>
        <v>5.0622007999999994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265</v>
      </c>
      <c r="K48" s="163"/>
      <c r="L48" s="166">
        <v>417</v>
      </c>
      <c r="M48" s="166"/>
      <c r="N48" s="163">
        <v>1.1000000000000001</v>
      </c>
      <c r="O48" s="166"/>
      <c r="P48" s="167">
        <v>15.63</v>
      </c>
      <c r="Q48" s="168">
        <f t="shared" si="13"/>
        <v>15.9</v>
      </c>
      <c r="R48" s="169">
        <v>2.8769999999999998</v>
      </c>
      <c r="S48" s="168">
        <v>3.5009999999999999</v>
      </c>
      <c r="T48" s="168">
        <v>1</v>
      </c>
      <c r="U48" s="168">
        <f t="shared" ref="U48:U56" si="18">T48/R48</f>
        <v>0.34758428919012863</v>
      </c>
      <c r="V48" s="169">
        <f t="shared" si="8"/>
        <v>17.823479005998291</v>
      </c>
      <c r="W48" s="170">
        <v>0.6</v>
      </c>
      <c r="X48" s="171">
        <f t="shared" si="16"/>
        <v>0.22018867924528301</v>
      </c>
      <c r="Y48" s="171">
        <f t="shared" si="17"/>
        <v>2.7314238</v>
      </c>
      <c r="Z48" s="171">
        <f t="shared" si="17"/>
        <v>3.3238493999999998</v>
      </c>
      <c r="AA48" s="171">
        <f t="shared" si="17"/>
        <v>0.94940000000000002</v>
      </c>
      <c r="AB48" s="171">
        <f t="shared" si="5"/>
        <v>0.34758428919012863</v>
      </c>
      <c r="AC48" s="171">
        <f t="shared" si="3"/>
        <v>17.823479005998291</v>
      </c>
      <c r="AD48" s="163">
        <v>31</v>
      </c>
      <c r="AE48" s="171">
        <f t="shared" si="6"/>
        <v>84.674137799999997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98</v>
      </c>
      <c r="M49" s="166"/>
      <c r="N49" s="163">
        <v>5.5</v>
      </c>
      <c r="O49" s="166"/>
      <c r="P49" s="167">
        <v>51.89</v>
      </c>
      <c r="Q49" s="168">
        <f t="shared" si="13"/>
        <v>11.05</v>
      </c>
      <c r="R49" s="169">
        <v>7.2999999999999995E-2</v>
      </c>
      <c r="S49" s="168">
        <v>7.6120000000000001</v>
      </c>
      <c r="T49" s="168">
        <v>0</v>
      </c>
      <c r="U49" s="168">
        <f t="shared" si="18"/>
        <v>0</v>
      </c>
      <c r="V49" s="169">
        <f t="shared" si="8"/>
        <v>99.040987913820274</v>
      </c>
      <c r="W49" s="170">
        <v>0</v>
      </c>
      <c r="X49" s="171">
        <f t="shared" si="16"/>
        <v>0.68886877828054294</v>
      </c>
      <c r="Y49" s="171">
        <f t="shared" si="17"/>
        <v>6.9306199999999998E-2</v>
      </c>
      <c r="Z49" s="171">
        <f t="shared" si="17"/>
        <v>7.2268328000000004</v>
      </c>
      <c r="AA49" s="171">
        <f t="shared" si="17"/>
        <v>0</v>
      </c>
      <c r="AB49" s="171">
        <f t="shared" si="5"/>
        <v>0</v>
      </c>
      <c r="AC49" s="171">
        <f t="shared" si="3"/>
        <v>99.040987913820274</v>
      </c>
      <c r="AD49" s="163">
        <v>31</v>
      </c>
      <c r="AE49" s="171">
        <f t="shared" si="6"/>
        <v>2.1484921999999997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286</v>
      </c>
      <c r="F50" s="163">
        <v>177.8</v>
      </c>
      <c r="G50" s="194" t="s">
        <v>28</v>
      </c>
      <c r="H50" s="195" t="s">
        <v>125</v>
      </c>
      <c r="I50" s="196">
        <v>565.53</v>
      </c>
      <c r="J50" s="194">
        <v>260</v>
      </c>
      <c r="K50" s="194"/>
      <c r="L50" s="197">
        <v>440</v>
      </c>
      <c r="M50" s="197"/>
      <c r="N50" s="163">
        <v>3.9</v>
      </c>
      <c r="O50" s="197"/>
      <c r="P50" s="198">
        <v>16.23</v>
      </c>
      <c r="Q50" s="199">
        <f t="shared" si="13"/>
        <v>7.8</v>
      </c>
      <c r="R50" s="200">
        <v>4.1349999999999998</v>
      </c>
      <c r="S50" s="168">
        <v>4.282</v>
      </c>
      <c r="T50" s="199">
        <v>2.1</v>
      </c>
      <c r="U50" s="168">
        <f t="shared" si="18"/>
        <v>0.50785973397823458</v>
      </c>
      <c r="V50" s="169">
        <f t="shared" si="8"/>
        <v>3.4329752452125231</v>
      </c>
      <c r="W50" s="201">
        <v>0.4</v>
      </c>
      <c r="X50" s="171">
        <f t="shared" si="16"/>
        <v>0.54897435897435898</v>
      </c>
      <c r="Y50" s="171">
        <f t="shared" si="17"/>
        <v>3.9257689999999998</v>
      </c>
      <c r="Z50" s="171">
        <f t="shared" si="17"/>
        <v>4.0653307999999999</v>
      </c>
      <c r="AA50" s="171">
        <f t="shared" si="17"/>
        <v>1.9937400000000001</v>
      </c>
      <c r="AB50" s="202">
        <f t="shared" si="5"/>
        <v>0.50785973397823458</v>
      </c>
      <c r="AC50" s="171">
        <f t="shared" si="3"/>
        <v>3.4329752452125231</v>
      </c>
      <c r="AD50" s="163">
        <v>31</v>
      </c>
      <c r="AE50" s="202">
        <f t="shared" si="6"/>
        <v>121.69883899999999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160</v>
      </c>
      <c r="K51" s="163"/>
      <c r="L51" s="166">
        <v>411</v>
      </c>
      <c r="M51" s="166"/>
      <c r="N51" s="163">
        <v>0.6</v>
      </c>
      <c r="O51" s="166"/>
      <c r="P51" s="167">
        <v>15.72</v>
      </c>
      <c r="Q51" s="199">
        <f t="shared" si="13"/>
        <v>20.8</v>
      </c>
      <c r="R51" s="169">
        <v>2.7080000000000002</v>
      </c>
      <c r="S51" s="168">
        <v>3.883</v>
      </c>
      <c r="T51" s="168">
        <v>2</v>
      </c>
      <c r="U51" s="168">
        <f t="shared" si="18"/>
        <v>0.73855243722304276</v>
      </c>
      <c r="V51" s="169">
        <f t="shared" si="8"/>
        <v>30.260108163790878</v>
      </c>
      <c r="W51" s="170">
        <v>0.4</v>
      </c>
      <c r="X51" s="171">
        <f t="shared" si="16"/>
        <v>0.1866826923076923</v>
      </c>
      <c r="Y51" s="171">
        <f t="shared" si="17"/>
        <v>2.5709752000000003</v>
      </c>
      <c r="Z51" s="171">
        <f t="shared" si="17"/>
        <v>3.6865201999999999</v>
      </c>
      <c r="AA51" s="171">
        <f t="shared" si="17"/>
        <v>1.8988</v>
      </c>
      <c r="AB51" s="171">
        <f t="shared" si="5"/>
        <v>0.73855243722304276</v>
      </c>
      <c r="AC51" s="171">
        <f t="shared" si="3"/>
        <v>30.260108163790878</v>
      </c>
      <c r="AD51" s="163">
        <v>25</v>
      </c>
      <c r="AE51" s="171">
        <f t="shared" si="6"/>
        <v>64.274380000000008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285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105</v>
      </c>
      <c r="K52" s="163"/>
      <c r="L52" s="166">
        <v>429</v>
      </c>
      <c r="M52" s="166"/>
      <c r="N52" s="163">
        <v>1.8</v>
      </c>
      <c r="O52" s="166"/>
      <c r="P52" s="167">
        <v>15.63</v>
      </c>
      <c r="Q52" s="168">
        <f t="shared" si="13"/>
        <v>13.65</v>
      </c>
      <c r="R52" s="169">
        <v>3.8450000000000002</v>
      </c>
      <c r="S52" s="168">
        <v>4.7380000000000004</v>
      </c>
      <c r="T52" s="168">
        <v>4.8</v>
      </c>
      <c r="U52" s="168">
        <f t="shared" si="18"/>
        <v>1.248374512353706</v>
      </c>
      <c r="V52" s="169">
        <f t="shared" si="8"/>
        <v>18.84761502743774</v>
      </c>
      <c r="W52" s="170">
        <v>0.4</v>
      </c>
      <c r="X52" s="171">
        <f t="shared" si="16"/>
        <v>0.34710622710622713</v>
      </c>
      <c r="Y52" s="171">
        <f t="shared" si="17"/>
        <v>3.6504430000000001</v>
      </c>
      <c r="Z52" s="171">
        <f t="shared" si="17"/>
        <v>4.4982572000000003</v>
      </c>
      <c r="AA52" s="171">
        <f t="shared" si="17"/>
        <v>4.5571200000000003</v>
      </c>
      <c r="AB52" s="171">
        <f t="shared" si="5"/>
        <v>1.248374512353706</v>
      </c>
      <c r="AC52" s="171">
        <f t="shared" si="3"/>
        <v>18.84761502743774</v>
      </c>
      <c r="AD52" s="163">
        <v>31</v>
      </c>
      <c r="AE52" s="171">
        <f t="shared" si="6"/>
        <v>113.16373300000001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68</v>
      </c>
      <c r="M53" s="166"/>
      <c r="N53" s="163">
        <v>0.5</v>
      </c>
      <c r="O53" s="166"/>
      <c r="P53" s="167">
        <v>48.4</v>
      </c>
      <c r="Q53" s="168">
        <f t="shared" si="13"/>
        <v>7.2</v>
      </c>
      <c r="R53" s="169">
        <v>0.38300000000000001</v>
      </c>
      <c r="S53" s="168">
        <v>0.60199999999999998</v>
      </c>
      <c r="T53" s="168">
        <v>0</v>
      </c>
      <c r="U53" s="168">
        <f t="shared" si="18"/>
        <v>0</v>
      </c>
      <c r="V53" s="169">
        <f t="shared" si="8"/>
        <v>36.378737541528231</v>
      </c>
      <c r="W53" s="170">
        <v>0.3</v>
      </c>
      <c r="X53" s="171">
        <f t="shared" si="16"/>
        <v>8.3611111111111108E-2</v>
      </c>
      <c r="Y53" s="171">
        <f t="shared" si="17"/>
        <v>0.3636202</v>
      </c>
      <c r="Z53" s="171">
        <f t="shared" si="17"/>
        <v>0.57153880000000001</v>
      </c>
      <c r="AA53" s="171">
        <f t="shared" si="17"/>
        <v>0</v>
      </c>
      <c r="AB53" s="171">
        <f t="shared" si="5"/>
        <v>0</v>
      </c>
      <c r="AC53" s="171">
        <f t="shared" si="3"/>
        <v>36.378737541528231</v>
      </c>
      <c r="AD53" s="163">
        <v>31</v>
      </c>
      <c r="AE53" s="171">
        <f t="shared" si="6"/>
        <v>11.2722262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558.87</v>
      </c>
      <c r="J54" s="163">
        <v>85</v>
      </c>
      <c r="K54" s="163"/>
      <c r="L54" s="163">
        <v>216</v>
      </c>
      <c r="M54" s="163"/>
      <c r="N54" s="163">
        <v>7.2</v>
      </c>
      <c r="O54" s="163"/>
      <c r="P54" s="182">
        <v>42.32</v>
      </c>
      <c r="Q54" s="171">
        <f t="shared" si="13"/>
        <v>18.7</v>
      </c>
      <c r="R54" s="170">
        <v>0.46200000000000002</v>
      </c>
      <c r="S54" s="168">
        <v>7.7679999999999998</v>
      </c>
      <c r="T54" s="171">
        <v>29</v>
      </c>
      <c r="U54" s="168">
        <f t="shared" si="18"/>
        <v>62.770562770562769</v>
      </c>
      <c r="V54" s="169">
        <f t="shared" si="8"/>
        <v>94.052523171987644</v>
      </c>
      <c r="W54" s="170">
        <v>0</v>
      </c>
      <c r="X54" s="171">
        <f t="shared" si="16"/>
        <v>0.41540106951871658</v>
      </c>
      <c r="Y54" s="171">
        <f t="shared" si="17"/>
        <v>0.43862280000000003</v>
      </c>
      <c r="Z54" s="171">
        <f t="shared" si="17"/>
        <v>7.3749392</v>
      </c>
      <c r="AA54" s="171">
        <f t="shared" si="17"/>
        <v>27.532600000000002</v>
      </c>
      <c r="AB54" s="171">
        <f t="shared" si="5"/>
        <v>62.770562770562769</v>
      </c>
      <c r="AC54" s="171">
        <f t="shared" si="3"/>
        <v>94.052523171987644</v>
      </c>
      <c r="AD54" s="163">
        <v>31</v>
      </c>
      <c r="AE54" s="171">
        <f t="shared" si="6"/>
        <v>13.597306800000002</v>
      </c>
      <c r="AF54" s="343"/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529.41</v>
      </c>
      <c r="J55" s="163">
        <v>0</v>
      </c>
      <c r="K55" s="163">
        <v>282</v>
      </c>
      <c r="L55" s="163"/>
      <c r="M55" s="163">
        <v>0.2</v>
      </c>
      <c r="N55" s="163"/>
      <c r="O55" s="163"/>
      <c r="P55" s="182">
        <v>0</v>
      </c>
      <c r="Q55" s="171">
        <f t="shared" si="13"/>
        <v>0</v>
      </c>
      <c r="R55" s="170">
        <v>0</v>
      </c>
      <c r="S55" s="168">
        <v>0</v>
      </c>
      <c r="T55" s="171">
        <v>0</v>
      </c>
      <c r="U55" s="168">
        <f>IF(R55=0,0,T55/R55)</f>
        <v>0</v>
      </c>
      <c r="V55" s="169">
        <v>0</v>
      </c>
      <c r="W55" s="170">
        <v>0</v>
      </c>
      <c r="X55" s="171">
        <v>0</v>
      </c>
      <c r="Y55" s="171">
        <f t="shared" ref="Y55:AA56" si="19">R55</f>
        <v>0</v>
      </c>
      <c r="Z55" s="171">
        <f t="shared" si="19"/>
        <v>0</v>
      </c>
      <c r="AA55" s="171">
        <f t="shared" si="19"/>
        <v>0</v>
      </c>
      <c r="AB55" s="171">
        <f t="shared" si="5"/>
        <v>0</v>
      </c>
      <c r="AC55" s="171">
        <f t="shared" si="3"/>
        <v>0</v>
      </c>
      <c r="AD55" s="163">
        <v>0</v>
      </c>
      <c r="AE55" s="171">
        <f t="shared" si="6"/>
        <v>0</v>
      </c>
      <c r="AF55" s="172" t="s">
        <v>215</v>
      </c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441</v>
      </c>
      <c r="M56" s="163"/>
      <c r="N56" s="163">
        <v>8.5</v>
      </c>
      <c r="O56" s="163"/>
      <c r="P56" s="182">
        <v>21.11</v>
      </c>
      <c r="Q56" s="171">
        <f t="shared" si="13"/>
        <v>18.7</v>
      </c>
      <c r="R56" s="170">
        <v>2.2029999999999998</v>
      </c>
      <c r="S56" s="168">
        <v>9.0679999999999996</v>
      </c>
      <c r="T56" s="171">
        <v>79</v>
      </c>
      <c r="U56" s="171">
        <f t="shared" si="18"/>
        <v>35.860190649114848</v>
      </c>
      <c r="V56" s="169">
        <f t="shared" si="8"/>
        <v>75.705778561976189</v>
      </c>
      <c r="W56" s="170">
        <v>0.4</v>
      </c>
      <c r="X56" s="171">
        <f>S56/Q56</f>
        <v>0.48491978609625669</v>
      </c>
      <c r="Y56" s="171">
        <f t="shared" si="19"/>
        <v>2.2029999999999998</v>
      </c>
      <c r="Z56" s="171">
        <f t="shared" si="19"/>
        <v>9.0679999999999996</v>
      </c>
      <c r="AA56" s="171">
        <f t="shared" si="19"/>
        <v>79</v>
      </c>
      <c r="AB56" s="171">
        <f t="shared" si="5"/>
        <v>35.860190649114848</v>
      </c>
      <c r="AC56" s="171">
        <f t="shared" si="3"/>
        <v>75.705778561976189</v>
      </c>
      <c r="AD56" s="163">
        <v>18</v>
      </c>
      <c r="AE56" s="171">
        <f t="shared" si="6"/>
        <v>39.653999999999996</v>
      </c>
      <c r="AF56" s="179" t="s">
        <v>289</v>
      </c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425</v>
      </c>
      <c r="M57" s="158"/>
      <c r="N57" s="163">
        <v>7.9</v>
      </c>
      <c r="O57" s="158"/>
      <c r="P57" s="160">
        <v>19.97</v>
      </c>
      <c r="Q57" s="171">
        <f t="shared" si="13"/>
        <v>33</v>
      </c>
      <c r="R57" s="170">
        <v>10.53</v>
      </c>
      <c r="S57" s="168">
        <v>12.414</v>
      </c>
      <c r="T57" s="174">
        <v>665</v>
      </c>
      <c r="U57" s="171">
        <f>T57/R57</f>
        <v>63.152896486229821</v>
      </c>
      <c r="V57" s="169">
        <f t="shared" si="8"/>
        <v>15.176413726437895</v>
      </c>
      <c r="W57" s="170">
        <v>0.4</v>
      </c>
      <c r="X57" s="171">
        <f t="shared" ref="X57:X73" si="20">S57/Q57</f>
        <v>0.37618181818181817</v>
      </c>
      <c r="Y57" s="171">
        <f t="shared" ref="Y57:AA57" si="21">R57*0.9494</f>
        <v>9.9971820000000005</v>
      </c>
      <c r="Z57" s="171">
        <f t="shared" si="21"/>
        <v>11.785851600000001</v>
      </c>
      <c r="AA57" s="171">
        <f t="shared" si="21"/>
        <v>631.351</v>
      </c>
      <c r="AB57" s="171">
        <f t="shared" si="5"/>
        <v>63.152896486229821</v>
      </c>
      <c r="AC57" s="171">
        <f t="shared" si="3"/>
        <v>15.176413726437895</v>
      </c>
      <c r="AD57" s="163">
        <v>31</v>
      </c>
      <c r="AE57" s="171">
        <f>Y57*AD57</f>
        <v>309.91264200000001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478</v>
      </c>
      <c r="L58" s="163"/>
      <c r="M58" s="158">
        <v>40.9</v>
      </c>
      <c r="N58" s="163"/>
      <c r="O58" s="158"/>
      <c r="P58" s="160">
        <v>0</v>
      </c>
      <c r="Q58" s="171">
        <f t="shared" si="13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>R58</f>
        <v>0</v>
      </c>
      <c r="Z58" s="171">
        <f>S58</f>
        <v>0</v>
      </c>
      <c r="AA58" s="171">
        <f>T58</f>
        <v>0</v>
      </c>
      <c r="AB58" s="171">
        <f t="shared" si="5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437</v>
      </c>
      <c r="M59" s="158"/>
      <c r="N59" s="163">
        <v>3.9</v>
      </c>
      <c r="O59" s="158"/>
      <c r="P59" s="182">
        <v>16.96</v>
      </c>
      <c r="Q59" s="171">
        <f t="shared" si="13"/>
        <v>11.05</v>
      </c>
      <c r="R59" s="170">
        <v>4.7809999999999997</v>
      </c>
      <c r="S59" s="168">
        <v>5.617</v>
      </c>
      <c r="T59" s="171">
        <v>4</v>
      </c>
      <c r="U59" s="171">
        <f>T59/R59</f>
        <v>0.83664505333612216</v>
      </c>
      <c r="V59" s="169">
        <f t="shared" si="8"/>
        <v>14.88338970980951</v>
      </c>
      <c r="W59" s="170">
        <v>1</v>
      </c>
      <c r="X59" s="171">
        <f t="shared" si="20"/>
        <v>0.50832579185520355</v>
      </c>
      <c r="Y59" s="171">
        <f t="shared" ref="Y59:AA64" si="22">R59*0.9494</f>
        <v>4.5390813999999997</v>
      </c>
      <c r="Z59" s="171">
        <f t="shared" si="22"/>
        <v>5.3327798</v>
      </c>
      <c r="AA59" s="171">
        <f t="shared" si="22"/>
        <v>3.7976000000000001</v>
      </c>
      <c r="AB59" s="171">
        <f t="shared" si="5"/>
        <v>0.83664505333612216</v>
      </c>
      <c r="AC59" s="171">
        <f t="shared" si="3"/>
        <v>14.88338970980951</v>
      </c>
      <c r="AD59" s="163">
        <v>31</v>
      </c>
      <c r="AE59" s="171">
        <f t="shared" ref="AE59:AE71" si="23">Y59*AD59</f>
        <v>140.7115234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52</v>
      </c>
      <c r="I60" s="158">
        <v>593</v>
      </c>
      <c r="J60" s="163">
        <v>85</v>
      </c>
      <c r="K60" s="163"/>
      <c r="L60" s="163">
        <v>370</v>
      </c>
      <c r="M60" s="163"/>
      <c r="N60" s="163">
        <v>9</v>
      </c>
      <c r="O60" s="163"/>
      <c r="P60" s="182">
        <v>26.23</v>
      </c>
      <c r="Q60" s="171">
        <f t="shared" si="13"/>
        <v>18.7</v>
      </c>
      <c r="R60" s="170">
        <v>9.9060000000000006</v>
      </c>
      <c r="S60" s="168">
        <v>14.352</v>
      </c>
      <c r="T60" s="171">
        <v>118</v>
      </c>
      <c r="U60" s="171">
        <f>T60/R60</f>
        <v>11.911972541893801</v>
      </c>
      <c r="V60" s="169">
        <f t="shared" si="8"/>
        <v>30.978260869565215</v>
      </c>
      <c r="W60" s="170">
        <v>0.4</v>
      </c>
      <c r="X60" s="171">
        <f t="shared" si="20"/>
        <v>0.76748663101604286</v>
      </c>
      <c r="Y60" s="171">
        <f t="shared" si="22"/>
        <v>9.4047564000000001</v>
      </c>
      <c r="Z60" s="171">
        <f t="shared" si="22"/>
        <v>13.6257888</v>
      </c>
      <c r="AA60" s="171">
        <f t="shared" si="22"/>
        <v>112.0292</v>
      </c>
      <c r="AB60" s="171">
        <f t="shared" si="5"/>
        <v>11.911972541893801</v>
      </c>
      <c r="AC60" s="171">
        <v>67</v>
      </c>
      <c r="AD60" s="163">
        <v>31</v>
      </c>
      <c r="AE60" s="171">
        <f t="shared" si="23"/>
        <v>291.54744840000001</v>
      </c>
      <c r="AF60" s="190"/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360</v>
      </c>
      <c r="K61" s="163"/>
      <c r="L61" s="163">
        <v>413</v>
      </c>
      <c r="M61" s="163"/>
      <c r="N61" s="163">
        <v>8.3000000000000007</v>
      </c>
      <c r="O61" s="163"/>
      <c r="P61" s="182">
        <v>21.46</v>
      </c>
      <c r="Q61" s="171">
        <f t="shared" si="13"/>
        <v>115.2</v>
      </c>
      <c r="R61" s="170">
        <v>18.712</v>
      </c>
      <c r="S61" s="168">
        <v>22.315999999999999</v>
      </c>
      <c r="T61" s="171">
        <v>1703</v>
      </c>
      <c r="U61" s="171">
        <f>T61/R61</f>
        <v>91.011115861479269</v>
      </c>
      <c r="V61" s="169">
        <f t="shared" si="8"/>
        <v>16.149847642946764</v>
      </c>
      <c r="W61" s="170">
        <v>0.3</v>
      </c>
      <c r="X61" s="171">
        <f t="shared" si="20"/>
        <v>0.19371527777777775</v>
      </c>
      <c r="Y61" s="171">
        <f t="shared" si="22"/>
        <v>17.765172799999998</v>
      </c>
      <c r="Z61" s="171">
        <f t="shared" si="22"/>
        <v>21.186810399999999</v>
      </c>
      <c r="AA61" s="171">
        <f t="shared" si="22"/>
        <v>1616.8281999999999</v>
      </c>
      <c r="AB61" s="171">
        <f t="shared" si="5"/>
        <v>91.011115861479269</v>
      </c>
      <c r="AC61" s="171">
        <f t="shared" si="3"/>
        <v>16.149847642946764</v>
      </c>
      <c r="AD61" s="163">
        <v>31</v>
      </c>
      <c r="AE61" s="171">
        <f t="shared" si="23"/>
        <v>550.72035679999999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446</v>
      </c>
      <c r="M62" s="163"/>
      <c r="N62" s="163">
        <v>8.1</v>
      </c>
      <c r="O62" s="163"/>
      <c r="P62" s="182">
        <v>18.149999999999999</v>
      </c>
      <c r="Q62" s="171">
        <f t="shared" si="13"/>
        <v>34.1</v>
      </c>
      <c r="R62" s="170">
        <v>11.901999999999999</v>
      </c>
      <c r="S62" s="168">
        <v>14.151999999999999</v>
      </c>
      <c r="T62" s="171">
        <v>480</v>
      </c>
      <c r="U62" s="171">
        <f>T62/R62</f>
        <v>40.329356410687282</v>
      </c>
      <c r="V62" s="169">
        <f t="shared" si="8"/>
        <v>15.898812888637648</v>
      </c>
      <c r="W62" s="170">
        <v>0.4</v>
      </c>
      <c r="X62" s="171">
        <f t="shared" si="20"/>
        <v>0.41501466275659821</v>
      </c>
      <c r="Y62" s="171">
        <f t="shared" si="22"/>
        <v>11.299758799999999</v>
      </c>
      <c r="Z62" s="171">
        <f t="shared" si="22"/>
        <v>13.4359088</v>
      </c>
      <c r="AA62" s="171">
        <f t="shared" si="22"/>
        <v>455.71199999999999</v>
      </c>
      <c r="AB62" s="171">
        <f t="shared" si="5"/>
        <v>40.329356410687282</v>
      </c>
      <c r="AC62" s="171">
        <f t="shared" si="3"/>
        <v>15.898812888637648</v>
      </c>
      <c r="AD62" s="163">
        <v>31</v>
      </c>
      <c r="AE62" s="171">
        <f t="shared" si="23"/>
        <v>350.29252279999997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437</v>
      </c>
      <c r="M63" s="163"/>
      <c r="N63" s="163">
        <v>8.1</v>
      </c>
      <c r="O63" s="163"/>
      <c r="P63" s="182">
        <v>20.3</v>
      </c>
      <c r="Q63" s="171">
        <f t="shared" si="13"/>
        <v>25.3</v>
      </c>
      <c r="R63" s="170">
        <v>7.3840000000000003</v>
      </c>
      <c r="S63" s="168">
        <v>9.8989999999999991</v>
      </c>
      <c r="T63" s="171">
        <v>96</v>
      </c>
      <c r="U63" s="171">
        <f>T63/R63</f>
        <v>13.001083423618635</v>
      </c>
      <c r="V63" s="169">
        <f t="shared" si="8"/>
        <v>25.406606727952308</v>
      </c>
      <c r="W63" s="170">
        <v>0.4</v>
      </c>
      <c r="X63" s="171">
        <f t="shared" si="20"/>
        <v>0.39126482213438729</v>
      </c>
      <c r="Y63" s="171">
        <f t="shared" si="22"/>
        <v>7.0103696000000006</v>
      </c>
      <c r="Z63" s="171">
        <f t="shared" si="22"/>
        <v>9.398110599999999</v>
      </c>
      <c r="AA63" s="171">
        <f t="shared" si="22"/>
        <v>91.142400000000009</v>
      </c>
      <c r="AB63" s="171">
        <f t="shared" si="5"/>
        <v>13.001083423618635</v>
      </c>
      <c r="AC63" s="171">
        <f t="shared" si="3"/>
        <v>25.406606727952308</v>
      </c>
      <c r="AD63" s="163">
        <v>31</v>
      </c>
      <c r="AE63" s="171">
        <f>Y63*AD63</f>
        <v>217.32145760000003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452</v>
      </c>
      <c r="M64" s="163"/>
      <c r="N64" s="163">
        <v>8.5</v>
      </c>
      <c r="O64" s="163"/>
      <c r="P64" s="182">
        <v>18.59</v>
      </c>
      <c r="Q64" s="171">
        <f t="shared" si="13"/>
        <v>91.2</v>
      </c>
      <c r="R64" s="170">
        <v>11.537000000000001</v>
      </c>
      <c r="S64" s="168">
        <v>12.725</v>
      </c>
      <c r="T64" s="171">
        <v>434</v>
      </c>
      <c r="U64" s="171">
        <f t="shared" si="7"/>
        <v>37.618098292450377</v>
      </c>
      <c r="V64" s="169">
        <f t="shared" si="8"/>
        <v>9.335952848722977</v>
      </c>
      <c r="W64" s="170">
        <v>0.4</v>
      </c>
      <c r="X64" s="171">
        <f t="shared" si="20"/>
        <v>0.13952850877192982</v>
      </c>
      <c r="Y64" s="171">
        <f t="shared" si="22"/>
        <v>10.953227800000001</v>
      </c>
      <c r="Z64" s="171">
        <f t="shared" si="22"/>
        <v>12.081115</v>
      </c>
      <c r="AA64" s="171">
        <f t="shared" si="22"/>
        <v>412.03960000000001</v>
      </c>
      <c r="AB64" s="171">
        <f t="shared" si="5"/>
        <v>37.618098292450377</v>
      </c>
      <c r="AC64" s="171">
        <f t="shared" si="3"/>
        <v>9.335952848722977</v>
      </c>
      <c r="AD64" s="163">
        <v>31</v>
      </c>
      <c r="AE64" s="171">
        <f t="shared" si="23"/>
        <v>339.55006180000004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218</v>
      </c>
      <c r="I65" s="158">
        <v>579.14</v>
      </c>
      <c r="J65" s="163">
        <v>130</v>
      </c>
      <c r="K65" s="163"/>
      <c r="L65" s="163">
        <v>171</v>
      </c>
      <c r="M65" s="163"/>
      <c r="N65" s="163">
        <v>9</v>
      </c>
      <c r="O65" s="163"/>
      <c r="P65" s="182">
        <v>44.77</v>
      </c>
      <c r="Q65" s="171">
        <f t="shared" si="13"/>
        <v>41.6</v>
      </c>
      <c r="R65" s="170">
        <v>11.446999999999999</v>
      </c>
      <c r="S65" s="168">
        <v>26.021000000000001</v>
      </c>
      <c r="T65" s="171">
        <v>132</v>
      </c>
      <c r="U65" s="171">
        <f t="shared" si="7"/>
        <v>11.531405608456366</v>
      </c>
      <c r="V65" s="169">
        <f t="shared" si="8"/>
        <v>56.008608431651361</v>
      </c>
      <c r="W65" s="170">
        <v>0.4</v>
      </c>
      <c r="X65" s="171">
        <f t="shared" si="20"/>
        <v>0.62550480769230765</v>
      </c>
      <c r="Y65" s="171">
        <v>28.6</v>
      </c>
      <c r="Z65" s="171">
        <v>40.880000000000003</v>
      </c>
      <c r="AA65" s="171">
        <v>579.79999999999995</v>
      </c>
      <c r="AB65" s="171">
        <f t="shared" si="5"/>
        <v>11.531405608456366</v>
      </c>
      <c r="AC65" s="171">
        <v>30</v>
      </c>
      <c r="AD65" s="163">
        <v>31</v>
      </c>
      <c r="AE65" s="171">
        <f t="shared" si="23"/>
        <v>886.6</v>
      </c>
      <c r="AF65" s="321"/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218</v>
      </c>
      <c r="I66" s="158">
        <v>508.57</v>
      </c>
      <c r="J66" s="163">
        <v>145</v>
      </c>
      <c r="K66" s="163"/>
      <c r="L66" s="163">
        <v>164</v>
      </c>
      <c r="M66" s="163"/>
      <c r="N66" s="163">
        <v>9</v>
      </c>
      <c r="O66" s="163"/>
      <c r="P66" s="182">
        <v>40.200000000000003</v>
      </c>
      <c r="Q66" s="171">
        <f t="shared" si="13"/>
        <v>46.4</v>
      </c>
      <c r="R66" s="170">
        <v>35.732999999999997</v>
      </c>
      <c r="S66" s="168">
        <v>39.801000000000002</v>
      </c>
      <c r="T66" s="171">
        <v>512</v>
      </c>
      <c r="U66" s="171">
        <f t="shared" si="7"/>
        <v>14.328491870259985</v>
      </c>
      <c r="V66" s="169">
        <f t="shared" si="8"/>
        <v>10.220848722393921</v>
      </c>
      <c r="W66" s="170">
        <v>0.3</v>
      </c>
      <c r="X66" s="171">
        <f t="shared" si="20"/>
        <v>0.85778017241379312</v>
      </c>
      <c r="Y66" s="171">
        <v>18.3</v>
      </c>
      <c r="Z66" s="171">
        <v>21.37</v>
      </c>
      <c r="AA66" s="171">
        <v>490.49</v>
      </c>
      <c r="AB66" s="171">
        <f t="shared" si="5"/>
        <v>14.328491870259985</v>
      </c>
      <c r="AC66" s="171">
        <v>14.18</v>
      </c>
      <c r="AD66" s="163">
        <v>23</v>
      </c>
      <c r="AE66" s="171">
        <f t="shared" si="23"/>
        <v>420.90000000000003</v>
      </c>
      <c r="AF66" s="321"/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523.66</v>
      </c>
      <c r="J67" s="163">
        <v>150</v>
      </c>
      <c r="K67" s="163"/>
      <c r="L67" s="163">
        <v>364</v>
      </c>
      <c r="M67" s="163"/>
      <c r="N67" s="163">
        <v>9.8000000000000007</v>
      </c>
      <c r="O67" s="163"/>
      <c r="P67" s="182">
        <v>25.51</v>
      </c>
      <c r="Q67" s="171">
        <f t="shared" si="13"/>
        <v>48</v>
      </c>
      <c r="R67" s="170">
        <v>16.619</v>
      </c>
      <c r="S67" s="168">
        <v>20.032</v>
      </c>
      <c r="T67" s="171">
        <v>1153</v>
      </c>
      <c r="U67" s="171">
        <f t="shared" si="7"/>
        <v>69.37842228774295</v>
      </c>
      <c r="V67" s="169">
        <f t="shared" si="8"/>
        <v>17.037739616613422</v>
      </c>
      <c r="W67" s="170">
        <v>0.3</v>
      </c>
      <c r="X67" s="171">
        <f t="shared" si="20"/>
        <v>0.41733333333333333</v>
      </c>
      <c r="Y67" s="171">
        <f t="shared" ref="Y67:AA73" si="24">R67*0.9494</f>
        <v>15.778078600000001</v>
      </c>
      <c r="Z67" s="171">
        <f t="shared" si="24"/>
        <v>19.018380799999999</v>
      </c>
      <c r="AA67" s="171">
        <f t="shared" si="24"/>
        <v>1094.6582000000001</v>
      </c>
      <c r="AB67" s="171">
        <f t="shared" si="5"/>
        <v>69.37842228774295</v>
      </c>
      <c r="AC67" s="171">
        <f t="shared" si="3"/>
        <v>17.037739616613422</v>
      </c>
      <c r="AD67" s="163">
        <v>31</v>
      </c>
      <c r="AE67" s="171">
        <f t="shared" si="23"/>
        <v>489.12043660000001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452</v>
      </c>
      <c r="M68" s="163"/>
      <c r="N68" s="163">
        <v>9.1</v>
      </c>
      <c r="O68" s="163"/>
      <c r="P68" s="182">
        <v>18.82</v>
      </c>
      <c r="Q68" s="171">
        <f t="shared" si="13"/>
        <v>104</v>
      </c>
      <c r="R68" s="170">
        <v>13.148999999999999</v>
      </c>
      <c r="S68" s="168">
        <v>14.378</v>
      </c>
      <c r="T68" s="171">
        <v>645</v>
      </c>
      <c r="U68" s="171">
        <f t="shared" si="7"/>
        <v>49.05315993611682</v>
      </c>
      <c r="V68" s="169">
        <f t="shared" si="8"/>
        <v>8.547781332591466</v>
      </c>
      <c r="W68" s="170">
        <v>0.7</v>
      </c>
      <c r="X68" s="171">
        <f t="shared" si="20"/>
        <v>0.13825000000000001</v>
      </c>
      <c r="Y68" s="171">
        <f t="shared" si="24"/>
        <v>12.4836606</v>
      </c>
      <c r="Z68" s="171">
        <f t="shared" si="24"/>
        <v>13.6504732</v>
      </c>
      <c r="AA68" s="171">
        <f t="shared" si="24"/>
        <v>612.36300000000006</v>
      </c>
      <c r="AB68" s="171">
        <f t="shared" si="5"/>
        <v>49.05315993611682</v>
      </c>
      <c r="AC68" s="171">
        <f t="shared" si="3"/>
        <v>8.547781332591466</v>
      </c>
      <c r="AD68" s="163">
        <v>31</v>
      </c>
      <c r="AE68" s="171">
        <f t="shared" si="23"/>
        <v>386.9934786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555.26</v>
      </c>
      <c r="J69" s="163">
        <v>85</v>
      </c>
      <c r="K69" s="163"/>
      <c r="L69" s="163">
        <v>246</v>
      </c>
      <c r="M69" s="163"/>
      <c r="N69" s="163">
        <v>9.6</v>
      </c>
      <c r="O69" s="163"/>
      <c r="P69" s="182">
        <v>42.23</v>
      </c>
      <c r="Q69" s="171">
        <f t="shared" si="13"/>
        <v>10.199999999999999</v>
      </c>
      <c r="R69" s="170">
        <v>0</v>
      </c>
      <c r="S69" s="168">
        <v>7.3</v>
      </c>
      <c r="T69" s="171">
        <v>11.7</v>
      </c>
      <c r="U69" s="171">
        <v>0</v>
      </c>
      <c r="V69" s="169">
        <f t="shared" si="8"/>
        <v>100</v>
      </c>
      <c r="W69" s="170">
        <v>0.2</v>
      </c>
      <c r="X69" s="171">
        <f t="shared" si="20"/>
        <v>0.71568627450980393</v>
      </c>
      <c r="Y69" s="171">
        <f t="shared" si="24"/>
        <v>0</v>
      </c>
      <c r="Z69" s="171">
        <f t="shared" si="24"/>
        <v>6.9306200000000002</v>
      </c>
      <c r="AA69" s="171">
        <f t="shared" si="24"/>
        <v>11.10798</v>
      </c>
      <c r="AB69" s="171">
        <v>0</v>
      </c>
      <c r="AC69" s="171">
        <f t="shared" si="3"/>
        <v>100</v>
      </c>
      <c r="AD69" s="163">
        <v>31</v>
      </c>
      <c r="AE69" s="171">
        <f t="shared" si="23"/>
        <v>0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100</v>
      </c>
      <c r="K70" s="163"/>
      <c r="L70" s="163">
        <v>446</v>
      </c>
      <c r="M70" s="163"/>
      <c r="N70" s="163">
        <v>3.6</v>
      </c>
      <c r="O70" s="163"/>
      <c r="P70" s="182">
        <v>15.46</v>
      </c>
      <c r="Q70" s="171">
        <f t="shared" si="13"/>
        <v>22</v>
      </c>
      <c r="R70" s="170">
        <v>4.7389999999999999</v>
      </c>
      <c r="S70" s="168">
        <v>5.3070000000000004</v>
      </c>
      <c r="T70" s="171">
        <v>32</v>
      </c>
      <c r="U70" s="171">
        <f t="shared" si="7"/>
        <v>6.7524794260392493</v>
      </c>
      <c r="V70" s="169">
        <f t="shared" si="8"/>
        <v>10.702845298662153</v>
      </c>
      <c r="W70" s="170">
        <v>0.4</v>
      </c>
      <c r="X70" s="171">
        <f t="shared" si="20"/>
        <v>0.24122727272727273</v>
      </c>
      <c r="Y70" s="171">
        <f t="shared" si="24"/>
        <v>4.4992065999999999</v>
      </c>
      <c r="Z70" s="171">
        <f t="shared" si="24"/>
        <v>5.0384658000000009</v>
      </c>
      <c r="AA70" s="171">
        <f t="shared" si="24"/>
        <v>30.380800000000001</v>
      </c>
      <c r="AB70" s="171">
        <f t="shared" si="5"/>
        <v>6.7524794260392493</v>
      </c>
      <c r="AC70" s="171">
        <f t="shared" si="3"/>
        <v>10.702845298662153</v>
      </c>
      <c r="AD70" s="163">
        <v>31</v>
      </c>
      <c r="AE70" s="171">
        <f t="shared" si="23"/>
        <v>139.47540459999999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100</v>
      </c>
      <c r="K71" s="163"/>
      <c r="L71" s="163">
        <v>452</v>
      </c>
      <c r="M71" s="163"/>
      <c r="N71" s="163">
        <v>2.5</v>
      </c>
      <c r="O71" s="163"/>
      <c r="P71" s="182">
        <v>13.93</v>
      </c>
      <c r="Q71" s="171">
        <f t="shared" si="13"/>
        <v>13</v>
      </c>
      <c r="R71" s="170">
        <v>2.46</v>
      </c>
      <c r="S71" s="168">
        <v>3.0459999999999998</v>
      </c>
      <c r="T71" s="171">
        <v>0</v>
      </c>
      <c r="U71" s="171">
        <f t="shared" si="7"/>
        <v>0</v>
      </c>
      <c r="V71" s="169">
        <f t="shared" si="8"/>
        <v>19.23834537097833</v>
      </c>
      <c r="W71" s="170">
        <v>0.6</v>
      </c>
      <c r="X71" s="171">
        <f t="shared" si="20"/>
        <v>0.2343076923076923</v>
      </c>
      <c r="Y71" s="171">
        <f t="shared" si="24"/>
        <v>2.3355239999999999</v>
      </c>
      <c r="Z71" s="171">
        <f t="shared" si="24"/>
        <v>2.8918724</v>
      </c>
      <c r="AA71" s="171">
        <f t="shared" si="24"/>
        <v>0</v>
      </c>
      <c r="AB71" s="171">
        <f t="shared" si="5"/>
        <v>0</v>
      </c>
      <c r="AC71" s="171">
        <f t="shared" si="3"/>
        <v>19.23834537097833</v>
      </c>
      <c r="AD71" s="163">
        <v>31</v>
      </c>
      <c r="AE71" s="171">
        <f t="shared" si="23"/>
        <v>72.401243999999991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415</v>
      </c>
      <c r="M72" s="163"/>
      <c r="N72" s="163">
        <v>8</v>
      </c>
      <c r="O72" s="163"/>
      <c r="P72" s="160">
        <v>23.63</v>
      </c>
      <c r="Q72" s="171">
        <f>LEFT(H72,(FIND("K",H72,1)-1))*J72/100</f>
        <v>9</v>
      </c>
      <c r="R72" s="170">
        <v>2.7989999999999999</v>
      </c>
      <c r="S72" s="168">
        <v>5.8289999999999997</v>
      </c>
      <c r="T72" s="171">
        <v>8.4</v>
      </c>
      <c r="U72" s="171">
        <f t="shared" si="7"/>
        <v>3.0010718113612005</v>
      </c>
      <c r="V72" s="169">
        <f t="shared" si="8"/>
        <v>51.98147195059186</v>
      </c>
      <c r="W72" s="170">
        <v>0.9</v>
      </c>
      <c r="X72" s="171">
        <f t="shared" si="20"/>
        <v>0.64766666666666661</v>
      </c>
      <c r="Y72" s="171">
        <f t="shared" si="24"/>
        <v>2.6573706000000001</v>
      </c>
      <c r="Z72" s="171">
        <f t="shared" si="24"/>
        <v>5.5340525999999999</v>
      </c>
      <c r="AA72" s="171">
        <f t="shared" si="24"/>
        <v>7.9749600000000003</v>
      </c>
      <c r="AB72" s="171">
        <f t="shared" si="5"/>
        <v>3.0010718113612005</v>
      </c>
      <c r="AC72" s="171">
        <f t="shared" si="3"/>
        <v>51.98147195059186</v>
      </c>
      <c r="AD72" s="163">
        <v>31</v>
      </c>
      <c r="AE72" s="171">
        <f>Y72*AD72</f>
        <v>82.378488599999997</v>
      </c>
      <c r="AF72" s="179"/>
    </row>
    <row r="73" spans="1:32" ht="15.75" customHeight="1" x14ac:dyDescent="0.2">
      <c r="A73" s="184">
        <v>60</v>
      </c>
      <c r="B73" s="219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232</v>
      </c>
      <c r="M73" s="158"/>
      <c r="N73" s="163">
        <v>4.8</v>
      </c>
      <c r="O73" s="158"/>
      <c r="P73" s="284">
        <v>38.33</v>
      </c>
      <c r="Q73" s="174">
        <f>LEFT(H73,(FIND("K",H73,1)-1))*J73/100</f>
        <v>13</v>
      </c>
      <c r="R73" s="170">
        <v>0.22800000000000001</v>
      </c>
      <c r="S73" s="168">
        <v>0.57599999999999996</v>
      </c>
      <c r="T73" s="174">
        <v>0</v>
      </c>
      <c r="U73" s="171">
        <f t="shared" si="7"/>
        <v>0</v>
      </c>
      <c r="V73" s="169">
        <f t="shared" si="8"/>
        <v>60.416666666666664</v>
      </c>
      <c r="W73" s="170">
        <v>0.9</v>
      </c>
      <c r="X73" s="171">
        <f t="shared" si="20"/>
        <v>4.4307692307692305E-2</v>
      </c>
      <c r="Y73" s="171">
        <f t="shared" si="24"/>
        <v>0.21646320000000002</v>
      </c>
      <c r="Z73" s="171">
        <f t="shared" si="24"/>
        <v>0.54685439999999996</v>
      </c>
      <c r="AA73" s="171">
        <f t="shared" si="24"/>
        <v>0</v>
      </c>
      <c r="AB73" s="171">
        <f t="shared" si="5"/>
        <v>0</v>
      </c>
      <c r="AC73" s="171">
        <f t="shared" si="3"/>
        <v>60.416666666666664</v>
      </c>
      <c r="AD73" s="163">
        <v>31</v>
      </c>
      <c r="AE73" s="171">
        <f>Y73*AD73</f>
        <v>6.710359200000001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390.48199999999991</v>
      </c>
      <c r="S74" s="209">
        <f>SUM(S14:S73)</f>
        <v>562.55299999999988</v>
      </c>
      <c r="T74" s="209">
        <f>SUM(T14:T73)</f>
        <v>19902.600000000002</v>
      </c>
      <c r="U74" s="209">
        <f>T74/R74</f>
        <v>50.969314846779127</v>
      </c>
      <c r="V74" s="209"/>
      <c r="W74" s="209"/>
      <c r="X74" s="209"/>
      <c r="Y74" s="209">
        <f>SUM(Y14:Y73)</f>
        <v>373.25210910000004</v>
      </c>
      <c r="Z74" s="209">
        <f>SUM(Z14:Z73)</f>
        <v>534.87968969999997</v>
      </c>
      <c r="AA74" s="209">
        <f>SUM(AA14:AA73)</f>
        <v>19375.555740000003</v>
      </c>
      <c r="AB74" s="209">
        <f>AA74/Y74</f>
        <v>51.910103834963166</v>
      </c>
      <c r="AC74" s="209"/>
      <c r="AD74" s="209"/>
      <c r="AE74" s="210">
        <f>SUM(AE14:AE73)</f>
        <v>11380.350530899999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335"/>
      <c r="H75" s="334"/>
      <c r="I75" s="334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337"/>
      <c r="V75" s="335"/>
      <c r="W75" s="335"/>
      <c r="X75" s="157"/>
      <c r="Y75" s="158"/>
      <c r="Z75" s="158"/>
      <c r="AA75" s="158"/>
      <c r="AB75" s="336"/>
      <c r="AC75" s="335"/>
      <c r="AD75" s="158"/>
      <c r="AE75" s="158"/>
      <c r="AF75" s="334"/>
    </row>
    <row r="76" spans="1:32" ht="15.75" customHeight="1" x14ac:dyDescent="0.2">
      <c r="A76" s="216">
        <v>61</v>
      </c>
      <c r="B76" s="163" t="s">
        <v>131</v>
      </c>
      <c r="C76" s="216" t="s">
        <v>177</v>
      </c>
      <c r="D76" s="165">
        <v>389.74</v>
      </c>
      <c r="E76" s="32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170</v>
      </c>
      <c r="K76" s="163"/>
      <c r="L76" s="163">
        <v>0</v>
      </c>
      <c r="M76" s="163"/>
      <c r="N76" s="163">
        <v>0.3</v>
      </c>
      <c r="O76" s="163"/>
      <c r="P76" s="182">
        <v>17.75</v>
      </c>
      <c r="Q76" s="174"/>
      <c r="R76" s="170">
        <v>1.988</v>
      </c>
      <c r="S76" s="171">
        <v>2.4049999999999998</v>
      </c>
      <c r="T76" s="171">
        <v>0</v>
      </c>
      <c r="U76" s="171">
        <f>T76/R76</f>
        <v>0</v>
      </c>
      <c r="V76" s="169">
        <f t="shared" ref="V76:V79" si="25">(S76-R76)/S76*100</f>
        <v>17.338877338877332</v>
      </c>
      <c r="W76" s="170">
        <v>0.5</v>
      </c>
      <c r="X76" s="171"/>
      <c r="Y76" s="171">
        <f>R76*0.9494</f>
        <v>1.8874072</v>
      </c>
      <c r="Z76" s="171">
        <f t="shared" ref="Z76:AA79" si="26">S76*0.9494</f>
        <v>2.2833069999999998</v>
      </c>
      <c r="AA76" s="171">
        <f t="shared" si="26"/>
        <v>0</v>
      </c>
      <c r="AB76" s="171">
        <f t="shared" ref="AB76:AC79" si="27">U76</f>
        <v>0</v>
      </c>
      <c r="AC76" s="171">
        <f t="shared" si="27"/>
        <v>17.338877338877332</v>
      </c>
      <c r="AD76" s="163">
        <v>31</v>
      </c>
      <c r="AE76" s="171">
        <f>Y76*AD76</f>
        <v>58.5096232</v>
      </c>
      <c r="AF76" s="179"/>
    </row>
    <row r="77" spans="1:32" ht="15.75" customHeight="1" x14ac:dyDescent="0.2">
      <c r="A77" s="216">
        <v>62</v>
      </c>
      <c r="B77" s="163" t="s">
        <v>132</v>
      </c>
      <c r="C77" s="216" t="s">
        <v>177</v>
      </c>
      <c r="D77" s="163">
        <v>387.72</v>
      </c>
      <c r="E77" s="323" t="s">
        <v>135</v>
      </c>
      <c r="F77" s="163">
        <v>177.8</v>
      </c>
      <c r="G77" s="163" t="s">
        <v>28</v>
      </c>
      <c r="H77" s="165" t="s">
        <v>58</v>
      </c>
      <c r="I77" s="158">
        <v>136.03</v>
      </c>
      <c r="J77" s="163">
        <v>105</v>
      </c>
      <c r="K77" s="163"/>
      <c r="L77" s="163">
        <v>26</v>
      </c>
      <c r="M77" s="163"/>
      <c r="N77" s="163">
        <v>0.7</v>
      </c>
      <c r="O77" s="163"/>
      <c r="P77" s="182">
        <v>14.37</v>
      </c>
      <c r="Q77" s="171"/>
      <c r="R77" s="170">
        <v>2.2250000000000001</v>
      </c>
      <c r="S77" s="171">
        <v>2.762</v>
      </c>
      <c r="T77" s="171">
        <v>0</v>
      </c>
      <c r="U77" s="171">
        <v>0</v>
      </c>
      <c r="V77" s="169">
        <f t="shared" si="25"/>
        <v>19.442433019551046</v>
      </c>
      <c r="W77" s="170">
        <v>0.5</v>
      </c>
      <c r="X77" s="171"/>
      <c r="Y77" s="171">
        <f t="shared" ref="Y77:Y79" si="28">R77*0.9494</f>
        <v>2.1124149999999999</v>
      </c>
      <c r="Z77" s="171">
        <f t="shared" si="26"/>
        <v>2.6222428</v>
      </c>
      <c r="AA77" s="171">
        <f t="shared" si="26"/>
        <v>0</v>
      </c>
      <c r="AB77" s="171">
        <v>0</v>
      </c>
      <c r="AC77" s="171">
        <f>V77</f>
        <v>19.442433019551046</v>
      </c>
      <c r="AD77" s="163">
        <v>31</v>
      </c>
      <c r="AE77" s="171">
        <f>Y77*AD77</f>
        <v>65.484864999999999</v>
      </c>
      <c r="AF77" s="190"/>
    </row>
    <row r="78" spans="1:32" ht="15.75" customHeight="1" x14ac:dyDescent="0.2">
      <c r="A78" s="285">
        <v>63</v>
      </c>
      <c r="B78" s="163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>
        <v>140.41999999999999</v>
      </c>
      <c r="J78" s="163"/>
      <c r="K78" s="163">
        <v>49</v>
      </c>
      <c r="L78" s="163"/>
      <c r="M78" s="163">
        <v>0.8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>
        <v>0</v>
      </c>
      <c r="V78" s="169">
        <v>0</v>
      </c>
      <c r="W78" s="170">
        <v>0</v>
      </c>
      <c r="X78" s="171"/>
      <c r="Y78" s="171">
        <v>0</v>
      </c>
      <c r="Z78" s="171">
        <v>0</v>
      </c>
      <c r="AA78" s="171">
        <f t="shared" si="26"/>
        <v>0</v>
      </c>
      <c r="AB78" s="171">
        <v>0</v>
      </c>
      <c r="AC78" s="171">
        <f>V78</f>
        <v>0</v>
      </c>
      <c r="AD78" s="163">
        <v>0</v>
      </c>
      <c r="AE78" s="171">
        <f>Y78*AD78</f>
        <v>0</v>
      </c>
      <c r="AF78" s="172" t="s">
        <v>215</v>
      </c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210</v>
      </c>
      <c r="K79" s="175"/>
      <c r="L79" s="163">
        <v>48</v>
      </c>
      <c r="M79" s="175"/>
      <c r="N79" s="163">
        <v>0.7</v>
      </c>
      <c r="O79" s="175"/>
      <c r="P79" s="182">
        <v>13.56</v>
      </c>
      <c r="Q79" s="171"/>
      <c r="R79" s="170">
        <v>4.1059999999999999</v>
      </c>
      <c r="S79" s="171">
        <v>4.298</v>
      </c>
      <c r="T79" s="171">
        <v>0</v>
      </c>
      <c r="U79" s="171">
        <f>T79/R79</f>
        <v>0</v>
      </c>
      <c r="V79" s="169">
        <f t="shared" si="25"/>
        <v>4.4671940437412783</v>
      </c>
      <c r="W79" s="171">
        <v>0.9</v>
      </c>
      <c r="X79" s="171"/>
      <c r="Y79" s="171">
        <f t="shared" si="28"/>
        <v>3.8982364</v>
      </c>
      <c r="Z79" s="171">
        <f t="shared" si="26"/>
        <v>4.0805211999999997</v>
      </c>
      <c r="AA79" s="171">
        <f t="shared" si="26"/>
        <v>0</v>
      </c>
      <c r="AB79" s="171">
        <f t="shared" si="27"/>
        <v>0</v>
      </c>
      <c r="AC79" s="171">
        <f t="shared" si="27"/>
        <v>4.4671940437412783</v>
      </c>
      <c r="AD79" s="163">
        <v>31</v>
      </c>
      <c r="AE79" s="171">
        <f>Y79*AD79</f>
        <v>120.8453284</v>
      </c>
      <c r="AF79" s="177"/>
    </row>
    <row r="80" spans="1:32" ht="15.75" customHeight="1" x14ac:dyDescent="0.2">
      <c r="A80" s="163">
        <v>65</v>
      </c>
      <c r="B80" s="215" t="s">
        <v>57</v>
      </c>
      <c r="C80" s="215" t="s">
        <v>176</v>
      </c>
      <c r="D80" s="215">
        <v>681.52</v>
      </c>
      <c r="E80" s="164" t="s">
        <v>93</v>
      </c>
      <c r="F80" s="163">
        <v>177.8</v>
      </c>
      <c r="G80" s="163"/>
      <c r="H80" s="165"/>
      <c r="I80" s="171"/>
      <c r="J80" s="163"/>
      <c r="K80" s="175"/>
      <c r="L80" s="163"/>
      <c r="M80" s="175"/>
      <c r="N80" s="163"/>
      <c r="O80" s="175"/>
      <c r="P80" s="182"/>
      <c r="Q80" s="171"/>
      <c r="R80" s="170"/>
      <c r="S80" s="171"/>
      <c r="T80" s="171"/>
      <c r="U80" s="171"/>
      <c r="V80" s="169"/>
      <c r="W80" s="171"/>
      <c r="X80" s="171"/>
      <c r="Y80" s="171"/>
      <c r="Z80" s="171"/>
      <c r="AA80" s="171"/>
      <c r="AB80" s="171"/>
      <c r="AC80" s="171"/>
      <c r="AD80" s="163"/>
      <c r="AE80" s="171"/>
      <c r="AF80" s="172" t="s">
        <v>283</v>
      </c>
    </row>
    <row r="81" spans="1:32" ht="15.75" customHeight="1" x14ac:dyDescent="0.2">
      <c r="A81" s="163">
        <v>66</v>
      </c>
      <c r="B81" s="215" t="s">
        <v>188</v>
      </c>
      <c r="C81" s="215" t="s">
        <v>183</v>
      </c>
      <c r="D81" s="215">
        <v>376.58</v>
      </c>
      <c r="E81" s="164" t="s">
        <v>235</v>
      </c>
      <c r="F81" s="163">
        <v>177.8</v>
      </c>
      <c r="G81" s="163"/>
      <c r="H81" s="165"/>
      <c r="I81" s="171"/>
      <c r="J81" s="163"/>
      <c r="K81" s="175"/>
      <c r="L81" s="163"/>
      <c r="M81" s="175"/>
      <c r="N81" s="163"/>
      <c r="O81" s="175"/>
      <c r="P81" s="182"/>
      <c r="Q81" s="171"/>
      <c r="R81" s="170"/>
      <c r="S81" s="171"/>
      <c r="T81" s="171"/>
      <c r="U81" s="171"/>
      <c r="V81" s="169"/>
      <c r="W81" s="171"/>
      <c r="X81" s="171"/>
      <c r="Y81" s="171"/>
      <c r="Z81" s="171"/>
      <c r="AA81" s="171"/>
      <c r="AB81" s="171"/>
      <c r="AC81" s="171"/>
      <c r="AD81" s="163"/>
      <c r="AE81" s="171"/>
      <c r="AF81" s="172" t="s">
        <v>283</v>
      </c>
    </row>
    <row r="82" spans="1:32" ht="15.75" customHeight="1" x14ac:dyDescent="0.2">
      <c r="A82" s="163">
        <v>67</v>
      </c>
      <c r="B82" s="215" t="s">
        <v>184</v>
      </c>
      <c r="C82" s="215" t="s">
        <v>176</v>
      </c>
      <c r="D82" s="215">
        <v>422.78</v>
      </c>
      <c r="E82" s="164" t="s">
        <v>185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customHeight="1" x14ac:dyDescent="0.2">
      <c r="A83" s="163">
        <v>68</v>
      </c>
      <c r="B83" s="215" t="s">
        <v>186</v>
      </c>
      <c r="C83" s="215" t="s">
        <v>176</v>
      </c>
      <c r="D83" s="215">
        <v>387.56</v>
      </c>
      <c r="E83" s="164"/>
      <c r="F83" s="163">
        <v>177.8</v>
      </c>
      <c r="G83" s="163"/>
      <c r="H83" s="165"/>
      <c r="I83" s="171"/>
      <c r="J83" s="163"/>
      <c r="K83" s="175"/>
      <c r="L83" s="163"/>
      <c r="M83" s="175"/>
      <c r="N83" s="163"/>
      <c r="O83" s="175"/>
      <c r="P83" s="182"/>
      <c r="Q83" s="171"/>
      <c r="R83" s="170"/>
      <c r="S83" s="171"/>
      <c r="T83" s="171"/>
      <c r="U83" s="171"/>
      <c r="V83" s="169"/>
      <c r="W83" s="171"/>
      <c r="X83" s="171"/>
      <c r="Y83" s="171"/>
      <c r="Z83" s="171"/>
      <c r="AA83" s="171"/>
      <c r="AB83" s="171"/>
      <c r="AC83" s="171"/>
      <c r="AD83" s="163"/>
      <c r="AE83" s="171"/>
      <c r="AF83" s="172" t="s">
        <v>283</v>
      </c>
    </row>
    <row r="84" spans="1:32" ht="15.75" customHeight="1" x14ac:dyDescent="0.2">
      <c r="A84" s="306"/>
      <c r="B84" s="1834"/>
      <c r="C84" s="1834"/>
      <c r="D84" s="1834"/>
      <c r="E84" s="1835"/>
      <c r="F84" s="158"/>
      <c r="G84" s="335"/>
      <c r="H84" s="334"/>
      <c r="I84" s="334"/>
      <c r="J84" s="158"/>
      <c r="K84" s="158"/>
      <c r="L84" s="158"/>
      <c r="M84" s="158"/>
      <c r="N84" s="158"/>
      <c r="O84" s="158"/>
      <c r="P84" s="160"/>
      <c r="Q84" s="174"/>
      <c r="R84" s="209">
        <f>SUM(R76:R79)</f>
        <v>8.3189999999999991</v>
      </c>
      <c r="S84" s="209">
        <f>SUM(S76:S79)</f>
        <v>9.4649999999999999</v>
      </c>
      <c r="T84" s="209">
        <f>SUM(T76:T79)</f>
        <v>0</v>
      </c>
      <c r="U84" s="209">
        <f>SUM(U76:U79)</f>
        <v>0</v>
      </c>
      <c r="V84" s="335"/>
      <c r="W84" s="335"/>
      <c r="X84" s="335"/>
      <c r="Y84" s="209">
        <f>SUM(Y76:Y79)</f>
        <v>7.8980585999999997</v>
      </c>
      <c r="Z84" s="209">
        <f>SUM(Z76:Z79)</f>
        <v>8.986070999999999</v>
      </c>
      <c r="AA84" s="209">
        <f>SUM(AA76:AA79)</f>
        <v>0</v>
      </c>
      <c r="AB84" s="209">
        <v>0</v>
      </c>
      <c r="AC84" s="335"/>
      <c r="AD84" s="158"/>
      <c r="AE84" s="209">
        <f>SUM(AE76:AE79)</f>
        <v>244.83981660000001</v>
      </c>
      <c r="AF84" s="218"/>
    </row>
    <row r="85" spans="1:32" ht="15.75" x14ac:dyDescent="0.2">
      <c r="A85" s="306"/>
      <c r="B85" s="1828" t="s">
        <v>275</v>
      </c>
      <c r="C85" s="1828"/>
      <c r="D85" s="1828"/>
      <c r="E85" s="1828"/>
      <c r="F85" s="1829"/>
      <c r="G85" s="335"/>
      <c r="H85" s="334"/>
      <c r="I85" s="334"/>
      <c r="J85" s="158"/>
      <c r="K85" s="158"/>
      <c r="L85" s="158"/>
      <c r="M85" s="158"/>
      <c r="N85" s="158"/>
      <c r="O85" s="158"/>
      <c r="P85" s="160"/>
      <c r="Q85" s="174"/>
      <c r="R85" s="209"/>
      <c r="S85" s="209"/>
      <c r="T85" s="209"/>
      <c r="U85" s="209"/>
      <c r="V85" s="335"/>
      <c r="W85" s="335"/>
      <c r="X85" s="335"/>
      <c r="Y85" s="209"/>
      <c r="Z85" s="209"/>
      <c r="AA85" s="209"/>
      <c r="AB85" s="209"/>
      <c r="AC85" s="335"/>
      <c r="AD85" s="158"/>
      <c r="AE85" s="209"/>
      <c r="AF85" s="218"/>
    </row>
    <row r="86" spans="1:32" ht="15.75" x14ac:dyDescent="0.2">
      <c r="A86" s="163">
        <v>69</v>
      </c>
      <c r="B86" s="219" t="s">
        <v>220</v>
      </c>
      <c r="C86" s="163" t="s">
        <v>46</v>
      </c>
      <c r="D86" s="165">
        <v>685.69</v>
      </c>
      <c r="E86" s="286" t="s">
        <v>222</v>
      </c>
      <c r="F86" s="163">
        <v>177.8</v>
      </c>
      <c r="G86" s="163" t="s">
        <v>28</v>
      </c>
      <c r="H86" s="165" t="s">
        <v>221</v>
      </c>
      <c r="I86" s="165">
        <v>570.09</v>
      </c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37"/>
      <c r="V86" s="335"/>
      <c r="W86" s="335"/>
      <c r="X86" s="335"/>
      <c r="Y86" s="221"/>
      <c r="Z86" s="222"/>
      <c r="AA86" s="334"/>
      <c r="AB86" s="337"/>
      <c r="AC86" s="158"/>
      <c r="AD86" s="163"/>
      <c r="AE86" s="171"/>
      <c r="AF86" s="172" t="s">
        <v>236</v>
      </c>
    </row>
    <row r="87" spans="1:32" ht="15.75" x14ac:dyDescent="0.2">
      <c r="A87" s="306"/>
      <c r="B87" s="1834"/>
      <c r="C87" s="1834"/>
      <c r="D87" s="1834"/>
      <c r="E87" s="1835"/>
      <c r="F87" s="175"/>
      <c r="G87" s="163"/>
      <c r="H87" s="165"/>
      <c r="I87" s="171"/>
      <c r="J87" s="163"/>
      <c r="K87" s="175"/>
      <c r="L87" s="163"/>
      <c r="M87" s="175"/>
      <c r="N87" s="182"/>
      <c r="O87" s="175"/>
      <c r="P87" s="224"/>
      <c r="Q87" s="209"/>
      <c r="R87" s="209"/>
      <c r="S87" s="209"/>
      <c r="T87" s="209"/>
      <c r="U87" s="209"/>
      <c r="V87" s="209"/>
      <c r="W87" s="209"/>
      <c r="X87" s="209"/>
      <c r="Y87" s="209"/>
      <c r="Z87" s="225"/>
      <c r="AA87" s="209"/>
      <c r="AB87" s="209"/>
      <c r="AC87" s="209"/>
      <c r="AD87" s="209"/>
      <c r="AE87" s="209"/>
      <c r="AF87" s="177"/>
    </row>
    <row r="88" spans="1:32" ht="15.75" x14ac:dyDescent="0.2">
      <c r="A88" s="306"/>
      <c r="B88" s="1843" t="s">
        <v>276</v>
      </c>
      <c r="C88" s="1839"/>
      <c r="D88" s="1839"/>
      <c r="E88" s="1839"/>
      <c r="F88" s="1839"/>
      <c r="G88" s="335"/>
      <c r="H88" s="334"/>
      <c r="I88" s="334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37"/>
      <c r="V88" s="335"/>
      <c r="W88" s="335"/>
      <c r="X88" s="335"/>
      <c r="Y88" s="158"/>
      <c r="Z88" s="158"/>
      <c r="AA88" s="158"/>
      <c r="AB88" s="336"/>
      <c r="AC88" s="335"/>
      <c r="AD88" s="158"/>
      <c r="AE88" s="158"/>
      <c r="AF88" s="334"/>
    </row>
    <row r="89" spans="1:32" ht="15.75" x14ac:dyDescent="0.2">
      <c r="A89" s="163">
        <v>70</v>
      </c>
      <c r="B89" s="226" t="s">
        <v>107</v>
      </c>
      <c r="C89" s="188" t="s">
        <v>109</v>
      </c>
      <c r="D89" s="333"/>
      <c r="E89" s="333"/>
      <c r="F89" s="158"/>
      <c r="G89" s="335"/>
      <c r="H89" s="334"/>
      <c r="I89" s="334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37"/>
      <c r="V89" s="335"/>
      <c r="W89" s="335"/>
      <c r="X89" s="335"/>
      <c r="Y89" s="334"/>
      <c r="Z89" s="334"/>
      <c r="AA89" s="158"/>
      <c r="AB89" s="336"/>
      <c r="AC89" s="335"/>
      <c r="AD89" s="228"/>
      <c r="AE89" s="158"/>
      <c r="AF89" s="229"/>
    </row>
    <row r="90" spans="1:32" ht="15.75" x14ac:dyDescent="0.2">
      <c r="A90" s="163">
        <v>71</v>
      </c>
      <c r="B90" s="226" t="s">
        <v>108</v>
      </c>
      <c r="C90" s="188" t="s">
        <v>109</v>
      </c>
      <c r="D90" s="333"/>
      <c r="E90" s="333"/>
      <c r="F90" s="158"/>
      <c r="G90" s="335"/>
      <c r="H90" s="334"/>
      <c r="I90" s="334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37"/>
      <c r="V90" s="335"/>
      <c r="W90" s="335"/>
      <c r="X90" s="335"/>
      <c r="Y90" s="334"/>
      <c r="Z90" s="334"/>
      <c r="AA90" s="158"/>
      <c r="AB90" s="336"/>
      <c r="AC90" s="335"/>
      <c r="AD90" s="228"/>
      <c r="AE90" s="158"/>
      <c r="AF90" s="229"/>
    </row>
    <row r="91" spans="1:32" ht="15.75" x14ac:dyDescent="0.2">
      <c r="A91" s="163">
        <v>72</v>
      </c>
      <c r="B91" s="226" t="s">
        <v>195</v>
      </c>
      <c r="C91" s="216" t="s">
        <v>193</v>
      </c>
      <c r="D91" s="333"/>
      <c r="E91" s="333"/>
      <c r="F91" s="158"/>
      <c r="G91" s="335"/>
      <c r="H91" s="334"/>
      <c r="I91" s="334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37"/>
      <c r="V91" s="335"/>
      <c r="W91" s="335"/>
      <c r="X91" s="335"/>
      <c r="Y91" s="334"/>
      <c r="Z91" s="334"/>
      <c r="AA91" s="158"/>
      <c r="AB91" s="336"/>
      <c r="AC91" s="335"/>
      <c r="AD91" s="228"/>
      <c r="AE91" s="158"/>
      <c r="AF91" s="229"/>
    </row>
    <row r="92" spans="1:32" ht="15.75" x14ac:dyDescent="0.2">
      <c r="A92" s="163">
        <v>73</v>
      </c>
      <c r="B92" s="226" t="s">
        <v>192</v>
      </c>
      <c r="C92" s="216" t="s">
        <v>193</v>
      </c>
      <c r="D92" s="333"/>
      <c r="E92" s="333"/>
      <c r="F92" s="158"/>
      <c r="G92" s="335"/>
      <c r="H92" s="334"/>
      <c r="I92" s="334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37"/>
      <c r="V92" s="335"/>
      <c r="W92" s="335"/>
      <c r="X92" s="335"/>
      <c r="Y92" s="334"/>
      <c r="Z92" s="334"/>
      <c r="AA92" s="158"/>
      <c r="AB92" s="336"/>
      <c r="AC92" s="335"/>
      <c r="AD92" s="228"/>
      <c r="AE92" s="158"/>
      <c r="AF92" s="229"/>
    </row>
    <row r="93" spans="1:32" ht="15.75" x14ac:dyDescent="0.2">
      <c r="A93" s="163"/>
      <c r="B93" s="1843" t="s">
        <v>278</v>
      </c>
      <c r="C93" s="1839"/>
      <c r="D93" s="1839"/>
      <c r="E93" s="1839"/>
      <c r="F93" s="1839"/>
      <c r="G93" s="335"/>
      <c r="H93" s="334"/>
      <c r="I93" s="334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37"/>
      <c r="V93" s="335"/>
      <c r="W93" s="335"/>
      <c r="X93" s="335"/>
      <c r="Y93" s="158"/>
      <c r="Z93" s="158"/>
      <c r="AA93" s="158"/>
      <c r="AB93" s="336"/>
      <c r="AC93" s="335"/>
      <c r="AD93" s="158"/>
      <c r="AE93" s="158"/>
      <c r="AF93" s="334"/>
    </row>
    <row r="94" spans="1:32" ht="15.75" x14ac:dyDescent="0.2">
      <c r="A94" s="163">
        <v>74</v>
      </c>
      <c r="B94" s="207" t="s">
        <v>189</v>
      </c>
      <c r="C94" s="163" t="s">
        <v>46</v>
      </c>
      <c r="D94" s="189">
        <v>673</v>
      </c>
      <c r="E94" s="189" t="s">
        <v>190</v>
      </c>
      <c r="F94" s="163">
        <v>177.8</v>
      </c>
      <c r="G94" s="163"/>
      <c r="H94" s="165"/>
      <c r="I94" s="158"/>
      <c r="J94" s="158"/>
      <c r="K94" s="158"/>
      <c r="L94" s="158"/>
      <c r="M94" s="158"/>
      <c r="N94" s="158"/>
      <c r="O94" s="158"/>
      <c r="P94" s="160"/>
      <c r="Q94" s="174"/>
      <c r="R94" s="158"/>
      <c r="S94" s="158"/>
      <c r="T94" s="158"/>
      <c r="U94" s="337"/>
      <c r="V94" s="335"/>
      <c r="W94" s="335"/>
      <c r="X94" s="335"/>
      <c r="Y94" s="230"/>
      <c r="Z94" s="231"/>
      <c r="AA94" s="334"/>
      <c r="AB94" s="336"/>
      <c r="AC94" s="158"/>
      <c r="AD94" s="163"/>
      <c r="AE94" s="171"/>
      <c r="AF94" s="179"/>
    </row>
    <row r="95" spans="1:32" ht="15.75" x14ac:dyDescent="0.25">
      <c r="A95" s="163">
        <v>75</v>
      </c>
      <c r="B95" s="164" t="s">
        <v>181</v>
      </c>
      <c r="C95" s="232" t="s">
        <v>183</v>
      </c>
      <c r="D95" s="165">
        <v>374.5</v>
      </c>
      <c r="E95" s="163" t="s">
        <v>182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76</v>
      </c>
      <c r="B96" s="164" t="s">
        <v>196</v>
      </c>
      <c r="C96" s="163" t="s">
        <v>46</v>
      </c>
      <c r="D96" s="165">
        <v>622.02</v>
      </c>
      <c r="E96" s="163" t="s">
        <v>197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ht="15.75" x14ac:dyDescent="0.2">
      <c r="A97" s="163">
        <v>77</v>
      </c>
      <c r="B97" s="164" t="s">
        <v>174</v>
      </c>
      <c r="C97" s="163" t="s">
        <v>46</v>
      </c>
      <c r="D97" s="165">
        <v>672</v>
      </c>
      <c r="E97" s="163" t="s">
        <v>175</v>
      </c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customHeight="1" x14ac:dyDescent="0.2">
      <c r="A98" s="163">
        <v>78</v>
      </c>
      <c r="B98" s="204" t="s">
        <v>103</v>
      </c>
      <c r="C98" s="163" t="s">
        <v>46</v>
      </c>
      <c r="D98" s="158">
        <v>582</v>
      </c>
      <c r="E98" s="158" t="s">
        <v>112</v>
      </c>
      <c r="F98" s="163">
        <v>177.8</v>
      </c>
      <c r="G98" s="163"/>
      <c r="H98" s="165"/>
      <c r="I98" s="158"/>
      <c r="J98" s="158"/>
      <c r="K98" s="159"/>
      <c r="L98" s="158"/>
      <c r="M98" s="159"/>
      <c r="N98" s="158"/>
      <c r="O98" s="158"/>
      <c r="P98" s="160"/>
      <c r="Q98" s="174"/>
      <c r="R98" s="158"/>
      <c r="S98" s="158"/>
      <c r="T98" s="158"/>
      <c r="U98" s="337"/>
      <c r="V98" s="335"/>
      <c r="W98" s="335"/>
      <c r="X98" s="157"/>
      <c r="Y98" s="234"/>
      <c r="Z98" s="158"/>
      <c r="AA98" s="158"/>
      <c r="AB98" s="337"/>
      <c r="AC98" s="158"/>
      <c r="AD98" s="235"/>
      <c r="AE98" s="174"/>
      <c r="AF98" s="179"/>
    </row>
    <row r="99" spans="1:32" ht="15.75" x14ac:dyDescent="0.2">
      <c r="A99" s="163"/>
      <c r="B99" s="1843" t="s">
        <v>279</v>
      </c>
      <c r="C99" s="1839"/>
      <c r="D99" s="1839"/>
      <c r="E99" s="1839"/>
      <c r="F99" s="1839"/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79</v>
      </c>
      <c r="B100" s="164" t="s">
        <v>148</v>
      </c>
      <c r="C100" s="163" t="s">
        <v>46</v>
      </c>
      <c r="D100" s="163">
        <v>650</v>
      </c>
      <c r="E100" s="163" t="s">
        <v>75</v>
      </c>
      <c r="F100" s="163">
        <v>177.8</v>
      </c>
      <c r="G100" s="163"/>
      <c r="H100" s="165"/>
      <c r="I100" s="159">
        <v>536.14</v>
      </c>
      <c r="J100" s="163"/>
      <c r="K100" s="163"/>
      <c r="L100" s="163"/>
      <c r="M100" s="163"/>
      <c r="N100" s="182"/>
      <c r="O100" s="163"/>
      <c r="P100" s="182"/>
      <c r="Q100" s="171"/>
      <c r="R100" s="170"/>
      <c r="S100" s="171"/>
      <c r="T100" s="171"/>
      <c r="U100" s="171"/>
      <c r="V100" s="170"/>
      <c r="W100" s="170"/>
      <c r="X100" s="171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.75" x14ac:dyDescent="0.2">
      <c r="A101" s="163">
        <v>80</v>
      </c>
      <c r="B101" s="164" t="s">
        <v>155</v>
      </c>
      <c r="C101" s="163" t="s">
        <v>46</v>
      </c>
      <c r="D101" s="163">
        <v>674.13</v>
      </c>
      <c r="E101" s="163" t="s">
        <v>83</v>
      </c>
      <c r="F101" s="163">
        <v>177.8</v>
      </c>
      <c r="G101" s="163"/>
      <c r="H101" s="165"/>
      <c r="I101" s="158">
        <v>527.75</v>
      </c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ht="15.75" x14ac:dyDescent="0.2">
      <c r="A102" s="163">
        <v>81</v>
      </c>
      <c r="B102" s="164" t="s">
        <v>56</v>
      </c>
      <c r="C102" s="163" t="s">
        <v>46</v>
      </c>
      <c r="D102" s="165">
        <v>680.52</v>
      </c>
      <c r="E102" s="163" t="s">
        <v>92</v>
      </c>
      <c r="F102" s="163">
        <v>177.8</v>
      </c>
      <c r="G102" s="163"/>
      <c r="H102" s="165"/>
      <c r="I102" s="158">
        <v>555.95000000000005</v>
      </c>
      <c r="J102" s="163"/>
      <c r="K102" s="163"/>
      <c r="L102" s="163"/>
      <c r="M102" s="163"/>
      <c r="N102" s="182"/>
      <c r="O102" s="163"/>
      <c r="P102" s="170"/>
      <c r="Q102" s="171"/>
      <c r="R102" s="170"/>
      <c r="S102" s="171"/>
      <c r="T102" s="171"/>
      <c r="U102" s="171"/>
      <c r="V102" s="170"/>
      <c r="W102" s="170"/>
      <c r="X102" s="233"/>
      <c r="Y102" s="171"/>
      <c r="Z102" s="171"/>
      <c r="AA102" s="171"/>
      <c r="AB102" s="171"/>
      <c r="AC102" s="171"/>
      <c r="AD102" s="163"/>
      <c r="AE102" s="171"/>
      <c r="AF102" s="179"/>
    </row>
    <row r="103" spans="1:32" ht="15" x14ac:dyDescent="0.2">
      <c r="A103" s="305"/>
      <c r="B103" s="237"/>
      <c r="C103" s="237"/>
      <c r="D103" s="238"/>
      <c r="E103" s="239"/>
      <c r="F103" s="240"/>
      <c r="G103" s="240"/>
      <c r="H103" s="241"/>
      <c r="I103" s="242"/>
      <c r="J103" s="240"/>
      <c r="K103" s="240"/>
      <c r="L103" s="240"/>
      <c r="M103" s="240"/>
      <c r="N103" s="243"/>
      <c r="O103" s="240"/>
      <c r="P103" s="244"/>
      <c r="Q103" s="245"/>
      <c r="R103" s="244"/>
      <c r="S103" s="245"/>
      <c r="T103" s="245"/>
      <c r="U103" s="245"/>
      <c r="V103" s="244"/>
      <c r="W103" s="244"/>
      <c r="X103" s="246"/>
      <c r="Y103" s="245"/>
      <c r="Z103" s="245"/>
      <c r="AA103" s="245"/>
      <c r="AB103" s="245"/>
      <c r="AC103" s="245"/>
      <c r="AD103" s="240"/>
      <c r="AE103" s="245"/>
      <c r="AF103" s="247"/>
    </row>
    <row r="104" spans="1:32" ht="15" x14ac:dyDescent="0.2">
      <c r="A104" s="305"/>
      <c r="B104" s="1844"/>
      <c r="C104" s="1844"/>
      <c r="D104" s="1844"/>
      <c r="E104" s="1845"/>
      <c r="F104" s="248"/>
      <c r="G104" s="240"/>
      <c r="H104" s="241"/>
      <c r="I104" s="245"/>
      <c r="J104" s="240"/>
      <c r="K104" s="248"/>
      <c r="L104" s="240"/>
      <c r="M104" s="248"/>
      <c r="N104" s="243"/>
      <c r="O104" s="248"/>
      <c r="P104" s="249"/>
      <c r="Q104" s="250"/>
      <c r="R104" s="250">
        <f>R74+R84</f>
        <v>398.80099999999993</v>
      </c>
      <c r="S104" s="250">
        <f>S74+S84</f>
        <v>572.01799999999992</v>
      </c>
      <c r="T104" s="250">
        <f>T74+T84</f>
        <v>19902.600000000002</v>
      </c>
      <c r="U104" s="250">
        <f>T104/R104</f>
        <v>49.906093515312165</v>
      </c>
      <c r="V104" s="250"/>
      <c r="W104" s="250"/>
      <c r="X104" s="250"/>
      <c r="Y104" s="250">
        <f>Y74+Y84+Y87</f>
        <v>381.15016770000005</v>
      </c>
      <c r="Z104" s="250">
        <f>Z74+Z84+Z87</f>
        <v>543.86576070000001</v>
      </c>
      <c r="AA104" s="250">
        <f>AA74+AA84</f>
        <v>19375.555740000003</v>
      </c>
      <c r="AB104" s="250">
        <f>AA104/Y104</f>
        <v>50.834441073236867</v>
      </c>
      <c r="AC104" s="250"/>
      <c r="AD104" s="250"/>
      <c r="AE104" s="251">
        <f>AE74+AE84+AE87</f>
        <v>11625.1903475</v>
      </c>
      <c r="AF104" s="252"/>
    </row>
    <row r="105" spans="1:32" ht="15" x14ac:dyDescent="0.2">
      <c r="B105" s="253"/>
      <c r="C105" s="253"/>
      <c r="D105" s="253"/>
      <c r="E105" s="253"/>
      <c r="F105" s="254"/>
      <c r="G105" s="255"/>
      <c r="H105" s="256"/>
      <c r="I105" s="256"/>
      <c r="J105" s="254"/>
      <c r="K105" s="254"/>
      <c r="L105" s="254"/>
      <c r="M105" s="254"/>
      <c r="N105" s="254"/>
      <c r="O105" s="254"/>
      <c r="P105" s="257"/>
      <c r="Q105" s="258"/>
      <c r="R105" s="254"/>
      <c r="S105" s="254"/>
      <c r="T105" s="254"/>
      <c r="U105" s="259"/>
      <c r="V105" s="255"/>
      <c r="W105" s="255"/>
      <c r="X105" s="255"/>
      <c r="Y105" s="254"/>
      <c r="Z105" s="254"/>
      <c r="AA105" s="254"/>
      <c r="AB105" s="260"/>
      <c r="AC105" s="255"/>
      <c r="AD105" s="254"/>
      <c r="AE105" s="254"/>
      <c r="AF105" s="256"/>
    </row>
    <row r="106" spans="1:32" ht="15" x14ac:dyDescent="0.2">
      <c r="B106" s="289"/>
      <c r="C106" s="191"/>
      <c r="D106" s="289"/>
      <c r="E106" s="268">
        <v>0.95</v>
      </c>
      <c r="F106" s="289"/>
      <c r="G106" s="289" t="s">
        <v>102</v>
      </c>
      <c r="H106" s="290"/>
      <c r="I106" s="262"/>
      <c r="J106" s="289"/>
      <c r="K106" s="1883">
        <f>AE104*E106</f>
        <v>11043.930830125</v>
      </c>
      <c r="L106" s="1884"/>
      <c r="M106" s="1885"/>
      <c r="N106" s="191" t="s">
        <v>27</v>
      </c>
      <c r="O106" s="254"/>
      <c r="P106" s="257"/>
      <c r="Q106" s="258"/>
      <c r="R106" s="254"/>
      <c r="S106" s="254"/>
      <c r="T106" s="254"/>
      <c r="U106" s="259"/>
      <c r="V106" s="255"/>
      <c r="W106" s="255"/>
      <c r="X106" s="255"/>
      <c r="Y106" s="254"/>
      <c r="Z106" s="254"/>
      <c r="AA106" s="254"/>
      <c r="AB106" s="260"/>
      <c r="AC106" s="255"/>
      <c r="AD106" s="254"/>
      <c r="AE106" s="254"/>
      <c r="AF106" s="256"/>
    </row>
    <row r="107" spans="1:32" ht="15" x14ac:dyDescent="0.2">
      <c r="B107" s="289"/>
      <c r="C107" s="191"/>
      <c r="D107" s="289"/>
      <c r="E107" s="268"/>
      <c r="F107" s="289"/>
      <c r="G107" s="191"/>
      <c r="H107" s="290"/>
      <c r="I107" s="262"/>
      <c r="J107" s="289"/>
      <c r="K107" s="191"/>
      <c r="L107" s="263"/>
      <c r="M107" s="289"/>
      <c r="N107" s="289"/>
      <c r="O107" s="289"/>
      <c r="P107" s="291"/>
      <c r="Q107" s="292"/>
      <c r="R107" s="289"/>
      <c r="S107" s="289"/>
      <c r="T107" s="289"/>
      <c r="U107" s="289"/>
      <c r="V107" s="289"/>
      <c r="W107" s="289"/>
      <c r="X107" s="211"/>
      <c r="Y107" s="211"/>
      <c r="Z107" s="211"/>
      <c r="AA107" s="211"/>
      <c r="AB107" s="211"/>
      <c r="AC107" s="211"/>
      <c r="AD107" s="211"/>
      <c r="AE107" s="211"/>
      <c r="AF107" s="266"/>
    </row>
    <row r="108" spans="1:32" ht="15" x14ac:dyDescent="0.2">
      <c r="B108" s="289"/>
      <c r="C108" s="289"/>
      <c r="D108" s="289"/>
      <c r="E108" s="293" t="s">
        <v>214</v>
      </c>
      <c r="F108" s="1881" t="s">
        <v>268</v>
      </c>
      <c r="G108" s="1881"/>
      <c r="H108" s="1881"/>
      <c r="I108" s="289"/>
      <c r="J108" s="289"/>
      <c r="K108" s="191"/>
      <c r="L108" s="191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1842" t="s">
        <v>99</v>
      </c>
      <c r="Y108" s="1824"/>
      <c r="Z108" s="1824"/>
      <c r="AA108" s="1824"/>
      <c r="AB108" s="211" t="s">
        <v>282</v>
      </c>
      <c r="AC108" s="211"/>
      <c r="AD108" s="211"/>
      <c r="AE108" s="211"/>
      <c r="AF108" s="211"/>
    </row>
  </sheetData>
  <mergeCells count="41">
    <mergeCell ref="X108:AA108"/>
    <mergeCell ref="B88:F88"/>
    <mergeCell ref="B93:F93"/>
    <mergeCell ref="B99:F99"/>
    <mergeCell ref="B104:E104"/>
    <mergeCell ref="K106:M106"/>
    <mergeCell ref="F108:H108"/>
    <mergeCell ref="AF12:AF13"/>
    <mergeCell ref="B74:E74"/>
    <mergeCell ref="B75:F75"/>
    <mergeCell ref="B84:E84"/>
    <mergeCell ref="B85:F85"/>
    <mergeCell ref="AB12:AB13"/>
    <mergeCell ref="AC12:AC13"/>
    <mergeCell ref="B87:E87"/>
    <mergeCell ref="V12:V13"/>
    <mergeCell ref="W12:W13"/>
    <mergeCell ref="X12:X13"/>
    <mergeCell ref="Y12:AA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U12:U13"/>
    <mergeCell ref="F11:F12"/>
    <mergeCell ref="A11:A13"/>
    <mergeCell ref="B11:B13"/>
    <mergeCell ref="C11:C13"/>
    <mergeCell ref="D11:D12"/>
    <mergeCell ref="E11:E12"/>
    <mergeCell ref="B8:E8"/>
    <mergeCell ref="I1:X1"/>
    <mergeCell ref="A2:D2"/>
    <mergeCell ref="J2:W2"/>
    <mergeCell ref="A6:E6"/>
    <mergeCell ref="A7:E7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108"/>
  <sheetViews>
    <sheetView topLeftCell="J71" zoomScale="70" zoomScaleNormal="70" zoomScaleSheetLayoutView="70" workbookViewId="0">
      <selection activeCell="A85" sqref="A85:AF86"/>
    </sheetView>
  </sheetViews>
  <sheetFormatPr defaultColWidth="9.140625" defaultRowHeight="12.75" x14ac:dyDescent="0.2"/>
  <cols>
    <col min="1" max="1" width="9.140625" style="304" customWidth="1"/>
    <col min="2" max="2" width="42.7109375" style="304" customWidth="1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3" width="9.140625" style="304"/>
    <col min="24" max="24" width="10.42578125" style="304" customWidth="1"/>
    <col min="25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48"/>
      <c r="C1" s="348"/>
      <c r="D1" s="138"/>
      <c r="E1" s="138"/>
      <c r="F1" s="138"/>
      <c r="G1" s="348"/>
      <c r="H1" s="348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48"/>
      <c r="H2" s="348"/>
      <c r="I2" s="138"/>
      <c r="J2" s="1823" t="s">
        <v>290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49" t="s">
        <v>270</v>
      </c>
      <c r="B3" s="349"/>
      <c r="C3" s="349"/>
      <c r="D3" s="349"/>
      <c r="E3" s="349"/>
      <c r="F3" s="138"/>
      <c r="G3" s="348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47"/>
      <c r="S3" s="347"/>
      <c r="T3" s="347"/>
      <c r="U3" s="347"/>
      <c r="V3" s="347"/>
      <c r="W3" s="347"/>
      <c r="X3" s="347"/>
      <c r="Y3" s="347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49" t="s">
        <v>228</v>
      </c>
      <c r="B4" s="148"/>
      <c r="C4" s="148"/>
      <c r="D4" s="148"/>
      <c r="E4" s="138"/>
      <c r="F4" s="138"/>
      <c r="G4" s="348"/>
      <c r="H4" s="348"/>
      <c r="I4" s="141"/>
      <c r="J4" s="141"/>
      <c r="K4" s="141"/>
      <c r="L4" s="141"/>
      <c r="M4" s="141"/>
      <c r="N4" s="141"/>
      <c r="O4" s="141"/>
      <c r="P4" s="141"/>
      <c r="Q4" s="141"/>
      <c r="R4" s="346"/>
      <c r="S4" s="346"/>
      <c r="T4" s="346"/>
      <c r="U4" s="346"/>
      <c r="V4" s="346"/>
      <c r="W4" s="346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49"/>
      <c r="C5" s="349"/>
      <c r="D5" s="349"/>
      <c r="E5" s="138"/>
      <c r="F5" s="138"/>
      <c r="G5" s="348"/>
      <c r="H5" s="348"/>
      <c r="I5" s="138"/>
      <c r="J5" s="138"/>
      <c r="K5" s="348"/>
      <c r="L5" s="348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48"/>
      <c r="H6" s="348"/>
      <c r="I6" s="140"/>
      <c r="J6" s="138"/>
      <c r="K6" s="348"/>
      <c r="L6" s="348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48"/>
      <c r="H7" s="348"/>
      <c r="I7" s="140"/>
      <c r="J7" s="138"/>
      <c r="K7" s="348"/>
      <c r="L7" s="348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48"/>
      <c r="H8" s="348"/>
      <c r="I8" s="140"/>
      <c r="J8" s="138"/>
      <c r="K8" s="348"/>
      <c r="L8" s="348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48"/>
      <c r="H9" s="348"/>
      <c r="I9" s="138"/>
      <c r="J9" s="13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48"/>
      <c r="C10" s="348"/>
      <c r="D10" s="348"/>
      <c r="E10" s="138"/>
      <c r="F10" s="138"/>
      <c r="G10" s="348"/>
      <c r="H10" s="348"/>
      <c r="I10" s="140"/>
      <c r="J10" s="138"/>
      <c r="K10" s="348"/>
      <c r="L10" s="348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45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45" t="s">
        <v>18</v>
      </c>
      <c r="AE12" s="345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270</v>
      </c>
      <c r="M14" s="166"/>
      <c r="N14" s="163">
        <v>2.9</v>
      </c>
      <c r="O14" s="166"/>
      <c r="P14" s="167">
        <v>30.19</v>
      </c>
      <c r="Q14" s="168">
        <f t="shared" ref="Q14:Q37" si="0">LEFT(H14,(FIND("K",H14,1)-1))*J14/100</f>
        <v>33</v>
      </c>
      <c r="R14" s="169">
        <v>1.4630000000000001</v>
      </c>
      <c r="S14" s="168">
        <v>2.9260000000000002</v>
      </c>
      <c r="T14" s="168">
        <v>0.5</v>
      </c>
      <c r="U14" s="168">
        <f>T14/R14</f>
        <v>0.34176349965823649</v>
      </c>
      <c r="V14" s="169">
        <f>(S14-R14)/S14*100</f>
        <v>50</v>
      </c>
      <c r="W14" s="170">
        <v>0.3</v>
      </c>
      <c r="X14" s="171">
        <f t="shared" ref="X14:X45" si="1">S14/Q14</f>
        <v>8.8666666666666671E-2</v>
      </c>
      <c r="Y14" s="171">
        <f>R14*0.9494</f>
        <v>1.3889722000000002</v>
      </c>
      <c r="Z14" s="171">
        <f t="shared" ref="Z14:AA14" si="2">S14*0.9494</f>
        <v>2.7779444000000004</v>
      </c>
      <c r="AA14" s="171">
        <f t="shared" si="2"/>
        <v>0.47470000000000001</v>
      </c>
      <c r="AB14" s="171">
        <f>U14</f>
        <v>0.34176349965823649</v>
      </c>
      <c r="AC14" s="171">
        <f t="shared" ref="AC14:AC73" si="3">V14</f>
        <v>50</v>
      </c>
      <c r="AD14" s="163">
        <v>30</v>
      </c>
      <c r="AE14" s="171">
        <f>Y14*AD14</f>
        <v>41.669166000000004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366</v>
      </c>
      <c r="L15" s="166">
        <v>0</v>
      </c>
      <c r="M15" s="166">
        <v>20.399999999999999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15" si="4">R15*0.9438</f>
        <v>0</v>
      </c>
      <c r="Z15" s="171">
        <f t="shared" si="4"/>
        <v>0</v>
      </c>
      <c r="AA15" s="171">
        <f t="shared" si="4"/>
        <v>0</v>
      </c>
      <c r="AB15" s="171">
        <f t="shared" ref="AB15:AB73" si="5">U15</f>
        <v>0</v>
      </c>
      <c r="AC15" s="171">
        <f t="shared" si="3"/>
        <v>0</v>
      </c>
      <c r="AD15" s="163">
        <v>0</v>
      </c>
      <c r="AE15" s="171">
        <f t="shared" ref="AE15:AE56" si="6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120</v>
      </c>
      <c r="K16" s="163"/>
      <c r="L16" s="166">
        <v>361</v>
      </c>
      <c r="M16" s="166"/>
      <c r="N16" s="182">
        <v>9.1999999999999993</v>
      </c>
      <c r="O16" s="166"/>
      <c r="P16" s="167">
        <v>25.31</v>
      </c>
      <c r="Q16" s="168">
        <f>LEFT(H16,(FIND("K",H16,1)-1))*J16/100</f>
        <v>38.4</v>
      </c>
      <c r="R16" s="169">
        <v>17.952000000000002</v>
      </c>
      <c r="S16" s="168">
        <v>27.693000000000001</v>
      </c>
      <c r="T16" s="168">
        <v>1800</v>
      </c>
      <c r="U16" s="168">
        <f t="shared" ref="U16:U73" si="7">T16/R16</f>
        <v>100.26737967914437</v>
      </c>
      <c r="V16" s="169">
        <f t="shared" ref="V16:V73" si="8">(S16-R16)/S16*100</f>
        <v>35.174953959484348</v>
      </c>
      <c r="W16" s="170">
        <v>0.3</v>
      </c>
      <c r="X16" s="171">
        <f t="shared" si="1"/>
        <v>0.72117187500000002</v>
      </c>
      <c r="Y16" s="171">
        <f>R16*0.9494</f>
        <v>17.0436288</v>
      </c>
      <c r="Z16" s="171">
        <f t="shared" ref="Z16:AA29" si="9">S16*0.9494</f>
        <v>26.2917342</v>
      </c>
      <c r="AA16" s="171">
        <f t="shared" si="9"/>
        <v>1708.92</v>
      </c>
      <c r="AB16" s="171">
        <f t="shared" si="5"/>
        <v>100.26737967914437</v>
      </c>
      <c r="AC16" s="171">
        <f t="shared" si="3"/>
        <v>35.174953959484348</v>
      </c>
      <c r="AD16" s="163">
        <v>30</v>
      </c>
      <c r="AE16" s="171">
        <f>Y16*AD16</f>
        <v>511.30886400000003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205</v>
      </c>
      <c r="K17" s="163"/>
      <c r="L17" s="166">
        <v>464</v>
      </c>
      <c r="M17" s="166"/>
      <c r="N17" s="182">
        <v>3.2</v>
      </c>
      <c r="O17" s="166"/>
      <c r="P17" s="167">
        <v>12.44</v>
      </c>
      <c r="Q17" s="168">
        <f t="shared" si="0"/>
        <v>26.65</v>
      </c>
      <c r="R17" s="169">
        <v>5.5119999999999996</v>
      </c>
      <c r="S17" s="168">
        <v>6.5629999999999997</v>
      </c>
      <c r="T17" s="168">
        <v>31.5</v>
      </c>
      <c r="U17" s="168">
        <f t="shared" si="7"/>
        <v>5.7148040638606679</v>
      </c>
      <c r="V17" s="169">
        <f t="shared" si="8"/>
        <v>16.014017979582512</v>
      </c>
      <c r="W17" s="170">
        <v>0.4</v>
      </c>
      <c r="X17" s="171">
        <f>S17/Q17</f>
        <v>0.24626641651031894</v>
      </c>
      <c r="Y17" s="171">
        <f t="shared" ref="Y17:Y29" si="10">R17*0.9494</f>
        <v>5.2330927999999997</v>
      </c>
      <c r="Z17" s="171">
        <f t="shared" si="9"/>
        <v>6.2309121999999997</v>
      </c>
      <c r="AA17" s="171">
        <f t="shared" si="9"/>
        <v>29.906100000000002</v>
      </c>
      <c r="AB17" s="171">
        <f t="shared" si="5"/>
        <v>5.7148040638606679</v>
      </c>
      <c r="AC17" s="171">
        <f t="shared" si="3"/>
        <v>16.014017979582512</v>
      </c>
      <c r="AD17" s="163">
        <v>30</v>
      </c>
      <c r="AE17" s="171">
        <f t="shared" si="6"/>
        <v>156.992784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150</v>
      </c>
      <c r="K18" s="163"/>
      <c r="L18" s="166">
        <v>438</v>
      </c>
      <c r="M18" s="166"/>
      <c r="N18" s="163">
        <v>6.2</v>
      </c>
      <c r="O18" s="166"/>
      <c r="P18" s="167">
        <v>17.46</v>
      </c>
      <c r="Q18" s="168">
        <f t="shared" si="0"/>
        <v>9</v>
      </c>
      <c r="R18" s="169">
        <v>3.6890000000000001</v>
      </c>
      <c r="S18" s="168">
        <v>3.984</v>
      </c>
      <c r="T18" s="168">
        <v>23</v>
      </c>
      <c r="U18" s="168">
        <f t="shared" si="7"/>
        <v>6.2347519653022498</v>
      </c>
      <c r="V18" s="169">
        <f t="shared" si="8"/>
        <v>7.4046184738955798</v>
      </c>
      <c r="W18" s="170">
        <v>0.4</v>
      </c>
      <c r="X18" s="171">
        <f t="shared" si="1"/>
        <v>0.44266666666666665</v>
      </c>
      <c r="Y18" s="171">
        <f t="shared" si="10"/>
        <v>3.5023366</v>
      </c>
      <c r="Z18" s="171">
        <f t="shared" si="9"/>
        <v>3.7824096000000003</v>
      </c>
      <c r="AA18" s="171">
        <f t="shared" si="9"/>
        <v>21.836200000000002</v>
      </c>
      <c r="AB18" s="171">
        <f t="shared" si="5"/>
        <v>6.2347519653022498</v>
      </c>
      <c r="AC18" s="171">
        <f t="shared" si="3"/>
        <v>7.4046184738955798</v>
      </c>
      <c r="AD18" s="163">
        <v>30</v>
      </c>
      <c r="AE18" s="171">
        <f t="shared" si="6"/>
        <v>105.070098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415</v>
      </c>
      <c r="M19" s="166"/>
      <c r="N19" s="163">
        <v>0.5</v>
      </c>
      <c r="O19" s="166"/>
      <c r="P19" s="167">
        <v>15.55</v>
      </c>
      <c r="Q19" s="168">
        <f t="shared" si="0"/>
        <v>15</v>
      </c>
      <c r="R19" s="169">
        <v>2.1949999999999998</v>
      </c>
      <c r="S19" s="168">
        <v>2.6070000000000002</v>
      </c>
      <c r="T19" s="168">
        <v>0.8</v>
      </c>
      <c r="U19" s="168">
        <f t="shared" si="7"/>
        <v>0.36446469248291574</v>
      </c>
      <c r="V19" s="169">
        <f t="shared" si="8"/>
        <v>15.803605677023411</v>
      </c>
      <c r="W19" s="170">
        <v>0.7</v>
      </c>
      <c r="X19" s="171">
        <f>S19/Q19</f>
        <v>0.17380000000000001</v>
      </c>
      <c r="Y19" s="171">
        <f t="shared" si="10"/>
        <v>2.083933</v>
      </c>
      <c r="Z19" s="171">
        <f t="shared" si="9"/>
        <v>2.4750858000000004</v>
      </c>
      <c r="AA19" s="171">
        <f t="shared" si="9"/>
        <v>0.75952000000000008</v>
      </c>
      <c r="AB19" s="171">
        <f t="shared" si="5"/>
        <v>0.36446469248291574</v>
      </c>
      <c r="AC19" s="171">
        <f t="shared" si="3"/>
        <v>15.803605677023411</v>
      </c>
      <c r="AD19" s="163">
        <v>30</v>
      </c>
      <c r="AE19" s="171">
        <f t="shared" si="6"/>
        <v>62.517989999999998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488</v>
      </c>
      <c r="M20" s="166"/>
      <c r="N20" s="163">
        <v>14.3</v>
      </c>
      <c r="O20" s="166"/>
      <c r="P20" s="167">
        <v>21.44</v>
      </c>
      <c r="Q20" s="168">
        <f t="shared" si="0"/>
        <v>22</v>
      </c>
      <c r="R20" s="169">
        <v>8.4480000000000004</v>
      </c>
      <c r="S20" s="168">
        <v>9.4570000000000007</v>
      </c>
      <c r="T20" s="168">
        <v>7</v>
      </c>
      <c r="U20" s="168">
        <f t="shared" si="7"/>
        <v>0.82859848484848486</v>
      </c>
      <c r="V20" s="169">
        <f t="shared" si="8"/>
        <v>10.669345458390612</v>
      </c>
      <c r="W20" s="170">
        <v>0.5</v>
      </c>
      <c r="X20" s="171">
        <f t="shared" si="1"/>
        <v>0.42986363636363639</v>
      </c>
      <c r="Y20" s="171">
        <f t="shared" si="10"/>
        <v>8.0205312000000006</v>
      </c>
      <c r="Z20" s="171">
        <f t="shared" si="9"/>
        <v>8.9784758000000018</v>
      </c>
      <c r="AA20" s="171">
        <f t="shared" si="9"/>
        <v>6.6458000000000004</v>
      </c>
      <c r="AB20" s="171">
        <f t="shared" si="5"/>
        <v>0.82859848484848486</v>
      </c>
      <c r="AC20" s="171">
        <f t="shared" si="3"/>
        <v>10.669345458390612</v>
      </c>
      <c r="AD20" s="163">
        <v>30</v>
      </c>
      <c r="AE20" s="171">
        <f t="shared" si="6"/>
        <v>240.61593600000003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429</v>
      </c>
      <c r="M21" s="176"/>
      <c r="N21" s="163">
        <v>8.1</v>
      </c>
      <c r="O21" s="176"/>
      <c r="P21" s="167">
        <v>21.23</v>
      </c>
      <c r="Q21" s="168">
        <f t="shared" si="0"/>
        <v>22</v>
      </c>
      <c r="R21" s="169">
        <v>11.675000000000001</v>
      </c>
      <c r="S21" s="168">
        <v>18.783000000000001</v>
      </c>
      <c r="T21" s="168">
        <v>102</v>
      </c>
      <c r="U21" s="168">
        <f t="shared" si="7"/>
        <v>8.7366167023554606</v>
      </c>
      <c r="V21" s="169">
        <f t="shared" si="8"/>
        <v>37.842730128307508</v>
      </c>
      <c r="W21" s="170">
        <v>0.4</v>
      </c>
      <c r="X21" s="171">
        <f t="shared" si="1"/>
        <v>0.85377272727272735</v>
      </c>
      <c r="Y21" s="171">
        <f t="shared" si="10"/>
        <v>11.084245000000001</v>
      </c>
      <c r="Z21" s="171">
        <f t="shared" si="9"/>
        <v>17.832580200000002</v>
      </c>
      <c r="AA21" s="171">
        <f t="shared" si="9"/>
        <v>96.838800000000006</v>
      </c>
      <c r="AB21" s="171">
        <f t="shared" si="5"/>
        <v>8.7366167023554606</v>
      </c>
      <c r="AC21" s="171">
        <f t="shared" si="3"/>
        <v>37.842730128307508</v>
      </c>
      <c r="AD21" s="163">
        <v>30</v>
      </c>
      <c r="AE21" s="171">
        <f t="shared" si="6"/>
        <v>332.52735000000001</v>
      </c>
      <c r="AF21" s="177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472</v>
      </c>
      <c r="M22" s="166"/>
      <c r="N22" s="163">
        <v>6.4</v>
      </c>
      <c r="O22" s="166"/>
      <c r="P22" s="167">
        <v>15.32</v>
      </c>
      <c r="Q22" s="168">
        <f t="shared" si="0"/>
        <v>22</v>
      </c>
      <c r="R22" s="169">
        <v>7.0209999999999999</v>
      </c>
      <c r="S22" s="168">
        <v>10.173999999999999</v>
      </c>
      <c r="T22" s="168">
        <v>12</v>
      </c>
      <c r="U22" s="168">
        <f t="shared" si="7"/>
        <v>1.7091582395670133</v>
      </c>
      <c r="V22" s="169">
        <f t="shared" si="8"/>
        <v>30.99076076272852</v>
      </c>
      <c r="W22" s="170">
        <v>0.4</v>
      </c>
      <c r="X22" s="171">
        <f t="shared" si="1"/>
        <v>0.46245454545454545</v>
      </c>
      <c r="Y22" s="171">
        <f t="shared" si="10"/>
        <v>6.6657374000000003</v>
      </c>
      <c r="Z22" s="171">
        <f t="shared" si="9"/>
        <v>9.6591956000000003</v>
      </c>
      <c r="AA22" s="171">
        <f t="shared" si="9"/>
        <v>11.392800000000001</v>
      </c>
      <c r="AB22" s="171">
        <f t="shared" si="5"/>
        <v>1.7091582395670133</v>
      </c>
      <c r="AC22" s="171">
        <f t="shared" si="3"/>
        <v>30.99076076272852</v>
      </c>
      <c r="AD22" s="163">
        <v>30</v>
      </c>
      <c r="AE22" s="171">
        <f t="shared" si="6"/>
        <v>199.97212200000001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294</v>
      </c>
      <c r="M23" s="166"/>
      <c r="N23" s="163">
        <v>5.5</v>
      </c>
      <c r="O23" s="166"/>
      <c r="P23" s="167">
        <v>30.16</v>
      </c>
      <c r="Q23" s="168">
        <f t="shared" si="0"/>
        <v>27.5</v>
      </c>
      <c r="R23" s="169">
        <v>1.034</v>
      </c>
      <c r="S23" s="168">
        <v>1.496</v>
      </c>
      <c r="T23" s="168">
        <v>0.5</v>
      </c>
      <c r="U23" s="168">
        <f t="shared" si="7"/>
        <v>0.48355899419729204</v>
      </c>
      <c r="V23" s="169">
        <f t="shared" si="8"/>
        <v>30.882352941176467</v>
      </c>
      <c r="W23" s="170">
        <v>0.5</v>
      </c>
      <c r="X23" s="171">
        <f t="shared" si="1"/>
        <v>5.4399999999999997E-2</v>
      </c>
      <c r="Y23" s="171">
        <f t="shared" si="10"/>
        <v>0.9816796000000001</v>
      </c>
      <c r="Z23" s="171">
        <f t="shared" si="9"/>
        <v>1.4203024</v>
      </c>
      <c r="AA23" s="171">
        <f t="shared" si="9"/>
        <v>0.47470000000000001</v>
      </c>
      <c r="AB23" s="171">
        <f t="shared" si="5"/>
        <v>0.48355899419729204</v>
      </c>
      <c r="AC23" s="171">
        <f t="shared" si="3"/>
        <v>30.882352941176467</v>
      </c>
      <c r="AD23" s="163">
        <v>30</v>
      </c>
      <c r="AE23" s="171">
        <f t="shared" si="6"/>
        <v>29.450388000000004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387</v>
      </c>
      <c r="M24" s="166"/>
      <c r="N24" s="163">
        <v>0.8</v>
      </c>
      <c r="O24" s="166"/>
      <c r="P24" s="167">
        <v>18.72</v>
      </c>
      <c r="Q24" s="168">
        <f t="shared" si="0"/>
        <v>11.18</v>
      </c>
      <c r="R24" s="169">
        <v>0.78400000000000003</v>
      </c>
      <c r="S24" s="168">
        <v>1.34</v>
      </c>
      <c r="T24" s="168">
        <v>0.3</v>
      </c>
      <c r="U24" s="168">
        <f t="shared" si="7"/>
        <v>0.38265306122448978</v>
      </c>
      <c r="V24" s="169">
        <f t="shared" si="8"/>
        <v>41.492537313432834</v>
      </c>
      <c r="W24" s="170">
        <v>0.4</v>
      </c>
      <c r="X24" s="171">
        <f t="shared" si="1"/>
        <v>0.11985688729874777</v>
      </c>
      <c r="Y24" s="171">
        <f t="shared" si="10"/>
        <v>0.74432960000000004</v>
      </c>
      <c r="Z24" s="171">
        <f t="shared" si="9"/>
        <v>1.2721960000000001</v>
      </c>
      <c r="AA24" s="171">
        <f t="shared" si="9"/>
        <v>0.28482000000000002</v>
      </c>
      <c r="AB24" s="171">
        <f t="shared" si="5"/>
        <v>0.38265306122448978</v>
      </c>
      <c r="AC24" s="171">
        <f t="shared" si="3"/>
        <v>41.492537313432834</v>
      </c>
      <c r="AD24" s="163">
        <v>30</v>
      </c>
      <c r="AE24" s="171">
        <f t="shared" si="6"/>
        <v>22.329888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110</v>
      </c>
      <c r="K25" s="163"/>
      <c r="L25" s="166">
        <v>228</v>
      </c>
      <c r="M25" s="166"/>
      <c r="N25" s="163">
        <v>2.7</v>
      </c>
      <c r="O25" s="166"/>
      <c r="P25" s="167">
        <v>34.97</v>
      </c>
      <c r="Q25" s="168">
        <f t="shared" si="0"/>
        <v>24.2</v>
      </c>
      <c r="R25" s="169">
        <v>4.4589999999999996</v>
      </c>
      <c r="S25" s="168">
        <v>7.952</v>
      </c>
      <c r="T25" s="168">
        <v>1.8</v>
      </c>
      <c r="U25" s="168">
        <f t="shared" si="7"/>
        <v>0.40367795469836293</v>
      </c>
      <c r="V25" s="169">
        <f t="shared" si="8"/>
        <v>43.926056338028175</v>
      </c>
      <c r="W25" s="170">
        <v>1</v>
      </c>
      <c r="X25" s="171">
        <f t="shared" si="1"/>
        <v>0.32859504132231404</v>
      </c>
      <c r="Y25" s="171">
        <f t="shared" si="10"/>
        <v>4.2333745999999994</v>
      </c>
      <c r="Z25" s="171">
        <f t="shared" si="9"/>
        <v>7.5496287999999998</v>
      </c>
      <c r="AA25" s="171">
        <f t="shared" si="9"/>
        <v>1.70892</v>
      </c>
      <c r="AB25" s="171">
        <f t="shared" si="5"/>
        <v>0.40367795469836293</v>
      </c>
      <c r="AC25" s="171">
        <f t="shared" si="3"/>
        <v>43.926056338028175</v>
      </c>
      <c r="AD25" s="163">
        <v>30</v>
      </c>
      <c r="AE25" s="171">
        <f t="shared" si="6"/>
        <v>127.00123799999999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573.67999999999995</v>
      </c>
      <c r="J26" s="163">
        <v>150</v>
      </c>
      <c r="K26" s="163"/>
      <c r="L26" s="166">
        <v>362</v>
      </c>
      <c r="M26" s="166"/>
      <c r="N26" s="163">
        <v>7</v>
      </c>
      <c r="O26" s="166"/>
      <c r="P26" s="167">
        <v>23.57</v>
      </c>
      <c r="Q26" s="168">
        <f t="shared" si="0"/>
        <v>48</v>
      </c>
      <c r="R26" s="169">
        <v>23.646000000000001</v>
      </c>
      <c r="S26" s="168">
        <v>38.72</v>
      </c>
      <c r="T26" s="168">
        <v>900</v>
      </c>
      <c r="U26" s="168">
        <f t="shared" si="7"/>
        <v>38.061405734585129</v>
      </c>
      <c r="V26" s="169">
        <f t="shared" si="8"/>
        <v>38.930785123966935</v>
      </c>
      <c r="W26" s="170">
        <v>0.3</v>
      </c>
      <c r="X26" s="171">
        <f t="shared" si="1"/>
        <v>0.80666666666666664</v>
      </c>
      <c r="Y26" s="171">
        <f t="shared" si="10"/>
        <v>22.4495124</v>
      </c>
      <c r="Z26" s="171">
        <f t="shared" si="9"/>
        <v>36.760767999999999</v>
      </c>
      <c r="AA26" s="171">
        <f t="shared" si="9"/>
        <v>854.46</v>
      </c>
      <c r="AB26" s="171">
        <f t="shared" si="5"/>
        <v>38.061405734585129</v>
      </c>
      <c r="AC26" s="171">
        <f t="shared" si="3"/>
        <v>38.930785123966935</v>
      </c>
      <c r="AD26" s="163">
        <v>30</v>
      </c>
      <c r="AE26" s="171">
        <f t="shared" si="6"/>
        <v>673.48537199999998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386</v>
      </c>
      <c r="M27" s="166"/>
      <c r="N27" s="163">
        <v>8.8000000000000007</v>
      </c>
      <c r="O27" s="166"/>
      <c r="P27" s="167">
        <v>22.56</v>
      </c>
      <c r="Q27" s="168">
        <f t="shared" si="0"/>
        <v>74.8</v>
      </c>
      <c r="R27" s="169">
        <v>17.579999999999998</v>
      </c>
      <c r="S27" s="168">
        <v>25.33</v>
      </c>
      <c r="T27" s="168">
        <v>3895</v>
      </c>
      <c r="U27" s="168">
        <f t="shared" si="7"/>
        <v>221.5585893060296</v>
      </c>
      <c r="V27" s="169">
        <f t="shared" si="8"/>
        <v>30.596131069877618</v>
      </c>
      <c r="W27" s="170">
        <v>0.3</v>
      </c>
      <c r="X27" s="171">
        <f t="shared" si="1"/>
        <v>0.33863636363636362</v>
      </c>
      <c r="Y27" s="171">
        <f t="shared" si="10"/>
        <v>16.690452000000001</v>
      </c>
      <c r="Z27" s="171">
        <f t="shared" si="9"/>
        <v>24.048302</v>
      </c>
      <c r="AA27" s="171">
        <f t="shared" si="9"/>
        <v>3697.913</v>
      </c>
      <c r="AB27" s="171">
        <f t="shared" si="5"/>
        <v>221.5585893060296</v>
      </c>
      <c r="AC27" s="171">
        <f t="shared" si="3"/>
        <v>30.596131069877618</v>
      </c>
      <c r="AD27" s="163">
        <v>30</v>
      </c>
      <c r="AE27" s="171">
        <f t="shared" si="6"/>
        <v>500.71356000000003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452</v>
      </c>
      <c r="M28" s="166"/>
      <c r="N28" s="163">
        <v>7.4</v>
      </c>
      <c r="O28" s="166"/>
      <c r="P28" s="167">
        <v>19.47</v>
      </c>
      <c r="Q28" s="168">
        <f t="shared" si="0"/>
        <v>11.05</v>
      </c>
      <c r="R28" s="169">
        <v>4.2119999999999997</v>
      </c>
      <c r="S28" s="168">
        <v>5.7249999999999996</v>
      </c>
      <c r="T28" s="168">
        <v>10.5</v>
      </c>
      <c r="U28" s="168">
        <f t="shared" si="7"/>
        <v>2.4928774928774931</v>
      </c>
      <c r="V28" s="169">
        <f t="shared" si="8"/>
        <v>26.427947598253276</v>
      </c>
      <c r="W28" s="170">
        <v>0.3</v>
      </c>
      <c r="X28" s="171">
        <f t="shared" si="1"/>
        <v>0.51809954751131215</v>
      </c>
      <c r="Y28" s="171">
        <f t="shared" si="10"/>
        <v>3.9988728</v>
      </c>
      <c r="Z28" s="171">
        <f t="shared" si="9"/>
        <v>5.4353150000000001</v>
      </c>
      <c r="AA28" s="171">
        <f t="shared" si="9"/>
        <v>9.9687000000000001</v>
      </c>
      <c r="AB28" s="171">
        <f t="shared" si="5"/>
        <v>2.4928774928774931</v>
      </c>
      <c r="AC28" s="171">
        <f t="shared" si="3"/>
        <v>26.427947598253276</v>
      </c>
      <c r="AD28" s="163">
        <v>30</v>
      </c>
      <c r="AE28" s="171">
        <f>Y28*AD28</f>
        <v>119.966184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504</v>
      </c>
      <c r="M29" s="164"/>
      <c r="N29" s="164">
        <v>9.6999999999999993</v>
      </c>
      <c r="O29" s="164"/>
      <c r="P29" s="164">
        <v>14.86</v>
      </c>
      <c r="Q29" s="164">
        <f t="shared" si="0"/>
        <v>96</v>
      </c>
      <c r="R29" s="181">
        <v>21.934000000000001</v>
      </c>
      <c r="S29" s="168">
        <v>26.062000000000001</v>
      </c>
      <c r="T29" s="164">
        <v>2205</v>
      </c>
      <c r="U29" s="181">
        <f t="shared" si="7"/>
        <v>100.52885930518829</v>
      </c>
      <c r="V29" s="181">
        <f t="shared" si="8"/>
        <v>15.839152789501956</v>
      </c>
      <c r="W29" s="164">
        <v>0.5</v>
      </c>
      <c r="X29" s="181">
        <f t="shared" si="1"/>
        <v>0.27147916666666666</v>
      </c>
      <c r="Y29" s="171">
        <f t="shared" si="10"/>
        <v>20.824139600000002</v>
      </c>
      <c r="Z29" s="171">
        <f t="shared" si="9"/>
        <v>24.7432628</v>
      </c>
      <c r="AA29" s="171">
        <f t="shared" si="9"/>
        <v>2093.4270000000001</v>
      </c>
      <c r="AB29" s="181">
        <f t="shared" si="5"/>
        <v>100.52885930518829</v>
      </c>
      <c r="AC29" s="181">
        <f t="shared" si="3"/>
        <v>15.839152789501956</v>
      </c>
      <c r="AD29" s="163">
        <v>30</v>
      </c>
      <c r="AE29" s="181">
        <f>Y29*AD29</f>
        <v>624.72418800000003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204</v>
      </c>
      <c r="L30" s="163"/>
      <c r="M30" s="163">
        <v>13.3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:AA31" si="11">R31</f>
        <v>0</v>
      </c>
      <c r="Z31" s="171">
        <f t="shared" si="11"/>
        <v>0</v>
      </c>
      <c r="AA31" s="171">
        <f t="shared" si="11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6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405</v>
      </c>
      <c r="M32" s="166"/>
      <c r="N32" s="163">
        <v>6.3</v>
      </c>
      <c r="O32" s="166"/>
      <c r="P32" s="167">
        <v>20</v>
      </c>
      <c r="Q32" s="168">
        <f t="shared" si="0"/>
        <v>18.7</v>
      </c>
      <c r="R32" s="169">
        <v>7.641</v>
      </c>
      <c r="S32" s="168">
        <v>12.569000000000001</v>
      </c>
      <c r="T32" s="168">
        <v>338</v>
      </c>
      <c r="U32" s="168">
        <f t="shared" si="7"/>
        <v>44.235047768616674</v>
      </c>
      <c r="V32" s="169">
        <f>(S32-R32)/S32*100</f>
        <v>39.20757419046862</v>
      </c>
      <c r="W32" s="170">
        <v>0.3</v>
      </c>
      <c r="X32" s="171">
        <f t="shared" si="1"/>
        <v>0.67213903743315517</v>
      </c>
      <c r="Y32" s="171">
        <f>R32*0.9949</f>
        <v>7.6020308999999999</v>
      </c>
      <c r="Z32" s="171">
        <f>S32*0.9949</f>
        <v>12.5048981</v>
      </c>
      <c r="AA32" s="171">
        <f>T32*0.9949</f>
        <v>336.27620000000002</v>
      </c>
      <c r="AB32" s="171">
        <f t="shared" si="5"/>
        <v>44.235047768616674</v>
      </c>
      <c r="AC32" s="171">
        <f t="shared" si="3"/>
        <v>39.20757419046862</v>
      </c>
      <c r="AD32" s="163">
        <v>30</v>
      </c>
      <c r="AE32" s="171">
        <f t="shared" si="6"/>
        <v>228.06092699999999</v>
      </c>
      <c r="AF32" s="183"/>
    </row>
    <row r="33" spans="1:32" s="342" customFormat="1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154</v>
      </c>
      <c r="L33" s="163"/>
      <c r="M33" s="163">
        <v>1</v>
      </c>
      <c r="N33" s="163"/>
      <c r="O33" s="163"/>
      <c r="P33" s="182">
        <v>0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v>0</v>
      </c>
      <c r="Z33" s="171">
        <v>0</v>
      </c>
      <c r="AA33" s="171"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469</v>
      </c>
      <c r="M34" s="166"/>
      <c r="N34" s="163">
        <v>6.6</v>
      </c>
      <c r="O34" s="166"/>
      <c r="P34" s="167">
        <v>13.92</v>
      </c>
      <c r="Q34" s="168">
        <f t="shared" si="0"/>
        <v>66</v>
      </c>
      <c r="R34" s="169">
        <v>7.6879999999999997</v>
      </c>
      <c r="S34" s="168">
        <v>8.4239999999999995</v>
      </c>
      <c r="T34" s="168">
        <v>549</v>
      </c>
      <c r="U34" s="168">
        <f t="shared" si="7"/>
        <v>71.409989594172742</v>
      </c>
      <c r="V34" s="169">
        <f t="shared" si="8"/>
        <v>8.7369420702754006</v>
      </c>
      <c r="W34" s="170">
        <v>0.3</v>
      </c>
      <c r="X34" s="171">
        <f t="shared" si="1"/>
        <v>0.12763636363636363</v>
      </c>
      <c r="Y34" s="171">
        <f t="shared" ref="Y34:AA40" si="12">R34*0.9494</f>
        <v>7.2989872</v>
      </c>
      <c r="Z34" s="171">
        <f t="shared" si="12"/>
        <v>7.9977456</v>
      </c>
      <c r="AA34" s="171">
        <f t="shared" si="12"/>
        <v>521.22059999999999</v>
      </c>
      <c r="AB34" s="171">
        <v>89.536086956521729</v>
      </c>
      <c r="AC34" s="171">
        <v>26</v>
      </c>
      <c r="AD34" s="163">
        <v>30</v>
      </c>
      <c r="AE34" s="171">
        <f t="shared" si="6"/>
        <v>218.969616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469</v>
      </c>
      <c r="M35" s="166"/>
      <c r="N35" s="163">
        <v>7.8</v>
      </c>
      <c r="O35" s="166"/>
      <c r="P35" s="167">
        <v>17.59</v>
      </c>
      <c r="Q35" s="168">
        <f t="shared" si="0"/>
        <v>16.25</v>
      </c>
      <c r="R35" s="169">
        <v>7.008</v>
      </c>
      <c r="S35" s="168">
        <v>10.548999999999999</v>
      </c>
      <c r="T35" s="168">
        <v>19</v>
      </c>
      <c r="U35" s="168">
        <f t="shared" si="7"/>
        <v>2.7111872146118721</v>
      </c>
      <c r="V35" s="169">
        <f t="shared" si="8"/>
        <v>33.567162764243051</v>
      </c>
      <c r="W35" s="170">
        <v>1</v>
      </c>
      <c r="X35" s="171">
        <f t="shared" si="1"/>
        <v>0.64916923076923072</v>
      </c>
      <c r="Y35" s="171">
        <f t="shared" si="12"/>
        <v>6.6533952000000003</v>
      </c>
      <c r="Z35" s="171">
        <f t="shared" si="12"/>
        <v>10.015220599999999</v>
      </c>
      <c r="AA35" s="171">
        <f t="shared" si="12"/>
        <v>18.038599999999999</v>
      </c>
      <c r="AB35" s="171">
        <f t="shared" si="5"/>
        <v>2.7111872146118721</v>
      </c>
      <c r="AC35" s="171">
        <f t="shared" si="3"/>
        <v>33.567162764243051</v>
      </c>
      <c r="AD35" s="163">
        <v>30</v>
      </c>
      <c r="AE35" s="171">
        <f t="shared" si="6"/>
        <v>199.601856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416</v>
      </c>
      <c r="M36" s="166"/>
      <c r="N36" s="163">
        <v>7.2</v>
      </c>
      <c r="O36" s="166"/>
      <c r="P36" s="167">
        <v>21.96</v>
      </c>
      <c r="Q36" s="168">
        <f t="shared" si="0"/>
        <v>18.7</v>
      </c>
      <c r="R36" s="169">
        <v>1.663</v>
      </c>
      <c r="S36" s="168">
        <v>8.8970000000000002</v>
      </c>
      <c r="T36" s="168">
        <v>50</v>
      </c>
      <c r="U36" s="168">
        <f t="shared" si="7"/>
        <v>30.066145520144318</v>
      </c>
      <c r="V36" s="169">
        <f t="shared" si="8"/>
        <v>81.308306170619304</v>
      </c>
      <c r="W36" s="170">
        <v>0.3</v>
      </c>
      <c r="X36" s="171">
        <f t="shared" si="1"/>
        <v>0.47577540106951877</v>
      </c>
      <c r="Y36" s="171">
        <f t="shared" si="12"/>
        <v>1.5788522</v>
      </c>
      <c r="Z36" s="171">
        <f t="shared" si="12"/>
        <v>8.4468118000000008</v>
      </c>
      <c r="AA36" s="171">
        <f t="shared" si="12"/>
        <v>47.47</v>
      </c>
      <c r="AB36" s="171">
        <f t="shared" si="5"/>
        <v>30.066145520144318</v>
      </c>
      <c r="AC36" s="171">
        <f t="shared" si="3"/>
        <v>81.308306170619304</v>
      </c>
      <c r="AD36" s="163">
        <v>30</v>
      </c>
      <c r="AE36" s="171">
        <f t="shared" si="6"/>
        <v>47.365566000000001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185</v>
      </c>
      <c r="K37" s="163"/>
      <c r="L37" s="166">
        <v>248</v>
      </c>
      <c r="M37" s="166"/>
      <c r="N37" s="163">
        <v>7.5</v>
      </c>
      <c r="O37" s="166"/>
      <c r="P37" s="167">
        <v>37.99</v>
      </c>
      <c r="Q37" s="168">
        <f t="shared" si="0"/>
        <v>40.700000000000003</v>
      </c>
      <c r="R37" s="169">
        <v>20.198</v>
      </c>
      <c r="S37" s="168">
        <v>34.390999999999998</v>
      </c>
      <c r="T37" s="168">
        <v>149.5</v>
      </c>
      <c r="U37" s="168">
        <f t="shared" si="7"/>
        <v>7.4017229428656304</v>
      </c>
      <c r="V37" s="169">
        <f t="shared" si="8"/>
        <v>41.269518187897994</v>
      </c>
      <c r="W37" s="170">
        <v>0.3</v>
      </c>
      <c r="X37" s="171">
        <f t="shared" si="1"/>
        <v>0.84498771498771486</v>
      </c>
      <c r="Y37" s="171">
        <f t="shared" si="12"/>
        <v>19.175981200000003</v>
      </c>
      <c r="Z37" s="171">
        <f t="shared" si="12"/>
        <v>32.650815399999999</v>
      </c>
      <c r="AA37" s="171">
        <f t="shared" si="12"/>
        <v>141.93530000000001</v>
      </c>
      <c r="AB37" s="171">
        <f t="shared" si="5"/>
        <v>7.4017229428656304</v>
      </c>
      <c r="AC37" s="171">
        <f t="shared" si="3"/>
        <v>41.269518187897994</v>
      </c>
      <c r="AD37" s="163">
        <v>30</v>
      </c>
      <c r="AE37" s="171">
        <f t="shared" si="6"/>
        <v>575.27943600000003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494</v>
      </c>
      <c r="M38" s="166"/>
      <c r="N38" s="163">
        <v>8.3000000000000007</v>
      </c>
      <c r="O38" s="166"/>
      <c r="P38" s="167">
        <v>15.04</v>
      </c>
      <c r="Q38" s="168">
        <f>LEFT(H38,(FIND("K",H38,1)-1))*J38/100</f>
        <v>62.7</v>
      </c>
      <c r="R38" s="169">
        <v>16.07</v>
      </c>
      <c r="S38" s="168">
        <v>24.683</v>
      </c>
      <c r="T38" s="168">
        <v>605</v>
      </c>
      <c r="U38" s="168">
        <f t="shared" si="7"/>
        <v>37.647790914747979</v>
      </c>
      <c r="V38" s="169">
        <f t="shared" si="8"/>
        <v>34.894461775310944</v>
      </c>
      <c r="W38" s="170">
        <v>0.4</v>
      </c>
      <c r="X38" s="171">
        <f t="shared" si="1"/>
        <v>0.39366826156299839</v>
      </c>
      <c r="Y38" s="171">
        <f t="shared" si="12"/>
        <v>15.256858000000001</v>
      </c>
      <c r="Z38" s="171">
        <f t="shared" si="12"/>
        <v>23.434040200000002</v>
      </c>
      <c r="AA38" s="171">
        <f t="shared" si="12"/>
        <v>574.38700000000006</v>
      </c>
      <c r="AB38" s="171">
        <f t="shared" si="5"/>
        <v>37.647790914747979</v>
      </c>
      <c r="AC38" s="171">
        <f t="shared" si="3"/>
        <v>34.894461775310944</v>
      </c>
      <c r="AD38" s="163">
        <v>30</v>
      </c>
      <c r="AE38" s="171">
        <f t="shared" si="6"/>
        <v>457.70574000000005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549.65</v>
      </c>
      <c r="J39" s="163">
        <v>100</v>
      </c>
      <c r="K39" s="163"/>
      <c r="L39" s="163">
        <v>457</v>
      </c>
      <c r="M39" s="166"/>
      <c r="N39" s="163">
        <v>15.8</v>
      </c>
      <c r="O39" s="166"/>
      <c r="P39" s="182">
        <v>24.9</v>
      </c>
      <c r="Q39" s="171">
        <f t="shared" ref="Q39:Q71" si="13">LEFT(H39,(FIND("K",H39,1)-1))*J39/100</f>
        <v>8</v>
      </c>
      <c r="R39" s="170">
        <v>6.6420000000000003</v>
      </c>
      <c r="S39" s="168">
        <v>7.4450000000000003</v>
      </c>
      <c r="T39" s="171">
        <v>24</v>
      </c>
      <c r="U39" s="171">
        <f t="shared" si="7"/>
        <v>3.6133694670280034</v>
      </c>
      <c r="V39" s="169">
        <f t="shared" si="8"/>
        <v>10.785762256548018</v>
      </c>
      <c r="W39" s="170">
        <v>0.6</v>
      </c>
      <c r="X39" s="171">
        <f t="shared" si="1"/>
        <v>0.93062500000000004</v>
      </c>
      <c r="Y39" s="171">
        <f t="shared" si="12"/>
        <v>6.3059148</v>
      </c>
      <c r="Z39" s="171">
        <f t="shared" si="12"/>
        <v>7.0682830000000001</v>
      </c>
      <c r="AA39" s="171">
        <f t="shared" si="12"/>
        <v>22.785600000000002</v>
      </c>
      <c r="AB39" s="171">
        <f t="shared" si="5"/>
        <v>3.6133694670280034</v>
      </c>
      <c r="AC39" s="171">
        <f t="shared" si="3"/>
        <v>10.785762256548018</v>
      </c>
      <c r="AD39" s="163">
        <v>30</v>
      </c>
      <c r="AE39" s="171">
        <f t="shared" si="6"/>
        <v>189.17744400000001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439</v>
      </c>
      <c r="M40" s="159"/>
      <c r="N40" s="163">
        <v>6.9</v>
      </c>
      <c r="O40" s="159"/>
      <c r="P40" s="160">
        <v>17.18</v>
      </c>
      <c r="Q40" s="171">
        <f t="shared" si="13"/>
        <v>25.3</v>
      </c>
      <c r="R40" s="170">
        <v>7.3410000000000002</v>
      </c>
      <c r="S40" s="168">
        <v>11.153</v>
      </c>
      <c r="T40" s="174">
        <v>473</v>
      </c>
      <c r="U40" s="171">
        <f t="shared" si="7"/>
        <v>64.432638605094667</v>
      </c>
      <c r="V40" s="169">
        <f t="shared" si="8"/>
        <v>34.179144624764639</v>
      </c>
      <c r="W40" s="170">
        <v>0.3</v>
      </c>
      <c r="X40" s="171">
        <f t="shared" si="1"/>
        <v>0.44083003952569172</v>
      </c>
      <c r="Y40" s="171">
        <f t="shared" si="12"/>
        <v>6.9695454000000003</v>
      </c>
      <c r="Z40" s="171">
        <f t="shared" si="12"/>
        <v>10.588658200000001</v>
      </c>
      <c r="AA40" s="171">
        <f t="shared" si="12"/>
        <v>449.06620000000004</v>
      </c>
      <c r="AB40" s="171">
        <f t="shared" si="5"/>
        <v>64.432638605094667</v>
      </c>
      <c r="AC40" s="171">
        <f t="shared" si="3"/>
        <v>34.179144624764639</v>
      </c>
      <c r="AD40" s="163">
        <v>30</v>
      </c>
      <c r="AE40" s="171">
        <f t="shared" si="6"/>
        <v>209.08636200000001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55</v>
      </c>
      <c r="L41" s="163"/>
      <c r="M41" s="159">
        <v>0.8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6" si="14">R41*0.949</f>
        <v>0</v>
      </c>
      <c r="Z41" s="171">
        <f t="shared" si="14"/>
        <v>0</v>
      </c>
      <c r="AA41" s="171">
        <f t="shared" si="14"/>
        <v>0</v>
      </c>
      <c r="AB41" s="171">
        <f t="shared" si="5"/>
        <v>0</v>
      </c>
      <c r="AC41" s="171">
        <f t="shared" si="3"/>
        <v>0</v>
      </c>
      <c r="AD41" s="163">
        <v>0</v>
      </c>
      <c r="AE41" s="171">
        <f t="shared" si="6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214</v>
      </c>
      <c r="M42" s="159"/>
      <c r="N42" s="163">
        <v>4</v>
      </c>
      <c r="O42" s="159"/>
      <c r="P42" s="160">
        <v>40.4</v>
      </c>
      <c r="Q42" s="171">
        <f t="shared" si="13"/>
        <v>5.0999999999999996</v>
      </c>
      <c r="R42" s="170">
        <v>2.492</v>
      </c>
      <c r="S42" s="168">
        <v>3.806</v>
      </c>
      <c r="T42" s="174">
        <v>1</v>
      </c>
      <c r="U42" s="171">
        <f>T42/R42</f>
        <v>0.4012841091492777</v>
      </c>
      <c r="V42" s="169">
        <f t="shared" si="8"/>
        <v>34.524435102469788</v>
      </c>
      <c r="W42" s="170">
        <v>1</v>
      </c>
      <c r="X42" s="171">
        <f t="shared" si="1"/>
        <v>0.74627450980392163</v>
      </c>
      <c r="Y42" s="171">
        <f t="shared" ref="Y42:AA45" si="15">R42*0.9494</f>
        <v>2.3659048</v>
      </c>
      <c r="Z42" s="171">
        <f t="shared" si="15"/>
        <v>3.6134164000000002</v>
      </c>
      <c r="AA42" s="171">
        <f t="shared" si="15"/>
        <v>0.94940000000000002</v>
      </c>
      <c r="AB42" s="171">
        <f t="shared" si="5"/>
        <v>0.4012841091492777</v>
      </c>
      <c r="AC42" s="171">
        <f t="shared" si="3"/>
        <v>34.524435102469788</v>
      </c>
      <c r="AD42" s="163">
        <v>30</v>
      </c>
      <c r="AE42" s="171">
        <f t="shared" si="6"/>
        <v>70.977143999999996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431</v>
      </c>
      <c r="M43" s="166"/>
      <c r="N43" s="163">
        <v>3.5</v>
      </c>
      <c r="O43" s="166"/>
      <c r="P43" s="182">
        <v>15.49</v>
      </c>
      <c r="Q43" s="171">
        <f t="shared" si="13"/>
        <v>11.05</v>
      </c>
      <c r="R43" s="170">
        <v>2.399</v>
      </c>
      <c r="S43" s="168">
        <v>3.3170000000000002</v>
      </c>
      <c r="T43" s="171">
        <v>4.5999999999999996</v>
      </c>
      <c r="U43" s="171">
        <f t="shared" si="7"/>
        <v>1.9174656106711128</v>
      </c>
      <c r="V43" s="169">
        <f t="shared" si="8"/>
        <v>27.675610491407905</v>
      </c>
      <c r="W43" s="170">
        <v>0.7</v>
      </c>
      <c r="X43" s="171">
        <f t="shared" si="1"/>
        <v>0.30018099547511312</v>
      </c>
      <c r="Y43" s="171">
        <f t="shared" si="15"/>
        <v>2.2776106</v>
      </c>
      <c r="Z43" s="171">
        <f t="shared" si="15"/>
        <v>3.1491598000000001</v>
      </c>
      <c r="AA43" s="171">
        <f t="shared" si="15"/>
        <v>4.3672399999999998</v>
      </c>
      <c r="AB43" s="171">
        <f>U43</f>
        <v>1.9174656106711128</v>
      </c>
      <c r="AC43" s="171">
        <f t="shared" si="3"/>
        <v>27.675610491407905</v>
      </c>
      <c r="AD43" s="163">
        <v>30</v>
      </c>
      <c r="AE43" s="171">
        <f t="shared" si="6"/>
        <v>68.328317999999996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565.79999999999995</v>
      </c>
      <c r="J44" s="163">
        <v>125</v>
      </c>
      <c r="K44" s="163"/>
      <c r="L44" s="163">
        <v>253</v>
      </c>
      <c r="M44" s="166"/>
      <c r="N44" s="182">
        <v>3.5</v>
      </c>
      <c r="O44" s="166"/>
      <c r="P44" s="182">
        <v>33.19</v>
      </c>
      <c r="Q44" s="171">
        <f t="shared" si="13"/>
        <v>7.5</v>
      </c>
      <c r="R44" s="170">
        <v>3.81</v>
      </c>
      <c r="S44" s="168">
        <v>5.6989999999999998</v>
      </c>
      <c r="T44" s="171">
        <v>0.8</v>
      </c>
      <c r="U44" s="171">
        <f t="shared" si="7"/>
        <v>0.20997375328083989</v>
      </c>
      <c r="V44" s="169">
        <f t="shared" si="8"/>
        <v>33.146165994034035</v>
      </c>
      <c r="W44" s="170">
        <v>1.8</v>
      </c>
      <c r="X44" s="171">
        <f t="shared" si="1"/>
        <v>0.75986666666666669</v>
      </c>
      <c r="Y44" s="171">
        <f t="shared" si="15"/>
        <v>3.6172140000000002</v>
      </c>
      <c r="Z44" s="171">
        <f t="shared" si="15"/>
        <v>5.4106306000000002</v>
      </c>
      <c r="AA44" s="171">
        <f t="shared" si="15"/>
        <v>0.75952000000000008</v>
      </c>
      <c r="AB44" s="171">
        <f>U44</f>
        <v>0.20997375328083989</v>
      </c>
      <c r="AC44" s="171">
        <f t="shared" si="3"/>
        <v>33.146165994034035</v>
      </c>
      <c r="AD44" s="163">
        <v>30</v>
      </c>
      <c r="AE44" s="171">
        <f t="shared" si="6"/>
        <v>108.51642000000001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445</v>
      </c>
      <c r="M45" s="166"/>
      <c r="N45" s="163">
        <v>7</v>
      </c>
      <c r="O45" s="166"/>
      <c r="P45" s="167">
        <v>17.04</v>
      </c>
      <c r="Q45" s="168">
        <f t="shared" si="13"/>
        <v>13</v>
      </c>
      <c r="R45" s="169">
        <v>5.9930000000000003</v>
      </c>
      <c r="S45" s="168">
        <v>7.9480000000000004</v>
      </c>
      <c r="T45" s="168">
        <v>166</v>
      </c>
      <c r="U45" s="168">
        <f t="shared" si="7"/>
        <v>27.698982145836808</v>
      </c>
      <c r="V45" s="169">
        <f t="shared" si="8"/>
        <v>24.597382989431303</v>
      </c>
      <c r="W45" s="170">
        <v>0.4</v>
      </c>
      <c r="X45" s="171">
        <f t="shared" si="1"/>
        <v>0.61138461538461542</v>
      </c>
      <c r="Y45" s="171">
        <f t="shared" si="15"/>
        <v>5.6897542000000003</v>
      </c>
      <c r="Z45" s="171">
        <f t="shared" si="15"/>
        <v>7.5458312000000003</v>
      </c>
      <c r="AA45" s="171">
        <f t="shared" si="15"/>
        <v>157.60040000000001</v>
      </c>
      <c r="AB45" s="171">
        <f t="shared" si="5"/>
        <v>27.698982145836808</v>
      </c>
      <c r="AC45" s="171">
        <f t="shared" si="3"/>
        <v>24.597382989431303</v>
      </c>
      <c r="AD45" s="163">
        <v>30</v>
      </c>
      <c r="AE45" s="171">
        <f t="shared" si="6"/>
        <v>170.69262600000002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495</v>
      </c>
      <c r="L46" s="163"/>
      <c r="M46" s="166">
        <v>20.2</v>
      </c>
      <c r="N46" s="163">
        <v>0</v>
      </c>
      <c r="O46" s="166"/>
      <c r="P46" s="167">
        <v>0</v>
      </c>
      <c r="Q46" s="168">
        <f t="shared" si="13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14"/>
        <v>0</v>
      </c>
      <c r="Z46" s="171">
        <f t="shared" si="14"/>
        <v>0</v>
      </c>
      <c r="AA46" s="171">
        <f t="shared" si="14"/>
        <v>0</v>
      </c>
      <c r="AB46" s="171">
        <f t="shared" si="5"/>
        <v>0</v>
      </c>
      <c r="AC46" s="171">
        <f t="shared" si="3"/>
        <v>0</v>
      </c>
      <c r="AD46" s="163">
        <v>0</v>
      </c>
      <c r="AE46" s="171">
        <f t="shared" si="6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433</v>
      </c>
      <c r="M47" s="166"/>
      <c r="N47" s="163">
        <v>7.3</v>
      </c>
      <c r="O47" s="166"/>
      <c r="P47" s="167">
        <v>20.59</v>
      </c>
      <c r="Q47" s="168">
        <f t="shared" si="13"/>
        <v>13</v>
      </c>
      <c r="R47" s="169">
        <v>1.8069999999999999</v>
      </c>
      <c r="S47" s="168">
        <v>7.601</v>
      </c>
      <c r="T47" s="168">
        <v>31</v>
      </c>
      <c r="U47" s="168">
        <f>T47/R47</f>
        <v>17.155506364139459</v>
      </c>
      <c r="V47" s="169">
        <f t="shared" si="8"/>
        <v>76.226812261544538</v>
      </c>
      <c r="W47" s="170">
        <v>0.4</v>
      </c>
      <c r="X47" s="171">
        <f t="shared" ref="X47:X54" si="16">S47/Q47</f>
        <v>0.58469230769230773</v>
      </c>
      <c r="Y47" s="171">
        <f t="shared" ref="Y47:AA54" si="17">R47*0.9494</f>
        <v>1.7155658</v>
      </c>
      <c r="Z47" s="171">
        <f t="shared" si="17"/>
        <v>7.2163893999999997</v>
      </c>
      <c r="AA47" s="171">
        <f t="shared" si="17"/>
        <v>29.4314</v>
      </c>
      <c r="AB47" s="171">
        <f t="shared" si="5"/>
        <v>17.155506364139459</v>
      </c>
      <c r="AC47" s="171">
        <f t="shared" si="3"/>
        <v>76.226812261544538</v>
      </c>
      <c r="AD47" s="163">
        <v>30</v>
      </c>
      <c r="AE47" s="171">
        <f t="shared" si="6"/>
        <v>51.466974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265</v>
      </c>
      <c r="K48" s="163"/>
      <c r="L48" s="166">
        <v>451</v>
      </c>
      <c r="M48" s="166"/>
      <c r="N48" s="163">
        <v>6.8</v>
      </c>
      <c r="O48" s="166"/>
      <c r="P48" s="167">
        <v>18.25</v>
      </c>
      <c r="Q48" s="168">
        <f t="shared" si="13"/>
        <v>15.9</v>
      </c>
      <c r="R48" s="169">
        <v>2.9430000000000001</v>
      </c>
      <c r="S48" s="168">
        <v>5.4080000000000004</v>
      </c>
      <c r="T48" s="168">
        <v>0.7</v>
      </c>
      <c r="U48" s="168">
        <f t="shared" ref="U48:U56" si="18">T48/R48</f>
        <v>0.23785253143051308</v>
      </c>
      <c r="V48" s="169">
        <f t="shared" si="8"/>
        <v>45.580621301775146</v>
      </c>
      <c r="W48" s="170">
        <v>0.9</v>
      </c>
      <c r="X48" s="171">
        <f t="shared" si="16"/>
        <v>0.34012578616352201</v>
      </c>
      <c r="Y48" s="171">
        <f t="shared" si="17"/>
        <v>2.7940841999999999</v>
      </c>
      <c r="Z48" s="171">
        <f t="shared" si="17"/>
        <v>5.1343552000000008</v>
      </c>
      <c r="AA48" s="171">
        <f t="shared" si="17"/>
        <v>0.66457999999999995</v>
      </c>
      <c r="AB48" s="171">
        <f t="shared" si="5"/>
        <v>0.23785253143051308</v>
      </c>
      <c r="AC48" s="171">
        <f t="shared" si="3"/>
        <v>45.580621301775146</v>
      </c>
      <c r="AD48" s="163">
        <v>30</v>
      </c>
      <c r="AE48" s="171">
        <f t="shared" si="6"/>
        <v>83.822525999999996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69</v>
      </c>
      <c r="M49" s="166"/>
      <c r="N49" s="163">
        <v>2.8</v>
      </c>
      <c r="O49" s="166"/>
      <c r="P49" s="167">
        <v>52.19</v>
      </c>
      <c r="Q49" s="168">
        <f t="shared" si="13"/>
        <v>11.05</v>
      </c>
      <c r="R49" s="169">
        <v>0</v>
      </c>
      <c r="S49" s="168">
        <v>6.9720000000000004</v>
      </c>
      <c r="T49" s="168">
        <v>0</v>
      </c>
      <c r="U49" s="168" t="e">
        <f t="shared" si="18"/>
        <v>#DIV/0!</v>
      </c>
      <c r="V49" s="169">
        <f t="shared" si="8"/>
        <v>100</v>
      </c>
      <c r="W49" s="170">
        <v>0</v>
      </c>
      <c r="X49" s="171">
        <f t="shared" si="16"/>
        <v>0.63095022624434394</v>
      </c>
      <c r="Y49" s="171">
        <f t="shared" si="17"/>
        <v>0</v>
      </c>
      <c r="Z49" s="171">
        <f t="shared" si="17"/>
        <v>6.6192168000000002</v>
      </c>
      <c r="AA49" s="171">
        <f t="shared" si="17"/>
        <v>0</v>
      </c>
      <c r="AB49" s="171" t="e">
        <f t="shared" si="5"/>
        <v>#DIV/0!</v>
      </c>
      <c r="AC49" s="171">
        <f t="shared" si="3"/>
        <v>100</v>
      </c>
      <c r="AD49" s="163">
        <v>30</v>
      </c>
      <c r="AE49" s="171">
        <f t="shared" si="6"/>
        <v>0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286</v>
      </c>
      <c r="F50" s="163">
        <v>177.8</v>
      </c>
      <c r="G50" s="194" t="s">
        <v>28</v>
      </c>
      <c r="H50" s="195" t="s">
        <v>291</v>
      </c>
      <c r="I50" s="196">
        <v>565.80999999999995</v>
      </c>
      <c r="J50" s="194">
        <v>260</v>
      </c>
      <c r="K50" s="194"/>
      <c r="L50" s="197">
        <v>433</v>
      </c>
      <c r="M50" s="197"/>
      <c r="N50" s="163">
        <v>3.5</v>
      </c>
      <c r="O50" s="197"/>
      <c r="P50" s="198">
        <v>16.489999999999998</v>
      </c>
      <c r="Q50" s="199">
        <f t="shared" si="13"/>
        <v>7.8</v>
      </c>
      <c r="R50" s="200">
        <v>3.99</v>
      </c>
      <c r="S50" s="168">
        <v>4.1539999999999999</v>
      </c>
      <c r="T50" s="199">
        <v>1.7</v>
      </c>
      <c r="U50" s="168">
        <f t="shared" si="18"/>
        <v>0.42606516290726815</v>
      </c>
      <c r="V50" s="169">
        <f t="shared" si="8"/>
        <v>3.9480019258545913</v>
      </c>
      <c r="W50" s="201">
        <v>1</v>
      </c>
      <c r="X50" s="171">
        <f t="shared" si="16"/>
        <v>0.53256410256410258</v>
      </c>
      <c r="Y50" s="171">
        <f t="shared" si="17"/>
        <v>3.7881060000000004</v>
      </c>
      <c r="Z50" s="171">
        <f t="shared" si="17"/>
        <v>3.9438076</v>
      </c>
      <c r="AA50" s="171">
        <f t="shared" si="17"/>
        <v>1.61398</v>
      </c>
      <c r="AB50" s="202">
        <f t="shared" si="5"/>
        <v>0.42606516290726815</v>
      </c>
      <c r="AC50" s="171">
        <f t="shared" si="3"/>
        <v>3.9480019258545913</v>
      </c>
      <c r="AD50" s="163">
        <v>30</v>
      </c>
      <c r="AE50" s="202">
        <f t="shared" si="6"/>
        <v>113.64318000000002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160</v>
      </c>
      <c r="K51" s="163"/>
      <c r="L51" s="166">
        <v>402</v>
      </c>
      <c r="M51" s="166"/>
      <c r="N51" s="163">
        <v>0.9</v>
      </c>
      <c r="O51" s="166"/>
      <c r="P51" s="167">
        <v>16.88</v>
      </c>
      <c r="Q51" s="199">
        <f t="shared" si="13"/>
        <v>20.8</v>
      </c>
      <c r="R51" s="169">
        <v>2.073</v>
      </c>
      <c r="S51" s="168">
        <v>3.0230000000000001</v>
      </c>
      <c r="T51" s="168">
        <v>1.2</v>
      </c>
      <c r="U51" s="168">
        <f t="shared" si="18"/>
        <v>0.57887120115774238</v>
      </c>
      <c r="V51" s="169">
        <f t="shared" si="8"/>
        <v>31.425736023817404</v>
      </c>
      <c r="W51" s="170">
        <v>0.5</v>
      </c>
      <c r="X51" s="171">
        <f t="shared" si="16"/>
        <v>0.14533653846153846</v>
      </c>
      <c r="Y51" s="171">
        <f t="shared" si="17"/>
        <v>1.9681062</v>
      </c>
      <c r="Z51" s="171">
        <f t="shared" si="17"/>
        <v>2.8700362000000004</v>
      </c>
      <c r="AA51" s="171">
        <f t="shared" si="17"/>
        <v>1.1392800000000001</v>
      </c>
      <c r="AB51" s="171">
        <f t="shared" si="5"/>
        <v>0.57887120115774238</v>
      </c>
      <c r="AC51" s="171">
        <f t="shared" si="3"/>
        <v>31.425736023817404</v>
      </c>
      <c r="AD51" s="163">
        <v>30</v>
      </c>
      <c r="AE51" s="171">
        <f t="shared" si="6"/>
        <v>59.043185999999999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285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105</v>
      </c>
      <c r="K52" s="163"/>
      <c r="L52" s="166">
        <v>413</v>
      </c>
      <c r="M52" s="166"/>
      <c r="N52" s="163">
        <v>1.5</v>
      </c>
      <c r="O52" s="166"/>
      <c r="P52" s="167">
        <v>16.71</v>
      </c>
      <c r="Q52" s="168">
        <f t="shared" si="13"/>
        <v>13.65</v>
      </c>
      <c r="R52" s="169">
        <v>3.8149999999999999</v>
      </c>
      <c r="S52" s="168">
        <v>4.3250000000000002</v>
      </c>
      <c r="T52" s="168">
        <v>3.6</v>
      </c>
      <c r="U52" s="168">
        <f t="shared" si="18"/>
        <v>0.94364351245085198</v>
      </c>
      <c r="V52" s="169">
        <f t="shared" si="8"/>
        <v>11.791907514450873</v>
      </c>
      <c r="W52" s="170">
        <v>1</v>
      </c>
      <c r="X52" s="171">
        <f t="shared" si="16"/>
        <v>0.31684981684981683</v>
      </c>
      <c r="Y52" s="171">
        <f t="shared" si="17"/>
        <v>3.6219610000000002</v>
      </c>
      <c r="Z52" s="171">
        <f t="shared" si="17"/>
        <v>4.1061550000000002</v>
      </c>
      <c r="AA52" s="171">
        <f t="shared" si="17"/>
        <v>3.41784</v>
      </c>
      <c r="AB52" s="171">
        <f t="shared" si="5"/>
        <v>0.94364351245085198</v>
      </c>
      <c r="AC52" s="171">
        <f t="shared" si="3"/>
        <v>11.791907514450873</v>
      </c>
      <c r="AD52" s="163">
        <v>30</v>
      </c>
      <c r="AE52" s="171">
        <f t="shared" si="6"/>
        <v>108.65883000000001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72</v>
      </c>
      <c r="M53" s="166"/>
      <c r="N53" s="163">
        <v>0.7</v>
      </c>
      <c r="O53" s="166"/>
      <c r="P53" s="167">
        <v>48.85</v>
      </c>
      <c r="Q53" s="168">
        <f t="shared" si="13"/>
        <v>7.2</v>
      </c>
      <c r="R53" s="169">
        <v>0.28699999999999998</v>
      </c>
      <c r="S53" s="168">
        <v>0.58599999999999997</v>
      </c>
      <c r="T53" s="168">
        <v>0.6</v>
      </c>
      <c r="U53" s="168">
        <f t="shared" si="18"/>
        <v>2.0905923344947737</v>
      </c>
      <c r="V53" s="169">
        <f t="shared" si="8"/>
        <v>51.023890784982939</v>
      </c>
      <c r="W53" s="170">
        <v>0.7</v>
      </c>
      <c r="X53" s="171">
        <f t="shared" si="16"/>
        <v>8.1388888888888886E-2</v>
      </c>
      <c r="Y53" s="171">
        <f t="shared" si="17"/>
        <v>0.27247779999999999</v>
      </c>
      <c r="Z53" s="171">
        <f t="shared" si="17"/>
        <v>0.55634839999999997</v>
      </c>
      <c r="AA53" s="171">
        <f t="shared" si="17"/>
        <v>0.56964000000000004</v>
      </c>
      <c r="AB53" s="171">
        <f t="shared" si="5"/>
        <v>2.0905923344947737</v>
      </c>
      <c r="AC53" s="171">
        <f t="shared" si="3"/>
        <v>51.023890784982939</v>
      </c>
      <c r="AD53" s="163">
        <v>30</v>
      </c>
      <c r="AE53" s="171">
        <f t="shared" si="6"/>
        <v>8.174334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556.65</v>
      </c>
      <c r="J54" s="163">
        <v>75</v>
      </c>
      <c r="K54" s="163"/>
      <c r="L54" s="163">
        <v>202</v>
      </c>
      <c r="M54" s="163"/>
      <c r="N54" s="163">
        <v>7.1</v>
      </c>
      <c r="O54" s="163"/>
      <c r="P54" s="182">
        <v>43.5</v>
      </c>
      <c r="Q54" s="171">
        <f t="shared" si="13"/>
        <v>16.5</v>
      </c>
      <c r="R54" s="170">
        <v>0.74099999999999999</v>
      </c>
      <c r="S54" s="168">
        <v>6.6779999999999999</v>
      </c>
      <c r="T54" s="171">
        <v>17</v>
      </c>
      <c r="U54" s="168">
        <f t="shared" si="18"/>
        <v>22.941970310391362</v>
      </c>
      <c r="V54" s="169">
        <f t="shared" si="8"/>
        <v>88.903863432165323</v>
      </c>
      <c r="W54" s="170">
        <v>0.6</v>
      </c>
      <c r="X54" s="171">
        <f t="shared" si="16"/>
        <v>0.40472727272727271</v>
      </c>
      <c r="Y54" s="171">
        <f t="shared" si="17"/>
        <v>0.70350540000000006</v>
      </c>
      <c r="Z54" s="171">
        <f t="shared" si="17"/>
        <v>6.3400932000000001</v>
      </c>
      <c r="AA54" s="171">
        <f t="shared" si="17"/>
        <v>16.139800000000001</v>
      </c>
      <c r="AB54" s="171">
        <f t="shared" si="5"/>
        <v>22.941970310391362</v>
      </c>
      <c r="AC54" s="171">
        <f t="shared" si="3"/>
        <v>88.903863432165323</v>
      </c>
      <c r="AD54" s="163">
        <v>30</v>
      </c>
      <c r="AE54" s="171">
        <f t="shared" si="6"/>
        <v>21.105162</v>
      </c>
      <c r="AF54" s="343"/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529.41</v>
      </c>
      <c r="J55" s="163">
        <v>0</v>
      </c>
      <c r="K55" s="163">
        <v>282</v>
      </c>
      <c r="L55" s="163"/>
      <c r="M55" s="163">
        <v>0.2</v>
      </c>
      <c r="N55" s="163"/>
      <c r="O55" s="163"/>
      <c r="P55" s="182">
        <v>0</v>
      </c>
      <c r="Q55" s="171">
        <f t="shared" si="13"/>
        <v>0</v>
      </c>
      <c r="R55" s="170">
        <v>0</v>
      </c>
      <c r="S55" s="168">
        <v>0</v>
      </c>
      <c r="T55" s="171">
        <v>0</v>
      </c>
      <c r="U55" s="168">
        <f>IF(R55=0,0,T55/R55)</f>
        <v>0</v>
      </c>
      <c r="V55" s="169">
        <v>0</v>
      </c>
      <c r="W55" s="170">
        <v>0</v>
      </c>
      <c r="X55" s="171">
        <v>0</v>
      </c>
      <c r="Y55" s="171">
        <f t="shared" ref="Y55:AA56" si="19">R55</f>
        <v>0</v>
      </c>
      <c r="Z55" s="171">
        <f t="shared" si="19"/>
        <v>0</v>
      </c>
      <c r="AA55" s="171">
        <f t="shared" si="19"/>
        <v>0</v>
      </c>
      <c r="AB55" s="171">
        <f t="shared" si="5"/>
        <v>0</v>
      </c>
      <c r="AC55" s="171">
        <f t="shared" si="3"/>
        <v>0</v>
      </c>
      <c r="AD55" s="163">
        <v>0</v>
      </c>
      <c r="AE55" s="171">
        <f t="shared" si="6"/>
        <v>0</v>
      </c>
      <c r="AF55" s="172" t="s">
        <v>215</v>
      </c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445</v>
      </c>
      <c r="M56" s="163"/>
      <c r="N56" s="163">
        <v>8</v>
      </c>
      <c r="O56" s="163"/>
      <c r="P56" s="182">
        <v>20.36</v>
      </c>
      <c r="Q56" s="171">
        <f t="shared" si="13"/>
        <v>18.7</v>
      </c>
      <c r="R56" s="170">
        <v>0.99099999999999999</v>
      </c>
      <c r="S56" s="168">
        <v>8.6159999999999997</v>
      </c>
      <c r="T56" s="171">
        <v>89</v>
      </c>
      <c r="U56" s="171">
        <f t="shared" si="18"/>
        <v>89.808274470232092</v>
      </c>
      <c r="V56" s="169">
        <f t="shared" si="8"/>
        <v>88.498142989786444</v>
      </c>
      <c r="W56" s="170">
        <v>0.2</v>
      </c>
      <c r="X56" s="171">
        <f>S56/Q56</f>
        <v>0.46074866310160428</v>
      </c>
      <c r="Y56" s="171">
        <f t="shared" si="19"/>
        <v>0.99099999999999999</v>
      </c>
      <c r="Z56" s="171">
        <f t="shared" si="19"/>
        <v>8.6159999999999997</v>
      </c>
      <c r="AA56" s="171">
        <f t="shared" si="19"/>
        <v>89</v>
      </c>
      <c r="AB56" s="171">
        <f t="shared" si="5"/>
        <v>89.808274470232092</v>
      </c>
      <c r="AC56" s="171">
        <f t="shared" si="3"/>
        <v>88.498142989786444</v>
      </c>
      <c r="AD56" s="163">
        <v>30</v>
      </c>
      <c r="AE56" s="171">
        <f t="shared" si="6"/>
        <v>29.73</v>
      </c>
      <c r="AF56" s="179"/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445</v>
      </c>
      <c r="M57" s="158"/>
      <c r="N57" s="163">
        <v>7.7</v>
      </c>
      <c r="O57" s="158"/>
      <c r="P57" s="160">
        <v>17.989999999999998</v>
      </c>
      <c r="Q57" s="171">
        <f t="shared" si="13"/>
        <v>33</v>
      </c>
      <c r="R57" s="170">
        <v>10.89</v>
      </c>
      <c r="S57" s="168">
        <v>12.993</v>
      </c>
      <c r="T57" s="174">
        <v>606</v>
      </c>
      <c r="U57" s="171">
        <f>T57/R57</f>
        <v>55.647382920110189</v>
      </c>
      <c r="V57" s="169">
        <f t="shared" si="8"/>
        <v>16.185638420688061</v>
      </c>
      <c r="W57" s="170">
        <v>0.6</v>
      </c>
      <c r="X57" s="171">
        <f t="shared" ref="X57:X73" si="20">S57/Q57</f>
        <v>0.39372727272727276</v>
      </c>
      <c r="Y57" s="171">
        <f t="shared" ref="Y57:AA57" si="21">R57*0.9494</f>
        <v>10.338966000000001</v>
      </c>
      <c r="Z57" s="171">
        <f t="shared" si="21"/>
        <v>12.335554200000001</v>
      </c>
      <c r="AA57" s="171">
        <f t="shared" si="21"/>
        <v>575.33640000000003</v>
      </c>
      <c r="AB57" s="171">
        <f t="shared" si="5"/>
        <v>55.647382920110189</v>
      </c>
      <c r="AC57" s="171">
        <f t="shared" si="3"/>
        <v>16.185638420688061</v>
      </c>
      <c r="AD57" s="163">
        <v>30</v>
      </c>
      <c r="AE57" s="171">
        <f>Y57*AD57</f>
        <v>310.16898000000003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478</v>
      </c>
      <c r="L58" s="163"/>
      <c r="M58" s="158">
        <v>40.9</v>
      </c>
      <c r="N58" s="163"/>
      <c r="O58" s="158"/>
      <c r="P58" s="160">
        <v>0</v>
      </c>
      <c r="Q58" s="171">
        <f t="shared" si="13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>R58</f>
        <v>0</v>
      </c>
      <c r="Z58" s="171">
        <f>S58</f>
        <v>0</v>
      </c>
      <c r="AA58" s="171">
        <f>T58</f>
        <v>0</v>
      </c>
      <c r="AB58" s="171">
        <f t="shared" si="5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85</v>
      </c>
      <c r="K59" s="158"/>
      <c r="L59" s="158">
        <v>437</v>
      </c>
      <c r="M59" s="158"/>
      <c r="N59" s="163">
        <v>4.5999999999999996</v>
      </c>
      <c r="O59" s="158"/>
      <c r="P59" s="182">
        <v>17.649999999999999</v>
      </c>
      <c r="Q59" s="171">
        <f t="shared" si="13"/>
        <v>11.05</v>
      </c>
      <c r="R59" s="170">
        <v>3.6579999999999999</v>
      </c>
      <c r="S59" s="168">
        <v>4.149</v>
      </c>
      <c r="T59" s="171">
        <v>11</v>
      </c>
      <c r="U59" s="171">
        <f>T59/R59</f>
        <v>3.0071077091306724</v>
      </c>
      <c r="V59" s="169">
        <f t="shared" si="8"/>
        <v>11.834176910098822</v>
      </c>
      <c r="W59" s="170">
        <v>1</v>
      </c>
      <c r="X59" s="171">
        <f t="shared" si="20"/>
        <v>0.37547511312217191</v>
      </c>
      <c r="Y59" s="171">
        <f t="shared" ref="Y59:AA64" si="22">R59*0.9494</f>
        <v>3.4729052</v>
      </c>
      <c r="Z59" s="171">
        <f t="shared" si="22"/>
        <v>3.9390605999999999</v>
      </c>
      <c r="AA59" s="171">
        <f t="shared" si="22"/>
        <v>10.4434</v>
      </c>
      <c r="AB59" s="171">
        <f t="shared" si="5"/>
        <v>3.0071077091306724</v>
      </c>
      <c r="AC59" s="171">
        <f t="shared" si="3"/>
        <v>11.834176910098822</v>
      </c>
      <c r="AD59" s="163">
        <v>30</v>
      </c>
      <c r="AE59" s="171">
        <f t="shared" ref="AE59:AE71" si="23">Y59*AD59</f>
        <v>104.187156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52</v>
      </c>
      <c r="I60" s="158">
        <v>593</v>
      </c>
      <c r="J60" s="163">
        <v>85</v>
      </c>
      <c r="K60" s="163"/>
      <c r="L60" s="163">
        <v>317</v>
      </c>
      <c r="M60" s="163"/>
      <c r="N60" s="163">
        <v>8.9</v>
      </c>
      <c r="O60" s="163"/>
      <c r="P60" s="182">
        <v>31.1</v>
      </c>
      <c r="Q60" s="171">
        <f t="shared" si="13"/>
        <v>18.7</v>
      </c>
      <c r="R60" s="170">
        <v>10.212</v>
      </c>
      <c r="S60" s="168">
        <v>15.667</v>
      </c>
      <c r="T60" s="171">
        <v>88</v>
      </c>
      <c r="U60" s="171">
        <f>T60/R60</f>
        <v>8.6173129651390514</v>
      </c>
      <c r="V60" s="169">
        <f t="shared" si="8"/>
        <v>34.818408118976194</v>
      </c>
      <c r="W60" s="170">
        <v>0.3</v>
      </c>
      <c r="X60" s="171">
        <f t="shared" si="20"/>
        <v>0.83780748663101612</v>
      </c>
      <c r="Y60" s="171">
        <f t="shared" si="22"/>
        <v>9.6952727999999997</v>
      </c>
      <c r="Z60" s="171">
        <f t="shared" si="22"/>
        <v>14.874249799999999</v>
      </c>
      <c r="AA60" s="171">
        <f t="shared" si="22"/>
        <v>83.547200000000004</v>
      </c>
      <c r="AB60" s="171">
        <f t="shared" si="5"/>
        <v>8.6173129651390514</v>
      </c>
      <c r="AC60" s="171">
        <v>67</v>
      </c>
      <c r="AD60" s="163">
        <v>30</v>
      </c>
      <c r="AE60" s="171">
        <f t="shared" si="23"/>
        <v>290.85818399999999</v>
      </c>
      <c r="AF60" s="190"/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360</v>
      </c>
      <c r="K61" s="163"/>
      <c r="L61" s="163">
        <v>407</v>
      </c>
      <c r="M61" s="163"/>
      <c r="N61" s="163">
        <v>8.1</v>
      </c>
      <c r="O61" s="163"/>
      <c r="P61" s="182">
        <v>21.86</v>
      </c>
      <c r="Q61" s="171">
        <f t="shared" si="13"/>
        <v>115.2</v>
      </c>
      <c r="R61" s="170">
        <v>15.974</v>
      </c>
      <c r="S61" s="168">
        <v>19.463999999999999</v>
      </c>
      <c r="T61" s="171">
        <v>2091</v>
      </c>
      <c r="U61" s="171">
        <f>T61/R61</f>
        <v>130.90021284587453</v>
      </c>
      <c r="V61" s="169">
        <f t="shared" si="8"/>
        <v>17.930538429921899</v>
      </c>
      <c r="W61" s="170">
        <v>0.6</v>
      </c>
      <c r="X61" s="171">
        <f t="shared" si="20"/>
        <v>0.16895833333333332</v>
      </c>
      <c r="Y61" s="171">
        <f t="shared" si="22"/>
        <v>15.1657156</v>
      </c>
      <c r="Z61" s="171">
        <f t="shared" si="22"/>
        <v>18.479121599999999</v>
      </c>
      <c r="AA61" s="171">
        <f t="shared" si="22"/>
        <v>1985.1954000000001</v>
      </c>
      <c r="AB61" s="171">
        <f t="shared" si="5"/>
        <v>130.90021284587453</v>
      </c>
      <c r="AC61" s="171">
        <f t="shared" si="3"/>
        <v>17.930538429921899</v>
      </c>
      <c r="AD61" s="163">
        <v>30</v>
      </c>
      <c r="AE61" s="171">
        <f t="shared" si="23"/>
        <v>454.97146800000002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447</v>
      </c>
      <c r="M62" s="163"/>
      <c r="N62" s="163">
        <v>8.1999999999999993</v>
      </c>
      <c r="O62" s="163"/>
      <c r="P62" s="182">
        <v>18.25</v>
      </c>
      <c r="Q62" s="171">
        <f t="shared" si="13"/>
        <v>34.1</v>
      </c>
      <c r="R62" s="170">
        <v>7.806</v>
      </c>
      <c r="S62" s="168">
        <v>10.337</v>
      </c>
      <c r="T62" s="171">
        <v>357</v>
      </c>
      <c r="U62" s="171">
        <f>T62/R62</f>
        <v>45.734050730207535</v>
      </c>
      <c r="V62" s="169">
        <f t="shared" si="8"/>
        <v>24.484860210892904</v>
      </c>
      <c r="W62" s="170">
        <v>0.4</v>
      </c>
      <c r="X62" s="171">
        <f t="shared" si="20"/>
        <v>0.30313782991202343</v>
      </c>
      <c r="Y62" s="171">
        <f t="shared" si="22"/>
        <v>7.4110164000000003</v>
      </c>
      <c r="Z62" s="171">
        <f t="shared" si="22"/>
        <v>9.8139477999999993</v>
      </c>
      <c r="AA62" s="171">
        <f t="shared" si="22"/>
        <v>338.93580000000003</v>
      </c>
      <c r="AB62" s="171">
        <f t="shared" si="5"/>
        <v>45.734050730207535</v>
      </c>
      <c r="AC62" s="171">
        <f t="shared" si="3"/>
        <v>24.484860210892904</v>
      </c>
      <c r="AD62" s="163">
        <v>30</v>
      </c>
      <c r="AE62" s="171">
        <f t="shared" si="23"/>
        <v>222.33049200000002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115</v>
      </c>
      <c r="K63" s="163"/>
      <c r="L63" s="163">
        <v>432</v>
      </c>
      <c r="M63" s="163"/>
      <c r="N63" s="163">
        <v>6.2</v>
      </c>
      <c r="O63" s="163"/>
      <c r="P63" s="182">
        <v>18.940000000000001</v>
      </c>
      <c r="Q63" s="171">
        <f t="shared" si="13"/>
        <v>25.3</v>
      </c>
      <c r="R63" s="170">
        <v>4.7439999999999998</v>
      </c>
      <c r="S63" s="168">
        <v>6.47</v>
      </c>
      <c r="T63" s="171">
        <v>50</v>
      </c>
      <c r="U63" s="171">
        <f>T63/R63</f>
        <v>10.539629005059023</v>
      </c>
      <c r="V63" s="169">
        <f t="shared" si="8"/>
        <v>26.676970633693976</v>
      </c>
      <c r="W63" s="170">
        <v>0.6</v>
      </c>
      <c r="X63" s="171">
        <f t="shared" si="20"/>
        <v>0.25573122529644265</v>
      </c>
      <c r="Y63" s="171">
        <f t="shared" si="22"/>
        <v>4.5039536</v>
      </c>
      <c r="Z63" s="171">
        <f t="shared" si="22"/>
        <v>6.1426179999999997</v>
      </c>
      <c r="AA63" s="171">
        <f t="shared" si="22"/>
        <v>47.47</v>
      </c>
      <c r="AB63" s="171">
        <f t="shared" si="5"/>
        <v>10.539629005059023</v>
      </c>
      <c r="AC63" s="171">
        <f t="shared" si="3"/>
        <v>26.676970633693976</v>
      </c>
      <c r="AD63" s="163">
        <v>30</v>
      </c>
      <c r="AE63" s="171">
        <f>Y63*AD63</f>
        <v>135.11860799999999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439</v>
      </c>
      <c r="M64" s="163"/>
      <c r="N64" s="163">
        <v>4.9000000000000004</v>
      </c>
      <c r="O64" s="163"/>
      <c r="P64" s="182">
        <v>16.29</v>
      </c>
      <c r="Q64" s="171">
        <f t="shared" si="13"/>
        <v>91.2</v>
      </c>
      <c r="R64" s="170">
        <v>10.868</v>
      </c>
      <c r="S64" s="168">
        <v>11.952</v>
      </c>
      <c r="T64" s="171">
        <v>248</v>
      </c>
      <c r="U64" s="171">
        <f t="shared" si="7"/>
        <v>22.819285977180712</v>
      </c>
      <c r="V64" s="169">
        <f t="shared" si="8"/>
        <v>9.0696117804551513</v>
      </c>
      <c r="W64" s="170">
        <v>0.3</v>
      </c>
      <c r="X64" s="171">
        <f t="shared" si="20"/>
        <v>0.13105263157894737</v>
      </c>
      <c r="Y64" s="171">
        <f t="shared" si="22"/>
        <v>10.3180792</v>
      </c>
      <c r="Z64" s="171">
        <f t="shared" si="22"/>
        <v>11.3472288</v>
      </c>
      <c r="AA64" s="171">
        <f t="shared" si="22"/>
        <v>235.4512</v>
      </c>
      <c r="AB64" s="171">
        <f t="shared" si="5"/>
        <v>22.819285977180712</v>
      </c>
      <c r="AC64" s="171">
        <f t="shared" si="3"/>
        <v>9.0696117804551513</v>
      </c>
      <c r="AD64" s="163">
        <v>30</v>
      </c>
      <c r="AE64" s="171">
        <f t="shared" si="23"/>
        <v>309.54237599999999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218</v>
      </c>
      <c r="I65" s="158">
        <v>579.14</v>
      </c>
      <c r="J65" s="163">
        <v>130</v>
      </c>
      <c r="K65" s="163"/>
      <c r="L65" s="163">
        <v>161</v>
      </c>
      <c r="M65" s="163"/>
      <c r="N65" s="163">
        <v>8.9</v>
      </c>
      <c r="O65" s="163"/>
      <c r="P65" s="182">
        <v>45.74</v>
      </c>
      <c r="Q65" s="171">
        <f t="shared" si="13"/>
        <v>41.6</v>
      </c>
      <c r="R65" s="170">
        <v>13.645</v>
      </c>
      <c r="S65" s="168">
        <v>32.689</v>
      </c>
      <c r="T65" s="171">
        <v>163</v>
      </c>
      <c r="U65" s="171">
        <f t="shared" si="7"/>
        <v>11.945767680469036</v>
      </c>
      <c r="V65" s="169">
        <f t="shared" si="8"/>
        <v>58.258129646058308</v>
      </c>
      <c r="W65" s="170">
        <v>0.5</v>
      </c>
      <c r="X65" s="171">
        <f t="shared" si="20"/>
        <v>0.7857932692307692</v>
      </c>
      <c r="Y65" s="171">
        <v>28.6</v>
      </c>
      <c r="Z65" s="171">
        <v>40.880000000000003</v>
      </c>
      <c r="AA65" s="171">
        <v>579.79999999999995</v>
      </c>
      <c r="AB65" s="171">
        <f t="shared" si="5"/>
        <v>11.945767680469036</v>
      </c>
      <c r="AC65" s="171">
        <v>30</v>
      </c>
      <c r="AD65" s="163">
        <v>30</v>
      </c>
      <c r="AE65" s="171">
        <f t="shared" si="23"/>
        <v>858</v>
      </c>
      <c r="AF65" s="321"/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218</v>
      </c>
      <c r="I66" s="158">
        <v>508.57</v>
      </c>
      <c r="J66" s="163">
        <v>155</v>
      </c>
      <c r="K66" s="163"/>
      <c r="L66" s="163">
        <v>165</v>
      </c>
      <c r="M66" s="163"/>
      <c r="N66" s="163">
        <v>8.9</v>
      </c>
      <c r="O66" s="163"/>
      <c r="P66" s="182">
        <v>39.86</v>
      </c>
      <c r="Q66" s="171">
        <f t="shared" si="13"/>
        <v>49.6</v>
      </c>
      <c r="R66" s="170">
        <v>38.423999999999999</v>
      </c>
      <c r="S66" s="168">
        <v>41.31</v>
      </c>
      <c r="T66" s="171">
        <v>1464</v>
      </c>
      <c r="U66" s="171">
        <f t="shared" si="7"/>
        <v>38.101186758276079</v>
      </c>
      <c r="V66" s="169">
        <f t="shared" si="8"/>
        <v>6.986201888162678</v>
      </c>
      <c r="W66" s="170">
        <v>0.2</v>
      </c>
      <c r="X66" s="171">
        <f t="shared" si="20"/>
        <v>0.83286290322580647</v>
      </c>
      <c r="Y66" s="171">
        <v>18.3</v>
      </c>
      <c r="Z66" s="171">
        <v>21.37</v>
      </c>
      <c r="AA66" s="171">
        <v>490.49</v>
      </c>
      <c r="AB66" s="171">
        <f t="shared" si="5"/>
        <v>38.101186758276079</v>
      </c>
      <c r="AC66" s="171">
        <v>14.18</v>
      </c>
      <c r="AD66" s="163">
        <v>30</v>
      </c>
      <c r="AE66" s="171">
        <f t="shared" si="23"/>
        <v>549</v>
      </c>
      <c r="AF66" s="321"/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519.38</v>
      </c>
      <c r="J67" s="163">
        <v>150</v>
      </c>
      <c r="K67" s="163"/>
      <c r="L67" s="163">
        <v>335</v>
      </c>
      <c r="M67" s="163"/>
      <c r="N67" s="163">
        <v>9.9</v>
      </c>
      <c r="O67" s="163"/>
      <c r="P67" s="182">
        <v>27.86</v>
      </c>
      <c r="Q67" s="171">
        <f t="shared" si="13"/>
        <v>48</v>
      </c>
      <c r="R67" s="170">
        <v>19.751000000000001</v>
      </c>
      <c r="S67" s="168">
        <v>20.507999999999999</v>
      </c>
      <c r="T67" s="171">
        <v>1132</v>
      </c>
      <c r="U67" s="171">
        <f t="shared" si="7"/>
        <v>57.313553744114216</v>
      </c>
      <c r="V67" s="169">
        <f t="shared" si="8"/>
        <v>3.6912424419738534</v>
      </c>
      <c r="W67" s="170">
        <v>0.3</v>
      </c>
      <c r="X67" s="171">
        <f t="shared" si="20"/>
        <v>0.42724999999999996</v>
      </c>
      <c r="Y67" s="171">
        <f t="shared" ref="Y67:AA73" si="24">R67*0.9494</f>
        <v>18.7515994</v>
      </c>
      <c r="Z67" s="171">
        <f t="shared" si="24"/>
        <v>19.470295199999999</v>
      </c>
      <c r="AA67" s="171">
        <f t="shared" si="24"/>
        <v>1074.7208000000001</v>
      </c>
      <c r="AB67" s="171">
        <f t="shared" si="5"/>
        <v>57.313553744114216</v>
      </c>
      <c r="AC67" s="171">
        <f t="shared" si="3"/>
        <v>3.6912424419738534</v>
      </c>
      <c r="AD67" s="163">
        <v>30</v>
      </c>
      <c r="AE67" s="171">
        <f t="shared" si="23"/>
        <v>562.54798200000005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314</v>
      </c>
      <c r="M68" s="163"/>
      <c r="N68" s="163">
        <v>8.8000000000000007</v>
      </c>
      <c r="O68" s="163"/>
      <c r="P68" s="182">
        <v>30.83</v>
      </c>
      <c r="Q68" s="171">
        <f t="shared" si="13"/>
        <v>104</v>
      </c>
      <c r="R68" s="170">
        <v>22.684999999999999</v>
      </c>
      <c r="S68" s="168">
        <v>24.106999999999999</v>
      </c>
      <c r="T68" s="171">
        <v>2082</v>
      </c>
      <c r="U68" s="171">
        <f t="shared" si="7"/>
        <v>91.778708397619582</v>
      </c>
      <c r="V68" s="169">
        <f t="shared" si="8"/>
        <v>5.8987016219355395</v>
      </c>
      <c r="W68" s="170">
        <v>0.5</v>
      </c>
      <c r="X68" s="171">
        <f t="shared" si="20"/>
        <v>0.23179807692307691</v>
      </c>
      <c r="Y68" s="171">
        <f t="shared" si="24"/>
        <v>21.537139</v>
      </c>
      <c r="Z68" s="171">
        <f t="shared" si="24"/>
        <v>22.887185800000001</v>
      </c>
      <c r="AA68" s="171">
        <f t="shared" si="24"/>
        <v>1976.6508000000001</v>
      </c>
      <c r="AB68" s="171">
        <f t="shared" si="5"/>
        <v>91.778708397619582</v>
      </c>
      <c r="AC68" s="171">
        <f t="shared" si="3"/>
        <v>5.8987016219355395</v>
      </c>
      <c r="AD68" s="163">
        <v>30</v>
      </c>
      <c r="AE68" s="171">
        <f t="shared" si="23"/>
        <v>646.11416999999994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553.94000000000005</v>
      </c>
      <c r="J69" s="163">
        <v>85</v>
      </c>
      <c r="K69" s="163"/>
      <c r="L69" s="163">
        <v>241</v>
      </c>
      <c r="M69" s="163"/>
      <c r="N69" s="163">
        <v>9.6999999999999993</v>
      </c>
      <c r="O69" s="163"/>
      <c r="P69" s="182">
        <v>41.76</v>
      </c>
      <c r="Q69" s="171">
        <f t="shared" si="13"/>
        <v>10.199999999999999</v>
      </c>
      <c r="R69" s="170">
        <v>2.8639999999999999</v>
      </c>
      <c r="S69" s="168">
        <v>7.7190000000000003</v>
      </c>
      <c r="T69" s="171">
        <v>8</v>
      </c>
      <c r="U69" s="171">
        <f t="shared" si="7"/>
        <v>2.7932960893854748</v>
      </c>
      <c r="V69" s="169">
        <f t="shared" si="8"/>
        <v>62.896748283456404</v>
      </c>
      <c r="W69" s="170">
        <v>0.6</v>
      </c>
      <c r="X69" s="171">
        <f t="shared" si="20"/>
        <v>0.75676470588235301</v>
      </c>
      <c r="Y69" s="171">
        <f t="shared" si="24"/>
        <v>2.7190816</v>
      </c>
      <c r="Z69" s="171">
        <f t="shared" si="24"/>
        <v>7.3284186000000009</v>
      </c>
      <c r="AA69" s="171">
        <f t="shared" si="24"/>
        <v>7.5952000000000002</v>
      </c>
      <c r="AB69" s="171">
        <v>0</v>
      </c>
      <c r="AC69" s="171">
        <f t="shared" si="3"/>
        <v>62.896748283456404</v>
      </c>
      <c r="AD69" s="163">
        <v>30</v>
      </c>
      <c r="AE69" s="171">
        <f t="shared" si="23"/>
        <v>81.572447999999994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561.46</v>
      </c>
      <c r="J70" s="163">
        <v>100</v>
      </c>
      <c r="K70" s="163"/>
      <c r="L70" s="163">
        <v>436</v>
      </c>
      <c r="M70" s="163"/>
      <c r="N70" s="163">
        <v>2.9</v>
      </c>
      <c r="O70" s="163"/>
      <c r="P70" s="182">
        <v>15.75</v>
      </c>
      <c r="Q70" s="171">
        <f t="shared" si="13"/>
        <v>22</v>
      </c>
      <c r="R70" s="170">
        <v>3.4889999999999999</v>
      </c>
      <c r="S70" s="168">
        <v>3.8849999999999998</v>
      </c>
      <c r="T70" s="171">
        <v>23</v>
      </c>
      <c r="U70" s="171">
        <f t="shared" si="7"/>
        <v>6.5921467469188881</v>
      </c>
      <c r="V70" s="169">
        <f t="shared" si="8"/>
        <v>10.193050193050192</v>
      </c>
      <c r="W70" s="170">
        <v>0.6</v>
      </c>
      <c r="X70" s="171">
        <f t="shared" si="20"/>
        <v>0.17659090909090908</v>
      </c>
      <c r="Y70" s="171">
        <f t="shared" si="24"/>
        <v>3.3124566</v>
      </c>
      <c r="Z70" s="171">
        <f t="shared" si="24"/>
        <v>3.6884189999999997</v>
      </c>
      <c r="AA70" s="171">
        <f t="shared" si="24"/>
        <v>21.836200000000002</v>
      </c>
      <c r="AB70" s="171">
        <f t="shared" si="5"/>
        <v>6.5921467469188881</v>
      </c>
      <c r="AC70" s="171">
        <f t="shared" si="3"/>
        <v>10.193050193050192</v>
      </c>
      <c r="AD70" s="163">
        <v>30</v>
      </c>
      <c r="AE70" s="171">
        <f t="shared" si="23"/>
        <v>99.373698000000005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561.34</v>
      </c>
      <c r="J71" s="163">
        <v>120</v>
      </c>
      <c r="K71" s="163"/>
      <c r="L71" s="163">
        <v>457</v>
      </c>
      <c r="M71" s="163"/>
      <c r="N71" s="163">
        <v>2.1</v>
      </c>
      <c r="O71" s="163"/>
      <c r="P71" s="182">
        <v>13.07</v>
      </c>
      <c r="Q71" s="171">
        <f t="shared" si="13"/>
        <v>15.6</v>
      </c>
      <c r="R71" s="170">
        <v>2.6230000000000002</v>
      </c>
      <c r="S71" s="168">
        <v>3.3090000000000002</v>
      </c>
      <c r="T71" s="171">
        <v>3.2</v>
      </c>
      <c r="U71" s="171">
        <f t="shared" si="7"/>
        <v>1.2199771254288982</v>
      </c>
      <c r="V71" s="169">
        <f t="shared" si="8"/>
        <v>20.731338773043213</v>
      </c>
      <c r="W71" s="170">
        <v>0.5</v>
      </c>
      <c r="X71" s="171">
        <f t="shared" si="20"/>
        <v>0.21211538461538462</v>
      </c>
      <c r="Y71" s="171">
        <f t="shared" si="24"/>
        <v>2.4902762000000003</v>
      </c>
      <c r="Z71" s="171">
        <f t="shared" si="24"/>
        <v>3.1415646000000002</v>
      </c>
      <c r="AA71" s="171">
        <f t="shared" si="24"/>
        <v>3.0380800000000003</v>
      </c>
      <c r="AB71" s="171">
        <f t="shared" si="5"/>
        <v>1.2199771254288982</v>
      </c>
      <c r="AC71" s="171">
        <f t="shared" si="3"/>
        <v>20.731338773043213</v>
      </c>
      <c r="AD71" s="163">
        <v>30</v>
      </c>
      <c r="AE71" s="171">
        <f t="shared" si="23"/>
        <v>74.708286000000015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400</v>
      </c>
      <c r="M72" s="163"/>
      <c r="N72" s="163">
        <v>7.7</v>
      </c>
      <c r="O72" s="163"/>
      <c r="P72" s="160">
        <v>24.64</v>
      </c>
      <c r="Q72" s="171">
        <f>LEFT(H72,(FIND("K",H72,1)-1))*J72/100</f>
        <v>9</v>
      </c>
      <c r="R72" s="170">
        <v>2.5449999999999999</v>
      </c>
      <c r="S72" s="168">
        <v>5.1879999999999997</v>
      </c>
      <c r="T72" s="171">
        <v>1.5</v>
      </c>
      <c r="U72" s="171">
        <f t="shared" si="7"/>
        <v>0.58939096267190572</v>
      </c>
      <c r="V72" s="169">
        <f t="shared" si="8"/>
        <v>50.944487278334613</v>
      </c>
      <c r="W72" s="170">
        <v>1</v>
      </c>
      <c r="X72" s="171">
        <f t="shared" si="20"/>
        <v>0.57644444444444443</v>
      </c>
      <c r="Y72" s="171">
        <f t="shared" si="24"/>
        <v>2.416223</v>
      </c>
      <c r="Z72" s="171">
        <f t="shared" si="24"/>
        <v>4.9254872000000001</v>
      </c>
      <c r="AA72" s="171">
        <f t="shared" si="24"/>
        <v>1.4241000000000001</v>
      </c>
      <c r="AB72" s="171">
        <f t="shared" si="5"/>
        <v>0.58939096267190572</v>
      </c>
      <c r="AC72" s="171">
        <f t="shared" si="3"/>
        <v>50.944487278334613</v>
      </c>
      <c r="AD72" s="163">
        <v>30</v>
      </c>
      <c r="AE72" s="171">
        <f>Y72*AD72</f>
        <v>72.486689999999996</v>
      </c>
      <c r="AF72" s="179"/>
    </row>
    <row r="73" spans="1:32" ht="15.75" customHeight="1" x14ac:dyDescent="0.2">
      <c r="A73" s="184">
        <v>60</v>
      </c>
      <c r="B73" s="219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199</v>
      </c>
      <c r="M73" s="158"/>
      <c r="N73" s="163">
        <v>2.9</v>
      </c>
      <c r="O73" s="158"/>
      <c r="P73" s="284">
        <v>39.729999999999997</v>
      </c>
      <c r="Q73" s="174">
        <f>LEFT(H73,(FIND("K",H73,1)-1))*J73/100</f>
        <v>13</v>
      </c>
      <c r="R73" s="170">
        <v>0.72299999999999998</v>
      </c>
      <c r="S73" s="168">
        <v>2.008</v>
      </c>
      <c r="T73" s="174">
        <v>0</v>
      </c>
      <c r="U73" s="171">
        <f t="shared" si="7"/>
        <v>0</v>
      </c>
      <c r="V73" s="169">
        <f t="shared" si="8"/>
        <v>63.99402390438248</v>
      </c>
      <c r="W73" s="170">
        <v>1</v>
      </c>
      <c r="X73" s="171">
        <f t="shared" si="20"/>
        <v>0.15446153846153846</v>
      </c>
      <c r="Y73" s="171">
        <f t="shared" si="24"/>
        <v>0.68641620000000003</v>
      </c>
      <c r="Z73" s="171">
        <f t="shared" si="24"/>
        <v>1.9063952</v>
      </c>
      <c r="AA73" s="171">
        <f t="shared" si="24"/>
        <v>0</v>
      </c>
      <c r="AB73" s="171">
        <f t="shared" si="5"/>
        <v>0</v>
      </c>
      <c r="AC73" s="171">
        <f t="shared" si="3"/>
        <v>63.99402390438248</v>
      </c>
      <c r="AD73" s="163">
        <v>30</v>
      </c>
      <c r="AE73" s="171">
        <f>Y73*AD73</f>
        <v>20.592486000000001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408.09699999999992</v>
      </c>
      <c r="S74" s="209">
        <f>SUM(S14:S73)</f>
        <v>596.81100000000004</v>
      </c>
      <c r="T74" s="209">
        <f>SUM(T14:T73)</f>
        <v>19842.300000000003</v>
      </c>
      <c r="U74" s="209">
        <f>T74/R74</f>
        <v>48.621528705185305</v>
      </c>
      <c r="V74" s="209"/>
      <c r="W74" s="209"/>
      <c r="X74" s="209"/>
      <c r="Y74" s="209">
        <f>SUM(Y14:Y73)</f>
        <v>385.3107933</v>
      </c>
      <c r="Z74" s="209">
        <f>SUM(Z14:Z73)</f>
        <v>559.61557189999996</v>
      </c>
      <c r="AA74" s="209">
        <f>SUM(AA14:AA73)</f>
        <v>18383.778219999997</v>
      </c>
      <c r="AB74" s="209">
        <f>AA74/Y74</f>
        <v>47.711557889546398</v>
      </c>
      <c r="AC74" s="209"/>
      <c r="AD74" s="209"/>
      <c r="AE74" s="210">
        <f>SUM(AE14:AE73)</f>
        <v>11559.323799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345"/>
      <c r="H75" s="344"/>
      <c r="I75" s="344"/>
      <c r="J75" s="158"/>
      <c r="K75" s="158"/>
      <c r="L75" s="158"/>
      <c r="M75" s="158"/>
      <c r="N75" s="158"/>
      <c r="O75" s="158"/>
      <c r="P75" s="158"/>
      <c r="Q75" s="174"/>
      <c r="R75" s="158"/>
      <c r="S75" s="158"/>
      <c r="T75" s="158"/>
      <c r="U75" s="350"/>
      <c r="V75" s="345"/>
      <c r="W75" s="345"/>
      <c r="X75" s="157"/>
      <c r="Y75" s="158"/>
      <c r="Z75" s="158"/>
      <c r="AA75" s="158"/>
      <c r="AB75" s="352"/>
      <c r="AC75" s="345"/>
      <c r="AD75" s="158"/>
      <c r="AE75" s="158"/>
      <c r="AF75" s="344"/>
    </row>
    <row r="76" spans="1:32" ht="15.75" customHeight="1" x14ac:dyDescent="0.2">
      <c r="A76" s="216">
        <v>61</v>
      </c>
      <c r="B76" s="163" t="s">
        <v>131</v>
      </c>
      <c r="C76" s="216" t="s">
        <v>177</v>
      </c>
      <c r="D76" s="165">
        <v>389.74</v>
      </c>
      <c r="E76" s="32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170</v>
      </c>
      <c r="K76" s="163"/>
      <c r="L76" s="163">
        <v>18</v>
      </c>
      <c r="M76" s="163"/>
      <c r="N76" s="163">
        <v>0.4</v>
      </c>
      <c r="O76" s="163"/>
      <c r="P76" s="182">
        <v>16.239999999999998</v>
      </c>
      <c r="Q76" s="174"/>
      <c r="R76" s="170">
        <v>2.1019999999999999</v>
      </c>
      <c r="S76" s="171">
        <v>2.524</v>
      </c>
      <c r="T76" s="171">
        <v>0</v>
      </c>
      <c r="U76" s="171">
        <f>T76/R76</f>
        <v>0</v>
      </c>
      <c r="V76" s="169">
        <f t="shared" ref="V76:V79" si="25">(S76-R76)/S76*100</f>
        <v>16.719492868462762</v>
      </c>
      <c r="W76" s="170">
        <v>0.7</v>
      </c>
      <c r="X76" s="171"/>
      <c r="Y76" s="171">
        <f>R76*0.9494</f>
        <v>1.9956387999999998</v>
      </c>
      <c r="Z76" s="171">
        <f t="shared" ref="Z76:AA79" si="26">S76*0.9494</f>
        <v>2.3962856000000001</v>
      </c>
      <c r="AA76" s="171">
        <f t="shared" si="26"/>
        <v>0</v>
      </c>
      <c r="AB76" s="171">
        <f t="shared" ref="AB76:AC79" si="27">U76</f>
        <v>0</v>
      </c>
      <c r="AC76" s="171">
        <f t="shared" si="27"/>
        <v>16.719492868462762</v>
      </c>
      <c r="AD76" s="163">
        <v>30</v>
      </c>
      <c r="AE76" s="171">
        <f>Y76*AD76</f>
        <v>59.869163999999998</v>
      </c>
      <c r="AF76" s="179"/>
    </row>
    <row r="77" spans="1:32" ht="15.75" customHeight="1" x14ac:dyDescent="0.2">
      <c r="A77" s="216">
        <v>62</v>
      </c>
      <c r="B77" s="163" t="s">
        <v>132</v>
      </c>
      <c r="C77" s="216" t="s">
        <v>177</v>
      </c>
      <c r="D77" s="163">
        <v>387.72</v>
      </c>
      <c r="E77" s="323" t="s">
        <v>135</v>
      </c>
      <c r="F77" s="163">
        <v>177.8</v>
      </c>
      <c r="G77" s="163" t="s">
        <v>28</v>
      </c>
      <c r="H77" s="165" t="s">
        <v>58</v>
      </c>
      <c r="I77" s="158">
        <v>136.03</v>
      </c>
      <c r="J77" s="163">
        <v>105</v>
      </c>
      <c r="K77" s="163"/>
      <c r="L77" s="163">
        <v>27</v>
      </c>
      <c r="M77" s="163"/>
      <c r="N77" s="163">
        <v>0.6</v>
      </c>
      <c r="O77" s="163"/>
      <c r="P77" s="182">
        <v>14.17</v>
      </c>
      <c r="Q77" s="171"/>
      <c r="R77" s="170">
        <v>2.5630000000000002</v>
      </c>
      <c r="S77" s="171">
        <v>2.9689999999999999</v>
      </c>
      <c r="T77" s="171">
        <v>0</v>
      </c>
      <c r="U77" s="171">
        <v>0</v>
      </c>
      <c r="V77" s="169">
        <f t="shared" si="25"/>
        <v>13.674637925227341</v>
      </c>
      <c r="W77" s="170">
        <v>0.5</v>
      </c>
      <c r="X77" s="171"/>
      <c r="Y77" s="171">
        <f t="shared" ref="Y77:Y79" si="28">R77*0.9494</f>
        <v>2.4333122</v>
      </c>
      <c r="Z77" s="171">
        <f t="shared" si="26"/>
        <v>2.8187685999999998</v>
      </c>
      <c r="AA77" s="171">
        <f t="shared" si="26"/>
        <v>0</v>
      </c>
      <c r="AB77" s="171">
        <v>0</v>
      </c>
      <c r="AC77" s="171">
        <f>V77</f>
        <v>13.674637925227341</v>
      </c>
      <c r="AD77" s="163">
        <v>30</v>
      </c>
      <c r="AE77" s="171">
        <f>Y77*AD77</f>
        <v>72.999365999999995</v>
      </c>
      <c r="AF77" s="190"/>
    </row>
    <row r="78" spans="1:32" ht="15.75" customHeight="1" x14ac:dyDescent="0.2">
      <c r="A78" s="285">
        <v>63</v>
      </c>
      <c r="B78" s="163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>
        <v>140.41999999999999</v>
      </c>
      <c r="J78" s="163"/>
      <c r="K78" s="163">
        <v>49</v>
      </c>
      <c r="L78" s="163"/>
      <c r="M78" s="163">
        <v>0.8</v>
      </c>
      <c r="N78" s="163"/>
      <c r="O78" s="163"/>
      <c r="P78" s="182"/>
      <c r="Q78" s="171"/>
      <c r="R78" s="170">
        <v>0</v>
      </c>
      <c r="S78" s="171">
        <v>0</v>
      </c>
      <c r="T78" s="171">
        <v>0</v>
      </c>
      <c r="U78" s="171">
        <v>0</v>
      </c>
      <c r="V78" s="169">
        <v>0</v>
      </c>
      <c r="W78" s="170">
        <v>0</v>
      </c>
      <c r="X78" s="171"/>
      <c r="Y78" s="171">
        <v>0</v>
      </c>
      <c r="Z78" s="171">
        <v>0</v>
      </c>
      <c r="AA78" s="171">
        <f t="shared" si="26"/>
        <v>0</v>
      </c>
      <c r="AB78" s="171">
        <v>0</v>
      </c>
      <c r="AC78" s="171">
        <f>V78</f>
        <v>0</v>
      </c>
      <c r="AD78" s="163">
        <v>0</v>
      </c>
      <c r="AE78" s="171">
        <f>Y78*AD78</f>
        <v>0</v>
      </c>
      <c r="AF78" s="172" t="s">
        <v>215</v>
      </c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210</v>
      </c>
      <c r="K79" s="175"/>
      <c r="L79" s="163">
        <v>47</v>
      </c>
      <c r="M79" s="175"/>
      <c r="N79" s="163">
        <v>0.7</v>
      </c>
      <c r="O79" s="175"/>
      <c r="P79" s="182">
        <v>13.64</v>
      </c>
      <c r="Q79" s="171"/>
      <c r="R79" s="170">
        <v>4.3630000000000004</v>
      </c>
      <c r="S79" s="171">
        <v>4.6130000000000004</v>
      </c>
      <c r="T79" s="171">
        <v>0</v>
      </c>
      <c r="U79" s="171">
        <f>T79/R79</f>
        <v>0</v>
      </c>
      <c r="V79" s="169">
        <f t="shared" si="25"/>
        <v>5.4194667244743107</v>
      </c>
      <c r="W79" s="171">
        <v>0.7</v>
      </c>
      <c r="X79" s="171"/>
      <c r="Y79" s="171">
        <f t="shared" si="28"/>
        <v>4.1422322000000005</v>
      </c>
      <c r="Z79" s="171">
        <f t="shared" si="26"/>
        <v>4.3795822000000006</v>
      </c>
      <c r="AA79" s="171">
        <f t="shared" si="26"/>
        <v>0</v>
      </c>
      <c r="AB79" s="171">
        <f t="shared" si="27"/>
        <v>0</v>
      </c>
      <c r="AC79" s="171">
        <f t="shared" si="27"/>
        <v>5.4194667244743107</v>
      </c>
      <c r="AD79" s="163">
        <v>30</v>
      </c>
      <c r="AE79" s="171">
        <f>Y79*AD79</f>
        <v>124.26696600000001</v>
      </c>
      <c r="AF79" s="177"/>
    </row>
    <row r="80" spans="1:32" ht="15.75" customHeight="1" x14ac:dyDescent="0.2">
      <c r="A80" s="163">
        <v>65</v>
      </c>
      <c r="B80" s="215" t="s">
        <v>57</v>
      </c>
      <c r="C80" s="215" t="s">
        <v>176</v>
      </c>
      <c r="D80" s="215">
        <v>681.52</v>
      </c>
      <c r="E80" s="164" t="s">
        <v>93</v>
      </c>
      <c r="F80" s="163">
        <v>177.8</v>
      </c>
      <c r="G80" s="163"/>
      <c r="H80" s="165"/>
      <c r="I80" s="171"/>
      <c r="J80" s="163"/>
      <c r="K80" s="175"/>
      <c r="L80" s="163"/>
      <c r="M80" s="175"/>
      <c r="N80" s="163"/>
      <c r="O80" s="175"/>
      <c r="P80" s="182"/>
      <c r="Q80" s="171"/>
      <c r="R80" s="170"/>
      <c r="S80" s="171"/>
      <c r="T80" s="171"/>
      <c r="U80" s="171"/>
      <c r="V80" s="169"/>
      <c r="W80" s="171"/>
      <c r="X80" s="171"/>
      <c r="Y80" s="171"/>
      <c r="Z80" s="171"/>
      <c r="AA80" s="171"/>
      <c r="AB80" s="171"/>
      <c r="AC80" s="171"/>
      <c r="AD80" s="163"/>
      <c r="AE80" s="171"/>
      <c r="AF80" s="172" t="s">
        <v>283</v>
      </c>
    </row>
    <row r="81" spans="1:32" ht="15.75" customHeight="1" x14ac:dyDescent="0.2">
      <c r="A81" s="163">
        <v>66</v>
      </c>
      <c r="B81" s="215" t="s">
        <v>188</v>
      </c>
      <c r="C81" s="215" t="s">
        <v>183</v>
      </c>
      <c r="D81" s="215">
        <v>376.58</v>
      </c>
      <c r="E81" s="164" t="s">
        <v>235</v>
      </c>
      <c r="F81" s="163">
        <v>177.8</v>
      </c>
      <c r="G81" s="163"/>
      <c r="H81" s="165"/>
      <c r="I81" s="171"/>
      <c r="J81" s="163"/>
      <c r="K81" s="175"/>
      <c r="L81" s="163"/>
      <c r="M81" s="175"/>
      <c r="N81" s="163"/>
      <c r="O81" s="175"/>
      <c r="P81" s="182"/>
      <c r="Q81" s="171"/>
      <c r="R81" s="170"/>
      <c r="S81" s="171"/>
      <c r="T81" s="171"/>
      <c r="U81" s="171"/>
      <c r="V81" s="169"/>
      <c r="W81" s="171"/>
      <c r="X81" s="171"/>
      <c r="Y81" s="171"/>
      <c r="Z81" s="171"/>
      <c r="AA81" s="171"/>
      <c r="AB81" s="171"/>
      <c r="AC81" s="171"/>
      <c r="AD81" s="163"/>
      <c r="AE81" s="171"/>
      <c r="AF81" s="172" t="s">
        <v>283</v>
      </c>
    </row>
    <row r="82" spans="1:32" ht="15.75" customHeight="1" x14ac:dyDescent="0.2">
      <c r="A82" s="163">
        <v>67</v>
      </c>
      <c r="B82" s="215" t="s">
        <v>184</v>
      </c>
      <c r="C82" s="215" t="s">
        <v>176</v>
      </c>
      <c r="D82" s="215">
        <v>422.78</v>
      </c>
      <c r="E82" s="164" t="s">
        <v>185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customHeight="1" x14ac:dyDescent="0.2">
      <c r="A83" s="163">
        <v>68</v>
      </c>
      <c r="B83" s="215" t="s">
        <v>186</v>
      </c>
      <c r="C83" s="215" t="s">
        <v>176</v>
      </c>
      <c r="D83" s="215">
        <v>387.56</v>
      </c>
      <c r="E83" s="164"/>
      <c r="F83" s="163">
        <v>177.8</v>
      </c>
      <c r="G83" s="163"/>
      <c r="H83" s="165"/>
      <c r="I83" s="171"/>
      <c r="J83" s="163"/>
      <c r="K83" s="175"/>
      <c r="L83" s="163"/>
      <c r="M83" s="175"/>
      <c r="N83" s="163"/>
      <c r="O83" s="175"/>
      <c r="P83" s="182"/>
      <c r="Q83" s="171"/>
      <c r="R83" s="170"/>
      <c r="S83" s="171"/>
      <c r="T83" s="171"/>
      <c r="U83" s="171"/>
      <c r="V83" s="169"/>
      <c r="W83" s="171"/>
      <c r="X83" s="171"/>
      <c r="Y83" s="171"/>
      <c r="Z83" s="171"/>
      <c r="AA83" s="171"/>
      <c r="AB83" s="171"/>
      <c r="AC83" s="171"/>
      <c r="AD83" s="163"/>
      <c r="AE83" s="171"/>
      <c r="AF83" s="172" t="s">
        <v>283</v>
      </c>
    </row>
    <row r="84" spans="1:32" ht="15.75" customHeight="1" x14ac:dyDescent="0.2">
      <c r="A84" s="306"/>
      <c r="B84" s="1834"/>
      <c r="C84" s="1834"/>
      <c r="D84" s="1834"/>
      <c r="E84" s="1835"/>
      <c r="F84" s="158"/>
      <c r="G84" s="345"/>
      <c r="H84" s="344"/>
      <c r="I84" s="344"/>
      <c r="J84" s="158"/>
      <c r="K84" s="158"/>
      <c r="L84" s="158"/>
      <c r="M84" s="158"/>
      <c r="N84" s="158"/>
      <c r="O84" s="158"/>
      <c r="P84" s="160"/>
      <c r="Q84" s="174"/>
      <c r="R84" s="209">
        <f>SUM(R76:R79)</f>
        <v>9.0280000000000005</v>
      </c>
      <c r="S84" s="209">
        <f>SUM(S76:S79)</f>
        <v>10.106000000000002</v>
      </c>
      <c r="T84" s="209">
        <f>SUM(T76:T79)</f>
        <v>0</v>
      </c>
      <c r="U84" s="209">
        <f>SUM(U76:U79)</f>
        <v>0</v>
      </c>
      <c r="V84" s="345"/>
      <c r="W84" s="345"/>
      <c r="X84" s="345"/>
      <c r="Y84" s="209">
        <f>SUM(Y76:Y79)</f>
        <v>8.5711832000000001</v>
      </c>
      <c r="Z84" s="209">
        <f>SUM(Z76:Z79)</f>
        <v>9.5946364000000006</v>
      </c>
      <c r="AA84" s="209">
        <f>SUM(AA76:AA79)</f>
        <v>0</v>
      </c>
      <c r="AB84" s="209">
        <v>0</v>
      </c>
      <c r="AC84" s="345"/>
      <c r="AD84" s="158"/>
      <c r="AE84" s="209">
        <f>SUM(AE76:AE79)</f>
        <v>257.13549599999999</v>
      </c>
      <c r="AF84" s="218"/>
    </row>
    <row r="85" spans="1:32" ht="15.75" x14ac:dyDescent="0.2">
      <c r="A85" s="306"/>
      <c r="B85" s="1828" t="s">
        <v>275</v>
      </c>
      <c r="C85" s="1828"/>
      <c r="D85" s="1828"/>
      <c r="E85" s="1828"/>
      <c r="F85" s="1829"/>
      <c r="G85" s="345"/>
      <c r="H85" s="344"/>
      <c r="I85" s="344"/>
      <c r="J85" s="158"/>
      <c r="K85" s="158"/>
      <c r="L85" s="158"/>
      <c r="M85" s="158"/>
      <c r="N85" s="158"/>
      <c r="O85" s="158"/>
      <c r="P85" s="160"/>
      <c r="Q85" s="174"/>
      <c r="R85" s="209"/>
      <c r="S85" s="209"/>
      <c r="T85" s="209"/>
      <c r="U85" s="209"/>
      <c r="V85" s="345"/>
      <c r="W85" s="345"/>
      <c r="X85" s="345"/>
      <c r="Y85" s="209"/>
      <c r="Z85" s="209"/>
      <c r="AA85" s="209"/>
      <c r="AB85" s="209"/>
      <c r="AC85" s="345"/>
      <c r="AD85" s="158"/>
      <c r="AE85" s="209"/>
      <c r="AF85" s="218"/>
    </row>
    <row r="86" spans="1:32" ht="15.75" x14ac:dyDescent="0.2">
      <c r="A86" s="163">
        <v>69</v>
      </c>
      <c r="B86" s="219" t="s">
        <v>220</v>
      </c>
      <c r="C86" s="163" t="s">
        <v>46</v>
      </c>
      <c r="D86" s="165">
        <v>685.69</v>
      </c>
      <c r="E86" s="286" t="s">
        <v>222</v>
      </c>
      <c r="F86" s="163">
        <v>177.8</v>
      </c>
      <c r="G86" s="163" t="s">
        <v>28</v>
      </c>
      <c r="H86" s="165" t="s">
        <v>221</v>
      </c>
      <c r="I86" s="165">
        <v>570.09</v>
      </c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50"/>
      <c r="V86" s="345"/>
      <c r="W86" s="345"/>
      <c r="X86" s="345"/>
      <c r="Y86" s="221"/>
      <c r="Z86" s="222"/>
      <c r="AA86" s="344"/>
      <c r="AB86" s="350"/>
      <c r="AC86" s="158"/>
      <c r="AD86" s="163"/>
      <c r="AE86" s="171"/>
      <c r="AF86" s="172" t="s">
        <v>236</v>
      </c>
    </row>
    <row r="87" spans="1:32" ht="15.75" x14ac:dyDescent="0.2">
      <c r="A87" s="306"/>
      <c r="B87" s="1834"/>
      <c r="C87" s="1834"/>
      <c r="D87" s="1834"/>
      <c r="E87" s="1835"/>
      <c r="F87" s="175"/>
      <c r="G87" s="163"/>
      <c r="H87" s="165"/>
      <c r="I87" s="171"/>
      <c r="J87" s="163"/>
      <c r="K87" s="175"/>
      <c r="L87" s="163"/>
      <c r="M87" s="175"/>
      <c r="N87" s="182"/>
      <c r="O87" s="175"/>
      <c r="P87" s="224"/>
      <c r="Q87" s="209"/>
      <c r="R87" s="209"/>
      <c r="S87" s="209"/>
      <c r="T87" s="209"/>
      <c r="U87" s="209"/>
      <c r="V87" s="209"/>
      <c r="W87" s="209"/>
      <c r="X87" s="209"/>
      <c r="Y87" s="209"/>
      <c r="Z87" s="225"/>
      <c r="AA87" s="209"/>
      <c r="AB87" s="209"/>
      <c r="AC87" s="209"/>
      <c r="AD87" s="209"/>
      <c r="AE87" s="209"/>
      <c r="AF87" s="177"/>
    </row>
    <row r="88" spans="1:32" ht="15.75" x14ac:dyDescent="0.2">
      <c r="A88" s="306"/>
      <c r="B88" s="1843" t="s">
        <v>276</v>
      </c>
      <c r="C88" s="1839"/>
      <c r="D88" s="1839"/>
      <c r="E88" s="1839"/>
      <c r="F88" s="1839"/>
      <c r="G88" s="345"/>
      <c r="H88" s="344"/>
      <c r="I88" s="344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50"/>
      <c r="V88" s="345"/>
      <c r="W88" s="345"/>
      <c r="X88" s="345"/>
      <c r="Y88" s="158"/>
      <c r="Z88" s="158"/>
      <c r="AA88" s="158"/>
      <c r="AB88" s="352"/>
      <c r="AC88" s="345"/>
      <c r="AD88" s="158"/>
      <c r="AE88" s="158"/>
      <c r="AF88" s="344"/>
    </row>
    <row r="89" spans="1:32" ht="15.75" x14ac:dyDescent="0.2">
      <c r="A89" s="163">
        <v>70</v>
      </c>
      <c r="B89" s="226" t="s">
        <v>107</v>
      </c>
      <c r="C89" s="188" t="s">
        <v>109</v>
      </c>
      <c r="D89" s="351"/>
      <c r="E89" s="351"/>
      <c r="F89" s="158"/>
      <c r="G89" s="345"/>
      <c r="H89" s="344"/>
      <c r="I89" s="344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50"/>
      <c r="V89" s="345"/>
      <c r="W89" s="345"/>
      <c r="X89" s="345"/>
      <c r="Y89" s="344"/>
      <c r="Z89" s="344"/>
      <c r="AA89" s="158"/>
      <c r="AB89" s="352"/>
      <c r="AC89" s="345"/>
      <c r="AD89" s="228"/>
      <c r="AE89" s="158"/>
      <c r="AF89" s="229"/>
    </row>
    <row r="90" spans="1:32" ht="15.75" x14ac:dyDescent="0.2">
      <c r="A90" s="163">
        <v>71</v>
      </c>
      <c r="B90" s="226" t="s">
        <v>108</v>
      </c>
      <c r="C90" s="188" t="s">
        <v>109</v>
      </c>
      <c r="D90" s="351"/>
      <c r="E90" s="351"/>
      <c r="F90" s="158"/>
      <c r="G90" s="345"/>
      <c r="H90" s="344"/>
      <c r="I90" s="344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50"/>
      <c r="V90" s="345"/>
      <c r="W90" s="345"/>
      <c r="X90" s="345"/>
      <c r="Y90" s="344"/>
      <c r="Z90" s="344"/>
      <c r="AA90" s="158"/>
      <c r="AB90" s="352"/>
      <c r="AC90" s="345"/>
      <c r="AD90" s="228"/>
      <c r="AE90" s="158"/>
      <c r="AF90" s="229"/>
    </row>
    <row r="91" spans="1:32" ht="15.75" x14ac:dyDescent="0.2">
      <c r="A91" s="163">
        <v>72</v>
      </c>
      <c r="B91" s="226" t="s">
        <v>195</v>
      </c>
      <c r="C91" s="216" t="s">
        <v>193</v>
      </c>
      <c r="D91" s="351"/>
      <c r="E91" s="351"/>
      <c r="F91" s="158"/>
      <c r="G91" s="345"/>
      <c r="H91" s="344"/>
      <c r="I91" s="344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50"/>
      <c r="V91" s="345"/>
      <c r="W91" s="345"/>
      <c r="X91" s="345"/>
      <c r="Y91" s="344"/>
      <c r="Z91" s="344"/>
      <c r="AA91" s="158"/>
      <c r="AB91" s="352"/>
      <c r="AC91" s="345"/>
      <c r="AD91" s="228"/>
      <c r="AE91" s="158"/>
      <c r="AF91" s="229"/>
    </row>
    <row r="92" spans="1:32" ht="15.75" x14ac:dyDescent="0.2">
      <c r="A92" s="163">
        <v>73</v>
      </c>
      <c r="B92" s="226" t="s">
        <v>192</v>
      </c>
      <c r="C92" s="216" t="s">
        <v>193</v>
      </c>
      <c r="D92" s="351"/>
      <c r="E92" s="351"/>
      <c r="F92" s="158"/>
      <c r="G92" s="345"/>
      <c r="H92" s="344"/>
      <c r="I92" s="344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50"/>
      <c r="V92" s="345"/>
      <c r="W92" s="345"/>
      <c r="X92" s="345"/>
      <c r="Y92" s="344"/>
      <c r="Z92" s="344"/>
      <c r="AA92" s="158"/>
      <c r="AB92" s="352"/>
      <c r="AC92" s="345"/>
      <c r="AD92" s="228"/>
      <c r="AE92" s="158"/>
      <c r="AF92" s="229"/>
    </row>
    <row r="93" spans="1:32" ht="15.75" x14ac:dyDescent="0.2">
      <c r="A93" s="163"/>
      <c r="B93" s="1843" t="s">
        <v>278</v>
      </c>
      <c r="C93" s="1839"/>
      <c r="D93" s="1839"/>
      <c r="E93" s="1839"/>
      <c r="F93" s="1839"/>
      <c r="G93" s="345"/>
      <c r="H93" s="344"/>
      <c r="I93" s="344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50"/>
      <c r="V93" s="345"/>
      <c r="W93" s="345"/>
      <c r="X93" s="345"/>
      <c r="Y93" s="158"/>
      <c r="Z93" s="158"/>
      <c r="AA93" s="158"/>
      <c r="AB93" s="352"/>
      <c r="AC93" s="345"/>
      <c r="AD93" s="158"/>
      <c r="AE93" s="158"/>
      <c r="AF93" s="344"/>
    </row>
    <row r="94" spans="1:32" ht="15.75" x14ac:dyDescent="0.2">
      <c r="A94" s="163">
        <v>74</v>
      </c>
      <c r="B94" s="207" t="s">
        <v>189</v>
      </c>
      <c r="C94" s="163" t="s">
        <v>46</v>
      </c>
      <c r="D94" s="189">
        <v>673</v>
      </c>
      <c r="E94" s="189" t="s">
        <v>190</v>
      </c>
      <c r="F94" s="163">
        <v>177.8</v>
      </c>
      <c r="G94" s="163"/>
      <c r="H94" s="165"/>
      <c r="I94" s="158"/>
      <c r="J94" s="158"/>
      <c r="K94" s="158"/>
      <c r="L94" s="158"/>
      <c r="M94" s="158"/>
      <c r="N94" s="158"/>
      <c r="O94" s="158"/>
      <c r="P94" s="160"/>
      <c r="Q94" s="174"/>
      <c r="R94" s="158"/>
      <c r="S94" s="158"/>
      <c r="T94" s="158"/>
      <c r="U94" s="350"/>
      <c r="V94" s="345"/>
      <c r="W94" s="345"/>
      <c r="X94" s="345"/>
      <c r="Y94" s="230"/>
      <c r="Z94" s="231"/>
      <c r="AA94" s="344"/>
      <c r="AB94" s="352"/>
      <c r="AC94" s="158"/>
      <c r="AD94" s="163"/>
      <c r="AE94" s="171"/>
      <c r="AF94" s="179"/>
    </row>
    <row r="95" spans="1:32" ht="15.75" x14ac:dyDescent="0.25">
      <c r="A95" s="163">
        <v>75</v>
      </c>
      <c r="B95" s="164" t="s">
        <v>181</v>
      </c>
      <c r="C95" s="232" t="s">
        <v>183</v>
      </c>
      <c r="D95" s="165">
        <v>374.5</v>
      </c>
      <c r="E95" s="163" t="s">
        <v>182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70"/>
      <c r="Q95" s="171"/>
      <c r="R95" s="170"/>
      <c r="S95" s="171"/>
      <c r="T95" s="171"/>
      <c r="U95" s="171"/>
      <c r="V95" s="170"/>
      <c r="W95" s="170"/>
      <c r="X95" s="233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76</v>
      </c>
      <c r="B96" s="164" t="s">
        <v>196</v>
      </c>
      <c r="C96" s="163" t="s">
        <v>46</v>
      </c>
      <c r="D96" s="165">
        <v>622.02</v>
      </c>
      <c r="E96" s="163" t="s">
        <v>197</v>
      </c>
      <c r="F96" s="163">
        <v>177.8</v>
      </c>
      <c r="G96" s="163"/>
      <c r="H96" s="165"/>
      <c r="I96" s="158"/>
      <c r="J96" s="163"/>
      <c r="K96" s="163"/>
      <c r="L96" s="163"/>
      <c r="M96" s="163"/>
      <c r="N96" s="182"/>
      <c r="O96" s="163"/>
      <c r="P96" s="170"/>
      <c r="Q96" s="171"/>
      <c r="R96" s="170"/>
      <c r="S96" s="171"/>
      <c r="T96" s="171"/>
      <c r="U96" s="171"/>
      <c r="V96" s="170"/>
      <c r="W96" s="170"/>
      <c r="X96" s="233"/>
      <c r="Y96" s="171"/>
      <c r="Z96" s="171"/>
      <c r="AA96" s="171"/>
      <c r="AB96" s="171"/>
      <c r="AC96" s="171"/>
      <c r="AD96" s="163"/>
      <c r="AE96" s="171"/>
      <c r="AF96" s="179"/>
    </row>
    <row r="97" spans="1:32" ht="15.75" x14ac:dyDescent="0.2">
      <c r="A97" s="163">
        <v>77</v>
      </c>
      <c r="B97" s="164" t="s">
        <v>174</v>
      </c>
      <c r="C97" s="163" t="s">
        <v>46</v>
      </c>
      <c r="D97" s="165">
        <v>672</v>
      </c>
      <c r="E97" s="163" t="s">
        <v>175</v>
      </c>
      <c r="F97" s="163">
        <v>177.8</v>
      </c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customHeight="1" x14ac:dyDescent="0.2">
      <c r="A98" s="163">
        <v>78</v>
      </c>
      <c r="B98" s="204" t="s">
        <v>103</v>
      </c>
      <c r="C98" s="163" t="s">
        <v>46</v>
      </c>
      <c r="D98" s="158">
        <v>582</v>
      </c>
      <c r="E98" s="158" t="s">
        <v>112</v>
      </c>
      <c r="F98" s="163">
        <v>177.8</v>
      </c>
      <c r="G98" s="163"/>
      <c r="H98" s="165"/>
      <c r="I98" s="158"/>
      <c r="J98" s="158"/>
      <c r="K98" s="159"/>
      <c r="L98" s="158"/>
      <c r="M98" s="159"/>
      <c r="N98" s="158"/>
      <c r="O98" s="158"/>
      <c r="P98" s="160"/>
      <c r="Q98" s="174"/>
      <c r="R98" s="158"/>
      <c r="S98" s="158"/>
      <c r="T98" s="158"/>
      <c r="U98" s="350"/>
      <c r="V98" s="345"/>
      <c r="W98" s="345"/>
      <c r="X98" s="157"/>
      <c r="Y98" s="234"/>
      <c r="Z98" s="158"/>
      <c r="AA98" s="158"/>
      <c r="AB98" s="350"/>
      <c r="AC98" s="158"/>
      <c r="AD98" s="235"/>
      <c r="AE98" s="174"/>
      <c r="AF98" s="179"/>
    </row>
    <row r="99" spans="1:32" ht="15.75" x14ac:dyDescent="0.2">
      <c r="A99" s="163"/>
      <c r="B99" s="1843" t="s">
        <v>279</v>
      </c>
      <c r="C99" s="1839"/>
      <c r="D99" s="1839"/>
      <c r="E99" s="1839"/>
      <c r="F99" s="1839"/>
      <c r="G99" s="163"/>
      <c r="H99" s="165"/>
      <c r="I99" s="158"/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79</v>
      </c>
      <c r="B100" s="164" t="s">
        <v>148</v>
      </c>
      <c r="C100" s="163" t="s">
        <v>46</v>
      </c>
      <c r="D100" s="163">
        <v>650</v>
      </c>
      <c r="E100" s="163" t="s">
        <v>75</v>
      </c>
      <c r="F100" s="163">
        <v>177.8</v>
      </c>
      <c r="G100" s="163"/>
      <c r="H100" s="165"/>
      <c r="I100" s="159">
        <v>536.14</v>
      </c>
      <c r="J100" s="163"/>
      <c r="K100" s="163"/>
      <c r="L100" s="163"/>
      <c r="M100" s="163"/>
      <c r="N100" s="182"/>
      <c r="O100" s="163"/>
      <c r="P100" s="182"/>
      <c r="Q100" s="171"/>
      <c r="R100" s="170"/>
      <c r="S100" s="171"/>
      <c r="T100" s="171"/>
      <c r="U100" s="171"/>
      <c r="V100" s="170"/>
      <c r="W100" s="170"/>
      <c r="X100" s="171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.75" x14ac:dyDescent="0.2">
      <c r="A101" s="163">
        <v>80</v>
      </c>
      <c r="B101" s="164" t="s">
        <v>155</v>
      </c>
      <c r="C101" s="163" t="s">
        <v>46</v>
      </c>
      <c r="D101" s="163">
        <v>674.13</v>
      </c>
      <c r="E101" s="163" t="s">
        <v>83</v>
      </c>
      <c r="F101" s="163">
        <v>177.8</v>
      </c>
      <c r="G101" s="163"/>
      <c r="H101" s="165"/>
      <c r="I101" s="158">
        <v>527.75</v>
      </c>
      <c r="J101" s="163"/>
      <c r="K101" s="163"/>
      <c r="L101" s="163"/>
      <c r="M101" s="163"/>
      <c r="N101" s="182"/>
      <c r="O101" s="163"/>
      <c r="P101" s="182"/>
      <c r="Q101" s="171"/>
      <c r="R101" s="170"/>
      <c r="S101" s="171"/>
      <c r="T101" s="171"/>
      <c r="U101" s="171"/>
      <c r="V101" s="170"/>
      <c r="W101" s="170"/>
      <c r="X101" s="171"/>
      <c r="Y101" s="171"/>
      <c r="Z101" s="171"/>
      <c r="AA101" s="171"/>
      <c r="AB101" s="171"/>
      <c r="AC101" s="171"/>
      <c r="AD101" s="163"/>
      <c r="AE101" s="171"/>
      <c r="AF101" s="179"/>
    </row>
    <row r="102" spans="1:32" ht="15.75" x14ac:dyDescent="0.2">
      <c r="A102" s="163">
        <v>81</v>
      </c>
      <c r="B102" s="164" t="s">
        <v>56</v>
      </c>
      <c r="C102" s="163" t="s">
        <v>46</v>
      </c>
      <c r="D102" s="165">
        <v>680.52</v>
      </c>
      <c r="E102" s="163" t="s">
        <v>92</v>
      </c>
      <c r="F102" s="163">
        <v>177.8</v>
      </c>
      <c r="G102" s="163"/>
      <c r="H102" s="165"/>
      <c r="I102" s="158">
        <v>555.95000000000005</v>
      </c>
      <c r="J102" s="163"/>
      <c r="K102" s="163"/>
      <c r="L102" s="163"/>
      <c r="M102" s="163"/>
      <c r="N102" s="182"/>
      <c r="O102" s="163"/>
      <c r="P102" s="170"/>
      <c r="Q102" s="171"/>
      <c r="R102" s="170"/>
      <c r="S102" s="171"/>
      <c r="T102" s="171"/>
      <c r="U102" s="171"/>
      <c r="V102" s="170"/>
      <c r="W102" s="170"/>
      <c r="X102" s="233"/>
      <c r="Y102" s="171"/>
      <c r="Z102" s="171"/>
      <c r="AA102" s="171"/>
      <c r="AB102" s="171"/>
      <c r="AC102" s="171"/>
      <c r="AD102" s="163"/>
      <c r="AE102" s="171"/>
      <c r="AF102" s="179"/>
    </row>
    <row r="103" spans="1:32" ht="15" x14ac:dyDescent="0.2">
      <c r="A103" s="305"/>
      <c r="B103" s="237"/>
      <c r="C103" s="237"/>
      <c r="D103" s="238"/>
      <c r="E103" s="239"/>
      <c r="F103" s="240"/>
      <c r="G103" s="240"/>
      <c r="H103" s="241"/>
      <c r="I103" s="242"/>
      <c r="J103" s="240"/>
      <c r="K103" s="240"/>
      <c r="L103" s="240"/>
      <c r="M103" s="240"/>
      <c r="N103" s="243"/>
      <c r="O103" s="240"/>
      <c r="P103" s="244"/>
      <c r="Q103" s="245"/>
      <c r="R103" s="244"/>
      <c r="S103" s="245"/>
      <c r="T103" s="245"/>
      <c r="U103" s="245"/>
      <c r="V103" s="244"/>
      <c r="W103" s="244"/>
      <c r="X103" s="246"/>
      <c r="Y103" s="245"/>
      <c r="Z103" s="245"/>
      <c r="AA103" s="245"/>
      <c r="AB103" s="245"/>
      <c r="AC103" s="245"/>
      <c r="AD103" s="240"/>
      <c r="AE103" s="245"/>
      <c r="AF103" s="247"/>
    </row>
    <row r="104" spans="1:32" ht="15" x14ac:dyDescent="0.2">
      <c r="A104" s="305"/>
      <c r="B104" s="1844"/>
      <c r="C104" s="1844"/>
      <c r="D104" s="1844"/>
      <c r="E104" s="1845"/>
      <c r="F104" s="248"/>
      <c r="G104" s="240"/>
      <c r="H104" s="241"/>
      <c r="I104" s="245"/>
      <c r="J104" s="240"/>
      <c r="K104" s="248"/>
      <c r="L104" s="240"/>
      <c r="M104" s="248"/>
      <c r="N104" s="243"/>
      <c r="O104" s="248"/>
      <c r="P104" s="249"/>
      <c r="Q104" s="250"/>
      <c r="R104" s="250">
        <f>R74+R84</f>
        <v>417.12499999999994</v>
      </c>
      <c r="S104" s="250">
        <f>S74+S84</f>
        <v>606.91700000000003</v>
      </c>
      <c r="T104" s="250">
        <f>T74+T84</f>
        <v>19842.300000000003</v>
      </c>
      <c r="U104" s="250">
        <f>T104/R104</f>
        <v>47.569193886724619</v>
      </c>
      <c r="V104" s="250"/>
      <c r="W104" s="250"/>
      <c r="X104" s="250"/>
      <c r="Y104" s="250">
        <f>Y74+Y84+Y87</f>
        <v>393.88197650000001</v>
      </c>
      <c r="Z104" s="250">
        <f>Z74+Z84+Z87</f>
        <v>569.21020829999998</v>
      </c>
      <c r="AA104" s="250">
        <f>AA74+AA84</f>
        <v>18383.778219999997</v>
      </c>
      <c r="AB104" s="250">
        <f>AA104/Y104</f>
        <v>46.673316670533147</v>
      </c>
      <c r="AC104" s="250"/>
      <c r="AD104" s="250"/>
      <c r="AE104" s="251">
        <f>AE74+AE84+AE87</f>
        <v>11816.459295000001</v>
      </c>
      <c r="AF104" s="252"/>
    </row>
    <row r="105" spans="1:32" ht="15" x14ac:dyDescent="0.2">
      <c r="B105" s="253"/>
      <c r="C105" s="253"/>
      <c r="D105" s="253"/>
      <c r="E105" s="253"/>
      <c r="F105" s="254"/>
      <c r="G105" s="255"/>
      <c r="H105" s="256"/>
      <c r="I105" s="256"/>
      <c r="J105" s="254"/>
      <c r="K105" s="254"/>
      <c r="L105" s="254"/>
      <c r="M105" s="254"/>
      <c r="N105" s="254"/>
      <c r="O105" s="254"/>
      <c r="P105" s="257"/>
      <c r="Q105" s="258"/>
      <c r="R105" s="254"/>
      <c r="S105" s="254"/>
      <c r="T105" s="254"/>
      <c r="U105" s="259"/>
      <c r="V105" s="255"/>
      <c r="W105" s="255"/>
      <c r="X105" s="255"/>
      <c r="Y105" s="254"/>
      <c r="Z105" s="254"/>
      <c r="AA105" s="254"/>
      <c r="AB105" s="260"/>
      <c r="AC105" s="255"/>
      <c r="AD105" s="254"/>
      <c r="AE105" s="254"/>
      <c r="AF105" s="256"/>
    </row>
    <row r="106" spans="1:32" ht="15" x14ac:dyDescent="0.2">
      <c r="B106" s="289"/>
      <c r="C106" s="191"/>
      <c r="D106" s="289"/>
      <c r="E106" s="268">
        <v>0.95</v>
      </c>
      <c r="F106" s="289"/>
      <c r="G106" s="289" t="s">
        <v>102</v>
      </c>
      <c r="H106" s="290"/>
      <c r="I106" s="262"/>
      <c r="J106" s="289"/>
      <c r="K106" s="1883">
        <f>AE104*E106</f>
        <v>11225.636330249999</v>
      </c>
      <c r="L106" s="1884"/>
      <c r="M106" s="1885"/>
      <c r="N106" s="191" t="s">
        <v>27</v>
      </c>
      <c r="O106" s="254"/>
      <c r="P106" s="257"/>
      <c r="Q106" s="258"/>
      <c r="R106" s="254"/>
      <c r="S106" s="254"/>
      <c r="T106" s="254"/>
      <c r="U106" s="259"/>
      <c r="V106" s="255"/>
      <c r="W106" s="255"/>
      <c r="X106" s="255"/>
      <c r="Y106" s="254"/>
      <c r="Z106" s="254"/>
      <c r="AA106" s="254"/>
      <c r="AB106" s="260"/>
      <c r="AC106" s="255"/>
      <c r="AD106" s="254"/>
      <c r="AE106" s="254"/>
      <c r="AF106" s="256"/>
    </row>
    <row r="107" spans="1:32" ht="15" x14ac:dyDescent="0.2">
      <c r="B107" s="289"/>
      <c r="C107" s="191"/>
      <c r="D107" s="289"/>
      <c r="E107" s="268"/>
      <c r="F107" s="289"/>
      <c r="G107" s="191"/>
      <c r="H107" s="290"/>
      <c r="I107" s="262"/>
      <c r="J107" s="289"/>
      <c r="K107" s="191"/>
      <c r="L107" s="263"/>
      <c r="M107" s="289"/>
      <c r="N107" s="289"/>
      <c r="O107" s="289"/>
      <c r="P107" s="291"/>
      <c r="Q107" s="292"/>
      <c r="R107" s="289"/>
      <c r="S107" s="289"/>
      <c r="T107" s="289"/>
      <c r="U107" s="289"/>
      <c r="V107" s="289"/>
      <c r="W107" s="289"/>
      <c r="X107" s="211"/>
      <c r="Y107" s="211"/>
      <c r="Z107" s="211"/>
      <c r="AA107" s="211"/>
      <c r="AB107" s="211"/>
      <c r="AC107" s="211"/>
      <c r="AD107" s="211"/>
      <c r="AE107" s="211"/>
      <c r="AF107" s="266"/>
    </row>
    <row r="108" spans="1:32" ht="15" x14ac:dyDescent="0.2">
      <c r="B108" s="289"/>
      <c r="C108" s="289"/>
      <c r="D108" s="289"/>
      <c r="E108" s="293" t="s">
        <v>214</v>
      </c>
      <c r="F108" s="1881" t="s">
        <v>264</v>
      </c>
      <c r="G108" s="1881"/>
      <c r="H108" s="1881"/>
      <c r="I108" s="289"/>
      <c r="J108" s="289"/>
      <c r="K108" s="191"/>
      <c r="L108" s="191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1842" t="s">
        <v>99</v>
      </c>
      <c r="Y108" s="1824"/>
      <c r="Z108" s="1824"/>
      <c r="AA108" s="1824"/>
      <c r="AB108" s="211" t="s">
        <v>282</v>
      </c>
      <c r="AC108" s="211"/>
      <c r="AD108" s="211"/>
      <c r="AE108" s="211"/>
      <c r="AF108" s="211"/>
    </row>
  </sheetData>
  <mergeCells count="41">
    <mergeCell ref="B8:E8"/>
    <mergeCell ref="I1:X1"/>
    <mergeCell ref="A2:D2"/>
    <mergeCell ref="J2:W2"/>
    <mergeCell ref="A6:E6"/>
    <mergeCell ref="A7:E7"/>
    <mergeCell ref="A11:A13"/>
    <mergeCell ref="B11:B13"/>
    <mergeCell ref="C11:C13"/>
    <mergeCell ref="D11:D12"/>
    <mergeCell ref="E11:E12"/>
    <mergeCell ref="B87:E87"/>
    <mergeCell ref="V12:V13"/>
    <mergeCell ref="W12:W13"/>
    <mergeCell ref="X12:X13"/>
    <mergeCell ref="Y12:AA12"/>
    <mergeCell ref="G11:G13"/>
    <mergeCell ref="H11:W11"/>
    <mergeCell ref="X11:AF11"/>
    <mergeCell ref="H12:H13"/>
    <mergeCell ref="I12:I13"/>
    <mergeCell ref="K12:L12"/>
    <mergeCell ref="M12:N12"/>
    <mergeCell ref="O12:P12"/>
    <mergeCell ref="R12:T12"/>
    <mergeCell ref="U12:U13"/>
    <mergeCell ref="F11:F12"/>
    <mergeCell ref="AF12:AF13"/>
    <mergeCell ref="B74:E74"/>
    <mergeCell ref="B75:F75"/>
    <mergeCell ref="B84:E84"/>
    <mergeCell ref="B85:F85"/>
    <mergeCell ref="AB12:AB13"/>
    <mergeCell ref="AC12:AC13"/>
    <mergeCell ref="X108:AA108"/>
    <mergeCell ref="B88:F88"/>
    <mergeCell ref="B93:F93"/>
    <mergeCell ref="B99:F99"/>
    <mergeCell ref="B104:E104"/>
    <mergeCell ref="K106:M106"/>
    <mergeCell ref="F108:H108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106"/>
  <sheetViews>
    <sheetView zoomScale="70" zoomScaleNormal="70" zoomScaleSheetLayoutView="70" workbookViewId="0">
      <pane xSplit="3" ySplit="13" topLeftCell="D57" activePane="bottomRight" state="frozen"/>
      <selection pane="topRight" activeCell="D1" sqref="D1"/>
      <selection pane="bottomLeft" activeCell="A14" sqref="A14"/>
      <selection pane="bottomRight" activeCell="E94" sqref="E94"/>
    </sheetView>
  </sheetViews>
  <sheetFormatPr defaultColWidth="9.140625" defaultRowHeight="12.75" x14ac:dyDescent="0.2"/>
  <cols>
    <col min="1" max="1" width="9.140625" style="304" customWidth="1"/>
    <col min="2" max="2" width="42.7109375" style="304" customWidth="1"/>
    <col min="3" max="3" width="13.7109375" style="304" customWidth="1"/>
    <col min="4" max="4" width="9.140625" style="304"/>
    <col min="5" max="5" width="74.28515625" style="304" customWidth="1"/>
    <col min="6" max="8" width="9.140625" style="304"/>
    <col min="9" max="9" width="11" style="304" customWidth="1"/>
    <col min="10" max="19" width="9.140625" style="304"/>
    <col min="20" max="20" width="12.28515625" style="304" customWidth="1"/>
    <col min="21" max="23" width="9.140625" style="304"/>
    <col min="24" max="24" width="10.42578125" style="304" customWidth="1"/>
    <col min="25" max="26" width="9.140625" style="304"/>
    <col min="27" max="27" width="12.5703125" style="304" customWidth="1"/>
    <col min="28" max="30" width="9.140625" style="304"/>
    <col min="31" max="31" width="13.28515625" style="304" customWidth="1"/>
    <col min="32" max="32" width="54.42578125" style="304" customWidth="1"/>
    <col min="33" max="16384" width="9.140625" style="304"/>
  </cols>
  <sheetData>
    <row r="1" spans="1:32" ht="15" x14ac:dyDescent="0.2">
      <c r="B1" s="360"/>
      <c r="C1" s="360"/>
      <c r="D1" s="138"/>
      <c r="E1" s="138"/>
      <c r="F1" s="138"/>
      <c r="G1" s="360"/>
      <c r="H1" s="360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60"/>
      <c r="H2" s="360"/>
      <c r="I2" s="138"/>
      <c r="J2" s="1823" t="s">
        <v>292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61" t="s">
        <v>270</v>
      </c>
      <c r="B3" s="361"/>
      <c r="C3" s="361"/>
      <c r="D3" s="361"/>
      <c r="E3" s="361"/>
      <c r="F3" s="138"/>
      <c r="G3" s="360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59"/>
      <c r="S3" s="359"/>
      <c r="T3" s="359"/>
      <c r="U3" s="359"/>
      <c r="V3" s="359"/>
      <c r="W3" s="359"/>
      <c r="X3" s="359"/>
      <c r="Y3" s="359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61" t="s">
        <v>228</v>
      </c>
      <c r="B4" s="148"/>
      <c r="C4" s="148"/>
      <c r="D4" s="148"/>
      <c r="E4" s="138"/>
      <c r="F4" s="138"/>
      <c r="G4" s="360"/>
      <c r="H4" s="360"/>
      <c r="I4" s="141"/>
      <c r="J4" s="141"/>
      <c r="K4" s="141"/>
      <c r="L4" s="141"/>
      <c r="M4" s="141"/>
      <c r="N4" s="141"/>
      <c r="O4" s="141"/>
      <c r="P4" s="141"/>
      <c r="Q4" s="141"/>
      <c r="R4" s="358"/>
      <c r="S4" s="358"/>
      <c r="T4" s="358"/>
      <c r="U4" s="358"/>
      <c r="V4" s="358"/>
      <c r="W4" s="358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61"/>
      <c r="C5" s="361"/>
      <c r="D5" s="361"/>
      <c r="E5" s="138"/>
      <c r="F5" s="138"/>
      <c r="G5" s="360"/>
      <c r="H5" s="360"/>
      <c r="I5" s="138"/>
      <c r="J5" s="138"/>
      <c r="K5" s="360"/>
      <c r="L5" s="360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60"/>
      <c r="H6" s="360"/>
      <c r="I6" s="140"/>
      <c r="J6" s="138"/>
      <c r="K6" s="360"/>
      <c r="L6" s="360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60"/>
      <c r="H7" s="360"/>
      <c r="I7" s="140"/>
      <c r="J7" s="138"/>
      <c r="K7" s="360"/>
      <c r="L7" s="360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60"/>
      <c r="H8" s="360"/>
      <c r="I8" s="140"/>
      <c r="J8" s="138"/>
      <c r="K8" s="360"/>
      <c r="L8" s="360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60"/>
      <c r="H9" s="360"/>
      <c r="I9" s="138"/>
      <c r="J9" s="138"/>
      <c r="K9" s="360"/>
      <c r="L9" s="360"/>
      <c r="M9" s="360"/>
      <c r="N9" s="360"/>
      <c r="O9" s="360"/>
      <c r="P9" s="360"/>
      <c r="Q9" s="360"/>
      <c r="R9" s="360"/>
      <c r="S9" s="360"/>
      <c r="T9" s="360"/>
      <c r="U9" s="360"/>
      <c r="V9" s="360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60"/>
      <c r="C10" s="360"/>
      <c r="D10" s="360"/>
      <c r="E10" s="138"/>
      <c r="F10" s="138"/>
      <c r="G10" s="360"/>
      <c r="H10" s="360"/>
      <c r="I10" s="140"/>
      <c r="J10" s="138"/>
      <c r="K10" s="360"/>
      <c r="L10" s="360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7.9" customHeight="1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55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55" t="s">
        <v>18</v>
      </c>
      <c r="AE12" s="355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150</v>
      </c>
      <c r="K14" s="166"/>
      <c r="L14" s="166">
        <v>263</v>
      </c>
      <c r="M14" s="166"/>
      <c r="N14" s="163">
        <v>2.9</v>
      </c>
      <c r="O14" s="166"/>
      <c r="P14" s="167">
        <v>30.888367171538814</v>
      </c>
      <c r="Q14" s="168">
        <f t="shared" ref="Q14:Q37" si="0">LEFT(H14,(FIND("K",H14,1)-1))*J14/100</f>
        <v>33</v>
      </c>
      <c r="R14" s="169">
        <v>1.228</v>
      </c>
      <c r="S14" s="168">
        <v>2.573</v>
      </c>
      <c r="T14" s="168">
        <v>0</v>
      </c>
      <c r="U14" s="168">
        <f>T14/R14</f>
        <v>0</v>
      </c>
      <c r="V14" s="169">
        <f>(S14-R14)/S14*100</f>
        <v>52.273610571317533</v>
      </c>
      <c r="W14" s="170">
        <v>0.3</v>
      </c>
      <c r="X14" s="171">
        <f t="shared" ref="X14:X45" si="1">S14/Q14</f>
        <v>7.7969696969696967E-2</v>
      </c>
      <c r="Y14" s="171">
        <f>R14*0.9494</f>
        <v>1.1658632</v>
      </c>
      <c r="Z14" s="171">
        <f t="shared" ref="Z14:AA14" si="2">S14*0.9494</f>
        <v>2.4428062000000001</v>
      </c>
      <c r="AA14" s="171">
        <f t="shared" si="2"/>
        <v>0</v>
      </c>
      <c r="AB14" s="171">
        <f>U14</f>
        <v>0</v>
      </c>
      <c r="AC14" s="171">
        <f t="shared" ref="AC14:AC73" si="3">V14</f>
        <v>52.273610571317533</v>
      </c>
      <c r="AD14" s="163">
        <v>31</v>
      </c>
      <c r="AE14" s="171">
        <f>Y14*AD14</f>
        <v>36.141759200000003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366</v>
      </c>
      <c r="L15" s="166">
        <v>0</v>
      </c>
      <c r="M15" s="166">
        <v>20.399999999999999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15" si="4">R15*0.9438</f>
        <v>0</v>
      </c>
      <c r="Z15" s="171">
        <f t="shared" si="4"/>
        <v>0</v>
      </c>
      <c r="AA15" s="171">
        <f t="shared" si="4"/>
        <v>0</v>
      </c>
      <c r="AB15" s="171">
        <f t="shared" ref="AB15:AB73" si="5">U15</f>
        <v>0</v>
      </c>
      <c r="AC15" s="171">
        <f t="shared" si="3"/>
        <v>0</v>
      </c>
      <c r="AD15" s="163">
        <v>0</v>
      </c>
      <c r="AE15" s="171">
        <f t="shared" ref="AE15:AE56" si="6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130</v>
      </c>
      <c r="K16" s="163"/>
      <c r="L16" s="166">
        <v>455</v>
      </c>
      <c r="M16" s="166"/>
      <c r="N16" s="182">
        <v>8.4</v>
      </c>
      <c r="O16" s="166"/>
      <c r="P16" s="167">
        <v>16.052106475494845</v>
      </c>
      <c r="Q16" s="168">
        <f>LEFT(H16,(FIND("K",H16,1)-1))*J16/100</f>
        <v>41.6</v>
      </c>
      <c r="R16" s="169">
        <v>19.695</v>
      </c>
      <c r="S16" s="168">
        <v>31.279</v>
      </c>
      <c r="T16" s="168">
        <v>4433</v>
      </c>
      <c r="U16" s="168">
        <f t="shared" ref="U16:U73" si="7">T16/R16</f>
        <v>225.08250825082507</v>
      </c>
      <c r="V16" s="169">
        <f t="shared" ref="V16:V73" si="8">(S16-R16)/S16*100</f>
        <v>37.034432047060328</v>
      </c>
      <c r="W16" s="170">
        <v>0.3</v>
      </c>
      <c r="X16" s="171">
        <f t="shared" si="1"/>
        <v>0.75189903846153838</v>
      </c>
      <c r="Y16" s="171">
        <f>R16*0.9494</f>
        <v>18.698433000000001</v>
      </c>
      <c r="Z16" s="171">
        <f t="shared" ref="Z16:AA29" si="9">S16*0.9494</f>
        <v>29.6962826</v>
      </c>
      <c r="AA16" s="171">
        <f t="shared" si="9"/>
        <v>4208.6902</v>
      </c>
      <c r="AB16" s="171">
        <f t="shared" si="5"/>
        <v>225.08250825082507</v>
      </c>
      <c r="AC16" s="171">
        <f t="shared" si="3"/>
        <v>37.034432047060328</v>
      </c>
      <c r="AD16" s="163">
        <v>31</v>
      </c>
      <c r="AE16" s="171">
        <f>Y16*AD16</f>
        <v>579.65142300000002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69</v>
      </c>
      <c r="F17" s="163">
        <v>177.8</v>
      </c>
      <c r="G17" s="163" t="s">
        <v>28</v>
      </c>
      <c r="H17" s="165" t="s">
        <v>53</v>
      </c>
      <c r="I17" s="158">
        <v>555.79</v>
      </c>
      <c r="J17" s="163">
        <v>205</v>
      </c>
      <c r="K17" s="163"/>
      <c r="L17" s="166">
        <v>459</v>
      </c>
      <c r="M17" s="166"/>
      <c r="N17" s="182">
        <v>3</v>
      </c>
      <c r="O17" s="166"/>
      <c r="P17" s="167">
        <v>12.737038653650409</v>
      </c>
      <c r="Q17" s="168">
        <f t="shared" si="0"/>
        <v>26.65</v>
      </c>
      <c r="R17" s="169">
        <v>5.3529999999999998</v>
      </c>
      <c r="S17" s="168">
        <v>6.5469999999999997</v>
      </c>
      <c r="T17" s="168">
        <v>0</v>
      </c>
      <c r="U17" s="168">
        <f t="shared" si="7"/>
        <v>0</v>
      </c>
      <c r="V17" s="169">
        <f t="shared" si="8"/>
        <v>18.237360623186191</v>
      </c>
      <c r="W17" s="170">
        <v>0.2</v>
      </c>
      <c r="X17" s="171">
        <f>S17/Q17</f>
        <v>0.24566604127579739</v>
      </c>
      <c r="Y17" s="171">
        <f t="shared" ref="Y17:Y29" si="10">R17*0.9494</f>
        <v>5.0821382000000002</v>
      </c>
      <c r="Z17" s="171">
        <f t="shared" si="9"/>
        <v>6.2157217999999999</v>
      </c>
      <c r="AA17" s="171">
        <f t="shared" si="9"/>
        <v>0</v>
      </c>
      <c r="AB17" s="171">
        <f t="shared" si="5"/>
        <v>0</v>
      </c>
      <c r="AC17" s="171">
        <f t="shared" si="3"/>
        <v>18.237360623186191</v>
      </c>
      <c r="AD17" s="163">
        <v>31</v>
      </c>
      <c r="AE17" s="171">
        <f t="shared" si="6"/>
        <v>157.5462842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160</v>
      </c>
      <c r="K18" s="163"/>
      <c r="L18" s="166">
        <v>434</v>
      </c>
      <c r="M18" s="166"/>
      <c r="N18" s="163">
        <v>5.8</v>
      </c>
      <c r="O18" s="166"/>
      <c r="P18" s="167">
        <v>17.40691251068003</v>
      </c>
      <c r="Q18" s="168">
        <f t="shared" si="0"/>
        <v>9.6</v>
      </c>
      <c r="R18" s="169">
        <v>3.3769999999999998</v>
      </c>
      <c r="S18" s="168">
        <v>3.6739999999999999</v>
      </c>
      <c r="T18" s="168">
        <v>32</v>
      </c>
      <c r="U18" s="168">
        <f t="shared" si="7"/>
        <v>9.4758661533905837</v>
      </c>
      <c r="V18" s="169">
        <f t="shared" si="8"/>
        <v>8.0838323353293458</v>
      </c>
      <c r="W18" s="170">
        <v>0.3</v>
      </c>
      <c r="X18" s="171">
        <f t="shared" si="1"/>
        <v>0.38270833333333332</v>
      </c>
      <c r="Y18" s="171">
        <f t="shared" si="10"/>
        <v>3.2061237999999999</v>
      </c>
      <c r="Z18" s="171">
        <f t="shared" si="9"/>
        <v>3.4880955999999999</v>
      </c>
      <c r="AA18" s="171">
        <f t="shared" si="9"/>
        <v>30.380800000000001</v>
      </c>
      <c r="AB18" s="171">
        <f t="shared" si="5"/>
        <v>9.4758661533905837</v>
      </c>
      <c r="AC18" s="171">
        <f t="shared" si="3"/>
        <v>8.0838323353293458</v>
      </c>
      <c r="AD18" s="163">
        <v>31</v>
      </c>
      <c r="AE18" s="171">
        <f t="shared" si="6"/>
        <v>99.389837799999995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401</v>
      </c>
      <c r="M19" s="166"/>
      <c r="N19" s="163">
        <v>0.6</v>
      </c>
      <c r="O19" s="166"/>
      <c r="P19" s="167">
        <v>17.124151185644511</v>
      </c>
      <c r="Q19" s="168">
        <f t="shared" si="0"/>
        <v>15</v>
      </c>
      <c r="R19" s="169">
        <v>3.8660000000000001</v>
      </c>
      <c r="S19" s="168">
        <v>4.9409999999999998</v>
      </c>
      <c r="T19" s="168">
        <v>0</v>
      </c>
      <c r="U19" s="168">
        <f t="shared" si="7"/>
        <v>0</v>
      </c>
      <c r="V19" s="169">
        <f t="shared" si="8"/>
        <v>21.756729407002627</v>
      </c>
      <c r="W19" s="170">
        <v>0.5</v>
      </c>
      <c r="X19" s="171">
        <f>S19/Q19</f>
        <v>0.32939999999999997</v>
      </c>
      <c r="Y19" s="171">
        <f t="shared" si="10"/>
        <v>3.6703804</v>
      </c>
      <c r="Z19" s="171">
        <f t="shared" si="9"/>
        <v>4.6909853999999997</v>
      </c>
      <c r="AA19" s="171">
        <f t="shared" si="9"/>
        <v>0</v>
      </c>
      <c r="AB19" s="171">
        <f t="shared" si="5"/>
        <v>0</v>
      </c>
      <c r="AC19" s="171">
        <f t="shared" si="3"/>
        <v>21.756729407002627</v>
      </c>
      <c r="AD19" s="163">
        <v>31</v>
      </c>
      <c r="AE19" s="171">
        <f t="shared" si="6"/>
        <v>113.7817924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487</v>
      </c>
      <c r="M20" s="166"/>
      <c r="N20" s="163">
        <v>14.7</v>
      </c>
      <c r="O20" s="166"/>
      <c r="P20" s="167">
        <v>21.935303373607372</v>
      </c>
      <c r="Q20" s="168">
        <f t="shared" si="0"/>
        <v>22</v>
      </c>
      <c r="R20" s="169">
        <v>8.25</v>
      </c>
      <c r="S20" s="168">
        <v>9.1609999999999996</v>
      </c>
      <c r="T20" s="168">
        <v>13</v>
      </c>
      <c r="U20" s="168">
        <f t="shared" si="7"/>
        <v>1.5757575757575757</v>
      </c>
      <c r="V20" s="169">
        <f t="shared" si="8"/>
        <v>9.9443292217006825</v>
      </c>
      <c r="W20" s="170">
        <v>0.3</v>
      </c>
      <c r="X20" s="171">
        <f t="shared" si="1"/>
        <v>0.4164090909090909</v>
      </c>
      <c r="Y20" s="171">
        <f t="shared" si="10"/>
        <v>7.8325500000000003</v>
      </c>
      <c r="Z20" s="171">
        <f t="shared" si="9"/>
        <v>8.6974534000000006</v>
      </c>
      <c r="AA20" s="171">
        <f t="shared" si="9"/>
        <v>12.3422</v>
      </c>
      <c r="AB20" s="171">
        <f t="shared" si="5"/>
        <v>1.5757575757575757</v>
      </c>
      <c r="AC20" s="171">
        <f t="shared" si="3"/>
        <v>9.9443292217006825</v>
      </c>
      <c r="AD20" s="163">
        <v>31</v>
      </c>
      <c r="AE20" s="171">
        <f t="shared" si="6"/>
        <v>242.80905000000001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436</v>
      </c>
      <c r="M21" s="176"/>
      <c r="N21" s="163">
        <v>7.9</v>
      </c>
      <c r="O21" s="176"/>
      <c r="P21" s="167">
        <v>20.427288747488483</v>
      </c>
      <c r="Q21" s="168">
        <f t="shared" si="0"/>
        <v>22</v>
      </c>
      <c r="R21" s="169">
        <v>11.89</v>
      </c>
      <c r="S21" s="168">
        <v>20.329000000000001</v>
      </c>
      <c r="T21" s="168">
        <v>153</v>
      </c>
      <c r="U21" s="168">
        <f t="shared" si="7"/>
        <v>12.867956265769553</v>
      </c>
      <c r="V21" s="169">
        <f t="shared" si="8"/>
        <v>41.512125534950073</v>
      </c>
      <c r="W21" s="170">
        <v>0.3</v>
      </c>
      <c r="X21" s="171">
        <f t="shared" si="1"/>
        <v>0.92404545454545461</v>
      </c>
      <c r="Y21" s="171">
        <f t="shared" si="10"/>
        <v>11.288366000000002</v>
      </c>
      <c r="Z21" s="171">
        <f t="shared" si="9"/>
        <v>19.3003526</v>
      </c>
      <c r="AA21" s="171">
        <f t="shared" si="9"/>
        <v>145.25820000000002</v>
      </c>
      <c r="AB21" s="171">
        <f t="shared" si="5"/>
        <v>12.867956265769553</v>
      </c>
      <c r="AC21" s="171">
        <f t="shared" si="3"/>
        <v>41.512125534950073</v>
      </c>
      <c r="AD21" s="163">
        <v>31</v>
      </c>
      <c r="AE21" s="171">
        <f t="shared" si="6"/>
        <v>349.93934600000006</v>
      </c>
      <c r="AF21" s="177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472</v>
      </c>
      <c r="M22" s="166"/>
      <c r="N22" s="163">
        <v>6.6</v>
      </c>
      <c r="O22" s="166"/>
      <c r="P22" s="167">
        <v>15.564955956357409</v>
      </c>
      <c r="Q22" s="168">
        <f t="shared" si="0"/>
        <v>22</v>
      </c>
      <c r="R22" s="169">
        <v>6.5140000000000002</v>
      </c>
      <c r="S22" s="168">
        <v>10.266999999999999</v>
      </c>
      <c r="T22" s="168">
        <v>15</v>
      </c>
      <c r="U22" s="168">
        <f t="shared" si="7"/>
        <v>2.3027325759901749</v>
      </c>
      <c r="V22" s="169">
        <f t="shared" si="8"/>
        <v>36.554007986753675</v>
      </c>
      <c r="W22" s="170">
        <v>0.32</v>
      </c>
      <c r="X22" s="171">
        <f t="shared" si="1"/>
        <v>0.46668181818181814</v>
      </c>
      <c r="Y22" s="171">
        <f t="shared" si="10"/>
        <v>6.1843916000000005</v>
      </c>
      <c r="Z22" s="171">
        <f t="shared" si="9"/>
        <v>9.7474898000000003</v>
      </c>
      <c r="AA22" s="171">
        <f t="shared" si="9"/>
        <v>14.241</v>
      </c>
      <c r="AB22" s="171">
        <f t="shared" si="5"/>
        <v>2.3027325759901749</v>
      </c>
      <c r="AC22" s="171">
        <f t="shared" si="3"/>
        <v>36.554007986753675</v>
      </c>
      <c r="AD22" s="163">
        <v>31</v>
      </c>
      <c r="AE22" s="171">
        <f t="shared" si="6"/>
        <v>191.71613960000002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125</v>
      </c>
      <c r="K23" s="163"/>
      <c r="L23" s="166">
        <v>299</v>
      </c>
      <c r="M23" s="166"/>
      <c r="N23" s="163">
        <v>6.2</v>
      </c>
      <c r="O23" s="166"/>
      <c r="P23" s="167">
        <v>30.568942784538613</v>
      </c>
      <c r="Q23" s="168">
        <f t="shared" si="0"/>
        <v>27.5</v>
      </c>
      <c r="R23" s="169">
        <v>0.67200000000000004</v>
      </c>
      <c r="S23" s="168">
        <v>1.2450000000000001</v>
      </c>
      <c r="T23" s="168">
        <v>1</v>
      </c>
      <c r="U23" s="168">
        <f t="shared" si="7"/>
        <v>1.4880952380952379</v>
      </c>
      <c r="V23" s="169">
        <f t="shared" si="8"/>
        <v>46.024096385542165</v>
      </c>
      <c r="W23" s="170">
        <v>0.3</v>
      </c>
      <c r="X23" s="171">
        <f t="shared" si="1"/>
        <v>4.5272727272727277E-2</v>
      </c>
      <c r="Y23" s="171">
        <f t="shared" si="10"/>
        <v>0.63799680000000003</v>
      </c>
      <c r="Z23" s="171">
        <f t="shared" si="9"/>
        <v>1.1820030000000001</v>
      </c>
      <c r="AA23" s="171">
        <f t="shared" si="9"/>
        <v>0.94940000000000002</v>
      </c>
      <c r="AB23" s="171">
        <f t="shared" si="5"/>
        <v>1.4880952380952379</v>
      </c>
      <c r="AC23" s="171">
        <f t="shared" si="3"/>
        <v>46.024096385542165</v>
      </c>
      <c r="AD23" s="163">
        <v>31</v>
      </c>
      <c r="AE23" s="171">
        <f t="shared" si="6"/>
        <v>19.777900800000001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398</v>
      </c>
      <c r="M24" s="166"/>
      <c r="N24" s="163">
        <v>1.1000000000000001</v>
      </c>
      <c r="O24" s="166"/>
      <c r="P24" s="167">
        <v>18.062976135991331</v>
      </c>
      <c r="Q24" s="168">
        <f t="shared" si="0"/>
        <v>11.18</v>
      </c>
      <c r="R24" s="169">
        <v>0.28299999999999997</v>
      </c>
      <c r="S24" s="168">
        <v>0.53200000000000003</v>
      </c>
      <c r="T24" s="168">
        <v>0</v>
      </c>
      <c r="U24" s="168">
        <f t="shared" si="7"/>
        <v>0</v>
      </c>
      <c r="V24" s="169">
        <f t="shared" si="8"/>
        <v>46.804511278195498</v>
      </c>
      <c r="W24" s="170">
        <v>0.3</v>
      </c>
      <c r="X24" s="171">
        <f t="shared" si="1"/>
        <v>4.7584973166368519E-2</v>
      </c>
      <c r="Y24" s="171">
        <f t="shared" si="10"/>
        <v>0.26868019999999998</v>
      </c>
      <c r="Z24" s="171">
        <f t="shared" si="9"/>
        <v>0.5050808</v>
      </c>
      <c r="AA24" s="171">
        <f t="shared" si="9"/>
        <v>0</v>
      </c>
      <c r="AB24" s="171">
        <f t="shared" si="5"/>
        <v>0</v>
      </c>
      <c r="AC24" s="171">
        <f t="shared" si="3"/>
        <v>46.804511278195498</v>
      </c>
      <c r="AD24" s="163">
        <v>31</v>
      </c>
      <c r="AE24" s="171">
        <f t="shared" si="6"/>
        <v>8.329086199999999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78</v>
      </c>
      <c r="F25" s="163">
        <v>177.8</v>
      </c>
      <c r="G25" s="163" t="s">
        <v>28</v>
      </c>
      <c r="H25" s="165" t="s">
        <v>52</v>
      </c>
      <c r="I25" s="158">
        <v>553.69000000000005</v>
      </c>
      <c r="J25" s="163">
        <v>110</v>
      </c>
      <c r="K25" s="163"/>
      <c r="L25" s="166">
        <v>226</v>
      </c>
      <c r="M25" s="166"/>
      <c r="N25" s="163">
        <v>2.2999999999999998</v>
      </c>
      <c r="O25" s="166"/>
      <c r="P25" s="167">
        <v>34.775585889767292</v>
      </c>
      <c r="Q25" s="168">
        <f t="shared" si="0"/>
        <v>24.2</v>
      </c>
      <c r="R25" s="169">
        <v>3.7559999999999998</v>
      </c>
      <c r="S25" s="168">
        <v>7.17</v>
      </c>
      <c r="T25" s="168">
        <v>3</v>
      </c>
      <c r="U25" s="168">
        <f t="shared" si="7"/>
        <v>0.79872204472843455</v>
      </c>
      <c r="V25" s="169">
        <f t="shared" si="8"/>
        <v>47.61506276150628</v>
      </c>
      <c r="W25" s="170">
        <v>2</v>
      </c>
      <c r="X25" s="171">
        <f t="shared" si="1"/>
        <v>0.29628099173553718</v>
      </c>
      <c r="Y25" s="171">
        <f t="shared" si="10"/>
        <v>3.5659464000000001</v>
      </c>
      <c r="Z25" s="171">
        <f t="shared" si="9"/>
        <v>6.8071980000000005</v>
      </c>
      <c r="AA25" s="171">
        <f t="shared" si="9"/>
        <v>2.8482000000000003</v>
      </c>
      <c r="AB25" s="171">
        <f t="shared" si="5"/>
        <v>0.79872204472843455</v>
      </c>
      <c r="AC25" s="171">
        <f t="shared" si="3"/>
        <v>47.61506276150628</v>
      </c>
      <c r="AD25" s="163">
        <v>31</v>
      </c>
      <c r="AE25" s="171">
        <f t="shared" si="6"/>
        <v>110.5443384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525.03</v>
      </c>
      <c r="J26" s="163">
        <v>110</v>
      </c>
      <c r="K26" s="163"/>
      <c r="L26" s="166">
        <v>328</v>
      </c>
      <c r="M26" s="166"/>
      <c r="N26" s="163">
        <v>7</v>
      </c>
      <c r="O26" s="166"/>
      <c r="P26" s="167">
        <v>26.720066321637169</v>
      </c>
      <c r="Q26" s="168">
        <f t="shared" si="0"/>
        <v>35.200000000000003</v>
      </c>
      <c r="R26" s="169">
        <v>14.236000000000001</v>
      </c>
      <c r="S26" s="168">
        <v>23.638999999999999</v>
      </c>
      <c r="T26" s="168">
        <v>216</v>
      </c>
      <c r="U26" s="168">
        <f t="shared" si="7"/>
        <v>15.172801348693453</v>
      </c>
      <c r="V26" s="169">
        <f t="shared" si="8"/>
        <v>39.777486357290911</v>
      </c>
      <c r="W26" s="170">
        <v>0.2</v>
      </c>
      <c r="X26" s="171">
        <f t="shared" si="1"/>
        <v>0.67156249999999995</v>
      </c>
      <c r="Y26" s="171">
        <f t="shared" si="10"/>
        <v>13.515658400000001</v>
      </c>
      <c r="Z26" s="171">
        <f t="shared" si="9"/>
        <v>22.442866599999999</v>
      </c>
      <c r="AA26" s="171">
        <f t="shared" si="9"/>
        <v>205.07040000000001</v>
      </c>
      <c r="AB26" s="171">
        <f t="shared" si="5"/>
        <v>15.172801348693453</v>
      </c>
      <c r="AC26" s="171">
        <f t="shared" si="3"/>
        <v>39.777486357290911</v>
      </c>
      <c r="AD26" s="163">
        <v>31</v>
      </c>
      <c r="AE26" s="171">
        <f t="shared" si="6"/>
        <v>418.98541040000003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340</v>
      </c>
      <c r="K27" s="163"/>
      <c r="L27" s="166">
        <v>377</v>
      </c>
      <c r="M27" s="166"/>
      <c r="N27" s="163">
        <v>8.6</v>
      </c>
      <c r="O27" s="166"/>
      <c r="P27" s="167">
        <v>23.277707952616694</v>
      </c>
      <c r="Q27" s="168">
        <f t="shared" si="0"/>
        <v>74.8</v>
      </c>
      <c r="R27" s="169">
        <v>16.739999999999998</v>
      </c>
      <c r="S27" s="168">
        <v>26.257999999999999</v>
      </c>
      <c r="T27" s="168">
        <v>4714</v>
      </c>
      <c r="U27" s="168">
        <f t="shared" si="7"/>
        <v>281.60095579450422</v>
      </c>
      <c r="V27" s="169">
        <f t="shared" si="8"/>
        <v>36.248000609338114</v>
      </c>
      <c r="W27" s="170">
        <v>0.3</v>
      </c>
      <c r="X27" s="171">
        <f t="shared" si="1"/>
        <v>0.35104278074866313</v>
      </c>
      <c r="Y27" s="171">
        <f t="shared" si="10"/>
        <v>15.892955999999998</v>
      </c>
      <c r="Z27" s="171">
        <f t="shared" si="9"/>
        <v>24.9293452</v>
      </c>
      <c r="AA27" s="171">
        <f t="shared" si="9"/>
        <v>4475.4715999999999</v>
      </c>
      <c r="AB27" s="171">
        <f t="shared" si="5"/>
        <v>281.60095579450422</v>
      </c>
      <c r="AC27" s="171">
        <f t="shared" si="3"/>
        <v>36.248000609338114</v>
      </c>
      <c r="AD27" s="163">
        <v>31</v>
      </c>
      <c r="AE27" s="171">
        <f t="shared" si="6"/>
        <v>492.68163599999991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451</v>
      </c>
      <c r="M28" s="166"/>
      <c r="N28" s="163">
        <v>7.3</v>
      </c>
      <c r="O28" s="166"/>
      <c r="P28" s="167">
        <v>19.488571877469649</v>
      </c>
      <c r="Q28" s="168">
        <f t="shared" si="0"/>
        <v>11.05</v>
      </c>
      <c r="R28" s="169">
        <v>3.89</v>
      </c>
      <c r="S28" s="168">
        <v>5.6509999999999998</v>
      </c>
      <c r="T28" s="168">
        <v>16.5</v>
      </c>
      <c r="U28" s="168">
        <f t="shared" si="7"/>
        <v>4.2416452442159382</v>
      </c>
      <c r="V28" s="169">
        <f t="shared" si="8"/>
        <v>31.162626083878951</v>
      </c>
      <c r="W28" s="170">
        <v>0.4</v>
      </c>
      <c r="X28" s="171">
        <f t="shared" si="1"/>
        <v>0.51140271493212663</v>
      </c>
      <c r="Y28" s="171">
        <f t="shared" si="10"/>
        <v>3.6931660000000002</v>
      </c>
      <c r="Z28" s="171">
        <f t="shared" si="9"/>
        <v>5.3650593999999998</v>
      </c>
      <c r="AA28" s="171">
        <f t="shared" si="9"/>
        <v>15.665100000000001</v>
      </c>
      <c r="AB28" s="171">
        <f t="shared" si="5"/>
        <v>4.2416452442159382</v>
      </c>
      <c r="AC28" s="171">
        <f t="shared" si="3"/>
        <v>31.162626083878951</v>
      </c>
      <c r="AD28" s="163">
        <v>31</v>
      </c>
      <c r="AE28" s="171">
        <f>Y28*AD28</f>
        <v>114.488146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504</v>
      </c>
      <c r="M29" s="164"/>
      <c r="N29" s="164">
        <v>9.8000000000000007</v>
      </c>
      <c r="O29" s="164"/>
      <c r="P29" s="371">
        <v>14.959203649708229</v>
      </c>
      <c r="Q29" s="164">
        <f t="shared" si="0"/>
        <v>96</v>
      </c>
      <c r="R29" s="181">
        <v>22.48</v>
      </c>
      <c r="S29" s="168">
        <v>27.09</v>
      </c>
      <c r="T29" s="164">
        <v>2081</v>
      </c>
      <c r="U29" s="181">
        <f t="shared" si="7"/>
        <v>92.571174377224196</v>
      </c>
      <c r="V29" s="181">
        <f t="shared" si="8"/>
        <v>17.017349575489106</v>
      </c>
      <c r="W29" s="164">
        <v>0.3</v>
      </c>
      <c r="X29" s="181">
        <f t="shared" si="1"/>
        <v>0.28218749999999998</v>
      </c>
      <c r="Y29" s="171">
        <f t="shared" si="10"/>
        <v>21.342511999999999</v>
      </c>
      <c r="Z29" s="171">
        <f t="shared" si="9"/>
        <v>25.719246000000002</v>
      </c>
      <c r="AA29" s="171">
        <f t="shared" si="9"/>
        <v>1975.7014000000001</v>
      </c>
      <c r="AB29" s="181">
        <f t="shared" si="5"/>
        <v>92.571174377224196</v>
      </c>
      <c r="AC29" s="181">
        <f t="shared" si="3"/>
        <v>17.017349575489106</v>
      </c>
      <c r="AD29" s="163">
        <v>31</v>
      </c>
      <c r="AE29" s="181">
        <f>Y29*AD29</f>
        <v>661.61787200000003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204</v>
      </c>
      <c r="L30" s="163"/>
      <c r="M30" s="163">
        <v>13.3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105</v>
      </c>
      <c r="L31" s="166"/>
      <c r="M31" s="166">
        <v>0.5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:AA31" si="11">R31</f>
        <v>0</v>
      </c>
      <c r="Z31" s="171">
        <f t="shared" si="11"/>
        <v>0</v>
      </c>
      <c r="AA31" s="171">
        <f t="shared" si="11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6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411</v>
      </c>
      <c r="M32" s="166"/>
      <c r="N32" s="163">
        <v>6.4</v>
      </c>
      <c r="O32" s="166"/>
      <c r="P32" s="167">
        <v>19.625520886636892</v>
      </c>
      <c r="Q32" s="168">
        <f t="shared" si="0"/>
        <v>18.7</v>
      </c>
      <c r="R32" s="169">
        <v>7.5679999999999996</v>
      </c>
      <c r="S32" s="168">
        <v>13.646000000000001</v>
      </c>
      <c r="T32" s="168">
        <v>423</v>
      </c>
      <c r="U32" s="168">
        <f t="shared" si="7"/>
        <v>55.893234672304445</v>
      </c>
      <c r="V32" s="169">
        <f>(S32-R32)/S32*100</f>
        <v>44.540524695881587</v>
      </c>
      <c r="W32" s="170">
        <v>0.3</v>
      </c>
      <c r="X32" s="171">
        <f t="shared" si="1"/>
        <v>0.72973262032085573</v>
      </c>
      <c r="Y32" s="171">
        <f>R32*0.9949</f>
        <v>7.5294032</v>
      </c>
      <c r="Z32" s="171">
        <f>S32*0.9949</f>
        <v>13.576405400000001</v>
      </c>
      <c r="AA32" s="171">
        <f>T32*0.9949</f>
        <v>420.84269999999998</v>
      </c>
      <c r="AB32" s="171">
        <f t="shared" si="5"/>
        <v>55.893234672304445</v>
      </c>
      <c r="AC32" s="171">
        <f t="shared" si="3"/>
        <v>44.540524695881587</v>
      </c>
      <c r="AD32" s="163">
        <v>31</v>
      </c>
      <c r="AE32" s="171">
        <f t="shared" si="6"/>
        <v>233.41149920000001</v>
      </c>
      <c r="AF32" s="183"/>
    </row>
    <row r="33" spans="1:32" s="342" customFormat="1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154</v>
      </c>
      <c r="L33" s="163"/>
      <c r="M33" s="163">
        <v>1</v>
      </c>
      <c r="N33" s="163"/>
      <c r="O33" s="163"/>
      <c r="P33" s="182">
        <v>52.594794777771426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v>0</v>
      </c>
      <c r="Z33" s="171">
        <v>0</v>
      </c>
      <c r="AA33" s="171"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468</v>
      </c>
      <c r="M34" s="166"/>
      <c r="N34" s="163">
        <v>6.8</v>
      </c>
      <c r="O34" s="166"/>
      <c r="P34" s="167">
        <v>14.199154310974881</v>
      </c>
      <c r="Q34" s="168">
        <f t="shared" si="0"/>
        <v>66</v>
      </c>
      <c r="R34" s="169">
        <v>8.6890000000000001</v>
      </c>
      <c r="S34" s="168">
        <v>9.5850000000000009</v>
      </c>
      <c r="T34" s="168">
        <v>814</v>
      </c>
      <c r="U34" s="168">
        <f t="shared" si="7"/>
        <v>93.681666474853259</v>
      </c>
      <c r="V34" s="169">
        <f t="shared" si="8"/>
        <v>9.3479394887845668</v>
      </c>
      <c r="W34" s="170">
        <v>0.3</v>
      </c>
      <c r="X34" s="171">
        <f t="shared" si="1"/>
        <v>0.14522727272727273</v>
      </c>
      <c r="Y34" s="171">
        <f t="shared" ref="Y34:AA40" si="12">R34*0.9494</f>
        <v>8.2493365999999995</v>
      </c>
      <c r="Z34" s="171">
        <f t="shared" si="12"/>
        <v>9.0999990000000004</v>
      </c>
      <c r="AA34" s="171">
        <f t="shared" si="12"/>
        <v>772.8116</v>
      </c>
      <c r="AB34" s="171">
        <v>89.536086956521729</v>
      </c>
      <c r="AC34" s="171">
        <v>26</v>
      </c>
      <c r="AD34" s="163">
        <v>31</v>
      </c>
      <c r="AE34" s="171">
        <f t="shared" si="6"/>
        <v>255.72943459999999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468</v>
      </c>
      <c r="M35" s="166"/>
      <c r="N35" s="163">
        <v>7.5</v>
      </c>
      <c r="O35" s="166"/>
      <c r="P35" s="167">
        <v>17.411941022841557</v>
      </c>
      <c r="Q35" s="168">
        <f t="shared" si="0"/>
        <v>16.25</v>
      </c>
      <c r="R35" s="169">
        <v>6.593</v>
      </c>
      <c r="S35" s="168">
        <v>10.696</v>
      </c>
      <c r="T35" s="168">
        <v>21</v>
      </c>
      <c r="U35" s="168">
        <f t="shared" si="7"/>
        <v>3.1851964204459273</v>
      </c>
      <c r="V35" s="169">
        <f t="shared" si="8"/>
        <v>38.36013462976814</v>
      </c>
      <c r="W35" s="170">
        <v>0.6</v>
      </c>
      <c r="X35" s="171">
        <f t="shared" si="1"/>
        <v>0.65821538461538465</v>
      </c>
      <c r="Y35" s="171">
        <f t="shared" si="12"/>
        <v>6.2593942</v>
      </c>
      <c r="Z35" s="171">
        <f t="shared" si="12"/>
        <v>10.1547824</v>
      </c>
      <c r="AA35" s="171">
        <f t="shared" si="12"/>
        <v>19.9374</v>
      </c>
      <c r="AB35" s="171">
        <f t="shared" si="5"/>
        <v>3.1851964204459273</v>
      </c>
      <c r="AC35" s="171">
        <f t="shared" si="3"/>
        <v>38.36013462976814</v>
      </c>
      <c r="AD35" s="163">
        <v>31</v>
      </c>
      <c r="AE35" s="171">
        <f t="shared" si="6"/>
        <v>194.0412202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433</v>
      </c>
      <c r="M36" s="166"/>
      <c r="N36" s="163">
        <v>7.2</v>
      </c>
      <c r="O36" s="166"/>
      <c r="P36" s="167">
        <v>20.347403356751677</v>
      </c>
      <c r="Q36" s="168">
        <f t="shared" si="0"/>
        <v>18.7</v>
      </c>
      <c r="R36" s="169">
        <v>1.3180000000000001</v>
      </c>
      <c r="S36" s="168">
        <v>9.8369999999999997</v>
      </c>
      <c r="T36" s="168">
        <v>16</v>
      </c>
      <c r="U36" s="168">
        <f t="shared" si="7"/>
        <v>12.139605462822457</v>
      </c>
      <c r="V36" s="169">
        <f t="shared" si="8"/>
        <v>86.601606180746174</v>
      </c>
      <c r="W36" s="170">
        <v>0.3</v>
      </c>
      <c r="X36" s="171">
        <f t="shared" si="1"/>
        <v>0.52604278074866306</v>
      </c>
      <c r="Y36" s="171">
        <f t="shared" si="12"/>
        <v>1.2513092000000001</v>
      </c>
      <c r="Z36" s="171">
        <f t="shared" si="12"/>
        <v>9.3392478000000008</v>
      </c>
      <c r="AA36" s="171">
        <f t="shared" si="12"/>
        <v>15.1904</v>
      </c>
      <c r="AB36" s="171">
        <f t="shared" si="5"/>
        <v>12.139605462822457</v>
      </c>
      <c r="AC36" s="171">
        <f t="shared" si="3"/>
        <v>86.601606180746174</v>
      </c>
      <c r="AD36" s="163">
        <v>31</v>
      </c>
      <c r="AE36" s="171">
        <f t="shared" si="6"/>
        <v>38.790585200000002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200</v>
      </c>
      <c r="K37" s="163"/>
      <c r="L37" s="166">
        <v>269</v>
      </c>
      <c r="M37" s="166"/>
      <c r="N37" s="163">
        <v>7.8</v>
      </c>
      <c r="O37" s="166"/>
      <c r="P37" s="167">
        <v>36.489639878352939</v>
      </c>
      <c r="Q37" s="168">
        <f t="shared" si="0"/>
        <v>44</v>
      </c>
      <c r="R37" s="169">
        <v>18.978999999999999</v>
      </c>
      <c r="S37" s="168">
        <v>36.491999999999997</v>
      </c>
      <c r="T37" s="168">
        <v>200</v>
      </c>
      <c r="U37" s="168">
        <f t="shared" si="7"/>
        <v>10.537963011749829</v>
      </c>
      <c r="V37" s="169">
        <f t="shared" si="8"/>
        <v>47.991340567795682</v>
      </c>
      <c r="W37" s="170">
        <v>0.3</v>
      </c>
      <c r="X37" s="171">
        <f t="shared" si="1"/>
        <v>0.8293636363636363</v>
      </c>
      <c r="Y37" s="171">
        <f t="shared" si="12"/>
        <v>18.018662599999999</v>
      </c>
      <c r="Z37" s="171">
        <f t="shared" si="12"/>
        <v>34.645504799999998</v>
      </c>
      <c r="AA37" s="171">
        <f t="shared" si="12"/>
        <v>189.88</v>
      </c>
      <c r="AB37" s="171">
        <f t="shared" si="5"/>
        <v>10.537963011749829</v>
      </c>
      <c r="AC37" s="171">
        <f t="shared" si="3"/>
        <v>47.991340567795682</v>
      </c>
      <c r="AD37" s="163">
        <v>31</v>
      </c>
      <c r="AE37" s="171">
        <f t="shared" si="6"/>
        <v>558.5785406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285</v>
      </c>
      <c r="K38" s="163"/>
      <c r="L38" s="166">
        <v>494</v>
      </c>
      <c r="M38" s="166"/>
      <c r="N38" s="163">
        <v>8.1999999999999993</v>
      </c>
      <c r="O38" s="166"/>
      <c r="P38" s="167">
        <v>15.009776301954918</v>
      </c>
      <c r="Q38" s="168">
        <f>LEFT(H38,(FIND("K",H38,1)-1))*J38/100</f>
        <v>62.7</v>
      </c>
      <c r="R38" s="169">
        <v>14.457000000000001</v>
      </c>
      <c r="S38" s="168">
        <v>26.312999999999999</v>
      </c>
      <c r="T38" s="168">
        <v>656</v>
      </c>
      <c r="U38" s="168">
        <f t="shared" si="7"/>
        <v>45.375942450024205</v>
      </c>
      <c r="V38" s="169">
        <f t="shared" si="8"/>
        <v>45.057576103066921</v>
      </c>
      <c r="W38" s="170">
        <v>0.3</v>
      </c>
      <c r="X38" s="171">
        <f t="shared" si="1"/>
        <v>0.41966507177033491</v>
      </c>
      <c r="Y38" s="171">
        <f t="shared" si="12"/>
        <v>13.725475800000002</v>
      </c>
      <c r="Z38" s="171">
        <f t="shared" si="12"/>
        <v>24.981562199999999</v>
      </c>
      <c r="AA38" s="171">
        <f t="shared" si="12"/>
        <v>622.80640000000005</v>
      </c>
      <c r="AB38" s="171">
        <f t="shared" si="5"/>
        <v>45.375942450024205</v>
      </c>
      <c r="AC38" s="171">
        <f t="shared" si="3"/>
        <v>45.057576103066921</v>
      </c>
      <c r="AD38" s="163">
        <v>31</v>
      </c>
      <c r="AE38" s="171">
        <f t="shared" si="6"/>
        <v>425.48974980000003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547.65</v>
      </c>
      <c r="J39" s="163">
        <v>100</v>
      </c>
      <c r="K39" s="163"/>
      <c r="L39" s="163">
        <v>457</v>
      </c>
      <c r="M39" s="166"/>
      <c r="N39" s="163">
        <v>15.6</v>
      </c>
      <c r="O39" s="166"/>
      <c r="P39" s="182">
        <v>24.719265693663598</v>
      </c>
      <c r="Q39" s="171">
        <f t="shared" ref="Q39:Q71" si="13">LEFT(H39,(FIND("K",H39,1)-1))*J39/100</f>
        <v>8</v>
      </c>
      <c r="R39" s="170">
        <v>5.5819999999999999</v>
      </c>
      <c r="S39" s="168">
        <v>6.5229999999999997</v>
      </c>
      <c r="T39" s="171">
        <v>23</v>
      </c>
      <c r="U39" s="171">
        <f t="shared" si="7"/>
        <v>4.1203869580795418</v>
      </c>
      <c r="V39" s="169">
        <f t="shared" si="8"/>
        <v>14.425877663651693</v>
      </c>
      <c r="W39" s="170">
        <v>0.3</v>
      </c>
      <c r="X39" s="171">
        <f t="shared" si="1"/>
        <v>0.81537499999999996</v>
      </c>
      <c r="Y39" s="171">
        <f t="shared" si="12"/>
        <v>5.2995507999999996</v>
      </c>
      <c r="Z39" s="171">
        <f t="shared" si="12"/>
        <v>6.1929362000000001</v>
      </c>
      <c r="AA39" s="171">
        <f t="shared" si="12"/>
        <v>21.836200000000002</v>
      </c>
      <c r="AB39" s="171">
        <f t="shared" si="5"/>
        <v>4.1203869580795418</v>
      </c>
      <c r="AC39" s="171">
        <f t="shared" si="3"/>
        <v>14.425877663651693</v>
      </c>
      <c r="AD39" s="163">
        <v>31</v>
      </c>
      <c r="AE39" s="171">
        <f t="shared" si="6"/>
        <v>164.28607479999999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449</v>
      </c>
      <c r="M40" s="159"/>
      <c r="N40" s="163">
        <v>6.7</v>
      </c>
      <c r="O40" s="159"/>
      <c r="P40" s="160">
        <v>16.053985960604052</v>
      </c>
      <c r="Q40" s="171">
        <f t="shared" si="13"/>
        <v>25.3</v>
      </c>
      <c r="R40" s="170">
        <v>6.9089999999999998</v>
      </c>
      <c r="S40" s="168">
        <v>10.305</v>
      </c>
      <c r="T40" s="174">
        <v>739</v>
      </c>
      <c r="U40" s="171">
        <f t="shared" si="7"/>
        <v>106.96193370965408</v>
      </c>
      <c r="V40" s="169">
        <f t="shared" si="8"/>
        <v>32.954876273653568</v>
      </c>
      <c r="W40" s="170">
        <v>0.2</v>
      </c>
      <c r="X40" s="171">
        <f t="shared" si="1"/>
        <v>0.40731225296442686</v>
      </c>
      <c r="Y40" s="171">
        <f t="shared" si="12"/>
        <v>6.5594045999999997</v>
      </c>
      <c r="Z40" s="171">
        <f t="shared" si="12"/>
        <v>9.7835669999999997</v>
      </c>
      <c r="AA40" s="171">
        <f t="shared" si="12"/>
        <v>701.60660000000007</v>
      </c>
      <c r="AB40" s="171">
        <f t="shared" si="5"/>
        <v>106.96193370965408</v>
      </c>
      <c r="AC40" s="171">
        <f t="shared" si="3"/>
        <v>32.954876273653568</v>
      </c>
      <c r="AD40" s="163">
        <v>31</v>
      </c>
      <c r="AE40" s="171">
        <f t="shared" si="6"/>
        <v>203.3415426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55</v>
      </c>
      <c r="L41" s="163"/>
      <c r="M41" s="159">
        <v>0.8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6" si="14">R41*0.949</f>
        <v>0</v>
      </c>
      <c r="Z41" s="171">
        <f t="shared" si="14"/>
        <v>0</v>
      </c>
      <c r="AA41" s="171">
        <f t="shared" si="14"/>
        <v>0</v>
      </c>
      <c r="AB41" s="171">
        <f t="shared" si="5"/>
        <v>0</v>
      </c>
      <c r="AC41" s="171">
        <f t="shared" si="3"/>
        <v>0</v>
      </c>
      <c r="AD41" s="163">
        <v>0</v>
      </c>
      <c r="AE41" s="171">
        <f t="shared" si="6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85</v>
      </c>
      <c r="K42" s="158"/>
      <c r="L42" s="159">
        <v>217</v>
      </c>
      <c r="M42" s="159"/>
      <c r="N42" s="163">
        <v>3.8</v>
      </c>
      <c r="O42" s="159"/>
      <c r="P42" s="160">
        <v>40.137732019672725</v>
      </c>
      <c r="Q42" s="171">
        <f t="shared" si="13"/>
        <v>5.0999999999999996</v>
      </c>
      <c r="R42" s="170">
        <v>2.6459999999999999</v>
      </c>
      <c r="S42" s="168">
        <v>4.4400000000000004</v>
      </c>
      <c r="T42" s="174">
        <v>3</v>
      </c>
      <c r="U42" s="171">
        <f>T42/R42</f>
        <v>1.1337868480725624</v>
      </c>
      <c r="V42" s="169">
        <f t="shared" si="8"/>
        <v>40.405405405405418</v>
      </c>
      <c r="W42" s="170">
        <v>0.2</v>
      </c>
      <c r="X42" s="171">
        <f t="shared" si="1"/>
        <v>0.87058823529411777</v>
      </c>
      <c r="Y42" s="171">
        <f t="shared" ref="Y42:AA45" si="15">R42*0.9494</f>
        <v>2.5121123999999999</v>
      </c>
      <c r="Z42" s="171">
        <f t="shared" si="15"/>
        <v>4.2153360000000006</v>
      </c>
      <c r="AA42" s="171">
        <f t="shared" si="15"/>
        <v>2.8482000000000003</v>
      </c>
      <c r="AB42" s="171">
        <f t="shared" si="5"/>
        <v>1.1337868480725624</v>
      </c>
      <c r="AC42" s="171">
        <f t="shared" si="3"/>
        <v>40.405405405405418</v>
      </c>
      <c r="AD42" s="163">
        <v>31</v>
      </c>
      <c r="AE42" s="171">
        <f t="shared" si="6"/>
        <v>77.875484399999991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428</v>
      </c>
      <c r="M43" s="166"/>
      <c r="N43" s="163">
        <v>3.1</v>
      </c>
      <c r="O43" s="166"/>
      <c r="P43" s="182">
        <v>15.352754123709158</v>
      </c>
      <c r="Q43" s="171">
        <f t="shared" si="13"/>
        <v>11.05</v>
      </c>
      <c r="R43" s="170">
        <v>3.129</v>
      </c>
      <c r="S43" s="168">
        <v>4.1929999999999996</v>
      </c>
      <c r="T43" s="171">
        <v>5</v>
      </c>
      <c r="U43" s="171">
        <f t="shared" si="7"/>
        <v>1.5979546180888462</v>
      </c>
      <c r="V43" s="169">
        <f t="shared" si="8"/>
        <v>25.375626043405671</v>
      </c>
      <c r="W43" s="170">
        <v>0.3</v>
      </c>
      <c r="X43" s="171">
        <f t="shared" si="1"/>
        <v>0.37945701357466055</v>
      </c>
      <c r="Y43" s="171">
        <f t="shared" si="15"/>
        <v>2.9706725999999999</v>
      </c>
      <c r="Z43" s="171">
        <f t="shared" si="15"/>
        <v>3.9808341999999999</v>
      </c>
      <c r="AA43" s="171">
        <f t="shared" si="15"/>
        <v>4.7469999999999999</v>
      </c>
      <c r="AB43" s="171">
        <f>U43</f>
        <v>1.5979546180888462</v>
      </c>
      <c r="AC43" s="171">
        <f t="shared" si="3"/>
        <v>25.375626043405671</v>
      </c>
      <c r="AD43" s="163">
        <v>31</v>
      </c>
      <c r="AE43" s="171">
        <f t="shared" si="6"/>
        <v>92.090850599999996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564.41999999999996</v>
      </c>
      <c r="J44" s="163">
        <v>85</v>
      </c>
      <c r="K44" s="163"/>
      <c r="L44" s="163">
        <v>180</v>
      </c>
      <c r="M44" s="166"/>
      <c r="N44" s="182">
        <v>3.5</v>
      </c>
      <c r="O44" s="166"/>
      <c r="P44" s="182">
        <v>39.564837982730765</v>
      </c>
      <c r="Q44" s="171">
        <f t="shared" si="13"/>
        <v>5.0999999999999996</v>
      </c>
      <c r="R44" s="170">
        <v>2.3820000000000001</v>
      </c>
      <c r="S44" s="168">
        <v>3.3159999999999998</v>
      </c>
      <c r="T44" s="171">
        <v>0</v>
      </c>
      <c r="U44" s="171">
        <f t="shared" si="7"/>
        <v>0</v>
      </c>
      <c r="V44" s="169">
        <f t="shared" si="8"/>
        <v>28.16646562123039</v>
      </c>
      <c r="W44" s="170">
        <v>0.2</v>
      </c>
      <c r="X44" s="171">
        <f t="shared" si="1"/>
        <v>0.65019607843137261</v>
      </c>
      <c r="Y44" s="171">
        <f t="shared" si="15"/>
        <v>2.2614708000000001</v>
      </c>
      <c r="Z44" s="171">
        <f t="shared" si="15"/>
        <v>3.1482104</v>
      </c>
      <c r="AA44" s="171">
        <f t="shared" si="15"/>
        <v>0</v>
      </c>
      <c r="AB44" s="171">
        <f>U44</f>
        <v>0</v>
      </c>
      <c r="AC44" s="171">
        <f t="shared" si="3"/>
        <v>28.16646562123039</v>
      </c>
      <c r="AD44" s="163">
        <v>31</v>
      </c>
      <c r="AE44" s="171">
        <f t="shared" si="6"/>
        <v>70.105594800000006</v>
      </c>
      <c r="AF44" s="179"/>
    </row>
    <row r="45" spans="1:32" ht="15.75" customHeight="1" x14ac:dyDescent="0.2">
      <c r="A45" s="163">
        <v>32</v>
      </c>
      <c r="B45" s="164" t="s">
        <v>60</v>
      </c>
      <c r="C45" s="163" t="s">
        <v>46</v>
      </c>
      <c r="D45" s="165">
        <v>638.9</v>
      </c>
      <c r="E45" s="163" t="s">
        <v>95</v>
      </c>
      <c r="F45" s="163">
        <v>177.8</v>
      </c>
      <c r="G45" s="163" t="s">
        <v>28</v>
      </c>
      <c r="H45" s="165" t="s">
        <v>48</v>
      </c>
      <c r="I45" s="158">
        <v>546.64</v>
      </c>
      <c r="J45" s="163">
        <v>100</v>
      </c>
      <c r="K45" s="163"/>
      <c r="L45" s="166">
        <v>456</v>
      </c>
      <c r="M45" s="166"/>
      <c r="N45" s="163">
        <v>7.1</v>
      </c>
      <c r="O45" s="166"/>
      <c r="P45" s="167">
        <v>16.177564408303226</v>
      </c>
      <c r="Q45" s="168">
        <f t="shared" si="13"/>
        <v>13</v>
      </c>
      <c r="R45" s="169">
        <v>5.3179999999999996</v>
      </c>
      <c r="S45" s="168">
        <v>7.1440000000000001</v>
      </c>
      <c r="T45" s="168">
        <v>185</v>
      </c>
      <c r="U45" s="168">
        <f t="shared" si="7"/>
        <v>34.787514103046263</v>
      </c>
      <c r="V45" s="169">
        <f t="shared" si="8"/>
        <v>25.559910414333714</v>
      </c>
      <c r="W45" s="170">
        <v>0.3</v>
      </c>
      <c r="X45" s="171">
        <f t="shared" si="1"/>
        <v>0.54953846153846153</v>
      </c>
      <c r="Y45" s="171">
        <f t="shared" si="15"/>
        <v>5.0489091999999998</v>
      </c>
      <c r="Z45" s="171">
        <f t="shared" si="15"/>
        <v>6.7825136000000006</v>
      </c>
      <c r="AA45" s="171">
        <f t="shared" si="15"/>
        <v>175.63900000000001</v>
      </c>
      <c r="AB45" s="171">
        <f t="shared" si="5"/>
        <v>34.787514103046263</v>
      </c>
      <c r="AC45" s="171">
        <f t="shared" si="3"/>
        <v>25.559910414333714</v>
      </c>
      <c r="AD45" s="163">
        <v>31</v>
      </c>
      <c r="AE45" s="171">
        <f t="shared" si="6"/>
        <v>156.5161852</v>
      </c>
      <c r="AF45" s="179"/>
    </row>
    <row r="46" spans="1:32" ht="15.75" customHeight="1" x14ac:dyDescent="0.2">
      <c r="A46" s="163">
        <v>33</v>
      </c>
      <c r="B46" s="164" t="s">
        <v>119</v>
      </c>
      <c r="C46" s="163" t="s">
        <v>46</v>
      </c>
      <c r="D46" s="165">
        <v>654.07000000000005</v>
      </c>
      <c r="E46" s="163" t="s">
        <v>126</v>
      </c>
      <c r="F46" s="163">
        <v>177.8</v>
      </c>
      <c r="G46" s="163" t="s">
        <v>28</v>
      </c>
      <c r="H46" s="165" t="s">
        <v>48</v>
      </c>
      <c r="I46" s="158">
        <v>526.6</v>
      </c>
      <c r="J46" s="163">
        <v>0</v>
      </c>
      <c r="K46" s="166">
        <v>495</v>
      </c>
      <c r="L46" s="163"/>
      <c r="M46" s="166">
        <v>20.2</v>
      </c>
      <c r="N46" s="163">
        <v>0</v>
      </c>
      <c r="O46" s="166"/>
      <c r="P46" s="167">
        <v>0</v>
      </c>
      <c r="Q46" s="168">
        <f t="shared" si="13"/>
        <v>0</v>
      </c>
      <c r="R46" s="169">
        <v>0</v>
      </c>
      <c r="S46" s="168">
        <v>0</v>
      </c>
      <c r="T46" s="168">
        <v>0</v>
      </c>
      <c r="U46" s="168">
        <v>0</v>
      </c>
      <c r="V46" s="169">
        <v>0</v>
      </c>
      <c r="W46" s="170">
        <v>0</v>
      </c>
      <c r="X46" s="171">
        <v>0</v>
      </c>
      <c r="Y46" s="171">
        <f t="shared" si="14"/>
        <v>0</v>
      </c>
      <c r="Z46" s="171">
        <f t="shared" si="14"/>
        <v>0</v>
      </c>
      <c r="AA46" s="171">
        <f t="shared" si="14"/>
        <v>0</v>
      </c>
      <c r="AB46" s="171">
        <f t="shared" si="5"/>
        <v>0</v>
      </c>
      <c r="AC46" s="171">
        <f t="shared" si="3"/>
        <v>0</v>
      </c>
      <c r="AD46" s="163">
        <v>0</v>
      </c>
      <c r="AE46" s="171">
        <f t="shared" si="6"/>
        <v>0</v>
      </c>
      <c r="AF46" s="190" t="s">
        <v>215</v>
      </c>
    </row>
    <row r="47" spans="1:32" ht="15.75" customHeight="1" x14ac:dyDescent="0.2">
      <c r="A47" s="163">
        <v>34</v>
      </c>
      <c r="B47" s="164" t="s">
        <v>118</v>
      </c>
      <c r="C47" s="163" t="s">
        <v>46</v>
      </c>
      <c r="D47" s="165">
        <v>728.77</v>
      </c>
      <c r="E47" s="163" t="s">
        <v>133</v>
      </c>
      <c r="F47" s="163">
        <v>177.8</v>
      </c>
      <c r="G47" s="163" t="s">
        <v>28</v>
      </c>
      <c r="H47" s="165" t="s">
        <v>48</v>
      </c>
      <c r="I47" s="158">
        <v>557.04999999999995</v>
      </c>
      <c r="J47" s="163">
        <v>100</v>
      </c>
      <c r="K47" s="163"/>
      <c r="L47" s="166">
        <v>436</v>
      </c>
      <c r="M47" s="166"/>
      <c r="N47" s="163">
        <v>7.4</v>
      </c>
      <c r="O47" s="166"/>
      <c r="P47" s="167">
        <v>20.314189534488687</v>
      </c>
      <c r="Q47" s="168">
        <f t="shared" si="13"/>
        <v>13</v>
      </c>
      <c r="R47" s="169">
        <v>2.0430000000000001</v>
      </c>
      <c r="S47" s="168">
        <v>6.468</v>
      </c>
      <c r="T47" s="168">
        <v>45</v>
      </c>
      <c r="U47" s="168">
        <f>T47/R47</f>
        <v>22.026431718061673</v>
      </c>
      <c r="V47" s="169">
        <f t="shared" si="8"/>
        <v>68.41372912801485</v>
      </c>
      <c r="W47" s="170">
        <v>0.3</v>
      </c>
      <c r="X47" s="171">
        <f t="shared" ref="X47:X54" si="16">S47/Q47</f>
        <v>0.49753846153846154</v>
      </c>
      <c r="Y47" s="171">
        <f t="shared" ref="Y47:AA54" si="17">R47*0.9494</f>
        <v>1.9396242000000001</v>
      </c>
      <c r="Z47" s="171">
        <f t="shared" si="17"/>
        <v>6.1407192000000004</v>
      </c>
      <c r="AA47" s="171">
        <f t="shared" si="17"/>
        <v>42.722999999999999</v>
      </c>
      <c r="AB47" s="171">
        <f t="shared" si="5"/>
        <v>22.026431718061673</v>
      </c>
      <c r="AC47" s="171">
        <f t="shared" si="3"/>
        <v>68.41372912801485</v>
      </c>
      <c r="AD47" s="163">
        <v>31</v>
      </c>
      <c r="AE47" s="171">
        <f t="shared" si="6"/>
        <v>60.128350200000007</v>
      </c>
      <c r="AF47" s="179"/>
    </row>
    <row r="48" spans="1:32" ht="15.75" customHeight="1" x14ac:dyDescent="0.2">
      <c r="A48" s="163">
        <v>35</v>
      </c>
      <c r="B48" s="164" t="s">
        <v>117</v>
      </c>
      <c r="C48" s="163" t="s">
        <v>46</v>
      </c>
      <c r="D48" s="165">
        <v>671.45</v>
      </c>
      <c r="E48" s="163" t="s">
        <v>128</v>
      </c>
      <c r="F48" s="163">
        <v>177.8</v>
      </c>
      <c r="G48" s="163" t="s">
        <v>28</v>
      </c>
      <c r="H48" s="165" t="s">
        <v>187</v>
      </c>
      <c r="I48" s="158">
        <v>559.39</v>
      </c>
      <c r="J48" s="163">
        <v>265</v>
      </c>
      <c r="K48" s="163"/>
      <c r="L48" s="166">
        <v>452</v>
      </c>
      <c r="M48" s="166"/>
      <c r="N48" s="163">
        <v>7.2</v>
      </c>
      <c r="O48" s="166"/>
      <c r="P48" s="167">
        <v>18.542942292488728</v>
      </c>
      <c r="Q48" s="168">
        <f t="shared" si="13"/>
        <v>15.9</v>
      </c>
      <c r="R48" s="169">
        <v>2.8889999999999998</v>
      </c>
      <c r="S48" s="168">
        <v>5.532</v>
      </c>
      <c r="T48" s="168">
        <v>3</v>
      </c>
      <c r="U48" s="168">
        <f t="shared" ref="U48:U56" si="18">T48/R48</f>
        <v>1.0384215991692627</v>
      </c>
      <c r="V48" s="169">
        <f t="shared" si="8"/>
        <v>47.776572668112806</v>
      </c>
      <c r="W48" s="170">
        <v>0.9</v>
      </c>
      <c r="X48" s="171">
        <v>0.2</v>
      </c>
      <c r="Y48" s="171">
        <f t="shared" si="17"/>
        <v>2.7428165999999998</v>
      </c>
      <c r="Z48" s="171">
        <f t="shared" si="17"/>
        <v>5.2520807999999999</v>
      </c>
      <c r="AA48" s="171">
        <f t="shared" si="17"/>
        <v>2.8482000000000003</v>
      </c>
      <c r="AB48" s="171">
        <f t="shared" si="5"/>
        <v>1.0384215991692627</v>
      </c>
      <c r="AC48" s="171">
        <f t="shared" si="3"/>
        <v>47.776572668112806</v>
      </c>
      <c r="AD48" s="163">
        <v>31</v>
      </c>
      <c r="AE48" s="171">
        <f t="shared" si="6"/>
        <v>85.027314599999997</v>
      </c>
      <c r="AF48" s="172"/>
    </row>
    <row r="49" spans="1:32" ht="15.75" customHeight="1" x14ac:dyDescent="0.2">
      <c r="A49" s="163">
        <v>36</v>
      </c>
      <c r="B49" s="164" t="s">
        <v>130</v>
      </c>
      <c r="C49" s="163" t="s">
        <v>46</v>
      </c>
      <c r="D49" s="165">
        <v>622.6</v>
      </c>
      <c r="E49" s="163" t="s">
        <v>134</v>
      </c>
      <c r="F49" s="163">
        <v>177.8</v>
      </c>
      <c r="G49" s="163" t="s">
        <v>28</v>
      </c>
      <c r="H49" s="165" t="s">
        <v>48</v>
      </c>
      <c r="I49" s="158">
        <v>551.79999999999995</v>
      </c>
      <c r="J49" s="163">
        <v>85</v>
      </c>
      <c r="K49" s="163"/>
      <c r="L49" s="166">
        <v>71</v>
      </c>
      <c r="M49" s="166"/>
      <c r="N49" s="163">
        <v>3</v>
      </c>
      <c r="O49" s="166"/>
      <c r="P49" s="167">
        <v>52.127630434854765</v>
      </c>
      <c r="Q49" s="168">
        <f t="shared" si="13"/>
        <v>11.05</v>
      </c>
      <c r="R49" s="169">
        <v>7.4999999999999997E-2</v>
      </c>
      <c r="S49" s="168">
        <v>7.5810000000000004</v>
      </c>
      <c r="T49" s="168">
        <v>0</v>
      </c>
      <c r="U49" s="168">
        <f t="shared" si="18"/>
        <v>0</v>
      </c>
      <c r="V49" s="169">
        <f t="shared" si="8"/>
        <v>99.010684606252468</v>
      </c>
      <c r="W49" s="170">
        <v>0</v>
      </c>
      <c r="X49" s="171">
        <f t="shared" si="16"/>
        <v>0.68606334841628958</v>
      </c>
      <c r="Y49" s="171">
        <f t="shared" si="17"/>
        <v>7.1205000000000004E-2</v>
      </c>
      <c r="Z49" s="171">
        <f t="shared" si="17"/>
        <v>7.1974014000000004</v>
      </c>
      <c r="AA49" s="171">
        <f t="shared" si="17"/>
        <v>0</v>
      </c>
      <c r="AB49" s="171">
        <f t="shared" si="5"/>
        <v>0</v>
      </c>
      <c r="AC49" s="171">
        <f t="shared" si="3"/>
        <v>99.010684606252468</v>
      </c>
      <c r="AD49" s="163">
        <v>31</v>
      </c>
      <c r="AE49" s="171">
        <f t="shared" si="6"/>
        <v>2.2073550000000002</v>
      </c>
      <c r="AF49" s="172"/>
    </row>
    <row r="50" spans="1:32" ht="15.75" customHeight="1" x14ac:dyDescent="0.2">
      <c r="A50" s="194">
        <v>37</v>
      </c>
      <c r="B50" s="193" t="s">
        <v>115</v>
      </c>
      <c r="C50" s="194" t="s">
        <v>46</v>
      </c>
      <c r="D50" s="195">
        <v>671.43</v>
      </c>
      <c r="E50" s="194" t="s">
        <v>286</v>
      </c>
      <c r="F50" s="163">
        <v>177.8</v>
      </c>
      <c r="G50" s="194" t="s">
        <v>28</v>
      </c>
      <c r="H50" s="195" t="s">
        <v>291</v>
      </c>
      <c r="I50" s="196">
        <v>565.80999999999995</v>
      </c>
      <c r="J50" s="194">
        <v>260</v>
      </c>
      <c r="K50" s="194"/>
      <c r="L50" s="197">
        <v>445</v>
      </c>
      <c r="M50" s="197"/>
      <c r="N50" s="163">
        <v>3.6</v>
      </c>
      <c r="O50" s="197"/>
      <c r="P50" s="198">
        <v>15.498825472864038</v>
      </c>
      <c r="Q50" s="199">
        <f t="shared" si="13"/>
        <v>7.8</v>
      </c>
      <c r="R50" s="200">
        <v>3.5310000000000001</v>
      </c>
      <c r="S50" s="168">
        <v>3.6720000000000002</v>
      </c>
      <c r="T50" s="199">
        <v>1</v>
      </c>
      <c r="U50" s="168">
        <f t="shared" si="18"/>
        <v>0.28320589068252616</v>
      </c>
      <c r="V50" s="169">
        <f t="shared" si="8"/>
        <v>3.8398692810457518</v>
      </c>
      <c r="W50" s="201">
        <v>0.3</v>
      </c>
      <c r="X50" s="171">
        <f t="shared" si="16"/>
        <v>0.47076923076923077</v>
      </c>
      <c r="Y50" s="171">
        <f t="shared" si="17"/>
        <v>3.3523314000000002</v>
      </c>
      <c r="Z50" s="171">
        <f t="shared" si="17"/>
        <v>3.4861968000000001</v>
      </c>
      <c r="AA50" s="171">
        <f t="shared" si="17"/>
        <v>0.94940000000000002</v>
      </c>
      <c r="AB50" s="202">
        <f t="shared" si="5"/>
        <v>0.28320589068252616</v>
      </c>
      <c r="AC50" s="171">
        <f t="shared" si="3"/>
        <v>3.8398692810457518</v>
      </c>
      <c r="AD50" s="163">
        <v>31</v>
      </c>
      <c r="AE50" s="202">
        <f t="shared" si="6"/>
        <v>103.92227340000001</v>
      </c>
      <c r="AF50" s="172"/>
    </row>
    <row r="51" spans="1:32" ht="15.75" customHeight="1" x14ac:dyDescent="0.2">
      <c r="A51" s="163">
        <v>38</v>
      </c>
      <c r="B51" s="164" t="s">
        <v>116</v>
      </c>
      <c r="C51" s="163" t="s">
        <v>46</v>
      </c>
      <c r="D51" s="165">
        <v>681.27</v>
      </c>
      <c r="E51" s="163" t="s">
        <v>124</v>
      </c>
      <c r="F51" s="163">
        <v>177.8</v>
      </c>
      <c r="G51" s="163" t="s">
        <v>28</v>
      </c>
      <c r="H51" s="165" t="s">
        <v>53</v>
      </c>
      <c r="I51" s="158">
        <v>558.35</v>
      </c>
      <c r="J51" s="163">
        <v>160</v>
      </c>
      <c r="K51" s="163"/>
      <c r="L51" s="166">
        <v>384</v>
      </c>
      <c r="M51" s="166"/>
      <c r="N51" s="163">
        <v>0.5</v>
      </c>
      <c r="O51" s="166"/>
      <c r="P51" s="167">
        <v>18.220035603175322</v>
      </c>
      <c r="Q51" s="199">
        <f t="shared" si="13"/>
        <v>20.8</v>
      </c>
      <c r="R51" s="169">
        <v>1.8160000000000001</v>
      </c>
      <c r="S51" s="168">
        <v>2.9689999999999999</v>
      </c>
      <c r="T51" s="168">
        <v>0</v>
      </c>
      <c r="U51" s="168">
        <f t="shared" si="18"/>
        <v>0</v>
      </c>
      <c r="V51" s="169">
        <f t="shared" si="8"/>
        <v>38.834624452677666</v>
      </c>
      <c r="W51" s="170">
        <v>0.3</v>
      </c>
      <c r="X51" s="171">
        <f t="shared" si="16"/>
        <v>0.1427403846153846</v>
      </c>
      <c r="Y51" s="171">
        <f t="shared" si="17"/>
        <v>1.7241104</v>
      </c>
      <c r="Z51" s="171">
        <f t="shared" si="17"/>
        <v>2.8187685999999998</v>
      </c>
      <c r="AA51" s="171">
        <f t="shared" si="17"/>
        <v>0</v>
      </c>
      <c r="AB51" s="171">
        <f t="shared" si="5"/>
        <v>0</v>
      </c>
      <c r="AC51" s="171">
        <f t="shared" si="3"/>
        <v>38.834624452677666</v>
      </c>
      <c r="AD51" s="163">
        <v>31</v>
      </c>
      <c r="AE51" s="171">
        <f t="shared" si="6"/>
        <v>53.447422400000001</v>
      </c>
      <c r="AF51" s="172"/>
    </row>
    <row r="52" spans="1:32" ht="15.75" customHeight="1" x14ac:dyDescent="0.2">
      <c r="A52" s="163">
        <v>39</v>
      </c>
      <c r="B52" s="164" t="s">
        <v>120</v>
      </c>
      <c r="C52" s="163" t="s">
        <v>46</v>
      </c>
      <c r="D52" s="165">
        <v>668.57</v>
      </c>
      <c r="E52" s="163" t="s">
        <v>285</v>
      </c>
      <c r="F52" s="163">
        <v>177.8</v>
      </c>
      <c r="G52" s="163" t="s">
        <v>28</v>
      </c>
      <c r="H52" s="165" t="s">
        <v>48</v>
      </c>
      <c r="I52" s="158">
        <v>567.08000000000004</v>
      </c>
      <c r="J52" s="163">
        <v>110</v>
      </c>
      <c r="K52" s="163"/>
      <c r="L52" s="166">
        <v>407</v>
      </c>
      <c r="M52" s="166"/>
      <c r="N52" s="163">
        <v>1.1000000000000001</v>
      </c>
      <c r="O52" s="166"/>
      <c r="P52" s="167">
        <v>16.995289152153124</v>
      </c>
      <c r="Q52" s="168">
        <f t="shared" si="13"/>
        <v>14.3</v>
      </c>
      <c r="R52" s="169">
        <v>3.198</v>
      </c>
      <c r="S52" s="168">
        <v>4.085</v>
      </c>
      <c r="T52" s="168">
        <v>4.2</v>
      </c>
      <c r="U52" s="168">
        <f t="shared" si="18"/>
        <v>1.3133208255159476</v>
      </c>
      <c r="V52" s="169">
        <f t="shared" si="8"/>
        <v>21.713586291309671</v>
      </c>
      <c r="W52" s="170">
        <v>0.9</v>
      </c>
      <c r="X52" s="171">
        <f t="shared" si="16"/>
        <v>0.28566433566433563</v>
      </c>
      <c r="Y52" s="171">
        <f t="shared" si="17"/>
        <v>3.0361812000000001</v>
      </c>
      <c r="Z52" s="171">
        <f t="shared" si="17"/>
        <v>3.8782990000000002</v>
      </c>
      <c r="AA52" s="171">
        <f t="shared" si="17"/>
        <v>3.9874800000000001</v>
      </c>
      <c r="AB52" s="171">
        <f t="shared" si="5"/>
        <v>1.3133208255159476</v>
      </c>
      <c r="AC52" s="171">
        <f t="shared" si="3"/>
        <v>21.713586291309671</v>
      </c>
      <c r="AD52" s="163">
        <v>31</v>
      </c>
      <c r="AE52" s="171">
        <f t="shared" si="6"/>
        <v>94.121617200000003</v>
      </c>
      <c r="AF52" s="172"/>
    </row>
    <row r="53" spans="1:32" ht="15.75" customHeight="1" x14ac:dyDescent="0.2">
      <c r="A53" s="163">
        <v>40</v>
      </c>
      <c r="B53" s="164" t="s">
        <v>114</v>
      </c>
      <c r="C53" s="163" t="s">
        <v>46</v>
      </c>
      <c r="D53" s="165">
        <v>584.25</v>
      </c>
      <c r="E53" s="163" t="s">
        <v>123</v>
      </c>
      <c r="F53" s="163">
        <v>177.8</v>
      </c>
      <c r="G53" s="163" t="s">
        <v>28</v>
      </c>
      <c r="H53" s="165" t="s">
        <v>125</v>
      </c>
      <c r="I53" s="158">
        <v>565.08000000000004</v>
      </c>
      <c r="J53" s="163">
        <v>240</v>
      </c>
      <c r="K53" s="163"/>
      <c r="L53" s="166">
        <v>70</v>
      </c>
      <c r="M53" s="166"/>
      <c r="N53" s="163">
        <v>0.8</v>
      </c>
      <c r="O53" s="166"/>
      <c r="P53" s="167">
        <v>49.528853192352678</v>
      </c>
      <c r="Q53" s="168">
        <f t="shared" si="13"/>
        <v>7.2</v>
      </c>
      <c r="R53" s="169">
        <v>0.33</v>
      </c>
      <c r="S53" s="168">
        <v>0.80500000000000005</v>
      </c>
      <c r="T53" s="168">
        <v>0</v>
      </c>
      <c r="U53" s="168">
        <f t="shared" si="18"/>
        <v>0</v>
      </c>
      <c r="V53" s="169">
        <f t="shared" si="8"/>
        <v>59.006211180124225</v>
      </c>
      <c r="W53" s="170">
        <v>0.3</v>
      </c>
      <c r="X53" s="171">
        <f t="shared" si="16"/>
        <v>0.11180555555555556</v>
      </c>
      <c r="Y53" s="171">
        <f t="shared" si="17"/>
        <v>0.31330200000000002</v>
      </c>
      <c r="Z53" s="171">
        <f t="shared" si="17"/>
        <v>0.76426700000000003</v>
      </c>
      <c r="AA53" s="171">
        <f t="shared" si="17"/>
        <v>0</v>
      </c>
      <c r="AB53" s="171">
        <f t="shared" si="5"/>
        <v>0</v>
      </c>
      <c r="AC53" s="171">
        <f t="shared" si="3"/>
        <v>59.006211180124225</v>
      </c>
      <c r="AD53" s="163">
        <v>31</v>
      </c>
      <c r="AE53" s="171">
        <f t="shared" si="6"/>
        <v>9.7123620000000006</v>
      </c>
      <c r="AF53" s="203"/>
    </row>
    <row r="54" spans="1:32" ht="15.75" customHeight="1" x14ac:dyDescent="0.2">
      <c r="A54" s="163">
        <v>41</v>
      </c>
      <c r="B54" s="164" t="s">
        <v>106</v>
      </c>
      <c r="C54" s="163" t="s">
        <v>46</v>
      </c>
      <c r="D54" s="165">
        <v>642.52</v>
      </c>
      <c r="E54" s="163" t="s">
        <v>111</v>
      </c>
      <c r="F54" s="163">
        <v>177.8</v>
      </c>
      <c r="G54" s="163" t="s">
        <v>28</v>
      </c>
      <c r="H54" s="165" t="s">
        <v>52</v>
      </c>
      <c r="I54" s="158">
        <v>556.65</v>
      </c>
      <c r="J54" s="163">
        <v>75</v>
      </c>
      <c r="K54" s="163"/>
      <c r="L54" s="163">
        <v>199</v>
      </c>
      <c r="M54" s="163"/>
      <c r="N54" s="163">
        <v>7.3</v>
      </c>
      <c r="O54" s="163"/>
      <c r="P54" s="182">
        <v>44.036040268551588</v>
      </c>
      <c r="Q54" s="171">
        <f t="shared" si="13"/>
        <v>16.5</v>
      </c>
      <c r="R54" s="170">
        <v>0.33600000000000002</v>
      </c>
      <c r="S54" s="168">
        <v>3.8610000000000002</v>
      </c>
      <c r="T54" s="171">
        <v>15.6</v>
      </c>
      <c r="U54" s="168">
        <f t="shared" si="18"/>
        <v>46.428571428571423</v>
      </c>
      <c r="V54" s="169">
        <f t="shared" si="8"/>
        <v>91.29759129759131</v>
      </c>
      <c r="W54" s="170">
        <v>0.1</v>
      </c>
      <c r="X54" s="171">
        <f t="shared" si="16"/>
        <v>0.23400000000000001</v>
      </c>
      <c r="Y54" s="171">
        <f t="shared" si="17"/>
        <v>0.31899840000000002</v>
      </c>
      <c r="Z54" s="171">
        <f t="shared" si="17"/>
        <v>3.6656334000000004</v>
      </c>
      <c r="AA54" s="171">
        <f t="shared" si="17"/>
        <v>14.810639999999999</v>
      </c>
      <c r="AB54" s="171">
        <f t="shared" si="5"/>
        <v>46.428571428571423</v>
      </c>
      <c r="AC54" s="171">
        <f t="shared" si="3"/>
        <v>91.29759129759131</v>
      </c>
      <c r="AD54" s="163">
        <v>31</v>
      </c>
      <c r="AE54" s="171">
        <f t="shared" si="6"/>
        <v>9.8889504000000006</v>
      </c>
      <c r="AF54" s="343"/>
    </row>
    <row r="55" spans="1:32" ht="15.75" customHeight="1" x14ac:dyDescent="0.2">
      <c r="A55" s="163">
        <v>42</v>
      </c>
      <c r="B55" s="164" t="s">
        <v>105</v>
      </c>
      <c r="C55" s="163" t="s">
        <v>46</v>
      </c>
      <c r="D55" s="165">
        <v>678.58</v>
      </c>
      <c r="E55" s="163" t="s">
        <v>110</v>
      </c>
      <c r="F55" s="163">
        <v>177.8</v>
      </c>
      <c r="G55" s="163" t="s">
        <v>28</v>
      </c>
      <c r="H55" s="165" t="s">
        <v>52</v>
      </c>
      <c r="I55" s="158">
        <v>529.41</v>
      </c>
      <c r="J55" s="163">
        <v>0</v>
      </c>
      <c r="K55" s="163">
        <v>282</v>
      </c>
      <c r="L55" s="163"/>
      <c r="M55" s="163">
        <v>0.2</v>
      </c>
      <c r="N55" s="163"/>
      <c r="O55" s="163"/>
      <c r="P55" s="182">
        <v>49.965969546844889</v>
      </c>
      <c r="Q55" s="171">
        <f t="shared" si="13"/>
        <v>0</v>
      </c>
      <c r="R55" s="170">
        <v>0</v>
      </c>
      <c r="S55" s="168">
        <v>0</v>
      </c>
      <c r="T55" s="171">
        <v>0</v>
      </c>
      <c r="U55" s="168">
        <f>IF(R55=0,0,T55/R55)</f>
        <v>0</v>
      </c>
      <c r="V55" s="169">
        <v>0</v>
      </c>
      <c r="W55" s="170">
        <v>0</v>
      </c>
      <c r="X55" s="171">
        <v>0</v>
      </c>
      <c r="Y55" s="171">
        <f t="shared" ref="Y55:AA56" si="19">R55</f>
        <v>0</v>
      </c>
      <c r="Z55" s="171">
        <f t="shared" si="19"/>
        <v>0</v>
      </c>
      <c r="AA55" s="171">
        <f t="shared" si="19"/>
        <v>0</v>
      </c>
      <c r="AB55" s="171">
        <f t="shared" si="5"/>
        <v>0</v>
      </c>
      <c r="AC55" s="171">
        <f t="shared" si="3"/>
        <v>0</v>
      </c>
      <c r="AD55" s="163">
        <v>0</v>
      </c>
      <c r="AE55" s="171">
        <f t="shared" si="6"/>
        <v>0</v>
      </c>
      <c r="AF55" s="172" t="s">
        <v>215</v>
      </c>
    </row>
    <row r="56" spans="1:32" ht="15.75" customHeight="1" x14ac:dyDescent="0.2">
      <c r="A56" s="163">
        <v>43</v>
      </c>
      <c r="B56" s="164" t="s">
        <v>104</v>
      </c>
      <c r="C56" s="163" t="s">
        <v>46</v>
      </c>
      <c r="D56" s="165">
        <v>707.14</v>
      </c>
      <c r="E56" s="163" t="s">
        <v>231</v>
      </c>
      <c r="F56" s="163">
        <v>177.8</v>
      </c>
      <c r="G56" s="163" t="s">
        <v>28</v>
      </c>
      <c r="H56" s="165" t="s">
        <v>52</v>
      </c>
      <c r="I56" s="158">
        <v>555</v>
      </c>
      <c r="J56" s="163">
        <v>85</v>
      </c>
      <c r="K56" s="163"/>
      <c r="L56" s="163">
        <v>444</v>
      </c>
      <c r="M56" s="163"/>
      <c r="N56" s="163">
        <v>8.3000000000000007</v>
      </c>
      <c r="O56" s="163"/>
      <c r="P56" s="182">
        <v>20.542121952258228</v>
      </c>
      <c r="Q56" s="171">
        <f t="shared" si="13"/>
        <v>18.7</v>
      </c>
      <c r="R56" s="170">
        <v>2.4060000000000001</v>
      </c>
      <c r="S56" s="168">
        <v>8.2379999999999995</v>
      </c>
      <c r="T56" s="171">
        <v>73</v>
      </c>
      <c r="U56" s="171">
        <f t="shared" si="18"/>
        <v>30.340814630091437</v>
      </c>
      <c r="V56" s="169">
        <f t="shared" si="8"/>
        <v>70.79388201019664</v>
      </c>
      <c r="W56" s="170">
        <v>0.3</v>
      </c>
      <c r="X56" s="171">
        <f>S56/Q56</f>
        <v>0.44053475935828879</v>
      </c>
      <c r="Y56" s="171">
        <f t="shared" si="19"/>
        <v>2.4060000000000001</v>
      </c>
      <c r="Z56" s="171">
        <f t="shared" si="19"/>
        <v>8.2379999999999995</v>
      </c>
      <c r="AA56" s="171">
        <f t="shared" si="19"/>
        <v>73</v>
      </c>
      <c r="AB56" s="171">
        <f t="shared" si="5"/>
        <v>30.340814630091437</v>
      </c>
      <c r="AC56" s="171">
        <f t="shared" si="3"/>
        <v>70.79388201019664</v>
      </c>
      <c r="AD56" s="163">
        <v>31</v>
      </c>
      <c r="AE56" s="171">
        <f t="shared" si="6"/>
        <v>74.585999999999999</v>
      </c>
      <c r="AF56" s="179"/>
    </row>
    <row r="57" spans="1:32" ht="15.75" customHeight="1" x14ac:dyDescent="0.2">
      <c r="A57" s="158">
        <v>44</v>
      </c>
      <c r="B57" s="204" t="s">
        <v>158</v>
      </c>
      <c r="C57" s="163" t="s">
        <v>46</v>
      </c>
      <c r="D57" s="158">
        <v>674.45</v>
      </c>
      <c r="E57" s="158" t="s">
        <v>232</v>
      </c>
      <c r="F57" s="163">
        <v>177.8</v>
      </c>
      <c r="G57" s="163" t="s">
        <v>28</v>
      </c>
      <c r="H57" s="165" t="s">
        <v>52</v>
      </c>
      <c r="I57" s="158">
        <v>543.72</v>
      </c>
      <c r="J57" s="158">
        <v>150</v>
      </c>
      <c r="K57" s="158"/>
      <c r="L57" s="158">
        <v>447</v>
      </c>
      <c r="M57" s="158"/>
      <c r="N57" s="163">
        <v>7.8</v>
      </c>
      <c r="O57" s="158"/>
      <c r="P57" s="160">
        <v>18.003047612384588</v>
      </c>
      <c r="Q57" s="171">
        <f t="shared" si="13"/>
        <v>33</v>
      </c>
      <c r="R57" s="170">
        <v>10.426</v>
      </c>
      <c r="S57" s="168">
        <v>13.051</v>
      </c>
      <c r="T57" s="174">
        <v>184</v>
      </c>
      <c r="U57" s="171">
        <f>T57/R57</f>
        <v>17.648187224247074</v>
      </c>
      <c r="V57" s="169">
        <f t="shared" si="8"/>
        <v>20.113401271933185</v>
      </c>
      <c r="W57" s="170">
        <v>0.3</v>
      </c>
      <c r="X57" s="171">
        <f t="shared" ref="X57:X73" si="20">S57/Q57</f>
        <v>0.39548484848484849</v>
      </c>
      <c r="Y57" s="171">
        <f t="shared" ref="Y57:AA57" si="21">R57*0.9494</f>
        <v>9.8984444000000007</v>
      </c>
      <c r="Z57" s="171">
        <f t="shared" si="21"/>
        <v>12.3906194</v>
      </c>
      <c r="AA57" s="171">
        <f t="shared" si="21"/>
        <v>174.68960000000001</v>
      </c>
      <c r="AB57" s="171">
        <f t="shared" si="5"/>
        <v>17.648187224247074</v>
      </c>
      <c r="AC57" s="171">
        <f t="shared" si="3"/>
        <v>20.113401271933185</v>
      </c>
      <c r="AD57" s="163">
        <v>31</v>
      </c>
      <c r="AE57" s="171">
        <f>Y57*AD57</f>
        <v>306.85177640000001</v>
      </c>
      <c r="AF57" s="172"/>
    </row>
    <row r="58" spans="1:32" ht="15.75" customHeight="1" x14ac:dyDescent="0.2">
      <c r="A58" s="158">
        <v>45</v>
      </c>
      <c r="B58" s="204" t="s">
        <v>160</v>
      </c>
      <c r="C58" s="163" t="s">
        <v>46</v>
      </c>
      <c r="D58" s="158">
        <v>677.33</v>
      </c>
      <c r="E58" s="158" t="s">
        <v>165</v>
      </c>
      <c r="F58" s="163">
        <v>177.8</v>
      </c>
      <c r="G58" s="163" t="s">
        <v>28</v>
      </c>
      <c r="H58" s="165" t="s">
        <v>52</v>
      </c>
      <c r="I58" s="158">
        <v>555.41999999999996</v>
      </c>
      <c r="J58" s="158">
        <v>0</v>
      </c>
      <c r="K58" s="158">
        <v>478</v>
      </c>
      <c r="L58" s="163"/>
      <c r="M58" s="158">
        <v>40.9</v>
      </c>
      <c r="N58" s="163"/>
      <c r="O58" s="158"/>
      <c r="P58" s="160">
        <v>0</v>
      </c>
      <c r="Q58" s="171">
        <f t="shared" si="13"/>
        <v>0</v>
      </c>
      <c r="R58" s="170">
        <v>0</v>
      </c>
      <c r="S58" s="168">
        <v>0</v>
      </c>
      <c r="T58" s="174">
        <v>0</v>
      </c>
      <c r="U58" s="171">
        <v>0</v>
      </c>
      <c r="V58" s="169">
        <v>0</v>
      </c>
      <c r="W58" s="170">
        <v>0</v>
      </c>
      <c r="X58" s="171">
        <v>0</v>
      </c>
      <c r="Y58" s="171">
        <f>R58</f>
        <v>0</v>
      </c>
      <c r="Z58" s="171">
        <f>S58</f>
        <v>0</v>
      </c>
      <c r="AA58" s="171">
        <f>T58</f>
        <v>0</v>
      </c>
      <c r="AB58" s="171">
        <f t="shared" si="5"/>
        <v>0</v>
      </c>
      <c r="AC58" s="171">
        <v>0</v>
      </c>
      <c r="AD58" s="163">
        <v>0</v>
      </c>
      <c r="AE58" s="171">
        <f>Y58*AD58</f>
        <v>0</v>
      </c>
      <c r="AF58" s="172" t="s">
        <v>237</v>
      </c>
    </row>
    <row r="59" spans="1:32" ht="15.75" customHeight="1" x14ac:dyDescent="0.2">
      <c r="A59" s="163">
        <v>46</v>
      </c>
      <c r="B59" s="164" t="s">
        <v>164</v>
      </c>
      <c r="C59" s="163" t="s">
        <v>46</v>
      </c>
      <c r="D59" s="158">
        <v>678.47</v>
      </c>
      <c r="E59" s="158" t="s">
        <v>233</v>
      </c>
      <c r="F59" s="163">
        <v>177.8</v>
      </c>
      <c r="G59" s="163" t="s">
        <v>28</v>
      </c>
      <c r="H59" s="165" t="s">
        <v>48</v>
      </c>
      <c r="I59" s="158">
        <v>563.11</v>
      </c>
      <c r="J59" s="158">
        <v>95</v>
      </c>
      <c r="K59" s="158"/>
      <c r="L59" s="158">
        <v>437</v>
      </c>
      <c r="M59" s="158"/>
      <c r="N59" s="163">
        <v>3.5</v>
      </c>
      <c r="O59" s="158"/>
      <c r="P59" s="182">
        <v>16.537594832300908</v>
      </c>
      <c r="Q59" s="171">
        <f t="shared" si="13"/>
        <v>12.35</v>
      </c>
      <c r="R59" s="170">
        <v>4.8099999999999996</v>
      </c>
      <c r="S59" s="168">
        <v>5.4770000000000003</v>
      </c>
      <c r="T59" s="171">
        <v>6</v>
      </c>
      <c r="U59" s="171">
        <f>T59/R59</f>
        <v>1.2474012474012475</v>
      </c>
      <c r="V59" s="169">
        <f t="shared" si="8"/>
        <v>12.178199744385624</v>
      </c>
      <c r="W59" s="170">
        <v>0.4</v>
      </c>
      <c r="X59" s="171">
        <f t="shared" si="20"/>
        <v>0.44348178137651828</v>
      </c>
      <c r="Y59" s="171">
        <f t="shared" ref="Y59:AA64" si="22">R59*0.9494</f>
        <v>4.5666139999999995</v>
      </c>
      <c r="Z59" s="171">
        <f t="shared" si="22"/>
        <v>5.1998638000000001</v>
      </c>
      <c r="AA59" s="171">
        <f t="shared" si="22"/>
        <v>5.6964000000000006</v>
      </c>
      <c r="AB59" s="171">
        <f t="shared" si="5"/>
        <v>1.2474012474012475</v>
      </c>
      <c r="AC59" s="171">
        <f t="shared" si="3"/>
        <v>12.178199744385624</v>
      </c>
      <c r="AD59" s="163">
        <v>31</v>
      </c>
      <c r="AE59" s="171">
        <f t="shared" ref="AE59:AE71" si="23">Y59*AD59</f>
        <v>141.565034</v>
      </c>
      <c r="AF59" s="172"/>
    </row>
    <row r="60" spans="1:32" ht="15.75" customHeight="1" x14ac:dyDescent="0.2">
      <c r="A60" s="163">
        <v>47</v>
      </c>
      <c r="B60" s="164" t="s">
        <v>61</v>
      </c>
      <c r="C60" s="163" t="s">
        <v>46</v>
      </c>
      <c r="D60" s="165">
        <v>667.18</v>
      </c>
      <c r="E60" s="163" t="s">
        <v>96</v>
      </c>
      <c r="F60" s="163">
        <v>177.8</v>
      </c>
      <c r="G60" s="163" t="s">
        <v>28</v>
      </c>
      <c r="H60" s="165" t="s">
        <v>52</v>
      </c>
      <c r="I60" s="158">
        <v>534.21</v>
      </c>
      <c r="J60" s="163">
        <v>85</v>
      </c>
      <c r="K60" s="163"/>
      <c r="L60" s="163">
        <v>318</v>
      </c>
      <c r="M60" s="163"/>
      <c r="N60" s="163">
        <v>8.6999999999999993</v>
      </c>
      <c r="O60" s="163"/>
      <c r="P60" s="182">
        <v>30.925628454716477</v>
      </c>
      <c r="Q60" s="171">
        <f t="shared" si="13"/>
        <v>18.7</v>
      </c>
      <c r="R60" s="170">
        <v>8.1660000000000004</v>
      </c>
      <c r="S60" s="168">
        <v>13.323</v>
      </c>
      <c r="T60" s="171">
        <v>75</v>
      </c>
      <c r="U60" s="171">
        <f>T60/R60</f>
        <v>9.1844232182218946</v>
      </c>
      <c r="V60" s="169">
        <f t="shared" si="8"/>
        <v>38.707498311191173</v>
      </c>
      <c r="W60" s="170">
        <v>0.2</v>
      </c>
      <c r="X60" s="171">
        <f t="shared" si="20"/>
        <v>0.7124598930481284</v>
      </c>
      <c r="Y60" s="171">
        <f t="shared" si="22"/>
        <v>7.7528004000000008</v>
      </c>
      <c r="Z60" s="171">
        <f t="shared" si="22"/>
        <v>12.648856200000001</v>
      </c>
      <c r="AA60" s="171">
        <f t="shared" si="22"/>
        <v>71.204999999999998</v>
      </c>
      <c r="AB60" s="171">
        <f t="shared" si="5"/>
        <v>9.1844232182218946</v>
      </c>
      <c r="AC60" s="171">
        <v>67</v>
      </c>
      <c r="AD60" s="163">
        <v>31</v>
      </c>
      <c r="AE60" s="171">
        <f t="shared" si="23"/>
        <v>240.33681240000001</v>
      </c>
      <c r="AF60" s="190"/>
    </row>
    <row r="61" spans="1:32" ht="15.75" customHeight="1" x14ac:dyDescent="0.2">
      <c r="A61" s="163">
        <v>48</v>
      </c>
      <c r="B61" s="164" t="s">
        <v>64</v>
      </c>
      <c r="C61" s="163" t="s">
        <v>46</v>
      </c>
      <c r="D61" s="165">
        <v>672.5</v>
      </c>
      <c r="E61" s="163" t="s">
        <v>234</v>
      </c>
      <c r="F61" s="163">
        <v>177.8</v>
      </c>
      <c r="G61" s="163" t="s">
        <v>28</v>
      </c>
      <c r="H61" s="165" t="s">
        <v>49</v>
      </c>
      <c r="I61" s="158">
        <v>533.70000000000005</v>
      </c>
      <c r="J61" s="163">
        <v>360</v>
      </c>
      <c r="K61" s="163"/>
      <c r="L61" s="163">
        <v>403</v>
      </c>
      <c r="M61" s="163"/>
      <c r="N61" s="163">
        <v>7.9</v>
      </c>
      <c r="O61" s="163"/>
      <c r="P61" s="182">
        <v>22.029962373361371</v>
      </c>
      <c r="Q61" s="171">
        <f t="shared" si="13"/>
        <v>115.2</v>
      </c>
      <c r="R61" s="170">
        <v>15.68</v>
      </c>
      <c r="S61" s="168">
        <v>19.510999999999999</v>
      </c>
      <c r="T61" s="171">
        <v>2727</v>
      </c>
      <c r="U61" s="171">
        <f>T61/R61</f>
        <v>173.9158163265306</v>
      </c>
      <c r="V61" s="169">
        <f t="shared" si="8"/>
        <v>19.63507764850597</v>
      </c>
      <c r="W61" s="170">
        <v>0.3</v>
      </c>
      <c r="X61" s="171">
        <f t="shared" si="20"/>
        <v>0.16936631944444444</v>
      </c>
      <c r="Y61" s="171">
        <f t="shared" si="22"/>
        <v>14.886592</v>
      </c>
      <c r="Z61" s="171">
        <f t="shared" si="22"/>
        <v>18.523743400000001</v>
      </c>
      <c r="AA61" s="171">
        <f t="shared" si="22"/>
        <v>2589.0138000000002</v>
      </c>
      <c r="AB61" s="171">
        <f t="shared" si="5"/>
        <v>173.9158163265306</v>
      </c>
      <c r="AC61" s="171">
        <f t="shared" si="3"/>
        <v>19.63507764850597</v>
      </c>
      <c r="AD61" s="163">
        <v>31</v>
      </c>
      <c r="AE61" s="171">
        <f t="shared" si="23"/>
        <v>461.484352</v>
      </c>
      <c r="AF61" s="179"/>
    </row>
    <row r="62" spans="1:32" ht="15.75" customHeight="1" x14ac:dyDescent="0.2">
      <c r="A62" s="163">
        <v>49</v>
      </c>
      <c r="B62" s="164" t="s">
        <v>156</v>
      </c>
      <c r="C62" s="163" t="s">
        <v>46</v>
      </c>
      <c r="D62" s="165">
        <v>679.54</v>
      </c>
      <c r="E62" s="163" t="s">
        <v>166</v>
      </c>
      <c r="F62" s="163">
        <v>177.8</v>
      </c>
      <c r="G62" s="163" t="s">
        <v>28</v>
      </c>
      <c r="H62" s="165" t="s">
        <v>52</v>
      </c>
      <c r="I62" s="158">
        <v>530.98</v>
      </c>
      <c r="J62" s="163">
        <v>155</v>
      </c>
      <c r="K62" s="163"/>
      <c r="L62" s="163">
        <v>447</v>
      </c>
      <c r="M62" s="163"/>
      <c r="N62" s="163">
        <v>8.1999999999999993</v>
      </c>
      <c r="O62" s="163"/>
      <c r="P62" s="182">
        <v>18.317200873497345</v>
      </c>
      <c r="Q62" s="171">
        <f t="shared" si="13"/>
        <v>34.1</v>
      </c>
      <c r="R62" s="170">
        <v>8.7970000000000006</v>
      </c>
      <c r="S62" s="168">
        <v>12.448</v>
      </c>
      <c r="T62" s="171">
        <v>288.39999999999998</v>
      </c>
      <c r="U62" s="171">
        <f>T62/R62</f>
        <v>32.783903603501187</v>
      </c>
      <c r="V62" s="169">
        <f t="shared" si="8"/>
        <v>29.330012853470432</v>
      </c>
      <c r="W62" s="170">
        <v>0.3</v>
      </c>
      <c r="X62" s="171">
        <f t="shared" si="20"/>
        <v>0.36504398826979473</v>
      </c>
      <c r="Y62" s="171">
        <f t="shared" si="22"/>
        <v>8.3518718000000014</v>
      </c>
      <c r="Z62" s="171">
        <f t="shared" si="22"/>
        <v>11.8181312</v>
      </c>
      <c r="AA62" s="171">
        <f t="shared" si="22"/>
        <v>273.80696</v>
      </c>
      <c r="AB62" s="171">
        <f t="shared" si="5"/>
        <v>32.783903603501187</v>
      </c>
      <c r="AC62" s="171">
        <f t="shared" si="3"/>
        <v>29.330012853470432</v>
      </c>
      <c r="AD62" s="163">
        <v>31</v>
      </c>
      <c r="AE62" s="171">
        <f t="shared" si="23"/>
        <v>258.90802580000002</v>
      </c>
      <c r="AF62" s="179"/>
    </row>
    <row r="63" spans="1:32" ht="15.75" customHeight="1" x14ac:dyDescent="0.2">
      <c r="A63" s="163">
        <v>50</v>
      </c>
      <c r="B63" s="164" t="s">
        <v>169</v>
      </c>
      <c r="C63" s="163" t="s">
        <v>46</v>
      </c>
      <c r="D63" s="165">
        <v>673</v>
      </c>
      <c r="E63" s="163" t="s">
        <v>170</v>
      </c>
      <c r="F63" s="163">
        <v>177.8</v>
      </c>
      <c r="G63" s="163" t="s">
        <v>28</v>
      </c>
      <c r="H63" s="165" t="s">
        <v>52</v>
      </c>
      <c r="I63" s="158">
        <v>541.48</v>
      </c>
      <c r="J63" s="163">
        <v>125</v>
      </c>
      <c r="K63" s="163"/>
      <c r="L63" s="163">
        <v>431</v>
      </c>
      <c r="M63" s="163"/>
      <c r="N63" s="163">
        <v>5.7</v>
      </c>
      <c r="O63" s="163"/>
      <c r="P63" s="182">
        <v>18.518794301295561</v>
      </c>
      <c r="Q63" s="171">
        <f t="shared" si="13"/>
        <v>27.5</v>
      </c>
      <c r="R63" s="170">
        <v>5.9180000000000001</v>
      </c>
      <c r="S63" s="168">
        <v>8.0990000000000002</v>
      </c>
      <c r="T63" s="171">
        <v>88</v>
      </c>
      <c r="U63" s="171">
        <f>T63/R63</f>
        <v>14.869888475836431</v>
      </c>
      <c r="V63" s="169">
        <f t="shared" si="8"/>
        <v>26.929250524756142</v>
      </c>
      <c r="W63" s="170">
        <v>0.3</v>
      </c>
      <c r="X63" s="171">
        <f t="shared" si="20"/>
        <v>0.29450909090909094</v>
      </c>
      <c r="Y63" s="171">
        <f t="shared" si="22"/>
        <v>5.6185492000000004</v>
      </c>
      <c r="Z63" s="171">
        <f t="shared" si="22"/>
        <v>7.6891906000000008</v>
      </c>
      <c r="AA63" s="171">
        <f t="shared" si="22"/>
        <v>83.547200000000004</v>
      </c>
      <c r="AB63" s="171">
        <f t="shared" si="5"/>
        <v>14.869888475836431</v>
      </c>
      <c r="AC63" s="171">
        <f t="shared" si="3"/>
        <v>26.929250524756142</v>
      </c>
      <c r="AD63" s="163">
        <v>31</v>
      </c>
      <c r="AE63" s="171">
        <f>Y63*AD63</f>
        <v>174.17502520000002</v>
      </c>
      <c r="AF63" s="179"/>
    </row>
    <row r="64" spans="1:32" ht="15.75" customHeight="1" x14ac:dyDescent="0.2">
      <c r="A64" s="163">
        <v>51</v>
      </c>
      <c r="B64" s="164" t="s">
        <v>62</v>
      </c>
      <c r="C64" s="163" t="s">
        <v>46</v>
      </c>
      <c r="D64" s="165">
        <v>673.73</v>
      </c>
      <c r="E64" s="163" t="s">
        <v>97</v>
      </c>
      <c r="F64" s="163">
        <v>177.8</v>
      </c>
      <c r="G64" s="163" t="s">
        <v>28</v>
      </c>
      <c r="H64" s="165" t="s">
        <v>49</v>
      </c>
      <c r="I64" s="158">
        <v>550</v>
      </c>
      <c r="J64" s="163">
        <v>285</v>
      </c>
      <c r="K64" s="163"/>
      <c r="L64" s="163">
        <v>438</v>
      </c>
      <c r="M64" s="163"/>
      <c r="N64" s="163">
        <v>4.5999999999999996</v>
      </c>
      <c r="O64" s="163"/>
      <c r="P64" s="182">
        <v>16.071895157359478</v>
      </c>
      <c r="Q64" s="171">
        <f t="shared" si="13"/>
        <v>91.2</v>
      </c>
      <c r="R64" s="170">
        <v>12.335000000000001</v>
      </c>
      <c r="S64" s="168">
        <v>13.5</v>
      </c>
      <c r="T64" s="171">
        <v>283</v>
      </c>
      <c r="U64" s="171">
        <f t="shared" si="7"/>
        <v>22.942845561410618</v>
      </c>
      <c r="V64" s="169">
        <f t="shared" si="8"/>
        <v>8.6296296296296227</v>
      </c>
      <c r="W64" s="170">
        <v>0.3</v>
      </c>
      <c r="X64" s="171">
        <f t="shared" si="20"/>
        <v>0.14802631578947367</v>
      </c>
      <c r="Y64" s="171">
        <f t="shared" si="22"/>
        <v>11.710849000000001</v>
      </c>
      <c r="Z64" s="171">
        <f t="shared" si="22"/>
        <v>12.8169</v>
      </c>
      <c r="AA64" s="171">
        <f t="shared" si="22"/>
        <v>268.68020000000001</v>
      </c>
      <c r="AB64" s="171">
        <f t="shared" si="5"/>
        <v>22.942845561410618</v>
      </c>
      <c r="AC64" s="171">
        <f t="shared" si="3"/>
        <v>8.6296296296296227</v>
      </c>
      <c r="AD64" s="163">
        <v>31</v>
      </c>
      <c r="AE64" s="171">
        <f t="shared" si="23"/>
        <v>363.03631900000005</v>
      </c>
      <c r="AF64" s="179"/>
    </row>
    <row r="65" spans="1:32" ht="15.75" x14ac:dyDescent="0.2">
      <c r="A65" s="163">
        <v>52</v>
      </c>
      <c r="B65" s="164" t="s">
        <v>157</v>
      </c>
      <c r="C65" s="163" t="s">
        <v>46</v>
      </c>
      <c r="D65" s="165">
        <v>676.73</v>
      </c>
      <c r="E65" s="163" t="s">
        <v>179</v>
      </c>
      <c r="F65" s="163">
        <v>177.8</v>
      </c>
      <c r="G65" s="163" t="s">
        <v>28</v>
      </c>
      <c r="H65" s="165" t="s">
        <v>218</v>
      </c>
      <c r="I65" s="158">
        <v>579.14</v>
      </c>
      <c r="J65" s="163">
        <v>130</v>
      </c>
      <c r="K65" s="163"/>
      <c r="L65" s="163">
        <v>155</v>
      </c>
      <c r="M65" s="163"/>
      <c r="N65" s="163">
        <v>8.6999999999999993</v>
      </c>
      <c r="O65" s="163"/>
      <c r="P65" s="182">
        <v>46.445987097462151</v>
      </c>
      <c r="Q65" s="171">
        <f t="shared" si="13"/>
        <v>41.6</v>
      </c>
      <c r="R65" s="170">
        <v>11.281000000000001</v>
      </c>
      <c r="S65" s="168">
        <v>32.296999999999997</v>
      </c>
      <c r="T65" s="171">
        <v>231.3</v>
      </c>
      <c r="U65" s="171">
        <f t="shared" si="7"/>
        <v>20.50350146263629</v>
      </c>
      <c r="V65" s="169">
        <f t="shared" si="8"/>
        <v>65.071059231507562</v>
      </c>
      <c r="W65" s="170">
        <v>0.3</v>
      </c>
      <c r="X65" s="171">
        <f t="shared" si="20"/>
        <v>0.77637019230769222</v>
      </c>
      <c r="Y65" s="171">
        <v>28.6</v>
      </c>
      <c r="Z65" s="171">
        <v>40.880000000000003</v>
      </c>
      <c r="AA65" s="171">
        <v>579.79999999999995</v>
      </c>
      <c r="AB65" s="171">
        <f t="shared" si="5"/>
        <v>20.50350146263629</v>
      </c>
      <c r="AC65" s="171">
        <v>30</v>
      </c>
      <c r="AD65" s="163">
        <v>31</v>
      </c>
      <c r="AE65" s="171">
        <f t="shared" si="23"/>
        <v>886.6</v>
      </c>
      <c r="AF65" s="321"/>
    </row>
    <row r="66" spans="1:32" ht="15.75" customHeight="1" x14ac:dyDescent="0.2">
      <c r="A66" s="163">
        <v>53</v>
      </c>
      <c r="B66" s="164" t="s">
        <v>159</v>
      </c>
      <c r="C66" s="163" t="s">
        <v>46</v>
      </c>
      <c r="D66" s="165">
        <v>676</v>
      </c>
      <c r="E66" s="163" t="s">
        <v>167</v>
      </c>
      <c r="F66" s="163">
        <v>177.8</v>
      </c>
      <c r="G66" s="163" t="s">
        <v>28</v>
      </c>
      <c r="H66" s="165" t="s">
        <v>218</v>
      </c>
      <c r="I66" s="158">
        <v>508.57</v>
      </c>
      <c r="J66" s="163">
        <v>180</v>
      </c>
      <c r="K66" s="163"/>
      <c r="L66" s="163">
        <v>160</v>
      </c>
      <c r="M66" s="163"/>
      <c r="N66" s="163">
        <v>8.5</v>
      </c>
      <c r="O66" s="163"/>
      <c r="P66" s="182">
        <v>40.117469282269127</v>
      </c>
      <c r="Q66" s="171">
        <f t="shared" si="13"/>
        <v>57.6</v>
      </c>
      <c r="R66" s="170">
        <v>43.195999999999998</v>
      </c>
      <c r="S66" s="168">
        <v>48.478999999999999</v>
      </c>
      <c r="T66" s="171">
        <v>951</v>
      </c>
      <c r="U66" s="171">
        <f t="shared" si="7"/>
        <v>22.01592740068525</v>
      </c>
      <c r="V66" s="169">
        <f t="shared" si="8"/>
        <v>10.897502011180102</v>
      </c>
      <c r="W66" s="170">
        <v>0.3</v>
      </c>
      <c r="X66" s="171">
        <f t="shared" si="20"/>
        <v>0.8416493055555555</v>
      </c>
      <c r="Y66" s="171">
        <v>18.3</v>
      </c>
      <c r="Z66" s="171">
        <v>21.37</v>
      </c>
      <c r="AA66" s="171">
        <v>490.49</v>
      </c>
      <c r="AB66" s="171">
        <f t="shared" si="5"/>
        <v>22.01592740068525</v>
      </c>
      <c r="AC66" s="171">
        <v>14.18</v>
      </c>
      <c r="AD66" s="163">
        <v>31</v>
      </c>
      <c r="AE66" s="171">
        <f t="shared" si="23"/>
        <v>567.30000000000007</v>
      </c>
      <c r="AF66" s="321"/>
    </row>
    <row r="67" spans="1:32" ht="15.75" customHeight="1" x14ac:dyDescent="0.2">
      <c r="A67" s="163">
        <v>54</v>
      </c>
      <c r="B67" s="164" t="s">
        <v>210</v>
      </c>
      <c r="C67" s="163" t="s">
        <v>46</v>
      </c>
      <c r="D67" s="165">
        <v>728.32</v>
      </c>
      <c r="E67" s="163" t="s">
        <v>226</v>
      </c>
      <c r="F67" s="163">
        <v>177.8</v>
      </c>
      <c r="G67" s="163" t="s">
        <v>28</v>
      </c>
      <c r="H67" s="165" t="s">
        <v>218</v>
      </c>
      <c r="I67" s="158">
        <v>519.38</v>
      </c>
      <c r="J67" s="163">
        <v>150</v>
      </c>
      <c r="K67" s="163"/>
      <c r="L67" s="163">
        <v>343</v>
      </c>
      <c r="M67" s="163"/>
      <c r="N67" s="163">
        <v>9.6999999999999993</v>
      </c>
      <c r="O67" s="163"/>
      <c r="P67" s="182">
        <v>27.093829740926232</v>
      </c>
      <c r="Q67" s="171">
        <f t="shared" si="13"/>
        <v>48</v>
      </c>
      <c r="R67" s="170">
        <v>18.178999999999998</v>
      </c>
      <c r="S67" s="168">
        <v>20.241</v>
      </c>
      <c r="T67" s="171">
        <v>1015</v>
      </c>
      <c r="U67" s="171">
        <f t="shared" si="7"/>
        <v>55.833654216403545</v>
      </c>
      <c r="V67" s="169">
        <f t="shared" si="8"/>
        <v>10.187243713255279</v>
      </c>
      <c r="W67" s="170">
        <v>0.3</v>
      </c>
      <c r="X67" s="171">
        <f t="shared" si="20"/>
        <v>0.42168749999999999</v>
      </c>
      <c r="Y67" s="171">
        <f t="shared" ref="Y67:AA73" si="24">R67*0.9494</f>
        <v>17.259142600000001</v>
      </c>
      <c r="Z67" s="171">
        <f t="shared" si="24"/>
        <v>19.216805399999998</v>
      </c>
      <c r="AA67" s="171">
        <f t="shared" si="24"/>
        <v>963.64100000000008</v>
      </c>
      <c r="AB67" s="171">
        <f t="shared" si="5"/>
        <v>55.833654216403545</v>
      </c>
      <c r="AC67" s="171">
        <f t="shared" si="3"/>
        <v>10.187243713255279</v>
      </c>
      <c r="AD67" s="163">
        <v>31</v>
      </c>
      <c r="AE67" s="171">
        <f t="shared" si="23"/>
        <v>535.0334206</v>
      </c>
      <c r="AF67" s="179"/>
    </row>
    <row r="68" spans="1:32" ht="15.75" customHeight="1" x14ac:dyDescent="0.2">
      <c r="A68" s="163">
        <v>55</v>
      </c>
      <c r="B68" s="164" t="s">
        <v>63</v>
      </c>
      <c r="C68" s="163" t="s">
        <v>46</v>
      </c>
      <c r="D68" s="165">
        <v>672.99</v>
      </c>
      <c r="E68" s="163" t="s">
        <v>98</v>
      </c>
      <c r="F68" s="163">
        <v>177.8</v>
      </c>
      <c r="G68" s="163" t="s">
        <v>28</v>
      </c>
      <c r="H68" s="165" t="s">
        <v>49</v>
      </c>
      <c r="I68" s="158">
        <v>540.61</v>
      </c>
      <c r="J68" s="163">
        <v>325</v>
      </c>
      <c r="K68" s="163"/>
      <c r="L68" s="163">
        <v>348</v>
      </c>
      <c r="M68" s="163"/>
      <c r="N68" s="163">
        <v>8.6999999999999993</v>
      </c>
      <c r="O68" s="163"/>
      <c r="P68" s="182">
        <v>27.545205804131488</v>
      </c>
      <c r="Q68" s="171">
        <f t="shared" si="13"/>
        <v>104</v>
      </c>
      <c r="R68" s="170">
        <v>20.74</v>
      </c>
      <c r="S68" s="168">
        <v>20.891999999999999</v>
      </c>
      <c r="T68" s="171">
        <v>2007</v>
      </c>
      <c r="U68" s="171">
        <f t="shared" si="7"/>
        <v>96.769527483124406</v>
      </c>
      <c r="V68" s="169">
        <f t="shared" si="8"/>
        <v>0.72755121577637871</v>
      </c>
      <c r="W68" s="170">
        <v>0.3</v>
      </c>
      <c r="X68" s="171">
        <f t="shared" si="20"/>
        <v>0.20088461538461538</v>
      </c>
      <c r="Y68" s="171">
        <f t="shared" si="24"/>
        <v>19.690555999999997</v>
      </c>
      <c r="Z68" s="171">
        <f t="shared" si="24"/>
        <v>19.834864799999998</v>
      </c>
      <c r="AA68" s="171">
        <f t="shared" si="24"/>
        <v>1905.4458</v>
      </c>
      <c r="AB68" s="171">
        <f t="shared" si="5"/>
        <v>96.769527483124406</v>
      </c>
      <c r="AC68" s="171">
        <f t="shared" si="3"/>
        <v>0.72755121577637871</v>
      </c>
      <c r="AD68" s="163">
        <v>31</v>
      </c>
      <c r="AE68" s="171">
        <f t="shared" si="23"/>
        <v>610.4072359999999</v>
      </c>
      <c r="AF68" s="179"/>
    </row>
    <row r="69" spans="1:32" ht="15.75" customHeight="1" x14ac:dyDescent="0.2">
      <c r="A69" s="163">
        <v>56</v>
      </c>
      <c r="B69" s="164" t="s">
        <v>217</v>
      </c>
      <c r="C69" s="163" t="s">
        <v>46</v>
      </c>
      <c r="D69" s="165">
        <v>684.57</v>
      </c>
      <c r="E69" s="163" t="s">
        <v>223</v>
      </c>
      <c r="F69" s="163">
        <v>177.8</v>
      </c>
      <c r="G69" s="163" t="s">
        <v>28</v>
      </c>
      <c r="H69" s="165" t="s">
        <v>219</v>
      </c>
      <c r="I69" s="158">
        <v>553.94000000000005</v>
      </c>
      <c r="J69" s="163">
        <v>85</v>
      </c>
      <c r="K69" s="163"/>
      <c r="L69" s="163">
        <v>255</v>
      </c>
      <c r="M69" s="163"/>
      <c r="N69" s="163">
        <v>9.6</v>
      </c>
      <c r="O69" s="163"/>
      <c r="P69" s="182">
        <v>40.869633858505431</v>
      </c>
      <c r="Q69" s="171">
        <f t="shared" si="13"/>
        <v>10.199999999999999</v>
      </c>
      <c r="R69" s="170">
        <v>1.5069999999999999</v>
      </c>
      <c r="S69" s="168">
        <v>8.827</v>
      </c>
      <c r="T69" s="171">
        <v>23</v>
      </c>
      <c r="U69" s="171">
        <f t="shared" si="7"/>
        <v>15.262110152621103</v>
      </c>
      <c r="V69" s="169">
        <f t="shared" si="8"/>
        <v>82.927381896454065</v>
      </c>
      <c r="W69" s="170">
        <v>0.4</v>
      </c>
      <c r="X69" s="171">
        <f t="shared" si="20"/>
        <v>0.86539215686274518</v>
      </c>
      <c r="Y69" s="171">
        <f t="shared" si="24"/>
        <v>1.4307458</v>
      </c>
      <c r="Z69" s="171">
        <f t="shared" si="24"/>
        <v>8.3803538</v>
      </c>
      <c r="AA69" s="171">
        <f t="shared" si="24"/>
        <v>21.836200000000002</v>
      </c>
      <c r="AB69" s="171">
        <v>0</v>
      </c>
      <c r="AC69" s="171">
        <f t="shared" si="3"/>
        <v>82.927381896454065</v>
      </c>
      <c r="AD69" s="163">
        <v>31</v>
      </c>
      <c r="AE69" s="171">
        <f t="shared" si="23"/>
        <v>44.353119800000002</v>
      </c>
      <c r="AF69" s="179"/>
    </row>
    <row r="70" spans="1:32" ht="15.75" customHeight="1" x14ac:dyDescent="0.2">
      <c r="A70" s="163">
        <v>57</v>
      </c>
      <c r="B70" s="164" t="s">
        <v>211</v>
      </c>
      <c r="C70" s="163" t="s">
        <v>46</v>
      </c>
      <c r="D70" s="165">
        <v>683.16</v>
      </c>
      <c r="E70" s="163" t="s">
        <v>224</v>
      </c>
      <c r="F70" s="163">
        <v>177.8</v>
      </c>
      <c r="G70" s="163" t="s">
        <v>28</v>
      </c>
      <c r="H70" s="165" t="s">
        <v>52</v>
      </c>
      <c r="I70" s="158">
        <v>560.29</v>
      </c>
      <c r="J70" s="163">
        <v>110</v>
      </c>
      <c r="K70" s="163"/>
      <c r="L70" s="163">
        <v>434</v>
      </c>
      <c r="M70" s="163"/>
      <c r="N70" s="163">
        <v>2.2999999999999998</v>
      </c>
      <c r="O70" s="163"/>
      <c r="P70" s="182">
        <v>15.448785260451071</v>
      </c>
      <c r="Q70" s="171">
        <f t="shared" si="13"/>
        <v>24.2</v>
      </c>
      <c r="R70" s="170">
        <v>3.528</v>
      </c>
      <c r="S70" s="168">
        <v>4.0549999999999997</v>
      </c>
      <c r="T70" s="171">
        <v>21</v>
      </c>
      <c r="U70" s="171">
        <f t="shared" si="7"/>
        <v>5.9523809523809526</v>
      </c>
      <c r="V70" s="169">
        <f t="shared" si="8"/>
        <v>12.99630086313193</v>
      </c>
      <c r="W70" s="170">
        <v>0.4</v>
      </c>
      <c r="X70" s="171">
        <f t="shared" si="20"/>
        <v>0.16756198347107437</v>
      </c>
      <c r="Y70" s="171">
        <f t="shared" si="24"/>
        <v>3.3494831999999999</v>
      </c>
      <c r="Z70" s="171">
        <f t="shared" si="24"/>
        <v>3.8498169999999998</v>
      </c>
      <c r="AA70" s="171">
        <f t="shared" si="24"/>
        <v>19.9374</v>
      </c>
      <c r="AB70" s="171">
        <f t="shared" si="5"/>
        <v>5.9523809523809526</v>
      </c>
      <c r="AC70" s="171">
        <f t="shared" si="3"/>
        <v>12.99630086313193</v>
      </c>
      <c r="AD70" s="163">
        <v>31</v>
      </c>
      <c r="AE70" s="171">
        <f t="shared" si="23"/>
        <v>103.8339792</v>
      </c>
      <c r="AF70" s="179"/>
    </row>
    <row r="71" spans="1:32" ht="15.75" customHeight="1" x14ac:dyDescent="0.2">
      <c r="A71" s="163">
        <v>58</v>
      </c>
      <c r="B71" s="164" t="s">
        <v>213</v>
      </c>
      <c r="C71" s="163" t="s">
        <v>46</v>
      </c>
      <c r="D71" s="165">
        <v>679.2</v>
      </c>
      <c r="E71" s="283" t="s">
        <v>225</v>
      </c>
      <c r="F71" s="163">
        <v>177.8</v>
      </c>
      <c r="G71" s="163" t="s">
        <v>28</v>
      </c>
      <c r="H71" s="165" t="s">
        <v>48</v>
      </c>
      <c r="I71" s="158">
        <v>559.19000000000005</v>
      </c>
      <c r="J71" s="163">
        <v>85</v>
      </c>
      <c r="K71" s="163"/>
      <c r="L71" s="163">
        <v>485</v>
      </c>
      <c r="M71" s="163"/>
      <c r="N71" s="163">
        <v>3.8</v>
      </c>
      <c r="O71" s="163"/>
      <c r="P71" s="182">
        <v>12.211165359983557</v>
      </c>
      <c r="Q71" s="171">
        <f t="shared" si="13"/>
        <v>11.05</v>
      </c>
      <c r="R71" s="170">
        <v>3.4670000000000001</v>
      </c>
      <c r="S71" s="168">
        <v>4.7270000000000003</v>
      </c>
      <c r="T71" s="171">
        <v>0</v>
      </c>
      <c r="U71" s="171">
        <f t="shared" si="7"/>
        <v>0</v>
      </c>
      <c r="V71" s="169">
        <f t="shared" si="8"/>
        <v>26.655383964459489</v>
      </c>
      <c r="W71" s="170">
        <v>0.3</v>
      </c>
      <c r="X71" s="171">
        <f t="shared" si="20"/>
        <v>0.42778280542986424</v>
      </c>
      <c r="Y71" s="171">
        <f t="shared" si="24"/>
        <v>3.2915698</v>
      </c>
      <c r="Z71" s="171">
        <f t="shared" si="24"/>
        <v>4.4878138000000005</v>
      </c>
      <c r="AA71" s="171">
        <f t="shared" si="24"/>
        <v>0</v>
      </c>
      <c r="AB71" s="171">
        <f t="shared" si="5"/>
        <v>0</v>
      </c>
      <c r="AC71" s="171">
        <f t="shared" si="3"/>
        <v>26.655383964459489</v>
      </c>
      <c r="AD71" s="163">
        <v>31</v>
      </c>
      <c r="AE71" s="171">
        <f t="shared" si="23"/>
        <v>102.03866379999999</v>
      </c>
      <c r="AF71" s="179"/>
    </row>
    <row r="72" spans="1:32" ht="15.75" customHeight="1" x14ac:dyDescent="0.2">
      <c r="A72" s="163">
        <v>59</v>
      </c>
      <c r="B72" s="164" t="s">
        <v>172</v>
      </c>
      <c r="C72" s="163" t="s">
        <v>46</v>
      </c>
      <c r="D72" s="165">
        <v>673</v>
      </c>
      <c r="E72" s="163" t="s">
        <v>173</v>
      </c>
      <c r="F72" s="163">
        <v>177.8</v>
      </c>
      <c r="G72" s="163" t="s">
        <v>28</v>
      </c>
      <c r="H72" s="165" t="s">
        <v>50</v>
      </c>
      <c r="I72" s="158">
        <v>560.79</v>
      </c>
      <c r="J72" s="163">
        <v>150</v>
      </c>
      <c r="K72" s="163"/>
      <c r="L72" s="163">
        <v>392</v>
      </c>
      <c r="M72" s="163"/>
      <c r="N72" s="163">
        <v>7.7</v>
      </c>
      <c r="O72" s="163"/>
      <c r="P72" s="160">
        <v>25.463252877886337</v>
      </c>
      <c r="Q72" s="171">
        <f>LEFT(H72,(FIND("K",H72,1)-1))*J72/100</f>
        <v>9</v>
      </c>
      <c r="R72" s="170">
        <v>2.5299999999999998</v>
      </c>
      <c r="S72" s="168">
        <v>5.476</v>
      </c>
      <c r="T72" s="171">
        <v>0</v>
      </c>
      <c r="U72" s="171">
        <f t="shared" si="7"/>
        <v>0</v>
      </c>
      <c r="V72" s="169">
        <f t="shared" si="8"/>
        <v>53.798392987582176</v>
      </c>
      <c r="W72" s="170">
        <v>0.4</v>
      </c>
      <c r="X72" s="171">
        <f t="shared" si="20"/>
        <v>0.60844444444444445</v>
      </c>
      <c r="Y72" s="171">
        <f t="shared" si="24"/>
        <v>2.4019819999999998</v>
      </c>
      <c r="Z72" s="171">
        <f t="shared" si="24"/>
        <v>5.1989144000000005</v>
      </c>
      <c r="AA72" s="171">
        <f t="shared" si="24"/>
        <v>0</v>
      </c>
      <c r="AB72" s="171">
        <f t="shared" si="5"/>
        <v>0</v>
      </c>
      <c r="AC72" s="171">
        <f t="shared" si="3"/>
        <v>53.798392987582176</v>
      </c>
      <c r="AD72" s="163">
        <v>31</v>
      </c>
      <c r="AE72" s="171">
        <f>Y72*AD72</f>
        <v>74.461441999999991</v>
      </c>
      <c r="AF72" s="179"/>
    </row>
    <row r="73" spans="1:32" ht="15.75" customHeight="1" x14ac:dyDescent="0.2">
      <c r="A73" s="184">
        <v>60</v>
      </c>
      <c r="B73" s="219" t="s">
        <v>171</v>
      </c>
      <c r="C73" s="163" t="s">
        <v>46</v>
      </c>
      <c r="D73" s="188">
        <v>646</v>
      </c>
      <c r="E73" s="188" t="s">
        <v>191</v>
      </c>
      <c r="F73" s="163">
        <v>177.8</v>
      </c>
      <c r="G73" s="163" t="s">
        <v>28</v>
      </c>
      <c r="H73" s="165" t="s">
        <v>48</v>
      </c>
      <c r="I73" s="158">
        <v>570.15</v>
      </c>
      <c r="J73" s="158">
        <v>100</v>
      </c>
      <c r="K73" s="158"/>
      <c r="L73" s="158">
        <v>204</v>
      </c>
      <c r="M73" s="158"/>
      <c r="N73" s="163">
        <v>1.9</v>
      </c>
      <c r="O73" s="158"/>
      <c r="P73" s="284">
        <v>39.101215664283657</v>
      </c>
      <c r="Q73" s="174">
        <f>LEFT(H73,(FIND("K",H73,1)-1))*J73/100</f>
        <v>13</v>
      </c>
      <c r="R73" s="170">
        <v>4.5999999999999999E-2</v>
      </c>
      <c r="S73" s="168">
        <v>0.61699999999999999</v>
      </c>
      <c r="T73" s="174">
        <v>0</v>
      </c>
      <c r="U73" s="171">
        <f t="shared" si="7"/>
        <v>0</v>
      </c>
      <c r="V73" s="169">
        <f t="shared" si="8"/>
        <v>92.544570502431114</v>
      </c>
      <c r="W73" s="170">
        <v>0</v>
      </c>
      <c r="X73" s="171">
        <f t="shared" si="20"/>
        <v>4.7461538461538458E-2</v>
      </c>
      <c r="Y73" s="171">
        <f t="shared" si="24"/>
        <v>4.36724E-2</v>
      </c>
      <c r="Z73" s="171">
        <f t="shared" si="24"/>
        <v>0.58577979999999996</v>
      </c>
      <c r="AA73" s="171">
        <f t="shared" si="24"/>
        <v>0</v>
      </c>
      <c r="AB73" s="171">
        <f t="shared" si="5"/>
        <v>0</v>
      </c>
      <c r="AC73" s="171">
        <f t="shared" si="3"/>
        <v>92.544570502431114</v>
      </c>
      <c r="AD73" s="163">
        <v>31</v>
      </c>
      <c r="AE73" s="171">
        <f>Y73*AD73</f>
        <v>1.3538444000000001</v>
      </c>
      <c r="AF73" s="172"/>
    </row>
    <row r="74" spans="1:32" ht="15.75" customHeight="1" x14ac:dyDescent="0.2">
      <c r="A74" s="305"/>
      <c r="B74" s="1834"/>
      <c r="C74" s="1834"/>
      <c r="D74" s="1834"/>
      <c r="E74" s="1835"/>
      <c r="F74" s="175"/>
      <c r="G74" s="163"/>
      <c r="H74" s="165"/>
      <c r="I74" s="171"/>
      <c r="J74" s="163"/>
      <c r="K74" s="175"/>
      <c r="L74" s="163"/>
      <c r="M74" s="175"/>
      <c r="N74" s="182"/>
      <c r="O74" s="175"/>
      <c r="P74" s="182"/>
      <c r="Q74" s="209"/>
      <c r="R74" s="209">
        <f>SUM(R14:R73)</f>
        <v>393.03</v>
      </c>
      <c r="S74" s="209">
        <f>SUM(S14:S73)</f>
        <v>597.07699999999988</v>
      </c>
      <c r="T74" s="209">
        <f>SUM(T14:T73)</f>
        <v>22804.000000000004</v>
      </c>
      <c r="U74" s="209">
        <f>T74/R74</f>
        <v>58.021016207414206</v>
      </c>
      <c r="V74" s="209"/>
      <c r="W74" s="209"/>
      <c r="X74" s="209"/>
      <c r="Y74" s="209">
        <f>SUM(Y14:Y73)</f>
        <v>368.78830580000005</v>
      </c>
      <c r="Z74" s="209">
        <f>SUM(Z14:Z73)</f>
        <v>553.4639052</v>
      </c>
      <c r="AA74" s="209">
        <f>SUM(AA14:AA73)</f>
        <v>21620.87228</v>
      </c>
      <c r="AB74" s="209">
        <f>AA74/Y74</f>
        <v>58.626783821408246</v>
      </c>
      <c r="AC74" s="209"/>
      <c r="AD74" s="209"/>
      <c r="AE74" s="210">
        <f>SUM(AE14:AE73)</f>
        <v>11432.437479800001</v>
      </c>
      <c r="AF74" s="177"/>
    </row>
    <row r="75" spans="1:32" ht="15.75" customHeight="1" x14ac:dyDescent="0.2">
      <c r="A75" s="305"/>
      <c r="B75" s="1836" t="s">
        <v>277</v>
      </c>
      <c r="C75" s="1837"/>
      <c r="D75" s="1837"/>
      <c r="E75" s="1837"/>
      <c r="F75" s="1838"/>
      <c r="G75" s="355"/>
      <c r="H75" s="354"/>
      <c r="I75" s="354"/>
      <c r="J75" s="158"/>
      <c r="K75" s="158"/>
      <c r="L75" s="158"/>
      <c r="M75" s="158"/>
      <c r="N75" s="158"/>
      <c r="O75" s="158"/>
      <c r="P75" s="160"/>
      <c r="Q75" s="174"/>
      <c r="R75" s="158"/>
      <c r="S75" s="174"/>
      <c r="T75" s="158"/>
      <c r="U75" s="357"/>
      <c r="V75" s="355"/>
      <c r="W75" s="355"/>
      <c r="X75" s="157"/>
      <c r="Y75" s="158"/>
      <c r="Z75" s="158"/>
      <c r="AA75" s="158"/>
      <c r="AB75" s="356"/>
      <c r="AC75" s="355"/>
      <c r="AD75" s="158"/>
      <c r="AE75" s="158"/>
      <c r="AF75" s="354"/>
    </row>
    <row r="76" spans="1:32" ht="15.75" customHeight="1" x14ac:dyDescent="0.2">
      <c r="A76" s="216">
        <v>61</v>
      </c>
      <c r="B76" s="163" t="s">
        <v>131</v>
      </c>
      <c r="C76" s="216" t="s">
        <v>177</v>
      </c>
      <c r="D76" s="165">
        <v>389.74</v>
      </c>
      <c r="E76" s="323" t="s">
        <v>136</v>
      </c>
      <c r="F76" s="163">
        <v>177.8</v>
      </c>
      <c r="G76" s="163" t="s">
        <v>28</v>
      </c>
      <c r="H76" s="165" t="s">
        <v>58</v>
      </c>
      <c r="I76" s="158">
        <v>142.80000000000001</v>
      </c>
      <c r="J76" s="163">
        <v>170</v>
      </c>
      <c r="K76" s="163"/>
      <c r="L76" s="163">
        <v>21</v>
      </c>
      <c r="M76" s="163"/>
      <c r="N76" s="163">
        <v>0.1</v>
      </c>
      <c r="O76" s="163"/>
      <c r="P76" s="182">
        <v>15.694555119187321</v>
      </c>
      <c r="Q76" s="174"/>
      <c r="R76" s="170">
        <v>1.631</v>
      </c>
      <c r="S76" s="171">
        <v>2.0249999999999999</v>
      </c>
      <c r="T76" s="171">
        <v>0</v>
      </c>
      <c r="U76" s="171">
        <f>T76/R76</f>
        <v>0</v>
      </c>
      <c r="V76" s="169">
        <f t="shared" ref="V76:V80" si="25">(S76-R76)/S76*100</f>
        <v>19.456790123456784</v>
      </c>
      <c r="W76" s="170">
        <v>0.6</v>
      </c>
      <c r="X76" s="171"/>
      <c r="Y76" s="171">
        <f>R76*0.9494</f>
        <v>1.5484713999999999</v>
      </c>
      <c r="Z76" s="171">
        <f t="shared" ref="Z76:AA79" si="26">S76*0.9494</f>
        <v>1.9225349999999999</v>
      </c>
      <c r="AA76" s="171">
        <f t="shared" si="26"/>
        <v>0</v>
      </c>
      <c r="AB76" s="171">
        <f t="shared" ref="AB76:AC80" si="27">U76</f>
        <v>0</v>
      </c>
      <c r="AC76" s="171">
        <f t="shared" si="27"/>
        <v>19.456790123456784</v>
      </c>
      <c r="AD76" s="163">
        <v>31</v>
      </c>
      <c r="AE76" s="171">
        <f>Y76*AD76</f>
        <v>48.002613400000001</v>
      </c>
      <c r="AF76" s="179"/>
    </row>
    <row r="77" spans="1:32" ht="15.75" customHeight="1" x14ac:dyDescent="0.2">
      <c r="A77" s="216">
        <v>62</v>
      </c>
      <c r="B77" s="163" t="s">
        <v>132</v>
      </c>
      <c r="C77" s="216" t="s">
        <v>177</v>
      </c>
      <c r="D77" s="163">
        <v>387.72</v>
      </c>
      <c r="E77" s="323" t="s">
        <v>135</v>
      </c>
      <c r="F77" s="163">
        <v>177.8</v>
      </c>
      <c r="G77" s="163" t="s">
        <v>28</v>
      </c>
      <c r="H77" s="165" t="s">
        <v>58</v>
      </c>
      <c r="I77" s="158">
        <v>136.03</v>
      </c>
      <c r="J77" s="163">
        <v>105</v>
      </c>
      <c r="K77" s="163"/>
      <c r="L77" s="163">
        <v>32</v>
      </c>
      <c r="M77" s="163"/>
      <c r="N77" s="163">
        <v>0.4</v>
      </c>
      <c r="O77" s="163"/>
      <c r="P77" s="182">
        <v>13.58432776012865</v>
      </c>
      <c r="Q77" s="171"/>
      <c r="R77" s="170">
        <v>2.891</v>
      </c>
      <c r="S77" s="171">
        <v>3.4569999999999999</v>
      </c>
      <c r="T77" s="171">
        <v>0</v>
      </c>
      <c r="U77" s="171">
        <v>0</v>
      </c>
      <c r="V77" s="169">
        <f t="shared" si="25"/>
        <v>16.372577379230542</v>
      </c>
      <c r="W77" s="170">
        <v>0.4</v>
      </c>
      <c r="X77" s="171"/>
      <c r="Y77" s="171">
        <f t="shared" ref="Y77:Y79" si="28">R77*0.9494</f>
        <v>2.7447154</v>
      </c>
      <c r="Z77" s="171">
        <f t="shared" si="26"/>
        <v>3.2820757999999999</v>
      </c>
      <c r="AA77" s="171">
        <f t="shared" si="26"/>
        <v>0</v>
      </c>
      <c r="AB77" s="171">
        <v>0</v>
      </c>
      <c r="AC77" s="171">
        <f>V77</f>
        <v>16.372577379230542</v>
      </c>
      <c r="AD77" s="163">
        <v>31</v>
      </c>
      <c r="AE77" s="171">
        <f>Y77*AD77</f>
        <v>85.086177399999997</v>
      </c>
      <c r="AF77" s="190"/>
    </row>
    <row r="78" spans="1:32" ht="15.75" customHeight="1" x14ac:dyDescent="0.2">
      <c r="A78" s="285">
        <v>63</v>
      </c>
      <c r="B78" s="163" t="s">
        <v>121</v>
      </c>
      <c r="C78" s="216" t="s">
        <v>177</v>
      </c>
      <c r="D78" s="163">
        <v>389.57</v>
      </c>
      <c r="E78" s="163" t="s">
        <v>137</v>
      </c>
      <c r="F78" s="163">
        <v>177.8</v>
      </c>
      <c r="G78" s="163" t="s">
        <v>28</v>
      </c>
      <c r="H78" s="165" t="s">
        <v>58</v>
      </c>
      <c r="I78" s="158">
        <v>120.43</v>
      </c>
      <c r="J78" s="163">
        <v>85</v>
      </c>
      <c r="K78" s="163"/>
      <c r="L78" s="163">
        <v>18</v>
      </c>
      <c r="M78" s="163"/>
      <c r="N78" s="163">
        <v>0.2</v>
      </c>
      <c r="O78" s="163"/>
      <c r="P78" s="182">
        <v>14.65567642819174</v>
      </c>
      <c r="Q78" s="171"/>
      <c r="R78" s="170">
        <v>1.4159999999999999</v>
      </c>
      <c r="S78" s="171">
        <v>1.9350000000000001</v>
      </c>
      <c r="T78" s="171">
        <v>0</v>
      </c>
      <c r="U78" s="171">
        <v>0</v>
      </c>
      <c r="V78" s="169">
        <f t="shared" si="25"/>
        <v>26.821705426356594</v>
      </c>
      <c r="W78" s="170">
        <v>1</v>
      </c>
      <c r="X78" s="171"/>
      <c r="Y78" s="171">
        <v>0</v>
      </c>
      <c r="Z78" s="171">
        <v>0</v>
      </c>
      <c r="AA78" s="171">
        <f t="shared" si="26"/>
        <v>0</v>
      </c>
      <c r="AB78" s="171">
        <v>0</v>
      </c>
      <c r="AC78" s="171">
        <f>V78</f>
        <v>26.821705426356594</v>
      </c>
      <c r="AD78" s="163">
        <v>31</v>
      </c>
      <c r="AE78" s="171">
        <f>Y78*AD78</f>
        <v>0</v>
      </c>
      <c r="AF78" s="172"/>
    </row>
    <row r="79" spans="1:32" ht="15.75" customHeight="1" x14ac:dyDescent="0.2">
      <c r="A79" s="163">
        <v>64</v>
      </c>
      <c r="B79" s="164" t="s">
        <v>122</v>
      </c>
      <c r="C79" s="216" t="s">
        <v>177</v>
      </c>
      <c r="D79" s="163">
        <v>391.06</v>
      </c>
      <c r="E79" s="163" t="s">
        <v>138</v>
      </c>
      <c r="F79" s="163">
        <v>177.8</v>
      </c>
      <c r="G79" s="163" t="s">
        <v>28</v>
      </c>
      <c r="H79" s="165" t="s">
        <v>58</v>
      </c>
      <c r="I79" s="171">
        <v>151.72999999999999</v>
      </c>
      <c r="J79" s="163">
        <v>210</v>
      </c>
      <c r="K79" s="175"/>
      <c r="L79" s="163">
        <v>51</v>
      </c>
      <c r="M79" s="175"/>
      <c r="N79" s="163">
        <v>0.5</v>
      </c>
      <c r="O79" s="175"/>
      <c r="P79" s="182">
        <v>13.130597655056395</v>
      </c>
      <c r="Q79" s="171"/>
      <c r="R79" s="170">
        <v>3.891</v>
      </c>
      <c r="S79" s="171">
        <v>4.17</v>
      </c>
      <c r="T79" s="171">
        <v>0</v>
      </c>
      <c r="U79" s="171">
        <f>T79/R79</f>
        <v>0</v>
      </c>
      <c r="V79" s="169">
        <f t="shared" si="25"/>
        <v>6.690647482014386</v>
      </c>
      <c r="W79" s="171">
        <v>0.7</v>
      </c>
      <c r="X79" s="171"/>
      <c r="Y79" s="171">
        <f t="shared" si="28"/>
        <v>3.6941154000000003</v>
      </c>
      <c r="Z79" s="171">
        <f t="shared" si="26"/>
        <v>3.9589980000000002</v>
      </c>
      <c r="AA79" s="171">
        <f t="shared" si="26"/>
        <v>0</v>
      </c>
      <c r="AB79" s="171">
        <f t="shared" si="27"/>
        <v>0</v>
      </c>
      <c r="AC79" s="171">
        <f t="shared" si="27"/>
        <v>6.690647482014386</v>
      </c>
      <c r="AD79" s="163">
        <v>31</v>
      </c>
      <c r="AE79" s="171">
        <f>Y79*AD79</f>
        <v>114.51757740000001</v>
      </c>
      <c r="AF79" s="177"/>
    </row>
    <row r="80" spans="1:32" ht="15.75" customHeight="1" x14ac:dyDescent="0.2">
      <c r="A80" s="163">
        <v>65</v>
      </c>
      <c r="B80" s="215" t="s">
        <v>57</v>
      </c>
      <c r="C80" s="215" t="s">
        <v>176</v>
      </c>
      <c r="D80" s="215">
        <v>681.52</v>
      </c>
      <c r="E80" s="164" t="s">
        <v>93</v>
      </c>
      <c r="F80" s="163">
        <v>177.8</v>
      </c>
      <c r="G80" s="163" t="s">
        <v>28</v>
      </c>
      <c r="H80" s="165" t="s">
        <v>58</v>
      </c>
      <c r="I80" s="171">
        <v>157.88</v>
      </c>
      <c r="J80" s="163">
        <v>85</v>
      </c>
      <c r="K80" s="175"/>
      <c r="L80" s="163">
        <v>75</v>
      </c>
      <c r="M80" s="175"/>
      <c r="N80" s="163">
        <v>0</v>
      </c>
      <c r="O80" s="175"/>
      <c r="P80" s="372">
        <v>8.8000000000000007</v>
      </c>
      <c r="Q80" s="171"/>
      <c r="R80" s="170">
        <v>1.792</v>
      </c>
      <c r="S80" s="171">
        <v>1.8120000000000001</v>
      </c>
      <c r="T80" s="171">
        <v>0</v>
      </c>
      <c r="U80" s="171">
        <f>T80/R80</f>
        <v>0</v>
      </c>
      <c r="V80" s="169">
        <f t="shared" si="25"/>
        <v>1.1037527593818994</v>
      </c>
      <c r="W80" s="171">
        <v>1.5</v>
      </c>
      <c r="X80" s="171"/>
      <c r="Y80" s="171">
        <f t="shared" ref="Y80" si="29">R80*0.9494</f>
        <v>1.7013248000000001</v>
      </c>
      <c r="Z80" s="171">
        <f t="shared" ref="Z80" si="30">S80*0.9494</f>
        <v>1.7203128000000001</v>
      </c>
      <c r="AA80" s="171">
        <f t="shared" ref="AA80" si="31">T80*0.9494</f>
        <v>0</v>
      </c>
      <c r="AB80" s="171">
        <f t="shared" si="27"/>
        <v>0</v>
      </c>
      <c r="AC80" s="171">
        <f t="shared" si="27"/>
        <v>1.1037527593818994</v>
      </c>
      <c r="AD80" s="163">
        <v>31</v>
      </c>
      <c r="AE80" s="171">
        <f>Y80*AD80</f>
        <v>52.741068800000001</v>
      </c>
      <c r="AF80" s="172" t="s">
        <v>293</v>
      </c>
    </row>
    <row r="81" spans="1:32" ht="15.75" customHeight="1" x14ac:dyDescent="0.2">
      <c r="A81" s="163">
        <v>66</v>
      </c>
      <c r="B81" s="215" t="s">
        <v>188</v>
      </c>
      <c r="C81" s="215" t="s">
        <v>183</v>
      </c>
      <c r="D81" s="215">
        <v>376.58</v>
      </c>
      <c r="E81" s="164" t="s">
        <v>235</v>
      </c>
      <c r="F81" s="163">
        <v>177.8</v>
      </c>
      <c r="G81" s="163"/>
      <c r="H81" s="165"/>
      <c r="I81" s="171"/>
      <c r="J81" s="163"/>
      <c r="K81" s="175"/>
      <c r="L81" s="163"/>
      <c r="M81" s="175"/>
      <c r="N81" s="163"/>
      <c r="O81" s="175"/>
      <c r="P81" s="182"/>
      <c r="Q81" s="171"/>
      <c r="R81" s="170"/>
      <c r="S81" s="171"/>
      <c r="T81" s="171"/>
      <c r="U81" s="171"/>
      <c r="V81" s="169"/>
      <c r="W81" s="171"/>
      <c r="X81" s="171"/>
      <c r="Y81" s="171"/>
      <c r="Z81" s="171"/>
      <c r="AA81" s="171"/>
      <c r="AB81" s="171"/>
      <c r="AC81" s="171"/>
      <c r="AD81" s="163"/>
      <c r="AE81" s="171"/>
      <c r="AF81" s="172" t="s">
        <v>283</v>
      </c>
    </row>
    <row r="82" spans="1:32" ht="15.75" customHeight="1" x14ac:dyDescent="0.2">
      <c r="A82" s="163">
        <v>67</v>
      </c>
      <c r="B82" s="215" t="s">
        <v>184</v>
      </c>
      <c r="C82" s="215" t="s">
        <v>176</v>
      </c>
      <c r="D82" s="215">
        <v>422.78</v>
      </c>
      <c r="E82" s="164" t="s">
        <v>185</v>
      </c>
      <c r="F82" s="163">
        <v>177.8</v>
      </c>
      <c r="G82" s="163" t="s">
        <v>28</v>
      </c>
      <c r="H82" s="165" t="s">
        <v>58</v>
      </c>
      <c r="I82" s="171">
        <v>223.87</v>
      </c>
      <c r="J82" s="163">
        <v>65</v>
      </c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293</v>
      </c>
    </row>
    <row r="83" spans="1:32" ht="15.75" customHeight="1" x14ac:dyDescent="0.2">
      <c r="A83" s="163">
        <v>68</v>
      </c>
      <c r="B83" s="215" t="s">
        <v>186</v>
      </c>
      <c r="C83" s="215" t="s">
        <v>176</v>
      </c>
      <c r="D83" s="215">
        <v>387.56</v>
      </c>
      <c r="E83" s="164"/>
      <c r="F83" s="163">
        <v>177.8</v>
      </c>
      <c r="G83" s="163"/>
      <c r="H83" s="165"/>
      <c r="I83" s="171"/>
      <c r="J83" s="163"/>
      <c r="K83" s="175"/>
      <c r="L83" s="163"/>
      <c r="M83" s="175"/>
      <c r="N83" s="163"/>
      <c r="O83" s="175"/>
      <c r="P83" s="182"/>
      <c r="Q83" s="171"/>
      <c r="R83" s="170"/>
      <c r="S83" s="171"/>
      <c r="T83" s="171"/>
      <c r="U83" s="171"/>
      <c r="V83" s="169"/>
      <c r="W83" s="171"/>
      <c r="X83" s="171"/>
      <c r="Y83" s="171"/>
      <c r="Z83" s="171"/>
      <c r="AA83" s="171"/>
      <c r="AB83" s="171"/>
      <c r="AC83" s="171"/>
      <c r="AD83" s="163"/>
      <c r="AE83" s="171"/>
      <c r="AF83" s="172" t="s">
        <v>283</v>
      </c>
    </row>
    <row r="84" spans="1:32" ht="15.75" customHeight="1" x14ac:dyDescent="0.2">
      <c r="A84" s="306"/>
      <c r="B84" s="1834"/>
      <c r="C84" s="1834"/>
      <c r="D84" s="1834"/>
      <c r="E84" s="1835"/>
      <c r="F84" s="158"/>
      <c r="G84" s="355"/>
      <c r="H84" s="354"/>
      <c r="I84" s="354"/>
      <c r="J84" s="158"/>
      <c r="K84" s="158"/>
      <c r="L84" s="158"/>
      <c r="M84" s="158"/>
      <c r="N84" s="158"/>
      <c r="O84" s="158"/>
      <c r="P84" s="160"/>
      <c r="Q84" s="174"/>
      <c r="R84" s="209">
        <f>SUM(R76:R80)</f>
        <v>11.621</v>
      </c>
      <c r="S84" s="209">
        <f>SUM(S76:S80)</f>
        <v>13.398999999999999</v>
      </c>
      <c r="T84" s="209">
        <f>SUM(T76:T80)</f>
        <v>0</v>
      </c>
      <c r="U84" s="209">
        <f>SUM(U76:U79)</f>
        <v>0</v>
      </c>
      <c r="V84" s="355"/>
      <c r="W84" s="355"/>
      <c r="X84" s="355"/>
      <c r="Y84" s="209">
        <f>SUM(Y76:Y79)</f>
        <v>7.9873022000000002</v>
      </c>
      <c r="Z84" s="209">
        <f>SUM(Z76:Z79)</f>
        <v>9.1636087999999987</v>
      </c>
      <c r="AA84" s="209">
        <f>SUM(AA76:AA80)</f>
        <v>0</v>
      </c>
      <c r="AB84" s="209">
        <v>0</v>
      </c>
      <c r="AC84" s="355"/>
      <c r="AD84" s="158"/>
      <c r="AE84" s="209">
        <f>SUM(AE76:AE79)</f>
        <v>247.60636820000002</v>
      </c>
      <c r="AF84" s="218"/>
    </row>
    <row r="85" spans="1:32" ht="15.75" x14ac:dyDescent="0.2">
      <c r="A85" s="306"/>
      <c r="B85" s="1834"/>
      <c r="C85" s="1834"/>
      <c r="D85" s="1834"/>
      <c r="E85" s="1835"/>
      <c r="F85" s="175"/>
      <c r="G85" s="163"/>
      <c r="H85" s="165"/>
      <c r="I85" s="171"/>
      <c r="J85" s="163"/>
      <c r="K85" s="175"/>
      <c r="L85" s="163"/>
      <c r="M85" s="175"/>
      <c r="N85" s="182"/>
      <c r="O85" s="175"/>
      <c r="P85" s="224"/>
      <c r="Q85" s="209"/>
      <c r="R85" s="209"/>
      <c r="S85" s="209"/>
      <c r="T85" s="209"/>
      <c r="U85" s="209"/>
      <c r="V85" s="209"/>
      <c r="W85" s="209"/>
      <c r="X85" s="209"/>
      <c r="Y85" s="209"/>
      <c r="Z85" s="225"/>
      <c r="AA85" s="209"/>
      <c r="AB85" s="209"/>
      <c r="AC85" s="209"/>
      <c r="AD85" s="209"/>
      <c r="AE85" s="209"/>
      <c r="AF85" s="177"/>
    </row>
    <row r="86" spans="1:32" ht="15.75" x14ac:dyDescent="0.2">
      <c r="A86" s="306"/>
      <c r="B86" s="1843" t="s">
        <v>276</v>
      </c>
      <c r="C86" s="1839"/>
      <c r="D86" s="1839"/>
      <c r="E86" s="1839"/>
      <c r="F86" s="1839"/>
      <c r="G86" s="355"/>
      <c r="H86" s="354"/>
      <c r="I86" s="354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57"/>
      <c r="V86" s="355"/>
      <c r="W86" s="355"/>
      <c r="X86" s="355"/>
      <c r="Y86" s="158"/>
      <c r="Z86" s="158"/>
      <c r="AA86" s="158"/>
      <c r="AB86" s="356"/>
      <c r="AC86" s="355"/>
      <c r="AD86" s="158"/>
      <c r="AE86" s="158"/>
      <c r="AF86" s="354"/>
    </row>
    <row r="87" spans="1:32" ht="15.75" x14ac:dyDescent="0.2">
      <c r="A87" s="163">
        <v>69</v>
      </c>
      <c r="B87" s="226" t="s">
        <v>107</v>
      </c>
      <c r="C87" s="188" t="s">
        <v>109</v>
      </c>
      <c r="D87" s="353"/>
      <c r="E87" s="353"/>
      <c r="F87" s="158"/>
      <c r="G87" s="355"/>
      <c r="H87" s="354"/>
      <c r="I87" s="354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357"/>
      <c r="V87" s="355"/>
      <c r="W87" s="355"/>
      <c r="X87" s="355"/>
      <c r="Y87" s="354"/>
      <c r="Z87" s="354"/>
      <c r="AA87" s="158"/>
      <c r="AB87" s="356"/>
      <c r="AC87" s="355"/>
      <c r="AD87" s="228"/>
      <c r="AE87" s="158"/>
      <c r="AF87" s="229"/>
    </row>
    <row r="88" spans="1:32" ht="15.75" x14ac:dyDescent="0.2">
      <c r="A88" s="163">
        <v>70</v>
      </c>
      <c r="B88" s="226" t="s">
        <v>108</v>
      </c>
      <c r="C88" s="188" t="s">
        <v>109</v>
      </c>
      <c r="D88" s="353"/>
      <c r="E88" s="353"/>
      <c r="F88" s="158"/>
      <c r="G88" s="355"/>
      <c r="H88" s="354"/>
      <c r="I88" s="354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57"/>
      <c r="V88" s="355"/>
      <c r="W88" s="355"/>
      <c r="X88" s="355"/>
      <c r="Y88" s="354"/>
      <c r="Z88" s="354"/>
      <c r="AA88" s="158"/>
      <c r="AB88" s="356"/>
      <c r="AC88" s="355"/>
      <c r="AD88" s="228"/>
      <c r="AE88" s="158"/>
      <c r="AF88" s="229"/>
    </row>
    <row r="89" spans="1:32" ht="15.75" x14ac:dyDescent="0.2">
      <c r="A89" s="163">
        <v>71</v>
      </c>
      <c r="B89" s="226" t="s">
        <v>195</v>
      </c>
      <c r="C89" s="216" t="s">
        <v>193</v>
      </c>
      <c r="D89" s="353"/>
      <c r="E89" s="353"/>
      <c r="F89" s="158"/>
      <c r="G89" s="355"/>
      <c r="H89" s="354"/>
      <c r="I89" s="354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57"/>
      <c r="V89" s="355"/>
      <c r="W89" s="355"/>
      <c r="X89" s="355"/>
      <c r="Y89" s="354"/>
      <c r="Z89" s="354"/>
      <c r="AA89" s="158"/>
      <c r="AB89" s="356"/>
      <c r="AC89" s="355"/>
      <c r="AD89" s="228"/>
      <c r="AE89" s="158"/>
      <c r="AF89" s="229"/>
    </row>
    <row r="90" spans="1:32" ht="15.75" x14ac:dyDescent="0.2">
      <c r="A90" s="163">
        <v>72</v>
      </c>
      <c r="B90" s="226" t="s">
        <v>192</v>
      </c>
      <c r="C90" s="216" t="s">
        <v>193</v>
      </c>
      <c r="D90" s="353"/>
      <c r="E90" s="353"/>
      <c r="F90" s="158"/>
      <c r="G90" s="355"/>
      <c r="H90" s="354"/>
      <c r="I90" s="354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57"/>
      <c r="V90" s="355"/>
      <c r="W90" s="355"/>
      <c r="X90" s="355"/>
      <c r="Y90" s="354"/>
      <c r="Z90" s="354"/>
      <c r="AA90" s="158"/>
      <c r="AB90" s="356"/>
      <c r="AC90" s="355"/>
      <c r="AD90" s="228"/>
      <c r="AE90" s="158"/>
      <c r="AF90" s="229"/>
    </row>
    <row r="91" spans="1:32" ht="15.75" x14ac:dyDescent="0.2">
      <c r="A91" s="163"/>
      <c r="B91" s="1843" t="s">
        <v>278</v>
      </c>
      <c r="C91" s="1839"/>
      <c r="D91" s="1839"/>
      <c r="E91" s="1839"/>
      <c r="F91" s="1839"/>
      <c r="G91" s="355"/>
      <c r="H91" s="354"/>
      <c r="I91" s="354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57"/>
      <c r="V91" s="355"/>
      <c r="W91" s="355"/>
      <c r="X91" s="355"/>
      <c r="Y91" s="158"/>
      <c r="Z91" s="158"/>
      <c r="AA91" s="158"/>
      <c r="AB91" s="356"/>
      <c r="AC91" s="355"/>
      <c r="AD91" s="158"/>
      <c r="AE91" s="158"/>
      <c r="AF91" s="354"/>
    </row>
    <row r="92" spans="1:32" ht="15.75" x14ac:dyDescent="0.2">
      <c r="A92" s="163">
        <v>73</v>
      </c>
      <c r="B92" s="207" t="s">
        <v>189</v>
      </c>
      <c r="C92" s="163" t="s">
        <v>46</v>
      </c>
      <c r="D92" s="189">
        <v>673</v>
      </c>
      <c r="E92" s="189" t="s">
        <v>190</v>
      </c>
      <c r="F92" s="163">
        <v>177.8</v>
      </c>
      <c r="G92" s="163"/>
      <c r="H92" s="165"/>
      <c r="I92" s="158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57"/>
      <c r="V92" s="355"/>
      <c r="W92" s="355"/>
      <c r="X92" s="355"/>
      <c r="Y92" s="230"/>
      <c r="Z92" s="231"/>
      <c r="AA92" s="354"/>
      <c r="AB92" s="356"/>
      <c r="AC92" s="158"/>
      <c r="AD92" s="163"/>
      <c r="AE92" s="171"/>
      <c r="AF92" s="179"/>
    </row>
    <row r="93" spans="1:32" ht="15.75" x14ac:dyDescent="0.25">
      <c r="A93" s="163">
        <v>74</v>
      </c>
      <c r="B93" s="164" t="s">
        <v>181</v>
      </c>
      <c r="C93" s="232" t="s">
        <v>183</v>
      </c>
      <c r="D93" s="165">
        <v>374.5</v>
      </c>
      <c r="E93" s="163" t="s">
        <v>182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ht="15.75" x14ac:dyDescent="0.2">
      <c r="A94" s="163">
        <v>75</v>
      </c>
      <c r="B94" s="164" t="s">
        <v>196</v>
      </c>
      <c r="C94" s="163" t="s">
        <v>46</v>
      </c>
      <c r="D94" s="165">
        <v>622.02</v>
      </c>
      <c r="E94" s="163" t="s">
        <v>197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163">
        <v>76</v>
      </c>
      <c r="B95" s="164" t="s">
        <v>174</v>
      </c>
      <c r="C95" s="163" t="s">
        <v>46</v>
      </c>
      <c r="D95" s="165">
        <v>672</v>
      </c>
      <c r="E95" s="163" t="s">
        <v>175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82"/>
      <c r="Q95" s="171"/>
      <c r="R95" s="170"/>
      <c r="S95" s="171"/>
      <c r="T95" s="171"/>
      <c r="U95" s="171"/>
      <c r="V95" s="170"/>
      <c r="W95" s="170"/>
      <c r="X95" s="171"/>
      <c r="Y95" s="171"/>
      <c r="Z95" s="171"/>
      <c r="AA95" s="171"/>
      <c r="AB95" s="171"/>
      <c r="AC95" s="171"/>
      <c r="AD95" s="163"/>
      <c r="AE95" s="171"/>
      <c r="AF95" s="179"/>
    </row>
    <row r="96" spans="1:32" ht="15.75" customHeight="1" x14ac:dyDescent="0.2">
      <c r="A96" s="163">
        <v>77</v>
      </c>
      <c r="B96" s="204" t="s">
        <v>103</v>
      </c>
      <c r="C96" s="163" t="s">
        <v>46</v>
      </c>
      <c r="D96" s="158">
        <v>582</v>
      </c>
      <c r="E96" s="158" t="s">
        <v>112</v>
      </c>
      <c r="F96" s="163">
        <v>177.8</v>
      </c>
      <c r="G96" s="163"/>
      <c r="H96" s="165"/>
      <c r="I96" s="158"/>
      <c r="J96" s="158"/>
      <c r="K96" s="159"/>
      <c r="L96" s="158"/>
      <c r="M96" s="159"/>
      <c r="N96" s="158"/>
      <c r="O96" s="158"/>
      <c r="P96" s="160"/>
      <c r="Q96" s="174"/>
      <c r="R96" s="158"/>
      <c r="S96" s="158"/>
      <c r="T96" s="158"/>
      <c r="U96" s="357"/>
      <c r="V96" s="355"/>
      <c r="W96" s="355"/>
      <c r="X96" s="157"/>
      <c r="Y96" s="234"/>
      <c r="Z96" s="158"/>
      <c r="AA96" s="158"/>
      <c r="AB96" s="357"/>
      <c r="AC96" s="158"/>
      <c r="AD96" s="235"/>
      <c r="AE96" s="174"/>
      <c r="AF96" s="179"/>
    </row>
    <row r="97" spans="1:32" ht="15.75" x14ac:dyDescent="0.2">
      <c r="A97" s="163"/>
      <c r="B97" s="1843" t="s">
        <v>279</v>
      </c>
      <c r="C97" s="1839"/>
      <c r="D97" s="1839"/>
      <c r="E97" s="1839"/>
      <c r="F97" s="1839"/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x14ac:dyDescent="0.2">
      <c r="A98" s="163">
        <v>78</v>
      </c>
      <c r="B98" s="164" t="s">
        <v>148</v>
      </c>
      <c r="C98" s="163" t="s">
        <v>46</v>
      </c>
      <c r="D98" s="163">
        <v>650</v>
      </c>
      <c r="E98" s="163" t="s">
        <v>75</v>
      </c>
      <c r="F98" s="163">
        <v>177.8</v>
      </c>
      <c r="G98" s="163"/>
      <c r="H98" s="165"/>
      <c r="I98" s="159">
        <v>536.14</v>
      </c>
      <c r="J98" s="163"/>
      <c r="K98" s="163"/>
      <c r="L98" s="163"/>
      <c r="M98" s="163"/>
      <c r="N98" s="182"/>
      <c r="O98" s="163"/>
      <c r="P98" s="182"/>
      <c r="Q98" s="171"/>
      <c r="R98" s="170"/>
      <c r="S98" s="171"/>
      <c r="T98" s="171"/>
      <c r="U98" s="171"/>
      <c r="V98" s="170"/>
      <c r="W98" s="170"/>
      <c r="X98" s="171"/>
      <c r="Y98" s="171"/>
      <c r="Z98" s="171"/>
      <c r="AA98" s="171"/>
      <c r="AB98" s="171"/>
      <c r="AC98" s="171"/>
      <c r="AD98" s="163"/>
      <c r="AE98" s="171"/>
      <c r="AF98" s="179"/>
    </row>
    <row r="99" spans="1:32" ht="15.75" x14ac:dyDescent="0.2">
      <c r="A99" s="163">
        <v>79</v>
      </c>
      <c r="B99" s="164" t="s">
        <v>155</v>
      </c>
      <c r="C99" s="163" t="s">
        <v>46</v>
      </c>
      <c r="D99" s="163">
        <v>674.13</v>
      </c>
      <c r="E99" s="163" t="s">
        <v>83</v>
      </c>
      <c r="F99" s="163">
        <v>177.8</v>
      </c>
      <c r="G99" s="163"/>
      <c r="H99" s="165"/>
      <c r="I99" s="158">
        <v>527.75</v>
      </c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80</v>
      </c>
      <c r="B100" s="164" t="s">
        <v>56</v>
      </c>
      <c r="C100" s="163" t="s">
        <v>46</v>
      </c>
      <c r="D100" s="165">
        <v>680.52</v>
      </c>
      <c r="E100" s="163" t="s">
        <v>92</v>
      </c>
      <c r="F100" s="163">
        <v>177.8</v>
      </c>
      <c r="G100" s="163"/>
      <c r="H100" s="165"/>
      <c r="I100" s="158">
        <v>555.95000000000005</v>
      </c>
      <c r="J100" s="163"/>
      <c r="K100" s="163"/>
      <c r="L100" s="163"/>
      <c r="M100" s="163"/>
      <c r="N100" s="182"/>
      <c r="O100" s="163"/>
      <c r="P100" s="170"/>
      <c r="Q100" s="171"/>
      <c r="R100" s="170"/>
      <c r="S100" s="171"/>
      <c r="T100" s="171"/>
      <c r="U100" s="171"/>
      <c r="V100" s="170"/>
      <c r="W100" s="170"/>
      <c r="X100" s="233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" x14ac:dyDescent="0.2">
      <c r="A101" s="305"/>
      <c r="B101" s="237"/>
      <c r="C101" s="237"/>
      <c r="D101" s="238"/>
      <c r="E101" s="239"/>
      <c r="F101" s="240"/>
      <c r="G101" s="240"/>
      <c r="H101" s="241"/>
      <c r="I101" s="242"/>
      <c r="J101" s="240"/>
      <c r="K101" s="240"/>
      <c r="L101" s="240"/>
      <c r="M101" s="240"/>
      <c r="N101" s="243"/>
      <c r="O101" s="240"/>
      <c r="P101" s="244"/>
      <c r="Q101" s="245"/>
      <c r="R101" s="244"/>
      <c r="S101" s="245"/>
      <c r="T101" s="245"/>
      <c r="U101" s="245"/>
      <c r="V101" s="244"/>
      <c r="W101" s="244"/>
      <c r="X101" s="246"/>
      <c r="Y101" s="245"/>
      <c r="Z101" s="245"/>
      <c r="AA101" s="245"/>
      <c r="AB101" s="245"/>
      <c r="AC101" s="245"/>
      <c r="AD101" s="240"/>
      <c r="AE101" s="245"/>
      <c r="AF101" s="247"/>
    </row>
    <row r="102" spans="1:32" ht="15" x14ac:dyDescent="0.2">
      <c r="A102" s="305"/>
      <c r="B102" s="1844"/>
      <c r="C102" s="1844"/>
      <c r="D102" s="1844"/>
      <c r="E102" s="1845"/>
      <c r="F102" s="248"/>
      <c r="G102" s="240"/>
      <c r="H102" s="241"/>
      <c r="I102" s="245"/>
      <c r="J102" s="240"/>
      <c r="K102" s="248"/>
      <c r="L102" s="240"/>
      <c r="M102" s="248"/>
      <c r="N102" s="243"/>
      <c r="O102" s="248"/>
      <c r="P102" s="249"/>
      <c r="Q102" s="250"/>
      <c r="R102" s="250">
        <f>R74+R84</f>
        <v>404.65099999999995</v>
      </c>
      <c r="S102" s="250">
        <f>S74+S84</f>
        <v>610.47599999999989</v>
      </c>
      <c r="T102" s="250">
        <f>T74+T84</f>
        <v>22804.000000000004</v>
      </c>
      <c r="U102" s="250">
        <f>T102/R102</f>
        <v>56.35473531512342</v>
      </c>
      <c r="V102" s="250"/>
      <c r="W102" s="250"/>
      <c r="X102" s="250"/>
      <c r="Y102" s="250">
        <f>Y74+Y84+Y85</f>
        <v>376.77560800000003</v>
      </c>
      <c r="Z102" s="250">
        <f>Z74+Z84+Z85</f>
        <v>562.62751400000002</v>
      </c>
      <c r="AA102" s="250">
        <f>AA74+AA84</f>
        <v>21620.87228</v>
      </c>
      <c r="AB102" s="250">
        <f>AA102/Y102</f>
        <v>57.383949016147554</v>
      </c>
      <c r="AC102" s="250"/>
      <c r="AD102" s="250"/>
      <c r="AE102" s="251">
        <f>AE74+AE84+AE85</f>
        <v>11680.043848000001</v>
      </c>
      <c r="AF102" s="252"/>
    </row>
    <row r="103" spans="1:32" ht="15" x14ac:dyDescent="0.2">
      <c r="B103" s="253"/>
      <c r="C103" s="253"/>
      <c r="D103" s="253"/>
      <c r="E103" s="253"/>
      <c r="F103" s="254"/>
      <c r="G103" s="255"/>
      <c r="H103" s="256"/>
      <c r="I103" s="256"/>
      <c r="J103" s="254"/>
      <c r="K103" s="254"/>
      <c r="L103" s="254"/>
      <c r="M103" s="254"/>
      <c r="N103" s="254"/>
      <c r="O103" s="254"/>
      <c r="P103" s="257"/>
      <c r="Q103" s="258"/>
      <c r="R103" s="254"/>
      <c r="S103" s="254"/>
      <c r="T103" s="254"/>
      <c r="U103" s="259"/>
      <c r="V103" s="255"/>
      <c r="W103" s="255"/>
      <c r="X103" s="255"/>
      <c r="Y103" s="254"/>
      <c r="Z103" s="254"/>
      <c r="AA103" s="254"/>
      <c r="AB103" s="260"/>
      <c r="AC103" s="255"/>
      <c r="AD103" s="254"/>
      <c r="AE103" s="254"/>
      <c r="AF103" s="256"/>
    </row>
    <row r="104" spans="1:32" ht="15" x14ac:dyDescent="0.2">
      <c r="B104" s="289"/>
      <c r="C104" s="191"/>
      <c r="D104" s="289"/>
      <c r="E104" s="268">
        <v>0.95</v>
      </c>
      <c r="F104" s="289"/>
      <c r="G104" s="289" t="s">
        <v>102</v>
      </c>
      <c r="H104" s="290"/>
      <c r="I104" s="262"/>
      <c r="J104" s="289"/>
      <c r="K104" s="1883">
        <f>AE102*E104</f>
        <v>11096.0416556</v>
      </c>
      <c r="L104" s="1884"/>
      <c r="M104" s="1885"/>
      <c r="N104" s="191" t="s">
        <v>27</v>
      </c>
      <c r="O104" s="254"/>
      <c r="P104" s="257"/>
      <c r="Q104" s="258"/>
      <c r="R104" s="254"/>
      <c r="S104" s="254"/>
      <c r="T104" s="254"/>
      <c r="U104" s="259"/>
      <c r="V104" s="255"/>
      <c r="W104" s="255"/>
      <c r="X104" s="255"/>
      <c r="Y104" s="254"/>
      <c r="Z104" s="254"/>
      <c r="AA104" s="254"/>
      <c r="AB104" s="260"/>
      <c r="AC104" s="255"/>
      <c r="AD104" s="254"/>
      <c r="AE104" s="254"/>
      <c r="AF104" s="256"/>
    </row>
    <row r="105" spans="1:32" ht="15" x14ac:dyDescent="0.2">
      <c r="B105" s="289"/>
      <c r="C105" s="191"/>
      <c r="D105" s="289"/>
      <c r="E105" s="268"/>
      <c r="F105" s="289"/>
      <c r="G105" s="191"/>
      <c r="H105" s="290"/>
      <c r="I105" s="262"/>
      <c r="J105" s="289"/>
      <c r="K105" s="191"/>
      <c r="L105" s="263"/>
      <c r="M105" s="289"/>
      <c r="N105" s="289"/>
      <c r="O105" s="289"/>
      <c r="P105" s="291"/>
      <c r="Q105" s="292"/>
      <c r="R105" s="289"/>
      <c r="S105" s="289"/>
      <c r="T105" s="289"/>
      <c r="U105" s="289"/>
      <c r="V105" s="289"/>
      <c r="W105" s="289"/>
      <c r="X105" s="211"/>
      <c r="Y105" s="211"/>
      <c r="Z105" s="211"/>
      <c r="AA105" s="211"/>
      <c r="AB105" s="211"/>
      <c r="AC105" s="211"/>
      <c r="AD105" s="211"/>
      <c r="AE105" s="211"/>
      <c r="AF105" s="266"/>
    </row>
    <row r="106" spans="1:32" ht="15" x14ac:dyDescent="0.2">
      <c r="B106" s="289"/>
      <c r="C106" s="289"/>
      <c r="D106" s="289"/>
      <c r="E106" s="293" t="s">
        <v>214</v>
      </c>
      <c r="F106" s="1881" t="s">
        <v>264</v>
      </c>
      <c r="G106" s="1881"/>
      <c r="H106" s="1881"/>
      <c r="I106" s="289"/>
      <c r="J106" s="289"/>
      <c r="K106" s="191"/>
      <c r="L106" s="191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1842" t="s">
        <v>99</v>
      </c>
      <c r="Y106" s="1824"/>
      <c r="Z106" s="1824"/>
      <c r="AA106" s="1824"/>
      <c r="AB106" s="211" t="s">
        <v>282</v>
      </c>
      <c r="AC106" s="211"/>
      <c r="AD106" s="211"/>
      <c r="AE106" s="211"/>
      <c r="AF106" s="211"/>
    </row>
  </sheetData>
  <mergeCells count="40">
    <mergeCell ref="X106:AA106"/>
    <mergeCell ref="B86:F86"/>
    <mergeCell ref="B91:F91"/>
    <mergeCell ref="B97:F97"/>
    <mergeCell ref="B102:E102"/>
    <mergeCell ref="K104:M104"/>
    <mergeCell ref="F106:H106"/>
    <mergeCell ref="Y12:AA12"/>
    <mergeCell ref="G11:G13"/>
    <mergeCell ref="H11:W11"/>
    <mergeCell ref="X11:AF11"/>
    <mergeCell ref="H12:H13"/>
    <mergeCell ref="I12:I13"/>
    <mergeCell ref="U12:U13"/>
    <mergeCell ref="AF12:AF13"/>
    <mergeCell ref="AB12:AB13"/>
    <mergeCell ref="O12:P12"/>
    <mergeCell ref="AC12:AC13"/>
    <mergeCell ref="B85:E85"/>
    <mergeCell ref="V12:V13"/>
    <mergeCell ref="W12:W13"/>
    <mergeCell ref="X12:X13"/>
    <mergeCell ref="B74:E74"/>
    <mergeCell ref="B75:F75"/>
    <mergeCell ref="B84:E84"/>
    <mergeCell ref="R12:T12"/>
    <mergeCell ref="F11:F12"/>
    <mergeCell ref="K12:L12"/>
    <mergeCell ref="M12:N12"/>
    <mergeCell ref="I1:X1"/>
    <mergeCell ref="A2:D2"/>
    <mergeCell ref="J2:W2"/>
    <mergeCell ref="A6:E6"/>
    <mergeCell ref="A7:E7"/>
    <mergeCell ref="B8:E8"/>
    <mergeCell ref="A11:A13"/>
    <mergeCell ref="B11:B13"/>
    <mergeCell ref="C11:C13"/>
    <mergeCell ref="D11:D12"/>
    <mergeCell ref="E11:E12"/>
  </mergeCells>
  <pageMargins left="0.25" right="0.25" top="0.75" bottom="0.75" header="0.3" footer="0.3"/>
  <pageSetup paperSize="9" scale="31" orientation="landscape" r:id="rId1"/>
  <rowBreaks count="1" manualBreakCount="1">
    <brk id="74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110"/>
  <sheetViews>
    <sheetView topLeftCell="A69" zoomScale="55" zoomScaleNormal="55" workbookViewId="0">
      <selection activeCell="E52" sqref="E52"/>
    </sheetView>
  </sheetViews>
  <sheetFormatPr defaultRowHeight="12.75" x14ac:dyDescent="0.2"/>
  <cols>
    <col min="2" max="2" width="10.5703125" customWidth="1"/>
    <col min="3" max="3" width="14.5703125" customWidth="1"/>
    <col min="5" max="5" width="87.42578125" customWidth="1"/>
    <col min="8" max="8" width="13.28515625" customWidth="1"/>
    <col min="20" max="20" width="10.85546875" customWidth="1"/>
    <col min="21" max="21" width="10.5703125" customWidth="1"/>
    <col min="27" max="27" width="11.7109375" customWidth="1"/>
    <col min="31" max="31" width="12.140625" customWidth="1"/>
    <col min="32" max="32" width="55" customWidth="1"/>
  </cols>
  <sheetData>
    <row r="1" spans="1:32" ht="15" x14ac:dyDescent="0.2">
      <c r="A1" s="304"/>
      <c r="B1" s="366"/>
      <c r="C1" s="366"/>
      <c r="D1" s="138"/>
      <c r="E1" s="138"/>
      <c r="F1" s="138"/>
      <c r="G1" s="366"/>
      <c r="H1" s="36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66"/>
      <c r="H2" s="366"/>
      <c r="I2" s="138"/>
      <c r="J2" s="1823" t="s">
        <v>294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67" t="s">
        <v>270</v>
      </c>
      <c r="B3" s="367"/>
      <c r="C3" s="367"/>
      <c r="D3" s="367"/>
      <c r="E3" s="367"/>
      <c r="F3" s="138"/>
      <c r="G3" s="366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65"/>
      <c r="S3" s="365"/>
      <c r="T3" s="365"/>
      <c r="U3" s="365"/>
      <c r="V3" s="365"/>
      <c r="W3" s="365"/>
      <c r="X3" s="365"/>
      <c r="Y3" s="365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67" t="s">
        <v>228</v>
      </c>
      <c r="B4" s="148"/>
      <c r="C4" s="148"/>
      <c r="D4" s="148"/>
      <c r="E4" s="138"/>
      <c r="F4" s="138"/>
      <c r="G4" s="366"/>
      <c r="H4" s="366"/>
      <c r="I4" s="141"/>
      <c r="J4" s="141"/>
      <c r="K4" s="141"/>
      <c r="L4" s="141"/>
      <c r="M4" s="141"/>
      <c r="N4" s="141"/>
      <c r="O4" s="141"/>
      <c r="P4" s="141"/>
      <c r="Q4" s="141"/>
      <c r="R4" s="364"/>
      <c r="S4" s="364"/>
      <c r="T4" s="364"/>
      <c r="U4" s="364"/>
      <c r="V4" s="364"/>
      <c r="W4" s="364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67"/>
      <c r="C5" s="367"/>
      <c r="D5" s="367"/>
      <c r="E5" s="138"/>
      <c r="F5" s="138"/>
      <c r="G5" s="366"/>
      <c r="H5" s="366"/>
      <c r="I5" s="138"/>
      <c r="J5" s="138"/>
      <c r="K5" s="366"/>
      <c r="L5" s="366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66"/>
      <c r="H6" s="366"/>
      <c r="I6" s="140"/>
      <c r="J6" s="138"/>
      <c r="K6" s="366"/>
      <c r="L6" s="366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66"/>
      <c r="H7" s="366"/>
      <c r="I7" s="140"/>
      <c r="J7" s="138"/>
      <c r="K7" s="366"/>
      <c r="L7" s="366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A8" s="304"/>
      <c r="B8" s="1826"/>
      <c r="C8" s="1826"/>
      <c r="D8" s="1826"/>
      <c r="E8" s="1826"/>
      <c r="F8" s="138"/>
      <c r="G8" s="366"/>
      <c r="H8" s="366"/>
      <c r="I8" s="140"/>
      <c r="J8" s="138"/>
      <c r="K8" s="366"/>
      <c r="L8" s="366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A9" s="304"/>
      <c r="B9" s="154"/>
      <c r="C9" s="154"/>
      <c r="D9" s="154"/>
      <c r="E9" s="154"/>
      <c r="F9" s="138"/>
      <c r="G9" s="366"/>
      <c r="H9" s="366"/>
      <c r="I9" s="138"/>
      <c r="J9" s="138"/>
      <c r="K9" s="366"/>
      <c r="L9" s="366"/>
      <c r="M9" s="366"/>
      <c r="N9" s="366"/>
      <c r="O9" s="366"/>
      <c r="P9" s="366"/>
      <c r="Q9" s="366"/>
      <c r="R9" s="366"/>
      <c r="S9" s="366"/>
      <c r="T9" s="366"/>
      <c r="U9" s="366"/>
      <c r="V9" s="366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A10" s="304"/>
      <c r="B10" s="366"/>
      <c r="C10" s="366"/>
      <c r="D10" s="366"/>
      <c r="E10" s="138"/>
      <c r="F10" s="138"/>
      <c r="G10" s="366"/>
      <c r="H10" s="366"/>
      <c r="I10" s="140"/>
      <c r="J10" s="138"/>
      <c r="K10" s="366"/>
      <c r="L10" s="366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61.25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63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63" t="s">
        <v>18</v>
      </c>
      <c r="AE12" s="363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160</v>
      </c>
      <c r="K14" s="166"/>
      <c r="L14" s="166">
        <v>281</v>
      </c>
      <c r="M14" s="166"/>
      <c r="N14" s="163">
        <v>1.9</v>
      </c>
      <c r="O14" s="166"/>
      <c r="P14" s="167">
        <v>28.702640161670537</v>
      </c>
      <c r="Q14" s="168">
        <f t="shared" ref="Q14:Q37" si="0">LEFT(H14,(FIND("K",H14,1)-1))*J14/100</f>
        <v>35.200000000000003</v>
      </c>
      <c r="R14" s="169">
        <v>2.94</v>
      </c>
      <c r="S14" s="168">
        <v>7.1809999999999992</v>
      </c>
      <c r="T14" s="168">
        <v>3</v>
      </c>
      <c r="U14" s="168">
        <f>T14/R14</f>
        <v>1.0204081632653061</v>
      </c>
      <c r="V14" s="169">
        <f>(S14-R14)/S14*100</f>
        <v>59.058626932182143</v>
      </c>
      <c r="W14" s="170">
        <v>1</v>
      </c>
      <c r="X14" s="171">
        <f t="shared" ref="X14:X46" si="1">S14/Q14</f>
        <v>0.20400568181818177</v>
      </c>
      <c r="Y14" s="171">
        <f>R14*0.9494</f>
        <v>2.7912360000000001</v>
      </c>
      <c r="Z14" s="171">
        <f t="shared" ref="Z14:AA14" si="2">S14*0.9494</f>
        <v>6.8176413999999994</v>
      </c>
      <c r="AA14" s="171">
        <f t="shared" si="2"/>
        <v>2.8482000000000003</v>
      </c>
      <c r="AB14" s="171">
        <f>U14</f>
        <v>1.0204081632653061</v>
      </c>
      <c r="AC14" s="171">
        <f t="shared" ref="AC14:AC74" si="3">V14</f>
        <v>59.058626932182143</v>
      </c>
      <c r="AD14" s="163">
        <v>30</v>
      </c>
      <c r="AE14" s="171">
        <f>Y14*AD14</f>
        <v>83.737080000000006</v>
      </c>
      <c r="AF14" s="172"/>
    </row>
    <row r="15" spans="1:32" ht="15.75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370</v>
      </c>
      <c r="L15" s="166">
        <v>0</v>
      </c>
      <c r="M15" s="166">
        <v>21.25</v>
      </c>
      <c r="N15" s="163"/>
      <c r="O15" s="166"/>
      <c r="P15" s="167">
        <v>0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AA15" si="4">R15*0.9438</f>
        <v>0</v>
      </c>
      <c r="Z15" s="171">
        <f t="shared" si="4"/>
        <v>0</v>
      </c>
      <c r="AA15" s="171">
        <f t="shared" si="4"/>
        <v>0</v>
      </c>
      <c r="AB15" s="171">
        <f t="shared" ref="AB15:AB74" si="5">U15</f>
        <v>0</v>
      </c>
      <c r="AC15" s="171">
        <f t="shared" si="3"/>
        <v>0</v>
      </c>
      <c r="AD15" s="163">
        <v>0</v>
      </c>
      <c r="AE15" s="171">
        <f t="shared" ref="AE15:AE57" si="6">Y15*AD15</f>
        <v>0</v>
      </c>
      <c r="AF15" s="172" t="s">
        <v>215</v>
      </c>
    </row>
    <row r="16" spans="1:32" ht="15.75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140</v>
      </c>
      <c r="K16" s="163"/>
      <c r="L16" s="166">
        <v>494</v>
      </c>
      <c r="M16" s="166"/>
      <c r="N16" s="182">
        <v>8.1</v>
      </c>
      <c r="O16" s="166"/>
      <c r="P16" s="167">
        <v>12.385665703911322</v>
      </c>
      <c r="Q16" s="168">
        <f>LEFT(H16,(FIND("K",H16,1)-1))*J16/100</f>
        <v>44.8</v>
      </c>
      <c r="R16" s="169">
        <v>15.757</v>
      </c>
      <c r="S16" s="168">
        <v>26.334</v>
      </c>
      <c r="T16" s="168">
        <v>4144</v>
      </c>
      <c r="U16" s="168">
        <f t="shared" ref="U16:U74" si="7">T16/R16</f>
        <v>262.99422478898271</v>
      </c>
      <c r="V16" s="169">
        <f t="shared" ref="V16:V74" si="8">(S16-R16)/S16*100</f>
        <v>40.164805954279636</v>
      </c>
      <c r="W16" s="170">
        <v>0.3</v>
      </c>
      <c r="X16" s="171">
        <f t="shared" si="1"/>
        <v>0.58781250000000007</v>
      </c>
      <c r="Y16" s="171">
        <f>R16*0.9494</f>
        <v>14.9596958</v>
      </c>
      <c r="Z16" s="171">
        <f t="shared" ref="Z16:AA29" si="9">S16*0.9494</f>
        <v>25.001499599999999</v>
      </c>
      <c r="AA16" s="171">
        <f t="shared" si="9"/>
        <v>3934.3136</v>
      </c>
      <c r="AB16" s="171">
        <f t="shared" si="5"/>
        <v>262.99422478898271</v>
      </c>
      <c r="AC16" s="171">
        <f t="shared" si="3"/>
        <v>40.164805954279636</v>
      </c>
      <c r="AD16" s="163">
        <v>30</v>
      </c>
      <c r="AE16" s="171">
        <f>Y16*AD16</f>
        <v>448.79087400000003</v>
      </c>
      <c r="AF16" s="172"/>
    </row>
    <row r="17" spans="1:32" ht="15.75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297</v>
      </c>
      <c r="F17" s="163">
        <v>177.8</v>
      </c>
      <c r="G17" s="163" t="s">
        <v>28</v>
      </c>
      <c r="H17" s="165" t="s">
        <v>53</v>
      </c>
      <c r="I17" s="158">
        <v>538.47</v>
      </c>
      <c r="J17" s="163">
        <v>150</v>
      </c>
      <c r="K17" s="163"/>
      <c r="L17" s="166">
        <v>446</v>
      </c>
      <c r="M17" s="166"/>
      <c r="N17" s="182">
        <v>4.5999999999999996</v>
      </c>
      <c r="O17" s="166"/>
      <c r="P17" s="167">
        <v>15.722756940866722</v>
      </c>
      <c r="Q17" s="168">
        <f t="shared" si="0"/>
        <v>19.5</v>
      </c>
      <c r="R17" s="169">
        <v>6.423</v>
      </c>
      <c r="S17" s="168">
        <v>8.1829999999999998</v>
      </c>
      <c r="T17" s="168">
        <v>63</v>
      </c>
      <c r="U17" s="168">
        <f t="shared" si="7"/>
        <v>9.8085007006071923</v>
      </c>
      <c r="V17" s="169">
        <f t="shared" si="8"/>
        <v>21.508004399364534</v>
      </c>
      <c r="W17" s="170">
        <v>3</v>
      </c>
      <c r="X17" s="171">
        <f>S17/Q17</f>
        <v>0.41964102564102562</v>
      </c>
      <c r="Y17" s="171">
        <f t="shared" ref="Y17:Y29" si="10">R17*0.9494</f>
        <v>6.0979961999999999</v>
      </c>
      <c r="Z17" s="171">
        <f t="shared" si="9"/>
        <v>7.7689402000000003</v>
      </c>
      <c r="AA17" s="171">
        <f t="shared" si="9"/>
        <v>59.812200000000004</v>
      </c>
      <c r="AB17" s="171">
        <f t="shared" si="5"/>
        <v>9.8085007006071923</v>
      </c>
      <c r="AC17" s="171">
        <f t="shared" si="3"/>
        <v>21.508004399364534</v>
      </c>
      <c r="AD17" s="163">
        <v>30</v>
      </c>
      <c r="AE17" s="171">
        <f t="shared" si="6"/>
        <v>182.939886</v>
      </c>
      <c r="AF17" s="172"/>
    </row>
    <row r="18" spans="1:32" ht="15.75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160</v>
      </c>
      <c r="K18" s="163"/>
      <c r="L18" s="166">
        <v>435</v>
      </c>
      <c r="M18" s="166"/>
      <c r="N18" s="163">
        <v>5.2</v>
      </c>
      <c r="O18" s="166"/>
      <c r="P18" s="167">
        <v>17.121179326553293</v>
      </c>
      <c r="Q18" s="168">
        <f t="shared" si="0"/>
        <v>9.6</v>
      </c>
      <c r="R18" s="169">
        <v>6.2039999999999997</v>
      </c>
      <c r="S18" s="168">
        <v>7.056</v>
      </c>
      <c r="T18" s="168">
        <v>31</v>
      </c>
      <c r="U18" s="168">
        <f t="shared" si="7"/>
        <v>4.996776273372018</v>
      </c>
      <c r="V18" s="169">
        <f t="shared" si="8"/>
        <v>12.074829931972793</v>
      </c>
      <c r="W18" s="170">
        <v>5</v>
      </c>
      <c r="X18" s="171">
        <f t="shared" si="1"/>
        <v>0.73499999999999999</v>
      </c>
      <c r="Y18" s="171">
        <f t="shared" si="10"/>
        <v>5.8900775999999997</v>
      </c>
      <c r="Z18" s="171">
        <f t="shared" si="9"/>
        <v>6.6989663999999998</v>
      </c>
      <c r="AA18" s="171">
        <f t="shared" si="9"/>
        <v>29.4314</v>
      </c>
      <c r="AB18" s="171">
        <f t="shared" si="5"/>
        <v>4.996776273372018</v>
      </c>
      <c r="AC18" s="171">
        <f t="shared" si="3"/>
        <v>12.074829931972793</v>
      </c>
      <c r="AD18" s="163">
        <v>30</v>
      </c>
      <c r="AE18" s="171">
        <f t="shared" si="6"/>
        <v>176.70232799999999</v>
      </c>
      <c r="AF18" s="172"/>
    </row>
    <row r="19" spans="1:32" ht="15.75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407</v>
      </c>
      <c r="M19" s="166"/>
      <c r="N19" s="163">
        <v>1.1000000000000001</v>
      </c>
      <c r="O19" s="166"/>
      <c r="P19" s="167">
        <v>17.15521243157902</v>
      </c>
      <c r="Q19" s="168">
        <f t="shared" si="0"/>
        <v>15</v>
      </c>
      <c r="R19" s="169">
        <v>3.222</v>
      </c>
      <c r="S19" s="168">
        <v>4.2770000000000001</v>
      </c>
      <c r="T19" s="168">
        <v>9</v>
      </c>
      <c r="U19" s="168">
        <f t="shared" si="7"/>
        <v>2.7932960893854748</v>
      </c>
      <c r="V19" s="169">
        <f t="shared" si="8"/>
        <v>24.666822539162965</v>
      </c>
      <c r="W19" s="170">
        <v>2</v>
      </c>
      <c r="X19" s="171">
        <f>S19/Q19</f>
        <v>0.28513333333333335</v>
      </c>
      <c r="Y19" s="171">
        <f t="shared" si="10"/>
        <v>3.0589667999999999</v>
      </c>
      <c r="Z19" s="171">
        <f t="shared" si="9"/>
        <v>4.0605837999999999</v>
      </c>
      <c r="AA19" s="171">
        <f t="shared" si="9"/>
        <v>8.5446000000000009</v>
      </c>
      <c r="AB19" s="171">
        <f t="shared" si="5"/>
        <v>2.7932960893854748</v>
      </c>
      <c r="AC19" s="171">
        <f t="shared" si="3"/>
        <v>24.666822539162965</v>
      </c>
      <c r="AD19" s="163">
        <v>30</v>
      </c>
      <c r="AE19" s="171">
        <f t="shared" si="6"/>
        <v>91.769003999999995</v>
      </c>
      <c r="AF19" s="172"/>
    </row>
    <row r="20" spans="1:32" ht="15.75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485</v>
      </c>
      <c r="M20" s="166"/>
      <c r="N20" s="163">
        <v>13.9</v>
      </c>
      <c r="O20" s="166"/>
      <c r="P20" s="167">
        <v>21.678111859373651</v>
      </c>
      <c r="Q20" s="168">
        <f t="shared" si="0"/>
        <v>22</v>
      </c>
      <c r="R20" s="169">
        <v>7.92</v>
      </c>
      <c r="S20" s="168">
        <v>10.001999999999999</v>
      </c>
      <c r="T20" s="168">
        <v>11</v>
      </c>
      <c r="U20" s="168">
        <f t="shared" si="7"/>
        <v>1.3888888888888888</v>
      </c>
      <c r="V20" s="169">
        <f t="shared" si="8"/>
        <v>20.815836832633465</v>
      </c>
      <c r="W20" s="170">
        <v>3</v>
      </c>
      <c r="X20" s="171">
        <f t="shared" si="1"/>
        <v>0.45463636363636356</v>
      </c>
      <c r="Y20" s="171">
        <f t="shared" si="10"/>
        <v>7.5192480000000002</v>
      </c>
      <c r="Z20" s="171">
        <f t="shared" si="9"/>
        <v>9.4958987999999991</v>
      </c>
      <c r="AA20" s="171">
        <f t="shared" si="9"/>
        <v>10.4434</v>
      </c>
      <c r="AB20" s="171">
        <f t="shared" si="5"/>
        <v>1.3888888888888888</v>
      </c>
      <c r="AC20" s="171">
        <f t="shared" si="3"/>
        <v>20.815836832633465</v>
      </c>
      <c r="AD20" s="163">
        <v>30</v>
      </c>
      <c r="AE20" s="171">
        <f t="shared" si="6"/>
        <v>225.57744</v>
      </c>
      <c r="AF20" s="172"/>
    </row>
    <row r="21" spans="1:32" ht="27.6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100</v>
      </c>
      <c r="K21" s="175"/>
      <c r="L21" s="166">
        <v>442</v>
      </c>
      <c r="M21" s="176"/>
      <c r="N21" s="163">
        <v>7.3</v>
      </c>
      <c r="O21" s="176"/>
      <c r="P21" s="167">
        <v>19.514578662481874</v>
      </c>
      <c r="Q21" s="168">
        <f t="shared" si="0"/>
        <v>22</v>
      </c>
      <c r="R21" s="169">
        <v>11.11</v>
      </c>
      <c r="S21" s="168">
        <v>19.452999999999999</v>
      </c>
      <c r="T21" s="168">
        <v>271</v>
      </c>
      <c r="U21" s="168">
        <f t="shared" si="7"/>
        <v>24.392439243924393</v>
      </c>
      <c r="V21" s="169">
        <f t="shared" si="8"/>
        <v>42.887986428828462</v>
      </c>
      <c r="W21" s="170">
        <v>0.5</v>
      </c>
      <c r="X21" s="171">
        <f t="shared" si="1"/>
        <v>0.88422727272727275</v>
      </c>
      <c r="Y21" s="171">
        <f t="shared" si="10"/>
        <v>10.547834</v>
      </c>
      <c r="Z21" s="171">
        <f t="shared" si="9"/>
        <v>18.468678199999999</v>
      </c>
      <c r="AA21" s="171">
        <f t="shared" si="9"/>
        <v>257.28739999999999</v>
      </c>
      <c r="AB21" s="171">
        <f t="shared" si="5"/>
        <v>24.392439243924393</v>
      </c>
      <c r="AC21" s="171">
        <f t="shared" si="3"/>
        <v>42.887986428828462</v>
      </c>
      <c r="AD21" s="163">
        <v>30</v>
      </c>
      <c r="AE21" s="171">
        <f t="shared" si="6"/>
        <v>316.43502000000001</v>
      </c>
      <c r="AF21" s="177"/>
    </row>
    <row r="22" spans="1:32" ht="15.75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474</v>
      </c>
      <c r="M22" s="166"/>
      <c r="N22" s="163">
        <v>5.4</v>
      </c>
      <c r="O22" s="166"/>
      <c r="P22" s="167">
        <v>14.362522001390889</v>
      </c>
      <c r="Q22" s="168">
        <f t="shared" si="0"/>
        <v>22</v>
      </c>
      <c r="R22" s="169">
        <v>4.8159999999999998</v>
      </c>
      <c r="S22" s="168">
        <v>7.359</v>
      </c>
      <c r="T22" s="168">
        <v>2</v>
      </c>
      <c r="U22" s="168">
        <f t="shared" si="7"/>
        <v>0.41528239202657807</v>
      </c>
      <c r="V22" s="169">
        <f t="shared" si="8"/>
        <v>34.556325587715726</v>
      </c>
      <c r="W22" s="170">
        <v>0.5</v>
      </c>
      <c r="X22" s="171">
        <f t="shared" si="1"/>
        <v>0.33450000000000002</v>
      </c>
      <c r="Y22" s="171">
        <f t="shared" si="10"/>
        <v>4.5723104000000001</v>
      </c>
      <c r="Z22" s="171">
        <f t="shared" si="9"/>
        <v>6.9866346000000004</v>
      </c>
      <c r="AA22" s="171">
        <f t="shared" si="9"/>
        <v>1.8988</v>
      </c>
      <c r="AB22" s="171">
        <f t="shared" si="5"/>
        <v>0.41528239202657807</v>
      </c>
      <c r="AC22" s="171">
        <f t="shared" si="3"/>
        <v>34.556325587715726</v>
      </c>
      <c r="AD22" s="163">
        <v>30</v>
      </c>
      <c r="AE22" s="171">
        <f t="shared" si="6"/>
        <v>137.16931199999999</v>
      </c>
      <c r="AF22" s="172"/>
    </row>
    <row r="23" spans="1:32" ht="15.75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135</v>
      </c>
      <c r="K23" s="163"/>
      <c r="L23" s="166">
        <v>314</v>
      </c>
      <c r="M23" s="166"/>
      <c r="N23" s="163">
        <v>5.3</v>
      </c>
      <c r="O23" s="166"/>
      <c r="P23" s="167">
        <v>28.873275733634298</v>
      </c>
      <c r="Q23" s="168">
        <f t="shared" si="0"/>
        <v>29.7</v>
      </c>
      <c r="R23" s="169">
        <v>0.24199999999999999</v>
      </c>
      <c r="S23" s="168">
        <v>0.56899999999999995</v>
      </c>
      <c r="T23" s="168">
        <v>0</v>
      </c>
      <c r="U23" s="168">
        <f t="shared" si="7"/>
        <v>0</v>
      </c>
      <c r="V23" s="169">
        <f t="shared" si="8"/>
        <v>57.469244288224949</v>
      </c>
      <c r="W23" s="170">
        <v>2</v>
      </c>
      <c r="X23" s="171">
        <f t="shared" si="1"/>
        <v>1.9158249158249156E-2</v>
      </c>
      <c r="Y23" s="171">
        <f t="shared" si="10"/>
        <v>0.22975480000000001</v>
      </c>
      <c r="Z23" s="171">
        <f t="shared" si="9"/>
        <v>0.54020859999999993</v>
      </c>
      <c r="AA23" s="171">
        <f t="shared" si="9"/>
        <v>0</v>
      </c>
      <c r="AB23" s="171">
        <f t="shared" si="5"/>
        <v>0</v>
      </c>
      <c r="AC23" s="171">
        <f t="shared" si="3"/>
        <v>57.469244288224949</v>
      </c>
      <c r="AD23" s="163">
        <v>30</v>
      </c>
      <c r="AE23" s="171">
        <f t="shared" si="6"/>
        <v>6.8926440000000007</v>
      </c>
      <c r="AF23" s="179"/>
    </row>
    <row r="24" spans="1:32" ht="19.899999999999999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395</v>
      </c>
      <c r="M24" s="166"/>
      <c r="N24" s="163">
        <v>0.4</v>
      </c>
      <c r="O24" s="166"/>
      <c r="P24" s="167">
        <v>18.068871471282325</v>
      </c>
      <c r="Q24" s="168">
        <f t="shared" si="0"/>
        <v>11.18</v>
      </c>
      <c r="R24" s="169">
        <v>0.24299999999999999</v>
      </c>
      <c r="S24" s="168">
        <v>0.56899999999999995</v>
      </c>
      <c r="T24" s="168">
        <v>0</v>
      </c>
      <c r="U24" s="168">
        <f t="shared" si="7"/>
        <v>0</v>
      </c>
      <c r="V24" s="169">
        <f t="shared" si="8"/>
        <v>57.293497363796128</v>
      </c>
      <c r="W24" s="170">
        <v>1</v>
      </c>
      <c r="X24" s="171">
        <f t="shared" si="1"/>
        <v>5.0894454382826471E-2</v>
      </c>
      <c r="Y24" s="171">
        <f t="shared" si="10"/>
        <v>0.2307042</v>
      </c>
      <c r="Z24" s="171">
        <f t="shared" si="9"/>
        <v>0.54020859999999993</v>
      </c>
      <c r="AA24" s="171">
        <f t="shared" si="9"/>
        <v>0</v>
      </c>
      <c r="AB24" s="171">
        <f t="shared" si="5"/>
        <v>0</v>
      </c>
      <c r="AC24" s="171">
        <f t="shared" si="3"/>
        <v>57.293497363796128</v>
      </c>
      <c r="AD24" s="163">
        <v>30</v>
      </c>
      <c r="AE24" s="171">
        <f t="shared" si="6"/>
        <v>6.9211260000000001</v>
      </c>
      <c r="AF24" s="172"/>
    </row>
    <row r="25" spans="1:32" ht="21.6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298</v>
      </c>
      <c r="F25" s="163">
        <v>177.8</v>
      </c>
      <c r="G25" s="163" t="s">
        <v>28</v>
      </c>
      <c r="H25" s="165" t="s">
        <v>52</v>
      </c>
      <c r="I25" s="158">
        <v>553.5</v>
      </c>
      <c r="J25" s="163">
        <v>95</v>
      </c>
      <c r="K25" s="163"/>
      <c r="L25" s="166">
        <v>236</v>
      </c>
      <c r="M25" s="166"/>
      <c r="N25" s="163">
        <v>3.4</v>
      </c>
      <c r="O25" s="166"/>
      <c r="P25" s="167">
        <v>34.50658062453661</v>
      </c>
      <c r="Q25" s="168">
        <f t="shared" si="0"/>
        <v>20.9</v>
      </c>
      <c r="R25" s="169">
        <v>9.0649999999999995</v>
      </c>
      <c r="S25" s="168">
        <v>10.786999999999999</v>
      </c>
      <c r="T25" s="168">
        <v>3</v>
      </c>
      <c r="U25" s="168">
        <f t="shared" si="7"/>
        <v>0.33094318808604523</v>
      </c>
      <c r="V25" s="169">
        <f t="shared" si="8"/>
        <v>15.963659961064241</v>
      </c>
      <c r="W25" s="170">
        <v>2</v>
      </c>
      <c r="X25" s="171">
        <f t="shared" si="1"/>
        <v>0.51612440191387554</v>
      </c>
      <c r="Y25" s="171">
        <f t="shared" si="10"/>
        <v>8.6063109999999998</v>
      </c>
      <c r="Z25" s="171">
        <f t="shared" si="9"/>
        <v>10.241177799999999</v>
      </c>
      <c r="AA25" s="171">
        <f t="shared" si="9"/>
        <v>2.8482000000000003</v>
      </c>
      <c r="AB25" s="171">
        <f t="shared" si="5"/>
        <v>0.33094318808604523</v>
      </c>
      <c r="AC25" s="171">
        <f t="shared" si="3"/>
        <v>15.963659961064241</v>
      </c>
      <c r="AD25" s="163">
        <v>30</v>
      </c>
      <c r="AE25" s="171">
        <f t="shared" si="6"/>
        <v>258.18932999999998</v>
      </c>
      <c r="AF25" s="172"/>
    </row>
    <row r="26" spans="1:32" ht="28.1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525.03</v>
      </c>
      <c r="J26" s="163">
        <v>110</v>
      </c>
      <c r="K26" s="163"/>
      <c r="L26" s="166">
        <v>321</v>
      </c>
      <c r="M26" s="166"/>
      <c r="N26" s="163">
        <v>6.6</v>
      </c>
      <c r="O26" s="166"/>
      <c r="P26" s="167">
        <v>27.488110142411731</v>
      </c>
      <c r="Q26" s="168">
        <f t="shared" si="0"/>
        <v>35.200000000000003</v>
      </c>
      <c r="R26" s="169">
        <v>11.901</v>
      </c>
      <c r="S26" s="168">
        <v>21.978000000000002</v>
      </c>
      <c r="T26" s="168">
        <v>182</v>
      </c>
      <c r="U26" s="168">
        <f t="shared" si="7"/>
        <v>15.292832535081086</v>
      </c>
      <c r="V26" s="169">
        <f t="shared" si="8"/>
        <v>45.850395850395856</v>
      </c>
      <c r="W26" s="170">
        <v>0.3</v>
      </c>
      <c r="X26" s="171">
        <f t="shared" si="1"/>
        <v>0.62437500000000001</v>
      </c>
      <c r="Y26" s="171">
        <f t="shared" si="10"/>
        <v>11.2988094</v>
      </c>
      <c r="Z26" s="171">
        <f t="shared" si="9"/>
        <v>20.865913200000001</v>
      </c>
      <c r="AA26" s="171">
        <f t="shared" si="9"/>
        <v>172.79079999999999</v>
      </c>
      <c r="AB26" s="171">
        <f t="shared" si="5"/>
        <v>15.292832535081086</v>
      </c>
      <c r="AC26" s="171">
        <f t="shared" si="3"/>
        <v>45.850395850395856</v>
      </c>
      <c r="AD26" s="163">
        <v>30</v>
      </c>
      <c r="AE26" s="171">
        <f t="shared" si="6"/>
        <v>338.96428199999997</v>
      </c>
      <c r="AF26" s="172"/>
    </row>
    <row r="27" spans="1:32" ht="22.1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350</v>
      </c>
      <c r="K27" s="163"/>
      <c r="L27" s="166">
        <v>393</v>
      </c>
      <c r="M27" s="166"/>
      <c r="N27" s="163">
        <v>8.1</v>
      </c>
      <c r="O27" s="166"/>
      <c r="P27" s="167">
        <v>21.695230030508849</v>
      </c>
      <c r="Q27" s="168">
        <f t="shared" si="0"/>
        <v>77</v>
      </c>
      <c r="R27" s="169">
        <v>15.87</v>
      </c>
      <c r="S27" s="168">
        <v>26.652999999999999</v>
      </c>
      <c r="T27" s="168">
        <v>4593</v>
      </c>
      <c r="U27" s="168">
        <f t="shared" si="7"/>
        <v>289.41398865784498</v>
      </c>
      <c r="V27" s="169">
        <f t="shared" si="8"/>
        <v>40.456984204404755</v>
      </c>
      <c r="W27" s="170">
        <v>0.3</v>
      </c>
      <c r="X27" s="171">
        <f t="shared" si="1"/>
        <v>0.34614285714285714</v>
      </c>
      <c r="Y27" s="171">
        <f t="shared" si="10"/>
        <v>15.066977999999999</v>
      </c>
      <c r="Z27" s="171">
        <f t="shared" si="9"/>
        <v>25.304358199999999</v>
      </c>
      <c r="AA27" s="171">
        <f t="shared" si="9"/>
        <v>4360.5942000000005</v>
      </c>
      <c r="AB27" s="171">
        <f t="shared" si="5"/>
        <v>289.41398865784498</v>
      </c>
      <c r="AC27" s="171">
        <f t="shared" si="3"/>
        <v>40.456984204404755</v>
      </c>
      <c r="AD27" s="163">
        <v>30</v>
      </c>
      <c r="AE27" s="171">
        <f t="shared" si="6"/>
        <v>452.00933999999995</v>
      </c>
      <c r="AF27" s="172"/>
    </row>
    <row r="28" spans="1:32" ht="15.75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453</v>
      </c>
      <c r="M28" s="166"/>
      <c r="N28" s="163">
        <v>6.8</v>
      </c>
      <c r="O28" s="166"/>
      <c r="P28" s="167">
        <v>19.0777900748615</v>
      </c>
      <c r="Q28" s="168">
        <f t="shared" si="0"/>
        <v>11.05</v>
      </c>
      <c r="R28" s="169">
        <v>3.5510000000000002</v>
      </c>
      <c r="S28" s="168">
        <v>5.742</v>
      </c>
      <c r="T28" s="168">
        <v>10</v>
      </c>
      <c r="U28" s="168">
        <f t="shared" si="7"/>
        <v>2.8161081385525204</v>
      </c>
      <c r="V28" s="169">
        <f t="shared" si="8"/>
        <v>38.1574364332985</v>
      </c>
      <c r="W28" s="170">
        <v>0.5</v>
      </c>
      <c r="X28" s="171">
        <f t="shared" si="1"/>
        <v>0.51963800904977375</v>
      </c>
      <c r="Y28" s="171">
        <f t="shared" si="10"/>
        <v>3.3713194000000004</v>
      </c>
      <c r="Z28" s="171">
        <f t="shared" si="9"/>
        <v>5.4514548000000005</v>
      </c>
      <c r="AA28" s="171">
        <f t="shared" si="9"/>
        <v>9.4939999999999998</v>
      </c>
      <c r="AB28" s="171">
        <f t="shared" si="5"/>
        <v>2.8161081385525204</v>
      </c>
      <c r="AC28" s="171">
        <f t="shared" si="3"/>
        <v>38.1574364332985</v>
      </c>
      <c r="AD28" s="163">
        <v>30</v>
      </c>
      <c r="AE28" s="171">
        <f>Y28*AD28</f>
        <v>101.13958200000002</v>
      </c>
      <c r="AF28" s="179"/>
    </row>
    <row r="29" spans="1:32" ht="15.75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502</v>
      </c>
      <c r="M29" s="164"/>
      <c r="N29" s="164">
        <v>9.1999999999999993</v>
      </c>
      <c r="O29" s="164"/>
      <c r="P29" s="371">
        <v>14.709367426178211</v>
      </c>
      <c r="Q29" s="164">
        <f t="shared" si="0"/>
        <v>96</v>
      </c>
      <c r="R29" s="181">
        <v>18.448</v>
      </c>
      <c r="S29" s="168">
        <v>20.922000000000001</v>
      </c>
      <c r="T29" s="164">
        <v>1753</v>
      </c>
      <c r="U29" s="181">
        <f t="shared" si="7"/>
        <v>95.023850823937551</v>
      </c>
      <c r="V29" s="181">
        <f t="shared" si="8"/>
        <v>11.824873339068924</v>
      </c>
      <c r="W29" s="164">
        <v>1</v>
      </c>
      <c r="X29" s="181">
        <f t="shared" si="1"/>
        <v>0.21793750000000001</v>
      </c>
      <c r="Y29" s="171">
        <f t="shared" si="10"/>
        <v>17.5145312</v>
      </c>
      <c r="Z29" s="171">
        <f t="shared" si="9"/>
        <v>19.863346800000002</v>
      </c>
      <c r="AA29" s="171">
        <f t="shared" si="9"/>
        <v>1664.2982</v>
      </c>
      <c r="AB29" s="181">
        <f t="shared" si="5"/>
        <v>95.023850823937551</v>
      </c>
      <c r="AC29" s="181">
        <f t="shared" si="3"/>
        <v>11.824873339068924</v>
      </c>
      <c r="AD29" s="163">
        <v>30</v>
      </c>
      <c r="AE29" s="181">
        <f>Y29*AD29</f>
        <v>525.43593599999997</v>
      </c>
      <c r="AF29" s="164"/>
    </row>
    <row r="30" spans="1:32" ht="20.4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200</v>
      </c>
      <c r="L30" s="163"/>
      <c r="M30" s="163">
        <v>13</v>
      </c>
      <c r="N30" s="166"/>
      <c r="O30" s="166"/>
      <c r="P30" s="167">
        <v>0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>R30</f>
        <v>0</v>
      </c>
      <c r="Z30" s="171">
        <f>S30</f>
        <v>0</v>
      </c>
      <c r="AA30" s="171">
        <f>T30</f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110</v>
      </c>
      <c r="L31" s="166"/>
      <c r="M31" s="166">
        <v>0.7</v>
      </c>
      <c r="N31" s="166"/>
      <c r="O31" s="166"/>
      <c r="P31" s="167">
        <v>0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ref="Y31:AA31" si="11">R31</f>
        <v>0</v>
      </c>
      <c r="Z31" s="171">
        <f t="shared" si="11"/>
        <v>0</v>
      </c>
      <c r="AA31" s="171">
        <f t="shared" si="11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6"/>
        <v>0</v>
      </c>
      <c r="AF31" s="172" t="s">
        <v>215</v>
      </c>
    </row>
    <row r="32" spans="1:32" ht="15.75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406</v>
      </c>
      <c r="M32" s="166"/>
      <c r="N32" s="163">
        <v>5.9</v>
      </c>
      <c r="O32" s="166"/>
      <c r="P32" s="167">
        <v>20.010580015517203</v>
      </c>
      <c r="Q32" s="168">
        <f t="shared" si="0"/>
        <v>18.7</v>
      </c>
      <c r="R32" s="169">
        <v>5.4</v>
      </c>
      <c r="S32" s="168">
        <v>11.66</v>
      </c>
      <c r="T32" s="168">
        <v>367</v>
      </c>
      <c r="U32" s="168">
        <f t="shared" si="7"/>
        <v>67.962962962962962</v>
      </c>
      <c r="V32" s="169">
        <f>(S32-R32)/S32*100</f>
        <v>53.687821612349907</v>
      </c>
      <c r="W32" s="170">
        <v>0.5</v>
      </c>
      <c r="X32" s="171">
        <f t="shared" si="1"/>
        <v>0.62352941176470589</v>
      </c>
      <c r="Y32" s="171">
        <f>R32*0.9949</f>
        <v>5.3724600000000002</v>
      </c>
      <c r="Z32" s="171">
        <f>S32*0.9949</f>
        <v>11.600534</v>
      </c>
      <c r="AA32" s="171">
        <f>T32*0.9949</f>
        <v>365.12830000000002</v>
      </c>
      <c r="AB32" s="171">
        <f t="shared" si="5"/>
        <v>67.962962962962962</v>
      </c>
      <c r="AC32" s="171">
        <f t="shared" si="3"/>
        <v>53.687821612349907</v>
      </c>
      <c r="AD32" s="163">
        <v>30</v>
      </c>
      <c r="AE32" s="171">
        <f t="shared" si="6"/>
        <v>161.1738</v>
      </c>
      <c r="AF32" s="183"/>
    </row>
    <row r="33" spans="1:32" ht="22.1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157</v>
      </c>
      <c r="L33" s="163"/>
      <c r="M33" s="163">
        <v>1</v>
      </c>
      <c r="N33" s="163"/>
      <c r="O33" s="163"/>
      <c r="P33" s="182">
        <v>52.594794777771426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v>0</v>
      </c>
      <c r="Z33" s="171">
        <v>0</v>
      </c>
      <c r="AA33" s="171"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471</v>
      </c>
      <c r="M34" s="166"/>
      <c r="N34" s="163">
        <v>6.1</v>
      </c>
      <c r="O34" s="166"/>
      <c r="P34" s="167">
        <v>13.487150071440315</v>
      </c>
      <c r="Q34" s="168">
        <f t="shared" si="0"/>
        <v>66</v>
      </c>
      <c r="R34" s="169">
        <v>7.7919999999999998</v>
      </c>
      <c r="S34" s="168">
        <v>9.0220000000000002</v>
      </c>
      <c r="T34" s="168">
        <v>777</v>
      </c>
      <c r="U34" s="168">
        <f t="shared" si="7"/>
        <v>99.717659137577002</v>
      </c>
      <c r="V34" s="169">
        <f t="shared" si="8"/>
        <v>13.633340722677904</v>
      </c>
      <c r="W34" s="170">
        <v>0.3</v>
      </c>
      <c r="X34" s="171">
        <f t="shared" si="1"/>
        <v>0.13669696969696971</v>
      </c>
      <c r="Y34" s="171">
        <f t="shared" ref="Y34:AA40" si="12">R34*0.9494</f>
        <v>7.3977247999999998</v>
      </c>
      <c r="Z34" s="171">
        <f t="shared" si="12"/>
        <v>8.5654868000000004</v>
      </c>
      <c r="AA34" s="171">
        <f t="shared" si="12"/>
        <v>737.68380000000002</v>
      </c>
      <c r="AB34" s="171">
        <v>89.536086956521729</v>
      </c>
      <c r="AC34" s="171">
        <v>26</v>
      </c>
      <c r="AD34" s="163">
        <v>30</v>
      </c>
      <c r="AE34" s="171">
        <f t="shared" si="6"/>
        <v>221.93174399999998</v>
      </c>
      <c r="AF34" s="183"/>
    </row>
    <row r="35" spans="1:32" ht="15.75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472</v>
      </c>
      <c r="M35" s="166"/>
      <c r="N35" s="163">
        <v>8</v>
      </c>
      <c r="O35" s="166"/>
      <c r="P35" s="167">
        <v>17.683837146630459</v>
      </c>
      <c r="Q35" s="168">
        <f t="shared" si="0"/>
        <v>16.25</v>
      </c>
      <c r="R35" s="169">
        <v>7.1070000000000002</v>
      </c>
      <c r="S35" s="168">
        <v>11.266</v>
      </c>
      <c r="T35" s="168">
        <v>17</v>
      </c>
      <c r="U35" s="168">
        <f t="shared" si="7"/>
        <v>2.3920078795553681</v>
      </c>
      <c r="V35" s="169">
        <f t="shared" si="8"/>
        <v>36.916385584945857</v>
      </c>
      <c r="W35" s="170">
        <v>2</v>
      </c>
      <c r="X35" s="171">
        <f t="shared" si="1"/>
        <v>0.69329230769230765</v>
      </c>
      <c r="Y35" s="171">
        <f t="shared" si="12"/>
        <v>6.7473858</v>
      </c>
      <c r="Z35" s="171">
        <f t="shared" si="12"/>
        <v>10.6959404</v>
      </c>
      <c r="AA35" s="171">
        <f t="shared" si="12"/>
        <v>16.139800000000001</v>
      </c>
      <c r="AB35" s="171">
        <f t="shared" si="5"/>
        <v>2.3920078795553681</v>
      </c>
      <c r="AC35" s="171">
        <f t="shared" si="3"/>
        <v>36.916385584945857</v>
      </c>
      <c r="AD35" s="163">
        <v>30</v>
      </c>
      <c r="AE35" s="171">
        <f t="shared" si="6"/>
        <v>202.42157399999999</v>
      </c>
      <c r="AF35" s="179"/>
    </row>
    <row r="36" spans="1:32" ht="15.75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438</v>
      </c>
      <c r="M36" s="166"/>
      <c r="N36" s="163">
        <v>6.7</v>
      </c>
      <c r="O36" s="166"/>
      <c r="P36" s="167">
        <v>19.540085353102803</v>
      </c>
      <c r="Q36" s="168">
        <f t="shared" si="0"/>
        <v>18.7</v>
      </c>
      <c r="R36" s="169">
        <v>2.1840000000000002</v>
      </c>
      <c r="S36" s="168">
        <v>10.523</v>
      </c>
      <c r="T36" s="168">
        <v>61</v>
      </c>
      <c r="U36" s="168">
        <f t="shared" si="7"/>
        <v>27.930402930402927</v>
      </c>
      <c r="V36" s="169">
        <f t="shared" si="8"/>
        <v>79.245462320630992</v>
      </c>
      <c r="W36" s="170">
        <v>2</v>
      </c>
      <c r="X36" s="171">
        <f t="shared" si="1"/>
        <v>0.56272727272727274</v>
      </c>
      <c r="Y36" s="171">
        <f t="shared" si="12"/>
        <v>2.0734896000000003</v>
      </c>
      <c r="Z36" s="171">
        <f t="shared" si="12"/>
        <v>9.9905361999999993</v>
      </c>
      <c r="AA36" s="171">
        <f t="shared" si="12"/>
        <v>57.913400000000003</v>
      </c>
      <c r="AB36" s="171">
        <f t="shared" si="5"/>
        <v>27.930402930402927</v>
      </c>
      <c r="AC36" s="171">
        <f t="shared" si="3"/>
        <v>79.245462320630992</v>
      </c>
      <c r="AD36" s="163">
        <v>30</v>
      </c>
      <c r="AE36" s="171">
        <f t="shared" si="6"/>
        <v>62.204688000000004</v>
      </c>
      <c r="AF36" s="172"/>
    </row>
    <row r="37" spans="1:32" ht="15.75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210</v>
      </c>
      <c r="K37" s="163"/>
      <c r="L37" s="166">
        <v>279</v>
      </c>
      <c r="M37" s="166"/>
      <c r="N37" s="163">
        <v>7.9</v>
      </c>
      <c r="O37" s="166"/>
      <c r="P37" s="167">
        <v>36.187956051126982</v>
      </c>
      <c r="Q37" s="168">
        <f t="shared" si="0"/>
        <v>46.2</v>
      </c>
      <c r="R37" s="169">
        <v>18.324999999999999</v>
      </c>
      <c r="S37" s="168">
        <v>37.167999999999999</v>
      </c>
      <c r="T37" s="168">
        <v>230</v>
      </c>
      <c r="U37" s="168">
        <f t="shared" si="7"/>
        <v>12.551159618008185</v>
      </c>
      <c r="V37" s="169">
        <f t="shared" si="8"/>
        <v>50.696835987946621</v>
      </c>
      <c r="W37" s="170">
        <v>0.3</v>
      </c>
      <c r="X37" s="171">
        <f t="shared" si="1"/>
        <v>0.80450216450216439</v>
      </c>
      <c r="Y37" s="171">
        <f t="shared" si="12"/>
        <v>17.397755</v>
      </c>
      <c r="Z37" s="171">
        <f t="shared" si="12"/>
        <v>35.2872992</v>
      </c>
      <c r="AA37" s="171">
        <f t="shared" si="12"/>
        <v>218.36199999999999</v>
      </c>
      <c r="AB37" s="171">
        <f t="shared" si="5"/>
        <v>12.551159618008185</v>
      </c>
      <c r="AC37" s="171">
        <f t="shared" si="3"/>
        <v>50.696835987946621</v>
      </c>
      <c r="AD37" s="163">
        <v>30</v>
      </c>
      <c r="AE37" s="171">
        <f t="shared" si="6"/>
        <v>521.93264999999997</v>
      </c>
      <c r="AF37" s="172"/>
    </row>
    <row r="38" spans="1:32" ht="15.75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295</v>
      </c>
      <c r="K38" s="163"/>
      <c r="L38" s="166">
        <v>498</v>
      </c>
      <c r="M38" s="166"/>
      <c r="N38" s="163">
        <v>7.6</v>
      </c>
      <c r="O38" s="166"/>
      <c r="P38" s="167">
        <v>14.189538094232885</v>
      </c>
      <c r="Q38" s="168">
        <f>LEFT(H38,(FIND("K",H38,1)-1))*J38/100</f>
        <v>64.900000000000006</v>
      </c>
      <c r="R38" s="169">
        <v>14.281000000000001</v>
      </c>
      <c r="S38" s="168">
        <v>23.79</v>
      </c>
      <c r="T38" s="168">
        <v>609</v>
      </c>
      <c r="U38" s="168">
        <f t="shared" si="7"/>
        <v>42.644072543939501</v>
      </c>
      <c r="V38" s="169">
        <f t="shared" si="8"/>
        <v>39.970575872215214</v>
      </c>
      <c r="W38" s="170">
        <v>0.5</v>
      </c>
      <c r="X38" s="171">
        <f t="shared" si="1"/>
        <v>0.3665639445300462</v>
      </c>
      <c r="Y38" s="171">
        <f t="shared" si="12"/>
        <v>13.5583814</v>
      </c>
      <c r="Z38" s="171">
        <f t="shared" si="12"/>
        <v>22.586226</v>
      </c>
      <c r="AA38" s="171">
        <f t="shared" si="12"/>
        <v>578.18460000000005</v>
      </c>
      <c r="AB38" s="171">
        <f t="shared" si="5"/>
        <v>42.644072543939501</v>
      </c>
      <c r="AC38" s="171">
        <f t="shared" si="3"/>
        <v>39.970575872215214</v>
      </c>
      <c r="AD38" s="163">
        <v>30</v>
      </c>
      <c r="AE38" s="171">
        <f t="shared" si="6"/>
        <v>406.751442</v>
      </c>
      <c r="AF38" s="172"/>
    </row>
    <row r="39" spans="1:32" ht="15.75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547.65</v>
      </c>
      <c r="J39" s="163">
        <v>100</v>
      </c>
      <c r="K39" s="163"/>
      <c r="L39" s="163">
        <v>461</v>
      </c>
      <c r="M39" s="166"/>
      <c r="N39" s="163">
        <v>15.1</v>
      </c>
      <c r="O39" s="166"/>
      <c r="P39" s="182">
        <v>24.163469840359252</v>
      </c>
      <c r="Q39" s="171">
        <f t="shared" ref="Q39:Q72" si="13">LEFT(H39,(FIND("K",H39,1)-1))*J39/100</f>
        <v>8</v>
      </c>
      <c r="R39" s="170">
        <v>3.786</v>
      </c>
      <c r="S39" s="168">
        <v>4.266</v>
      </c>
      <c r="T39" s="171">
        <v>27</v>
      </c>
      <c r="U39" s="171">
        <f t="shared" si="7"/>
        <v>7.1315372424722661</v>
      </c>
      <c r="V39" s="169">
        <f t="shared" si="8"/>
        <v>11.251758087201125</v>
      </c>
      <c r="W39" s="170">
        <v>0.5</v>
      </c>
      <c r="X39" s="171">
        <f t="shared" si="1"/>
        <v>0.53325</v>
      </c>
      <c r="Y39" s="171">
        <f t="shared" si="12"/>
        <v>3.5944284</v>
      </c>
      <c r="Z39" s="171">
        <f t="shared" si="12"/>
        <v>4.0501404000000001</v>
      </c>
      <c r="AA39" s="171">
        <f t="shared" si="12"/>
        <v>25.633800000000001</v>
      </c>
      <c r="AB39" s="171">
        <f t="shared" si="5"/>
        <v>7.1315372424722661</v>
      </c>
      <c r="AC39" s="171">
        <f t="shared" si="3"/>
        <v>11.251758087201125</v>
      </c>
      <c r="AD39" s="163">
        <v>30</v>
      </c>
      <c r="AE39" s="171">
        <f t="shared" si="6"/>
        <v>107.832852</v>
      </c>
      <c r="AF39" s="172"/>
    </row>
    <row r="40" spans="1:32" ht="15.75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463</v>
      </c>
      <c r="M40" s="159"/>
      <c r="N40" s="163">
        <v>6.1</v>
      </c>
      <c r="O40" s="159"/>
      <c r="P40" s="160">
        <v>14.327164079691338</v>
      </c>
      <c r="Q40" s="171">
        <f t="shared" si="13"/>
        <v>25.3</v>
      </c>
      <c r="R40" s="170">
        <v>5.0110000000000001</v>
      </c>
      <c r="S40" s="168">
        <v>6.8949999999999996</v>
      </c>
      <c r="T40" s="174">
        <v>672</v>
      </c>
      <c r="U40" s="171">
        <f t="shared" si="7"/>
        <v>134.10496906805028</v>
      </c>
      <c r="V40" s="169">
        <f t="shared" si="8"/>
        <v>27.32414793328498</v>
      </c>
      <c r="W40" s="170">
        <v>0.5</v>
      </c>
      <c r="X40" s="171">
        <f t="shared" si="1"/>
        <v>0.27252964426877468</v>
      </c>
      <c r="Y40" s="171">
        <f t="shared" si="12"/>
        <v>4.7574434000000005</v>
      </c>
      <c r="Z40" s="171">
        <f t="shared" si="12"/>
        <v>6.5461130000000001</v>
      </c>
      <c r="AA40" s="171">
        <f t="shared" si="12"/>
        <v>637.99680000000001</v>
      </c>
      <c r="AB40" s="171">
        <f t="shared" si="5"/>
        <v>134.10496906805028</v>
      </c>
      <c r="AC40" s="171">
        <f t="shared" si="3"/>
        <v>27.32414793328498</v>
      </c>
      <c r="AD40" s="163">
        <v>30</v>
      </c>
      <c r="AE40" s="171">
        <f t="shared" si="6"/>
        <v>142.72330200000002</v>
      </c>
      <c r="AF40" s="190"/>
    </row>
    <row r="41" spans="1:32" ht="18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59</v>
      </c>
      <c r="L41" s="163"/>
      <c r="M41" s="159">
        <v>0.9</v>
      </c>
      <c r="N41" s="163">
        <v>0</v>
      </c>
      <c r="O41" s="159"/>
      <c r="P41" s="160">
        <v>0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ref="Y41:AA47" si="14">R41*0.949</f>
        <v>0</v>
      </c>
      <c r="Z41" s="171">
        <f t="shared" si="14"/>
        <v>0</v>
      </c>
      <c r="AA41" s="171">
        <f t="shared" si="14"/>
        <v>0</v>
      </c>
      <c r="AB41" s="171">
        <f t="shared" si="5"/>
        <v>0</v>
      </c>
      <c r="AC41" s="171">
        <f t="shared" si="3"/>
        <v>0</v>
      </c>
      <c r="AD41" s="163">
        <v>0</v>
      </c>
      <c r="AE41" s="171">
        <f t="shared" si="6"/>
        <v>0</v>
      </c>
      <c r="AF41" s="190" t="s">
        <v>215</v>
      </c>
    </row>
    <row r="42" spans="1:32" ht="15.75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95</v>
      </c>
      <c r="K42" s="158"/>
      <c r="L42" s="159">
        <v>190</v>
      </c>
      <c r="M42" s="159"/>
      <c r="N42" s="163">
        <v>0.7</v>
      </c>
      <c r="O42" s="159"/>
      <c r="P42" s="160">
        <v>40.133114927065243</v>
      </c>
      <c r="Q42" s="171">
        <f t="shared" si="13"/>
        <v>5.7</v>
      </c>
      <c r="R42" s="170">
        <v>2.9969999999999999</v>
      </c>
      <c r="S42" s="168">
        <v>5.0250000000000004</v>
      </c>
      <c r="T42" s="174">
        <v>0</v>
      </c>
      <c r="U42" s="171">
        <f>T42/R42</f>
        <v>0</v>
      </c>
      <c r="V42" s="169">
        <f t="shared" si="8"/>
        <v>40.358208955223887</v>
      </c>
      <c r="W42" s="170">
        <v>1</v>
      </c>
      <c r="X42" s="171">
        <f t="shared" si="1"/>
        <v>0.88157894736842113</v>
      </c>
      <c r="Y42" s="171">
        <f t="shared" ref="Y42:AA46" si="15">R42*0.9494</f>
        <v>2.8453518</v>
      </c>
      <c r="Z42" s="171">
        <f t="shared" si="15"/>
        <v>4.7707350000000002</v>
      </c>
      <c r="AA42" s="171">
        <f t="shared" si="15"/>
        <v>0</v>
      </c>
      <c r="AB42" s="171">
        <f t="shared" si="5"/>
        <v>0</v>
      </c>
      <c r="AC42" s="171">
        <f t="shared" si="3"/>
        <v>40.358208955223887</v>
      </c>
      <c r="AD42" s="163">
        <v>30</v>
      </c>
      <c r="AE42" s="171">
        <f t="shared" si="6"/>
        <v>85.360553999999993</v>
      </c>
      <c r="AF42" s="190"/>
    </row>
    <row r="43" spans="1:32" ht="15.75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424</v>
      </c>
      <c r="M43" s="166"/>
      <c r="N43" s="163">
        <v>2.2999999999999998</v>
      </c>
      <c r="O43" s="166"/>
      <c r="P43" s="182">
        <v>15.268974505591626</v>
      </c>
      <c r="Q43" s="171">
        <f t="shared" si="13"/>
        <v>11.05</v>
      </c>
      <c r="R43" s="170">
        <v>1.857</v>
      </c>
      <c r="S43" s="168">
        <v>2.8540000000000001</v>
      </c>
      <c r="T43" s="171">
        <v>0</v>
      </c>
      <c r="U43" s="171">
        <f t="shared" si="7"/>
        <v>0</v>
      </c>
      <c r="V43" s="169">
        <f t="shared" si="8"/>
        <v>34.933426769446399</v>
      </c>
      <c r="W43" s="170">
        <v>1</v>
      </c>
      <c r="X43" s="171">
        <f t="shared" si="1"/>
        <v>0.25828054298642533</v>
      </c>
      <c r="Y43" s="171">
        <f t="shared" si="15"/>
        <v>1.7630357999999999</v>
      </c>
      <c r="Z43" s="171">
        <f t="shared" si="15"/>
        <v>2.7095876000000003</v>
      </c>
      <c r="AA43" s="171">
        <f t="shared" si="15"/>
        <v>0</v>
      </c>
      <c r="AB43" s="171">
        <f>U43</f>
        <v>0</v>
      </c>
      <c r="AC43" s="171">
        <f t="shared" si="3"/>
        <v>34.933426769446399</v>
      </c>
      <c r="AD43" s="163">
        <v>30</v>
      </c>
      <c r="AE43" s="171">
        <f t="shared" si="6"/>
        <v>52.891073999999996</v>
      </c>
      <c r="AF43" s="179"/>
    </row>
    <row r="44" spans="1:32" ht="15.75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564.41999999999996</v>
      </c>
      <c r="J44" s="163">
        <v>105</v>
      </c>
      <c r="K44" s="163"/>
      <c r="L44" s="163">
        <v>197</v>
      </c>
      <c r="M44" s="166"/>
      <c r="N44" s="182">
        <v>0.1</v>
      </c>
      <c r="O44" s="166"/>
      <c r="P44" s="182">
        <v>35.295513173945658</v>
      </c>
      <c r="Q44" s="171">
        <f t="shared" si="13"/>
        <v>6.3</v>
      </c>
      <c r="R44" s="170">
        <v>3.0870000000000002</v>
      </c>
      <c r="S44" s="168">
        <v>4.3900000000000006</v>
      </c>
      <c r="T44" s="171">
        <v>0</v>
      </c>
      <c r="U44" s="171">
        <f t="shared" si="7"/>
        <v>0</v>
      </c>
      <c r="V44" s="169">
        <f t="shared" si="8"/>
        <v>29.68109339407745</v>
      </c>
      <c r="W44" s="170">
        <v>1</v>
      </c>
      <c r="X44" s="171">
        <f t="shared" si="1"/>
        <v>0.6968253968253969</v>
      </c>
      <c r="Y44" s="171">
        <f t="shared" si="15"/>
        <v>2.9307978000000001</v>
      </c>
      <c r="Z44" s="171">
        <f t="shared" si="15"/>
        <v>4.167866000000001</v>
      </c>
      <c r="AA44" s="171">
        <f t="shared" si="15"/>
        <v>0</v>
      </c>
      <c r="AB44" s="171">
        <f>U44</f>
        <v>0</v>
      </c>
      <c r="AC44" s="171">
        <f t="shared" si="3"/>
        <v>29.68109339407745</v>
      </c>
      <c r="AD44" s="163">
        <v>30</v>
      </c>
      <c r="AE44" s="171">
        <f t="shared" si="6"/>
        <v>87.923934000000003</v>
      </c>
      <c r="AF44" s="179"/>
    </row>
    <row r="45" spans="1:32" ht="15.75" x14ac:dyDescent="0.2">
      <c r="A45" s="163">
        <v>32</v>
      </c>
      <c r="B45" s="164" t="s">
        <v>196</v>
      </c>
      <c r="C45" s="163" t="s">
        <v>295</v>
      </c>
      <c r="D45" s="165">
        <v>641</v>
      </c>
      <c r="E45" s="163" t="s">
        <v>296</v>
      </c>
      <c r="F45" s="163">
        <v>177.8</v>
      </c>
      <c r="G45" s="163" t="s">
        <v>28</v>
      </c>
      <c r="H45" s="165" t="s">
        <v>218</v>
      </c>
      <c r="I45" s="158">
        <v>618.66999999999996</v>
      </c>
      <c r="J45" s="163">
        <v>70</v>
      </c>
      <c r="K45" s="163"/>
      <c r="L45" s="163">
        <v>477</v>
      </c>
      <c r="M45" s="166"/>
      <c r="N45" s="182">
        <v>2.2999999999999998</v>
      </c>
      <c r="O45" s="166"/>
      <c r="P45" s="182">
        <v>16.077077696207539</v>
      </c>
      <c r="Q45" s="171">
        <f t="shared" si="13"/>
        <v>22.4</v>
      </c>
      <c r="R45" s="170">
        <v>0.63400000000000001</v>
      </c>
      <c r="S45" s="168">
        <v>2.5609999999999999</v>
      </c>
      <c r="T45" s="171">
        <v>29</v>
      </c>
      <c r="U45" s="171">
        <f t="shared" ref="U45" si="16">T45/R45</f>
        <v>45.741324921135643</v>
      </c>
      <c r="V45" s="169">
        <f t="shared" ref="V45" si="17">(S45-R45)/S45*100</f>
        <v>75.24404529480671</v>
      </c>
      <c r="W45" s="170">
        <v>1.2</v>
      </c>
      <c r="X45" s="171">
        <f t="shared" ref="X45" si="18">S45/Q45</f>
        <v>0.11433035714285715</v>
      </c>
      <c r="Y45" s="171">
        <f t="shared" ref="Y45" si="19">R45*0.9494</f>
        <v>0.6019196</v>
      </c>
      <c r="Z45" s="171">
        <f t="shared" ref="Z45" si="20">S45*0.9494</f>
        <v>2.4314133999999998</v>
      </c>
      <c r="AA45" s="171">
        <f t="shared" ref="AA45" si="21">T45*0.9494</f>
        <v>27.532600000000002</v>
      </c>
      <c r="AB45" s="171">
        <f>U45</f>
        <v>45.741324921135643</v>
      </c>
      <c r="AC45" s="171">
        <f t="shared" ref="AC45" si="22">V45</f>
        <v>75.24404529480671</v>
      </c>
      <c r="AD45" s="163">
        <v>31</v>
      </c>
      <c r="AE45" s="171">
        <f t="shared" ref="AE45" si="23">Y45*AD45</f>
        <v>18.659507600000001</v>
      </c>
      <c r="AF45" s="179"/>
    </row>
    <row r="46" spans="1:32" ht="15.75" x14ac:dyDescent="0.2">
      <c r="A46" s="163">
        <v>33</v>
      </c>
      <c r="B46" s="164" t="s">
        <v>60</v>
      </c>
      <c r="C46" s="163" t="s">
        <v>46</v>
      </c>
      <c r="D46" s="165">
        <v>638.9</v>
      </c>
      <c r="E46" s="163" t="s">
        <v>95</v>
      </c>
      <c r="F46" s="163">
        <v>177.8</v>
      </c>
      <c r="G46" s="163" t="s">
        <v>28</v>
      </c>
      <c r="H46" s="165" t="s">
        <v>48</v>
      </c>
      <c r="I46" s="158">
        <v>546.64</v>
      </c>
      <c r="J46" s="163">
        <v>100</v>
      </c>
      <c r="K46" s="163"/>
      <c r="L46" s="166">
        <v>462</v>
      </c>
      <c r="M46" s="166"/>
      <c r="N46" s="163">
        <v>6.5</v>
      </c>
      <c r="O46" s="166"/>
      <c r="P46" s="167">
        <v>15.328627049927006</v>
      </c>
      <c r="Q46" s="168">
        <f t="shared" si="13"/>
        <v>13</v>
      </c>
      <c r="R46" s="169">
        <v>6.8109999999999999</v>
      </c>
      <c r="S46" s="168">
        <v>10.247</v>
      </c>
      <c r="T46" s="168">
        <v>162</v>
      </c>
      <c r="U46" s="168">
        <f t="shared" si="7"/>
        <v>23.785053589781235</v>
      </c>
      <c r="V46" s="169">
        <f t="shared" si="8"/>
        <v>33.531765394749684</v>
      </c>
      <c r="W46" s="170"/>
      <c r="X46" s="171">
        <f t="shared" si="1"/>
        <v>0.78823076923076918</v>
      </c>
      <c r="Y46" s="171">
        <f t="shared" si="15"/>
        <v>6.4663633999999997</v>
      </c>
      <c r="Z46" s="171">
        <f t="shared" si="15"/>
        <v>9.7285018000000001</v>
      </c>
      <c r="AA46" s="171">
        <f t="shared" si="15"/>
        <v>153.80279999999999</v>
      </c>
      <c r="AB46" s="171">
        <f t="shared" si="5"/>
        <v>23.785053589781235</v>
      </c>
      <c r="AC46" s="171">
        <f t="shared" si="3"/>
        <v>33.531765394749684</v>
      </c>
      <c r="AD46" s="163">
        <v>30</v>
      </c>
      <c r="AE46" s="171">
        <f t="shared" si="6"/>
        <v>193.99090199999998</v>
      </c>
      <c r="AF46" s="179"/>
    </row>
    <row r="47" spans="1:32" ht="22.15" customHeight="1" x14ac:dyDescent="0.2">
      <c r="A47" s="163">
        <v>34</v>
      </c>
      <c r="B47" s="164" t="s">
        <v>119</v>
      </c>
      <c r="C47" s="163" t="s">
        <v>46</v>
      </c>
      <c r="D47" s="165">
        <v>654.07000000000005</v>
      </c>
      <c r="E47" s="163" t="s">
        <v>126</v>
      </c>
      <c r="F47" s="163">
        <v>177.8</v>
      </c>
      <c r="G47" s="163" t="s">
        <v>28</v>
      </c>
      <c r="H47" s="165" t="s">
        <v>48</v>
      </c>
      <c r="I47" s="158">
        <v>526.6</v>
      </c>
      <c r="J47" s="163">
        <v>0</v>
      </c>
      <c r="K47" s="166">
        <v>495</v>
      </c>
      <c r="L47" s="163"/>
      <c r="M47" s="166">
        <v>20</v>
      </c>
      <c r="N47" s="163">
        <v>0</v>
      </c>
      <c r="O47" s="166"/>
      <c r="P47" s="167">
        <v>0</v>
      </c>
      <c r="Q47" s="168">
        <f t="shared" si="13"/>
        <v>0</v>
      </c>
      <c r="R47" s="169">
        <v>0</v>
      </c>
      <c r="S47" s="168">
        <v>0</v>
      </c>
      <c r="T47" s="168">
        <v>0</v>
      </c>
      <c r="U47" s="168">
        <v>0</v>
      </c>
      <c r="V47" s="169">
        <v>0</v>
      </c>
      <c r="W47" s="170">
        <v>0</v>
      </c>
      <c r="X47" s="171">
        <v>0</v>
      </c>
      <c r="Y47" s="171">
        <f t="shared" si="14"/>
        <v>0</v>
      </c>
      <c r="Z47" s="171">
        <f t="shared" si="14"/>
        <v>0</v>
      </c>
      <c r="AA47" s="171">
        <f t="shared" si="14"/>
        <v>0</v>
      </c>
      <c r="AB47" s="171">
        <f t="shared" si="5"/>
        <v>0</v>
      </c>
      <c r="AC47" s="171">
        <f t="shared" si="3"/>
        <v>0</v>
      </c>
      <c r="AD47" s="163">
        <v>0</v>
      </c>
      <c r="AE47" s="171">
        <f t="shared" si="6"/>
        <v>0</v>
      </c>
      <c r="AF47" s="190" t="s">
        <v>215</v>
      </c>
    </row>
    <row r="48" spans="1:32" ht="15.75" x14ac:dyDescent="0.2">
      <c r="A48" s="163">
        <v>35</v>
      </c>
      <c r="B48" s="164" t="s">
        <v>118</v>
      </c>
      <c r="C48" s="163" t="s">
        <v>46</v>
      </c>
      <c r="D48" s="165">
        <v>728.77</v>
      </c>
      <c r="E48" s="163" t="s">
        <v>133</v>
      </c>
      <c r="F48" s="163">
        <v>177.8</v>
      </c>
      <c r="G48" s="163" t="s">
        <v>28</v>
      </c>
      <c r="H48" s="165" t="s">
        <v>48</v>
      </c>
      <c r="I48" s="158">
        <v>557.04999999999995</v>
      </c>
      <c r="J48" s="163">
        <v>100</v>
      </c>
      <c r="K48" s="163"/>
      <c r="L48" s="166">
        <v>442</v>
      </c>
      <c r="M48" s="166"/>
      <c r="N48" s="163">
        <v>6.7</v>
      </c>
      <c r="O48" s="166"/>
      <c r="P48" s="167">
        <v>19.361016411448084</v>
      </c>
      <c r="Q48" s="168">
        <f t="shared" si="13"/>
        <v>13</v>
      </c>
      <c r="R48" s="169">
        <v>1.91</v>
      </c>
      <c r="S48" s="168">
        <v>6.6619999999999999</v>
      </c>
      <c r="T48" s="168">
        <v>94</v>
      </c>
      <c r="U48" s="168">
        <f>T48/R48</f>
        <v>49.214659685863879</v>
      </c>
      <c r="V48" s="169">
        <f t="shared" si="8"/>
        <v>71.329930951666171</v>
      </c>
      <c r="W48" s="170">
        <v>5</v>
      </c>
      <c r="X48" s="171">
        <f t="shared" ref="X48:X55" si="24">S48/Q48</f>
        <v>0.51246153846153841</v>
      </c>
      <c r="Y48" s="171">
        <f t="shared" ref="Y48:AA55" si="25">R48*0.9494</f>
        <v>1.8133539999999999</v>
      </c>
      <c r="Z48" s="171">
        <f t="shared" si="25"/>
        <v>6.3249028000000003</v>
      </c>
      <c r="AA48" s="171">
        <f t="shared" si="25"/>
        <v>89.243600000000001</v>
      </c>
      <c r="AB48" s="171">
        <f t="shared" si="5"/>
        <v>49.214659685863879</v>
      </c>
      <c r="AC48" s="171">
        <f t="shared" si="3"/>
        <v>71.329930951666171</v>
      </c>
      <c r="AD48" s="163">
        <v>30</v>
      </c>
      <c r="AE48" s="171">
        <f t="shared" si="6"/>
        <v>54.400619999999996</v>
      </c>
      <c r="AF48" s="179"/>
    </row>
    <row r="49" spans="1:32" ht="15.75" x14ac:dyDescent="0.2">
      <c r="A49" s="163">
        <v>36</v>
      </c>
      <c r="B49" s="164" t="s">
        <v>117</v>
      </c>
      <c r="C49" s="163" t="s">
        <v>46</v>
      </c>
      <c r="D49" s="165">
        <v>671.45</v>
      </c>
      <c r="E49" s="163" t="s">
        <v>128</v>
      </c>
      <c r="F49" s="163">
        <v>177.8</v>
      </c>
      <c r="G49" s="163" t="s">
        <v>28</v>
      </c>
      <c r="H49" s="165" t="s">
        <v>187</v>
      </c>
      <c r="I49" s="158">
        <v>559.39</v>
      </c>
      <c r="J49" s="163">
        <v>265</v>
      </c>
      <c r="K49" s="163"/>
      <c r="L49" s="166">
        <v>443</v>
      </c>
      <c r="M49" s="166"/>
      <c r="N49" s="163">
        <v>6</v>
      </c>
      <c r="O49" s="166"/>
      <c r="P49" s="167">
        <v>18.536876330828004</v>
      </c>
      <c r="Q49" s="168">
        <f t="shared" si="13"/>
        <v>15.9</v>
      </c>
      <c r="R49" s="169">
        <v>3.113</v>
      </c>
      <c r="S49" s="168">
        <v>6.8769999999999998</v>
      </c>
      <c r="T49" s="168">
        <v>1</v>
      </c>
      <c r="U49" s="168">
        <f t="shared" ref="U49:U57" si="26">T49/R49</f>
        <v>0.32123353678123995</v>
      </c>
      <c r="V49" s="169">
        <f t="shared" si="8"/>
        <v>54.733168532790458</v>
      </c>
      <c r="W49" s="170">
        <v>1</v>
      </c>
      <c r="X49" s="171">
        <v>0.2</v>
      </c>
      <c r="Y49" s="171">
        <f t="shared" si="25"/>
        <v>2.9554822000000001</v>
      </c>
      <c r="Z49" s="171">
        <f t="shared" si="25"/>
        <v>6.5290238</v>
      </c>
      <c r="AA49" s="171">
        <f t="shared" si="25"/>
        <v>0.94940000000000002</v>
      </c>
      <c r="AB49" s="171">
        <f t="shared" si="5"/>
        <v>0.32123353678123995</v>
      </c>
      <c r="AC49" s="171">
        <f t="shared" si="3"/>
        <v>54.733168532790458</v>
      </c>
      <c r="AD49" s="163">
        <v>30</v>
      </c>
      <c r="AE49" s="171">
        <f t="shared" si="6"/>
        <v>88.664466000000004</v>
      </c>
      <c r="AF49" s="172"/>
    </row>
    <row r="50" spans="1:32" ht="15.75" x14ac:dyDescent="0.2">
      <c r="A50" s="163">
        <v>37</v>
      </c>
      <c r="B50" s="164" t="s">
        <v>130</v>
      </c>
      <c r="C50" s="163" t="s">
        <v>46</v>
      </c>
      <c r="D50" s="165">
        <v>622.6</v>
      </c>
      <c r="E50" s="163" t="s">
        <v>134</v>
      </c>
      <c r="F50" s="163">
        <v>177.8</v>
      </c>
      <c r="G50" s="163" t="s">
        <v>28</v>
      </c>
      <c r="H50" s="165" t="s">
        <v>48</v>
      </c>
      <c r="I50" s="158">
        <v>551.79999999999995</v>
      </c>
      <c r="J50" s="163">
        <v>85</v>
      </c>
      <c r="K50" s="163"/>
      <c r="L50" s="166">
        <v>97</v>
      </c>
      <c r="M50" s="166"/>
      <c r="N50" s="163">
        <v>4.5999999999999996</v>
      </c>
      <c r="O50" s="166"/>
      <c r="P50" s="167">
        <v>51.843160715102037</v>
      </c>
      <c r="Q50" s="168">
        <f t="shared" si="13"/>
        <v>11.05</v>
      </c>
      <c r="R50" s="169">
        <v>0</v>
      </c>
      <c r="S50" s="168">
        <v>6.0579999999999998</v>
      </c>
      <c r="T50" s="168">
        <v>0</v>
      </c>
      <c r="U50" s="168" t="e">
        <f t="shared" si="26"/>
        <v>#DIV/0!</v>
      </c>
      <c r="V50" s="169">
        <f t="shared" si="8"/>
        <v>100</v>
      </c>
      <c r="W50" s="170">
        <v>0</v>
      </c>
      <c r="X50" s="171">
        <f t="shared" si="24"/>
        <v>0.54823529411764704</v>
      </c>
      <c r="Y50" s="171">
        <f t="shared" si="25"/>
        <v>0</v>
      </c>
      <c r="Z50" s="171">
        <f t="shared" si="25"/>
        <v>5.7514652000000002</v>
      </c>
      <c r="AA50" s="171">
        <f t="shared" si="25"/>
        <v>0</v>
      </c>
      <c r="AB50" s="171" t="e">
        <f t="shared" si="5"/>
        <v>#DIV/0!</v>
      </c>
      <c r="AC50" s="171">
        <f t="shared" si="3"/>
        <v>100</v>
      </c>
      <c r="AD50" s="163">
        <v>30</v>
      </c>
      <c r="AE50" s="171">
        <f t="shared" si="6"/>
        <v>0</v>
      </c>
      <c r="AF50" s="172"/>
    </row>
    <row r="51" spans="1:32" ht="15.75" x14ac:dyDescent="0.2">
      <c r="A51" s="194">
        <v>38</v>
      </c>
      <c r="B51" s="193" t="s">
        <v>115</v>
      </c>
      <c r="C51" s="194" t="s">
        <v>46</v>
      </c>
      <c r="D51" s="195">
        <v>671.43</v>
      </c>
      <c r="E51" s="194" t="s">
        <v>286</v>
      </c>
      <c r="F51" s="163">
        <v>177.8</v>
      </c>
      <c r="G51" s="194" t="s">
        <v>28</v>
      </c>
      <c r="H51" s="195" t="s">
        <v>291</v>
      </c>
      <c r="I51" s="196">
        <v>565.80999999999995</v>
      </c>
      <c r="J51" s="194">
        <v>260</v>
      </c>
      <c r="K51" s="194"/>
      <c r="L51" s="197">
        <v>447</v>
      </c>
      <c r="M51" s="197"/>
      <c r="N51" s="163">
        <v>2.6</v>
      </c>
      <c r="O51" s="197"/>
      <c r="P51" s="198">
        <v>14.5942263275609</v>
      </c>
      <c r="Q51" s="199">
        <f t="shared" si="13"/>
        <v>7.8</v>
      </c>
      <c r="R51" s="200">
        <v>3.056</v>
      </c>
      <c r="S51" s="168">
        <v>3.3610000000000002</v>
      </c>
      <c r="T51" s="199">
        <v>0</v>
      </c>
      <c r="U51" s="168">
        <f t="shared" si="26"/>
        <v>0</v>
      </c>
      <c r="V51" s="169">
        <f t="shared" si="8"/>
        <v>9.0746801547158622</v>
      </c>
      <c r="W51" s="201">
        <v>0.5</v>
      </c>
      <c r="X51" s="171">
        <f t="shared" si="24"/>
        <v>0.43089743589743595</v>
      </c>
      <c r="Y51" s="171">
        <f t="shared" si="25"/>
        <v>2.9013664000000001</v>
      </c>
      <c r="Z51" s="171">
        <f t="shared" si="25"/>
        <v>3.1909334000000005</v>
      </c>
      <c r="AA51" s="171">
        <f t="shared" si="25"/>
        <v>0</v>
      </c>
      <c r="AB51" s="202">
        <f t="shared" si="5"/>
        <v>0</v>
      </c>
      <c r="AC51" s="171">
        <f t="shared" si="3"/>
        <v>9.0746801547158622</v>
      </c>
      <c r="AD51" s="163">
        <v>30</v>
      </c>
      <c r="AE51" s="202">
        <f t="shared" si="6"/>
        <v>87.040992000000003</v>
      </c>
      <c r="AF51" s="172"/>
    </row>
    <row r="52" spans="1:32" ht="15.75" x14ac:dyDescent="0.2">
      <c r="A52" s="163">
        <v>39</v>
      </c>
      <c r="B52" s="164" t="s">
        <v>116</v>
      </c>
      <c r="C52" s="163" t="s">
        <v>46</v>
      </c>
      <c r="D52" s="165">
        <v>681.27</v>
      </c>
      <c r="E52" s="163" t="s">
        <v>124</v>
      </c>
      <c r="F52" s="163">
        <v>177.8</v>
      </c>
      <c r="G52" s="163" t="s">
        <v>28</v>
      </c>
      <c r="H52" s="165" t="s">
        <v>53</v>
      </c>
      <c r="I52" s="158">
        <v>558.35</v>
      </c>
      <c r="J52" s="163">
        <v>160</v>
      </c>
      <c r="K52" s="163"/>
      <c r="L52" s="166">
        <v>403</v>
      </c>
      <c r="M52" s="166"/>
      <c r="N52" s="163">
        <v>0.6</v>
      </c>
      <c r="O52" s="166"/>
      <c r="P52" s="167">
        <v>16.564185356213343</v>
      </c>
      <c r="Q52" s="199">
        <f t="shared" si="13"/>
        <v>20.8</v>
      </c>
      <c r="R52" s="169">
        <v>3.5910000000000002</v>
      </c>
      <c r="S52" s="168">
        <v>4.9720000000000004</v>
      </c>
      <c r="T52" s="168">
        <v>1</v>
      </c>
      <c r="U52" s="168">
        <f t="shared" si="26"/>
        <v>0.27847396268448898</v>
      </c>
      <c r="V52" s="169">
        <f t="shared" si="8"/>
        <v>27.775543041029771</v>
      </c>
      <c r="W52" s="170">
        <v>1</v>
      </c>
      <c r="X52" s="171">
        <f t="shared" si="24"/>
        <v>0.23903846153846156</v>
      </c>
      <c r="Y52" s="171">
        <f t="shared" si="25"/>
        <v>3.4092954000000004</v>
      </c>
      <c r="Z52" s="171">
        <f t="shared" si="25"/>
        <v>4.7204168000000006</v>
      </c>
      <c r="AA52" s="171">
        <f t="shared" si="25"/>
        <v>0.94940000000000002</v>
      </c>
      <c r="AB52" s="171">
        <f t="shared" si="5"/>
        <v>0.27847396268448898</v>
      </c>
      <c r="AC52" s="171">
        <f t="shared" si="3"/>
        <v>27.775543041029771</v>
      </c>
      <c r="AD52" s="163">
        <v>30</v>
      </c>
      <c r="AE52" s="171">
        <f t="shared" si="6"/>
        <v>102.27886200000002</v>
      </c>
      <c r="AF52" s="172"/>
    </row>
    <row r="53" spans="1:32" ht="15.75" x14ac:dyDescent="0.2">
      <c r="A53" s="163">
        <v>40</v>
      </c>
      <c r="B53" s="164" t="s">
        <v>120</v>
      </c>
      <c r="C53" s="163" t="s">
        <v>46</v>
      </c>
      <c r="D53" s="165">
        <v>668.57</v>
      </c>
      <c r="E53" s="163" t="s">
        <v>285</v>
      </c>
      <c r="F53" s="163">
        <v>177.8</v>
      </c>
      <c r="G53" s="163" t="s">
        <v>28</v>
      </c>
      <c r="H53" s="165" t="s">
        <v>48</v>
      </c>
      <c r="I53" s="158">
        <v>567.08000000000004</v>
      </c>
      <c r="J53" s="163">
        <v>110</v>
      </c>
      <c r="K53" s="163"/>
      <c r="L53" s="166">
        <v>405</v>
      </c>
      <c r="M53" s="166"/>
      <c r="N53" s="163">
        <v>0.1</v>
      </c>
      <c r="O53" s="166"/>
      <c r="P53" s="167">
        <v>16.327499914995023</v>
      </c>
      <c r="Q53" s="168">
        <f t="shared" si="13"/>
        <v>14.3</v>
      </c>
      <c r="R53" s="169">
        <v>3.8069999999999999</v>
      </c>
      <c r="S53" s="168">
        <v>4.8550000000000004</v>
      </c>
      <c r="T53" s="168">
        <v>2</v>
      </c>
      <c r="U53" s="168">
        <f t="shared" si="26"/>
        <v>0.52534804307853955</v>
      </c>
      <c r="V53" s="169">
        <f t="shared" si="8"/>
        <v>21.585993820803303</v>
      </c>
      <c r="W53" s="170">
        <v>3</v>
      </c>
      <c r="X53" s="171">
        <f t="shared" si="24"/>
        <v>0.33951048951048951</v>
      </c>
      <c r="Y53" s="171">
        <f t="shared" si="25"/>
        <v>3.6143657999999999</v>
      </c>
      <c r="Z53" s="171">
        <f t="shared" si="25"/>
        <v>4.6093370000000009</v>
      </c>
      <c r="AA53" s="171">
        <f t="shared" si="25"/>
        <v>1.8988</v>
      </c>
      <c r="AB53" s="171">
        <f t="shared" si="5"/>
        <v>0.52534804307853955</v>
      </c>
      <c r="AC53" s="171">
        <f t="shared" si="3"/>
        <v>21.585993820803303</v>
      </c>
      <c r="AD53" s="163">
        <v>30</v>
      </c>
      <c r="AE53" s="171">
        <f t="shared" si="6"/>
        <v>108.43097399999999</v>
      </c>
      <c r="AF53" s="172"/>
    </row>
    <row r="54" spans="1:32" ht="15.75" x14ac:dyDescent="0.2">
      <c r="A54" s="163">
        <v>41</v>
      </c>
      <c r="B54" s="164" t="s">
        <v>114</v>
      </c>
      <c r="C54" s="163" t="s">
        <v>46</v>
      </c>
      <c r="D54" s="165">
        <v>584.25</v>
      </c>
      <c r="E54" s="163" t="s">
        <v>123</v>
      </c>
      <c r="F54" s="163">
        <v>177.8</v>
      </c>
      <c r="G54" s="163" t="s">
        <v>28</v>
      </c>
      <c r="H54" s="165" t="s">
        <v>125</v>
      </c>
      <c r="I54" s="158">
        <v>565.08000000000004</v>
      </c>
      <c r="J54" s="163">
        <v>240</v>
      </c>
      <c r="K54" s="163"/>
      <c r="L54" s="166">
        <v>59</v>
      </c>
      <c r="M54" s="166"/>
      <c r="N54" s="163">
        <v>0.5</v>
      </c>
      <c r="O54" s="166"/>
      <c r="P54" s="167">
        <v>50.780669645124917</v>
      </c>
      <c r="Q54" s="168">
        <f t="shared" si="13"/>
        <v>7.2</v>
      </c>
      <c r="R54" s="169">
        <v>0.877</v>
      </c>
      <c r="S54" s="168">
        <v>2.0019999999999998</v>
      </c>
      <c r="T54" s="168">
        <v>0</v>
      </c>
      <c r="U54" s="168">
        <f t="shared" si="26"/>
        <v>0</v>
      </c>
      <c r="V54" s="169">
        <f t="shared" si="8"/>
        <v>56.193806193806182</v>
      </c>
      <c r="W54" s="170">
        <v>0.3</v>
      </c>
      <c r="X54" s="171">
        <f t="shared" si="24"/>
        <v>0.2780555555555555</v>
      </c>
      <c r="Y54" s="171">
        <f t="shared" si="25"/>
        <v>0.83262380000000003</v>
      </c>
      <c r="Z54" s="171">
        <f t="shared" si="25"/>
        <v>1.9006987999999998</v>
      </c>
      <c r="AA54" s="171">
        <f t="shared" si="25"/>
        <v>0</v>
      </c>
      <c r="AB54" s="171">
        <f t="shared" si="5"/>
        <v>0</v>
      </c>
      <c r="AC54" s="171">
        <f t="shared" si="3"/>
        <v>56.193806193806182</v>
      </c>
      <c r="AD54" s="163">
        <v>30</v>
      </c>
      <c r="AE54" s="171">
        <f t="shared" si="6"/>
        <v>24.978714</v>
      </c>
      <c r="AF54" s="203"/>
    </row>
    <row r="55" spans="1:32" ht="15.75" x14ac:dyDescent="0.2">
      <c r="A55" s="163">
        <v>42</v>
      </c>
      <c r="B55" s="164" t="s">
        <v>106</v>
      </c>
      <c r="C55" s="163" t="s">
        <v>46</v>
      </c>
      <c r="D55" s="165">
        <v>642.52</v>
      </c>
      <c r="E55" s="163" t="s">
        <v>111</v>
      </c>
      <c r="F55" s="163">
        <v>177.8</v>
      </c>
      <c r="G55" s="163" t="s">
        <v>28</v>
      </c>
      <c r="H55" s="165" t="s">
        <v>52</v>
      </c>
      <c r="I55" s="158">
        <v>556.65</v>
      </c>
      <c r="J55" s="163">
        <v>75</v>
      </c>
      <c r="K55" s="163"/>
      <c r="L55" s="163">
        <v>195</v>
      </c>
      <c r="M55" s="163"/>
      <c r="N55" s="163">
        <v>6.6</v>
      </c>
      <c r="O55" s="163"/>
      <c r="P55" s="182">
        <v>44.498179251836731</v>
      </c>
      <c r="Q55" s="171">
        <f t="shared" si="13"/>
        <v>16.5</v>
      </c>
      <c r="R55" s="170">
        <v>0</v>
      </c>
      <c r="S55" s="168">
        <v>4.452</v>
      </c>
      <c r="T55" s="171">
        <v>21</v>
      </c>
      <c r="U55" s="168" t="e">
        <f t="shared" si="26"/>
        <v>#DIV/0!</v>
      </c>
      <c r="V55" s="169">
        <f t="shared" si="8"/>
        <v>100</v>
      </c>
      <c r="W55" s="170">
        <v>1</v>
      </c>
      <c r="X55" s="171">
        <f t="shared" si="24"/>
        <v>0.26981818181818179</v>
      </c>
      <c r="Y55" s="171">
        <f t="shared" si="25"/>
        <v>0</v>
      </c>
      <c r="Z55" s="171">
        <f t="shared" si="25"/>
        <v>4.2267288000000001</v>
      </c>
      <c r="AA55" s="171">
        <f t="shared" si="25"/>
        <v>19.9374</v>
      </c>
      <c r="AB55" s="171" t="e">
        <f t="shared" si="5"/>
        <v>#DIV/0!</v>
      </c>
      <c r="AC55" s="171">
        <f t="shared" si="3"/>
        <v>100</v>
      </c>
      <c r="AD55" s="163">
        <v>30</v>
      </c>
      <c r="AE55" s="171">
        <f t="shared" si="6"/>
        <v>0</v>
      </c>
      <c r="AF55" s="343"/>
    </row>
    <row r="56" spans="1:32" ht="15.75" x14ac:dyDescent="0.2">
      <c r="A56" s="163">
        <v>43</v>
      </c>
      <c r="B56" s="164" t="s">
        <v>105</v>
      </c>
      <c r="C56" s="163" t="s">
        <v>46</v>
      </c>
      <c r="D56" s="165">
        <v>678.58</v>
      </c>
      <c r="E56" s="163" t="s">
        <v>110</v>
      </c>
      <c r="F56" s="163">
        <v>177.8</v>
      </c>
      <c r="G56" s="163" t="s">
        <v>28</v>
      </c>
      <c r="H56" s="165" t="s">
        <v>52</v>
      </c>
      <c r="I56" s="158">
        <v>529.41</v>
      </c>
      <c r="J56" s="163">
        <v>0</v>
      </c>
      <c r="K56" s="163">
        <v>285</v>
      </c>
      <c r="L56" s="163"/>
      <c r="M56" s="163">
        <v>0.22</v>
      </c>
      <c r="N56" s="163"/>
      <c r="O56" s="163"/>
      <c r="P56" s="182">
        <v>50.628196710495907</v>
      </c>
      <c r="Q56" s="171">
        <f t="shared" si="13"/>
        <v>0</v>
      </c>
      <c r="R56" s="170">
        <v>0</v>
      </c>
      <c r="S56" s="168">
        <v>0</v>
      </c>
      <c r="T56" s="171">
        <v>0</v>
      </c>
      <c r="U56" s="168">
        <f>IF(R56=0,0,T56/R56)</f>
        <v>0</v>
      </c>
      <c r="V56" s="169">
        <v>0</v>
      </c>
      <c r="W56" s="170">
        <v>0</v>
      </c>
      <c r="X56" s="171">
        <v>0</v>
      </c>
      <c r="Y56" s="171">
        <f t="shared" ref="Y56:AA57" si="27">R56</f>
        <v>0</v>
      </c>
      <c r="Z56" s="171">
        <f t="shared" si="27"/>
        <v>0</v>
      </c>
      <c r="AA56" s="171">
        <f t="shared" si="27"/>
        <v>0</v>
      </c>
      <c r="AB56" s="171">
        <f t="shared" si="5"/>
        <v>0</v>
      </c>
      <c r="AC56" s="171">
        <f t="shared" si="3"/>
        <v>0</v>
      </c>
      <c r="AD56" s="163">
        <v>0</v>
      </c>
      <c r="AE56" s="171">
        <f t="shared" si="6"/>
        <v>0</v>
      </c>
      <c r="AF56" s="172" t="s">
        <v>215</v>
      </c>
    </row>
    <row r="57" spans="1:32" ht="15.75" x14ac:dyDescent="0.2">
      <c r="A57" s="163">
        <v>44</v>
      </c>
      <c r="B57" s="164" t="s">
        <v>104</v>
      </c>
      <c r="C57" s="163" t="s">
        <v>46</v>
      </c>
      <c r="D57" s="165">
        <v>707.14</v>
      </c>
      <c r="E57" s="163" t="s">
        <v>231</v>
      </c>
      <c r="F57" s="163">
        <v>177.8</v>
      </c>
      <c r="G57" s="163" t="s">
        <v>28</v>
      </c>
      <c r="H57" s="165" t="s">
        <v>52</v>
      </c>
      <c r="I57" s="158">
        <v>555</v>
      </c>
      <c r="J57" s="163">
        <v>85</v>
      </c>
      <c r="K57" s="163"/>
      <c r="L57" s="163">
        <v>444</v>
      </c>
      <c r="M57" s="163"/>
      <c r="N57" s="163">
        <v>8.3000000000000007</v>
      </c>
      <c r="O57" s="163"/>
      <c r="P57" s="182">
        <v>20.407976268106836</v>
      </c>
      <c r="Q57" s="171">
        <f t="shared" si="13"/>
        <v>18.7</v>
      </c>
      <c r="R57" s="170">
        <v>2.4060000000000001</v>
      </c>
      <c r="S57" s="168">
        <v>8.2379999999999995</v>
      </c>
      <c r="T57" s="171">
        <v>73</v>
      </c>
      <c r="U57" s="171">
        <f t="shared" si="26"/>
        <v>30.340814630091437</v>
      </c>
      <c r="V57" s="169">
        <f t="shared" si="8"/>
        <v>70.79388201019664</v>
      </c>
      <c r="W57" s="170">
        <v>0.3</v>
      </c>
      <c r="X57" s="171">
        <f>S57/Q57</f>
        <v>0.44053475935828879</v>
      </c>
      <c r="Y57" s="171">
        <f t="shared" si="27"/>
        <v>2.4060000000000001</v>
      </c>
      <c r="Z57" s="171">
        <f t="shared" si="27"/>
        <v>8.2379999999999995</v>
      </c>
      <c r="AA57" s="171">
        <f t="shared" si="27"/>
        <v>73</v>
      </c>
      <c r="AB57" s="171">
        <f t="shared" si="5"/>
        <v>30.340814630091437</v>
      </c>
      <c r="AC57" s="171">
        <f t="shared" si="3"/>
        <v>70.79388201019664</v>
      </c>
      <c r="AD57" s="163">
        <v>30</v>
      </c>
      <c r="AE57" s="171">
        <f t="shared" si="6"/>
        <v>72.180000000000007</v>
      </c>
      <c r="AF57" s="179"/>
    </row>
    <row r="58" spans="1:32" ht="16.899999999999999" customHeight="1" x14ac:dyDescent="0.2">
      <c r="A58" s="158">
        <v>45</v>
      </c>
      <c r="B58" s="204" t="s">
        <v>158</v>
      </c>
      <c r="C58" s="163" t="s">
        <v>46</v>
      </c>
      <c r="D58" s="158">
        <v>674.45</v>
      </c>
      <c r="E58" s="158" t="s">
        <v>232</v>
      </c>
      <c r="F58" s="163">
        <v>177.8</v>
      </c>
      <c r="G58" s="163" t="s">
        <v>28</v>
      </c>
      <c r="H58" s="165" t="s">
        <v>52</v>
      </c>
      <c r="I58" s="158">
        <v>543.72</v>
      </c>
      <c r="J58" s="158">
        <v>160</v>
      </c>
      <c r="K58" s="158"/>
      <c r="L58" s="158">
        <v>457</v>
      </c>
      <c r="M58" s="158"/>
      <c r="N58" s="163">
        <v>7.7</v>
      </c>
      <c r="O58" s="158"/>
      <c r="P58" s="160">
        <v>17.262048758570316</v>
      </c>
      <c r="Q58" s="171">
        <f t="shared" si="13"/>
        <v>35.200000000000003</v>
      </c>
      <c r="R58" s="170">
        <v>9.31</v>
      </c>
      <c r="S58" s="168">
        <v>12.671000000000001</v>
      </c>
      <c r="T58" s="174">
        <v>476</v>
      </c>
      <c r="U58" s="171">
        <f>T58/R58</f>
        <v>51.127819548872175</v>
      </c>
      <c r="V58" s="169">
        <f t="shared" si="8"/>
        <v>26.52513613763713</v>
      </c>
      <c r="W58" s="170">
        <v>2</v>
      </c>
      <c r="X58" s="171">
        <f t="shared" ref="X58:X74" si="28">S58/Q58</f>
        <v>0.35997159090909092</v>
      </c>
      <c r="Y58" s="171">
        <f t="shared" ref="Y58:AA58" si="29">R58*0.9494</f>
        <v>8.8389140000000008</v>
      </c>
      <c r="Z58" s="171">
        <f t="shared" si="29"/>
        <v>12.029847400000001</v>
      </c>
      <c r="AA58" s="171">
        <f t="shared" si="29"/>
        <v>451.9144</v>
      </c>
      <c r="AB58" s="171">
        <f t="shared" si="5"/>
        <v>51.127819548872175</v>
      </c>
      <c r="AC58" s="171">
        <f t="shared" si="3"/>
        <v>26.52513613763713</v>
      </c>
      <c r="AD58" s="163">
        <v>30</v>
      </c>
      <c r="AE58" s="171">
        <f>Y58*AD58</f>
        <v>265.16742000000005</v>
      </c>
      <c r="AF58" s="172"/>
    </row>
    <row r="59" spans="1:32" ht="16.149999999999999" customHeight="1" x14ac:dyDescent="0.2">
      <c r="A59" s="158">
        <v>46</v>
      </c>
      <c r="B59" s="204" t="s">
        <v>160</v>
      </c>
      <c r="C59" s="163" t="s">
        <v>46</v>
      </c>
      <c r="D59" s="158">
        <v>677.33</v>
      </c>
      <c r="E59" s="158" t="s">
        <v>165</v>
      </c>
      <c r="F59" s="163">
        <v>177.8</v>
      </c>
      <c r="G59" s="163" t="s">
        <v>28</v>
      </c>
      <c r="H59" s="165" t="s">
        <v>52</v>
      </c>
      <c r="I59" s="158">
        <v>555.41999999999996</v>
      </c>
      <c r="J59" s="158">
        <v>0</v>
      </c>
      <c r="K59" s="158">
        <v>477</v>
      </c>
      <c r="L59" s="163"/>
      <c r="M59" s="158">
        <v>41.1</v>
      </c>
      <c r="N59" s="163"/>
      <c r="O59" s="158"/>
      <c r="P59" s="160">
        <v>0</v>
      </c>
      <c r="Q59" s="171">
        <f t="shared" si="13"/>
        <v>0</v>
      </c>
      <c r="R59" s="170">
        <v>0</v>
      </c>
      <c r="S59" s="168">
        <v>0</v>
      </c>
      <c r="T59" s="174">
        <v>0</v>
      </c>
      <c r="U59" s="171">
        <v>0</v>
      </c>
      <c r="V59" s="169">
        <v>0</v>
      </c>
      <c r="W59" s="170">
        <v>0</v>
      </c>
      <c r="X59" s="171">
        <v>0</v>
      </c>
      <c r="Y59" s="171">
        <f>R59</f>
        <v>0</v>
      </c>
      <c r="Z59" s="171">
        <f>S59</f>
        <v>0</v>
      </c>
      <c r="AA59" s="171">
        <f>T59</f>
        <v>0</v>
      </c>
      <c r="AB59" s="171">
        <f t="shared" si="5"/>
        <v>0</v>
      </c>
      <c r="AC59" s="171">
        <v>0</v>
      </c>
      <c r="AD59" s="163">
        <v>0</v>
      </c>
      <c r="AE59" s="171">
        <f>Y59*AD59</f>
        <v>0</v>
      </c>
      <c r="AF59" s="172" t="s">
        <v>237</v>
      </c>
    </row>
    <row r="60" spans="1:32" ht="16.899999999999999" customHeight="1" x14ac:dyDescent="0.2">
      <c r="A60" s="163">
        <v>47</v>
      </c>
      <c r="B60" s="164" t="s">
        <v>164</v>
      </c>
      <c r="C60" s="163" t="s">
        <v>46</v>
      </c>
      <c r="D60" s="158">
        <v>678.47</v>
      </c>
      <c r="E60" s="158" t="s">
        <v>233</v>
      </c>
      <c r="F60" s="163">
        <v>177.8</v>
      </c>
      <c r="G60" s="163" t="s">
        <v>28</v>
      </c>
      <c r="H60" s="165" t="s">
        <v>48</v>
      </c>
      <c r="I60" s="158">
        <v>563.11</v>
      </c>
      <c r="J60" s="158">
        <v>105</v>
      </c>
      <c r="K60" s="158"/>
      <c r="L60" s="158">
        <v>424</v>
      </c>
      <c r="M60" s="158"/>
      <c r="N60" s="163">
        <v>2.2000000000000002</v>
      </c>
      <c r="O60" s="158"/>
      <c r="P60" s="182">
        <v>16.868214096123769</v>
      </c>
      <c r="Q60" s="171">
        <f t="shared" si="13"/>
        <v>13.65</v>
      </c>
      <c r="R60" s="170">
        <v>3.827</v>
      </c>
      <c r="S60" s="168">
        <v>5.1520000000000001</v>
      </c>
      <c r="T60" s="171">
        <v>11</v>
      </c>
      <c r="U60" s="171">
        <f>T60/R60</f>
        <v>2.8743140841390122</v>
      </c>
      <c r="V60" s="169">
        <f t="shared" si="8"/>
        <v>25.718167701863358</v>
      </c>
      <c r="W60" s="170">
        <v>4</v>
      </c>
      <c r="X60" s="171">
        <f t="shared" si="28"/>
        <v>0.37743589743589745</v>
      </c>
      <c r="Y60" s="171">
        <f t="shared" ref="Y60:AA65" si="30">R60*0.9494</f>
        <v>3.6333538000000001</v>
      </c>
      <c r="Z60" s="171">
        <f t="shared" si="30"/>
        <v>4.8913088</v>
      </c>
      <c r="AA60" s="171">
        <f t="shared" si="30"/>
        <v>10.4434</v>
      </c>
      <c r="AB60" s="171">
        <f t="shared" si="5"/>
        <v>2.8743140841390122</v>
      </c>
      <c r="AC60" s="171">
        <f t="shared" si="3"/>
        <v>25.718167701863358</v>
      </c>
      <c r="AD60" s="163">
        <v>30</v>
      </c>
      <c r="AE60" s="171">
        <f t="shared" ref="AE60:AE72" si="31">Y60*AD60</f>
        <v>109.000614</v>
      </c>
      <c r="AF60" s="172"/>
    </row>
    <row r="61" spans="1:32" ht="15.75" x14ac:dyDescent="0.2">
      <c r="A61" s="163">
        <v>48</v>
      </c>
      <c r="B61" s="164" t="s">
        <v>61</v>
      </c>
      <c r="C61" s="163" t="s">
        <v>46</v>
      </c>
      <c r="D61" s="165">
        <v>667.18</v>
      </c>
      <c r="E61" s="163" t="s">
        <v>96</v>
      </c>
      <c r="F61" s="163">
        <v>177.8</v>
      </c>
      <c r="G61" s="163" t="s">
        <v>28</v>
      </c>
      <c r="H61" s="165" t="s">
        <v>52</v>
      </c>
      <c r="I61" s="158">
        <v>534.21</v>
      </c>
      <c r="J61" s="163">
        <v>105</v>
      </c>
      <c r="K61" s="163"/>
      <c r="L61" s="163">
        <v>351</v>
      </c>
      <c r="M61" s="163"/>
      <c r="N61" s="163">
        <v>8.6</v>
      </c>
      <c r="O61" s="163"/>
      <c r="P61" s="182">
        <v>28.121226828108632</v>
      </c>
      <c r="Q61" s="171">
        <f t="shared" si="13"/>
        <v>23.1</v>
      </c>
      <c r="R61" s="170">
        <v>8.6669999999999998</v>
      </c>
      <c r="S61" s="168">
        <v>14.414</v>
      </c>
      <c r="T61" s="171">
        <v>118</v>
      </c>
      <c r="U61" s="171">
        <f>T61/R61</f>
        <v>13.614860966885889</v>
      </c>
      <c r="V61" s="169">
        <f t="shared" si="8"/>
        <v>39.870958790065217</v>
      </c>
      <c r="W61" s="170">
        <v>0.3</v>
      </c>
      <c r="X61" s="171">
        <f t="shared" si="28"/>
        <v>0.62398268398268397</v>
      </c>
      <c r="Y61" s="171">
        <f t="shared" si="30"/>
        <v>8.2284497999999999</v>
      </c>
      <c r="Z61" s="171">
        <f t="shared" si="30"/>
        <v>13.6846516</v>
      </c>
      <c r="AA61" s="171">
        <f t="shared" si="30"/>
        <v>112.0292</v>
      </c>
      <c r="AB61" s="171">
        <f t="shared" si="5"/>
        <v>13.614860966885889</v>
      </c>
      <c r="AC61" s="171">
        <v>67</v>
      </c>
      <c r="AD61" s="163">
        <v>30</v>
      </c>
      <c r="AE61" s="171">
        <f t="shared" si="31"/>
        <v>246.85349400000001</v>
      </c>
      <c r="AF61" s="190"/>
    </row>
    <row r="62" spans="1:32" ht="15.75" x14ac:dyDescent="0.2">
      <c r="A62" s="163">
        <v>49</v>
      </c>
      <c r="B62" s="164" t="s">
        <v>64</v>
      </c>
      <c r="C62" s="163" t="s">
        <v>46</v>
      </c>
      <c r="D62" s="165">
        <v>672.5</v>
      </c>
      <c r="E62" s="163" t="s">
        <v>234</v>
      </c>
      <c r="F62" s="163">
        <v>177.8</v>
      </c>
      <c r="G62" s="163" t="s">
        <v>28</v>
      </c>
      <c r="H62" s="165" t="s">
        <v>49</v>
      </c>
      <c r="I62" s="158">
        <v>533.70000000000005</v>
      </c>
      <c r="J62" s="163">
        <v>360</v>
      </c>
      <c r="K62" s="163"/>
      <c r="L62" s="163">
        <v>420</v>
      </c>
      <c r="M62" s="163"/>
      <c r="N62" s="163">
        <v>7.6</v>
      </c>
      <c r="O62" s="163"/>
      <c r="P62" s="182">
        <v>20.559557086175445</v>
      </c>
      <c r="Q62" s="171">
        <f t="shared" si="13"/>
        <v>115.2</v>
      </c>
      <c r="R62" s="170">
        <v>13.345000000000001</v>
      </c>
      <c r="S62" s="168">
        <v>17.289000000000001</v>
      </c>
      <c r="T62" s="171">
        <v>2652</v>
      </c>
      <c r="U62" s="171">
        <f>T62/R62</f>
        <v>198.72611464968151</v>
      </c>
      <c r="V62" s="169">
        <f t="shared" si="8"/>
        <v>22.812192723697152</v>
      </c>
      <c r="W62" s="170">
        <v>2</v>
      </c>
      <c r="X62" s="171">
        <f t="shared" si="28"/>
        <v>0.15007812500000001</v>
      </c>
      <c r="Y62" s="171">
        <f t="shared" si="30"/>
        <v>12.669743</v>
      </c>
      <c r="Z62" s="171">
        <f t="shared" si="30"/>
        <v>16.414176600000001</v>
      </c>
      <c r="AA62" s="171">
        <f t="shared" si="30"/>
        <v>2517.8088000000002</v>
      </c>
      <c r="AB62" s="171">
        <f t="shared" si="5"/>
        <v>198.72611464968151</v>
      </c>
      <c r="AC62" s="171">
        <f t="shared" si="3"/>
        <v>22.812192723697152</v>
      </c>
      <c r="AD62" s="163">
        <v>30</v>
      </c>
      <c r="AE62" s="171">
        <f t="shared" si="31"/>
        <v>380.09228999999999</v>
      </c>
      <c r="AF62" s="179"/>
    </row>
    <row r="63" spans="1:32" ht="15.75" x14ac:dyDescent="0.2">
      <c r="A63" s="163">
        <v>50</v>
      </c>
      <c r="B63" s="164" t="s">
        <v>156</v>
      </c>
      <c r="C63" s="163" t="s">
        <v>46</v>
      </c>
      <c r="D63" s="165">
        <v>679.54</v>
      </c>
      <c r="E63" s="163" t="s">
        <v>166</v>
      </c>
      <c r="F63" s="163">
        <v>177.8</v>
      </c>
      <c r="G63" s="163" t="s">
        <v>28</v>
      </c>
      <c r="H63" s="165" t="s">
        <v>52</v>
      </c>
      <c r="I63" s="158">
        <v>530.98</v>
      </c>
      <c r="J63" s="163">
        <v>165</v>
      </c>
      <c r="K63" s="163"/>
      <c r="L63" s="163">
        <v>446</v>
      </c>
      <c r="M63" s="163"/>
      <c r="N63" s="163">
        <v>7.5</v>
      </c>
      <c r="O63" s="163"/>
      <c r="P63" s="182">
        <v>18.012102649987582</v>
      </c>
      <c r="Q63" s="171">
        <f t="shared" si="13"/>
        <v>36.299999999999997</v>
      </c>
      <c r="R63" s="170">
        <v>7.6689999999999996</v>
      </c>
      <c r="S63" s="168">
        <v>11.474</v>
      </c>
      <c r="T63" s="171">
        <v>187</v>
      </c>
      <c r="U63" s="171">
        <f>T63/R63</f>
        <v>24.383883165992959</v>
      </c>
      <c r="V63" s="169">
        <f t="shared" si="8"/>
        <v>33.161931322991116</v>
      </c>
      <c r="W63" s="170">
        <v>0.3</v>
      </c>
      <c r="X63" s="171">
        <f t="shared" si="28"/>
        <v>0.3160881542699725</v>
      </c>
      <c r="Y63" s="171">
        <f t="shared" si="30"/>
        <v>7.2809485999999994</v>
      </c>
      <c r="Z63" s="171">
        <f t="shared" si="30"/>
        <v>10.893415600000001</v>
      </c>
      <c r="AA63" s="171">
        <f t="shared" si="30"/>
        <v>177.5378</v>
      </c>
      <c r="AB63" s="171">
        <f t="shared" si="5"/>
        <v>24.383883165992959</v>
      </c>
      <c r="AC63" s="171">
        <f t="shared" si="3"/>
        <v>33.161931322991116</v>
      </c>
      <c r="AD63" s="163">
        <v>30</v>
      </c>
      <c r="AE63" s="171">
        <f t="shared" si="31"/>
        <v>218.42845799999998</v>
      </c>
      <c r="AF63" s="179"/>
    </row>
    <row r="64" spans="1:32" ht="15.75" x14ac:dyDescent="0.2">
      <c r="A64" s="163">
        <v>51</v>
      </c>
      <c r="B64" s="164" t="s">
        <v>169</v>
      </c>
      <c r="C64" s="163" t="s">
        <v>46</v>
      </c>
      <c r="D64" s="165">
        <v>673</v>
      </c>
      <c r="E64" s="163" t="s">
        <v>170</v>
      </c>
      <c r="F64" s="163">
        <v>177.8</v>
      </c>
      <c r="G64" s="163" t="s">
        <v>28</v>
      </c>
      <c r="H64" s="165" t="s">
        <v>52</v>
      </c>
      <c r="I64" s="158">
        <v>541.48</v>
      </c>
      <c r="J64" s="163">
        <v>125</v>
      </c>
      <c r="K64" s="163"/>
      <c r="L64" s="163">
        <v>420</v>
      </c>
      <c r="M64" s="163"/>
      <c r="N64" s="163">
        <v>5.0999999999999996</v>
      </c>
      <c r="O64" s="163"/>
      <c r="P64" s="182">
        <v>19.229840182318387</v>
      </c>
      <c r="Q64" s="171">
        <f t="shared" si="13"/>
        <v>27.5</v>
      </c>
      <c r="R64" s="170">
        <v>5.1360000000000001</v>
      </c>
      <c r="S64" s="168">
        <v>6.9990000000000006</v>
      </c>
      <c r="T64" s="171">
        <v>92</v>
      </c>
      <c r="U64" s="171">
        <f>T64/R64</f>
        <v>17.912772585669781</v>
      </c>
      <c r="V64" s="169">
        <f t="shared" si="8"/>
        <v>26.618088298328335</v>
      </c>
      <c r="W64" s="170">
        <v>1</v>
      </c>
      <c r="X64" s="171">
        <f t="shared" si="28"/>
        <v>0.25450909090909091</v>
      </c>
      <c r="Y64" s="171">
        <f t="shared" si="30"/>
        <v>4.8761184000000002</v>
      </c>
      <c r="Z64" s="171">
        <f t="shared" si="30"/>
        <v>6.6448506000000007</v>
      </c>
      <c r="AA64" s="171">
        <f t="shared" si="30"/>
        <v>87.344800000000006</v>
      </c>
      <c r="AB64" s="171">
        <f t="shared" si="5"/>
        <v>17.912772585669781</v>
      </c>
      <c r="AC64" s="171">
        <f t="shared" si="3"/>
        <v>26.618088298328335</v>
      </c>
      <c r="AD64" s="163">
        <v>30</v>
      </c>
      <c r="AE64" s="171">
        <f>Y64*AD64</f>
        <v>146.28355200000001</v>
      </c>
      <c r="AF64" s="179"/>
    </row>
    <row r="65" spans="1:32" ht="15.75" x14ac:dyDescent="0.2">
      <c r="A65" s="163">
        <v>52</v>
      </c>
      <c r="B65" s="164" t="s">
        <v>62</v>
      </c>
      <c r="C65" s="163" t="s">
        <v>46</v>
      </c>
      <c r="D65" s="165">
        <v>673.73</v>
      </c>
      <c r="E65" s="163" t="s">
        <v>97</v>
      </c>
      <c r="F65" s="163">
        <v>177.8</v>
      </c>
      <c r="G65" s="163" t="s">
        <v>28</v>
      </c>
      <c r="H65" s="165" t="s">
        <v>49</v>
      </c>
      <c r="I65" s="158">
        <v>550</v>
      </c>
      <c r="J65" s="163">
        <v>285</v>
      </c>
      <c r="K65" s="163"/>
      <c r="L65" s="163">
        <v>448</v>
      </c>
      <c r="M65" s="163"/>
      <c r="N65" s="163">
        <v>5.2</v>
      </c>
      <c r="O65" s="163"/>
      <c r="P65" s="182">
        <v>16.006209392911042</v>
      </c>
      <c r="Q65" s="171">
        <f t="shared" si="13"/>
        <v>91.2</v>
      </c>
      <c r="R65" s="170">
        <v>11.297000000000001</v>
      </c>
      <c r="S65" s="168">
        <v>12.637</v>
      </c>
      <c r="T65" s="171">
        <v>421</v>
      </c>
      <c r="U65" s="171">
        <f t="shared" si="7"/>
        <v>37.266530937417009</v>
      </c>
      <c r="V65" s="169">
        <f t="shared" si="8"/>
        <v>10.603782543325154</v>
      </c>
      <c r="W65" s="170">
        <v>2</v>
      </c>
      <c r="X65" s="171">
        <f t="shared" si="28"/>
        <v>0.13856359649122807</v>
      </c>
      <c r="Y65" s="171">
        <f t="shared" si="30"/>
        <v>10.725371800000001</v>
      </c>
      <c r="Z65" s="171">
        <f t="shared" si="30"/>
        <v>11.997567800000001</v>
      </c>
      <c r="AA65" s="171">
        <f t="shared" si="30"/>
        <v>399.69740000000002</v>
      </c>
      <c r="AB65" s="171">
        <f t="shared" si="5"/>
        <v>37.266530937417009</v>
      </c>
      <c r="AC65" s="171">
        <f t="shared" si="3"/>
        <v>10.603782543325154</v>
      </c>
      <c r="AD65" s="163">
        <v>30</v>
      </c>
      <c r="AE65" s="171">
        <f t="shared" si="31"/>
        <v>321.76115400000003</v>
      </c>
      <c r="AF65" s="179"/>
    </row>
    <row r="66" spans="1:32" ht="15.75" x14ac:dyDescent="0.2">
      <c r="A66" s="163">
        <v>53</v>
      </c>
      <c r="B66" s="164" t="s">
        <v>157</v>
      </c>
      <c r="C66" s="163" t="s">
        <v>46</v>
      </c>
      <c r="D66" s="165">
        <v>676.73</v>
      </c>
      <c r="E66" s="163" t="s">
        <v>179</v>
      </c>
      <c r="F66" s="163">
        <v>177.8</v>
      </c>
      <c r="G66" s="163" t="s">
        <v>28</v>
      </c>
      <c r="H66" s="165" t="s">
        <v>218</v>
      </c>
      <c r="I66" s="158">
        <v>579.14</v>
      </c>
      <c r="J66" s="163">
        <v>140</v>
      </c>
      <c r="K66" s="163"/>
      <c r="L66" s="163">
        <v>158</v>
      </c>
      <c r="M66" s="163"/>
      <c r="N66" s="163">
        <v>8.1999999999999993</v>
      </c>
      <c r="O66" s="163"/>
      <c r="P66" s="182">
        <v>46.011127311073771</v>
      </c>
      <c r="Q66" s="171">
        <f t="shared" si="13"/>
        <v>44.8</v>
      </c>
      <c r="R66" s="170">
        <v>16.11</v>
      </c>
      <c r="S66" s="168">
        <v>37.876999999999995</v>
      </c>
      <c r="T66" s="171">
        <v>182</v>
      </c>
      <c r="U66" s="171">
        <f t="shared" si="7"/>
        <v>11.297330850403476</v>
      </c>
      <c r="V66" s="169">
        <f t="shared" si="8"/>
        <v>57.467592470364593</v>
      </c>
      <c r="W66" s="170">
        <v>2</v>
      </c>
      <c r="X66" s="171">
        <f t="shared" si="28"/>
        <v>0.84546874999999999</v>
      </c>
      <c r="Y66" s="171">
        <v>28.6</v>
      </c>
      <c r="Z66" s="171">
        <v>40.880000000000003</v>
      </c>
      <c r="AA66" s="171">
        <v>579.79999999999995</v>
      </c>
      <c r="AB66" s="171">
        <f t="shared" si="5"/>
        <v>11.297330850403476</v>
      </c>
      <c r="AC66" s="171">
        <v>30</v>
      </c>
      <c r="AD66" s="163">
        <v>30</v>
      </c>
      <c r="AE66" s="171">
        <f t="shared" si="31"/>
        <v>858</v>
      </c>
      <c r="AF66" s="321"/>
    </row>
    <row r="67" spans="1:32" ht="15.75" x14ac:dyDescent="0.2">
      <c r="A67" s="163">
        <v>54</v>
      </c>
      <c r="B67" s="164" t="s">
        <v>159</v>
      </c>
      <c r="C67" s="163" t="s">
        <v>46</v>
      </c>
      <c r="D67" s="165">
        <v>676</v>
      </c>
      <c r="E67" s="163" t="s">
        <v>167</v>
      </c>
      <c r="F67" s="163">
        <v>177.8</v>
      </c>
      <c r="G67" s="163" t="s">
        <v>28</v>
      </c>
      <c r="H67" s="165" t="s">
        <v>218</v>
      </c>
      <c r="I67" s="158">
        <v>508.57</v>
      </c>
      <c r="J67" s="163">
        <v>190</v>
      </c>
      <c r="K67" s="163"/>
      <c r="L67" s="163">
        <v>170</v>
      </c>
      <c r="M67" s="163"/>
      <c r="N67" s="163">
        <v>8.1999999999999993</v>
      </c>
      <c r="O67" s="163"/>
      <c r="P67" s="182">
        <v>36.171598966344774</v>
      </c>
      <c r="Q67" s="171">
        <f t="shared" si="13"/>
        <v>60.8</v>
      </c>
      <c r="R67" s="170">
        <v>49.465000000000003</v>
      </c>
      <c r="S67" s="168">
        <v>54.494</v>
      </c>
      <c r="T67" s="171">
        <v>785</v>
      </c>
      <c r="U67" s="171">
        <f t="shared" si="7"/>
        <v>15.869806934195894</v>
      </c>
      <c r="V67" s="169">
        <f t="shared" si="8"/>
        <v>9.2285389217161455</v>
      </c>
      <c r="W67" s="170">
        <v>0.5</v>
      </c>
      <c r="X67" s="171">
        <f t="shared" si="28"/>
        <v>0.8962828947368422</v>
      </c>
      <c r="Y67" s="171">
        <v>18.3</v>
      </c>
      <c r="Z67" s="171">
        <v>21.37</v>
      </c>
      <c r="AA67" s="171">
        <v>490.49</v>
      </c>
      <c r="AB67" s="171">
        <f t="shared" si="5"/>
        <v>15.869806934195894</v>
      </c>
      <c r="AC67" s="171">
        <v>14.18</v>
      </c>
      <c r="AD67" s="163">
        <v>30</v>
      </c>
      <c r="AE67" s="171">
        <f t="shared" si="31"/>
        <v>549</v>
      </c>
      <c r="AF67" s="321"/>
    </row>
    <row r="68" spans="1:32" ht="15.75" x14ac:dyDescent="0.2">
      <c r="A68" s="163">
        <v>55</v>
      </c>
      <c r="B68" s="164" t="s">
        <v>210</v>
      </c>
      <c r="C68" s="163" t="s">
        <v>46</v>
      </c>
      <c r="D68" s="165">
        <v>728.32</v>
      </c>
      <c r="E68" s="163" t="s">
        <v>226</v>
      </c>
      <c r="F68" s="163">
        <v>177.8</v>
      </c>
      <c r="G68" s="163" t="s">
        <v>28</v>
      </c>
      <c r="H68" s="165" t="s">
        <v>218</v>
      </c>
      <c r="I68" s="158">
        <v>519.38</v>
      </c>
      <c r="J68" s="163">
        <v>170</v>
      </c>
      <c r="K68" s="163"/>
      <c r="L68" s="163">
        <v>377</v>
      </c>
      <c r="M68" s="163"/>
      <c r="N68" s="163">
        <v>9.4</v>
      </c>
      <c r="O68" s="163"/>
      <c r="P68" s="182">
        <v>24.262421447394093</v>
      </c>
      <c r="Q68" s="171">
        <f t="shared" si="13"/>
        <v>54.4</v>
      </c>
      <c r="R68" s="170">
        <v>17</v>
      </c>
      <c r="S68" s="168">
        <v>20.21</v>
      </c>
      <c r="T68" s="171">
        <v>993</v>
      </c>
      <c r="U68" s="171">
        <f t="shared" si="7"/>
        <v>58.411764705882355</v>
      </c>
      <c r="V68" s="169">
        <f t="shared" si="8"/>
        <v>15.883226125680361</v>
      </c>
      <c r="W68" s="170">
        <v>2</v>
      </c>
      <c r="X68" s="171">
        <f t="shared" si="28"/>
        <v>0.37150735294117648</v>
      </c>
      <c r="Y68" s="171">
        <f t="shared" ref="Y68:AA74" si="32">R68*0.9494</f>
        <v>16.139800000000001</v>
      </c>
      <c r="Z68" s="171">
        <f t="shared" si="32"/>
        <v>19.187374000000002</v>
      </c>
      <c r="AA68" s="171">
        <f t="shared" si="32"/>
        <v>942.75419999999997</v>
      </c>
      <c r="AB68" s="171">
        <f t="shared" si="5"/>
        <v>58.411764705882355</v>
      </c>
      <c r="AC68" s="171">
        <f t="shared" si="3"/>
        <v>15.883226125680361</v>
      </c>
      <c r="AD68" s="163">
        <v>30</v>
      </c>
      <c r="AE68" s="171">
        <f t="shared" si="31"/>
        <v>484.19400000000002</v>
      </c>
      <c r="AF68" s="179"/>
    </row>
    <row r="69" spans="1:32" ht="15.75" x14ac:dyDescent="0.2">
      <c r="A69" s="163">
        <v>56</v>
      </c>
      <c r="B69" s="164" t="s">
        <v>63</v>
      </c>
      <c r="C69" s="163" t="s">
        <v>46</v>
      </c>
      <c r="D69" s="165">
        <v>672.99</v>
      </c>
      <c r="E69" s="163" t="s">
        <v>98</v>
      </c>
      <c r="F69" s="163">
        <v>177.8</v>
      </c>
      <c r="G69" s="163" t="s">
        <v>28</v>
      </c>
      <c r="H69" s="165" t="s">
        <v>49</v>
      </c>
      <c r="I69" s="158">
        <v>540.61</v>
      </c>
      <c r="J69" s="163">
        <v>325</v>
      </c>
      <c r="K69" s="163"/>
      <c r="L69" s="163">
        <v>387</v>
      </c>
      <c r="M69" s="163"/>
      <c r="N69" s="163">
        <v>8.4</v>
      </c>
      <c r="O69" s="163"/>
      <c r="P69" s="182">
        <v>24.236748143775117</v>
      </c>
      <c r="Q69" s="171">
        <f t="shared" si="13"/>
        <v>104</v>
      </c>
      <c r="R69" s="170">
        <v>16.004999999999999</v>
      </c>
      <c r="S69" s="168">
        <v>17.416</v>
      </c>
      <c r="T69" s="171">
        <v>2448</v>
      </c>
      <c r="U69" s="171">
        <f t="shared" si="7"/>
        <v>152.95220243673853</v>
      </c>
      <c r="V69" s="169">
        <f t="shared" si="8"/>
        <v>8.1017455213596765</v>
      </c>
      <c r="W69" s="170">
        <v>4</v>
      </c>
      <c r="X69" s="171">
        <f t="shared" si="28"/>
        <v>0.16746153846153847</v>
      </c>
      <c r="Y69" s="171">
        <f t="shared" si="32"/>
        <v>15.195146999999999</v>
      </c>
      <c r="Z69" s="171">
        <f t="shared" si="32"/>
        <v>16.5347504</v>
      </c>
      <c r="AA69" s="171">
        <f t="shared" si="32"/>
        <v>2324.1312000000003</v>
      </c>
      <c r="AB69" s="171">
        <f t="shared" si="5"/>
        <v>152.95220243673853</v>
      </c>
      <c r="AC69" s="171">
        <f t="shared" si="3"/>
        <v>8.1017455213596765</v>
      </c>
      <c r="AD69" s="163">
        <v>30</v>
      </c>
      <c r="AE69" s="171">
        <f t="shared" si="31"/>
        <v>455.85440999999997</v>
      </c>
      <c r="AF69" s="179"/>
    </row>
    <row r="70" spans="1:32" ht="15.75" x14ac:dyDescent="0.2">
      <c r="A70" s="163">
        <v>57</v>
      </c>
      <c r="B70" s="164" t="s">
        <v>217</v>
      </c>
      <c r="C70" s="163" t="s">
        <v>46</v>
      </c>
      <c r="D70" s="165">
        <v>684.57</v>
      </c>
      <c r="E70" s="163" t="s">
        <v>223</v>
      </c>
      <c r="F70" s="163">
        <v>177.8</v>
      </c>
      <c r="G70" s="163" t="s">
        <v>28</v>
      </c>
      <c r="H70" s="165" t="s">
        <v>219</v>
      </c>
      <c r="I70" s="158">
        <v>553.94000000000005</v>
      </c>
      <c r="J70" s="163">
        <v>85</v>
      </c>
      <c r="K70" s="163"/>
      <c r="L70" s="163">
        <v>259</v>
      </c>
      <c r="M70" s="163"/>
      <c r="N70" s="163">
        <v>8</v>
      </c>
      <c r="O70" s="163"/>
      <c r="P70" s="182">
        <v>39.551648692019789</v>
      </c>
      <c r="Q70" s="171">
        <f t="shared" si="13"/>
        <v>10.199999999999999</v>
      </c>
      <c r="R70" s="170">
        <v>0.32800000000000001</v>
      </c>
      <c r="S70" s="168">
        <v>2.706</v>
      </c>
      <c r="T70" s="171">
        <v>10</v>
      </c>
      <c r="U70" s="171">
        <f t="shared" si="7"/>
        <v>30.487804878048781</v>
      </c>
      <c r="V70" s="169">
        <f t="shared" si="8"/>
        <v>87.87878787878789</v>
      </c>
      <c r="W70" s="170">
        <v>3</v>
      </c>
      <c r="X70" s="171">
        <f t="shared" si="28"/>
        <v>0.26529411764705885</v>
      </c>
      <c r="Y70" s="171">
        <f t="shared" si="32"/>
        <v>0.31140320000000005</v>
      </c>
      <c r="Z70" s="171">
        <f t="shared" si="32"/>
        <v>2.5690764000000001</v>
      </c>
      <c r="AA70" s="171">
        <f t="shared" si="32"/>
        <v>9.4939999999999998</v>
      </c>
      <c r="AB70" s="171">
        <v>0</v>
      </c>
      <c r="AC70" s="171">
        <f t="shared" si="3"/>
        <v>87.87878787878789</v>
      </c>
      <c r="AD70" s="163">
        <v>30</v>
      </c>
      <c r="AE70" s="171">
        <f t="shared" si="31"/>
        <v>9.3420960000000015</v>
      </c>
      <c r="AF70" s="179"/>
    </row>
    <row r="71" spans="1:32" ht="15.75" x14ac:dyDescent="0.2">
      <c r="A71" s="163">
        <v>58</v>
      </c>
      <c r="B71" s="164" t="s">
        <v>211</v>
      </c>
      <c r="C71" s="163" t="s">
        <v>46</v>
      </c>
      <c r="D71" s="165">
        <v>683.16</v>
      </c>
      <c r="E71" s="163" t="s">
        <v>224</v>
      </c>
      <c r="F71" s="163">
        <v>177.8</v>
      </c>
      <c r="G71" s="163" t="s">
        <v>28</v>
      </c>
      <c r="H71" s="165" t="s">
        <v>52</v>
      </c>
      <c r="I71" s="158">
        <v>560.29</v>
      </c>
      <c r="J71" s="163">
        <v>110</v>
      </c>
      <c r="K71" s="163"/>
      <c r="L71" s="163">
        <v>440</v>
      </c>
      <c r="M71" s="163"/>
      <c r="N71" s="163">
        <v>2.7</v>
      </c>
      <c r="O71" s="163"/>
      <c r="P71" s="182">
        <v>15.45074150907247</v>
      </c>
      <c r="Q71" s="171">
        <f t="shared" si="13"/>
        <v>24.2</v>
      </c>
      <c r="R71" s="170">
        <v>5.1440000000000001</v>
      </c>
      <c r="S71" s="168">
        <v>5.9790000000000001</v>
      </c>
      <c r="T71" s="171">
        <v>26</v>
      </c>
      <c r="U71" s="171">
        <f t="shared" si="7"/>
        <v>5.0544323483670297</v>
      </c>
      <c r="V71" s="169">
        <f t="shared" si="8"/>
        <v>13.965546077939454</v>
      </c>
      <c r="W71" s="170">
        <v>1</v>
      </c>
      <c r="X71" s="171">
        <f t="shared" si="28"/>
        <v>0.24706611570247936</v>
      </c>
      <c r="Y71" s="171">
        <f t="shared" si="32"/>
        <v>4.8837136000000001</v>
      </c>
      <c r="Z71" s="171">
        <f t="shared" si="32"/>
        <v>5.6764625999999998</v>
      </c>
      <c r="AA71" s="171">
        <f t="shared" si="32"/>
        <v>24.6844</v>
      </c>
      <c r="AB71" s="171">
        <f t="shared" si="5"/>
        <v>5.0544323483670297</v>
      </c>
      <c r="AC71" s="171">
        <f t="shared" si="3"/>
        <v>13.965546077939454</v>
      </c>
      <c r="AD71" s="163">
        <v>30</v>
      </c>
      <c r="AE71" s="171">
        <f t="shared" si="31"/>
        <v>146.51140800000002</v>
      </c>
      <c r="AF71" s="179"/>
    </row>
    <row r="72" spans="1:32" ht="15.75" x14ac:dyDescent="0.2">
      <c r="A72" s="163">
        <v>59</v>
      </c>
      <c r="B72" s="164" t="s">
        <v>213</v>
      </c>
      <c r="C72" s="163" t="s">
        <v>46</v>
      </c>
      <c r="D72" s="165">
        <v>679.2</v>
      </c>
      <c r="E72" s="283" t="s">
        <v>225</v>
      </c>
      <c r="F72" s="163">
        <v>177.8</v>
      </c>
      <c r="G72" s="163" t="s">
        <v>28</v>
      </c>
      <c r="H72" s="165" t="s">
        <v>48</v>
      </c>
      <c r="I72" s="158">
        <v>559.19000000000005</v>
      </c>
      <c r="J72" s="163">
        <v>100</v>
      </c>
      <c r="K72" s="163"/>
      <c r="L72" s="163">
        <v>471</v>
      </c>
      <c r="M72" s="163"/>
      <c r="N72" s="163">
        <v>2</v>
      </c>
      <c r="O72" s="163"/>
      <c r="P72" s="182">
        <v>11.962970243553723</v>
      </c>
      <c r="Q72" s="171">
        <f t="shared" si="13"/>
        <v>13</v>
      </c>
      <c r="R72" s="170">
        <v>2.762</v>
      </c>
      <c r="S72" s="168">
        <v>4.093</v>
      </c>
      <c r="T72" s="171">
        <v>0</v>
      </c>
      <c r="U72" s="171">
        <f t="shared" si="7"/>
        <v>0</v>
      </c>
      <c r="V72" s="169">
        <f t="shared" si="8"/>
        <v>32.518934766674811</v>
      </c>
      <c r="W72" s="170">
        <v>5</v>
      </c>
      <c r="X72" s="171">
        <f t="shared" si="28"/>
        <v>0.31484615384615383</v>
      </c>
      <c r="Y72" s="171">
        <f t="shared" si="32"/>
        <v>2.6222428</v>
      </c>
      <c r="Z72" s="171">
        <f t="shared" si="32"/>
        <v>3.8858942000000001</v>
      </c>
      <c r="AA72" s="171">
        <f t="shared" si="32"/>
        <v>0</v>
      </c>
      <c r="AB72" s="171">
        <f t="shared" si="5"/>
        <v>0</v>
      </c>
      <c r="AC72" s="171">
        <f t="shared" si="3"/>
        <v>32.518934766674811</v>
      </c>
      <c r="AD72" s="163">
        <v>30</v>
      </c>
      <c r="AE72" s="171">
        <f t="shared" si="31"/>
        <v>78.667283999999995</v>
      </c>
      <c r="AF72" s="179"/>
    </row>
    <row r="73" spans="1:32" ht="15.75" x14ac:dyDescent="0.2">
      <c r="A73" s="163">
        <v>60</v>
      </c>
      <c r="B73" s="164" t="s">
        <v>172</v>
      </c>
      <c r="C73" s="163" t="s">
        <v>46</v>
      </c>
      <c r="D73" s="165">
        <v>673</v>
      </c>
      <c r="E73" s="163" t="s">
        <v>173</v>
      </c>
      <c r="F73" s="163">
        <v>177.8</v>
      </c>
      <c r="G73" s="163" t="s">
        <v>28</v>
      </c>
      <c r="H73" s="165" t="s">
        <v>50</v>
      </c>
      <c r="I73" s="158">
        <v>560.79</v>
      </c>
      <c r="J73" s="163">
        <v>150</v>
      </c>
      <c r="K73" s="163"/>
      <c r="L73" s="163">
        <v>361</v>
      </c>
      <c r="M73" s="163"/>
      <c r="N73" s="163">
        <v>7.2</v>
      </c>
      <c r="O73" s="163"/>
      <c r="P73" s="160">
        <v>28.330760062016807</v>
      </c>
      <c r="Q73" s="171">
        <f>LEFT(H73,(FIND("K",H73,1)-1))*J73/100</f>
        <v>9</v>
      </c>
      <c r="R73" s="170">
        <v>1.232</v>
      </c>
      <c r="S73" s="168">
        <v>3.1419999999999999</v>
      </c>
      <c r="T73" s="171">
        <v>0</v>
      </c>
      <c r="U73" s="171">
        <f t="shared" si="7"/>
        <v>0</v>
      </c>
      <c r="V73" s="169">
        <f t="shared" si="8"/>
        <v>60.789306174411209</v>
      </c>
      <c r="W73" s="170">
        <v>0.5</v>
      </c>
      <c r="X73" s="171">
        <f t="shared" si="28"/>
        <v>0.34911111111111109</v>
      </c>
      <c r="Y73" s="171">
        <f t="shared" si="32"/>
        <v>1.1696607999999999</v>
      </c>
      <c r="Z73" s="171">
        <f t="shared" si="32"/>
        <v>2.9830147999999999</v>
      </c>
      <c r="AA73" s="171">
        <f t="shared" si="32"/>
        <v>0</v>
      </c>
      <c r="AB73" s="171">
        <f t="shared" si="5"/>
        <v>0</v>
      </c>
      <c r="AC73" s="171">
        <f t="shared" si="3"/>
        <v>60.789306174411209</v>
      </c>
      <c r="AD73" s="163">
        <v>30</v>
      </c>
      <c r="AE73" s="171">
        <f>Y73*AD73</f>
        <v>35.089824</v>
      </c>
      <c r="AF73" s="179"/>
    </row>
    <row r="74" spans="1:32" ht="16.899999999999999" customHeight="1" x14ac:dyDescent="0.2">
      <c r="A74" s="184">
        <v>61</v>
      </c>
      <c r="B74" s="219" t="s">
        <v>171</v>
      </c>
      <c r="C74" s="163" t="s">
        <v>46</v>
      </c>
      <c r="D74" s="188">
        <v>646</v>
      </c>
      <c r="E74" s="188" t="s">
        <v>191</v>
      </c>
      <c r="F74" s="163">
        <v>177.8</v>
      </c>
      <c r="G74" s="163" t="s">
        <v>28</v>
      </c>
      <c r="H74" s="165" t="s">
        <v>48</v>
      </c>
      <c r="I74" s="158">
        <v>570.15</v>
      </c>
      <c r="J74" s="158">
        <v>100</v>
      </c>
      <c r="K74" s="158"/>
      <c r="L74" s="158">
        <v>225</v>
      </c>
      <c r="M74" s="158"/>
      <c r="N74" s="163">
        <v>4.9000000000000004</v>
      </c>
      <c r="O74" s="158"/>
      <c r="P74" s="284">
        <v>39.926223946016698</v>
      </c>
      <c r="Q74" s="174">
        <f>LEFT(H74,(FIND("K",H74,1)-1))*J74/100</f>
        <v>13</v>
      </c>
      <c r="R74" s="170">
        <v>0.21299999999999999</v>
      </c>
      <c r="S74" s="168">
        <v>0.78099999999999992</v>
      </c>
      <c r="T74" s="174">
        <v>0</v>
      </c>
      <c r="U74" s="171">
        <f t="shared" si="7"/>
        <v>0</v>
      </c>
      <c r="V74" s="169">
        <f t="shared" si="8"/>
        <v>72.727272727272734</v>
      </c>
      <c r="W74" s="170">
        <v>3</v>
      </c>
      <c r="X74" s="171">
        <f t="shared" si="28"/>
        <v>6.0076923076923069E-2</v>
      </c>
      <c r="Y74" s="171">
        <f t="shared" si="32"/>
        <v>0.20222219999999999</v>
      </c>
      <c r="Z74" s="171">
        <f t="shared" si="32"/>
        <v>0.74148139999999996</v>
      </c>
      <c r="AA74" s="171">
        <f t="shared" si="32"/>
        <v>0</v>
      </c>
      <c r="AB74" s="171">
        <f t="shared" si="5"/>
        <v>0</v>
      </c>
      <c r="AC74" s="171">
        <f t="shared" si="3"/>
        <v>72.727272727272734</v>
      </c>
      <c r="AD74" s="163">
        <v>30</v>
      </c>
      <c r="AE74" s="171">
        <f>Y74*AD74</f>
        <v>6.0666659999999997</v>
      </c>
      <c r="AF74" s="172"/>
    </row>
    <row r="75" spans="1:32" ht="15.75" x14ac:dyDescent="0.2">
      <c r="A75" s="305"/>
      <c r="B75" s="1834"/>
      <c r="C75" s="1834"/>
      <c r="D75" s="1834"/>
      <c r="E75" s="1835"/>
      <c r="F75" s="175"/>
      <c r="G75" s="163"/>
      <c r="H75" s="165"/>
      <c r="I75" s="171"/>
      <c r="J75" s="163"/>
      <c r="K75" s="175"/>
      <c r="L75" s="163"/>
      <c r="M75" s="175"/>
      <c r="N75" s="182"/>
      <c r="O75" s="175"/>
      <c r="P75" s="182"/>
      <c r="Q75" s="209"/>
      <c r="R75" s="209">
        <f>SUM(R14:R74)</f>
        <v>383.25400000000008</v>
      </c>
      <c r="S75" s="209">
        <f>SUM(S14:S74)</f>
        <v>591.54300000000001</v>
      </c>
      <c r="T75" s="209">
        <f>SUM(T14:T74)</f>
        <v>22619</v>
      </c>
      <c r="U75" s="209">
        <f>T75/R75</f>
        <v>59.018301178852653</v>
      </c>
      <c r="V75" s="209"/>
      <c r="W75" s="209"/>
      <c r="X75" s="209"/>
      <c r="Y75" s="209">
        <f>SUM(Y14:Y74)</f>
        <v>348.87188619999995</v>
      </c>
      <c r="Z75" s="209">
        <f>SUM(Z14:Z74)</f>
        <v>537.11126960000001</v>
      </c>
      <c r="AA75" s="209">
        <f>SUM(AA14:AA74)</f>
        <v>21647.091099999998</v>
      </c>
      <c r="AB75" s="209">
        <f>AA75/Y75</f>
        <v>62.04882639236294</v>
      </c>
      <c r="AC75" s="209"/>
      <c r="AD75" s="209"/>
      <c r="AE75" s="210">
        <f>SUM(AE14:AE74)</f>
        <v>10466.758505599999</v>
      </c>
      <c r="AF75" s="177"/>
    </row>
    <row r="76" spans="1:32" ht="15.75" x14ac:dyDescent="0.2">
      <c r="A76" s="305"/>
      <c r="B76" s="1836" t="s">
        <v>277</v>
      </c>
      <c r="C76" s="1837"/>
      <c r="D76" s="1837"/>
      <c r="E76" s="1837"/>
      <c r="F76" s="1838"/>
      <c r="G76" s="363"/>
      <c r="H76" s="362"/>
      <c r="I76" s="362"/>
      <c r="J76" s="158"/>
      <c r="K76" s="158"/>
      <c r="L76" s="158"/>
      <c r="M76" s="158"/>
      <c r="N76" s="158"/>
      <c r="O76" s="158"/>
      <c r="P76" s="160"/>
      <c r="Q76" s="174"/>
      <c r="R76" s="158"/>
      <c r="S76" s="174"/>
      <c r="T76" s="158"/>
      <c r="U76" s="368"/>
      <c r="V76" s="363"/>
      <c r="W76" s="363"/>
      <c r="X76" s="157"/>
      <c r="Y76" s="158"/>
      <c r="Z76" s="158"/>
      <c r="AA76" s="158"/>
      <c r="AB76" s="370"/>
      <c r="AC76" s="363"/>
      <c r="AD76" s="158"/>
      <c r="AE76" s="158"/>
      <c r="AF76" s="362"/>
    </row>
    <row r="77" spans="1:32" ht="20.45" customHeight="1" x14ac:dyDescent="0.2">
      <c r="A77" s="216">
        <v>62</v>
      </c>
      <c r="B77" s="163" t="s">
        <v>131</v>
      </c>
      <c r="C77" s="216" t="s">
        <v>177</v>
      </c>
      <c r="D77" s="165">
        <v>389.74</v>
      </c>
      <c r="E77" s="323" t="s">
        <v>136</v>
      </c>
      <c r="F77" s="163">
        <v>177.8</v>
      </c>
      <c r="G77" s="163" t="s">
        <v>28</v>
      </c>
      <c r="H77" s="165" t="s">
        <v>58</v>
      </c>
      <c r="I77" s="158">
        <v>142.80000000000001</v>
      </c>
      <c r="J77" s="163">
        <v>170</v>
      </c>
      <c r="K77" s="163"/>
      <c r="L77" s="163">
        <v>18</v>
      </c>
      <c r="M77" s="163"/>
      <c r="N77" s="163">
        <v>0.9</v>
      </c>
      <c r="O77" s="163"/>
      <c r="P77" s="182">
        <v>16.930084738322908</v>
      </c>
      <c r="Q77" s="174"/>
      <c r="R77" s="170">
        <v>1.0089999999999999</v>
      </c>
      <c r="S77" s="171">
        <v>1.2639999999999998</v>
      </c>
      <c r="T77" s="171">
        <v>0</v>
      </c>
      <c r="U77" s="171">
        <f>T77/R77</f>
        <v>0</v>
      </c>
      <c r="V77" s="169">
        <f t="shared" ref="V77:V81" si="33">(S77-R77)/S77*100</f>
        <v>20.174050632911385</v>
      </c>
      <c r="W77" s="170">
        <v>0.3</v>
      </c>
      <c r="X77" s="171"/>
      <c r="Y77" s="171">
        <f>R77*0.9494</f>
        <v>0.95794459999999992</v>
      </c>
      <c r="Z77" s="171">
        <f t="shared" ref="Z77:AA81" si="34">S77*0.9494</f>
        <v>1.2000415999999998</v>
      </c>
      <c r="AA77" s="171">
        <f t="shared" si="34"/>
        <v>0</v>
      </c>
      <c r="AB77" s="171">
        <f t="shared" ref="AB77:AC81" si="35">U77</f>
        <v>0</v>
      </c>
      <c r="AC77" s="171">
        <f t="shared" si="35"/>
        <v>20.174050632911385</v>
      </c>
      <c r="AD77" s="163">
        <v>30</v>
      </c>
      <c r="AE77" s="171">
        <f>Y77*AD77</f>
        <v>28.738337999999999</v>
      </c>
      <c r="AF77" s="179"/>
    </row>
    <row r="78" spans="1:32" ht="18.600000000000001" customHeight="1" x14ac:dyDescent="0.2">
      <c r="A78" s="216">
        <v>63</v>
      </c>
      <c r="B78" s="163" t="s">
        <v>132</v>
      </c>
      <c r="C78" s="216" t="s">
        <v>177</v>
      </c>
      <c r="D78" s="163">
        <v>387.72</v>
      </c>
      <c r="E78" s="323" t="s">
        <v>135</v>
      </c>
      <c r="F78" s="163">
        <v>177.8</v>
      </c>
      <c r="G78" s="163" t="s">
        <v>28</v>
      </c>
      <c r="H78" s="165" t="s">
        <v>58</v>
      </c>
      <c r="I78" s="158">
        <v>136.03</v>
      </c>
      <c r="J78" s="163">
        <v>95</v>
      </c>
      <c r="K78" s="163"/>
      <c r="L78" s="163">
        <v>25</v>
      </c>
      <c r="M78" s="163"/>
      <c r="N78" s="163">
        <v>0.9</v>
      </c>
      <c r="O78" s="163"/>
      <c r="P78" s="182">
        <v>14.937521381878776</v>
      </c>
      <c r="Q78" s="171"/>
      <c r="R78" s="170">
        <v>0.9</v>
      </c>
      <c r="S78" s="171">
        <v>1.165</v>
      </c>
      <c r="T78" s="171">
        <v>0</v>
      </c>
      <c r="U78" s="171">
        <v>0</v>
      </c>
      <c r="V78" s="169">
        <f t="shared" si="33"/>
        <v>22.746781115879831</v>
      </c>
      <c r="W78" s="170">
        <v>0.5</v>
      </c>
      <c r="X78" s="171"/>
      <c r="Y78" s="171">
        <f t="shared" ref="Y78:Y81" si="36">R78*0.9494</f>
        <v>0.85446</v>
      </c>
      <c r="Z78" s="171">
        <f t="shared" si="34"/>
        <v>1.1060510000000001</v>
      </c>
      <c r="AA78" s="171">
        <f t="shared" si="34"/>
        <v>0</v>
      </c>
      <c r="AB78" s="171">
        <v>0</v>
      </c>
      <c r="AC78" s="171">
        <f>V78</f>
        <v>22.746781115879831</v>
      </c>
      <c r="AD78" s="163">
        <v>30</v>
      </c>
      <c r="AE78" s="171">
        <f>Y78*AD78</f>
        <v>25.633800000000001</v>
      </c>
      <c r="AF78" s="190"/>
    </row>
    <row r="79" spans="1:32" ht="15.75" x14ac:dyDescent="0.2">
      <c r="A79" s="285">
        <v>64</v>
      </c>
      <c r="B79" s="163" t="s">
        <v>121</v>
      </c>
      <c r="C79" s="216" t="s">
        <v>177</v>
      </c>
      <c r="D79" s="163">
        <v>389.57</v>
      </c>
      <c r="E79" s="163" t="s">
        <v>137</v>
      </c>
      <c r="F79" s="163">
        <v>177.8</v>
      </c>
      <c r="G79" s="163" t="s">
        <v>28</v>
      </c>
      <c r="H79" s="165" t="s">
        <v>58</v>
      </c>
      <c r="I79" s="158">
        <v>120.43</v>
      </c>
      <c r="J79" s="163">
        <v>0</v>
      </c>
      <c r="K79" s="163"/>
      <c r="L79" s="163"/>
      <c r="M79" s="163"/>
      <c r="N79" s="163"/>
      <c r="O79" s="163"/>
      <c r="P79" s="182"/>
      <c r="Q79" s="171"/>
      <c r="R79" s="170"/>
      <c r="S79" s="171"/>
      <c r="T79" s="171"/>
      <c r="U79" s="171"/>
      <c r="V79" s="169"/>
      <c r="W79" s="170"/>
      <c r="X79" s="171"/>
      <c r="Y79" s="171">
        <v>0</v>
      </c>
      <c r="Z79" s="171">
        <v>0</v>
      </c>
      <c r="AA79" s="171">
        <f t="shared" si="34"/>
        <v>0</v>
      </c>
      <c r="AB79" s="171">
        <v>0</v>
      </c>
      <c r="AC79" s="171">
        <f>V79</f>
        <v>0</v>
      </c>
      <c r="AD79" s="163">
        <v>0</v>
      </c>
      <c r="AE79" s="171">
        <f>Y79*AD79</f>
        <v>0</v>
      </c>
      <c r="AF79" s="172"/>
    </row>
    <row r="80" spans="1:32" ht="15.75" x14ac:dyDescent="0.2">
      <c r="A80" s="163">
        <v>65</v>
      </c>
      <c r="B80" s="164" t="s">
        <v>122</v>
      </c>
      <c r="C80" s="216" t="s">
        <v>177</v>
      </c>
      <c r="D80" s="163">
        <v>391.06</v>
      </c>
      <c r="E80" s="163" t="s">
        <v>138</v>
      </c>
      <c r="F80" s="163">
        <v>177.8</v>
      </c>
      <c r="G80" s="163" t="s">
        <v>28</v>
      </c>
      <c r="H80" s="165" t="s">
        <v>58</v>
      </c>
      <c r="I80" s="171">
        <v>151.72999999999999</v>
      </c>
      <c r="J80" s="163">
        <v>120</v>
      </c>
      <c r="K80" s="175"/>
      <c r="L80" s="163">
        <v>34</v>
      </c>
      <c r="M80" s="175"/>
      <c r="N80" s="163">
        <v>0.9</v>
      </c>
      <c r="O80" s="175"/>
      <c r="P80" s="182">
        <v>15.299222828843774</v>
      </c>
      <c r="Q80" s="171"/>
      <c r="R80" s="170">
        <v>1.385</v>
      </c>
      <c r="S80" s="171">
        <v>1.573</v>
      </c>
      <c r="T80" s="171">
        <v>0</v>
      </c>
      <c r="U80" s="171">
        <f>T80/R80</f>
        <v>0</v>
      </c>
      <c r="V80" s="169">
        <f t="shared" si="33"/>
        <v>11.951684678957402</v>
      </c>
      <c r="W80" s="171">
        <v>1</v>
      </c>
      <c r="X80" s="171"/>
      <c r="Y80" s="171">
        <f t="shared" si="36"/>
        <v>1.3149189999999999</v>
      </c>
      <c r="Z80" s="171">
        <f t="shared" si="34"/>
        <v>1.4934061999999999</v>
      </c>
      <c r="AA80" s="171">
        <f t="shared" si="34"/>
        <v>0</v>
      </c>
      <c r="AB80" s="171">
        <f t="shared" si="35"/>
        <v>0</v>
      </c>
      <c r="AC80" s="171">
        <f t="shared" si="35"/>
        <v>11.951684678957402</v>
      </c>
      <c r="AD80" s="163">
        <v>30</v>
      </c>
      <c r="AE80" s="171">
        <f>Y80*AD80</f>
        <v>39.447569999999999</v>
      </c>
      <c r="AF80" s="177"/>
    </row>
    <row r="81" spans="1:32" ht="15.75" x14ac:dyDescent="0.2">
      <c r="A81" s="163">
        <v>66</v>
      </c>
      <c r="B81" s="215" t="s">
        <v>57</v>
      </c>
      <c r="C81" s="215" t="s">
        <v>176</v>
      </c>
      <c r="D81" s="163">
        <v>681.52</v>
      </c>
      <c r="E81" s="164" t="s">
        <v>93</v>
      </c>
      <c r="F81" s="163">
        <v>177.8</v>
      </c>
      <c r="G81" s="163" t="s">
        <v>28</v>
      </c>
      <c r="H81" s="165" t="s">
        <v>58</v>
      </c>
      <c r="I81" s="171">
        <v>157.88</v>
      </c>
      <c r="J81" s="163">
        <v>105</v>
      </c>
      <c r="K81" s="175"/>
      <c r="L81" s="163">
        <v>92</v>
      </c>
      <c r="M81" s="175"/>
      <c r="N81" s="163">
        <v>0</v>
      </c>
      <c r="O81" s="175"/>
      <c r="P81" s="372">
        <v>7.41</v>
      </c>
      <c r="Q81" s="171"/>
      <c r="R81" s="170">
        <v>1.99</v>
      </c>
      <c r="S81" s="171">
        <v>2</v>
      </c>
      <c r="T81" s="171">
        <v>0</v>
      </c>
      <c r="U81" s="171">
        <f>T81/R81</f>
        <v>0</v>
      </c>
      <c r="V81" s="169">
        <f t="shared" si="33"/>
        <v>0.50000000000000044</v>
      </c>
      <c r="W81" s="171">
        <v>0.3</v>
      </c>
      <c r="X81" s="171"/>
      <c r="Y81" s="171">
        <f t="shared" si="36"/>
        <v>1.8893059999999999</v>
      </c>
      <c r="Z81" s="171">
        <f t="shared" si="34"/>
        <v>1.8988</v>
      </c>
      <c r="AA81" s="171">
        <f t="shared" si="34"/>
        <v>0</v>
      </c>
      <c r="AB81" s="171">
        <f t="shared" si="35"/>
        <v>0</v>
      </c>
      <c r="AC81" s="171">
        <f t="shared" si="35"/>
        <v>0.50000000000000044</v>
      </c>
      <c r="AD81" s="163">
        <v>30</v>
      </c>
      <c r="AE81" s="171">
        <f>Y81*AD81</f>
        <v>56.679179999999995</v>
      </c>
      <c r="AF81" s="172" t="s">
        <v>293</v>
      </c>
    </row>
    <row r="82" spans="1:32" ht="15.75" x14ac:dyDescent="0.2">
      <c r="A82" s="163">
        <v>67</v>
      </c>
      <c r="B82" s="215" t="s">
        <v>188</v>
      </c>
      <c r="C82" s="215" t="s">
        <v>183</v>
      </c>
      <c r="D82" s="163">
        <v>376.58</v>
      </c>
      <c r="E82" s="164" t="s">
        <v>235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x14ac:dyDescent="0.2">
      <c r="A83" s="163">
        <v>68</v>
      </c>
      <c r="B83" s="215" t="s">
        <v>184</v>
      </c>
      <c r="C83" s="215" t="s">
        <v>176</v>
      </c>
      <c r="D83" s="163">
        <v>422.78</v>
      </c>
      <c r="E83" s="164" t="s">
        <v>185</v>
      </c>
      <c r="F83" s="163">
        <v>177.8</v>
      </c>
      <c r="G83" s="163" t="s">
        <v>28</v>
      </c>
      <c r="H83" s="165" t="s">
        <v>58</v>
      </c>
      <c r="I83" s="171">
        <v>223.87</v>
      </c>
      <c r="J83" s="163">
        <v>65</v>
      </c>
      <c r="K83" s="175"/>
      <c r="L83" s="163">
        <v>190</v>
      </c>
      <c r="M83" s="175"/>
      <c r="N83" s="163">
        <v>0</v>
      </c>
      <c r="O83" s="175"/>
      <c r="P83" s="182">
        <v>4.03</v>
      </c>
      <c r="Q83" s="171"/>
      <c r="R83" s="170">
        <v>9.6000000000000002E-2</v>
      </c>
      <c r="S83" s="171">
        <v>0.1</v>
      </c>
      <c r="T83" s="171">
        <v>0</v>
      </c>
      <c r="U83" s="171">
        <f t="shared" ref="U83" si="37">T83/R83</f>
        <v>0</v>
      </c>
      <c r="V83" s="169">
        <f t="shared" ref="V83" si="38">(S83-R83)/S83*100</f>
        <v>4.0000000000000036</v>
      </c>
      <c r="W83" s="171">
        <v>0.6</v>
      </c>
      <c r="X83" s="171"/>
      <c r="Y83" s="171">
        <f t="shared" ref="Y83" si="39">R83*0.9494</f>
        <v>9.1142399999999998E-2</v>
      </c>
      <c r="Z83" s="171">
        <f t="shared" ref="Z83" si="40">S83*0.9494</f>
        <v>9.494000000000001E-2</v>
      </c>
      <c r="AA83" s="171">
        <f t="shared" ref="AA83" si="41">T83*0.9494</f>
        <v>0</v>
      </c>
      <c r="AB83" s="171">
        <f t="shared" ref="AB83" si="42">U83</f>
        <v>0</v>
      </c>
      <c r="AC83" s="171">
        <f t="shared" ref="AC83" si="43">V83</f>
        <v>4.0000000000000036</v>
      </c>
      <c r="AD83" s="163">
        <v>30</v>
      </c>
      <c r="AE83" s="171">
        <f t="shared" ref="AE83" si="44">Y83*AD83</f>
        <v>2.7342719999999998</v>
      </c>
      <c r="AF83" s="172" t="s">
        <v>293</v>
      </c>
    </row>
    <row r="84" spans="1:32" ht="15.75" x14ac:dyDescent="0.2">
      <c r="A84" s="163">
        <v>69</v>
      </c>
      <c r="B84" s="215" t="s">
        <v>186</v>
      </c>
      <c r="C84" s="215" t="s">
        <v>176</v>
      </c>
      <c r="D84" s="163">
        <v>387.56</v>
      </c>
      <c r="E84" s="164"/>
      <c r="F84" s="163">
        <v>177.8</v>
      </c>
      <c r="G84" s="163"/>
      <c r="H84" s="165"/>
      <c r="I84" s="171"/>
      <c r="J84" s="163"/>
      <c r="K84" s="175"/>
      <c r="L84" s="163"/>
      <c r="M84" s="175"/>
      <c r="N84" s="163"/>
      <c r="O84" s="175"/>
      <c r="P84" s="182"/>
      <c r="Q84" s="171"/>
      <c r="R84" s="170"/>
      <c r="S84" s="171"/>
      <c r="T84" s="171"/>
      <c r="U84" s="171"/>
      <c r="V84" s="169"/>
      <c r="W84" s="171"/>
      <c r="X84" s="171"/>
      <c r="Y84" s="171"/>
      <c r="Z84" s="171"/>
      <c r="AA84" s="171"/>
      <c r="AB84" s="171"/>
      <c r="AC84" s="171"/>
      <c r="AD84" s="163"/>
      <c r="AE84" s="171"/>
      <c r="AF84" s="172" t="s">
        <v>283</v>
      </c>
    </row>
    <row r="85" spans="1:32" ht="15.75" x14ac:dyDescent="0.2">
      <c r="A85" s="306"/>
      <c r="B85" s="1834"/>
      <c r="C85" s="1834"/>
      <c r="D85" s="1834"/>
      <c r="E85" s="1835"/>
      <c r="F85" s="158"/>
      <c r="G85" s="363"/>
      <c r="H85" s="362"/>
      <c r="I85" s="362"/>
      <c r="J85" s="158"/>
      <c r="K85" s="158"/>
      <c r="L85" s="158"/>
      <c r="M85" s="158"/>
      <c r="N85" s="158"/>
      <c r="O85" s="158"/>
      <c r="P85" s="160"/>
      <c r="Q85" s="174"/>
      <c r="R85" s="209">
        <f>SUM(R77:R81)</f>
        <v>5.2839999999999998</v>
      </c>
      <c r="S85" s="209">
        <f>SUM(S77:S81)</f>
        <v>6.0019999999999998</v>
      </c>
      <c r="T85" s="209">
        <f>SUM(T77:T81)</f>
        <v>0</v>
      </c>
      <c r="U85" s="209">
        <f>SUM(U77:U80)</f>
        <v>0</v>
      </c>
      <c r="V85" s="363"/>
      <c r="W85" s="363"/>
      <c r="X85" s="363"/>
      <c r="Y85" s="209">
        <f>SUM(Y77:Y80)</f>
        <v>3.1273235999999995</v>
      </c>
      <c r="Z85" s="209">
        <f>SUM(Z77:Z80)</f>
        <v>3.7994987999999998</v>
      </c>
      <c r="AA85" s="209">
        <f>SUM(AA77:AA81)</f>
        <v>0</v>
      </c>
      <c r="AB85" s="209">
        <v>0</v>
      </c>
      <c r="AC85" s="363"/>
      <c r="AD85" s="158"/>
      <c r="AE85" s="209">
        <f>SUM(AE77:AE80)</f>
        <v>93.819707999999991</v>
      </c>
      <c r="AF85" s="218"/>
    </row>
    <row r="86" spans="1:32" ht="15.75" x14ac:dyDescent="0.2">
      <c r="A86" s="306"/>
      <c r="B86" s="1834"/>
      <c r="C86" s="1834"/>
      <c r="D86" s="1834"/>
      <c r="E86" s="1835"/>
      <c r="F86" s="175"/>
      <c r="G86" s="163"/>
      <c r="H86" s="165"/>
      <c r="I86" s="171"/>
      <c r="J86" s="163"/>
      <c r="K86" s="175"/>
      <c r="L86" s="163"/>
      <c r="M86" s="175"/>
      <c r="N86" s="182"/>
      <c r="O86" s="175"/>
      <c r="P86" s="224"/>
      <c r="Q86" s="209"/>
      <c r="R86" s="209"/>
      <c r="S86" s="209"/>
      <c r="T86" s="209"/>
      <c r="U86" s="209"/>
      <c r="V86" s="209"/>
      <c r="W86" s="209"/>
      <c r="X86" s="209"/>
      <c r="Y86" s="209"/>
      <c r="Z86" s="225"/>
      <c r="AA86" s="209"/>
      <c r="AB86" s="209"/>
      <c r="AC86" s="209"/>
      <c r="AD86" s="209"/>
      <c r="AE86" s="209"/>
      <c r="AF86" s="177"/>
    </row>
    <row r="87" spans="1:32" ht="15.75" x14ac:dyDescent="0.2">
      <c r="A87" s="306"/>
      <c r="B87" s="1843" t="s">
        <v>276</v>
      </c>
      <c r="C87" s="1839"/>
      <c r="D87" s="1839"/>
      <c r="E87" s="1839"/>
      <c r="F87" s="1839"/>
      <c r="G87" s="363"/>
      <c r="H87" s="362"/>
      <c r="I87" s="362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368"/>
      <c r="V87" s="363"/>
      <c r="W87" s="363"/>
      <c r="X87" s="363"/>
      <c r="Y87" s="158"/>
      <c r="Z87" s="158"/>
      <c r="AA87" s="158"/>
      <c r="AB87" s="370"/>
      <c r="AC87" s="363"/>
      <c r="AD87" s="158"/>
      <c r="AE87" s="158"/>
      <c r="AF87" s="362"/>
    </row>
    <row r="88" spans="1:32" ht="15.75" x14ac:dyDescent="0.2">
      <c r="A88" s="163">
        <v>70</v>
      </c>
      <c r="B88" s="226" t="s">
        <v>107</v>
      </c>
      <c r="C88" s="188" t="s">
        <v>109</v>
      </c>
      <c r="D88" s="369"/>
      <c r="E88" s="369"/>
      <c r="F88" s="158"/>
      <c r="G88" s="363"/>
      <c r="H88" s="362"/>
      <c r="I88" s="36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68"/>
      <c r="V88" s="363"/>
      <c r="W88" s="363"/>
      <c r="X88" s="363"/>
      <c r="Y88" s="362"/>
      <c r="Z88" s="362"/>
      <c r="AA88" s="158"/>
      <c r="AB88" s="370"/>
      <c r="AC88" s="363"/>
      <c r="AD88" s="228"/>
      <c r="AE88" s="158"/>
      <c r="AF88" s="229"/>
    </row>
    <row r="89" spans="1:32" ht="15.75" x14ac:dyDescent="0.2">
      <c r="A89" s="163">
        <v>71</v>
      </c>
      <c r="B89" s="226" t="s">
        <v>108</v>
      </c>
      <c r="C89" s="188" t="s">
        <v>109</v>
      </c>
      <c r="D89" s="369"/>
      <c r="E89" s="369"/>
      <c r="F89" s="158"/>
      <c r="G89" s="363"/>
      <c r="H89" s="362"/>
      <c r="I89" s="36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68"/>
      <c r="V89" s="363"/>
      <c r="W89" s="363"/>
      <c r="X89" s="363"/>
      <c r="Y89" s="362"/>
      <c r="Z89" s="362"/>
      <c r="AA89" s="158"/>
      <c r="AB89" s="370"/>
      <c r="AC89" s="363"/>
      <c r="AD89" s="228"/>
      <c r="AE89" s="158"/>
      <c r="AF89" s="229"/>
    </row>
    <row r="90" spans="1:32" ht="15.75" x14ac:dyDescent="0.2">
      <c r="A90" s="163">
        <v>72</v>
      </c>
      <c r="B90" s="226" t="s">
        <v>195</v>
      </c>
      <c r="C90" s="216" t="s">
        <v>193</v>
      </c>
      <c r="D90" s="369"/>
      <c r="E90" s="369"/>
      <c r="F90" s="158"/>
      <c r="G90" s="363"/>
      <c r="H90" s="362"/>
      <c r="I90" s="36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68"/>
      <c r="V90" s="363"/>
      <c r="W90" s="363"/>
      <c r="X90" s="363"/>
      <c r="Y90" s="362"/>
      <c r="Z90" s="362"/>
      <c r="AA90" s="158"/>
      <c r="AB90" s="370"/>
      <c r="AC90" s="363"/>
      <c r="AD90" s="228"/>
      <c r="AE90" s="158"/>
      <c r="AF90" s="229"/>
    </row>
    <row r="91" spans="1:32" ht="15.75" x14ac:dyDescent="0.2">
      <c r="A91" s="163">
        <v>73</v>
      </c>
      <c r="B91" s="226" t="s">
        <v>192</v>
      </c>
      <c r="C91" s="216" t="s">
        <v>193</v>
      </c>
      <c r="D91" s="369"/>
      <c r="E91" s="369"/>
      <c r="F91" s="158"/>
      <c r="G91" s="363"/>
      <c r="H91" s="362"/>
      <c r="I91" s="362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68"/>
      <c r="V91" s="363"/>
      <c r="W91" s="363"/>
      <c r="X91" s="363"/>
      <c r="Y91" s="362"/>
      <c r="Z91" s="362"/>
      <c r="AA91" s="158"/>
      <c r="AB91" s="370"/>
      <c r="AC91" s="363"/>
      <c r="AD91" s="228"/>
      <c r="AE91" s="158"/>
      <c r="AF91" s="229"/>
    </row>
    <row r="92" spans="1:32" ht="15.75" x14ac:dyDescent="0.2">
      <c r="A92" s="163"/>
      <c r="B92" s="1843" t="s">
        <v>278</v>
      </c>
      <c r="C92" s="1839"/>
      <c r="D92" s="1839"/>
      <c r="E92" s="1839"/>
      <c r="F92" s="1839"/>
      <c r="G92" s="363"/>
      <c r="H92" s="362"/>
      <c r="I92" s="362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68"/>
      <c r="V92" s="363"/>
      <c r="W92" s="363"/>
      <c r="X92" s="363"/>
      <c r="Y92" s="158"/>
      <c r="Z92" s="158"/>
      <c r="AA92" s="158"/>
      <c r="AB92" s="370"/>
      <c r="AC92" s="363"/>
      <c r="AD92" s="158"/>
      <c r="AE92" s="158"/>
      <c r="AF92" s="362"/>
    </row>
    <row r="93" spans="1:32" ht="15.75" x14ac:dyDescent="0.2">
      <c r="A93" s="163">
        <v>74</v>
      </c>
      <c r="B93" s="207" t="s">
        <v>189</v>
      </c>
      <c r="C93" s="163" t="s">
        <v>46</v>
      </c>
      <c r="D93" s="189">
        <v>673</v>
      </c>
      <c r="E93" s="189" t="s">
        <v>190</v>
      </c>
      <c r="F93" s="163">
        <v>177.8</v>
      </c>
      <c r="G93" s="163"/>
      <c r="H93" s="165"/>
      <c r="I93" s="158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68"/>
      <c r="V93" s="363"/>
      <c r="W93" s="363"/>
      <c r="X93" s="363"/>
      <c r="Y93" s="230"/>
      <c r="Z93" s="231"/>
      <c r="AA93" s="362"/>
      <c r="AB93" s="370"/>
      <c r="AC93" s="158"/>
      <c r="AD93" s="163"/>
      <c r="AE93" s="171"/>
      <c r="AF93" s="179"/>
    </row>
    <row r="94" spans="1:32" ht="15.75" x14ac:dyDescent="0.25">
      <c r="A94" s="163">
        <v>75</v>
      </c>
      <c r="B94" s="164" t="s">
        <v>181</v>
      </c>
      <c r="C94" s="232" t="s">
        <v>183</v>
      </c>
      <c r="D94" s="165">
        <v>374.5</v>
      </c>
      <c r="E94" s="163" t="s">
        <v>182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163">
        <v>76</v>
      </c>
      <c r="B95" s="164" t="s">
        <v>174</v>
      </c>
      <c r="C95" s="163" t="s">
        <v>46</v>
      </c>
      <c r="D95" s="165">
        <v>672</v>
      </c>
      <c r="E95" s="163" t="s">
        <v>175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82"/>
      <c r="Q95" s="171"/>
      <c r="R95" s="170"/>
      <c r="S95" s="171"/>
      <c r="T95" s="171"/>
      <c r="U95" s="171"/>
      <c r="V95" s="170"/>
      <c r="W95" s="170"/>
      <c r="X95" s="171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77</v>
      </c>
      <c r="B96" s="204" t="s">
        <v>103</v>
      </c>
      <c r="C96" s="163" t="s">
        <v>46</v>
      </c>
      <c r="D96" s="158">
        <v>582</v>
      </c>
      <c r="E96" s="158" t="s">
        <v>112</v>
      </c>
      <c r="F96" s="163">
        <v>177.8</v>
      </c>
      <c r="G96" s="163"/>
      <c r="H96" s="165"/>
      <c r="I96" s="158"/>
      <c r="J96" s="158"/>
      <c r="K96" s="159"/>
      <c r="L96" s="158"/>
      <c r="M96" s="159"/>
      <c r="N96" s="158"/>
      <c r="O96" s="158"/>
      <c r="P96" s="160"/>
      <c r="Q96" s="174"/>
      <c r="R96" s="158"/>
      <c r="S96" s="158"/>
      <c r="T96" s="158"/>
      <c r="U96" s="368"/>
      <c r="V96" s="363"/>
      <c r="W96" s="363"/>
      <c r="X96" s="157"/>
      <c r="Y96" s="234"/>
      <c r="Z96" s="158"/>
      <c r="AA96" s="158"/>
      <c r="AB96" s="368"/>
      <c r="AC96" s="158"/>
      <c r="AD96" s="235"/>
      <c r="AE96" s="174"/>
      <c r="AF96" s="179"/>
    </row>
    <row r="97" spans="1:32" ht="15.75" x14ac:dyDescent="0.2">
      <c r="A97" s="163"/>
      <c r="B97" s="1843" t="s">
        <v>279</v>
      </c>
      <c r="C97" s="1839"/>
      <c r="D97" s="1839"/>
      <c r="E97" s="1839"/>
      <c r="F97" s="1839"/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x14ac:dyDescent="0.2">
      <c r="A98" s="163">
        <v>78</v>
      </c>
      <c r="B98" s="164" t="s">
        <v>148</v>
      </c>
      <c r="C98" s="163" t="s">
        <v>46</v>
      </c>
      <c r="D98" s="163">
        <v>650</v>
      </c>
      <c r="E98" s="163" t="s">
        <v>75</v>
      </c>
      <c r="F98" s="163">
        <v>177.8</v>
      </c>
      <c r="G98" s="163"/>
      <c r="H98" s="165"/>
      <c r="I98" s="159">
        <v>536.14</v>
      </c>
      <c r="J98" s="163"/>
      <c r="K98" s="163"/>
      <c r="L98" s="163"/>
      <c r="M98" s="163"/>
      <c r="N98" s="182"/>
      <c r="O98" s="163"/>
      <c r="P98" s="182"/>
      <c r="Q98" s="171"/>
      <c r="R98" s="170"/>
      <c r="S98" s="171"/>
      <c r="T98" s="171"/>
      <c r="U98" s="171"/>
      <c r="V98" s="170"/>
      <c r="W98" s="170"/>
      <c r="X98" s="171"/>
      <c r="Y98" s="171"/>
      <c r="Z98" s="171"/>
      <c r="AA98" s="171"/>
      <c r="AB98" s="171"/>
      <c r="AC98" s="171"/>
      <c r="AD98" s="163"/>
      <c r="AE98" s="171"/>
      <c r="AF98" s="179"/>
    </row>
    <row r="99" spans="1:32" ht="15.75" x14ac:dyDescent="0.2">
      <c r="A99" s="163">
        <v>79</v>
      </c>
      <c r="B99" s="164" t="s">
        <v>155</v>
      </c>
      <c r="C99" s="163" t="s">
        <v>46</v>
      </c>
      <c r="D99" s="163">
        <v>674.13</v>
      </c>
      <c r="E99" s="163" t="s">
        <v>83</v>
      </c>
      <c r="F99" s="163">
        <v>177.8</v>
      </c>
      <c r="G99" s="163"/>
      <c r="H99" s="165"/>
      <c r="I99" s="158">
        <v>527.75</v>
      </c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80</v>
      </c>
      <c r="B100" s="164" t="s">
        <v>56</v>
      </c>
      <c r="C100" s="163" t="s">
        <v>46</v>
      </c>
      <c r="D100" s="165">
        <v>680.52</v>
      </c>
      <c r="E100" s="163" t="s">
        <v>92</v>
      </c>
      <c r="F100" s="163">
        <v>177.8</v>
      </c>
      <c r="G100" s="163"/>
      <c r="H100" s="165"/>
      <c r="I100" s="158">
        <v>555.95000000000005</v>
      </c>
      <c r="J100" s="163"/>
      <c r="K100" s="163"/>
      <c r="L100" s="163"/>
      <c r="M100" s="163"/>
      <c r="N100" s="182"/>
      <c r="O100" s="163"/>
      <c r="P100" s="170"/>
      <c r="Q100" s="171"/>
      <c r="R100" s="170"/>
      <c r="S100" s="171"/>
      <c r="T100" s="171"/>
      <c r="U100" s="171"/>
      <c r="V100" s="170"/>
      <c r="W100" s="170"/>
      <c r="X100" s="233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" x14ac:dyDescent="0.2">
      <c r="A101" s="305"/>
      <c r="B101" s="237"/>
      <c r="C101" s="237"/>
      <c r="D101" s="238"/>
      <c r="E101" s="239"/>
      <c r="F101" s="240"/>
      <c r="G101" s="240"/>
      <c r="H101" s="241"/>
      <c r="I101" s="242"/>
      <c r="J101" s="240"/>
      <c r="K101" s="240"/>
      <c r="L101" s="240"/>
      <c r="M101" s="240"/>
      <c r="N101" s="243"/>
      <c r="O101" s="240"/>
      <c r="P101" s="244"/>
      <c r="Q101" s="245"/>
      <c r="R101" s="244"/>
      <c r="S101" s="245"/>
      <c r="T101" s="245"/>
      <c r="U101" s="245"/>
      <c r="V101" s="244"/>
      <c r="W101" s="244"/>
      <c r="X101" s="246"/>
      <c r="Y101" s="245"/>
      <c r="Z101" s="245"/>
      <c r="AA101" s="245"/>
      <c r="AB101" s="245"/>
      <c r="AC101" s="245"/>
      <c r="AD101" s="240"/>
      <c r="AE101" s="245"/>
      <c r="AF101" s="247"/>
    </row>
    <row r="102" spans="1:32" ht="15" x14ac:dyDescent="0.2">
      <c r="A102" s="305"/>
      <c r="B102" s="1844"/>
      <c r="C102" s="1844"/>
      <c r="D102" s="1844"/>
      <c r="E102" s="1845"/>
      <c r="F102" s="248"/>
      <c r="G102" s="240"/>
      <c r="H102" s="241"/>
      <c r="I102" s="245"/>
      <c r="J102" s="240"/>
      <c r="K102" s="248"/>
      <c r="L102" s="240"/>
      <c r="M102" s="248"/>
      <c r="N102" s="243"/>
      <c r="O102" s="248"/>
      <c r="P102" s="249"/>
      <c r="Q102" s="250"/>
      <c r="R102" s="250">
        <f>R75+R85</f>
        <v>388.53800000000007</v>
      </c>
      <c r="S102" s="250">
        <f>S75+S85</f>
        <v>597.54499999999996</v>
      </c>
      <c r="T102" s="250">
        <f>T75+T85</f>
        <v>22619</v>
      </c>
      <c r="U102" s="250">
        <f>T102/R102</f>
        <v>58.215670024553575</v>
      </c>
      <c r="V102" s="250"/>
      <c r="W102" s="250"/>
      <c r="X102" s="250"/>
      <c r="Y102" s="250">
        <f>Y75+Y85+Y86</f>
        <v>351.99920979999996</v>
      </c>
      <c r="Z102" s="250">
        <f>Z75+Z85+Z86</f>
        <v>540.91076840000005</v>
      </c>
      <c r="AA102" s="250">
        <f>AA75+AA85</f>
        <v>21647.091099999998</v>
      </c>
      <c r="AB102" s="250">
        <f>AA102/Y102</f>
        <v>61.49755595275203</v>
      </c>
      <c r="AC102" s="250"/>
      <c r="AD102" s="250"/>
      <c r="AE102" s="251">
        <f>AE75+AE85+AE86</f>
        <v>10560.578213599998</v>
      </c>
      <c r="AF102" s="252"/>
    </row>
    <row r="103" spans="1:32" ht="15" x14ac:dyDescent="0.2">
      <c r="A103" s="304"/>
      <c r="B103" s="253"/>
      <c r="C103" s="253"/>
      <c r="D103" s="253"/>
      <c r="E103" s="253"/>
      <c r="F103" s="254"/>
      <c r="G103" s="255"/>
      <c r="H103" s="256"/>
      <c r="I103" s="256"/>
      <c r="J103" s="254"/>
      <c r="K103" s="254"/>
      <c r="L103" s="254"/>
      <c r="M103" s="254"/>
      <c r="N103" s="254"/>
      <c r="O103" s="254"/>
      <c r="P103" s="257"/>
      <c r="Q103" s="258"/>
      <c r="R103" s="254"/>
      <c r="S103" s="254"/>
      <c r="T103" s="254"/>
      <c r="U103" s="259"/>
      <c r="V103" s="255"/>
      <c r="W103" s="255"/>
      <c r="X103" s="255"/>
      <c r="Y103" s="254"/>
      <c r="Z103" s="254"/>
      <c r="AA103" s="254"/>
      <c r="AB103" s="260"/>
      <c r="AC103" s="255"/>
      <c r="AD103" s="254"/>
      <c r="AE103" s="254"/>
      <c r="AF103" s="256"/>
    </row>
    <row r="104" spans="1:32" ht="15" x14ac:dyDescent="0.2">
      <c r="A104" s="304"/>
      <c r="B104" s="289"/>
      <c r="C104" s="191"/>
      <c r="D104" s="289"/>
      <c r="E104" s="268">
        <v>0.95</v>
      </c>
      <c r="F104" s="289"/>
      <c r="G104" s="289" t="s">
        <v>102</v>
      </c>
      <c r="H104" s="290"/>
      <c r="I104" s="262"/>
      <c r="J104" s="289"/>
      <c r="K104" s="1883">
        <f>AE102*E104</f>
        <v>10032.549302919997</v>
      </c>
      <c r="L104" s="1884"/>
      <c r="M104" s="1885"/>
      <c r="N104" s="191" t="s">
        <v>27</v>
      </c>
      <c r="O104" s="254"/>
      <c r="P104" s="257"/>
      <c r="Q104" s="258"/>
      <c r="R104" s="254"/>
      <c r="S104" s="254"/>
      <c r="T104" s="254"/>
      <c r="U104" s="259"/>
      <c r="V104" s="255"/>
      <c r="W104" s="255"/>
      <c r="X104" s="255"/>
      <c r="Y104" s="254"/>
      <c r="Z104" s="254"/>
      <c r="AA104" s="254"/>
      <c r="AB104" s="260"/>
      <c r="AC104" s="255"/>
      <c r="AD104" s="254"/>
      <c r="AE104" s="254"/>
      <c r="AF104" s="256"/>
    </row>
    <row r="105" spans="1:32" ht="15" x14ac:dyDescent="0.2">
      <c r="A105" s="304"/>
      <c r="B105" s="289"/>
      <c r="C105" s="191"/>
      <c r="D105" s="289"/>
      <c r="E105" s="268"/>
      <c r="F105" s="289"/>
      <c r="G105" s="191"/>
      <c r="H105" s="290"/>
      <c r="I105" s="262"/>
      <c r="J105" s="289"/>
      <c r="K105" s="191"/>
      <c r="L105" s="263"/>
      <c r="M105" s="289"/>
      <c r="N105" s="289"/>
      <c r="O105" s="289"/>
      <c r="P105" s="291"/>
      <c r="Q105" s="292"/>
      <c r="R105" s="289"/>
      <c r="S105" s="289"/>
      <c r="T105" s="289"/>
      <c r="U105" s="289"/>
      <c r="V105" s="289"/>
      <c r="W105" s="289"/>
      <c r="X105" s="211"/>
      <c r="Y105" s="211"/>
      <c r="Z105" s="211"/>
      <c r="AA105" s="211"/>
      <c r="AB105" s="211"/>
      <c r="AC105" s="211"/>
      <c r="AD105" s="211"/>
      <c r="AE105" s="211"/>
      <c r="AF105" s="266"/>
    </row>
    <row r="106" spans="1:32" ht="15" x14ac:dyDescent="0.2">
      <c r="A106" s="304"/>
      <c r="B106" s="289"/>
      <c r="C106" s="289"/>
      <c r="D106" s="289"/>
      <c r="E106" s="293" t="s">
        <v>214</v>
      </c>
      <c r="F106" s="1881" t="s">
        <v>264</v>
      </c>
      <c r="G106" s="1881"/>
      <c r="H106" s="1881"/>
      <c r="I106" s="289"/>
      <c r="J106" s="289"/>
      <c r="K106" s="191"/>
      <c r="L106" s="191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1842" t="s">
        <v>99</v>
      </c>
      <c r="Y106" s="1824"/>
      <c r="Z106" s="1824"/>
      <c r="AA106" s="1824"/>
      <c r="AB106" s="211" t="s">
        <v>216</v>
      </c>
      <c r="AC106" s="211"/>
      <c r="AD106" s="211"/>
      <c r="AE106" s="211"/>
      <c r="AF106" s="211"/>
    </row>
    <row r="107" spans="1:32" x14ac:dyDescent="0.2">
      <c r="A107" s="304"/>
      <c r="B107" s="304"/>
      <c r="C107" s="304"/>
      <c r="D107" s="304"/>
      <c r="E107" s="304"/>
      <c r="F107" s="304"/>
      <c r="G107" s="304"/>
      <c r="H107" s="304"/>
      <c r="I107" s="304"/>
      <c r="J107" s="304"/>
      <c r="K107" s="304"/>
      <c r="L107" s="304"/>
      <c r="M107" s="304"/>
      <c r="N107" s="304"/>
      <c r="O107" s="304"/>
      <c r="P107" s="304"/>
      <c r="Q107" s="304"/>
      <c r="R107" s="304"/>
      <c r="S107" s="304"/>
      <c r="T107" s="304"/>
      <c r="U107" s="304"/>
      <c r="V107" s="304"/>
      <c r="W107" s="304"/>
      <c r="X107" s="304"/>
      <c r="Y107" s="304"/>
      <c r="Z107" s="304"/>
      <c r="AA107" s="304"/>
      <c r="AB107" s="304"/>
      <c r="AC107" s="304"/>
      <c r="AD107" s="304"/>
      <c r="AE107" s="304"/>
      <c r="AF107" s="304"/>
    </row>
    <row r="108" spans="1:32" x14ac:dyDescent="0.2">
      <c r="A108" s="304"/>
      <c r="B108" s="304"/>
      <c r="C108" s="304"/>
      <c r="D108" s="304"/>
      <c r="E108" s="304"/>
      <c r="F108" s="304"/>
      <c r="G108" s="304"/>
      <c r="H108" s="304"/>
      <c r="I108" s="304"/>
      <c r="J108" s="304"/>
      <c r="K108" s="304"/>
      <c r="L108" s="304"/>
      <c r="M108" s="304"/>
      <c r="N108" s="304"/>
      <c r="O108" s="304"/>
      <c r="P108" s="304"/>
      <c r="Q108" s="304"/>
      <c r="R108" s="304"/>
      <c r="S108" s="304"/>
      <c r="T108" s="304"/>
      <c r="U108" s="304"/>
      <c r="V108" s="304"/>
      <c r="W108" s="304"/>
      <c r="X108" s="304"/>
      <c r="Y108" s="304"/>
      <c r="Z108" s="304"/>
      <c r="AA108" s="304"/>
      <c r="AB108" s="304"/>
      <c r="AC108" s="304"/>
      <c r="AD108" s="304"/>
      <c r="AE108" s="304"/>
      <c r="AF108" s="304"/>
    </row>
    <row r="109" spans="1:32" x14ac:dyDescent="0.2">
      <c r="A109" s="304"/>
      <c r="B109" s="304"/>
      <c r="C109" s="304"/>
      <c r="D109" s="304"/>
      <c r="E109" s="304"/>
      <c r="F109" s="304"/>
      <c r="G109" s="304"/>
      <c r="H109" s="304"/>
      <c r="I109" s="304"/>
      <c r="J109" s="304"/>
      <c r="K109" s="304"/>
      <c r="L109" s="304"/>
      <c r="M109" s="304"/>
      <c r="N109" s="304"/>
      <c r="O109" s="304"/>
      <c r="P109" s="304"/>
      <c r="Q109" s="304"/>
      <c r="R109" s="304"/>
      <c r="S109" s="304"/>
      <c r="T109" s="304"/>
      <c r="U109" s="304"/>
      <c r="V109" s="304"/>
      <c r="W109" s="304"/>
      <c r="X109" s="304"/>
      <c r="Y109" s="304"/>
      <c r="Z109" s="304"/>
      <c r="AA109" s="304"/>
      <c r="AB109" s="304"/>
      <c r="AC109" s="304"/>
      <c r="AD109" s="304"/>
      <c r="AE109" s="304"/>
      <c r="AF109" s="304"/>
    </row>
    <row r="110" spans="1:32" x14ac:dyDescent="0.2">
      <c r="A110" s="304"/>
      <c r="B110" s="304"/>
      <c r="C110" s="304"/>
      <c r="D110" s="304"/>
      <c r="E110" s="304"/>
      <c r="F110" s="304"/>
      <c r="G110" s="304"/>
      <c r="H110" s="304"/>
      <c r="I110" s="304"/>
      <c r="J110" s="304"/>
      <c r="K110" s="304"/>
      <c r="L110" s="304"/>
      <c r="M110" s="304"/>
      <c r="N110" s="304"/>
      <c r="O110" s="304"/>
      <c r="P110" s="304"/>
      <c r="Q110" s="304"/>
      <c r="R110" s="304"/>
      <c r="S110" s="304"/>
      <c r="T110" s="304"/>
      <c r="U110" s="304"/>
      <c r="V110" s="304"/>
      <c r="W110" s="304"/>
      <c r="X110" s="304"/>
      <c r="Y110" s="304"/>
      <c r="Z110" s="304"/>
      <c r="AA110" s="304"/>
      <c r="AB110" s="304"/>
      <c r="AC110" s="304"/>
      <c r="AD110" s="304"/>
      <c r="AE110" s="304"/>
      <c r="AF110" s="304"/>
    </row>
  </sheetData>
  <mergeCells count="40">
    <mergeCell ref="B8:E8"/>
    <mergeCell ref="I1:X1"/>
    <mergeCell ref="A2:D2"/>
    <mergeCell ref="J2:W2"/>
    <mergeCell ref="A6:E6"/>
    <mergeCell ref="A7:E7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06:AA106"/>
    <mergeCell ref="AF12:AF13"/>
    <mergeCell ref="B75:E75"/>
    <mergeCell ref="B76:F76"/>
    <mergeCell ref="B85:E85"/>
    <mergeCell ref="B86:E86"/>
    <mergeCell ref="B87:F87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2:F92"/>
    <mergeCell ref="B97:F97"/>
    <mergeCell ref="B102:E102"/>
    <mergeCell ref="K104:M104"/>
    <mergeCell ref="F106:H10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6"/>
  <sheetViews>
    <sheetView view="pageBreakPreview" zoomScale="60" zoomScaleNormal="75" workbookViewId="0">
      <selection activeCell="A2" sqref="A2:E8"/>
    </sheetView>
  </sheetViews>
  <sheetFormatPr defaultRowHeight="12.75" x14ac:dyDescent="0.2"/>
  <cols>
    <col min="2" max="2" width="11.28515625" customWidth="1"/>
    <col min="3" max="3" width="9.42578125" customWidth="1"/>
    <col min="5" max="5" width="80.5703125" customWidth="1"/>
    <col min="8" max="8" width="15.5703125" customWidth="1"/>
    <col min="9" max="9" width="16" customWidth="1"/>
    <col min="20" max="20" width="10.28515625" customWidth="1"/>
    <col min="27" max="28" width="11.28515625" customWidth="1"/>
    <col min="31" max="31" width="11.7109375" customWidth="1"/>
    <col min="32" max="32" width="58" customWidth="1"/>
  </cols>
  <sheetData>
    <row r="1" spans="1:32" ht="15" x14ac:dyDescent="0.2">
      <c r="A1" s="304"/>
      <c r="B1" s="377"/>
      <c r="C1" s="377"/>
      <c r="D1" s="138"/>
      <c r="E1" s="138"/>
      <c r="F1" s="138"/>
      <c r="G1" s="377"/>
      <c r="H1" s="377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77"/>
      <c r="H2" s="377"/>
      <c r="I2" s="138"/>
      <c r="J2" s="1823" t="s">
        <v>299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78" t="s">
        <v>270</v>
      </c>
      <c r="B3" s="378"/>
      <c r="C3" s="378"/>
      <c r="D3" s="378"/>
      <c r="E3" s="378"/>
      <c r="F3" s="138"/>
      <c r="G3" s="377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76"/>
      <c r="S3" s="376"/>
      <c r="T3" s="376"/>
      <c r="U3" s="376"/>
      <c r="V3" s="376"/>
      <c r="W3" s="376"/>
      <c r="X3" s="376"/>
      <c r="Y3" s="376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78" t="s">
        <v>228</v>
      </c>
      <c r="B4" s="148"/>
      <c r="C4" s="148"/>
      <c r="D4" s="148"/>
      <c r="E4" s="138"/>
      <c r="F4" s="138"/>
      <c r="G4" s="377"/>
      <c r="H4" s="377"/>
      <c r="I4" s="141"/>
      <c r="J4" s="141"/>
      <c r="K4" s="141"/>
      <c r="L4" s="141"/>
      <c r="M4" s="141"/>
      <c r="N4" s="141"/>
      <c r="O4" s="141"/>
      <c r="P4" s="141"/>
      <c r="Q4" s="141"/>
      <c r="R4" s="375"/>
      <c r="S4" s="375"/>
      <c r="T4" s="375"/>
      <c r="U4" s="375"/>
      <c r="V4" s="375"/>
      <c r="W4" s="375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78"/>
      <c r="C5" s="378"/>
      <c r="D5" s="378"/>
      <c r="E5" s="138"/>
      <c r="F5" s="138"/>
      <c r="G5" s="377"/>
      <c r="H5" s="377"/>
      <c r="I5" s="138"/>
      <c r="J5" s="138"/>
      <c r="K5" s="377"/>
      <c r="L5" s="377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77"/>
      <c r="H6" s="377"/>
      <c r="I6" s="140"/>
      <c r="J6" s="138"/>
      <c r="K6" s="377"/>
      <c r="L6" s="377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77"/>
      <c r="H7" s="377"/>
      <c r="I7" s="140"/>
      <c r="J7" s="138"/>
      <c r="K7" s="377"/>
      <c r="L7" s="377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A8" s="304"/>
      <c r="B8" s="1826"/>
      <c r="C8" s="1826"/>
      <c r="D8" s="1826"/>
      <c r="E8" s="1826"/>
      <c r="F8" s="138"/>
      <c r="G8" s="377"/>
      <c r="H8" s="377"/>
      <c r="I8" s="140"/>
      <c r="J8" s="138"/>
      <c r="K8" s="377"/>
      <c r="L8" s="377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A9" s="304"/>
      <c r="B9" s="154"/>
      <c r="C9" s="154"/>
      <c r="D9" s="154"/>
      <c r="E9" s="154"/>
      <c r="F9" s="138"/>
      <c r="G9" s="377"/>
      <c r="H9" s="377"/>
      <c r="I9" s="138"/>
      <c r="J9" s="138"/>
      <c r="K9" s="377"/>
      <c r="L9" s="377"/>
      <c r="M9" s="377"/>
      <c r="N9" s="377"/>
      <c r="O9" s="377"/>
      <c r="P9" s="377"/>
      <c r="Q9" s="377"/>
      <c r="R9" s="377"/>
      <c r="S9" s="377"/>
      <c r="T9" s="377"/>
      <c r="U9" s="377"/>
      <c r="V9" s="377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A10" s="304"/>
      <c r="B10" s="377"/>
      <c r="C10" s="377"/>
      <c r="D10" s="377"/>
      <c r="E10" s="138"/>
      <c r="F10" s="138"/>
      <c r="G10" s="377"/>
      <c r="H10" s="377"/>
      <c r="I10" s="140"/>
      <c r="J10" s="138"/>
      <c r="K10" s="377"/>
      <c r="L10" s="377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61.25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74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74" t="s">
        <v>18</v>
      </c>
      <c r="AE12" s="374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180</v>
      </c>
      <c r="K14" s="166"/>
      <c r="L14" s="166">
        <v>373</v>
      </c>
      <c r="M14" s="166"/>
      <c r="N14" s="163">
        <v>6.7</v>
      </c>
      <c r="O14" s="166"/>
      <c r="P14" s="167">
        <v>24.635038247730243</v>
      </c>
      <c r="Q14" s="168">
        <f t="shared" ref="Q14:Q37" si="0">LEFT(H14,(FIND("K",H14,1)-1))*J14/100</f>
        <v>39.6</v>
      </c>
      <c r="R14" s="169">
        <v>1.83</v>
      </c>
      <c r="S14" s="168">
        <v>3.9350000000000001</v>
      </c>
      <c r="T14" s="168">
        <v>0</v>
      </c>
      <c r="U14" s="168">
        <f>T14/R14</f>
        <v>0</v>
      </c>
      <c r="V14" s="169">
        <f>(S14-R14)/S14*100</f>
        <v>53.494282083862764</v>
      </c>
      <c r="W14" s="170">
        <v>1</v>
      </c>
      <c r="X14" s="171">
        <f t="shared" ref="X14:X46" si="1">S14/Q14</f>
        <v>9.936868686868687E-2</v>
      </c>
      <c r="Y14" s="171">
        <f>R14*0.96</f>
        <v>1.7567999999999999</v>
      </c>
      <c r="Z14" s="171">
        <f>S14*0.96</f>
        <v>3.7776000000000001</v>
      </c>
      <c r="AA14" s="171">
        <f>T14*0.96</f>
        <v>0</v>
      </c>
      <c r="AB14" s="171">
        <f>U14</f>
        <v>0</v>
      </c>
      <c r="AC14" s="171">
        <f t="shared" ref="AC14:AC74" si="2">V14</f>
        <v>53.494282083862764</v>
      </c>
      <c r="AD14" s="163">
        <v>31</v>
      </c>
      <c r="AE14" s="171">
        <f>Y14*AD14</f>
        <v>54.460799999999999</v>
      </c>
      <c r="AF14" s="172"/>
    </row>
    <row r="15" spans="1:32" ht="15.75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370</v>
      </c>
      <c r="L15" s="166"/>
      <c r="M15" s="166">
        <v>0.8</v>
      </c>
      <c r="N15" s="163">
        <v>0</v>
      </c>
      <c r="O15" s="166"/>
      <c r="P15" s="167">
        <v>20.263831197478368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>
        <v>0</v>
      </c>
      <c r="X15" s="168">
        <v>0</v>
      </c>
      <c r="Y15" s="171">
        <f t="shared" ref="Y15:Y74" si="3">R15*0.96</f>
        <v>0</v>
      </c>
      <c r="Z15" s="171">
        <f t="shared" ref="Z15:Z74" si="4">S15*0.96</f>
        <v>0</v>
      </c>
      <c r="AA15" s="171">
        <f t="shared" ref="AA15:AA74" si="5">T15*0.96</f>
        <v>0</v>
      </c>
      <c r="AB15" s="171">
        <f t="shared" ref="AB15:AB74" si="6">U15</f>
        <v>0</v>
      </c>
      <c r="AC15" s="171">
        <f t="shared" si="2"/>
        <v>0</v>
      </c>
      <c r="AD15" s="163">
        <v>0</v>
      </c>
      <c r="AE15" s="171">
        <f t="shared" ref="AE15:AE57" si="7">Y15*AD15</f>
        <v>0</v>
      </c>
      <c r="AF15" s="172" t="s">
        <v>215</v>
      </c>
    </row>
    <row r="16" spans="1:32" ht="15.75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140</v>
      </c>
      <c r="K16" s="163"/>
      <c r="L16" s="166">
        <v>481</v>
      </c>
      <c r="M16" s="166"/>
      <c r="N16" s="182">
        <v>8.6999999999999993</v>
      </c>
      <c r="O16" s="166"/>
      <c r="P16" s="167">
        <v>14.208160972092989</v>
      </c>
      <c r="Q16" s="168">
        <f>LEFT(H16,(FIND("K",H16,1)-1))*J16/100</f>
        <v>44.8</v>
      </c>
      <c r="R16" s="169">
        <v>14.529</v>
      </c>
      <c r="S16" s="168">
        <v>27.548999999999999</v>
      </c>
      <c r="T16" s="168">
        <v>3723</v>
      </c>
      <c r="U16" s="168">
        <f t="shared" ref="U16:U74" si="8">T16/R16</f>
        <v>256.24612843278959</v>
      </c>
      <c r="V16" s="169">
        <f t="shared" ref="V16:V74" si="9">(S16-R16)/S16*100</f>
        <v>47.26124360230861</v>
      </c>
      <c r="W16" s="170">
        <v>0.3</v>
      </c>
      <c r="X16" s="171">
        <f t="shared" si="1"/>
        <v>0.6149330357142857</v>
      </c>
      <c r="Y16" s="171">
        <f t="shared" si="3"/>
        <v>13.947839999999999</v>
      </c>
      <c r="Z16" s="171">
        <f t="shared" si="4"/>
        <v>26.447039999999998</v>
      </c>
      <c r="AA16" s="171">
        <f t="shared" si="5"/>
        <v>3574.08</v>
      </c>
      <c r="AB16" s="171">
        <f t="shared" si="6"/>
        <v>256.24612843278959</v>
      </c>
      <c r="AC16" s="171">
        <f t="shared" si="2"/>
        <v>47.26124360230861</v>
      </c>
      <c r="AD16" s="163">
        <v>31</v>
      </c>
      <c r="AE16" s="171">
        <f>Y16*AD16</f>
        <v>432.38303999999999</v>
      </c>
      <c r="AF16" s="172"/>
    </row>
    <row r="17" spans="1:32" ht="15.75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297</v>
      </c>
      <c r="F17" s="163">
        <v>177.8</v>
      </c>
      <c r="G17" s="163" t="s">
        <v>28</v>
      </c>
      <c r="H17" s="165" t="s">
        <v>53</v>
      </c>
      <c r="I17" s="158">
        <v>538.47</v>
      </c>
      <c r="J17" s="163">
        <v>170</v>
      </c>
      <c r="K17" s="163"/>
      <c r="L17" s="166">
        <v>440</v>
      </c>
      <c r="M17" s="166"/>
      <c r="N17" s="182">
        <v>2.5</v>
      </c>
      <c r="O17" s="166"/>
      <c r="P17" s="167">
        <v>14.384850395189222</v>
      </c>
      <c r="Q17" s="168">
        <f t="shared" si="0"/>
        <v>22.1</v>
      </c>
      <c r="R17" s="169">
        <v>6.0119999999999996</v>
      </c>
      <c r="S17" s="168">
        <v>7.8939999999999992</v>
      </c>
      <c r="T17" s="168">
        <v>26</v>
      </c>
      <c r="U17" s="168">
        <f t="shared" si="8"/>
        <v>4.3246839654025289</v>
      </c>
      <c r="V17" s="169">
        <f t="shared" si="9"/>
        <v>23.840891816569545</v>
      </c>
      <c r="W17" s="170">
        <v>3</v>
      </c>
      <c r="X17" s="171">
        <f>S17/Q17</f>
        <v>0.35719457013574657</v>
      </c>
      <c r="Y17" s="171">
        <f t="shared" si="3"/>
        <v>5.7715199999999998</v>
      </c>
      <c r="Z17" s="171">
        <f t="shared" si="4"/>
        <v>7.5782399999999992</v>
      </c>
      <c r="AA17" s="171">
        <f t="shared" si="5"/>
        <v>24.96</v>
      </c>
      <c r="AB17" s="171">
        <f t="shared" si="6"/>
        <v>4.3246839654025289</v>
      </c>
      <c r="AC17" s="171">
        <f t="shared" si="2"/>
        <v>23.840891816569545</v>
      </c>
      <c r="AD17" s="163">
        <v>31</v>
      </c>
      <c r="AE17" s="171">
        <f t="shared" si="7"/>
        <v>178.91711999999998</v>
      </c>
      <c r="AF17" s="172"/>
    </row>
    <row r="18" spans="1:32" ht="15.75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160</v>
      </c>
      <c r="K18" s="163"/>
      <c r="L18" s="166">
        <v>440</v>
      </c>
      <c r="M18" s="166"/>
      <c r="N18" s="163">
        <v>6.4</v>
      </c>
      <c r="O18" s="166"/>
      <c r="P18" s="167">
        <v>17.60707885301148</v>
      </c>
      <c r="Q18" s="168">
        <f t="shared" si="0"/>
        <v>9.6</v>
      </c>
      <c r="R18" s="169">
        <v>4.9130000000000003</v>
      </c>
      <c r="S18" s="168">
        <v>5.3490000000000002</v>
      </c>
      <c r="T18" s="168">
        <v>28</v>
      </c>
      <c r="U18" s="168">
        <f t="shared" si="8"/>
        <v>5.6991654793405244</v>
      </c>
      <c r="V18" s="169">
        <f t="shared" si="9"/>
        <v>8.1510562722004103</v>
      </c>
      <c r="W18" s="170">
        <v>5</v>
      </c>
      <c r="X18" s="171">
        <f t="shared" si="1"/>
        <v>0.55718750000000006</v>
      </c>
      <c r="Y18" s="171">
        <f t="shared" si="3"/>
        <v>4.7164799999999998</v>
      </c>
      <c r="Z18" s="171">
        <f t="shared" si="4"/>
        <v>5.13504</v>
      </c>
      <c r="AA18" s="171">
        <f t="shared" si="5"/>
        <v>26.88</v>
      </c>
      <c r="AB18" s="171">
        <f t="shared" si="6"/>
        <v>5.6991654793405244</v>
      </c>
      <c r="AC18" s="171">
        <f t="shared" si="2"/>
        <v>8.1510562722004103</v>
      </c>
      <c r="AD18" s="163">
        <v>31</v>
      </c>
      <c r="AE18" s="171">
        <f t="shared" si="7"/>
        <v>146.21088</v>
      </c>
      <c r="AF18" s="172"/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396</v>
      </c>
      <c r="M19" s="166"/>
      <c r="N19" s="163">
        <v>1.6</v>
      </c>
      <c r="O19" s="166"/>
      <c r="P19" s="167">
        <v>18.816190508477252</v>
      </c>
      <c r="Q19" s="168">
        <f t="shared" si="0"/>
        <v>15</v>
      </c>
      <c r="R19" s="169">
        <v>2.52</v>
      </c>
      <c r="S19" s="168">
        <v>3.0449999999999999</v>
      </c>
      <c r="T19" s="168">
        <v>0</v>
      </c>
      <c r="U19" s="168">
        <f t="shared" si="8"/>
        <v>0</v>
      </c>
      <c r="V19" s="169">
        <f t="shared" si="9"/>
        <v>17.241379310344826</v>
      </c>
      <c r="W19" s="170">
        <v>2</v>
      </c>
      <c r="X19" s="171">
        <f>S19/Q19</f>
        <v>0.20299999999999999</v>
      </c>
      <c r="Y19" s="171">
        <f t="shared" si="3"/>
        <v>2.4192</v>
      </c>
      <c r="Z19" s="171">
        <f t="shared" si="4"/>
        <v>2.9232</v>
      </c>
      <c r="AA19" s="171">
        <f t="shared" si="5"/>
        <v>0</v>
      </c>
      <c r="AB19" s="171">
        <f t="shared" si="6"/>
        <v>0</v>
      </c>
      <c r="AC19" s="171">
        <f t="shared" si="2"/>
        <v>17.241379310344826</v>
      </c>
      <c r="AD19" s="163">
        <v>31</v>
      </c>
      <c r="AE19" s="171">
        <f t="shared" si="7"/>
        <v>74.995199999999997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488</v>
      </c>
      <c r="M20" s="166"/>
      <c r="N20" s="163">
        <v>13.9</v>
      </c>
      <c r="O20" s="166"/>
      <c r="P20" s="167">
        <v>21.312705517870913</v>
      </c>
      <c r="Q20" s="168">
        <f t="shared" si="0"/>
        <v>22</v>
      </c>
      <c r="R20" s="169">
        <v>9.3330000000000002</v>
      </c>
      <c r="S20" s="168">
        <v>11.212</v>
      </c>
      <c r="T20" s="168">
        <v>14</v>
      </c>
      <c r="U20" s="168">
        <f t="shared" si="8"/>
        <v>1.5000535733419051</v>
      </c>
      <c r="V20" s="169">
        <f t="shared" si="9"/>
        <v>16.758829825187295</v>
      </c>
      <c r="W20" s="170">
        <v>3</v>
      </c>
      <c r="X20" s="171">
        <f t="shared" si="1"/>
        <v>0.50963636363636367</v>
      </c>
      <c r="Y20" s="171">
        <f t="shared" si="3"/>
        <v>8.9596800000000005</v>
      </c>
      <c r="Z20" s="171">
        <f t="shared" si="4"/>
        <v>10.76352</v>
      </c>
      <c r="AA20" s="171">
        <f t="shared" si="5"/>
        <v>13.44</v>
      </c>
      <c r="AB20" s="171">
        <f t="shared" si="6"/>
        <v>1.5000535733419051</v>
      </c>
      <c r="AC20" s="171">
        <f t="shared" si="2"/>
        <v>16.758829825187295</v>
      </c>
      <c r="AD20" s="163">
        <v>31</v>
      </c>
      <c r="AE20" s="171">
        <f t="shared" si="7"/>
        <v>277.75008000000003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1040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593.1</v>
      </c>
      <c r="J21" s="163">
        <v>85</v>
      </c>
      <c r="K21" s="175"/>
      <c r="L21" s="166">
        <v>485</v>
      </c>
      <c r="M21" s="176"/>
      <c r="N21" s="163">
        <v>8</v>
      </c>
      <c r="O21" s="176"/>
      <c r="P21" s="167">
        <v>16.257349148530938</v>
      </c>
      <c r="Q21" s="168">
        <f t="shared" si="0"/>
        <v>18.7</v>
      </c>
      <c r="R21" s="169">
        <v>12.51</v>
      </c>
      <c r="S21" s="168">
        <v>18.959</v>
      </c>
      <c r="T21" s="168">
        <v>291</v>
      </c>
      <c r="U21" s="168">
        <f t="shared" si="8"/>
        <v>23.261390887290169</v>
      </c>
      <c r="V21" s="169">
        <f t="shared" si="9"/>
        <v>34.015507147001422</v>
      </c>
      <c r="W21" s="170">
        <v>0.5</v>
      </c>
      <c r="X21" s="171">
        <f t="shared" si="1"/>
        <v>1.0138502673796792</v>
      </c>
      <c r="Y21" s="171">
        <f t="shared" si="3"/>
        <v>12.009599999999999</v>
      </c>
      <c r="Z21" s="171">
        <f t="shared" si="4"/>
        <v>18.20064</v>
      </c>
      <c r="AA21" s="171">
        <f t="shared" si="5"/>
        <v>279.36</v>
      </c>
      <c r="AB21" s="171">
        <f t="shared" si="6"/>
        <v>23.261390887290169</v>
      </c>
      <c r="AC21" s="171">
        <f t="shared" si="2"/>
        <v>34.015507147001422</v>
      </c>
      <c r="AD21" s="163">
        <v>20</v>
      </c>
      <c r="AE21" s="171">
        <f t="shared" si="7"/>
        <v>240.19199999999998</v>
      </c>
      <c r="AF21" s="172" t="s">
        <v>283</v>
      </c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470</v>
      </c>
      <c r="M22" s="166"/>
      <c r="N22" s="163">
        <v>6</v>
      </c>
      <c r="O22" s="166"/>
      <c r="P22" s="167">
        <v>15.283079105743052</v>
      </c>
      <c r="Q22" s="168">
        <f t="shared" si="0"/>
        <v>22</v>
      </c>
      <c r="R22" s="169">
        <v>6.2249999999999996</v>
      </c>
      <c r="S22" s="168">
        <v>8.7989999999999995</v>
      </c>
      <c r="T22" s="168">
        <v>16</v>
      </c>
      <c r="U22" s="168">
        <f t="shared" si="8"/>
        <v>2.570281124497992</v>
      </c>
      <c r="V22" s="169">
        <f t="shared" si="9"/>
        <v>29.253324241391066</v>
      </c>
      <c r="W22" s="170">
        <v>0.5</v>
      </c>
      <c r="X22" s="171">
        <f t="shared" si="1"/>
        <v>0.39995454545454545</v>
      </c>
      <c r="Y22" s="171">
        <f t="shared" si="3"/>
        <v>5.9759999999999991</v>
      </c>
      <c r="Z22" s="171">
        <f t="shared" si="4"/>
        <v>8.4470399999999994</v>
      </c>
      <c r="AA22" s="171">
        <f t="shared" si="5"/>
        <v>15.36</v>
      </c>
      <c r="AB22" s="171">
        <f t="shared" si="6"/>
        <v>2.570281124497992</v>
      </c>
      <c r="AC22" s="171">
        <f t="shared" si="2"/>
        <v>29.253324241391066</v>
      </c>
      <c r="AD22" s="163">
        <v>31</v>
      </c>
      <c r="AE22" s="171">
        <f t="shared" si="7"/>
        <v>185.25599999999997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135</v>
      </c>
      <c r="K23" s="163"/>
      <c r="L23" s="166">
        <v>318</v>
      </c>
      <c r="M23" s="166"/>
      <c r="N23" s="163">
        <v>5.6</v>
      </c>
      <c r="O23" s="166"/>
      <c r="P23" s="167">
        <v>28.800270373072458</v>
      </c>
      <c r="Q23" s="168">
        <f t="shared" si="0"/>
        <v>29.7</v>
      </c>
      <c r="R23" s="169">
        <v>1.2889999999999999</v>
      </c>
      <c r="S23" s="168">
        <v>2.593</v>
      </c>
      <c r="T23" s="168">
        <v>0</v>
      </c>
      <c r="U23" s="168">
        <f t="shared" si="8"/>
        <v>0</v>
      </c>
      <c r="V23" s="169">
        <f t="shared" si="9"/>
        <v>50.289240262244505</v>
      </c>
      <c r="W23" s="170">
        <v>2</v>
      </c>
      <c r="X23" s="171">
        <f t="shared" si="1"/>
        <v>8.7306397306397304E-2</v>
      </c>
      <c r="Y23" s="171">
        <f t="shared" si="3"/>
        <v>1.2374399999999999</v>
      </c>
      <c r="Z23" s="171">
        <f t="shared" si="4"/>
        <v>2.4892799999999999</v>
      </c>
      <c r="AA23" s="171">
        <f t="shared" si="5"/>
        <v>0</v>
      </c>
      <c r="AB23" s="171">
        <f t="shared" si="6"/>
        <v>0</v>
      </c>
      <c r="AC23" s="171">
        <f t="shared" si="2"/>
        <v>50.289240262244505</v>
      </c>
      <c r="AD23" s="163">
        <v>31</v>
      </c>
      <c r="AE23" s="171">
        <f t="shared" si="7"/>
        <v>38.360639999999997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389</v>
      </c>
      <c r="M24" s="166"/>
      <c r="N24" s="163">
        <v>0.9</v>
      </c>
      <c r="O24" s="166"/>
      <c r="P24" s="167">
        <v>19.795425518571424</v>
      </c>
      <c r="Q24" s="168">
        <f t="shared" si="0"/>
        <v>11.18</v>
      </c>
      <c r="R24" s="169">
        <v>0.26300000000000001</v>
      </c>
      <c r="S24" s="168">
        <v>0.70399999999999996</v>
      </c>
      <c r="T24" s="168">
        <v>0</v>
      </c>
      <c r="U24" s="168">
        <f t="shared" si="8"/>
        <v>0</v>
      </c>
      <c r="V24" s="169">
        <f t="shared" si="9"/>
        <v>62.642045454545446</v>
      </c>
      <c r="W24" s="170">
        <v>1</v>
      </c>
      <c r="X24" s="171">
        <f t="shared" si="1"/>
        <v>6.2969588550983904E-2</v>
      </c>
      <c r="Y24" s="171">
        <f t="shared" si="3"/>
        <v>0.25247999999999998</v>
      </c>
      <c r="Z24" s="171">
        <f t="shared" si="4"/>
        <v>0.67583999999999989</v>
      </c>
      <c r="AA24" s="171">
        <f t="shared" si="5"/>
        <v>0</v>
      </c>
      <c r="AB24" s="171">
        <f t="shared" si="6"/>
        <v>0</v>
      </c>
      <c r="AC24" s="171">
        <f t="shared" si="2"/>
        <v>62.642045454545446</v>
      </c>
      <c r="AD24" s="163">
        <v>31</v>
      </c>
      <c r="AE24" s="171">
        <f t="shared" si="7"/>
        <v>7.8268799999999992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298</v>
      </c>
      <c r="F25" s="163">
        <v>177.8</v>
      </c>
      <c r="G25" s="163" t="s">
        <v>28</v>
      </c>
      <c r="H25" s="165" t="s">
        <v>52</v>
      </c>
      <c r="I25" s="158">
        <v>553.5</v>
      </c>
      <c r="J25" s="163">
        <v>145</v>
      </c>
      <c r="K25" s="163"/>
      <c r="L25" s="166">
        <v>321</v>
      </c>
      <c r="M25" s="166"/>
      <c r="N25" s="163">
        <v>5.9</v>
      </c>
      <c r="O25" s="166"/>
      <c r="P25" s="167">
        <v>29.980929581713681</v>
      </c>
      <c r="Q25" s="168">
        <f t="shared" si="0"/>
        <v>31.9</v>
      </c>
      <c r="R25" s="169">
        <v>8.1920000000000002</v>
      </c>
      <c r="S25" s="168">
        <v>15.532</v>
      </c>
      <c r="T25" s="168">
        <v>17</v>
      </c>
      <c r="U25" s="168">
        <f t="shared" si="8"/>
        <v>2.0751953125</v>
      </c>
      <c r="V25" s="169">
        <f t="shared" si="9"/>
        <v>47.25727530260108</v>
      </c>
      <c r="W25" s="170">
        <v>2</v>
      </c>
      <c r="X25" s="171">
        <f t="shared" si="1"/>
        <v>0.48689655172413793</v>
      </c>
      <c r="Y25" s="171">
        <f t="shared" si="3"/>
        <v>7.8643200000000002</v>
      </c>
      <c r="Z25" s="171">
        <f t="shared" si="4"/>
        <v>14.91072</v>
      </c>
      <c r="AA25" s="171">
        <f t="shared" si="5"/>
        <v>16.32</v>
      </c>
      <c r="AB25" s="171">
        <f t="shared" si="6"/>
        <v>2.0751953125</v>
      </c>
      <c r="AC25" s="171">
        <f t="shared" si="2"/>
        <v>47.25727530260108</v>
      </c>
      <c r="AD25" s="163">
        <v>31</v>
      </c>
      <c r="AE25" s="171">
        <f t="shared" si="7"/>
        <v>243.79392000000001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525.03</v>
      </c>
      <c r="J26" s="163">
        <v>110</v>
      </c>
      <c r="K26" s="163"/>
      <c r="L26" s="166">
        <v>324</v>
      </c>
      <c r="M26" s="166"/>
      <c r="N26" s="163">
        <v>6.7</v>
      </c>
      <c r="O26" s="166"/>
      <c r="P26" s="167">
        <v>28.291073659147777</v>
      </c>
      <c r="Q26" s="168">
        <f t="shared" si="0"/>
        <v>35.200000000000003</v>
      </c>
      <c r="R26" s="169">
        <v>17.422999999999998</v>
      </c>
      <c r="S26" s="168">
        <v>25.512999999999998</v>
      </c>
      <c r="T26" s="168">
        <v>213</v>
      </c>
      <c r="U26" s="168">
        <f t="shared" si="8"/>
        <v>12.225219537393102</v>
      </c>
      <c r="V26" s="169">
        <f t="shared" si="9"/>
        <v>31.709324658017486</v>
      </c>
      <c r="W26" s="170">
        <v>0.3</v>
      </c>
      <c r="X26" s="171">
        <f t="shared" si="1"/>
        <v>0.7248011363636363</v>
      </c>
      <c r="Y26" s="171">
        <f t="shared" si="3"/>
        <v>16.726079999999996</v>
      </c>
      <c r="Z26" s="171">
        <f t="shared" si="4"/>
        <v>24.492479999999997</v>
      </c>
      <c r="AA26" s="171">
        <f t="shared" si="5"/>
        <v>204.48</v>
      </c>
      <c r="AB26" s="171">
        <f t="shared" si="6"/>
        <v>12.225219537393102</v>
      </c>
      <c r="AC26" s="171">
        <f t="shared" si="2"/>
        <v>31.709324658017486</v>
      </c>
      <c r="AD26" s="163">
        <v>31</v>
      </c>
      <c r="AE26" s="171">
        <f t="shared" si="7"/>
        <v>518.50847999999985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360</v>
      </c>
      <c r="K27" s="163"/>
      <c r="L27" s="166">
        <v>389</v>
      </c>
      <c r="M27" s="166"/>
      <c r="N27" s="163">
        <v>8</v>
      </c>
      <c r="O27" s="166"/>
      <c r="P27" s="167">
        <v>22.013517057496653</v>
      </c>
      <c r="Q27" s="168">
        <f t="shared" si="0"/>
        <v>79.2</v>
      </c>
      <c r="R27" s="169">
        <v>17.722999999999999</v>
      </c>
      <c r="S27" s="168">
        <v>28.140999999999998</v>
      </c>
      <c r="T27" s="168">
        <v>4420</v>
      </c>
      <c r="U27" s="168">
        <f t="shared" si="8"/>
        <v>249.39344354793209</v>
      </c>
      <c r="V27" s="169">
        <f t="shared" si="9"/>
        <v>37.020717103159093</v>
      </c>
      <c r="W27" s="170">
        <v>0.3</v>
      </c>
      <c r="X27" s="171">
        <f t="shared" si="1"/>
        <v>0.35531565656565656</v>
      </c>
      <c r="Y27" s="171">
        <f t="shared" si="3"/>
        <v>17.01408</v>
      </c>
      <c r="Z27" s="171">
        <f t="shared" si="4"/>
        <v>27.015359999999998</v>
      </c>
      <c r="AA27" s="171">
        <f t="shared" si="5"/>
        <v>4243.2</v>
      </c>
      <c r="AB27" s="171">
        <f t="shared" si="6"/>
        <v>249.39344354793209</v>
      </c>
      <c r="AC27" s="171">
        <f t="shared" si="2"/>
        <v>37.020717103159093</v>
      </c>
      <c r="AD27" s="163">
        <v>31</v>
      </c>
      <c r="AE27" s="171">
        <f t="shared" si="7"/>
        <v>527.43647999999996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452</v>
      </c>
      <c r="M28" s="166"/>
      <c r="N28" s="163">
        <v>7</v>
      </c>
      <c r="O28" s="166"/>
      <c r="P28" s="167">
        <v>19.498231957980405</v>
      </c>
      <c r="Q28" s="168">
        <f t="shared" si="0"/>
        <v>11.05</v>
      </c>
      <c r="R28" s="169">
        <v>4.2789999999999999</v>
      </c>
      <c r="S28" s="168">
        <v>6.6069999999999993</v>
      </c>
      <c r="T28" s="168">
        <v>10</v>
      </c>
      <c r="U28" s="168">
        <f t="shared" si="8"/>
        <v>2.3369946249123625</v>
      </c>
      <c r="V28" s="169">
        <f t="shared" si="9"/>
        <v>35.235356440139242</v>
      </c>
      <c r="W28" s="170">
        <v>0.5</v>
      </c>
      <c r="X28" s="171">
        <f t="shared" si="1"/>
        <v>0.59791855203619904</v>
      </c>
      <c r="Y28" s="171">
        <f t="shared" si="3"/>
        <v>4.1078399999999995</v>
      </c>
      <c r="Z28" s="171">
        <f t="shared" si="4"/>
        <v>6.342719999999999</v>
      </c>
      <c r="AA28" s="171">
        <f t="shared" si="5"/>
        <v>9.6</v>
      </c>
      <c r="AB28" s="171">
        <f t="shared" si="6"/>
        <v>2.3369946249123625</v>
      </c>
      <c r="AC28" s="171">
        <f t="shared" si="2"/>
        <v>35.235356440139242</v>
      </c>
      <c r="AD28" s="163">
        <v>31</v>
      </c>
      <c r="AE28" s="171">
        <f>Y28*AD28</f>
        <v>127.34303999999999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505</v>
      </c>
      <c r="M29" s="164"/>
      <c r="N29" s="164">
        <v>10.6</v>
      </c>
      <c r="O29" s="164"/>
      <c r="P29" s="371">
        <v>15.847489576365469</v>
      </c>
      <c r="Q29" s="164">
        <f t="shared" si="0"/>
        <v>96</v>
      </c>
      <c r="R29" s="181">
        <v>17.286999999999999</v>
      </c>
      <c r="S29" s="168">
        <v>22.855999999999998</v>
      </c>
      <c r="T29" s="164">
        <v>1669</v>
      </c>
      <c r="U29" s="181">
        <f t="shared" si="8"/>
        <v>96.54653786082028</v>
      </c>
      <c r="V29" s="181">
        <f t="shared" si="9"/>
        <v>24.36559327966398</v>
      </c>
      <c r="W29" s="164">
        <v>1</v>
      </c>
      <c r="X29" s="181">
        <f t="shared" si="1"/>
        <v>0.23808333333333331</v>
      </c>
      <c r="Y29" s="171">
        <f t="shared" si="3"/>
        <v>16.595519999999997</v>
      </c>
      <c r="Z29" s="171">
        <f t="shared" si="4"/>
        <v>21.941759999999999</v>
      </c>
      <c r="AA29" s="171">
        <f t="shared" si="5"/>
        <v>1602.24</v>
      </c>
      <c r="AB29" s="181">
        <f t="shared" si="6"/>
        <v>96.54653786082028</v>
      </c>
      <c r="AC29" s="181">
        <f t="shared" si="2"/>
        <v>24.36559327966398</v>
      </c>
      <c r="AD29" s="163">
        <v>31</v>
      </c>
      <c r="AE29" s="181">
        <f>Y29*AD29</f>
        <v>514.46111999999994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195</v>
      </c>
      <c r="L30" s="163"/>
      <c r="M30" s="163">
        <v>1.9</v>
      </c>
      <c r="N30" s="166"/>
      <c r="O30" s="166"/>
      <c r="P30" s="167">
        <v>39.788985414489787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 t="shared" si="3"/>
        <v>0</v>
      </c>
      <c r="Z30" s="171">
        <f t="shared" si="4"/>
        <v>0</v>
      </c>
      <c r="AA30" s="171">
        <f t="shared" si="5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112</v>
      </c>
      <c r="L31" s="166"/>
      <c r="M31" s="166">
        <v>0.7</v>
      </c>
      <c r="N31" s="166"/>
      <c r="O31" s="166"/>
      <c r="P31" s="167">
        <v>46.91782028428571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si="3"/>
        <v>0</v>
      </c>
      <c r="Z31" s="171">
        <f t="shared" si="4"/>
        <v>0</v>
      </c>
      <c r="AA31" s="171">
        <f t="shared" si="5"/>
        <v>0</v>
      </c>
      <c r="AB31" s="171">
        <f>U31</f>
        <v>0</v>
      </c>
      <c r="AC31" s="171">
        <f t="shared" si="2"/>
        <v>0</v>
      </c>
      <c r="AD31" s="163">
        <v>0</v>
      </c>
      <c r="AE31" s="171">
        <f t="shared" si="7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85</v>
      </c>
      <c r="K32" s="163"/>
      <c r="L32" s="166">
        <v>413</v>
      </c>
      <c r="M32" s="166"/>
      <c r="N32" s="163">
        <v>7</v>
      </c>
      <c r="O32" s="166"/>
      <c r="P32" s="167">
        <v>20.459734061383465</v>
      </c>
      <c r="Q32" s="168">
        <f t="shared" si="0"/>
        <v>18.7</v>
      </c>
      <c r="R32" s="169">
        <v>6.7450000000000001</v>
      </c>
      <c r="S32" s="168">
        <v>13.324999999999999</v>
      </c>
      <c r="T32" s="168">
        <v>366</v>
      </c>
      <c r="U32" s="168">
        <f t="shared" si="8"/>
        <v>54.262416604892515</v>
      </c>
      <c r="V32" s="169">
        <f>(S32-R32)/S32*100</f>
        <v>49.380863039399621</v>
      </c>
      <c r="W32" s="170">
        <v>0.5</v>
      </c>
      <c r="X32" s="171">
        <f t="shared" si="1"/>
        <v>0.71256684491978606</v>
      </c>
      <c r="Y32" s="171">
        <f t="shared" si="3"/>
        <v>6.4752000000000001</v>
      </c>
      <c r="Z32" s="171">
        <f t="shared" si="4"/>
        <v>12.791999999999998</v>
      </c>
      <c r="AA32" s="171">
        <f t="shared" si="5"/>
        <v>351.36</v>
      </c>
      <c r="AB32" s="171">
        <f t="shared" si="6"/>
        <v>54.262416604892515</v>
      </c>
      <c r="AC32" s="171">
        <f t="shared" si="2"/>
        <v>49.380863039399621</v>
      </c>
      <c r="AD32" s="163">
        <v>31</v>
      </c>
      <c r="AE32" s="171">
        <f t="shared" si="7"/>
        <v>200.7312</v>
      </c>
      <c r="AF32" s="183"/>
    </row>
    <row r="33" spans="1:32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155</v>
      </c>
      <c r="L33" s="163">
        <v>0</v>
      </c>
      <c r="M33" s="163">
        <v>1</v>
      </c>
      <c r="N33" s="163"/>
      <c r="O33" s="163"/>
      <c r="P33" s="182">
        <v>52.594794777771426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f t="shared" si="3"/>
        <v>0</v>
      </c>
      <c r="Z33" s="171">
        <f t="shared" si="4"/>
        <v>0</v>
      </c>
      <c r="AA33" s="171">
        <f t="shared" si="5"/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470</v>
      </c>
      <c r="M34" s="166"/>
      <c r="N34" s="163">
        <v>6.3</v>
      </c>
      <c r="O34" s="166"/>
      <c r="P34" s="167">
        <v>13.904118596545372</v>
      </c>
      <c r="Q34" s="168">
        <f t="shared" si="0"/>
        <v>66</v>
      </c>
      <c r="R34" s="169">
        <v>6.6390000000000002</v>
      </c>
      <c r="S34" s="168">
        <v>7.6270000000000007</v>
      </c>
      <c r="T34" s="168">
        <v>654</v>
      </c>
      <c r="U34" s="168">
        <f t="shared" si="8"/>
        <v>98.508811568007232</v>
      </c>
      <c r="V34" s="169">
        <f t="shared" si="9"/>
        <v>12.953979284122202</v>
      </c>
      <c r="W34" s="170">
        <v>0.3</v>
      </c>
      <c r="X34" s="171">
        <f t="shared" si="1"/>
        <v>0.11556060606060607</v>
      </c>
      <c r="Y34" s="171">
        <f t="shared" si="3"/>
        <v>6.3734399999999996</v>
      </c>
      <c r="Z34" s="171">
        <f t="shared" si="4"/>
        <v>7.3219200000000004</v>
      </c>
      <c r="AA34" s="171">
        <f t="shared" si="5"/>
        <v>627.84</v>
      </c>
      <c r="AB34" s="171">
        <v>89.536086956521729</v>
      </c>
      <c r="AC34" s="171">
        <v>26</v>
      </c>
      <c r="AD34" s="163">
        <v>31</v>
      </c>
      <c r="AE34" s="171">
        <f t="shared" si="7"/>
        <v>197.57664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468</v>
      </c>
      <c r="M35" s="166"/>
      <c r="N35" s="163">
        <v>8.5</v>
      </c>
      <c r="O35" s="166"/>
      <c r="P35" s="167">
        <v>18.729438392048145</v>
      </c>
      <c r="Q35" s="168">
        <f t="shared" si="0"/>
        <v>16.25</v>
      </c>
      <c r="R35" s="169">
        <v>6.5380000000000003</v>
      </c>
      <c r="S35" s="168">
        <v>10.366</v>
      </c>
      <c r="T35" s="168">
        <v>20</v>
      </c>
      <c r="U35" s="168">
        <f t="shared" si="8"/>
        <v>3.0590394616090548</v>
      </c>
      <c r="V35" s="169">
        <f t="shared" si="9"/>
        <v>36.928419834072926</v>
      </c>
      <c r="W35" s="170">
        <v>2</v>
      </c>
      <c r="X35" s="171">
        <f t="shared" si="1"/>
        <v>0.63790769230769229</v>
      </c>
      <c r="Y35" s="171">
        <f t="shared" si="3"/>
        <v>6.2764800000000003</v>
      </c>
      <c r="Z35" s="171">
        <f t="shared" si="4"/>
        <v>9.9513599999999993</v>
      </c>
      <c r="AA35" s="171">
        <f t="shared" si="5"/>
        <v>19.2</v>
      </c>
      <c r="AB35" s="171">
        <f t="shared" si="6"/>
        <v>3.0590394616090548</v>
      </c>
      <c r="AC35" s="171">
        <f t="shared" si="2"/>
        <v>36.928419834072926</v>
      </c>
      <c r="AD35" s="163">
        <v>31</v>
      </c>
      <c r="AE35" s="171">
        <f t="shared" si="7"/>
        <v>194.57088000000002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441</v>
      </c>
      <c r="M36" s="166"/>
      <c r="N36" s="163">
        <v>7</v>
      </c>
      <c r="O36" s="166"/>
      <c r="P36" s="167">
        <v>19.678159467189332</v>
      </c>
      <c r="Q36" s="168">
        <f t="shared" si="0"/>
        <v>18.7</v>
      </c>
      <c r="R36" s="169">
        <v>1.4870000000000001</v>
      </c>
      <c r="S36" s="168">
        <v>10.866</v>
      </c>
      <c r="T36" s="168">
        <v>45</v>
      </c>
      <c r="U36" s="168">
        <f t="shared" si="8"/>
        <v>30.262273032952251</v>
      </c>
      <c r="V36" s="169">
        <f t="shared" si="9"/>
        <v>86.315111356524937</v>
      </c>
      <c r="W36" s="170">
        <v>2</v>
      </c>
      <c r="X36" s="171">
        <f t="shared" si="1"/>
        <v>0.58106951871657753</v>
      </c>
      <c r="Y36" s="171">
        <f t="shared" si="3"/>
        <v>1.4275200000000001</v>
      </c>
      <c r="Z36" s="171">
        <f t="shared" si="4"/>
        <v>10.43136</v>
      </c>
      <c r="AA36" s="171">
        <f t="shared" si="5"/>
        <v>43.199999999999996</v>
      </c>
      <c r="AB36" s="171">
        <f t="shared" si="6"/>
        <v>30.262273032952251</v>
      </c>
      <c r="AC36" s="171">
        <f t="shared" si="2"/>
        <v>86.315111356524937</v>
      </c>
      <c r="AD36" s="163">
        <v>31</v>
      </c>
      <c r="AE36" s="171">
        <f t="shared" si="7"/>
        <v>44.253120000000003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240</v>
      </c>
      <c r="K37" s="163"/>
      <c r="L37" s="166">
        <v>290</v>
      </c>
      <c r="M37" s="166"/>
      <c r="N37" s="163">
        <v>8.1999999999999993</v>
      </c>
      <c r="O37" s="166"/>
      <c r="P37" s="167">
        <v>35.647422952225135</v>
      </c>
      <c r="Q37" s="168">
        <f t="shared" si="0"/>
        <v>52.8</v>
      </c>
      <c r="R37" s="169">
        <v>17.795000000000002</v>
      </c>
      <c r="S37" s="168">
        <v>37.516000000000005</v>
      </c>
      <c r="T37" s="168">
        <v>499</v>
      </c>
      <c r="U37" s="168">
        <f t="shared" si="8"/>
        <v>28.041584714807527</v>
      </c>
      <c r="V37" s="169">
        <f t="shared" si="9"/>
        <v>52.56690478729076</v>
      </c>
      <c r="W37" s="170">
        <v>0.3</v>
      </c>
      <c r="X37" s="171">
        <f t="shared" si="1"/>
        <v>0.71053030303030318</v>
      </c>
      <c r="Y37" s="171">
        <f t="shared" si="3"/>
        <v>17.083200000000001</v>
      </c>
      <c r="Z37" s="171">
        <f t="shared" si="4"/>
        <v>36.015360000000001</v>
      </c>
      <c r="AA37" s="171">
        <f t="shared" si="5"/>
        <v>479.03999999999996</v>
      </c>
      <c r="AB37" s="171">
        <f t="shared" si="6"/>
        <v>28.041584714807527</v>
      </c>
      <c r="AC37" s="171">
        <f t="shared" si="2"/>
        <v>52.56690478729076</v>
      </c>
      <c r="AD37" s="163">
        <v>31</v>
      </c>
      <c r="AE37" s="171">
        <f t="shared" si="7"/>
        <v>529.57920000000001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295</v>
      </c>
      <c r="K38" s="163"/>
      <c r="L38" s="166">
        <v>492</v>
      </c>
      <c r="M38" s="166"/>
      <c r="N38" s="163">
        <v>8.1</v>
      </c>
      <c r="O38" s="166"/>
      <c r="P38" s="167">
        <v>15.317613327307418</v>
      </c>
      <c r="Q38" s="168">
        <f>LEFT(H38,(FIND("K",H38,1)-1))*J38/100</f>
        <v>64.900000000000006</v>
      </c>
      <c r="R38" s="169">
        <v>14.167999999999999</v>
      </c>
      <c r="S38" s="168">
        <v>27.174999999999997</v>
      </c>
      <c r="T38" s="168">
        <v>563</v>
      </c>
      <c r="U38" s="168">
        <f t="shared" si="8"/>
        <v>39.737436476566913</v>
      </c>
      <c r="V38" s="169">
        <f t="shared" si="9"/>
        <v>47.863845446182154</v>
      </c>
      <c r="W38" s="170">
        <v>0.5</v>
      </c>
      <c r="X38" s="171">
        <f t="shared" si="1"/>
        <v>0.41872110939907542</v>
      </c>
      <c r="Y38" s="171">
        <f t="shared" si="3"/>
        <v>13.601279999999999</v>
      </c>
      <c r="Z38" s="171">
        <f t="shared" si="4"/>
        <v>26.087999999999997</v>
      </c>
      <c r="AA38" s="171">
        <f t="shared" si="5"/>
        <v>540.48</v>
      </c>
      <c r="AB38" s="171">
        <f t="shared" si="6"/>
        <v>39.737436476566913</v>
      </c>
      <c r="AC38" s="171">
        <f t="shared" si="2"/>
        <v>47.863845446182154</v>
      </c>
      <c r="AD38" s="163">
        <v>31</v>
      </c>
      <c r="AE38" s="171">
        <f t="shared" si="7"/>
        <v>421.63968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547.65</v>
      </c>
      <c r="J39" s="163">
        <v>100</v>
      </c>
      <c r="K39" s="163"/>
      <c r="L39" s="163">
        <v>457</v>
      </c>
      <c r="M39" s="166"/>
      <c r="N39" s="163">
        <v>14.9</v>
      </c>
      <c r="O39" s="166"/>
      <c r="P39" s="182">
        <v>24.353047758062367</v>
      </c>
      <c r="Q39" s="171">
        <f t="shared" ref="Q39:Q72" si="10">LEFT(H39,(FIND("K",H39,1)-1))*J39/100</f>
        <v>8</v>
      </c>
      <c r="R39" s="170">
        <v>5.7649999999999997</v>
      </c>
      <c r="S39" s="168">
        <v>6.556</v>
      </c>
      <c r="T39" s="171">
        <v>28</v>
      </c>
      <c r="U39" s="171">
        <f t="shared" si="8"/>
        <v>4.8568950563746753</v>
      </c>
      <c r="V39" s="169">
        <f t="shared" si="9"/>
        <v>12.065283709579017</v>
      </c>
      <c r="W39" s="170">
        <v>0.5</v>
      </c>
      <c r="X39" s="171">
        <f t="shared" si="1"/>
        <v>0.81950000000000001</v>
      </c>
      <c r="Y39" s="171">
        <f t="shared" si="3"/>
        <v>5.5343999999999998</v>
      </c>
      <c r="Z39" s="171">
        <f t="shared" si="4"/>
        <v>6.2937599999999998</v>
      </c>
      <c r="AA39" s="171">
        <f t="shared" si="5"/>
        <v>26.88</v>
      </c>
      <c r="AB39" s="171">
        <f t="shared" si="6"/>
        <v>4.8568950563746753</v>
      </c>
      <c r="AC39" s="171">
        <f t="shared" si="2"/>
        <v>12.065283709579017</v>
      </c>
      <c r="AD39" s="163">
        <v>31</v>
      </c>
      <c r="AE39" s="171">
        <f t="shared" si="7"/>
        <v>171.56639999999999</v>
      </c>
      <c r="AF39" s="172"/>
    </row>
    <row r="40" spans="1:32" ht="15.75" customHeight="1" x14ac:dyDescent="0.2">
      <c r="A40" s="159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455</v>
      </c>
      <c r="M40" s="159"/>
      <c r="N40" s="163">
        <v>6.6</v>
      </c>
      <c r="O40" s="159"/>
      <c r="P40" s="160">
        <v>15.749784211298723</v>
      </c>
      <c r="Q40" s="171">
        <f t="shared" si="10"/>
        <v>25.3</v>
      </c>
      <c r="R40" s="170">
        <v>6.7610000000000001</v>
      </c>
      <c r="S40" s="168">
        <v>8.3670000000000009</v>
      </c>
      <c r="T40" s="174">
        <v>856</v>
      </c>
      <c r="U40" s="171">
        <f t="shared" si="8"/>
        <v>126.60848986836267</v>
      </c>
      <c r="V40" s="169">
        <f t="shared" si="9"/>
        <v>19.194454404207011</v>
      </c>
      <c r="W40" s="170">
        <v>0.5</v>
      </c>
      <c r="X40" s="171">
        <f t="shared" si="1"/>
        <v>0.33071146245059291</v>
      </c>
      <c r="Y40" s="171">
        <f t="shared" si="3"/>
        <v>6.4905599999999994</v>
      </c>
      <c r="Z40" s="171">
        <f t="shared" si="4"/>
        <v>8.0323200000000003</v>
      </c>
      <c r="AA40" s="171">
        <f t="shared" si="5"/>
        <v>821.76</v>
      </c>
      <c r="AB40" s="171">
        <f t="shared" si="6"/>
        <v>126.60848986836267</v>
      </c>
      <c r="AC40" s="171">
        <f t="shared" si="2"/>
        <v>19.194454404207011</v>
      </c>
      <c r="AD40" s="163">
        <v>31</v>
      </c>
      <c r="AE40" s="171">
        <f t="shared" si="7"/>
        <v>201.20735999999999</v>
      </c>
      <c r="AF40" s="190"/>
    </row>
    <row r="41" spans="1:32" ht="15.75" customHeight="1" x14ac:dyDescent="0.2">
      <c r="A41" s="159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65</v>
      </c>
      <c r="L41" s="163"/>
      <c r="M41" s="159">
        <v>0.9</v>
      </c>
      <c r="N41" s="163">
        <v>0</v>
      </c>
      <c r="O41" s="159"/>
      <c r="P41" s="160">
        <v>51.817143069591829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si="3"/>
        <v>0</v>
      </c>
      <c r="Z41" s="171">
        <f t="shared" si="4"/>
        <v>0</v>
      </c>
      <c r="AA41" s="171">
        <f t="shared" si="5"/>
        <v>0</v>
      </c>
      <c r="AB41" s="171">
        <f t="shared" si="6"/>
        <v>0</v>
      </c>
      <c r="AC41" s="171">
        <f t="shared" si="2"/>
        <v>0</v>
      </c>
      <c r="AD41" s="163">
        <v>0</v>
      </c>
      <c r="AE41" s="171">
        <f t="shared" si="7"/>
        <v>0</v>
      </c>
      <c r="AF41" s="190" t="s">
        <v>215</v>
      </c>
    </row>
    <row r="42" spans="1:32" ht="15.75" customHeight="1" x14ac:dyDescent="0.2">
      <c r="A42" s="159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135</v>
      </c>
      <c r="K42" s="158"/>
      <c r="L42" s="159">
        <v>210</v>
      </c>
      <c r="M42" s="159"/>
      <c r="N42" s="163">
        <v>1.2</v>
      </c>
      <c r="O42" s="159"/>
      <c r="P42" s="160">
        <v>38.772115760083679</v>
      </c>
      <c r="Q42" s="171">
        <f t="shared" si="10"/>
        <v>8.1</v>
      </c>
      <c r="R42" s="170">
        <v>4.0209999999999999</v>
      </c>
      <c r="S42" s="168">
        <v>6.5419999999999998</v>
      </c>
      <c r="T42" s="174">
        <v>4</v>
      </c>
      <c r="U42" s="171">
        <f>T42/R42</f>
        <v>0.99477741855259882</v>
      </c>
      <c r="V42" s="169">
        <f t="shared" si="9"/>
        <v>38.535616019565886</v>
      </c>
      <c r="W42" s="170">
        <v>1</v>
      </c>
      <c r="X42" s="171">
        <f t="shared" si="1"/>
        <v>0.80765432098765433</v>
      </c>
      <c r="Y42" s="171">
        <f t="shared" si="3"/>
        <v>3.8601599999999996</v>
      </c>
      <c r="Z42" s="171">
        <f t="shared" si="4"/>
        <v>6.2803199999999997</v>
      </c>
      <c r="AA42" s="171">
        <f t="shared" si="5"/>
        <v>3.84</v>
      </c>
      <c r="AB42" s="171">
        <f t="shared" si="6"/>
        <v>0.99477741855259882</v>
      </c>
      <c r="AC42" s="171">
        <f t="shared" si="2"/>
        <v>38.535616019565886</v>
      </c>
      <c r="AD42" s="163">
        <v>31</v>
      </c>
      <c r="AE42" s="171">
        <f t="shared" si="7"/>
        <v>119.66495999999999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422</v>
      </c>
      <c r="M43" s="166"/>
      <c r="N43" s="163">
        <v>2.5</v>
      </c>
      <c r="O43" s="166"/>
      <c r="P43" s="182">
        <v>15.391372381670534</v>
      </c>
      <c r="Q43" s="171">
        <f t="shared" si="10"/>
        <v>11.05</v>
      </c>
      <c r="R43" s="170">
        <v>3.5049999999999999</v>
      </c>
      <c r="S43" s="168">
        <v>4.923</v>
      </c>
      <c r="T43" s="171">
        <v>7</v>
      </c>
      <c r="U43" s="171">
        <f t="shared" si="8"/>
        <v>1.9971469329529246</v>
      </c>
      <c r="V43" s="169">
        <f t="shared" si="9"/>
        <v>28.803575055860254</v>
      </c>
      <c r="W43" s="170">
        <v>1</v>
      </c>
      <c r="X43" s="171">
        <f t="shared" si="1"/>
        <v>0.44552036199095019</v>
      </c>
      <c r="Y43" s="171">
        <f t="shared" si="3"/>
        <v>3.3647999999999998</v>
      </c>
      <c r="Z43" s="171">
        <f t="shared" si="4"/>
        <v>4.7260799999999996</v>
      </c>
      <c r="AA43" s="171">
        <f t="shared" si="5"/>
        <v>6.72</v>
      </c>
      <c r="AB43" s="171">
        <f>U43</f>
        <v>1.9971469329529246</v>
      </c>
      <c r="AC43" s="171">
        <f t="shared" si="2"/>
        <v>28.803575055860254</v>
      </c>
      <c r="AD43" s="163">
        <v>31</v>
      </c>
      <c r="AE43" s="171">
        <f t="shared" si="7"/>
        <v>104.30879999999999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564.41999999999996</v>
      </c>
      <c r="J44" s="163">
        <v>125</v>
      </c>
      <c r="K44" s="163"/>
      <c r="L44" s="163">
        <v>229</v>
      </c>
      <c r="M44" s="166"/>
      <c r="N44" s="182">
        <v>1.4</v>
      </c>
      <c r="O44" s="166"/>
      <c r="P44" s="182">
        <v>33.625326139507237</v>
      </c>
      <c r="Q44" s="171">
        <f t="shared" si="10"/>
        <v>7.5</v>
      </c>
      <c r="R44" s="170">
        <v>3.4289999999999998</v>
      </c>
      <c r="S44" s="168">
        <v>4.9749999999999996</v>
      </c>
      <c r="T44" s="171">
        <v>0</v>
      </c>
      <c r="U44" s="171">
        <f t="shared" si="8"/>
        <v>0</v>
      </c>
      <c r="V44" s="169">
        <f t="shared" si="9"/>
        <v>31.075376884422106</v>
      </c>
      <c r="W44" s="170">
        <v>1</v>
      </c>
      <c r="X44" s="171">
        <f t="shared" si="1"/>
        <v>0.66333333333333333</v>
      </c>
      <c r="Y44" s="171">
        <f t="shared" si="3"/>
        <v>3.2918399999999997</v>
      </c>
      <c r="Z44" s="171">
        <f t="shared" si="4"/>
        <v>4.7759999999999998</v>
      </c>
      <c r="AA44" s="171">
        <f t="shared" si="5"/>
        <v>0</v>
      </c>
      <c r="AB44" s="171">
        <f>U44</f>
        <v>0</v>
      </c>
      <c r="AC44" s="171">
        <f t="shared" si="2"/>
        <v>31.075376884422106</v>
      </c>
      <c r="AD44" s="163">
        <v>31</v>
      </c>
      <c r="AE44" s="171">
        <f t="shared" si="7"/>
        <v>102.04704</v>
      </c>
      <c r="AF44" s="179"/>
    </row>
    <row r="45" spans="1:32" ht="15.75" customHeight="1" x14ac:dyDescent="0.2">
      <c r="A45" s="163">
        <v>32</v>
      </c>
      <c r="B45" s="164" t="s">
        <v>196</v>
      </c>
      <c r="C45" s="163" t="s">
        <v>295</v>
      </c>
      <c r="D45" s="165">
        <v>641</v>
      </c>
      <c r="E45" s="163" t="s">
        <v>296</v>
      </c>
      <c r="F45" s="163">
        <v>177.8</v>
      </c>
      <c r="G45" s="163" t="s">
        <v>28</v>
      </c>
      <c r="H45" s="165" t="s">
        <v>218</v>
      </c>
      <c r="I45" s="158">
        <v>618.66999999999996</v>
      </c>
      <c r="J45" s="163">
        <v>65</v>
      </c>
      <c r="K45" s="163"/>
      <c r="L45" s="163">
        <v>513</v>
      </c>
      <c r="M45" s="166"/>
      <c r="N45" s="182">
        <v>3.9</v>
      </c>
      <c r="O45" s="166"/>
      <c r="P45" s="182">
        <v>14.51875964420738</v>
      </c>
      <c r="Q45" s="171">
        <f t="shared" si="10"/>
        <v>20.8</v>
      </c>
      <c r="R45" s="170">
        <v>1.0009999999999999</v>
      </c>
      <c r="S45" s="168">
        <v>1.7409999999999999</v>
      </c>
      <c r="T45" s="171">
        <v>7</v>
      </c>
      <c r="U45" s="171">
        <f t="shared" si="8"/>
        <v>6.9930069930069934</v>
      </c>
      <c r="V45" s="169">
        <f t="shared" si="9"/>
        <v>42.504307869040787</v>
      </c>
      <c r="W45" s="170">
        <v>1.2</v>
      </c>
      <c r="X45" s="171">
        <f t="shared" si="1"/>
        <v>8.3701923076923063E-2</v>
      </c>
      <c r="Y45" s="171">
        <f t="shared" si="3"/>
        <v>0.96095999999999981</v>
      </c>
      <c r="Z45" s="171">
        <f t="shared" si="4"/>
        <v>1.6713599999999997</v>
      </c>
      <c r="AA45" s="171">
        <f t="shared" si="5"/>
        <v>6.72</v>
      </c>
      <c r="AB45" s="171">
        <f>U45</f>
        <v>6.9930069930069934</v>
      </c>
      <c r="AC45" s="171">
        <f t="shared" si="2"/>
        <v>42.504307869040787</v>
      </c>
      <c r="AD45" s="163">
        <v>31</v>
      </c>
      <c r="AE45" s="171">
        <f t="shared" si="7"/>
        <v>29.789759999999994</v>
      </c>
      <c r="AF45" s="179"/>
    </row>
    <row r="46" spans="1:32" ht="15.75" customHeight="1" x14ac:dyDescent="0.2">
      <c r="A46" s="163">
        <v>33</v>
      </c>
      <c r="B46" s="164" t="s">
        <v>60</v>
      </c>
      <c r="C46" s="163" t="s">
        <v>46</v>
      </c>
      <c r="D46" s="165">
        <v>638.9</v>
      </c>
      <c r="E46" s="163" t="s">
        <v>95</v>
      </c>
      <c r="F46" s="163">
        <v>177.8</v>
      </c>
      <c r="G46" s="163" t="s">
        <v>28</v>
      </c>
      <c r="H46" s="165" t="s">
        <v>48</v>
      </c>
      <c r="I46" s="158">
        <v>546.64</v>
      </c>
      <c r="J46" s="163">
        <v>100</v>
      </c>
      <c r="K46" s="163"/>
      <c r="L46" s="166">
        <v>455</v>
      </c>
      <c r="M46" s="166"/>
      <c r="N46" s="163">
        <v>6.9</v>
      </c>
      <c r="O46" s="166"/>
      <c r="P46" s="167">
        <v>16.391903525083091</v>
      </c>
      <c r="Q46" s="168">
        <f t="shared" si="10"/>
        <v>13</v>
      </c>
      <c r="R46" s="169">
        <v>6.4980000000000002</v>
      </c>
      <c r="S46" s="168">
        <v>9.1509999999999998</v>
      </c>
      <c r="T46" s="168">
        <v>160</v>
      </c>
      <c r="U46" s="168">
        <f t="shared" si="8"/>
        <v>24.622960911049553</v>
      </c>
      <c r="V46" s="169">
        <f t="shared" si="9"/>
        <v>28.991367063708879</v>
      </c>
      <c r="W46" s="170">
        <v>0</v>
      </c>
      <c r="X46" s="171">
        <f t="shared" si="1"/>
        <v>0.70392307692307687</v>
      </c>
      <c r="Y46" s="171">
        <f t="shared" si="3"/>
        <v>6.2380800000000001</v>
      </c>
      <c r="Z46" s="171">
        <f t="shared" si="4"/>
        <v>8.7849599999999999</v>
      </c>
      <c r="AA46" s="171">
        <f t="shared" si="5"/>
        <v>153.6</v>
      </c>
      <c r="AB46" s="171">
        <f t="shared" si="6"/>
        <v>24.622960911049553</v>
      </c>
      <c r="AC46" s="171">
        <f t="shared" si="2"/>
        <v>28.991367063708879</v>
      </c>
      <c r="AD46" s="163">
        <v>31</v>
      </c>
      <c r="AE46" s="171">
        <f t="shared" si="7"/>
        <v>193.38048000000001</v>
      </c>
      <c r="AF46" s="179"/>
    </row>
    <row r="47" spans="1:32" ht="15.75" customHeight="1" x14ac:dyDescent="0.2">
      <c r="A47" s="163">
        <v>34</v>
      </c>
      <c r="B47" s="164" t="s">
        <v>119</v>
      </c>
      <c r="C47" s="163" t="s">
        <v>46</v>
      </c>
      <c r="D47" s="165">
        <v>654.07000000000005</v>
      </c>
      <c r="E47" s="163" t="s">
        <v>126</v>
      </c>
      <c r="F47" s="163">
        <v>177.8</v>
      </c>
      <c r="G47" s="163" t="s">
        <v>28</v>
      </c>
      <c r="H47" s="165" t="s">
        <v>48</v>
      </c>
      <c r="I47" s="158">
        <v>526.6</v>
      </c>
      <c r="J47" s="163">
        <v>0</v>
      </c>
      <c r="K47" s="166">
        <v>490</v>
      </c>
      <c r="L47" s="163"/>
      <c r="M47" s="166">
        <v>1.9</v>
      </c>
      <c r="N47" s="163">
        <v>0</v>
      </c>
      <c r="O47" s="166"/>
      <c r="P47" s="167">
        <v>9.8666917204081628</v>
      </c>
      <c r="Q47" s="168">
        <f t="shared" si="10"/>
        <v>0</v>
      </c>
      <c r="R47" s="169">
        <v>0</v>
      </c>
      <c r="S47" s="168">
        <v>0</v>
      </c>
      <c r="T47" s="168">
        <v>0</v>
      </c>
      <c r="U47" s="168">
        <v>0</v>
      </c>
      <c r="V47" s="169">
        <v>0</v>
      </c>
      <c r="W47" s="170">
        <v>0</v>
      </c>
      <c r="X47" s="171">
        <v>0</v>
      </c>
      <c r="Y47" s="171">
        <f t="shared" si="3"/>
        <v>0</v>
      </c>
      <c r="Z47" s="171">
        <f t="shared" si="4"/>
        <v>0</v>
      </c>
      <c r="AA47" s="171">
        <f t="shared" si="5"/>
        <v>0</v>
      </c>
      <c r="AB47" s="171">
        <f t="shared" si="6"/>
        <v>0</v>
      </c>
      <c r="AC47" s="171">
        <f t="shared" si="2"/>
        <v>0</v>
      </c>
      <c r="AD47" s="163">
        <v>0</v>
      </c>
      <c r="AE47" s="171">
        <f t="shared" si="7"/>
        <v>0</v>
      </c>
      <c r="AF47" s="190" t="s">
        <v>215</v>
      </c>
    </row>
    <row r="48" spans="1:32" ht="15.75" customHeight="1" x14ac:dyDescent="0.2">
      <c r="A48" s="163">
        <v>35</v>
      </c>
      <c r="B48" s="164" t="s">
        <v>118</v>
      </c>
      <c r="C48" s="163" t="s">
        <v>46</v>
      </c>
      <c r="D48" s="165">
        <v>728.77</v>
      </c>
      <c r="E48" s="163" t="s">
        <v>133</v>
      </c>
      <c r="F48" s="163">
        <v>177.8</v>
      </c>
      <c r="G48" s="163" t="s">
        <v>28</v>
      </c>
      <c r="H48" s="165" t="s">
        <v>48</v>
      </c>
      <c r="I48" s="158">
        <v>557.04999999999995</v>
      </c>
      <c r="J48" s="163">
        <v>100</v>
      </c>
      <c r="K48" s="163"/>
      <c r="L48" s="166">
        <v>411</v>
      </c>
      <c r="M48" s="166"/>
      <c r="N48" s="163">
        <v>7.4</v>
      </c>
      <c r="O48" s="166"/>
      <c r="P48" s="167">
        <v>23.095744238238815</v>
      </c>
      <c r="Q48" s="168">
        <f t="shared" si="10"/>
        <v>13</v>
      </c>
      <c r="R48" s="169">
        <v>1.359</v>
      </c>
      <c r="S48" s="168">
        <v>7.9279999999999999</v>
      </c>
      <c r="T48" s="168">
        <v>83</v>
      </c>
      <c r="U48" s="168">
        <f>T48/R48</f>
        <v>61.074319352465047</v>
      </c>
      <c r="V48" s="169">
        <f t="shared" si="9"/>
        <v>82.858224016145314</v>
      </c>
      <c r="W48" s="170">
        <v>5</v>
      </c>
      <c r="X48" s="171">
        <f t="shared" ref="X48:X55" si="11">S48/Q48</f>
        <v>0.60984615384615382</v>
      </c>
      <c r="Y48" s="171">
        <f t="shared" si="3"/>
        <v>1.30464</v>
      </c>
      <c r="Z48" s="171">
        <f t="shared" si="4"/>
        <v>7.6108799999999999</v>
      </c>
      <c r="AA48" s="171">
        <f t="shared" si="5"/>
        <v>79.679999999999993</v>
      </c>
      <c r="AB48" s="171">
        <f t="shared" si="6"/>
        <v>61.074319352465047</v>
      </c>
      <c r="AC48" s="171">
        <f t="shared" si="2"/>
        <v>82.858224016145314</v>
      </c>
      <c r="AD48" s="163">
        <v>31</v>
      </c>
      <c r="AE48" s="171">
        <f t="shared" si="7"/>
        <v>40.443840000000002</v>
      </c>
      <c r="AF48" s="179"/>
    </row>
    <row r="49" spans="1:32" ht="15.75" customHeight="1" x14ac:dyDescent="0.2">
      <c r="A49" s="163">
        <v>36</v>
      </c>
      <c r="B49" s="164" t="s">
        <v>117</v>
      </c>
      <c r="C49" s="163" t="s">
        <v>46</v>
      </c>
      <c r="D49" s="165">
        <v>671.45</v>
      </c>
      <c r="E49" s="163" t="s">
        <v>128</v>
      </c>
      <c r="F49" s="163">
        <v>177.8</v>
      </c>
      <c r="G49" s="163" t="s">
        <v>28</v>
      </c>
      <c r="H49" s="165" t="s">
        <v>187</v>
      </c>
      <c r="I49" s="158">
        <v>559.39</v>
      </c>
      <c r="J49" s="163">
        <v>265</v>
      </c>
      <c r="K49" s="163"/>
      <c r="L49" s="166">
        <v>406</v>
      </c>
      <c r="M49" s="166"/>
      <c r="N49" s="163">
        <v>5.0999999999999996</v>
      </c>
      <c r="O49" s="166"/>
      <c r="P49" s="167">
        <v>21.406833216517118</v>
      </c>
      <c r="Q49" s="168">
        <f t="shared" si="10"/>
        <v>15.9</v>
      </c>
      <c r="R49" s="169">
        <v>2.0059999999999998</v>
      </c>
      <c r="S49" s="168">
        <v>4.8289999999999997</v>
      </c>
      <c r="T49" s="168">
        <v>0</v>
      </c>
      <c r="U49" s="168">
        <f t="shared" ref="U49:U55" si="12">T49/R49</f>
        <v>0</v>
      </c>
      <c r="V49" s="169">
        <f t="shared" si="9"/>
        <v>58.459308345413127</v>
      </c>
      <c r="W49" s="170">
        <v>1</v>
      </c>
      <c r="X49" s="171">
        <v>0.2</v>
      </c>
      <c r="Y49" s="171">
        <f t="shared" si="3"/>
        <v>1.9257599999999997</v>
      </c>
      <c r="Z49" s="171">
        <f t="shared" si="4"/>
        <v>4.63584</v>
      </c>
      <c r="AA49" s="171">
        <f t="shared" si="5"/>
        <v>0</v>
      </c>
      <c r="AB49" s="171">
        <f t="shared" si="6"/>
        <v>0</v>
      </c>
      <c r="AC49" s="171">
        <f t="shared" si="2"/>
        <v>58.459308345413127</v>
      </c>
      <c r="AD49" s="163">
        <v>31</v>
      </c>
      <c r="AE49" s="171">
        <f t="shared" si="7"/>
        <v>59.698559999999993</v>
      </c>
      <c r="AF49" s="172"/>
    </row>
    <row r="50" spans="1:32" ht="15.75" customHeight="1" x14ac:dyDescent="0.2">
      <c r="A50" s="163">
        <v>37</v>
      </c>
      <c r="B50" s="164" t="s">
        <v>130</v>
      </c>
      <c r="C50" s="163" t="s">
        <v>46</v>
      </c>
      <c r="D50" s="165">
        <v>622.6</v>
      </c>
      <c r="E50" s="163" t="s">
        <v>134</v>
      </c>
      <c r="F50" s="163">
        <v>177.8</v>
      </c>
      <c r="G50" s="163" t="s">
        <v>28</v>
      </c>
      <c r="H50" s="165" t="s">
        <v>48</v>
      </c>
      <c r="I50" s="158">
        <v>551.79999999999995</v>
      </c>
      <c r="J50" s="163">
        <v>85</v>
      </c>
      <c r="K50" s="163"/>
      <c r="L50" s="166">
        <v>95</v>
      </c>
      <c r="M50" s="166"/>
      <c r="N50" s="163">
        <v>5.4</v>
      </c>
      <c r="O50" s="166"/>
      <c r="P50" s="167">
        <v>52.855967614093878</v>
      </c>
      <c r="Q50" s="168">
        <f t="shared" si="10"/>
        <v>11.05</v>
      </c>
      <c r="R50" s="169">
        <v>0.14699999999999999</v>
      </c>
      <c r="S50" s="168">
        <v>9.1820000000000004</v>
      </c>
      <c r="T50" s="168">
        <v>0</v>
      </c>
      <c r="U50" s="168">
        <f t="shared" si="12"/>
        <v>0</v>
      </c>
      <c r="V50" s="169">
        <f t="shared" si="9"/>
        <v>98.399041603136567</v>
      </c>
      <c r="W50" s="170">
        <v>0</v>
      </c>
      <c r="X50" s="171">
        <f t="shared" si="11"/>
        <v>0.83095022624434389</v>
      </c>
      <c r="Y50" s="171">
        <f t="shared" si="3"/>
        <v>0.14112</v>
      </c>
      <c r="Z50" s="171">
        <f t="shared" si="4"/>
        <v>8.8147199999999994</v>
      </c>
      <c r="AA50" s="171">
        <f t="shared" si="5"/>
        <v>0</v>
      </c>
      <c r="AB50" s="171">
        <f t="shared" si="6"/>
        <v>0</v>
      </c>
      <c r="AC50" s="171">
        <f t="shared" si="2"/>
        <v>98.399041603136567</v>
      </c>
      <c r="AD50" s="163">
        <v>31</v>
      </c>
      <c r="AE50" s="171">
        <f t="shared" si="7"/>
        <v>4.3747199999999999</v>
      </c>
      <c r="AF50" s="172"/>
    </row>
    <row r="51" spans="1:32" ht="15.75" customHeight="1" x14ac:dyDescent="0.2">
      <c r="A51" s="194">
        <v>38</v>
      </c>
      <c r="B51" s="193" t="s">
        <v>115</v>
      </c>
      <c r="C51" s="194" t="s">
        <v>46</v>
      </c>
      <c r="D51" s="195">
        <v>671.43</v>
      </c>
      <c r="E51" s="194" t="s">
        <v>286</v>
      </c>
      <c r="F51" s="163">
        <v>177.8</v>
      </c>
      <c r="G51" s="194" t="s">
        <v>28</v>
      </c>
      <c r="H51" s="195" t="s">
        <v>291</v>
      </c>
      <c r="I51" s="196">
        <v>565.80999999999995</v>
      </c>
      <c r="J51" s="194">
        <v>260</v>
      </c>
      <c r="K51" s="194"/>
      <c r="L51" s="197">
        <v>440</v>
      </c>
      <c r="M51" s="197"/>
      <c r="N51" s="163">
        <v>3.2</v>
      </c>
      <c r="O51" s="197"/>
      <c r="P51" s="198">
        <v>15.780271187968243</v>
      </c>
      <c r="Q51" s="199">
        <f t="shared" si="10"/>
        <v>7.8</v>
      </c>
      <c r="R51" s="200">
        <v>2.8679999999999999</v>
      </c>
      <c r="S51" s="168">
        <v>3.2029999999999998</v>
      </c>
      <c r="T51" s="199">
        <v>0</v>
      </c>
      <c r="U51" s="168">
        <f t="shared" si="12"/>
        <v>0</v>
      </c>
      <c r="V51" s="169">
        <f t="shared" si="9"/>
        <v>10.458944739306899</v>
      </c>
      <c r="W51" s="201">
        <v>0.5</v>
      </c>
      <c r="X51" s="171">
        <f t="shared" si="11"/>
        <v>0.41064102564102561</v>
      </c>
      <c r="Y51" s="171">
        <f t="shared" si="3"/>
        <v>2.7532799999999997</v>
      </c>
      <c r="Z51" s="171">
        <f t="shared" si="4"/>
        <v>3.0748799999999998</v>
      </c>
      <c r="AA51" s="171">
        <f t="shared" si="5"/>
        <v>0</v>
      </c>
      <c r="AB51" s="202">
        <f t="shared" si="6"/>
        <v>0</v>
      </c>
      <c r="AC51" s="171">
        <f t="shared" si="2"/>
        <v>10.458944739306899</v>
      </c>
      <c r="AD51" s="163">
        <v>31</v>
      </c>
      <c r="AE51" s="202">
        <f t="shared" si="7"/>
        <v>85.351679999999988</v>
      </c>
      <c r="AF51" s="172"/>
    </row>
    <row r="52" spans="1:32" ht="15.75" customHeight="1" x14ac:dyDescent="0.2">
      <c r="A52" s="163">
        <v>39</v>
      </c>
      <c r="B52" s="164" t="s">
        <v>116</v>
      </c>
      <c r="C52" s="163" t="s">
        <v>46</v>
      </c>
      <c r="D52" s="165">
        <v>681.27</v>
      </c>
      <c r="E52" s="163" t="s">
        <v>124</v>
      </c>
      <c r="F52" s="163">
        <v>177.8</v>
      </c>
      <c r="G52" s="163" t="s">
        <v>28</v>
      </c>
      <c r="H52" s="165" t="s">
        <v>53</v>
      </c>
      <c r="I52" s="158">
        <v>558.35</v>
      </c>
      <c r="J52" s="163">
        <v>160</v>
      </c>
      <c r="K52" s="163"/>
      <c r="L52" s="166">
        <v>397</v>
      </c>
      <c r="M52" s="166"/>
      <c r="N52" s="163">
        <v>1.4</v>
      </c>
      <c r="O52" s="166"/>
      <c r="P52" s="167">
        <v>18.086272108194869</v>
      </c>
      <c r="Q52" s="199">
        <f t="shared" si="10"/>
        <v>20.8</v>
      </c>
      <c r="R52" s="169">
        <v>5.843</v>
      </c>
      <c r="S52" s="168">
        <v>7.4269999999999996</v>
      </c>
      <c r="T52" s="168">
        <v>3</v>
      </c>
      <c r="U52" s="168">
        <f t="shared" si="12"/>
        <v>0.51343487934280341</v>
      </c>
      <c r="V52" s="169">
        <f t="shared" si="9"/>
        <v>21.327588528342531</v>
      </c>
      <c r="W52" s="170">
        <v>1</v>
      </c>
      <c r="X52" s="171">
        <f t="shared" si="11"/>
        <v>0.35706730769230766</v>
      </c>
      <c r="Y52" s="171">
        <f t="shared" si="3"/>
        <v>5.60928</v>
      </c>
      <c r="Z52" s="171">
        <f t="shared" si="4"/>
        <v>7.1299199999999994</v>
      </c>
      <c r="AA52" s="171">
        <f t="shared" si="5"/>
        <v>2.88</v>
      </c>
      <c r="AB52" s="171">
        <f t="shared" si="6"/>
        <v>0.51343487934280341</v>
      </c>
      <c r="AC52" s="171">
        <f t="shared" si="2"/>
        <v>21.327588528342531</v>
      </c>
      <c r="AD52" s="163">
        <v>31</v>
      </c>
      <c r="AE52" s="171">
        <f t="shared" si="7"/>
        <v>173.88767999999999</v>
      </c>
      <c r="AF52" s="172"/>
    </row>
    <row r="53" spans="1:32" ht="15.75" customHeight="1" x14ac:dyDescent="0.2">
      <c r="A53" s="163">
        <v>40</v>
      </c>
      <c r="B53" s="164" t="s">
        <v>120</v>
      </c>
      <c r="C53" s="163" t="s">
        <v>46</v>
      </c>
      <c r="D53" s="165">
        <v>668.57</v>
      </c>
      <c r="E53" s="163" t="s">
        <v>285</v>
      </c>
      <c r="F53" s="163">
        <v>177.8</v>
      </c>
      <c r="G53" s="163" t="s">
        <v>28</v>
      </c>
      <c r="H53" s="165" t="s">
        <v>48</v>
      </c>
      <c r="I53" s="158">
        <v>567.08000000000004</v>
      </c>
      <c r="J53" s="163">
        <v>110</v>
      </c>
      <c r="K53" s="163"/>
      <c r="L53" s="166">
        <v>399</v>
      </c>
      <c r="M53" s="166"/>
      <c r="N53" s="163">
        <v>0.8</v>
      </c>
      <c r="O53" s="166"/>
      <c r="P53" s="167">
        <v>17.664892963303302</v>
      </c>
      <c r="Q53" s="168">
        <f t="shared" si="10"/>
        <v>14.3</v>
      </c>
      <c r="R53" s="169">
        <v>3.1589999999999998</v>
      </c>
      <c r="S53" s="168">
        <v>3.9859999999999998</v>
      </c>
      <c r="T53" s="168">
        <v>0</v>
      </c>
      <c r="U53" s="168">
        <f t="shared" si="12"/>
        <v>0</v>
      </c>
      <c r="V53" s="169">
        <f t="shared" si="9"/>
        <v>20.747616658304064</v>
      </c>
      <c r="W53" s="170">
        <v>3</v>
      </c>
      <c r="X53" s="171">
        <f t="shared" si="11"/>
        <v>0.27874125874125871</v>
      </c>
      <c r="Y53" s="171">
        <f t="shared" si="3"/>
        <v>3.0326399999999998</v>
      </c>
      <c r="Z53" s="171">
        <f t="shared" si="4"/>
        <v>3.8265599999999997</v>
      </c>
      <c r="AA53" s="171">
        <f t="shared" si="5"/>
        <v>0</v>
      </c>
      <c r="AB53" s="171">
        <f t="shared" si="6"/>
        <v>0</v>
      </c>
      <c r="AC53" s="171">
        <f t="shared" si="2"/>
        <v>20.747616658304064</v>
      </c>
      <c r="AD53" s="163">
        <v>31</v>
      </c>
      <c r="AE53" s="171">
        <f t="shared" si="7"/>
        <v>94.011839999999992</v>
      </c>
      <c r="AF53" s="172"/>
    </row>
    <row r="54" spans="1:32" ht="15.75" customHeight="1" x14ac:dyDescent="0.2">
      <c r="A54" s="163">
        <v>41</v>
      </c>
      <c r="B54" s="164" t="s">
        <v>114</v>
      </c>
      <c r="C54" s="163" t="s">
        <v>46</v>
      </c>
      <c r="D54" s="165">
        <v>584.25</v>
      </c>
      <c r="E54" s="163" t="s">
        <v>123</v>
      </c>
      <c r="F54" s="163">
        <v>177.8</v>
      </c>
      <c r="G54" s="163" t="s">
        <v>28</v>
      </c>
      <c r="H54" s="165" t="s">
        <v>125</v>
      </c>
      <c r="I54" s="158">
        <v>565.08000000000004</v>
      </c>
      <c r="J54" s="163">
        <v>240</v>
      </c>
      <c r="K54" s="163"/>
      <c r="L54" s="166">
        <v>58</v>
      </c>
      <c r="M54" s="166"/>
      <c r="N54" s="163">
        <v>1.3</v>
      </c>
      <c r="O54" s="166"/>
      <c r="P54" s="167">
        <v>51.801798262541375</v>
      </c>
      <c r="Q54" s="168">
        <f t="shared" si="10"/>
        <v>7.2</v>
      </c>
      <c r="R54" s="169">
        <v>0.16</v>
      </c>
      <c r="S54" s="168">
        <v>0.32400000000000001</v>
      </c>
      <c r="T54" s="168">
        <v>0</v>
      </c>
      <c r="U54" s="168">
        <f t="shared" si="12"/>
        <v>0</v>
      </c>
      <c r="V54" s="169">
        <f t="shared" si="9"/>
        <v>50.617283950617285</v>
      </c>
      <c r="W54" s="170">
        <v>0.3</v>
      </c>
      <c r="X54" s="171">
        <f t="shared" si="11"/>
        <v>4.4999999999999998E-2</v>
      </c>
      <c r="Y54" s="171">
        <f t="shared" si="3"/>
        <v>0.15359999999999999</v>
      </c>
      <c r="Z54" s="171">
        <f t="shared" si="4"/>
        <v>0.31103999999999998</v>
      </c>
      <c r="AA54" s="171">
        <f t="shared" si="5"/>
        <v>0</v>
      </c>
      <c r="AB54" s="171">
        <f t="shared" si="6"/>
        <v>0</v>
      </c>
      <c r="AC54" s="171">
        <f t="shared" si="2"/>
        <v>50.617283950617285</v>
      </c>
      <c r="AD54" s="163">
        <v>31</v>
      </c>
      <c r="AE54" s="171">
        <f t="shared" si="7"/>
        <v>4.7615999999999996</v>
      </c>
      <c r="AF54" s="203"/>
    </row>
    <row r="55" spans="1:32" ht="15.75" customHeight="1" x14ac:dyDescent="0.2">
      <c r="A55" s="163">
        <v>42</v>
      </c>
      <c r="B55" s="164" t="s">
        <v>106</v>
      </c>
      <c r="C55" s="163" t="s">
        <v>46</v>
      </c>
      <c r="D55" s="165">
        <v>642.52</v>
      </c>
      <c r="E55" s="163" t="s">
        <v>111</v>
      </c>
      <c r="F55" s="163">
        <v>177.8</v>
      </c>
      <c r="G55" s="163" t="s">
        <v>28</v>
      </c>
      <c r="H55" s="165" t="s">
        <v>52</v>
      </c>
      <c r="I55" s="158">
        <v>556.65</v>
      </c>
      <c r="J55" s="163">
        <v>75</v>
      </c>
      <c r="K55" s="163"/>
      <c r="L55" s="163">
        <v>189</v>
      </c>
      <c r="M55" s="163"/>
      <c r="N55" s="163">
        <v>7</v>
      </c>
      <c r="O55" s="163"/>
      <c r="P55" s="182">
        <v>45.362806653539891</v>
      </c>
      <c r="Q55" s="171">
        <f t="shared" si="10"/>
        <v>16.5</v>
      </c>
      <c r="R55" s="170">
        <v>0.214</v>
      </c>
      <c r="S55" s="168">
        <v>3.456</v>
      </c>
      <c r="T55" s="171">
        <v>8</v>
      </c>
      <c r="U55" s="168">
        <f t="shared" si="12"/>
        <v>37.383177570093459</v>
      </c>
      <c r="V55" s="169">
        <f t="shared" si="9"/>
        <v>93.807870370370367</v>
      </c>
      <c r="W55" s="170">
        <v>1</v>
      </c>
      <c r="X55" s="171">
        <f t="shared" si="11"/>
        <v>0.20945454545454545</v>
      </c>
      <c r="Y55" s="171">
        <f t="shared" si="3"/>
        <v>0.20543999999999998</v>
      </c>
      <c r="Z55" s="171">
        <f t="shared" si="4"/>
        <v>3.3177599999999998</v>
      </c>
      <c r="AA55" s="171">
        <f t="shared" si="5"/>
        <v>7.68</v>
      </c>
      <c r="AB55" s="171">
        <f t="shared" si="6"/>
        <v>37.383177570093459</v>
      </c>
      <c r="AC55" s="171">
        <f t="shared" si="2"/>
        <v>93.807870370370367</v>
      </c>
      <c r="AD55" s="163">
        <v>31</v>
      </c>
      <c r="AE55" s="171">
        <f t="shared" si="7"/>
        <v>6.3686399999999992</v>
      </c>
      <c r="AF55" s="343"/>
    </row>
    <row r="56" spans="1:32" ht="15.75" customHeight="1" x14ac:dyDescent="0.2">
      <c r="A56" s="163">
        <v>43</v>
      </c>
      <c r="B56" s="164" t="s">
        <v>105</v>
      </c>
      <c r="C56" s="163" t="s">
        <v>46</v>
      </c>
      <c r="D56" s="165">
        <v>678.58</v>
      </c>
      <c r="E56" s="163" t="s">
        <v>110</v>
      </c>
      <c r="F56" s="163">
        <v>177.8</v>
      </c>
      <c r="G56" s="163" t="s">
        <v>28</v>
      </c>
      <c r="H56" s="165" t="s">
        <v>52</v>
      </c>
      <c r="I56" s="158">
        <v>529.41</v>
      </c>
      <c r="J56" s="163">
        <v>0</v>
      </c>
      <c r="K56" s="163">
        <v>266</v>
      </c>
      <c r="L56" s="163"/>
      <c r="M56" s="163">
        <v>2</v>
      </c>
      <c r="N56" s="163"/>
      <c r="O56" s="163"/>
      <c r="P56" s="182">
        <v>32.78</v>
      </c>
      <c r="Q56" s="171">
        <f t="shared" si="10"/>
        <v>0</v>
      </c>
      <c r="R56" s="170">
        <v>0</v>
      </c>
      <c r="S56" s="168">
        <v>0</v>
      </c>
      <c r="T56" s="171">
        <v>0</v>
      </c>
      <c r="U56" s="168">
        <f>IF(R56=0,0,T56/R56)</f>
        <v>0</v>
      </c>
      <c r="V56" s="169">
        <v>0</v>
      </c>
      <c r="W56" s="170">
        <v>0</v>
      </c>
      <c r="X56" s="171">
        <v>0</v>
      </c>
      <c r="Y56" s="171">
        <f t="shared" si="3"/>
        <v>0</v>
      </c>
      <c r="Z56" s="171">
        <f t="shared" si="4"/>
        <v>0</v>
      </c>
      <c r="AA56" s="171">
        <f t="shared" si="5"/>
        <v>0</v>
      </c>
      <c r="AB56" s="171">
        <f t="shared" si="6"/>
        <v>0</v>
      </c>
      <c r="AC56" s="171">
        <f t="shared" si="2"/>
        <v>0</v>
      </c>
      <c r="AD56" s="163">
        <v>0</v>
      </c>
      <c r="AE56" s="171">
        <f t="shared" si="7"/>
        <v>0</v>
      </c>
      <c r="AF56" s="172" t="s">
        <v>215</v>
      </c>
    </row>
    <row r="57" spans="1:32" ht="15.75" customHeight="1" x14ac:dyDescent="0.2">
      <c r="A57" s="163">
        <v>44</v>
      </c>
      <c r="B57" s="164" t="s">
        <v>104</v>
      </c>
      <c r="C57" s="163" t="s">
        <v>46</v>
      </c>
      <c r="D57" s="165">
        <v>707.14</v>
      </c>
      <c r="E57" s="163" t="s">
        <v>231</v>
      </c>
      <c r="F57" s="163">
        <v>177.8</v>
      </c>
      <c r="G57" s="163" t="s">
        <v>28</v>
      </c>
      <c r="H57" s="165" t="s">
        <v>52</v>
      </c>
      <c r="I57" s="158">
        <v>555</v>
      </c>
      <c r="J57" s="166">
        <v>0</v>
      </c>
      <c r="K57" s="163">
        <v>300</v>
      </c>
      <c r="L57" s="163"/>
      <c r="M57" s="163">
        <v>1.8</v>
      </c>
      <c r="N57" s="163"/>
      <c r="O57" s="163"/>
      <c r="P57" s="182">
        <v>27.462343723579426</v>
      </c>
      <c r="Q57" s="171">
        <f t="shared" si="10"/>
        <v>0</v>
      </c>
      <c r="R57" s="170">
        <v>0</v>
      </c>
      <c r="S57" s="168">
        <v>0</v>
      </c>
      <c r="T57" s="171">
        <v>0</v>
      </c>
      <c r="U57" s="171">
        <f>IF(T57=0,0,T57/R57)</f>
        <v>0</v>
      </c>
      <c r="V57" s="171">
        <f>IF(U57=0,0,U57/S57)</f>
        <v>0</v>
      </c>
      <c r="W57" s="170">
        <v>0</v>
      </c>
      <c r="X57" s="171">
        <f>IF(S57=0,0,S57/Q57)</f>
        <v>0</v>
      </c>
      <c r="Y57" s="171">
        <f t="shared" si="3"/>
        <v>0</v>
      </c>
      <c r="Z57" s="171">
        <f t="shared" si="4"/>
        <v>0</v>
      </c>
      <c r="AA57" s="171">
        <f t="shared" si="5"/>
        <v>0</v>
      </c>
      <c r="AB57" s="171">
        <f t="shared" si="6"/>
        <v>0</v>
      </c>
      <c r="AC57" s="171">
        <f t="shared" si="2"/>
        <v>0</v>
      </c>
      <c r="AD57" s="163">
        <v>0</v>
      </c>
      <c r="AE57" s="171">
        <f t="shared" si="7"/>
        <v>0</v>
      </c>
      <c r="AF57" s="172" t="s">
        <v>300</v>
      </c>
    </row>
    <row r="58" spans="1:32" ht="15.75" customHeight="1" x14ac:dyDescent="0.2">
      <c r="A58" s="158">
        <v>45</v>
      </c>
      <c r="B58" s="204" t="s">
        <v>158</v>
      </c>
      <c r="C58" s="163" t="s">
        <v>46</v>
      </c>
      <c r="D58" s="158">
        <v>674.45</v>
      </c>
      <c r="E58" s="158" t="s">
        <v>232</v>
      </c>
      <c r="F58" s="163">
        <v>177.8</v>
      </c>
      <c r="G58" s="163" t="s">
        <v>28</v>
      </c>
      <c r="H58" s="165" t="s">
        <v>52</v>
      </c>
      <c r="I58" s="158">
        <v>543.72</v>
      </c>
      <c r="J58" s="158">
        <v>160</v>
      </c>
      <c r="K58" s="158"/>
      <c r="L58" s="158">
        <v>454</v>
      </c>
      <c r="M58" s="158"/>
      <c r="N58" s="163">
        <v>8.3000000000000007</v>
      </c>
      <c r="O58" s="158"/>
      <c r="P58" s="160">
        <v>18.113275182035562</v>
      </c>
      <c r="Q58" s="171">
        <f t="shared" si="10"/>
        <v>35.200000000000003</v>
      </c>
      <c r="R58" s="170">
        <v>10.461</v>
      </c>
      <c r="S58" s="168">
        <v>13.268000000000001</v>
      </c>
      <c r="T58" s="174">
        <v>431</v>
      </c>
      <c r="U58" s="171">
        <f>T58/R58</f>
        <v>41.200650033457606</v>
      </c>
      <c r="V58" s="169">
        <f t="shared" si="9"/>
        <v>21.156165209526684</v>
      </c>
      <c r="W58" s="170">
        <v>2</v>
      </c>
      <c r="X58" s="171">
        <f t="shared" ref="X58:X74" si="13">S58/Q58</f>
        <v>0.37693181818181815</v>
      </c>
      <c r="Y58" s="171">
        <f t="shared" si="3"/>
        <v>10.04256</v>
      </c>
      <c r="Z58" s="171">
        <f t="shared" si="4"/>
        <v>12.73728</v>
      </c>
      <c r="AA58" s="171">
        <f t="shared" si="5"/>
        <v>413.76</v>
      </c>
      <c r="AB58" s="171">
        <f t="shared" si="6"/>
        <v>41.200650033457606</v>
      </c>
      <c r="AC58" s="171">
        <f t="shared" si="2"/>
        <v>21.156165209526684</v>
      </c>
      <c r="AD58" s="163">
        <v>31</v>
      </c>
      <c r="AE58" s="171">
        <f>Y58*AD58</f>
        <v>311.31936000000002</v>
      </c>
    </row>
    <row r="59" spans="1:32" ht="15.75" customHeight="1" x14ac:dyDescent="0.2">
      <c r="A59" s="158">
        <v>46</v>
      </c>
      <c r="B59" s="204" t="s">
        <v>160</v>
      </c>
      <c r="C59" s="163" t="s">
        <v>46</v>
      </c>
      <c r="D59" s="158">
        <v>677.33</v>
      </c>
      <c r="E59" s="158" t="s">
        <v>165</v>
      </c>
      <c r="F59" s="163">
        <v>177.8</v>
      </c>
      <c r="G59" s="163" t="s">
        <v>28</v>
      </c>
      <c r="H59" s="165" t="s">
        <v>52</v>
      </c>
      <c r="I59" s="158">
        <v>555.41999999999996</v>
      </c>
      <c r="J59" s="158">
        <v>0</v>
      </c>
      <c r="K59" s="158">
        <v>473</v>
      </c>
      <c r="L59" s="163"/>
      <c r="M59" s="158">
        <v>0.7</v>
      </c>
      <c r="N59" s="163"/>
      <c r="O59" s="158"/>
      <c r="P59" s="160">
        <v>10.79</v>
      </c>
      <c r="Q59" s="171">
        <f t="shared" si="10"/>
        <v>0</v>
      </c>
      <c r="R59" s="170">
        <v>0</v>
      </c>
      <c r="S59" s="168">
        <v>0</v>
      </c>
      <c r="T59" s="174">
        <v>0</v>
      </c>
      <c r="U59" s="171">
        <v>0</v>
      </c>
      <c r="V59" s="169">
        <v>0</v>
      </c>
      <c r="W59" s="170">
        <v>0</v>
      </c>
      <c r="X59" s="171">
        <v>0</v>
      </c>
      <c r="Y59" s="171">
        <f t="shared" si="3"/>
        <v>0</v>
      </c>
      <c r="Z59" s="171">
        <f t="shared" si="4"/>
        <v>0</v>
      </c>
      <c r="AA59" s="171">
        <f t="shared" si="5"/>
        <v>0</v>
      </c>
      <c r="AB59" s="171">
        <f t="shared" si="6"/>
        <v>0</v>
      </c>
      <c r="AC59" s="171">
        <v>0</v>
      </c>
      <c r="AD59" s="163">
        <v>0</v>
      </c>
      <c r="AE59" s="171">
        <f>Y59*AD59</f>
        <v>0</v>
      </c>
      <c r="AF59" s="172" t="s">
        <v>301</v>
      </c>
    </row>
    <row r="60" spans="1:32" ht="15.75" customHeight="1" x14ac:dyDescent="0.2">
      <c r="A60" s="163">
        <v>47</v>
      </c>
      <c r="B60" s="164" t="s">
        <v>164</v>
      </c>
      <c r="C60" s="163" t="s">
        <v>46</v>
      </c>
      <c r="D60" s="158">
        <v>678.47</v>
      </c>
      <c r="E60" s="158" t="s">
        <v>233</v>
      </c>
      <c r="F60" s="163">
        <v>177.8</v>
      </c>
      <c r="G60" s="163" t="s">
        <v>28</v>
      </c>
      <c r="H60" s="165" t="s">
        <v>48</v>
      </c>
      <c r="I60" s="158">
        <v>563.11</v>
      </c>
      <c r="J60" s="158">
        <v>105</v>
      </c>
      <c r="K60" s="158"/>
      <c r="L60" s="158">
        <v>421</v>
      </c>
      <c r="M60" s="158"/>
      <c r="N60" s="163">
        <v>2.4</v>
      </c>
      <c r="O60" s="158"/>
      <c r="P60" s="182">
        <v>17.38343847716008</v>
      </c>
      <c r="Q60" s="171">
        <f t="shared" si="10"/>
        <v>13.65</v>
      </c>
      <c r="R60" s="170">
        <v>5.5209999999999999</v>
      </c>
      <c r="S60" s="168">
        <v>6.7069999999999999</v>
      </c>
      <c r="T60" s="171">
        <v>18</v>
      </c>
      <c r="U60" s="171">
        <f>T60/R60</f>
        <v>3.2602789349755481</v>
      </c>
      <c r="V60" s="169">
        <f t="shared" si="9"/>
        <v>17.683017742656926</v>
      </c>
      <c r="W60" s="170">
        <v>4</v>
      </c>
      <c r="X60" s="171">
        <f t="shared" si="13"/>
        <v>0.49135531135531135</v>
      </c>
      <c r="Y60" s="171">
        <f t="shared" si="3"/>
        <v>5.30016</v>
      </c>
      <c r="Z60" s="171">
        <f t="shared" si="4"/>
        <v>6.43872</v>
      </c>
      <c r="AA60" s="171">
        <f t="shared" si="5"/>
        <v>17.28</v>
      </c>
      <c r="AB60" s="171">
        <f t="shared" si="6"/>
        <v>3.2602789349755481</v>
      </c>
      <c r="AC60" s="171">
        <f t="shared" si="2"/>
        <v>17.683017742656926</v>
      </c>
      <c r="AD60" s="163">
        <v>31</v>
      </c>
      <c r="AE60" s="171">
        <f t="shared" ref="AE60:AE72" si="14">Y60*AD60</f>
        <v>164.30495999999999</v>
      </c>
      <c r="AF60" s="172"/>
    </row>
    <row r="61" spans="1:32" ht="15.75" customHeight="1" x14ac:dyDescent="0.2">
      <c r="A61" s="163">
        <v>48</v>
      </c>
      <c r="B61" s="164" t="s">
        <v>61</v>
      </c>
      <c r="C61" s="163" t="s">
        <v>46</v>
      </c>
      <c r="D61" s="165">
        <v>667.18</v>
      </c>
      <c r="E61" s="163" t="s">
        <v>96</v>
      </c>
      <c r="F61" s="163">
        <v>177.8</v>
      </c>
      <c r="G61" s="163" t="s">
        <v>28</v>
      </c>
      <c r="H61" s="165" t="s">
        <v>52</v>
      </c>
      <c r="I61" s="158">
        <v>534.21</v>
      </c>
      <c r="J61" s="163">
        <v>125</v>
      </c>
      <c r="K61" s="163"/>
      <c r="L61" s="163">
        <v>392</v>
      </c>
      <c r="M61" s="163"/>
      <c r="N61" s="163">
        <v>10</v>
      </c>
      <c r="O61" s="163"/>
      <c r="P61" s="182">
        <v>25.517039262446811</v>
      </c>
      <c r="Q61" s="171">
        <f t="shared" si="10"/>
        <v>27.5</v>
      </c>
      <c r="R61" s="170">
        <v>9.7449999999999992</v>
      </c>
      <c r="S61" s="168">
        <v>15.001999999999999</v>
      </c>
      <c r="T61" s="171">
        <v>139</v>
      </c>
      <c r="U61" s="171">
        <f>T61/R61</f>
        <v>14.26372498717291</v>
      </c>
      <c r="V61" s="169">
        <f t="shared" si="9"/>
        <v>35.041994400746567</v>
      </c>
      <c r="W61" s="170">
        <v>0.3</v>
      </c>
      <c r="X61" s="171">
        <f t="shared" si="13"/>
        <v>0.54552727272727264</v>
      </c>
      <c r="Y61" s="171">
        <f t="shared" si="3"/>
        <v>9.3551999999999982</v>
      </c>
      <c r="Z61" s="171">
        <f t="shared" si="4"/>
        <v>14.401919999999999</v>
      </c>
      <c r="AA61" s="171">
        <f t="shared" si="5"/>
        <v>133.44</v>
      </c>
      <c r="AB61" s="171">
        <f t="shared" si="6"/>
        <v>14.26372498717291</v>
      </c>
      <c r="AC61" s="171">
        <v>67</v>
      </c>
      <c r="AD61" s="163">
        <v>31</v>
      </c>
      <c r="AE61" s="171">
        <f t="shared" si="14"/>
        <v>290.01119999999992</v>
      </c>
      <c r="AF61" s="190"/>
    </row>
    <row r="62" spans="1:32" ht="15.75" customHeight="1" x14ac:dyDescent="0.2">
      <c r="A62" s="163">
        <v>49</v>
      </c>
      <c r="B62" s="164" t="s">
        <v>64</v>
      </c>
      <c r="C62" s="163" t="s">
        <v>46</v>
      </c>
      <c r="D62" s="165">
        <v>672.5</v>
      </c>
      <c r="E62" s="163" t="s">
        <v>234</v>
      </c>
      <c r="F62" s="163">
        <v>177.8</v>
      </c>
      <c r="G62" s="163" t="s">
        <v>28</v>
      </c>
      <c r="H62" s="165" t="s">
        <v>49</v>
      </c>
      <c r="I62" s="158">
        <v>533.70000000000005</v>
      </c>
      <c r="J62" s="163">
        <v>360</v>
      </c>
      <c r="K62" s="163"/>
      <c r="L62" s="163">
        <v>420</v>
      </c>
      <c r="M62" s="163"/>
      <c r="N62" s="163">
        <v>7.9</v>
      </c>
      <c r="O62" s="163"/>
      <c r="P62" s="182">
        <v>20.907098019517964</v>
      </c>
      <c r="Q62" s="171">
        <f t="shared" si="10"/>
        <v>115.2</v>
      </c>
      <c r="R62" s="170">
        <v>12.885</v>
      </c>
      <c r="S62" s="168">
        <v>16.289000000000001</v>
      </c>
      <c r="T62" s="171">
        <v>2596</v>
      </c>
      <c r="U62" s="171">
        <f>T62/R62</f>
        <v>201.4745828482732</v>
      </c>
      <c r="V62" s="169">
        <f t="shared" si="9"/>
        <v>20.897538215973981</v>
      </c>
      <c r="W62" s="170">
        <v>2</v>
      </c>
      <c r="X62" s="171">
        <f t="shared" si="13"/>
        <v>0.14139756944444445</v>
      </c>
      <c r="Y62" s="171">
        <f t="shared" si="3"/>
        <v>12.3696</v>
      </c>
      <c r="Z62" s="171">
        <f t="shared" si="4"/>
        <v>15.637440000000002</v>
      </c>
      <c r="AA62" s="171">
        <f t="shared" si="5"/>
        <v>2492.16</v>
      </c>
      <c r="AB62" s="171">
        <f t="shared" si="6"/>
        <v>201.4745828482732</v>
      </c>
      <c r="AC62" s="171">
        <f t="shared" si="2"/>
        <v>20.897538215973981</v>
      </c>
      <c r="AD62" s="163">
        <v>31</v>
      </c>
      <c r="AE62" s="171">
        <f t="shared" si="14"/>
        <v>383.45760000000001</v>
      </c>
      <c r="AF62" s="179"/>
    </row>
    <row r="63" spans="1:32" ht="15.75" customHeight="1" x14ac:dyDescent="0.2">
      <c r="A63" s="163">
        <v>50</v>
      </c>
      <c r="B63" s="164" t="s">
        <v>156</v>
      </c>
      <c r="C63" s="163" t="s">
        <v>46</v>
      </c>
      <c r="D63" s="165">
        <v>679.54</v>
      </c>
      <c r="E63" s="163" t="s">
        <v>166</v>
      </c>
      <c r="F63" s="163">
        <v>177.8</v>
      </c>
      <c r="G63" s="163" t="s">
        <v>28</v>
      </c>
      <c r="H63" s="165" t="s">
        <v>52</v>
      </c>
      <c r="I63" s="158">
        <v>530.98</v>
      </c>
      <c r="J63" s="163">
        <v>165</v>
      </c>
      <c r="K63" s="163"/>
      <c r="L63" s="163">
        <v>448</v>
      </c>
      <c r="M63" s="163"/>
      <c r="N63" s="163">
        <v>8.3000000000000007</v>
      </c>
      <c r="O63" s="163"/>
      <c r="P63" s="182">
        <v>18.669945403118692</v>
      </c>
      <c r="Q63" s="171">
        <f t="shared" si="10"/>
        <v>36.299999999999997</v>
      </c>
      <c r="R63" s="170">
        <v>8.23</v>
      </c>
      <c r="S63" s="168">
        <v>12.352</v>
      </c>
      <c r="T63" s="171">
        <v>251</v>
      </c>
      <c r="U63" s="171">
        <f>T63/R63</f>
        <v>30.498177399756987</v>
      </c>
      <c r="V63" s="169">
        <f t="shared" si="9"/>
        <v>33.371113989637301</v>
      </c>
      <c r="W63" s="170">
        <v>0.3</v>
      </c>
      <c r="X63" s="171">
        <f t="shared" si="13"/>
        <v>0.34027548209366393</v>
      </c>
      <c r="Y63" s="171">
        <f t="shared" si="3"/>
        <v>7.9008000000000003</v>
      </c>
      <c r="Z63" s="171">
        <f t="shared" si="4"/>
        <v>11.85792</v>
      </c>
      <c r="AA63" s="171">
        <f t="shared" si="5"/>
        <v>240.95999999999998</v>
      </c>
      <c r="AB63" s="171">
        <f t="shared" si="6"/>
        <v>30.498177399756987</v>
      </c>
      <c r="AC63" s="171">
        <f t="shared" si="2"/>
        <v>33.371113989637301</v>
      </c>
      <c r="AD63" s="163">
        <v>31</v>
      </c>
      <c r="AE63" s="171">
        <f t="shared" si="14"/>
        <v>244.9248</v>
      </c>
      <c r="AF63" s="179"/>
    </row>
    <row r="64" spans="1:32" ht="15.75" customHeight="1" x14ac:dyDescent="0.2">
      <c r="A64" s="163">
        <v>51</v>
      </c>
      <c r="B64" s="164" t="s">
        <v>169</v>
      </c>
      <c r="C64" s="163" t="s">
        <v>46</v>
      </c>
      <c r="D64" s="165">
        <v>673</v>
      </c>
      <c r="E64" s="163" t="s">
        <v>170</v>
      </c>
      <c r="F64" s="163">
        <v>177.8</v>
      </c>
      <c r="G64" s="163" t="s">
        <v>28</v>
      </c>
      <c r="H64" s="165" t="s">
        <v>52</v>
      </c>
      <c r="I64" s="158">
        <v>541.48</v>
      </c>
      <c r="J64" s="163">
        <v>125</v>
      </c>
      <c r="K64" s="163"/>
      <c r="L64" s="163">
        <v>426</v>
      </c>
      <c r="M64" s="163"/>
      <c r="N64" s="163">
        <v>5</v>
      </c>
      <c r="O64" s="163"/>
      <c r="P64" s="182">
        <v>18.605445018107197</v>
      </c>
      <c r="Q64" s="171">
        <f t="shared" si="10"/>
        <v>27.5</v>
      </c>
      <c r="R64" s="170">
        <v>2.714</v>
      </c>
      <c r="S64" s="168">
        <v>3.5190000000000001</v>
      </c>
      <c r="T64" s="171">
        <v>76</v>
      </c>
      <c r="U64" s="171">
        <f>T64/R64</f>
        <v>28.002947678703023</v>
      </c>
      <c r="V64" s="169">
        <f t="shared" si="9"/>
        <v>22.875816993464056</v>
      </c>
      <c r="W64" s="170">
        <v>1</v>
      </c>
      <c r="X64" s="171">
        <f t="shared" si="13"/>
        <v>0.12796363636363636</v>
      </c>
      <c r="Y64" s="171">
        <f t="shared" si="3"/>
        <v>2.6054399999999998</v>
      </c>
      <c r="Z64" s="171">
        <f t="shared" si="4"/>
        <v>3.3782399999999999</v>
      </c>
      <c r="AA64" s="171">
        <f t="shared" si="5"/>
        <v>72.959999999999994</v>
      </c>
      <c r="AB64" s="171">
        <f t="shared" si="6"/>
        <v>28.002947678703023</v>
      </c>
      <c r="AC64" s="171">
        <f t="shared" si="2"/>
        <v>22.875816993464056</v>
      </c>
      <c r="AD64" s="163">
        <v>31</v>
      </c>
      <c r="AE64" s="171">
        <f>Y64*AD64</f>
        <v>80.768639999999991</v>
      </c>
      <c r="AF64" s="179"/>
    </row>
    <row r="65" spans="1:32" ht="15.75" customHeight="1" x14ac:dyDescent="0.2">
      <c r="A65" s="163">
        <v>52</v>
      </c>
      <c r="B65" s="164" t="s">
        <v>62</v>
      </c>
      <c r="C65" s="163" t="s">
        <v>46</v>
      </c>
      <c r="D65" s="165">
        <v>673.73</v>
      </c>
      <c r="E65" s="163" t="s">
        <v>97</v>
      </c>
      <c r="F65" s="163">
        <v>177.8</v>
      </c>
      <c r="G65" s="163" t="s">
        <v>28</v>
      </c>
      <c r="H65" s="165" t="s">
        <v>49</v>
      </c>
      <c r="I65" s="158">
        <v>550</v>
      </c>
      <c r="J65" s="166">
        <v>100</v>
      </c>
      <c r="K65" s="166"/>
      <c r="L65" s="166">
        <v>198</v>
      </c>
      <c r="M65" s="166"/>
      <c r="N65" s="166">
        <v>8.5</v>
      </c>
      <c r="O65" s="163"/>
      <c r="P65" s="182">
        <v>42.248048383415828</v>
      </c>
      <c r="Q65" s="171">
        <f t="shared" si="10"/>
        <v>32</v>
      </c>
      <c r="R65" s="170">
        <v>9.39</v>
      </c>
      <c r="S65" s="168">
        <v>10.659000000000001</v>
      </c>
      <c r="T65" s="171">
        <v>416</v>
      </c>
      <c r="U65" s="171">
        <f t="shared" si="8"/>
        <v>44.302449414270498</v>
      </c>
      <c r="V65" s="169">
        <f t="shared" si="9"/>
        <v>11.905432029271038</v>
      </c>
      <c r="W65" s="170">
        <v>2</v>
      </c>
      <c r="X65" s="171">
        <f t="shared" si="13"/>
        <v>0.33309375000000002</v>
      </c>
      <c r="Y65" s="171">
        <f t="shared" si="3"/>
        <v>9.0144000000000002</v>
      </c>
      <c r="Z65" s="171">
        <f t="shared" si="4"/>
        <v>10.23264</v>
      </c>
      <c r="AA65" s="171">
        <f t="shared" si="5"/>
        <v>399.36</v>
      </c>
      <c r="AB65" s="171">
        <f t="shared" si="6"/>
        <v>44.302449414270498</v>
      </c>
      <c r="AC65" s="171">
        <f t="shared" si="2"/>
        <v>11.905432029271038</v>
      </c>
      <c r="AD65" s="163">
        <v>31</v>
      </c>
      <c r="AE65" s="171">
        <f t="shared" si="14"/>
        <v>279.44639999999998</v>
      </c>
      <c r="AF65" s="172"/>
    </row>
    <row r="66" spans="1:32" ht="15.75" customHeight="1" x14ac:dyDescent="0.2">
      <c r="A66" s="163">
        <v>53</v>
      </c>
      <c r="B66" s="164" t="s">
        <v>157</v>
      </c>
      <c r="C66" s="163" t="s">
        <v>46</v>
      </c>
      <c r="D66" s="165">
        <v>676.73</v>
      </c>
      <c r="E66" s="163" t="s">
        <v>179</v>
      </c>
      <c r="F66" s="163">
        <v>177.8</v>
      </c>
      <c r="G66" s="163" t="s">
        <v>28</v>
      </c>
      <c r="H66" s="165" t="s">
        <v>218</v>
      </c>
      <c r="I66" s="158">
        <v>579.14</v>
      </c>
      <c r="J66" s="163">
        <v>130</v>
      </c>
      <c r="K66" s="163"/>
      <c r="L66" s="163">
        <v>137</v>
      </c>
      <c r="M66" s="163"/>
      <c r="N66" s="163">
        <v>6</v>
      </c>
      <c r="O66" s="163"/>
      <c r="P66" s="182">
        <v>46.099599476146132</v>
      </c>
      <c r="Q66" s="171">
        <f t="shared" si="10"/>
        <v>41.6</v>
      </c>
      <c r="R66" s="170">
        <v>13.038</v>
      </c>
      <c r="S66" s="168">
        <v>26.181000000000001</v>
      </c>
      <c r="T66" s="171">
        <v>220</v>
      </c>
      <c r="U66" s="171">
        <f t="shared" si="8"/>
        <v>16.87375364319681</v>
      </c>
      <c r="V66" s="169">
        <f t="shared" si="9"/>
        <v>50.2005270998052</v>
      </c>
      <c r="W66" s="170">
        <v>2</v>
      </c>
      <c r="X66" s="171">
        <f t="shared" si="13"/>
        <v>0.62935096153846148</v>
      </c>
      <c r="Y66" s="171">
        <f t="shared" si="3"/>
        <v>12.51648</v>
      </c>
      <c r="Z66" s="171">
        <f t="shared" si="4"/>
        <v>25.133759999999999</v>
      </c>
      <c r="AA66" s="171">
        <f t="shared" si="5"/>
        <v>211.2</v>
      </c>
      <c r="AB66" s="171">
        <f t="shared" si="6"/>
        <v>16.87375364319681</v>
      </c>
      <c r="AC66" s="171">
        <v>30</v>
      </c>
      <c r="AD66" s="163">
        <v>31</v>
      </c>
      <c r="AE66" s="171">
        <f t="shared" si="14"/>
        <v>388.01087999999999</v>
      </c>
      <c r="AF66" s="321"/>
    </row>
    <row r="67" spans="1:32" ht="15.75" customHeight="1" x14ac:dyDescent="0.2">
      <c r="A67" s="163">
        <v>54</v>
      </c>
      <c r="B67" s="164" t="s">
        <v>159</v>
      </c>
      <c r="C67" s="163" t="s">
        <v>46</v>
      </c>
      <c r="D67" s="165">
        <v>676</v>
      </c>
      <c r="E67" s="163" t="s">
        <v>167</v>
      </c>
      <c r="F67" s="163">
        <v>177.8</v>
      </c>
      <c r="G67" s="163" t="s">
        <v>28</v>
      </c>
      <c r="H67" s="165" t="s">
        <v>218</v>
      </c>
      <c r="I67" s="158">
        <v>508.57</v>
      </c>
      <c r="J67" s="163">
        <v>230</v>
      </c>
      <c r="K67" s="163"/>
      <c r="L67" s="163">
        <v>115</v>
      </c>
      <c r="M67" s="163"/>
      <c r="N67" s="163">
        <v>7.3</v>
      </c>
      <c r="O67" s="163"/>
      <c r="P67" s="182">
        <v>43.687881297080764</v>
      </c>
      <c r="Q67" s="171">
        <f t="shared" si="10"/>
        <v>73.599999999999994</v>
      </c>
      <c r="R67" s="170">
        <v>43.168999999999997</v>
      </c>
      <c r="S67" s="168">
        <v>48.513999999999996</v>
      </c>
      <c r="T67" s="171">
        <v>1048</v>
      </c>
      <c r="U67" s="171">
        <f t="shared" si="8"/>
        <v>24.276680025017953</v>
      </c>
      <c r="V67" s="169">
        <f t="shared" si="9"/>
        <v>11.017438265243021</v>
      </c>
      <c r="W67" s="170">
        <v>0.5</v>
      </c>
      <c r="X67" s="171">
        <f t="shared" si="13"/>
        <v>0.65915760869565221</v>
      </c>
      <c r="Y67" s="171">
        <f t="shared" si="3"/>
        <v>41.442239999999998</v>
      </c>
      <c r="Z67" s="171">
        <f t="shared" si="4"/>
        <v>46.573439999999991</v>
      </c>
      <c r="AA67" s="171">
        <f t="shared" si="5"/>
        <v>1006.0799999999999</v>
      </c>
      <c r="AB67" s="171">
        <f t="shared" si="6"/>
        <v>24.276680025017953</v>
      </c>
      <c r="AC67" s="171">
        <v>14.18</v>
      </c>
      <c r="AD67" s="163">
        <v>31</v>
      </c>
      <c r="AE67" s="171">
        <f t="shared" si="14"/>
        <v>1284.7094399999999</v>
      </c>
      <c r="AF67" s="172"/>
    </row>
    <row r="68" spans="1:32" ht="15.75" customHeight="1" x14ac:dyDescent="0.2">
      <c r="A68" s="163">
        <v>55</v>
      </c>
      <c r="B68" s="164" t="s">
        <v>210</v>
      </c>
      <c r="C68" s="163" t="s">
        <v>46</v>
      </c>
      <c r="D68" s="165">
        <v>728.32</v>
      </c>
      <c r="E68" s="163" t="s">
        <v>226</v>
      </c>
      <c r="F68" s="163">
        <v>177.8</v>
      </c>
      <c r="G68" s="163" t="s">
        <v>28</v>
      </c>
      <c r="H68" s="165" t="s">
        <v>218</v>
      </c>
      <c r="I68" s="158">
        <v>519.38</v>
      </c>
      <c r="J68" s="163">
        <v>180</v>
      </c>
      <c r="K68" s="163"/>
      <c r="L68" s="163">
        <v>386</v>
      </c>
      <c r="M68" s="163"/>
      <c r="N68" s="163">
        <v>9.4</v>
      </c>
      <c r="O68" s="163"/>
      <c r="P68" s="182">
        <v>23.406668311044243</v>
      </c>
      <c r="Q68" s="171">
        <f t="shared" si="10"/>
        <v>57.6</v>
      </c>
      <c r="R68" s="170">
        <v>19.766999999999999</v>
      </c>
      <c r="S68" s="168">
        <v>21.070999999999998</v>
      </c>
      <c r="T68" s="171">
        <v>882</v>
      </c>
      <c r="U68" s="171">
        <f t="shared" si="8"/>
        <v>44.619820913643956</v>
      </c>
      <c r="V68" s="169">
        <f t="shared" si="9"/>
        <v>6.1886004461107618</v>
      </c>
      <c r="W68" s="170">
        <v>2</v>
      </c>
      <c r="X68" s="171">
        <f t="shared" si="13"/>
        <v>0.36581597222222217</v>
      </c>
      <c r="Y68" s="171">
        <f t="shared" si="3"/>
        <v>18.976319999999998</v>
      </c>
      <c r="Z68" s="171">
        <f t="shared" si="4"/>
        <v>20.228159999999999</v>
      </c>
      <c r="AA68" s="171">
        <f t="shared" si="5"/>
        <v>846.71999999999991</v>
      </c>
      <c r="AB68" s="171">
        <f t="shared" si="6"/>
        <v>44.619820913643956</v>
      </c>
      <c r="AC68" s="171">
        <f t="shared" si="2"/>
        <v>6.1886004461107618</v>
      </c>
      <c r="AD68" s="163">
        <v>31</v>
      </c>
      <c r="AE68" s="171">
        <f t="shared" si="14"/>
        <v>588.26591999999994</v>
      </c>
      <c r="AF68" s="179"/>
    </row>
    <row r="69" spans="1:32" ht="15.75" customHeight="1" x14ac:dyDescent="0.2">
      <c r="A69" s="163">
        <v>56</v>
      </c>
      <c r="B69" s="164" t="s">
        <v>63</v>
      </c>
      <c r="C69" s="163" t="s">
        <v>46</v>
      </c>
      <c r="D69" s="165">
        <v>672.99</v>
      </c>
      <c r="E69" s="163" t="s">
        <v>98</v>
      </c>
      <c r="F69" s="163">
        <v>177.8</v>
      </c>
      <c r="G69" s="163" t="s">
        <v>28</v>
      </c>
      <c r="H69" s="165" t="s">
        <v>49</v>
      </c>
      <c r="I69" s="158">
        <v>540.61</v>
      </c>
      <c r="J69" s="163">
        <v>325</v>
      </c>
      <c r="K69" s="163"/>
      <c r="L69" s="163">
        <v>385</v>
      </c>
      <c r="M69" s="163"/>
      <c r="N69" s="163">
        <v>8.6999999999999993</v>
      </c>
      <c r="O69" s="163"/>
      <c r="P69" s="182">
        <v>24.761986695841454</v>
      </c>
      <c r="Q69" s="171">
        <f t="shared" si="10"/>
        <v>104</v>
      </c>
      <c r="R69" s="170">
        <v>12.071999999999999</v>
      </c>
      <c r="S69" s="168">
        <v>16.581</v>
      </c>
      <c r="T69" s="171">
        <v>2422</v>
      </c>
      <c r="U69" s="171">
        <f t="shared" si="8"/>
        <v>200.62955599734926</v>
      </c>
      <c r="V69" s="169">
        <f t="shared" si="9"/>
        <v>27.19377600868464</v>
      </c>
      <c r="W69" s="170">
        <v>4</v>
      </c>
      <c r="X69" s="171">
        <f t="shared" si="13"/>
        <v>0.1594326923076923</v>
      </c>
      <c r="Y69" s="171">
        <f t="shared" si="3"/>
        <v>11.589119999999999</v>
      </c>
      <c r="Z69" s="171">
        <f t="shared" si="4"/>
        <v>15.917759999999999</v>
      </c>
      <c r="AA69" s="171">
        <f t="shared" si="5"/>
        <v>2325.12</v>
      </c>
      <c r="AB69" s="171">
        <f t="shared" si="6"/>
        <v>200.62955599734926</v>
      </c>
      <c r="AC69" s="171">
        <f t="shared" si="2"/>
        <v>27.19377600868464</v>
      </c>
      <c r="AD69" s="163">
        <v>31</v>
      </c>
      <c r="AE69" s="171">
        <f t="shared" si="14"/>
        <v>359.26272</v>
      </c>
      <c r="AF69" s="179"/>
    </row>
    <row r="70" spans="1:32" ht="15.75" customHeight="1" x14ac:dyDescent="0.2">
      <c r="A70" s="163">
        <v>57</v>
      </c>
      <c r="B70" s="164" t="s">
        <v>217</v>
      </c>
      <c r="C70" s="163" t="s">
        <v>46</v>
      </c>
      <c r="D70" s="165">
        <v>684.57</v>
      </c>
      <c r="E70" s="163" t="s">
        <v>223</v>
      </c>
      <c r="F70" s="163">
        <v>177.8</v>
      </c>
      <c r="G70" s="163" t="s">
        <v>28</v>
      </c>
      <c r="H70" s="165" t="s">
        <v>219</v>
      </c>
      <c r="I70" s="158">
        <v>553.94000000000005</v>
      </c>
      <c r="J70" s="163">
        <v>85</v>
      </c>
      <c r="K70" s="163"/>
      <c r="L70" s="163">
        <v>277</v>
      </c>
      <c r="M70" s="163"/>
      <c r="N70" s="163">
        <v>10</v>
      </c>
      <c r="O70" s="163"/>
      <c r="P70" s="182">
        <v>39.943445671472496</v>
      </c>
      <c r="Q70" s="171">
        <f t="shared" si="10"/>
        <v>10.199999999999999</v>
      </c>
      <c r="R70" s="170">
        <v>0.152</v>
      </c>
      <c r="S70" s="168">
        <v>1.1019999999999999</v>
      </c>
      <c r="T70" s="171">
        <v>0</v>
      </c>
      <c r="U70" s="171">
        <f t="shared" si="8"/>
        <v>0</v>
      </c>
      <c r="V70" s="169">
        <f t="shared" si="9"/>
        <v>86.206896551724128</v>
      </c>
      <c r="W70" s="170">
        <v>3</v>
      </c>
      <c r="X70" s="171">
        <f t="shared" si="13"/>
        <v>0.1080392156862745</v>
      </c>
      <c r="Y70" s="171">
        <f t="shared" si="3"/>
        <v>0.14591999999999999</v>
      </c>
      <c r="Z70" s="171">
        <f t="shared" si="4"/>
        <v>1.0579199999999997</v>
      </c>
      <c r="AA70" s="171">
        <f t="shared" si="5"/>
        <v>0</v>
      </c>
      <c r="AB70" s="171">
        <v>0</v>
      </c>
      <c r="AC70" s="171">
        <f t="shared" si="2"/>
        <v>86.206896551724128</v>
      </c>
      <c r="AD70" s="163">
        <v>31</v>
      </c>
      <c r="AE70" s="171">
        <f t="shared" si="14"/>
        <v>4.5235199999999995</v>
      </c>
      <c r="AF70" s="179"/>
    </row>
    <row r="71" spans="1:32" ht="15.75" customHeight="1" x14ac:dyDescent="0.2">
      <c r="A71" s="163">
        <v>58</v>
      </c>
      <c r="B71" s="164" t="s">
        <v>211</v>
      </c>
      <c r="C71" s="163" t="s">
        <v>46</v>
      </c>
      <c r="D71" s="165">
        <v>683.16</v>
      </c>
      <c r="E71" s="163" t="s">
        <v>224</v>
      </c>
      <c r="F71" s="163">
        <v>177.8</v>
      </c>
      <c r="G71" s="163" t="s">
        <v>28</v>
      </c>
      <c r="H71" s="165" t="s">
        <v>52</v>
      </c>
      <c r="I71" s="158">
        <v>560.29</v>
      </c>
      <c r="J71" s="163">
        <v>110</v>
      </c>
      <c r="K71" s="163"/>
      <c r="L71" s="163">
        <v>435</v>
      </c>
      <c r="M71" s="163"/>
      <c r="N71" s="163">
        <v>2.5</v>
      </c>
      <c r="O71" s="163"/>
      <c r="P71" s="182">
        <v>15.668594812578103</v>
      </c>
      <c r="Q71" s="171">
        <f t="shared" si="10"/>
        <v>24.2</v>
      </c>
      <c r="R71" s="170">
        <v>4.7130000000000001</v>
      </c>
      <c r="S71" s="168">
        <v>5.3689999999999998</v>
      </c>
      <c r="T71" s="171">
        <v>41</v>
      </c>
      <c r="U71" s="171">
        <f t="shared" si="8"/>
        <v>8.6993422448546571</v>
      </c>
      <c r="V71" s="169">
        <f t="shared" si="9"/>
        <v>12.218290184391874</v>
      </c>
      <c r="W71" s="170">
        <v>1</v>
      </c>
      <c r="X71" s="171">
        <f t="shared" si="13"/>
        <v>0.22185950413223141</v>
      </c>
      <c r="Y71" s="171">
        <f t="shared" si="3"/>
        <v>4.5244799999999996</v>
      </c>
      <c r="Z71" s="171">
        <f t="shared" si="4"/>
        <v>5.1542399999999997</v>
      </c>
      <c r="AA71" s="171">
        <f t="shared" si="5"/>
        <v>39.36</v>
      </c>
      <c r="AB71" s="171">
        <f t="shared" si="6"/>
        <v>8.6993422448546571</v>
      </c>
      <c r="AC71" s="171">
        <f t="shared" si="2"/>
        <v>12.218290184391874</v>
      </c>
      <c r="AD71" s="163">
        <v>31</v>
      </c>
      <c r="AE71" s="171">
        <f t="shared" si="14"/>
        <v>140.25887999999998</v>
      </c>
      <c r="AF71" s="179"/>
    </row>
    <row r="72" spans="1:32" ht="15.75" customHeight="1" x14ac:dyDescent="0.2">
      <c r="A72" s="163">
        <v>59</v>
      </c>
      <c r="B72" s="164" t="s">
        <v>213</v>
      </c>
      <c r="C72" s="163" t="s">
        <v>46</v>
      </c>
      <c r="D72" s="165">
        <v>679.2</v>
      </c>
      <c r="E72" s="283" t="s">
        <v>225</v>
      </c>
      <c r="F72" s="163">
        <v>177.8</v>
      </c>
      <c r="G72" s="163" t="s">
        <v>28</v>
      </c>
      <c r="H72" s="165" t="s">
        <v>48</v>
      </c>
      <c r="I72" s="158">
        <v>559.19000000000005</v>
      </c>
      <c r="J72" s="163">
        <v>100</v>
      </c>
      <c r="K72" s="163"/>
      <c r="L72" s="163">
        <v>463</v>
      </c>
      <c r="M72" s="163"/>
      <c r="N72" s="163">
        <v>2.2999999999999998</v>
      </c>
      <c r="O72" s="163"/>
      <c r="P72" s="182">
        <v>13.138042993971697</v>
      </c>
      <c r="Q72" s="171">
        <f t="shared" si="10"/>
        <v>13</v>
      </c>
      <c r="R72" s="170">
        <v>3.6360000000000001</v>
      </c>
      <c r="S72" s="168">
        <v>5.3819999999999997</v>
      </c>
      <c r="T72" s="171">
        <v>15</v>
      </c>
      <c r="U72" s="171">
        <f t="shared" si="8"/>
        <v>4.1254125412541249</v>
      </c>
      <c r="V72" s="169">
        <f t="shared" si="9"/>
        <v>32.441471571906348</v>
      </c>
      <c r="W72" s="170">
        <v>5</v>
      </c>
      <c r="X72" s="171">
        <f t="shared" si="13"/>
        <v>0.41399999999999998</v>
      </c>
      <c r="Y72" s="171">
        <f t="shared" si="3"/>
        <v>3.4905599999999999</v>
      </c>
      <c r="Z72" s="171">
        <f t="shared" si="4"/>
        <v>5.1667199999999998</v>
      </c>
      <c r="AA72" s="171">
        <f t="shared" si="5"/>
        <v>14.399999999999999</v>
      </c>
      <c r="AB72" s="171">
        <f t="shared" si="6"/>
        <v>4.1254125412541249</v>
      </c>
      <c r="AC72" s="171">
        <f t="shared" si="2"/>
        <v>32.441471571906348</v>
      </c>
      <c r="AD72" s="163">
        <v>31</v>
      </c>
      <c r="AE72" s="171">
        <f t="shared" si="14"/>
        <v>108.20735999999999</v>
      </c>
      <c r="AF72" s="179"/>
    </row>
    <row r="73" spans="1:32" ht="15.75" customHeight="1" x14ac:dyDescent="0.2">
      <c r="A73" s="163">
        <v>60</v>
      </c>
      <c r="B73" s="164" t="s">
        <v>172</v>
      </c>
      <c r="C73" s="163" t="s">
        <v>46</v>
      </c>
      <c r="D73" s="165">
        <v>673</v>
      </c>
      <c r="E73" s="163" t="s">
        <v>173</v>
      </c>
      <c r="F73" s="163">
        <v>177.8</v>
      </c>
      <c r="G73" s="163" t="s">
        <v>28</v>
      </c>
      <c r="H73" s="165" t="s">
        <v>50</v>
      </c>
      <c r="I73" s="158">
        <v>560.79</v>
      </c>
      <c r="J73" s="163">
        <v>150</v>
      </c>
      <c r="K73" s="163"/>
      <c r="L73" s="163">
        <v>355</v>
      </c>
      <c r="M73" s="163"/>
      <c r="N73" s="163">
        <v>7.7</v>
      </c>
      <c r="O73" s="163"/>
      <c r="P73" s="160">
        <v>29.179238724404687</v>
      </c>
      <c r="Q73" s="171">
        <f>LEFT(H73,(FIND("K",H73,1)-1))*J73/100</f>
        <v>9</v>
      </c>
      <c r="R73" s="170">
        <v>1.9470000000000001</v>
      </c>
      <c r="S73" s="168">
        <v>3.5380000000000003</v>
      </c>
      <c r="T73" s="171">
        <v>0</v>
      </c>
      <c r="U73" s="171">
        <f t="shared" si="8"/>
        <v>0</v>
      </c>
      <c r="V73" s="169">
        <f t="shared" si="9"/>
        <v>44.968908988128888</v>
      </c>
      <c r="W73" s="170">
        <v>0.5</v>
      </c>
      <c r="X73" s="171">
        <f t="shared" si="13"/>
        <v>0.39311111111111113</v>
      </c>
      <c r="Y73" s="171">
        <f t="shared" si="3"/>
        <v>1.8691199999999999</v>
      </c>
      <c r="Z73" s="171">
        <f t="shared" si="4"/>
        <v>3.3964799999999999</v>
      </c>
      <c r="AA73" s="171">
        <f t="shared" si="5"/>
        <v>0</v>
      </c>
      <c r="AB73" s="171">
        <f t="shared" si="6"/>
        <v>0</v>
      </c>
      <c r="AC73" s="171">
        <f t="shared" si="2"/>
        <v>44.968908988128888</v>
      </c>
      <c r="AD73" s="163">
        <v>31</v>
      </c>
      <c r="AE73" s="171">
        <f>Y73*AD73</f>
        <v>57.942719999999994</v>
      </c>
      <c r="AF73" s="179"/>
    </row>
    <row r="74" spans="1:32" ht="15.75" customHeight="1" x14ac:dyDescent="0.2">
      <c r="A74" s="184">
        <v>61</v>
      </c>
      <c r="B74" s="219" t="s">
        <v>171</v>
      </c>
      <c r="C74" s="163" t="s">
        <v>46</v>
      </c>
      <c r="D74" s="188">
        <v>646</v>
      </c>
      <c r="E74" s="188" t="s">
        <v>191</v>
      </c>
      <c r="F74" s="163">
        <v>177.8</v>
      </c>
      <c r="G74" s="163" t="s">
        <v>28</v>
      </c>
      <c r="H74" s="165" t="s">
        <v>48</v>
      </c>
      <c r="I74" s="158">
        <v>570.15</v>
      </c>
      <c r="J74" s="158">
        <v>100</v>
      </c>
      <c r="K74" s="158"/>
      <c r="L74" s="158">
        <v>222</v>
      </c>
      <c r="M74" s="158"/>
      <c r="N74" s="163">
        <v>4.3</v>
      </c>
      <c r="O74" s="158"/>
      <c r="P74" s="284">
        <v>39.8445375907081</v>
      </c>
      <c r="Q74" s="174">
        <f>LEFT(H74,(FIND("K",H74,1)-1))*J74/100</f>
        <v>13</v>
      </c>
      <c r="R74" s="170">
        <v>0.72199999999999998</v>
      </c>
      <c r="S74" s="168">
        <v>1.6</v>
      </c>
      <c r="T74" s="174">
        <v>0</v>
      </c>
      <c r="U74" s="171">
        <f t="shared" si="8"/>
        <v>0</v>
      </c>
      <c r="V74" s="169">
        <f t="shared" si="9"/>
        <v>54.875000000000007</v>
      </c>
      <c r="W74" s="170">
        <v>3</v>
      </c>
      <c r="X74" s="171">
        <f t="shared" si="13"/>
        <v>0.12307692307692308</v>
      </c>
      <c r="Y74" s="171">
        <f t="shared" si="3"/>
        <v>0.69311999999999996</v>
      </c>
      <c r="Z74" s="171">
        <f t="shared" si="4"/>
        <v>1.536</v>
      </c>
      <c r="AA74" s="171">
        <f t="shared" si="5"/>
        <v>0</v>
      </c>
      <c r="AB74" s="171">
        <f t="shared" si="6"/>
        <v>0</v>
      </c>
      <c r="AC74" s="171">
        <f t="shared" si="2"/>
        <v>54.875000000000007</v>
      </c>
      <c r="AD74" s="163">
        <v>31</v>
      </c>
      <c r="AE74" s="171">
        <f>Y74*AD74</f>
        <v>21.486719999999998</v>
      </c>
      <c r="AF74" s="172"/>
    </row>
    <row r="75" spans="1:32" ht="15.75" x14ac:dyDescent="0.2">
      <c r="A75" s="305"/>
      <c r="B75" s="1834"/>
      <c r="C75" s="1834"/>
      <c r="D75" s="1834"/>
      <c r="E75" s="1835"/>
      <c r="F75" s="175"/>
      <c r="G75" s="163"/>
      <c r="H75" s="165"/>
      <c r="I75" s="171"/>
      <c r="J75" s="163"/>
      <c r="K75" s="175"/>
      <c r="L75" s="163"/>
      <c r="M75" s="175"/>
      <c r="N75" s="182"/>
      <c r="O75" s="175"/>
      <c r="P75" s="182"/>
      <c r="Q75" s="209"/>
      <c r="R75" s="209">
        <f>SUM(R14:R74)</f>
        <v>382.59800000000001</v>
      </c>
      <c r="S75" s="209">
        <f>SUM(S14:S74)</f>
        <v>585.28700000000003</v>
      </c>
      <c r="T75" s="209">
        <f>SUM(T14:T74)</f>
        <v>22285</v>
      </c>
      <c r="U75" s="209">
        <f>T75/R75</f>
        <v>58.24651461847683</v>
      </c>
      <c r="V75" s="209"/>
      <c r="W75" s="209"/>
      <c r="X75" s="209"/>
      <c r="Y75" s="209">
        <f>SUM(Y14:Y74)</f>
        <v>367.29408000000001</v>
      </c>
      <c r="Z75" s="209">
        <f>SUM(Z14:Z74)</f>
        <v>561.87552000000005</v>
      </c>
      <c r="AA75" s="209">
        <f>SUM(AA14:AA74)</f>
        <v>21393.600000000002</v>
      </c>
      <c r="AB75" s="209">
        <f>AA75/Y75</f>
        <v>58.246514618476837</v>
      </c>
      <c r="AC75" s="209"/>
      <c r="AD75" s="209"/>
      <c r="AE75" s="210">
        <f>SUM(AE14:AE74)</f>
        <v>11254.010880000002</v>
      </c>
      <c r="AF75" s="177"/>
    </row>
    <row r="76" spans="1:32" ht="15.75" x14ac:dyDescent="0.2">
      <c r="A76" s="305"/>
      <c r="B76" s="1836" t="s">
        <v>277</v>
      </c>
      <c r="C76" s="1837"/>
      <c r="D76" s="1837"/>
      <c r="E76" s="1837"/>
      <c r="F76" s="1838"/>
      <c r="G76" s="374"/>
      <c r="H76" s="373"/>
      <c r="I76" s="373"/>
      <c r="J76" s="158"/>
      <c r="K76" s="158"/>
      <c r="L76" s="158"/>
      <c r="M76" s="158"/>
      <c r="N76" s="158"/>
      <c r="O76" s="158"/>
      <c r="P76" s="160"/>
      <c r="Q76" s="174"/>
      <c r="R76" s="158"/>
      <c r="S76" s="174"/>
      <c r="T76" s="158"/>
      <c r="U76" s="379"/>
      <c r="V76" s="374"/>
      <c r="W76" s="374"/>
      <c r="X76" s="157"/>
      <c r="Y76" s="158"/>
      <c r="Z76" s="158"/>
      <c r="AA76" s="158"/>
      <c r="AB76" s="381"/>
      <c r="AC76" s="374"/>
      <c r="AD76" s="158"/>
      <c r="AE76" s="158"/>
      <c r="AF76" s="373"/>
    </row>
    <row r="77" spans="1:32" ht="15.75" customHeight="1" x14ac:dyDescent="0.2">
      <c r="A77" s="216">
        <v>62</v>
      </c>
      <c r="B77" s="163" t="s">
        <v>131</v>
      </c>
      <c r="C77" s="216" t="s">
        <v>177</v>
      </c>
      <c r="D77" s="165">
        <v>389.74</v>
      </c>
      <c r="E77" s="323" t="s">
        <v>136</v>
      </c>
      <c r="F77" s="163">
        <v>177.8</v>
      </c>
      <c r="G77" s="163" t="s">
        <v>28</v>
      </c>
      <c r="H77" s="165" t="s">
        <v>58</v>
      </c>
      <c r="I77" s="158">
        <v>142.80000000000001</v>
      </c>
      <c r="J77" s="163">
        <v>180</v>
      </c>
      <c r="K77" s="163"/>
      <c r="L77" s="163">
        <v>18</v>
      </c>
      <c r="M77" s="163"/>
      <c r="N77" s="163">
        <v>0.9</v>
      </c>
      <c r="O77" s="163"/>
      <c r="P77" s="182">
        <v>17.169772816291889</v>
      </c>
      <c r="Q77" s="174"/>
      <c r="R77" s="170">
        <v>2.5270000000000001</v>
      </c>
      <c r="S77" s="171">
        <v>3.383</v>
      </c>
      <c r="T77" s="171">
        <v>0</v>
      </c>
      <c r="U77" s="171">
        <f>T77/R77</f>
        <v>0</v>
      </c>
      <c r="V77" s="169">
        <f t="shared" ref="V77:V81" si="15">(S77-R77)/S77*100</f>
        <v>25.302985515814363</v>
      </c>
      <c r="W77" s="170">
        <v>0.3</v>
      </c>
      <c r="X77" s="171"/>
      <c r="Y77" s="171">
        <f t="shared" ref="Y77:Z77" si="16">R77*0.96</f>
        <v>2.4259200000000001</v>
      </c>
      <c r="Z77" s="171">
        <f t="shared" si="16"/>
        <v>3.2476799999999999</v>
      </c>
      <c r="AA77" s="171">
        <f t="shared" ref="AA77:AA81" si="17">T77*0.9494</f>
        <v>0</v>
      </c>
      <c r="AB77" s="171">
        <f t="shared" ref="AB77:AC81" si="18">U77</f>
        <v>0</v>
      </c>
      <c r="AC77" s="171">
        <f t="shared" si="18"/>
        <v>25.302985515814363</v>
      </c>
      <c r="AD77" s="163">
        <v>31</v>
      </c>
      <c r="AE77" s="171">
        <f>Y77*AD77</f>
        <v>75.203519999999997</v>
      </c>
      <c r="AF77" s="179"/>
    </row>
    <row r="78" spans="1:32" ht="15.75" customHeight="1" x14ac:dyDescent="0.2">
      <c r="A78" s="216">
        <v>63</v>
      </c>
      <c r="B78" s="163" t="s">
        <v>132</v>
      </c>
      <c r="C78" s="216" t="s">
        <v>177</v>
      </c>
      <c r="D78" s="163">
        <v>387.72</v>
      </c>
      <c r="E78" s="323" t="s">
        <v>135</v>
      </c>
      <c r="F78" s="163">
        <v>177.8</v>
      </c>
      <c r="G78" s="163" t="s">
        <v>28</v>
      </c>
      <c r="H78" s="165" t="s">
        <v>58</v>
      </c>
      <c r="I78" s="158">
        <v>136.03</v>
      </c>
      <c r="J78" s="163">
        <v>170</v>
      </c>
      <c r="K78" s="163"/>
      <c r="L78" s="163">
        <v>20</v>
      </c>
      <c r="M78" s="163"/>
      <c r="N78" s="163">
        <v>0.9</v>
      </c>
      <c r="O78" s="163"/>
      <c r="P78" s="182">
        <v>15.538132686444133</v>
      </c>
      <c r="Q78" s="171"/>
      <c r="R78" s="170">
        <v>3.0449999999999999</v>
      </c>
      <c r="S78" s="171">
        <v>4.0339999999999998</v>
      </c>
      <c r="T78" s="171">
        <v>0</v>
      </c>
      <c r="U78" s="171">
        <v>0</v>
      </c>
      <c r="V78" s="169">
        <f t="shared" si="15"/>
        <v>24.516608824987603</v>
      </c>
      <c r="W78" s="170">
        <v>0.5</v>
      </c>
      <c r="X78" s="171"/>
      <c r="Y78" s="171">
        <f t="shared" ref="Y78:Y81" si="19">R78*0.96</f>
        <v>2.9232</v>
      </c>
      <c r="Z78" s="171">
        <f t="shared" ref="Z78:Z81" si="20">S78*0.96</f>
        <v>3.8726399999999996</v>
      </c>
      <c r="AA78" s="171">
        <f t="shared" si="17"/>
        <v>0</v>
      </c>
      <c r="AB78" s="171">
        <v>0</v>
      </c>
      <c r="AC78" s="171">
        <f>V78</f>
        <v>24.516608824987603</v>
      </c>
      <c r="AD78" s="163">
        <v>31</v>
      </c>
      <c r="AE78" s="171">
        <f>Y78*AD78</f>
        <v>90.619200000000006</v>
      </c>
      <c r="AF78" s="190"/>
    </row>
    <row r="79" spans="1:32" ht="15.75" customHeight="1" x14ac:dyDescent="0.2">
      <c r="A79" s="285">
        <v>64</v>
      </c>
      <c r="B79" s="163" t="s">
        <v>121</v>
      </c>
      <c r="C79" s="216" t="s">
        <v>177</v>
      </c>
      <c r="D79" s="163">
        <v>389.57</v>
      </c>
      <c r="E79" s="163" t="s">
        <v>137</v>
      </c>
      <c r="F79" s="163">
        <v>177.8</v>
      </c>
      <c r="G79" s="163" t="s">
        <v>28</v>
      </c>
      <c r="H79" s="165" t="s">
        <v>58</v>
      </c>
      <c r="I79" s="158">
        <v>120.43</v>
      </c>
      <c r="J79" s="163">
        <v>0</v>
      </c>
      <c r="K79" s="163"/>
      <c r="L79" s="163"/>
      <c r="M79" s="163"/>
      <c r="N79" s="163"/>
      <c r="O79" s="163"/>
      <c r="P79" s="182"/>
      <c r="Q79" s="171"/>
      <c r="R79" s="170"/>
      <c r="S79" s="171"/>
      <c r="T79" s="171"/>
      <c r="U79" s="171"/>
      <c r="V79" s="169"/>
      <c r="W79" s="170"/>
      <c r="X79" s="171"/>
      <c r="Y79" s="171">
        <f t="shared" si="19"/>
        <v>0</v>
      </c>
      <c r="Z79" s="171">
        <f t="shared" si="20"/>
        <v>0</v>
      </c>
      <c r="AA79" s="171">
        <f t="shared" si="17"/>
        <v>0</v>
      </c>
      <c r="AB79" s="171">
        <v>0</v>
      </c>
      <c r="AC79" s="171">
        <f>V79</f>
        <v>0</v>
      </c>
      <c r="AD79" s="163">
        <v>0</v>
      </c>
      <c r="AE79" s="171">
        <f>Y79*AD79</f>
        <v>0</v>
      </c>
      <c r="AF79" s="172"/>
    </row>
    <row r="80" spans="1:32" ht="15.75" customHeight="1" x14ac:dyDescent="0.2">
      <c r="A80" s="163">
        <v>65</v>
      </c>
      <c r="B80" s="164" t="s">
        <v>122</v>
      </c>
      <c r="C80" s="216" t="s">
        <v>177</v>
      </c>
      <c r="D80" s="163">
        <v>391.06</v>
      </c>
      <c r="E80" s="163" t="s">
        <v>138</v>
      </c>
      <c r="F80" s="163">
        <v>177.8</v>
      </c>
      <c r="G80" s="163" t="s">
        <v>28</v>
      </c>
      <c r="H80" s="165" t="s">
        <v>58</v>
      </c>
      <c r="I80" s="171">
        <v>151.72999999999999</v>
      </c>
      <c r="J80" s="163">
        <v>200</v>
      </c>
      <c r="K80" s="175"/>
      <c r="L80" s="163">
        <v>40</v>
      </c>
      <c r="M80" s="175"/>
      <c r="N80" s="163">
        <v>0.9</v>
      </c>
      <c r="O80" s="175"/>
      <c r="P80" s="182">
        <v>14.650515832991699</v>
      </c>
      <c r="Q80" s="171"/>
      <c r="R80" s="170">
        <v>2.956</v>
      </c>
      <c r="S80" s="170">
        <v>2.956</v>
      </c>
      <c r="T80" s="171">
        <v>0</v>
      </c>
      <c r="U80" s="171">
        <f>T80/R80</f>
        <v>0</v>
      </c>
      <c r="V80" s="169">
        <f t="shared" si="15"/>
        <v>0</v>
      </c>
      <c r="W80" s="171">
        <v>1</v>
      </c>
      <c r="X80" s="171"/>
      <c r="Y80" s="171">
        <f t="shared" si="19"/>
        <v>2.8377599999999998</v>
      </c>
      <c r="Z80" s="171">
        <f t="shared" si="20"/>
        <v>2.8377599999999998</v>
      </c>
      <c r="AA80" s="171">
        <f t="shared" si="17"/>
        <v>0</v>
      </c>
      <c r="AB80" s="171">
        <f t="shared" si="18"/>
        <v>0</v>
      </c>
      <c r="AC80" s="171">
        <f t="shared" si="18"/>
        <v>0</v>
      </c>
      <c r="AD80" s="163">
        <v>31</v>
      </c>
      <c r="AE80" s="171">
        <f>Y80*AD80</f>
        <v>87.970559999999992</v>
      </c>
      <c r="AF80" s="177"/>
    </row>
    <row r="81" spans="1:32" ht="15.75" customHeight="1" x14ac:dyDescent="0.2">
      <c r="A81" s="163">
        <v>66</v>
      </c>
      <c r="B81" s="215" t="s">
        <v>57</v>
      </c>
      <c r="C81" s="215" t="s">
        <v>176</v>
      </c>
      <c r="D81" s="163">
        <v>681.52</v>
      </c>
      <c r="E81" s="164" t="s">
        <v>93</v>
      </c>
      <c r="F81" s="163">
        <v>177.8</v>
      </c>
      <c r="G81" s="163" t="s">
        <v>28</v>
      </c>
      <c r="H81" s="165" t="s">
        <v>58</v>
      </c>
      <c r="I81" s="171">
        <v>157.88</v>
      </c>
      <c r="J81" s="163">
        <v>125</v>
      </c>
      <c r="K81" s="175"/>
      <c r="L81" s="163">
        <v>90</v>
      </c>
      <c r="M81" s="175"/>
      <c r="N81" s="163">
        <v>0</v>
      </c>
      <c r="O81" s="175"/>
      <c r="P81" s="372">
        <v>7.5028165090742851</v>
      </c>
      <c r="Q81" s="171"/>
      <c r="R81" s="170">
        <v>1.9610000000000001</v>
      </c>
      <c r="S81" s="171">
        <v>3.282</v>
      </c>
      <c r="T81" s="171">
        <v>0</v>
      </c>
      <c r="U81" s="171">
        <f>T81/R81</f>
        <v>0</v>
      </c>
      <c r="V81" s="169">
        <f t="shared" si="15"/>
        <v>40.249847653869594</v>
      </c>
      <c r="W81" s="171">
        <v>0.3</v>
      </c>
      <c r="X81" s="171"/>
      <c r="Y81" s="171">
        <f t="shared" si="19"/>
        <v>1.88256</v>
      </c>
      <c r="Z81" s="171">
        <f t="shared" si="20"/>
        <v>3.1507199999999997</v>
      </c>
      <c r="AA81" s="171">
        <f t="shared" si="17"/>
        <v>0</v>
      </c>
      <c r="AB81" s="171">
        <f t="shared" si="18"/>
        <v>0</v>
      </c>
      <c r="AC81" s="171">
        <f t="shared" si="18"/>
        <v>40.249847653869594</v>
      </c>
      <c r="AD81" s="163">
        <v>31</v>
      </c>
      <c r="AE81" s="171">
        <f>Y81*AD81</f>
        <v>58.359360000000002</v>
      </c>
      <c r="AF81" s="172" t="s">
        <v>293</v>
      </c>
    </row>
    <row r="82" spans="1:32" ht="15.75" customHeight="1" x14ac:dyDescent="0.2">
      <c r="A82" s="163">
        <v>67</v>
      </c>
      <c r="B82" s="215" t="s">
        <v>188</v>
      </c>
      <c r="C82" s="215" t="s">
        <v>183</v>
      </c>
      <c r="D82" s="163">
        <v>376.58</v>
      </c>
      <c r="E82" s="164" t="s">
        <v>235</v>
      </c>
      <c r="F82" s="163">
        <v>177.8</v>
      </c>
      <c r="G82" s="163"/>
      <c r="H82" s="165"/>
      <c r="I82" s="171"/>
      <c r="J82" s="163"/>
      <c r="K82" s="175"/>
      <c r="L82" s="163"/>
      <c r="M82" s="175"/>
      <c r="N82" s="163"/>
      <c r="O82" s="175"/>
      <c r="P82" s="182"/>
      <c r="Q82" s="171"/>
      <c r="R82" s="170"/>
      <c r="S82" s="171"/>
      <c r="T82" s="171"/>
      <c r="U82" s="171"/>
      <c r="V82" s="169"/>
      <c r="W82" s="171"/>
      <c r="X82" s="171"/>
      <c r="Y82" s="171"/>
      <c r="Z82" s="171"/>
      <c r="AA82" s="171"/>
      <c r="AB82" s="171"/>
      <c r="AC82" s="171"/>
      <c r="AD82" s="163"/>
      <c r="AE82" s="171"/>
      <c r="AF82" s="172" t="s">
        <v>283</v>
      </c>
    </row>
    <row r="83" spans="1:32" ht="15.75" customHeight="1" x14ac:dyDescent="0.2">
      <c r="A83" s="163">
        <v>68</v>
      </c>
      <c r="B83" s="215" t="s">
        <v>184</v>
      </c>
      <c r="C83" s="215" t="s">
        <v>176</v>
      </c>
      <c r="D83" s="163">
        <v>422.78</v>
      </c>
      <c r="E83" s="164" t="s">
        <v>185</v>
      </c>
      <c r="F83" s="163">
        <v>177.8</v>
      </c>
      <c r="G83" s="163" t="s">
        <v>28</v>
      </c>
      <c r="H83" s="165" t="s">
        <v>58</v>
      </c>
      <c r="I83" s="171">
        <v>223.87</v>
      </c>
      <c r="J83" s="163">
        <v>65</v>
      </c>
      <c r="K83" s="175"/>
      <c r="L83" s="163">
        <v>190</v>
      </c>
      <c r="M83" s="175"/>
      <c r="N83" s="163">
        <v>0</v>
      </c>
      <c r="O83" s="175"/>
      <c r="P83" s="182">
        <v>3.9389786672639997</v>
      </c>
      <c r="Q83" s="171"/>
      <c r="R83" s="170">
        <v>9.6000000000000002E-2</v>
      </c>
      <c r="S83" s="171">
        <v>0.1</v>
      </c>
      <c r="T83" s="171">
        <v>0</v>
      </c>
      <c r="U83" s="171">
        <f t="shared" ref="U83" si="21">T83/R83</f>
        <v>0</v>
      </c>
      <c r="V83" s="169">
        <f t="shared" ref="V83" si="22">(S83-R83)/S83*100</f>
        <v>4.0000000000000036</v>
      </c>
      <c r="W83" s="171">
        <v>0.6</v>
      </c>
      <c r="X83" s="171"/>
      <c r="Y83" s="171">
        <f>R83*0.96</f>
        <v>9.2159999999999992E-2</v>
      </c>
      <c r="Z83" s="171">
        <f>S83*0.96</f>
        <v>9.6000000000000002E-2</v>
      </c>
      <c r="AA83" s="171">
        <f t="shared" ref="AA83" si="23">T83*0.9494</f>
        <v>0</v>
      </c>
      <c r="AB83" s="171">
        <f t="shared" ref="AB83:AC83" si="24">U83</f>
        <v>0</v>
      </c>
      <c r="AC83" s="171">
        <f t="shared" si="24"/>
        <v>4.0000000000000036</v>
      </c>
      <c r="AD83" s="163">
        <v>31</v>
      </c>
      <c r="AE83" s="171">
        <f t="shared" ref="AE83" si="25">Y83*AD83</f>
        <v>2.8569599999999999</v>
      </c>
      <c r="AF83" s="172" t="s">
        <v>293</v>
      </c>
    </row>
    <row r="84" spans="1:32" ht="15.75" customHeight="1" x14ac:dyDescent="0.2">
      <c r="A84" s="163">
        <v>69</v>
      </c>
      <c r="B84" s="215" t="s">
        <v>186</v>
      </c>
      <c r="C84" s="215" t="s">
        <v>176</v>
      </c>
      <c r="D84" s="163">
        <v>387.56</v>
      </c>
      <c r="E84" s="164"/>
      <c r="F84" s="163">
        <v>177.8</v>
      </c>
      <c r="G84" s="163"/>
      <c r="H84" s="165"/>
      <c r="I84" s="171"/>
      <c r="J84" s="163"/>
      <c r="K84" s="175"/>
      <c r="L84" s="163"/>
      <c r="M84" s="175"/>
      <c r="N84" s="163"/>
      <c r="O84" s="175"/>
      <c r="P84" s="182"/>
      <c r="Q84" s="171"/>
      <c r="R84" s="170"/>
      <c r="S84" s="171"/>
      <c r="T84" s="171"/>
      <c r="U84" s="171"/>
      <c r="V84" s="169"/>
      <c r="W84" s="171"/>
      <c r="X84" s="171"/>
      <c r="Y84" s="171"/>
      <c r="Z84" s="171"/>
      <c r="AA84" s="171"/>
      <c r="AB84" s="171"/>
      <c r="AC84" s="171"/>
      <c r="AD84" s="163"/>
      <c r="AE84" s="171"/>
      <c r="AF84" s="172" t="s">
        <v>283</v>
      </c>
    </row>
    <row r="85" spans="1:32" ht="15.75" x14ac:dyDescent="0.2">
      <c r="A85" s="306"/>
      <c r="B85" s="1834"/>
      <c r="C85" s="1834"/>
      <c r="D85" s="1834"/>
      <c r="E85" s="1835"/>
      <c r="F85" s="158"/>
      <c r="G85" s="374"/>
      <c r="H85" s="373"/>
      <c r="I85" s="373"/>
      <c r="J85" s="158"/>
      <c r="K85" s="158"/>
      <c r="L85" s="158"/>
      <c r="M85" s="158"/>
      <c r="N85" s="158"/>
      <c r="O85" s="158"/>
      <c r="P85" s="160"/>
      <c r="Q85" s="174"/>
      <c r="R85" s="209">
        <f>SUM(R77:R81)</f>
        <v>10.489000000000001</v>
      </c>
      <c r="S85" s="209">
        <f>SUM(S77:S81)</f>
        <v>13.654999999999999</v>
      </c>
      <c r="T85" s="209">
        <f>SUM(T77:T81)</f>
        <v>0</v>
      </c>
      <c r="U85" s="209">
        <f>SUM(U77:U80)</f>
        <v>0</v>
      </c>
      <c r="V85" s="374"/>
      <c r="W85" s="374"/>
      <c r="X85" s="374"/>
      <c r="Y85" s="209">
        <f>SUM(Y77:Y80)</f>
        <v>8.1868800000000004</v>
      </c>
      <c r="Z85" s="209">
        <f>SUM(Z77:Z80)</f>
        <v>9.9580799999999989</v>
      </c>
      <c r="AA85" s="209">
        <f>SUM(AA77:AA81)</f>
        <v>0</v>
      </c>
      <c r="AB85" s="209">
        <v>0</v>
      </c>
      <c r="AC85" s="374"/>
      <c r="AD85" s="158"/>
      <c r="AE85" s="209">
        <f>SUM(AE77:AE80)</f>
        <v>253.79327999999998</v>
      </c>
      <c r="AF85" s="218"/>
    </row>
    <row r="86" spans="1:32" ht="15.75" x14ac:dyDescent="0.2">
      <c r="A86" s="306"/>
      <c r="B86" s="1834"/>
      <c r="C86" s="1834"/>
      <c r="D86" s="1834"/>
      <c r="E86" s="1835"/>
      <c r="F86" s="175"/>
      <c r="G86" s="163"/>
      <c r="H86" s="165"/>
      <c r="I86" s="171"/>
      <c r="J86" s="163"/>
      <c r="K86" s="175"/>
      <c r="L86" s="163"/>
      <c r="M86" s="175"/>
      <c r="N86" s="182"/>
      <c r="O86" s="175"/>
      <c r="P86" s="224"/>
      <c r="Q86" s="209"/>
      <c r="R86" s="209"/>
      <c r="S86" s="209"/>
      <c r="T86" s="209"/>
      <c r="U86" s="209"/>
      <c r="V86" s="209"/>
      <c r="W86" s="209"/>
      <c r="X86" s="209"/>
      <c r="Y86" s="209"/>
      <c r="Z86" s="225"/>
      <c r="AA86" s="209"/>
      <c r="AB86" s="209"/>
      <c r="AC86" s="209"/>
      <c r="AD86" s="209"/>
      <c r="AE86" s="209"/>
      <c r="AF86" s="177"/>
    </row>
    <row r="87" spans="1:32" ht="15.75" x14ac:dyDescent="0.2">
      <c r="A87" s="306"/>
      <c r="B87" s="1843" t="s">
        <v>276</v>
      </c>
      <c r="C87" s="1839"/>
      <c r="D87" s="1839"/>
      <c r="E87" s="1839"/>
      <c r="F87" s="1839"/>
      <c r="G87" s="374"/>
      <c r="H87" s="373"/>
      <c r="I87" s="373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379"/>
      <c r="V87" s="374"/>
      <c r="W87" s="374"/>
      <c r="X87" s="374"/>
      <c r="Y87" s="158"/>
      <c r="Z87" s="158"/>
      <c r="AA87" s="158"/>
      <c r="AB87" s="381"/>
      <c r="AC87" s="374"/>
      <c r="AD87" s="158"/>
      <c r="AE87" s="158"/>
      <c r="AF87" s="373"/>
    </row>
    <row r="88" spans="1:32" ht="15.75" x14ac:dyDescent="0.2">
      <c r="A88" s="163">
        <v>70</v>
      </c>
      <c r="B88" s="226" t="s">
        <v>107</v>
      </c>
      <c r="C88" s="188" t="s">
        <v>109</v>
      </c>
      <c r="D88" s="380"/>
      <c r="E88" s="380"/>
      <c r="F88" s="158"/>
      <c r="G88" s="374"/>
      <c r="H88" s="373"/>
      <c r="I88" s="373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79"/>
      <c r="V88" s="374"/>
      <c r="W88" s="374"/>
      <c r="X88" s="374"/>
      <c r="Y88" s="373"/>
      <c r="Z88" s="373"/>
      <c r="AA88" s="158"/>
      <c r="AB88" s="381"/>
      <c r="AC88" s="374"/>
      <c r="AD88" s="228"/>
      <c r="AE88" s="158"/>
      <c r="AF88" s="229"/>
    </row>
    <row r="89" spans="1:32" ht="15.75" x14ac:dyDescent="0.2">
      <c r="A89" s="163">
        <v>71</v>
      </c>
      <c r="B89" s="226" t="s">
        <v>108</v>
      </c>
      <c r="C89" s="188" t="s">
        <v>109</v>
      </c>
      <c r="D89" s="380"/>
      <c r="E89" s="380"/>
      <c r="F89" s="158"/>
      <c r="G89" s="374"/>
      <c r="H89" s="373"/>
      <c r="I89" s="373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79"/>
      <c r="V89" s="374"/>
      <c r="W89" s="374"/>
      <c r="X89" s="374"/>
      <c r="Y89" s="373"/>
      <c r="Z89" s="373"/>
      <c r="AA89" s="158"/>
      <c r="AB89" s="381"/>
      <c r="AC89" s="374"/>
      <c r="AD89" s="228"/>
      <c r="AE89" s="158"/>
      <c r="AF89" s="229"/>
    </row>
    <row r="90" spans="1:32" ht="15.75" x14ac:dyDescent="0.2">
      <c r="A90" s="163">
        <v>72</v>
      </c>
      <c r="B90" s="226" t="s">
        <v>195</v>
      </c>
      <c r="C90" s="216" t="s">
        <v>193</v>
      </c>
      <c r="D90" s="380"/>
      <c r="E90" s="380"/>
      <c r="F90" s="158"/>
      <c r="G90" s="374"/>
      <c r="H90" s="373"/>
      <c r="I90" s="373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79"/>
      <c r="V90" s="374"/>
      <c r="W90" s="374"/>
      <c r="X90" s="374"/>
      <c r="Y90" s="373"/>
      <c r="Z90" s="373"/>
      <c r="AA90" s="158"/>
      <c r="AB90" s="381"/>
      <c r="AC90" s="374"/>
      <c r="AD90" s="228"/>
      <c r="AE90" s="158"/>
      <c r="AF90" s="229"/>
    </row>
    <row r="91" spans="1:32" ht="15.75" x14ac:dyDescent="0.2">
      <c r="A91" s="163">
        <v>73</v>
      </c>
      <c r="B91" s="226" t="s">
        <v>192</v>
      </c>
      <c r="C91" s="216" t="s">
        <v>193</v>
      </c>
      <c r="D91" s="380"/>
      <c r="E91" s="380"/>
      <c r="F91" s="158"/>
      <c r="G91" s="374"/>
      <c r="H91" s="373"/>
      <c r="I91" s="373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79"/>
      <c r="V91" s="374"/>
      <c r="W91" s="374"/>
      <c r="X91" s="374"/>
      <c r="Y91" s="373"/>
      <c r="Z91" s="373"/>
      <c r="AA91" s="158"/>
      <c r="AB91" s="381"/>
      <c r="AC91" s="374"/>
      <c r="AD91" s="228"/>
      <c r="AE91" s="158"/>
      <c r="AF91" s="229"/>
    </row>
    <row r="92" spans="1:32" ht="15.75" x14ac:dyDescent="0.2">
      <c r="A92" s="163"/>
      <c r="B92" s="1843" t="s">
        <v>278</v>
      </c>
      <c r="C92" s="1839"/>
      <c r="D92" s="1839"/>
      <c r="E92" s="1839"/>
      <c r="F92" s="1839"/>
      <c r="G92" s="374"/>
      <c r="H92" s="373"/>
      <c r="I92" s="373"/>
      <c r="J92" s="158"/>
      <c r="K92" s="158"/>
      <c r="L92" s="158"/>
      <c r="M92" s="158"/>
      <c r="N92" s="158"/>
      <c r="O92" s="158"/>
      <c r="P92" s="160"/>
      <c r="Q92" s="174"/>
      <c r="R92" s="158"/>
      <c r="S92" s="158"/>
      <c r="T92" s="158"/>
      <c r="U92" s="379"/>
      <c r="V92" s="374"/>
      <c r="W92" s="374"/>
      <c r="X92" s="374"/>
      <c r="Y92" s="158"/>
      <c r="Z92" s="158"/>
      <c r="AA92" s="158"/>
      <c r="AB92" s="381"/>
      <c r="AC92" s="374"/>
      <c r="AD92" s="158"/>
      <c r="AE92" s="158"/>
      <c r="AF92" s="373"/>
    </row>
    <row r="93" spans="1:32" ht="15.75" x14ac:dyDescent="0.2">
      <c r="A93" s="163">
        <v>74</v>
      </c>
      <c r="B93" s="207" t="s">
        <v>189</v>
      </c>
      <c r="C93" s="163" t="s">
        <v>46</v>
      </c>
      <c r="D93" s="189">
        <v>673</v>
      </c>
      <c r="E93" s="189" t="s">
        <v>190</v>
      </c>
      <c r="F93" s="163">
        <v>177.8</v>
      </c>
      <c r="G93" s="163"/>
      <c r="H93" s="165"/>
      <c r="I93" s="158"/>
      <c r="J93" s="158"/>
      <c r="K93" s="158"/>
      <c r="L93" s="158"/>
      <c r="M93" s="158"/>
      <c r="N93" s="158"/>
      <c r="O93" s="158"/>
      <c r="P93" s="160"/>
      <c r="Q93" s="174"/>
      <c r="R93" s="158"/>
      <c r="S93" s="158"/>
      <c r="T93" s="158"/>
      <c r="U93" s="379"/>
      <c r="V93" s="374"/>
      <c r="W93" s="374"/>
      <c r="X93" s="374"/>
      <c r="Y93" s="230"/>
      <c r="Z93" s="231"/>
      <c r="AA93" s="373"/>
      <c r="AB93" s="381"/>
      <c r="AC93" s="158"/>
      <c r="AD93" s="163"/>
      <c r="AE93" s="171"/>
      <c r="AF93" s="179"/>
    </row>
    <row r="94" spans="1:32" ht="15.75" x14ac:dyDescent="0.25">
      <c r="A94" s="163">
        <v>75</v>
      </c>
      <c r="B94" s="164" t="s">
        <v>181</v>
      </c>
      <c r="C94" s="232" t="s">
        <v>183</v>
      </c>
      <c r="D94" s="165">
        <v>374.5</v>
      </c>
      <c r="E94" s="163" t="s">
        <v>182</v>
      </c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163">
        <v>76</v>
      </c>
      <c r="B95" s="164" t="s">
        <v>174</v>
      </c>
      <c r="C95" s="163" t="s">
        <v>46</v>
      </c>
      <c r="D95" s="165">
        <v>672</v>
      </c>
      <c r="E95" s="163" t="s">
        <v>175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82"/>
      <c r="Q95" s="171"/>
      <c r="R95" s="170"/>
      <c r="S95" s="171"/>
      <c r="T95" s="171"/>
      <c r="U95" s="171"/>
      <c r="V95" s="170"/>
      <c r="W95" s="170"/>
      <c r="X95" s="171"/>
      <c r="Y95" s="171"/>
      <c r="Z95" s="171"/>
      <c r="AA95" s="171"/>
      <c r="AB95" s="171"/>
      <c r="AC95" s="171"/>
      <c r="AD95" s="163"/>
      <c r="AE95" s="171"/>
      <c r="AF95" s="179"/>
    </row>
    <row r="96" spans="1:32" ht="15.75" x14ac:dyDescent="0.2">
      <c r="A96" s="163">
        <v>77</v>
      </c>
      <c r="B96" s="204" t="s">
        <v>103</v>
      </c>
      <c r="C96" s="163" t="s">
        <v>46</v>
      </c>
      <c r="D96" s="158">
        <v>582</v>
      </c>
      <c r="E96" s="158" t="s">
        <v>112</v>
      </c>
      <c r="F96" s="163">
        <v>177.8</v>
      </c>
      <c r="G96" s="163"/>
      <c r="H96" s="165"/>
      <c r="I96" s="158"/>
      <c r="J96" s="158"/>
      <c r="K96" s="159"/>
      <c r="L96" s="158"/>
      <c r="M96" s="159"/>
      <c r="N96" s="158"/>
      <c r="O96" s="158"/>
      <c r="P96" s="160"/>
      <c r="Q96" s="174"/>
      <c r="R96" s="158"/>
      <c r="S96" s="158"/>
      <c r="T96" s="158"/>
      <c r="U96" s="379"/>
      <c r="V96" s="374"/>
      <c r="W96" s="374"/>
      <c r="X96" s="157"/>
      <c r="Y96" s="234"/>
      <c r="Z96" s="158"/>
      <c r="AA96" s="158"/>
      <c r="AB96" s="379"/>
      <c r="AC96" s="158"/>
      <c r="AD96" s="235"/>
      <c r="AE96" s="174"/>
      <c r="AF96" s="179" t="s">
        <v>302</v>
      </c>
    </row>
    <row r="97" spans="1:32" ht="15.75" x14ac:dyDescent="0.2">
      <c r="A97" s="163"/>
      <c r="B97" s="1843" t="s">
        <v>279</v>
      </c>
      <c r="C97" s="1839"/>
      <c r="D97" s="1839"/>
      <c r="E97" s="1839"/>
      <c r="F97" s="1839"/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x14ac:dyDescent="0.2">
      <c r="A98" s="163">
        <v>78</v>
      </c>
      <c r="B98" s="164" t="s">
        <v>148</v>
      </c>
      <c r="C98" s="163" t="s">
        <v>46</v>
      </c>
      <c r="D98" s="163">
        <v>650</v>
      </c>
      <c r="E98" s="163" t="s">
        <v>75</v>
      </c>
      <c r="F98" s="163">
        <v>177.8</v>
      </c>
      <c r="G98" s="163"/>
      <c r="H98" s="165"/>
      <c r="I98" s="159">
        <v>536.14</v>
      </c>
      <c r="J98" s="163"/>
      <c r="K98" s="163"/>
      <c r="L98" s="163"/>
      <c r="M98" s="163"/>
      <c r="N98" s="182"/>
      <c r="O98" s="163"/>
      <c r="P98" s="182"/>
      <c r="Q98" s="171"/>
      <c r="R98" s="170"/>
      <c r="S98" s="171"/>
      <c r="T98" s="171"/>
      <c r="U98" s="171"/>
      <c r="V98" s="170"/>
      <c r="W98" s="170"/>
      <c r="X98" s="171"/>
      <c r="Y98" s="171"/>
      <c r="Z98" s="171"/>
      <c r="AA98" s="171"/>
      <c r="AB98" s="171"/>
      <c r="AC98" s="171"/>
      <c r="AD98" s="163"/>
      <c r="AE98" s="171"/>
      <c r="AF98" s="179"/>
    </row>
    <row r="99" spans="1:32" ht="15.75" x14ac:dyDescent="0.2">
      <c r="A99" s="163">
        <v>79</v>
      </c>
      <c r="B99" s="164" t="s">
        <v>155</v>
      </c>
      <c r="C99" s="163" t="s">
        <v>46</v>
      </c>
      <c r="D99" s="163">
        <v>674.13</v>
      </c>
      <c r="E99" s="163" t="s">
        <v>83</v>
      </c>
      <c r="F99" s="163">
        <v>177.8</v>
      </c>
      <c r="G99" s="163"/>
      <c r="H99" s="165"/>
      <c r="I99" s="158">
        <v>527.75</v>
      </c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80</v>
      </c>
      <c r="B100" s="164" t="s">
        <v>56</v>
      </c>
      <c r="C100" s="163" t="s">
        <v>46</v>
      </c>
      <c r="D100" s="165">
        <v>680.52</v>
      </c>
      <c r="E100" s="163" t="s">
        <v>92</v>
      </c>
      <c r="F100" s="163">
        <v>177.8</v>
      </c>
      <c r="G100" s="163"/>
      <c r="H100" s="165"/>
      <c r="I100" s="158">
        <v>555.95000000000005</v>
      </c>
      <c r="J100" s="163"/>
      <c r="K100" s="163"/>
      <c r="L100" s="163"/>
      <c r="M100" s="163"/>
      <c r="N100" s="182"/>
      <c r="O100" s="163"/>
      <c r="P100" s="170"/>
      <c r="Q100" s="171"/>
      <c r="R100" s="170"/>
      <c r="S100" s="171"/>
      <c r="T100" s="171"/>
      <c r="U100" s="171"/>
      <c r="V100" s="170"/>
      <c r="W100" s="170"/>
      <c r="X100" s="233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" x14ac:dyDescent="0.2">
      <c r="A101" s="305"/>
      <c r="B101" s="237"/>
      <c r="C101" s="237"/>
      <c r="D101" s="238"/>
      <c r="E101" s="239"/>
      <c r="F101" s="240"/>
      <c r="G101" s="240"/>
      <c r="H101" s="241"/>
      <c r="I101" s="242"/>
      <c r="J101" s="240"/>
      <c r="K101" s="240"/>
      <c r="L101" s="240"/>
      <c r="M101" s="240"/>
      <c r="N101" s="243"/>
      <c r="O101" s="240"/>
      <c r="P101" s="244"/>
      <c r="Q101" s="245"/>
      <c r="R101" s="244"/>
      <c r="S101" s="245"/>
      <c r="T101" s="245"/>
      <c r="U101" s="245"/>
      <c r="V101" s="244"/>
      <c r="W101" s="244"/>
      <c r="X101" s="246"/>
      <c r="Y101" s="245"/>
      <c r="Z101" s="245"/>
      <c r="AA101" s="245"/>
      <c r="AB101" s="245"/>
      <c r="AC101" s="245"/>
      <c r="AD101" s="240"/>
      <c r="AE101" s="245"/>
      <c r="AF101" s="247"/>
    </row>
    <row r="102" spans="1:32" ht="15" x14ac:dyDescent="0.2">
      <c r="A102" s="305"/>
      <c r="B102" s="1844"/>
      <c r="C102" s="1844"/>
      <c r="D102" s="1844"/>
      <c r="E102" s="1845"/>
      <c r="F102" s="248"/>
      <c r="G102" s="240"/>
      <c r="H102" s="241"/>
      <c r="I102" s="245"/>
      <c r="J102" s="240"/>
      <c r="K102" s="248"/>
      <c r="L102" s="240"/>
      <c r="M102" s="248"/>
      <c r="N102" s="243"/>
      <c r="O102" s="248"/>
      <c r="P102" s="249"/>
      <c r="Q102" s="250"/>
      <c r="R102" s="250">
        <f>R75+R85</f>
        <v>393.08699999999999</v>
      </c>
      <c r="S102" s="250">
        <f>S75+S85</f>
        <v>598.94200000000001</v>
      </c>
      <c r="T102" s="250">
        <f>T75+T85</f>
        <v>22285</v>
      </c>
      <c r="U102" s="250">
        <f>T102/R102</f>
        <v>56.692284405233451</v>
      </c>
      <c r="V102" s="250"/>
      <c r="W102" s="250"/>
      <c r="X102" s="250"/>
      <c r="Y102" s="250">
        <f>Y75+Y85+Y86</f>
        <v>375.48095999999998</v>
      </c>
      <c r="Z102" s="250">
        <f>Z75+Z85+Z86</f>
        <v>571.83360000000005</v>
      </c>
      <c r="AA102" s="250">
        <f>AA75+AA85</f>
        <v>21393.600000000002</v>
      </c>
      <c r="AB102" s="250">
        <f>AA102/Y102</f>
        <v>56.976524189135993</v>
      </c>
      <c r="AC102" s="250"/>
      <c r="AD102" s="250"/>
      <c r="AE102" s="251">
        <f>AE75+AE85+AE86</f>
        <v>11507.804160000002</v>
      </c>
      <c r="AF102" s="252"/>
    </row>
    <row r="103" spans="1:32" ht="15" x14ac:dyDescent="0.2">
      <c r="A103" s="304"/>
      <c r="B103" s="253"/>
      <c r="C103" s="253"/>
      <c r="D103" s="253"/>
      <c r="E103" s="253"/>
      <c r="F103" s="254"/>
      <c r="G103" s="255"/>
      <c r="H103" s="256"/>
      <c r="I103" s="256"/>
      <c r="J103" s="254"/>
      <c r="K103" s="254"/>
      <c r="L103" s="254"/>
      <c r="M103" s="254"/>
      <c r="N103" s="254"/>
      <c r="O103" s="254"/>
      <c r="P103" s="257"/>
      <c r="Q103" s="258"/>
      <c r="R103" s="254"/>
      <c r="S103" s="254"/>
      <c r="T103" s="254"/>
      <c r="U103" s="259"/>
      <c r="V103" s="255"/>
      <c r="W103" s="255"/>
      <c r="X103" s="255"/>
      <c r="Y103" s="254"/>
      <c r="Z103" s="254"/>
      <c r="AA103" s="254"/>
      <c r="AB103" s="260"/>
      <c r="AC103" s="255"/>
      <c r="AD103" s="254"/>
      <c r="AE103" s="254"/>
      <c r="AF103" s="256"/>
    </row>
    <row r="104" spans="1:32" ht="15" x14ac:dyDescent="0.2">
      <c r="A104" s="304"/>
      <c r="B104" s="289"/>
      <c r="C104" s="191"/>
      <c r="D104" s="289"/>
      <c r="E104" s="268">
        <v>0.95</v>
      </c>
      <c r="F104" s="289"/>
      <c r="G104" s="289" t="s">
        <v>102</v>
      </c>
      <c r="H104" s="290"/>
      <c r="I104" s="262"/>
      <c r="J104" s="289"/>
      <c r="K104" s="1883">
        <f>AE102*E104</f>
        <v>10932.413952000001</v>
      </c>
      <c r="L104" s="1884"/>
      <c r="M104" s="1885"/>
      <c r="N104" s="191" t="s">
        <v>27</v>
      </c>
      <c r="O104" s="254"/>
      <c r="P104" s="257"/>
      <c r="Q104" s="258"/>
      <c r="R104" s="254"/>
      <c r="S104" s="254"/>
      <c r="T104" s="254"/>
      <c r="U104" s="259"/>
      <c r="V104" s="255"/>
      <c r="W104" s="255"/>
      <c r="X104" s="255"/>
      <c r="Y104" s="254"/>
      <c r="Z104" s="254"/>
      <c r="AA104" s="254"/>
      <c r="AB104" s="260"/>
      <c r="AC104" s="255"/>
      <c r="AD104" s="254"/>
      <c r="AE104" s="254"/>
      <c r="AF104" s="256"/>
    </row>
    <row r="105" spans="1:32" ht="15" x14ac:dyDescent="0.2">
      <c r="A105" s="304"/>
      <c r="B105" s="289"/>
      <c r="C105" s="191"/>
      <c r="D105" s="289"/>
      <c r="E105" s="268"/>
      <c r="F105" s="289"/>
      <c r="G105" s="191"/>
      <c r="H105" s="290"/>
      <c r="I105" s="262"/>
      <c r="J105" s="289"/>
      <c r="K105" s="191"/>
      <c r="L105" s="263"/>
      <c r="M105" s="289"/>
      <c r="N105" s="289"/>
      <c r="O105" s="289"/>
      <c r="P105" s="291"/>
      <c r="Q105" s="292"/>
      <c r="R105" s="289"/>
      <c r="S105" s="289"/>
      <c r="T105" s="289"/>
      <c r="U105" s="289"/>
      <c r="V105" s="289"/>
      <c r="W105" s="289"/>
      <c r="X105" s="211"/>
      <c r="Y105" s="211"/>
      <c r="Z105" s="211"/>
      <c r="AA105" s="211"/>
      <c r="AB105" s="211"/>
      <c r="AC105" s="211"/>
      <c r="AD105" s="211"/>
      <c r="AE105" s="211"/>
      <c r="AF105" s="266"/>
    </row>
    <row r="106" spans="1:32" ht="15" x14ac:dyDescent="0.2">
      <c r="A106" s="304"/>
      <c r="B106" s="289"/>
      <c r="C106" s="289"/>
      <c r="D106" s="289"/>
      <c r="E106" s="293" t="s">
        <v>214</v>
      </c>
      <c r="F106" s="1881" t="s">
        <v>264</v>
      </c>
      <c r="G106" s="1881"/>
      <c r="H106" s="1881"/>
      <c r="I106" s="289"/>
      <c r="J106" s="289"/>
      <c r="K106" s="191"/>
      <c r="L106" s="191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1842" t="s">
        <v>99</v>
      </c>
      <c r="Y106" s="1824"/>
      <c r="Z106" s="1824"/>
      <c r="AA106" s="1824"/>
      <c r="AB106" s="211" t="s">
        <v>216</v>
      </c>
      <c r="AC106" s="211"/>
      <c r="AD106" s="211"/>
      <c r="AE106" s="211"/>
      <c r="AF106" s="211"/>
    </row>
  </sheetData>
  <mergeCells count="40">
    <mergeCell ref="B8:E8"/>
    <mergeCell ref="I1:X1"/>
    <mergeCell ref="A2:D2"/>
    <mergeCell ref="J2:W2"/>
    <mergeCell ref="A6:E6"/>
    <mergeCell ref="A7:E7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06:AA106"/>
    <mergeCell ref="AF12:AF13"/>
    <mergeCell ref="B75:E75"/>
    <mergeCell ref="B76:F76"/>
    <mergeCell ref="B85:E85"/>
    <mergeCell ref="B86:E86"/>
    <mergeCell ref="B87:F87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2:F92"/>
    <mergeCell ref="B97:F97"/>
    <mergeCell ref="B102:E102"/>
    <mergeCell ref="K104:M104"/>
    <mergeCell ref="F106:H106"/>
  </mergeCells>
  <pageMargins left="0.23622047244094491" right="0.23622047244094491" top="0.74803149606299213" bottom="0.74803149606299213" header="0.31496062992125984" footer="0.31496062992125984"/>
  <pageSetup paperSize="9" scale="33" fitToHeight="0" orientation="landscape" r:id="rId1"/>
  <rowBreaks count="1" manualBreakCount="1">
    <brk id="7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106"/>
  <sheetViews>
    <sheetView view="pageBreakPreview" topLeftCell="N4" zoomScale="82" zoomScaleNormal="82" zoomScaleSheetLayoutView="82" workbookViewId="0">
      <selection activeCell="V14" sqref="V14"/>
    </sheetView>
  </sheetViews>
  <sheetFormatPr defaultColWidth="9.140625" defaultRowHeight="12.75" x14ac:dyDescent="0.2"/>
  <cols>
    <col min="1" max="1" width="9.140625" style="304"/>
    <col min="2" max="2" width="12.5703125" style="304" customWidth="1"/>
    <col min="3" max="4" width="11.140625" style="304" customWidth="1"/>
    <col min="5" max="5" width="79.7109375" style="304" customWidth="1"/>
    <col min="6" max="7" width="9.140625" style="304"/>
    <col min="8" max="8" width="12.7109375" style="304" customWidth="1"/>
    <col min="9" max="9" width="11.85546875" style="304" customWidth="1"/>
    <col min="10" max="19" width="9.140625" style="304"/>
    <col min="20" max="20" width="11.85546875" style="304" customWidth="1"/>
    <col min="21" max="26" width="9.140625" style="304"/>
    <col min="27" max="27" width="12.5703125" style="304" customWidth="1"/>
    <col min="28" max="30" width="9.140625" style="304"/>
    <col min="31" max="31" width="12.7109375" style="304" customWidth="1"/>
    <col min="32" max="32" width="54" style="304" customWidth="1"/>
    <col min="33" max="16384" width="9.140625" style="304"/>
  </cols>
  <sheetData>
    <row r="1" spans="1:32" ht="15" x14ac:dyDescent="0.2">
      <c r="B1" s="386"/>
      <c r="C1" s="386"/>
      <c r="D1" s="138"/>
      <c r="E1" s="138"/>
      <c r="F1" s="138"/>
      <c r="G1" s="386"/>
      <c r="H1" s="38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A2" s="1825" t="s">
        <v>54</v>
      </c>
      <c r="B2" s="1825"/>
      <c r="C2" s="1825"/>
      <c r="D2" s="1825"/>
      <c r="E2" s="138"/>
      <c r="F2" s="138"/>
      <c r="G2" s="386"/>
      <c r="H2" s="386"/>
      <c r="I2" s="138"/>
      <c r="J2" s="1823" t="s">
        <v>307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387" t="s">
        <v>270</v>
      </c>
      <c r="B3" s="387"/>
      <c r="C3" s="387"/>
      <c r="D3" s="387"/>
      <c r="E3" s="387"/>
      <c r="F3" s="138"/>
      <c r="G3" s="386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85"/>
      <c r="S3" s="385"/>
      <c r="T3" s="385"/>
      <c r="U3" s="385"/>
      <c r="V3" s="385"/>
      <c r="W3" s="385"/>
      <c r="X3" s="385"/>
      <c r="Y3" s="385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87" t="s">
        <v>228</v>
      </c>
      <c r="B4" s="148"/>
      <c r="C4" s="148"/>
      <c r="D4" s="148"/>
      <c r="E4" s="138"/>
      <c r="F4" s="138"/>
      <c r="G4" s="386"/>
      <c r="H4" s="386"/>
      <c r="I4" s="141"/>
      <c r="J4" s="141"/>
      <c r="K4" s="141"/>
      <c r="L4" s="141"/>
      <c r="M4" s="141"/>
      <c r="N4" s="141"/>
      <c r="O4" s="141"/>
      <c r="P4" s="141"/>
      <c r="Q4" s="141"/>
      <c r="R4" s="384"/>
      <c r="S4" s="384"/>
      <c r="T4" s="384"/>
      <c r="U4" s="384"/>
      <c r="V4" s="384"/>
      <c r="W4" s="384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38"/>
      <c r="B5" s="387"/>
      <c r="C5" s="387"/>
      <c r="D5" s="387"/>
      <c r="E5" s="138"/>
      <c r="F5" s="138"/>
      <c r="G5" s="386"/>
      <c r="H5" s="386"/>
      <c r="I5" s="138"/>
      <c r="J5" s="138"/>
      <c r="K5" s="386"/>
      <c r="L5" s="386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 t="s">
        <v>261</v>
      </c>
      <c r="B6" s="1826"/>
      <c r="C6" s="1826"/>
      <c r="D6" s="1826"/>
      <c r="E6" s="1826"/>
      <c r="F6" s="138"/>
      <c r="G6" s="386"/>
      <c r="H6" s="386"/>
      <c r="I6" s="140"/>
      <c r="J6" s="138"/>
      <c r="K6" s="386"/>
      <c r="L6" s="386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 t="s">
        <v>228</v>
      </c>
      <c r="B7" s="1826"/>
      <c r="C7" s="1826"/>
      <c r="D7" s="1826"/>
      <c r="E7" s="1826"/>
      <c r="F7" s="138"/>
      <c r="G7" s="386"/>
      <c r="H7" s="386"/>
      <c r="I7" s="140"/>
      <c r="J7" s="138"/>
      <c r="K7" s="386"/>
      <c r="L7" s="386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B8" s="1826"/>
      <c r="C8" s="1826"/>
      <c r="D8" s="1826"/>
      <c r="E8" s="1826"/>
      <c r="F8" s="138"/>
      <c r="G8" s="386"/>
      <c r="H8" s="386"/>
      <c r="I8" s="140"/>
      <c r="J8" s="138"/>
      <c r="K8" s="386"/>
      <c r="L8" s="386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B9" s="154"/>
      <c r="C9" s="154"/>
      <c r="D9" s="154"/>
      <c r="E9" s="154"/>
      <c r="F9" s="138"/>
      <c r="G9" s="386"/>
      <c r="H9" s="386"/>
      <c r="I9" s="138"/>
      <c r="J9" s="138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B10" s="386"/>
      <c r="C10" s="386"/>
      <c r="D10" s="386"/>
      <c r="E10" s="138"/>
      <c r="F10" s="138"/>
      <c r="G10" s="386"/>
      <c r="H10" s="386"/>
      <c r="I10" s="140"/>
      <c r="J10" s="138"/>
      <c r="K10" s="386"/>
      <c r="L10" s="386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8.25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83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83" t="s">
        <v>18</v>
      </c>
      <c r="AE12" s="383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6">
        <v>190</v>
      </c>
      <c r="K14" s="166"/>
      <c r="L14" s="166">
        <v>384</v>
      </c>
      <c r="M14" s="166"/>
      <c r="N14" s="163">
        <v>6.7</v>
      </c>
      <c r="O14" s="166"/>
      <c r="P14" s="167">
        <v>23.443972511244638</v>
      </c>
      <c r="Q14" s="168">
        <f t="shared" ref="Q14:Q37" si="0">LEFT(H14,(FIND("K",H14,1)-1))*J14/100</f>
        <v>41.8</v>
      </c>
      <c r="R14" s="169">
        <v>1.5569999999999999</v>
      </c>
      <c r="S14" s="168">
        <v>3.36</v>
      </c>
      <c r="T14" s="168">
        <v>0</v>
      </c>
      <c r="U14" s="168">
        <f>T14/R14</f>
        <v>0</v>
      </c>
      <c r="V14" s="169">
        <f>(S14-R14)/S14*100</f>
        <v>53.660714285714285</v>
      </c>
      <c r="W14" s="170">
        <v>0.5</v>
      </c>
      <c r="X14" s="171">
        <f t="shared" ref="X14:X46" si="1">S14/Q14</f>
        <v>8.0382775119617222E-2</v>
      </c>
      <c r="Y14" s="171">
        <f>R14*0.96</f>
        <v>1.4947199999999998</v>
      </c>
      <c r="Z14" s="171">
        <f>S14*0.96</f>
        <v>3.2255999999999996</v>
      </c>
      <c r="AA14" s="171">
        <f>T14*0.96</f>
        <v>0</v>
      </c>
      <c r="AB14" s="171">
        <f>U14</f>
        <v>0</v>
      </c>
      <c r="AC14" s="171">
        <f t="shared" ref="AC14:AC74" si="2">V14</f>
        <v>53.660714285714285</v>
      </c>
      <c r="AD14" s="163">
        <v>31</v>
      </c>
      <c r="AE14" s="171">
        <f>Y14*AD14</f>
        <v>46.336319999999994</v>
      </c>
      <c r="AF14" s="172"/>
    </row>
    <row r="15" spans="1:32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6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200</v>
      </c>
      <c r="L15" s="166"/>
      <c r="M15" s="166">
        <v>3.3</v>
      </c>
      <c r="N15" s="163">
        <v>0</v>
      </c>
      <c r="O15" s="166"/>
      <c r="P15" s="167">
        <v>37.892058893914275</v>
      </c>
      <c r="Q15" s="168">
        <v>0</v>
      </c>
      <c r="R15" s="168">
        <v>0</v>
      </c>
      <c r="S15" s="168">
        <v>0</v>
      </c>
      <c r="T15" s="168">
        <v>0</v>
      </c>
      <c r="U15" s="168">
        <v>0</v>
      </c>
      <c r="V15" s="168">
        <v>0</v>
      </c>
      <c r="W15" s="168"/>
      <c r="X15" s="168">
        <v>0</v>
      </c>
      <c r="Y15" s="171">
        <f t="shared" ref="Y15:AA74" si="3">R15*0.96</f>
        <v>0</v>
      </c>
      <c r="Z15" s="171">
        <f t="shared" si="3"/>
        <v>0</v>
      </c>
      <c r="AA15" s="171">
        <f t="shared" si="3"/>
        <v>0</v>
      </c>
      <c r="AB15" s="171">
        <f t="shared" ref="AB15:AB74" si="4">U15</f>
        <v>0</v>
      </c>
      <c r="AC15" s="171">
        <f t="shared" si="2"/>
        <v>0</v>
      </c>
      <c r="AD15" s="163">
        <v>0</v>
      </c>
      <c r="AE15" s="171">
        <f t="shared" ref="AE15:AE57" si="5">Y15*AD15</f>
        <v>0</v>
      </c>
      <c r="AF15" s="172" t="s">
        <v>215</v>
      </c>
    </row>
    <row r="16" spans="1:32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140</v>
      </c>
      <c r="K16" s="163"/>
      <c r="L16" s="166">
        <v>499</v>
      </c>
      <c r="M16" s="166"/>
      <c r="N16" s="182">
        <v>8.5</v>
      </c>
      <c r="O16" s="166"/>
      <c r="P16" s="167">
        <v>12.302182402298357</v>
      </c>
      <c r="Q16" s="168">
        <f>LEFT(H16,(FIND("K",H16,1)-1))*J16/100</f>
        <v>44.8</v>
      </c>
      <c r="R16" s="169">
        <v>17.652000000000001</v>
      </c>
      <c r="S16" s="168">
        <v>27.375</v>
      </c>
      <c r="T16" s="168">
        <v>3094</v>
      </c>
      <c r="U16" s="168">
        <f t="shared" ref="U16:U74" si="6">T16/R16</f>
        <v>175.27758894176296</v>
      </c>
      <c r="V16" s="169">
        <f t="shared" ref="V16:V74" si="7">(S16-R16)/S16*100</f>
        <v>35.517808219178079</v>
      </c>
      <c r="W16" s="170">
        <v>0.3</v>
      </c>
      <c r="X16" s="171">
        <f t="shared" si="1"/>
        <v>0.61104910714285721</v>
      </c>
      <c r="Y16" s="171">
        <f t="shared" si="3"/>
        <v>16.945920000000001</v>
      </c>
      <c r="Z16" s="171">
        <f t="shared" si="3"/>
        <v>26.279999999999998</v>
      </c>
      <c r="AA16" s="171">
        <f t="shared" si="3"/>
        <v>2970.24</v>
      </c>
      <c r="AB16" s="171">
        <f t="shared" si="4"/>
        <v>175.27758894176296</v>
      </c>
      <c r="AC16" s="171">
        <f t="shared" si="2"/>
        <v>35.517808219178079</v>
      </c>
      <c r="AD16" s="163">
        <v>31</v>
      </c>
      <c r="AE16" s="171">
        <f>Y16*AD16</f>
        <v>525.32352000000003</v>
      </c>
      <c r="AF16" s="172"/>
    </row>
    <row r="17" spans="1:32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297</v>
      </c>
      <c r="F17" s="163">
        <v>177.8</v>
      </c>
      <c r="G17" s="163" t="s">
        <v>28</v>
      </c>
      <c r="H17" s="165" t="s">
        <v>53</v>
      </c>
      <c r="I17" s="158">
        <v>538.47</v>
      </c>
      <c r="J17" s="163">
        <v>190</v>
      </c>
      <c r="K17" s="163"/>
      <c r="L17" s="166">
        <v>441</v>
      </c>
      <c r="M17" s="166"/>
      <c r="N17" s="182">
        <v>2.2000000000000002</v>
      </c>
      <c r="O17" s="166"/>
      <c r="P17" s="167">
        <v>13.96375007940323</v>
      </c>
      <c r="Q17" s="168">
        <f t="shared" si="0"/>
        <v>24.7</v>
      </c>
      <c r="R17" s="169">
        <v>5.7089999999999996</v>
      </c>
      <c r="S17" s="168">
        <v>8.016</v>
      </c>
      <c r="T17" s="168">
        <v>37</v>
      </c>
      <c r="U17" s="168">
        <f t="shared" si="6"/>
        <v>6.4809949203012787</v>
      </c>
      <c r="V17" s="169">
        <f t="shared" si="7"/>
        <v>28.779940119760482</v>
      </c>
      <c r="W17" s="170">
        <v>0.5</v>
      </c>
      <c r="X17" s="171">
        <f>S17/Q17</f>
        <v>0.32453441295546559</v>
      </c>
      <c r="Y17" s="171">
        <f t="shared" si="3"/>
        <v>5.4806399999999993</v>
      </c>
      <c r="Z17" s="171">
        <f t="shared" si="3"/>
        <v>7.69536</v>
      </c>
      <c r="AA17" s="171">
        <f t="shared" si="3"/>
        <v>35.519999999999996</v>
      </c>
      <c r="AB17" s="171">
        <f t="shared" si="4"/>
        <v>6.4809949203012787</v>
      </c>
      <c r="AC17" s="171">
        <f t="shared" si="2"/>
        <v>28.779940119760482</v>
      </c>
      <c r="AD17" s="163">
        <v>31</v>
      </c>
      <c r="AE17" s="171">
        <f t="shared" si="5"/>
        <v>169.89983999999998</v>
      </c>
      <c r="AF17" s="172"/>
    </row>
    <row r="18" spans="1:32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0</v>
      </c>
      <c r="K18" s="163">
        <v>358</v>
      </c>
      <c r="L18" s="166">
        <v>0</v>
      </c>
      <c r="M18" s="166">
        <v>17.8</v>
      </c>
      <c r="N18" s="163"/>
      <c r="O18" s="166"/>
      <c r="P18" s="167">
        <v>68.957634977185407</v>
      </c>
      <c r="Q18" s="168">
        <f t="shared" si="0"/>
        <v>0</v>
      </c>
      <c r="R18" s="169">
        <v>0</v>
      </c>
      <c r="S18" s="168">
        <v>0</v>
      </c>
      <c r="T18" s="168">
        <v>0</v>
      </c>
      <c r="U18" s="168">
        <v>0</v>
      </c>
      <c r="V18" s="169">
        <v>0</v>
      </c>
      <c r="W18" s="170">
        <v>1</v>
      </c>
      <c r="X18" s="171">
        <v>0</v>
      </c>
      <c r="Y18" s="171">
        <f t="shared" si="3"/>
        <v>0</v>
      </c>
      <c r="Z18" s="171">
        <f t="shared" si="3"/>
        <v>0</v>
      </c>
      <c r="AA18" s="171">
        <f t="shared" si="3"/>
        <v>0</v>
      </c>
      <c r="AB18" s="171">
        <f t="shared" si="4"/>
        <v>0</v>
      </c>
      <c r="AC18" s="171">
        <f t="shared" si="2"/>
        <v>0</v>
      </c>
      <c r="AD18" s="163">
        <v>0</v>
      </c>
      <c r="AE18" s="171">
        <f t="shared" si="5"/>
        <v>0</v>
      </c>
      <c r="AF18" s="172" t="s">
        <v>215</v>
      </c>
    </row>
    <row r="19" spans="1:32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6">
        <v>378</v>
      </c>
      <c r="M19" s="166"/>
      <c r="N19" s="163">
        <v>0</v>
      </c>
      <c r="O19" s="166"/>
      <c r="P19" s="167">
        <v>18.814706381923063</v>
      </c>
      <c r="Q19" s="168">
        <f t="shared" si="0"/>
        <v>15</v>
      </c>
      <c r="R19" s="169">
        <v>2.8140000000000001</v>
      </c>
      <c r="S19" s="168">
        <v>3.7320000000000002</v>
      </c>
      <c r="T19" s="168">
        <v>0</v>
      </c>
      <c r="U19" s="168">
        <f t="shared" si="6"/>
        <v>0</v>
      </c>
      <c r="V19" s="169">
        <f t="shared" si="7"/>
        <v>24.598070739549843</v>
      </c>
      <c r="W19" s="170">
        <v>0.3</v>
      </c>
      <c r="X19" s="171">
        <f>S19/Q19</f>
        <v>0.24880000000000002</v>
      </c>
      <c r="Y19" s="171">
        <f t="shared" si="3"/>
        <v>2.7014399999999998</v>
      </c>
      <c r="Z19" s="171">
        <f t="shared" si="3"/>
        <v>3.5827200000000001</v>
      </c>
      <c r="AA19" s="171">
        <f t="shared" si="3"/>
        <v>0</v>
      </c>
      <c r="AB19" s="171">
        <f t="shared" si="4"/>
        <v>0</v>
      </c>
      <c r="AC19" s="171">
        <f t="shared" si="2"/>
        <v>24.598070739549843</v>
      </c>
      <c r="AD19" s="163">
        <v>31</v>
      </c>
      <c r="AE19" s="171">
        <f t="shared" si="5"/>
        <v>83.74463999999999</v>
      </c>
      <c r="AF19" s="172"/>
    </row>
    <row r="20" spans="1:32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6">
        <v>488</v>
      </c>
      <c r="M20" s="166"/>
      <c r="N20" s="163">
        <v>13.3</v>
      </c>
      <c r="O20" s="166"/>
      <c r="P20" s="167">
        <v>20.638803668752058</v>
      </c>
      <c r="Q20" s="168">
        <f t="shared" si="0"/>
        <v>22</v>
      </c>
      <c r="R20" s="169">
        <v>9.4339999999999993</v>
      </c>
      <c r="S20" s="168">
        <v>10.678999999999998</v>
      </c>
      <c r="T20" s="168">
        <v>23</v>
      </c>
      <c r="U20" s="168">
        <f t="shared" si="6"/>
        <v>2.4379902480390081</v>
      </c>
      <c r="V20" s="169">
        <f t="shared" si="7"/>
        <v>11.658394980803441</v>
      </c>
      <c r="W20" s="170">
        <v>0.4</v>
      </c>
      <c r="X20" s="171">
        <f t="shared" si="1"/>
        <v>0.48540909090909085</v>
      </c>
      <c r="Y20" s="171">
        <f t="shared" si="3"/>
        <v>9.0566399999999998</v>
      </c>
      <c r="Z20" s="171">
        <f t="shared" si="3"/>
        <v>10.251839999999998</v>
      </c>
      <c r="AA20" s="171">
        <f t="shared" si="3"/>
        <v>22.08</v>
      </c>
      <c r="AB20" s="171">
        <f t="shared" si="4"/>
        <v>2.4379902480390081</v>
      </c>
      <c r="AC20" s="171">
        <f t="shared" si="2"/>
        <v>11.658394980803441</v>
      </c>
      <c r="AD20" s="163">
        <v>31</v>
      </c>
      <c r="AE20" s="171">
        <f t="shared" si="5"/>
        <v>280.75583999999998</v>
      </c>
      <c r="AF20" s="172"/>
    </row>
    <row r="21" spans="1:32" ht="15.75" customHeight="1" x14ac:dyDescent="0.2">
      <c r="A21" s="163">
        <v>8</v>
      </c>
      <c r="B21" s="164" t="s">
        <v>146</v>
      </c>
      <c r="C21" s="163" t="s">
        <v>46</v>
      </c>
      <c r="D21" s="163">
        <v>764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550</v>
      </c>
      <c r="J21" s="163">
        <v>95</v>
      </c>
      <c r="K21" s="175"/>
      <c r="L21" s="166">
        <v>396</v>
      </c>
      <c r="M21" s="176"/>
      <c r="N21" s="163">
        <v>8</v>
      </c>
      <c r="O21" s="176"/>
      <c r="P21" s="167">
        <v>25.00691481932396</v>
      </c>
      <c r="Q21" s="168">
        <f t="shared" si="0"/>
        <v>20.9</v>
      </c>
      <c r="R21" s="169">
        <v>6.319</v>
      </c>
      <c r="S21" s="168">
        <v>14.388000000000002</v>
      </c>
      <c r="T21" s="168">
        <v>53</v>
      </c>
      <c r="U21" s="168">
        <f t="shared" si="6"/>
        <v>8.3874030701060303</v>
      </c>
      <c r="V21" s="169">
        <f t="shared" si="7"/>
        <v>56.081456769530178</v>
      </c>
      <c r="W21" s="170">
        <v>0.3</v>
      </c>
      <c r="X21" s="171">
        <f t="shared" si="1"/>
        <v>0.68842105263157904</v>
      </c>
      <c r="Y21" s="171">
        <f t="shared" si="3"/>
        <v>6.0662399999999996</v>
      </c>
      <c r="Z21" s="171">
        <f t="shared" si="3"/>
        <v>13.812480000000001</v>
      </c>
      <c r="AA21" s="171">
        <f t="shared" si="3"/>
        <v>50.879999999999995</v>
      </c>
      <c r="AB21" s="171">
        <f t="shared" si="4"/>
        <v>8.3874030701060303</v>
      </c>
      <c r="AC21" s="171">
        <f t="shared" si="2"/>
        <v>56.081456769530178</v>
      </c>
      <c r="AD21" s="163">
        <v>31</v>
      </c>
      <c r="AE21" s="171">
        <f t="shared" si="5"/>
        <v>188.05343999999999</v>
      </c>
      <c r="AF21" s="172"/>
    </row>
    <row r="22" spans="1:32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6">
        <v>472</v>
      </c>
      <c r="M22" s="166"/>
      <c r="N22" s="163">
        <v>5.9</v>
      </c>
      <c r="O22" s="166"/>
      <c r="P22" s="167">
        <v>15.093978054917255</v>
      </c>
      <c r="Q22" s="168">
        <f t="shared" si="0"/>
        <v>22</v>
      </c>
      <c r="R22" s="169">
        <v>5.7229999999999999</v>
      </c>
      <c r="S22" s="168">
        <v>8.7959999999999994</v>
      </c>
      <c r="T22" s="168">
        <v>18</v>
      </c>
      <c r="U22" s="168">
        <f t="shared" si="6"/>
        <v>3.1452035645640399</v>
      </c>
      <c r="V22" s="169">
        <f t="shared" si="7"/>
        <v>34.936334697589814</v>
      </c>
      <c r="W22" s="170">
        <v>0.3</v>
      </c>
      <c r="X22" s="171">
        <f t="shared" si="1"/>
        <v>0.39981818181818179</v>
      </c>
      <c r="Y22" s="171">
        <f t="shared" si="3"/>
        <v>5.4940799999999994</v>
      </c>
      <c r="Z22" s="171">
        <f t="shared" si="3"/>
        <v>8.4441599999999983</v>
      </c>
      <c r="AA22" s="171">
        <f t="shared" si="3"/>
        <v>17.28</v>
      </c>
      <c r="AB22" s="171">
        <f t="shared" si="4"/>
        <v>3.1452035645640399</v>
      </c>
      <c r="AC22" s="171">
        <f t="shared" si="2"/>
        <v>34.936334697589814</v>
      </c>
      <c r="AD22" s="163">
        <v>31</v>
      </c>
      <c r="AE22" s="171">
        <f t="shared" si="5"/>
        <v>170.31647999999998</v>
      </c>
      <c r="AF22" s="172"/>
    </row>
    <row r="23" spans="1:32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135</v>
      </c>
      <c r="K23" s="163"/>
      <c r="L23" s="166">
        <v>305</v>
      </c>
      <c r="M23" s="166"/>
      <c r="N23" s="163">
        <v>4.4000000000000004</v>
      </c>
      <c r="O23" s="166"/>
      <c r="P23" s="167">
        <v>28.361661282604643</v>
      </c>
      <c r="Q23" s="168">
        <f t="shared" si="0"/>
        <v>29.7</v>
      </c>
      <c r="R23" s="169">
        <v>0.251</v>
      </c>
      <c r="S23" s="168">
        <v>0.495</v>
      </c>
      <c r="T23" s="168">
        <v>0</v>
      </c>
      <c r="U23" s="168">
        <f t="shared" si="6"/>
        <v>0</v>
      </c>
      <c r="V23" s="169">
        <f t="shared" si="7"/>
        <v>49.292929292929294</v>
      </c>
      <c r="W23" s="170">
        <v>0.6</v>
      </c>
      <c r="X23" s="171">
        <f t="shared" si="1"/>
        <v>1.6666666666666666E-2</v>
      </c>
      <c r="Y23" s="171">
        <f t="shared" si="3"/>
        <v>0.24095999999999998</v>
      </c>
      <c r="Z23" s="171">
        <f t="shared" si="3"/>
        <v>0.47519999999999996</v>
      </c>
      <c r="AA23" s="171">
        <f t="shared" si="3"/>
        <v>0</v>
      </c>
      <c r="AB23" s="171">
        <f t="shared" si="4"/>
        <v>0</v>
      </c>
      <c r="AC23" s="171">
        <f t="shared" si="2"/>
        <v>49.292929292929294</v>
      </c>
      <c r="AD23" s="163">
        <v>31</v>
      </c>
      <c r="AE23" s="171">
        <f t="shared" si="5"/>
        <v>7.4697599999999991</v>
      </c>
      <c r="AF23" s="179"/>
    </row>
    <row r="24" spans="1:32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6">
        <v>388</v>
      </c>
      <c r="M24" s="166"/>
      <c r="N24" s="163">
        <v>0.2</v>
      </c>
      <c r="O24" s="166"/>
      <c r="P24" s="167">
        <v>18.298890048485148</v>
      </c>
      <c r="Q24" s="168">
        <f t="shared" si="0"/>
        <v>11.18</v>
      </c>
      <c r="R24" s="169">
        <v>0.88900000000000001</v>
      </c>
      <c r="S24" s="168">
        <v>1.7309999999999999</v>
      </c>
      <c r="T24" s="168">
        <v>0</v>
      </c>
      <c r="U24" s="168">
        <f t="shared" si="6"/>
        <v>0</v>
      </c>
      <c r="V24" s="169">
        <f t="shared" si="7"/>
        <v>48.642403235124199</v>
      </c>
      <c r="W24" s="170">
        <v>0.4</v>
      </c>
      <c r="X24" s="171">
        <f t="shared" si="1"/>
        <v>0.15483005366726296</v>
      </c>
      <c r="Y24" s="171">
        <f t="shared" si="3"/>
        <v>0.85343999999999998</v>
      </c>
      <c r="Z24" s="171">
        <f t="shared" si="3"/>
        <v>1.6617599999999999</v>
      </c>
      <c r="AA24" s="171">
        <f t="shared" si="3"/>
        <v>0</v>
      </c>
      <c r="AB24" s="171">
        <f t="shared" si="4"/>
        <v>0</v>
      </c>
      <c r="AC24" s="171">
        <f t="shared" si="2"/>
        <v>48.642403235124199</v>
      </c>
      <c r="AD24" s="163">
        <v>31</v>
      </c>
      <c r="AE24" s="171">
        <f t="shared" si="5"/>
        <v>26.45664</v>
      </c>
      <c r="AF24" s="172"/>
    </row>
    <row r="25" spans="1:32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298</v>
      </c>
      <c r="F25" s="163">
        <v>177.8</v>
      </c>
      <c r="G25" s="163" t="s">
        <v>28</v>
      </c>
      <c r="H25" s="165" t="s">
        <v>52</v>
      </c>
      <c r="I25" s="158">
        <v>553.5</v>
      </c>
      <c r="J25" s="163">
        <v>175</v>
      </c>
      <c r="K25" s="163"/>
      <c r="L25" s="166">
        <v>336</v>
      </c>
      <c r="M25" s="166"/>
      <c r="N25" s="163">
        <v>6.2</v>
      </c>
      <c r="O25" s="166"/>
      <c r="P25" s="167">
        <v>28.129859161349906</v>
      </c>
      <c r="Q25" s="168">
        <f t="shared" si="0"/>
        <v>38.5</v>
      </c>
      <c r="R25" s="169">
        <v>18.041</v>
      </c>
      <c r="S25" s="168">
        <v>27.728999999999999</v>
      </c>
      <c r="T25" s="168">
        <v>155</v>
      </c>
      <c r="U25" s="168">
        <f t="shared" si="6"/>
        <v>8.5915414888309964</v>
      </c>
      <c r="V25" s="169">
        <f t="shared" si="7"/>
        <v>34.93815139384759</v>
      </c>
      <c r="W25" s="170">
        <v>0.4</v>
      </c>
      <c r="X25" s="171">
        <f t="shared" si="1"/>
        <v>0.72023376623376623</v>
      </c>
      <c r="Y25" s="171">
        <f t="shared" si="3"/>
        <v>17.31936</v>
      </c>
      <c r="Z25" s="171">
        <f t="shared" si="3"/>
        <v>26.61984</v>
      </c>
      <c r="AA25" s="171">
        <f t="shared" si="3"/>
        <v>148.79999999999998</v>
      </c>
      <c r="AB25" s="171">
        <f t="shared" si="4"/>
        <v>8.5915414888309964</v>
      </c>
      <c r="AC25" s="171">
        <f t="shared" si="2"/>
        <v>34.93815139384759</v>
      </c>
      <c r="AD25" s="163">
        <v>31</v>
      </c>
      <c r="AE25" s="171">
        <f t="shared" si="5"/>
        <v>536.90016000000003</v>
      </c>
      <c r="AF25" s="172"/>
    </row>
    <row r="26" spans="1:32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525.03</v>
      </c>
      <c r="J26" s="163">
        <v>120</v>
      </c>
      <c r="K26" s="163"/>
      <c r="L26" s="166">
        <v>320</v>
      </c>
      <c r="M26" s="166"/>
      <c r="N26" s="163">
        <v>6.1</v>
      </c>
      <c r="O26" s="166"/>
      <c r="P26" s="167">
        <v>26.988245784106326</v>
      </c>
      <c r="Q26" s="168">
        <f t="shared" si="0"/>
        <v>38.4</v>
      </c>
      <c r="R26" s="169">
        <v>12.087999999999999</v>
      </c>
      <c r="S26" s="168">
        <v>25.523</v>
      </c>
      <c r="T26" s="168">
        <v>252</v>
      </c>
      <c r="U26" s="168">
        <f t="shared" si="6"/>
        <v>20.847121111846462</v>
      </c>
      <c r="V26" s="169">
        <f t="shared" si="7"/>
        <v>52.638796379735929</v>
      </c>
      <c r="W26" s="170">
        <v>0.3</v>
      </c>
      <c r="X26" s="171">
        <f t="shared" si="1"/>
        <v>0.66466145833333334</v>
      </c>
      <c r="Y26" s="171">
        <f t="shared" si="3"/>
        <v>11.604479999999999</v>
      </c>
      <c r="Z26" s="171">
        <f t="shared" si="3"/>
        <v>24.502079999999999</v>
      </c>
      <c r="AA26" s="171">
        <f t="shared" si="3"/>
        <v>241.92</v>
      </c>
      <c r="AB26" s="171">
        <f t="shared" si="4"/>
        <v>20.847121111846462</v>
      </c>
      <c r="AC26" s="171">
        <f t="shared" si="2"/>
        <v>52.638796379735929</v>
      </c>
      <c r="AD26" s="163">
        <v>31</v>
      </c>
      <c r="AE26" s="171">
        <f t="shared" si="5"/>
        <v>359.73887999999994</v>
      </c>
      <c r="AF26" s="172"/>
    </row>
    <row r="27" spans="1:32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310</v>
      </c>
      <c r="K27" s="163"/>
      <c r="L27" s="166">
        <v>399</v>
      </c>
      <c r="M27" s="166"/>
      <c r="N27" s="163">
        <v>8.4</v>
      </c>
      <c r="O27" s="166"/>
      <c r="P27" s="167">
        <v>21.571422963453461</v>
      </c>
      <c r="Q27" s="168">
        <f t="shared" si="0"/>
        <v>68.2</v>
      </c>
      <c r="R27" s="169">
        <v>11.423</v>
      </c>
      <c r="S27" s="168">
        <v>20.780999999999999</v>
      </c>
      <c r="T27" s="168">
        <v>3662</v>
      </c>
      <c r="U27" s="168">
        <f t="shared" si="6"/>
        <v>320.58128337564563</v>
      </c>
      <c r="V27" s="169">
        <f t="shared" si="7"/>
        <v>45.031519176170534</v>
      </c>
      <c r="W27" s="170">
        <v>0.4</v>
      </c>
      <c r="X27" s="171">
        <f t="shared" si="1"/>
        <v>0.30470674486803517</v>
      </c>
      <c r="Y27" s="171">
        <f t="shared" si="3"/>
        <v>10.96608</v>
      </c>
      <c r="Z27" s="171">
        <f t="shared" si="3"/>
        <v>19.949759999999998</v>
      </c>
      <c r="AA27" s="171">
        <f t="shared" si="3"/>
        <v>3515.52</v>
      </c>
      <c r="AB27" s="171">
        <f t="shared" si="4"/>
        <v>320.58128337564563</v>
      </c>
      <c r="AC27" s="171">
        <f t="shared" si="2"/>
        <v>45.031519176170534</v>
      </c>
      <c r="AD27" s="163">
        <v>31</v>
      </c>
      <c r="AE27" s="171">
        <f t="shared" si="5"/>
        <v>339.94848000000002</v>
      </c>
      <c r="AF27" s="172"/>
    </row>
    <row r="28" spans="1:32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6">
        <v>450</v>
      </c>
      <c r="M28" s="166"/>
      <c r="N28" s="163">
        <v>6.9</v>
      </c>
      <c r="O28" s="166"/>
      <c r="P28" s="167">
        <v>19.507173021927855</v>
      </c>
      <c r="Q28" s="168">
        <f t="shared" si="0"/>
        <v>11.05</v>
      </c>
      <c r="R28" s="169">
        <v>3.6110000000000002</v>
      </c>
      <c r="S28" s="168">
        <v>5.375</v>
      </c>
      <c r="T28" s="168">
        <v>22</v>
      </c>
      <c r="U28" s="168">
        <f t="shared" si="6"/>
        <v>6.0924951536970369</v>
      </c>
      <c r="V28" s="169">
        <f t="shared" si="7"/>
        <v>32.818604651162786</v>
      </c>
      <c r="W28" s="170">
        <v>0.4</v>
      </c>
      <c r="X28" s="171">
        <f t="shared" si="1"/>
        <v>0.48642533936651583</v>
      </c>
      <c r="Y28" s="171">
        <f t="shared" si="3"/>
        <v>3.4665599999999999</v>
      </c>
      <c r="Z28" s="171">
        <f t="shared" si="3"/>
        <v>5.16</v>
      </c>
      <c r="AA28" s="171">
        <f t="shared" si="3"/>
        <v>21.119999999999997</v>
      </c>
      <c r="AB28" s="171">
        <f t="shared" si="4"/>
        <v>6.0924951536970369</v>
      </c>
      <c r="AC28" s="171">
        <f t="shared" si="2"/>
        <v>32.818604651162786</v>
      </c>
      <c r="AD28" s="163">
        <v>31</v>
      </c>
      <c r="AE28" s="171">
        <f>Y28*AD28</f>
        <v>107.46335999999999</v>
      </c>
      <c r="AF28" s="179"/>
    </row>
    <row r="29" spans="1:32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503</v>
      </c>
      <c r="M29" s="164"/>
      <c r="N29" s="164">
        <v>10</v>
      </c>
      <c r="O29" s="164"/>
      <c r="P29" s="371">
        <v>15.427233913434179</v>
      </c>
      <c r="Q29" s="164">
        <f t="shared" si="0"/>
        <v>96</v>
      </c>
      <c r="R29" s="181">
        <v>20.468</v>
      </c>
      <c r="S29" s="168">
        <v>23.712</v>
      </c>
      <c r="T29" s="164">
        <v>1542</v>
      </c>
      <c r="U29" s="181">
        <f t="shared" si="6"/>
        <v>75.337111588821571</v>
      </c>
      <c r="V29" s="181">
        <f t="shared" si="7"/>
        <v>13.680836707152496</v>
      </c>
      <c r="W29" s="164">
        <v>0.5</v>
      </c>
      <c r="X29" s="181">
        <f t="shared" si="1"/>
        <v>0.247</v>
      </c>
      <c r="Y29" s="171">
        <f t="shared" si="3"/>
        <v>19.649280000000001</v>
      </c>
      <c r="Z29" s="171">
        <f t="shared" si="3"/>
        <v>22.76352</v>
      </c>
      <c r="AA29" s="171">
        <f t="shared" si="3"/>
        <v>1480.32</v>
      </c>
      <c r="AB29" s="181">
        <f t="shared" si="4"/>
        <v>75.337111588821571</v>
      </c>
      <c r="AC29" s="181">
        <f t="shared" si="2"/>
        <v>13.680836707152496</v>
      </c>
      <c r="AD29" s="163">
        <v>31</v>
      </c>
      <c r="AE29" s="181">
        <f>Y29*AD29</f>
        <v>609.12768000000005</v>
      </c>
      <c r="AF29" s="164"/>
    </row>
    <row r="30" spans="1:32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153</v>
      </c>
      <c r="L30" s="163"/>
      <c r="M30" s="163">
        <v>9</v>
      </c>
      <c r="N30" s="166"/>
      <c r="O30" s="166"/>
      <c r="P30" s="167">
        <v>39.788985414489787</v>
      </c>
      <c r="Q30" s="168">
        <v>0</v>
      </c>
      <c r="R30" s="169">
        <v>0</v>
      </c>
      <c r="S30" s="168">
        <v>0</v>
      </c>
      <c r="T30" s="168">
        <v>0</v>
      </c>
      <c r="U30" s="168">
        <v>0</v>
      </c>
      <c r="V30" s="168">
        <v>0</v>
      </c>
      <c r="W30" s="168">
        <v>0</v>
      </c>
      <c r="X30" s="168">
        <v>0</v>
      </c>
      <c r="Y30" s="171">
        <f t="shared" si="3"/>
        <v>0</v>
      </c>
      <c r="Z30" s="171">
        <f t="shared" si="3"/>
        <v>0</v>
      </c>
      <c r="AA30" s="171">
        <f t="shared" si="3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107</v>
      </c>
      <c r="L31" s="166"/>
      <c r="M31" s="166">
        <v>0.9</v>
      </c>
      <c r="N31" s="166"/>
      <c r="O31" s="166"/>
      <c r="P31" s="167">
        <v>47.393382817065302</v>
      </c>
      <c r="Q31" s="168">
        <f t="shared" si="0"/>
        <v>0</v>
      </c>
      <c r="R31" s="169">
        <v>0</v>
      </c>
      <c r="S31" s="168">
        <v>0</v>
      </c>
      <c r="T31" s="169">
        <v>0</v>
      </c>
      <c r="U31" s="169">
        <v>0</v>
      </c>
      <c r="V31" s="169">
        <v>0</v>
      </c>
      <c r="W31" s="169">
        <v>0</v>
      </c>
      <c r="X31" s="169">
        <v>0</v>
      </c>
      <c r="Y31" s="171">
        <f t="shared" si="3"/>
        <v>0</v>
      </c>
      <c r="Z31" s="171">
        <f t="shared" si="3"/>
        <v>0</v>
      </c>
      <c r="AA31" s="171">
        <f t="shared" si="3"/>
        <v>0</v>
      </c>
      <c r="AB31" s="171">
        <f>U31</f>
        <v>0</v>
      </c>
      <c r="AC31" s="171">
        <f t="shared" si="2"/>
        <v>0</v>
      </c>
      <c r="AD31" s="163">
        <v>0</v>
      </c>
      <c r="AE31" s="171">
        <f t="shared" si="5"/>
        <v>0</v>
      </c>
      <c r="AF31" s="172" t="s">
        <v>215</v>
      </c>
    </row>
    <row r="32" spans="1:32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95</v>
      </c>
      <c r="K32" s="163"/>
      <c r="L32" s="166">
        <v>424</v>
      </c>
      <c r="M32" s="166"/>
      <c r="N32" s="163">
        <v>6.6</v>
      </c>
      <c r="O32" s="166"/>
      <c r="P32" s="167">
        <v>18.990209210255081</v>
      </c>
      <c r="Q32" s="168">
        <f t="shared" si="0"/>
        <v>20.9</v>
      </c>
      <c r="R32" s="169">
        <v>7.5709999999999997</v>
      </c>
      <c r="S32" s="168">
        <v>15.457999999999998</v>
      </c>
      <c r="T32" s="168">
        <v>459</v>
      </c>
      <c r="U32" s="168">
        <f t="shared" si="6"/>
        <v>60.626073173953245</v>
      </c>
      <c r="V32" s="169">
        <f>(S32-R32)/S32*100</f>
        <v>51.022124466295772</v>
      </c>
      <c r="W32" s="170">
        <v>0.3</v>
      </c>
      <c r="X32" s="171">
        <f t="shared" si="1"/>
        <v>0.73961722488038273</v>
      </c>
      <c r="Y32" s="171">
        <f t="shared" si="3"/>
        <v>7.2681599999999991</v>
      </c>
      <c r="Z32" s="171">
        <f t="shared" si="3"/>
        <v>14.839679999999998</v>
      </c>
      <c r="AA32" s="171">
        <f t="shared" si="3"/>
        <v>440.64</v>
      </c>
      <c r="AB32" s="171">
        <f t="shared" si="4"/>
        <v>60.626073173953245</v>
      </c>
      <c r="AC32" s="171">
        <f t="shared" si="2"/>
        <v>51.022124466295772</v>
      </c>
      <c r="AD32" s="163">
        <v>31</v>
      </c>
      <c r="AE32" s="171">
        <f t="shared" si="5"/>
        <v>225.31295999999998</v>
      </c>
      <c r="AF32" s="183"/>
    </row>
    <row r="33" spans="1:32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410</v>
      </c>
      <c r="L33" s="163">
        <v>0</v>
      </c>
      <c r="M33" s="163">
        <v>0.3</v>
      </c>
      <c r="N33" s="163"/>
      <c r="O33" s="163"/>
      <c r="P33" s="182">
        <v>16.425930282478571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f t="shared" si="3"/>
        <v>0</v>
      </c>
      <c r="Z33" s="171">
        <f t="shared" si="3"/>
        <v>0</v>
      </c>
      <c r="AA33" s="171">
        <f t="shared" si="3"/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6">
        <v>471</v>
      </c>
      <c r="M34" s="166"/>
      <c r="N34" s="163">
        <v>6.7</v>
      </c>
      <c r="O34" s="166"/>
      <c r="P34" s="167">
        <v>14.174911011531368</v>
      </c>
      <c r="Q34" s="168">
        <f t="shared" si="0"/>
        <v>66</v>
      </c>
      <c r="R34" s="169">
        <v>5.7160000000000002</v>
      </c>
      <c r="S34" s="168">
        <v>7.0049999999999999</v>
      </c>
      <c r="T34" s="168">
        <v>598</v>
      </c>
      <c r="U34" s="168">
        <f t="shared" si="6"/>
        <v>104.6186144156753</v>
      </c>
      <c r="V34" s="169">
        <f t="shared" si="7"/>
        <v>18.401142041398995</v>
      </c>
      <c r="W34" s="170">
        <v>0.3</v>
      </c>
      <c r="X34" s="171">
        <f t="shared" si="1"/>
        <v>0.10613636363636364</v>
      </c>
      <c r="Y34" s="171">
        <f t="shared" si="3"/>
        <v>5.4873599999999998</v>
      </c>
      <c r="Z34" s="171">
        <f t="shared" si="3"/>
        <v>6.7247999999999992</v>
      </c>
      <c r="AA34" s="171">
        <f t="shared" si="3"/>
        <v>574.07999999999993</v>
      </c>
      <c r="AB34" s="171">
        <v>89.536086956521729</v>
      </c>
      <c r="AC34" s="171">
        <v>26</v>
      </c>
      <c r="AD34" s="163">
        <v>31</v>
      </c>
      <c r="AE34" s="171">
        <f t="shared" si="5"/>
        <v>170.10816</v>
      </c>
      <c r="AF34" s="183"/>
    </row>
    <row r="35" spans="1:32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6">
        <v>472</v>
      </c>
      <c r="M35" s="166"/>
      <c r="N35" s="163">
        <v>8.1999999999999993</v>
      </c>
      <c r="O35" s="166"/>
      <c r="P35" s="167">
        <v>17.95044062549249</v>
      </c>
      <c r="Q35" s="168">
        <f t="shared" si="0"/>
        <v>16.25</v>
      </c>
      <c r="R35" s="169">
        <v>5.8460000000000001</v>
      </c>
      <c r="S35" s="168">
        <v>9.6649999999999991</v>
      </c>
      <c r="T35" s="168">
        <v>16</v>
      </c>
      <c r="U35" s="168">
        <f t="shared" si="6"/>
        <v>2.7369141293191928</v>
      </c>
      <c r="V35" s="169">
        <f t="shared" si="7"/>
        <v>39.513709260217276</v>
      </c>
      <c r="W35" s="170">
        <v>0.3</v>
      </c>
      <c r="X35" s="171">
        <f t="shared" si="1"/>
        <v>0.59476923076923072</v>
      </c>
      <c r="Y35" s="171">
        <f t="shared" si="3"/>
        <v>5.6121600000000003</v>
      </c>
      <c r="Z35" s="171">
        <f t="shared" si="3"/>
        <v>9.2783999999999995</v>
      </c>
      <c r="AA35" s="171">
        <f t="shared" si="3"/>
        <v>15.36</v>
      </c>
      <c r="AB35" s="171">
        <f t="shared" si="4"/>
        <v>2.7369141293191928</v>
      </c>
      <c r="AC35" s="171">
        <f t="shared" si="2"/>
        <v>39.513709260217276</v>
      </c>
      <c r="AD35" s="163">
        <v>31</v>
      </c>
      <c r="AE35" s="171">
        <f t="shared" si="5"/>
        <v>173.97696000000002</v>
      </c>
      <c r="AF35" s="179"/>
    </row>
    <row r="36" spans="1:32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84" t="s">
        <v>52</v>
      </c>
      <c r="I36" s="186">
        <v>551.13</v>
      </c>
      <c r="J36" s="163">
        <v>85</v>
      </c>
      <c r="K36" s="163"/>
      <c r="L36" s="166">
        <v>446</v>
      </c>
      <c r="M36" s="166"/>
      <c r="N36" s="163">
        <v>7</v>
      </c>
      <c r="O36" s="166"/>
      <c r="P36" s="167">
        <v>19.013519459573491</v>
      </c>
      <c r="Q36" s="168">
        <f t="shared" si="0"/>
        <v>18.7</v>
      </c>
      <c r="R36" s="169">
        <v>2.669</v>
      </c>
      <c r="S36" s="168">
        <v>10.955</v>
      </c>
      <c r="T36" s="168">
        <v>47</v>
      </c>
      <c r="U36" s="168">
        <f t="shared" si="6"/>
        <v>17.609591607343575</v>
      </c>
      <c r="V36" s="169">
        <f t="shared" si="7"/>
        <v>75.636695572797805</v>
      </c>
      <c r="W36" s="170">
        <v>0.6</v>
      </c>
      <c r="X36" s="171">
        <f t="shared" si="1"/>
        <v>0.58582887700534758</v>
      </c>
      <c r="Y36" s="171">
        <f t="shared" si="3"/>
        <v>2.5622400000000001</v>
      </c>
      <c r="Z36" s="171">
        <f t="shared" si="3"/>
        <v>10.5168</v>
      </c>
      <c r="AA36" s="171">
        <f t="shared" si="3"/>
        <v>45.12</v>
      </c>
      <c r="AB36" s="171">
        <f t="shared" si="4"/>
        <v>17.609591607343575</v>
      </c>
      <c r="AC36" s="171">
        <f t="shared" si="2"/>
        <v>75.636695572797805</v>
      </c>
      <c r="AD36" s="163">
        <v>31</v>
      </c>
      <c r="AE36" s="171">
        <f t="shared" si="5"/>
        <v>79.42944</v>
      </c>
      <c r="AF36" s="172"/>
    </row>
    <row r="37" spans="1:32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230</v>
      </c>
      <c r="K37" s="163"/>
      <c r="L37" s="166">
        <v>480</v>
      </c>
      <c r="M37" s="166"/>
      <c r="N37" s="163">
        <v>6.8</v>
      </c>
      <c r="O37" s="166"/>
      <c r="P37" s="167">
        <v>15.659770262652001</v>
      </c>
      <c r="Q37" s="168">
        <f t="shared" si="0"/>
        <v>50.6</v>
      </c>
      <c r="R37" s="169">
        <v>22</v>
      </c>
      <c r="S37" s="168">
        <v>34</v>
      </c>
      <c r="T37" s="168">
        <v>224</v>
      </c>
      <c r="U37" s="168">
        <f t="shared" si="6"/>
        <v>10.181818181818182</v>
      </c>
      <c r="V37" s="169">
        <v>45</v>
      </c>
      <c r="W37" s="170">
        <v>0.5</v>
      </c>
      <c r="X37" s="171">
        <f t="shared" si="1"/>
        <v>0.67193675889328064</v>
      </c>
      <c r="Y37" s="171">
        <f t="shared" si="3"/>
        <v>21.119999999999997</v>
      </c>
      <c r="Z37" s="171">
        <f t="shared" si="3"/>
        <v>32.64</v>
      </c>
      <c r="AA37" s="171">
        <f t="shared" si="3"/>
        <v>215.04</v>
      </c>
      <c r="AB37" s="171">
        <f t="shared" si="4"/>
        <v>10.181818181818182</v>
      </c>
      <c r="AC37" s="171">
        <f t="shared" si="2"/>
        <v>45</v>
      </c>
      <c r="AD37" s="163">
        <v>31</v>
      </c>
      <c r="AE37" s="171">
        <f t="shared" si="5"/>
        <v>654.71999999999991</v>
      </c>
      <c r="AF37" s="172"/>
    </row>
    <row r="38" spans="1:32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295</v>
      </c>
      <c r="K38" s="163"/>
      <c r="L38" s="166">
        <v>498</v>
      </c>
      <c r="M38" s="166"/>
      <c r="N38" s="163">
        <v>8.5</v>
      </c>
      <c r="O38" s="166"/>
      <c r="P38" s="167">
        <v>15.241192617774676</v>
      </c>
      <c r="Q38" s="168">
        <f>LEFT(H38,(FIND("K",H38,1)-1))*J38/100</f>
        <v>64.900000000000006</v>
      </c>
      <c r="R38" s="169">
        <v>12.734999999999999</v>
      </c>
      <c r="S38" s="168">
        <v>28.863</v>
      </c>
      <c r="T38" s="168">
        <v>545</v>
      </c>
      <c r="U38" s="168">
        <f t="shared" si="6"/>
        <v>42.795445622300747</v>
      </c>
      <c r="V38" s="169">
        <f t="shared" si="7"/>
        <v>55.877767383847832</v>
      </c>
      <c r="W38" s="170">
        <v>0.3</v>
      </c>
      <c r="X38" s="171">
        <f t="shared" si="1"/>
        <v>0.44473035439137132</v>
      </c>
      <c r="Y38" s="171">
        <f t="shared" si="3"/>
        <v>12.225599999999998</v>
      </c>
      <c r="Z38" s="171">
        <f t="shared" si="3"/>
        <v>27.708479999999998</v>
      </c>
      <c r="AA38" s="171">
        <f t="shared" si="3"/>
        <v>523.19999999999993</v>
      </c>
      <c r="AB38" s="171">
        <f t="shared" si="4"/>
        <v>42.795445622300747</v>
      </c>
      <c r="AC38" s="171">
        <f t="shared" si="2"/>
        <v>55.877767383847832</v>
      </c>
      <c r="AD38" s="163">
        <v>31</v>
      </c>
      <c r="AE38" s="171">
        <f t="shared" si="5"/>
        <v>378.99359999999996</v>
      </c>
      <c r="AF38" s="172"/>
    </row>
    <row r="39" spans="1:32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547.65</v>
      </c>
      <c r="J39" s="163">
        <v>100</v>
      </c>
      <c r="K39" s="163"/>
      <c r="L39" s="163">
        <v>458</v>
      </c>
      <c r="M39" s="166"/>
      <c r="N39" s="163">
        <v>14.6</v>
      </c>
      <c r="O39" s="166"/>
      <c r="P39" s="182">
        <v>23.91860951631914</v>
      </c>
      <c r="Q39" s="171">
        <f t="shared" ref="Q39:Q72" si="8">LEFT(H39,(FIND("K",H39,1)-1))*J39/100</f>
        <v>8</v>
      </c>
      <c r="R39" s="170">
        <v>5.5259999999999998</v>
      </c>
      <c r="S39" s="168">
        <v>6.1280000000000001</v>
      </c>
      <c r="T39" s="171">
        <v>23</v>
      </c>
      <c r="U39" s="171">
        <f t="shared" si="6"/>
        <v>4.1621425986246834</v>
      </c>
      <c r="V39" s="169">
        <f t="shared" si="7"/>
        <v>9.8237597911227201</v>
      </c>
      <c r="W39" s="170">
        <v>0.4</v>
      </c>
      <c r="X39" s="171">
        <f t="shared" si="1"/>
        <v>0.76600000000000001</v>
      </c>
      <c r="Y39" s="171">
        <f t="shared" si="3"/>
        <v>5.3049599999999995</v>
      </c>
      <c r="Z39" s="171">
        <f t="shared" si="3"/>
        <v>5.8828800000000001</v>
      </c>
      <c r="AA39" s="171">
        <f t="shared" si="3"/>
        <v>22.08</v>
      </c>
      <c r="AB39" s="171">
        <f t="shared" si="4"/>
        <v>4.1621425986246834</v>
      </c>
      <c r="AC39" s="171">
        <f t="shared" si="2"/>
        <v>9.8237597911227201</v>
      </c>
      <c r="AD39" s="163">
        <v>31</v>
      </c>
      <c r="AE39" s="171">
        <f t="shared" si="5"/>
        <v>164.45375999999999</v>
      </c>
      <c r="AF39" s="172"/>
    </row>
    <row r="40" spans="1:32" ht="15.75" customHeight="1" x14ac:dyDescent="0.2">
      <c r="A40" s="163">
        <v>27</v>
      </c>
      <c r="B40" s="204" t="s">
        <v>161</v>
      </c>
      <c r="C40" s="163" t="s">
        <v>46</v>
      </c>
      <c r="D40" s="188">
        <v>677</v>
      </c>
      <c r="E40" s="189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9">
        <v>470</v>
      </c>
      <c r="M40" s="159"/>
      <c r="N40" s="163">
        <v>6.5</v>
      </c>
      <c r="O40" s="159"/>
      <c r="P40" s="160">
        <v>14.302358287954515</v>
      </c>
      <c r="Q40" s="171">
        <f t="shared" si="8"/>
        <v>25.3</v>
      </c>
      <c r="R40" s="170">
        <v>2.8940000000000001</v>
      </c>
      <c r="S40" s="168">
        <v>5.452</v>
      </c>
      <c r="T40" s="174">
        <v>646</v>
      </c>
      <c r="U40" s="171">
        <f t="shared" si="6"/>
        <v>223.22045611610227</v>
      </c>
      <c r="V40" s="169">
        <f t="shared" si="7"/>
        <v>46.91856199559794</v>
      </c>
      <c r="W40" s="170">
        <v>0.5</v>
      </c>
      <c r="X40" s="171">
        <f t="shared" si="1"/>
        <v>0.21549407114624505</v>
      </c>
      <c r="Y40" s="171">
        <f t="shared" si="3"/>
        <v>2.7782399999999998</v>
      </c>
      <c r="Z40" s="171">
        <f t="shared" si="3"/>
        <v>5.2339199999999995</v>
      </c>
      <c r="AA40" s="171">
        <f t="shared" si="3"/>
        <v>620.16</v>
      </c>
      <c r="AB40" s="171">
        <f t="shared" si="4"/>
        <v>223.22045611610227</v>
      </c>
      <c r="AC40" s="171">
        <f t="shared" si="2"/>
        <v>46.91856199559794</v>
      </c>
      <c r="AD40" s="163">
        <v>31</v>
      </c>
      <c r="AE40" s="171">
        <f t="shared" si="5"/>
        <v>86.125439999999998</v>
      </c>
      <c r="AF40" s="190"/>
    </row>
    <row r="41" spans="1:32" ht="15.75" customHeight="1" x14ac:dyDescent="0.2">
      <c r="A41" s="163">
        <v>28</v>
      </c>
      <c r="B41" s="204" t="s">
        <v>162</v>
      </c>
      <c r="C41" s="163" t="s">
        <v>46</v>
      </c>
      <c r="D41" s="188">
        <v>676</v>
      </c>
      <c r="E41" s="189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9">
        <v>71</v>
      </c>
      <c r="L41" s="163"/>
      <c r="M41" s="159">
        <v>0.8</v>
      </c>
      <c r="N41" s="163">
        <v>0</v>
      </c>
      <c r="O41" s="159"/>
      <c r="P41" s="160">
        <v>48.361855648107749</v>
      </c>
      <c r="Q41" s="171">
        <v>0</v>
      </c>
      <c r="R41" s="170">
        <v>0</v>
      </c>
      <c r="S41" s="168">
        <v>0</v>
      </c>
      <c r="T41" s="174">
        <v>0</v>
      </c>
      <c r="U41" s="171">
        <v>0</v>
      </c>
      <c r="V41" s="169">
        <v>0</v>
      </c>
      <c r="W41" s="170">
        <v>0</v>
      </c>
      <c r="X41" s="171">
        <v>0</v>
      </c>
      <c r="Y41" s="171">
        <f t="shared" si="3"/>
        <v>0</v>
      </c>
      <c r="Z41" s="171">
        <f t="shared" si="3"/>
        <v>0</v>
      </c>
      <c r="AA41" s="171">
        <f t="shared" si="3"/>
        <v>0</v>
      </c>
      <c r="AB41" s="171">
        <f t="shared" si="4"/>
        <v>0</v>
      </c>
      <c r="AC41" s="171">
        <f t="shared" si="2"/>
        <v>0</v>
      </c>
      <c r="AD41" s="163">
        <v>0</v>
      </c>
      <c r="AE41" s="171">
        <f t="shared" si="5"/>
        <v>0</v>
      </c>
      <c r="AF41" s="190" t="s">
        <v>215</v>
      </c>
    </row>
    <row r="42" spans="1:32" ht="15.75" customHeight="1" x14ac:dyDescent="0.2">
      <c r="A42" s="163">
        <v>29</v>
      </c>
      <c r="B42" s="204" t="s">
        <v>163</v>
      </c>
      <c r="C42" s="163" t="s">
        <v>46</v>
      </c>
      <c r="D42" s="188">
        <v>677.27</v>
      </c>
      <c r="E42" s="184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145</v>
      </c>
      <c r="K42" s="158"/>
      <c r="L42" s="159">
        <v>260</v>
      </c>
      <c r="M42" s="159"/>
      <c r="N42" s="163">
        <v>4.7</v>
      </c>
      <c r="O42" s="159"/>
      <c r="P42" s="160">
        <v>37.300956000138569</v>
      </c>
      <c r="Q42" s="171">
        <f t="shared" si="8"/>
        <v>8.6999999999999993</v>
      </c>
      <c r="R42" s="170">
        <v>4.7329999999999997</v>
      </c>
      <c r="S42" s="168">
        <v>7.520999999999999</v>
      </c>
      <c r="T42" s="174">
        <v>8</v>
      </c>
      <c r="U42" s="171">
        <f>T42/R42</f>
        <v>1.690259877456159</v>
      </c>
      <c r="V42" s="169">
        <f t="shared" si="7"/>
        <v>37.069538625182815</v>
      </c>
      <c r="W42" s="170">
        <v>0.4</v>
      </c>
      <c r="X42" s="171">
        <f t="shared" si="1"/>
        <v>0.86448275862068957</v>
      </c>
      <c r="Y42" s="171">
        <f t="shared" si="3"/>
        <v>4.5436799999999993</v>
      </c>
      <c r="Z42" s="171">
        <f t="shared" si="3"/>
        <v>7.220159999999999</v>
      </c>
      <c r="AA42" s="171">
        <f t="shared" si="3"/>
        <v>7.68</v>
      </c>
      <c r="AB42" s="171">
        <f t="shared" si="4"/>
        <v>1.690259877456159</v>
      </c>
      <c r="AC42" s="171">
        <f t="shared" si="2"/>
        <v>37.069538625182815</v>
      </c>
      <c r="AD42" s="163">
        <v>31</v>
      </c>
      <c r="AE42" s="171">
        <f t="shared" si="5"/>
        <v>140.85407999999998</v>
      </c>
      <c r="AF42" s="190"/>
    </row>
    <row r="43" spans="1:32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6">
        <v>421</v>
      </c>
      <c r="M43" s="166"/>
      <c r="N43" s="163">
        <v>2.2999999999999998</v>
      </c>
      <c r="O43" s="166"/>
      <c r="P43" s="182">
        <v>15.523534025439771</v>
      </c>
      <c r="Q43" s="171">
        <f t="shared" si="8"/>
        <v>11.05</v>
      </c>
      <c r="R43" s="170">
        <v>3.77</v>
      </c>
      <c r="S43" s="168">
        <v>5.47</v>
      </c>
      <c r="T43" s="171">
        <v>12</v>
      </c>
      <c r="U43" s="171">
        <f t="shared" si="6"/>
        <v>3.183023872679045</v>
      </c>
      <c r="V43" s="169">
        <f t="shared" si="7"/>
        <v>31.078610603290674</v>
      </c>
      <c r="W43" s="170">
        <v>0.3</v>
      </c>
      <c r="X43" s="171">
        <f t="shared" si="1"/>
        <v>0.4950226244343891</v>
      </c>
      <c r="Y43" s="171">
        <f t="shared" si="3"/>
        <v>3.6191999999999998</v>
      </c>
      <c r="Z43" s="171">
        <f t="shared" si="3"/>
        <v>5.2511999999999999</v>
      </c>
      <c r="AA43" s="171">
        <f t="shared" si="3"/>
        <v>11.52</v>
      </c>
      <c r="AB43" s="171">
        <f>U43</f>
        <v>3.183023872679045</v>
      </c>
      <c r="AC43" s="171">
        <f t="shared" si="2"/>
        <v>31.078610603290674</v>
      </c>
      <c r="AD43" s="163">
        <v>31</v>
      </c>
      <c r="AE43" s="171">
        <f t="shared" si="5"/>
        <v>112.19519999999999</v>
      </c>
      <c r="AF43" s="179"/>
    </row>
    <row r="44" spans="1:32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564.41999999999996</v>
      </c>
      <c r="J44" s="163">
        <v>135</v>
      </c>
      <c r="K44" s="163"/>
      <c r="L44" s="163">
        <v>263</v>
      </c>
      <c r="M44" s="166"/>
      <c r="N44" s="182">
        <v>1.6</v>
      </c>
      <c r="O44" s="166"/>
      <c r="P44" s="182">
        <v>30.652270584032475</v>
      </c>
      <c r="Q44" s="171">
        <f t="shared" si="8"/>
        <v>8.1</v>
      </c>
      <c r="R44" s="170">
        <v>4.056</v>
      </c>
      <c r="S44" s="168">
        <v>5.8120000000000003</v>
      </c>
      <c r="T44" s="171">
        <v>0</v>
      </c>
      <c r="U44" s="171">
        <f t="shared" si="6"/>
        <v>0</v>
      </c>
      <c r="V44" s="169">
        <f t="shared" si="7"/>
        <v>30.213351686166558</v>
      </c>
      <c r="W44" s="170">
        <v>0.4</v>
      </c>
      <c r="X44" s="171">
        <f t="shared" si="1"/>
        <v>0.71753086419753098</v>
      </c>
      <c r="Y44" s="171">
        <f t="shared" si="3"/>
        <v>3.8937599999999999</v>
      </c>
      <c r="Z44" s="171">
        <f t="shared" si="3"/>
        <v>5.5795200000000005</v>
      </c>
      <c r="AA44" s="171">
        <f t="shared" si="3"/>
        <v>0</v>
      </c>
      <c r="AB44" s="171">
        <f>U44</f>
        <v>0</v>
      </c>
      <c r="AC44" s="171">
        <f t="shared" si="2"/>
        <v>30.213351686166558</v>
      </c>
      <c r="AD44" s="163">
        <v>31</v>
      </c>
      <c r="AE44" s="171">
        <f t="shared" si="5"/>
        <v>120.70656</v>
      </c>
      <c r="AF44" s="179"/>
    </row>
    <row r="45" spans="1:32" ht="15.75" customHeight="1" x14ac:dyDescent="0.2">
      <c r="A45" s="163">
        <v>32</v>
      </c>
      <c r="B45" s="164" t="s">
        <v>196</v>
      </c>
      <c r="C45" s="163" t="s">
        <v>304</v>
      </c>
      <c r="D45" s="165">
        <v>641</v>
      </c>
      <c r="E45" s="163" t="s">
        <v>296</v>
      </c>
      <c r="F45" s="163">
        <v>177.8</v>
      </c>
      <c r="G45" s="163" t="s">
        <v>28</v>
      </c>
      <c r="H45" s="165" t="s">
        <v>218</v>
      </c>
      <c r="I45" s="158">
        <v>618.66999999999996</v>
      </c>
      <c r="J45" s="163">
        <v>65</v>
      </c>
      <c r="K45" s="163"/>
      <c r="L45" s="163">
        <v>480</v>
      </c>
      <c r="M45" s="166"/>
      <c r="N45" s="182">
        <v>5.0999999999999996</v>
      </c>
      <c r="O45" s="166"/>
      <c r="P45" s="182">
        <v>17.107002194428567</v>
      </c>
      <c r="Q45" s="171">
        <f t="shared" si="8"/>
        <v>20.8</v>
      </c>
      <c r="R45" s="170">
        <v>1.7470000000000001</v>
      </c>
      <c r="S45" s="168">
        <v>1.7470000000000001</v>
      </c>
      <c r="T45" s="171">
        <v>0</v>
      </c>
      <c r="U45" s="171">
        <f t="shared" si="6"/>
        <v>0</v>
      </c>
      <c r="V45" s="169">
        <f t="shared" si="7"/>
        <v>0</v>
      </c>
      <c r="W45" s="170">
        <v>0</v>
      </c>
      <c r="X45" s="171">
        <f t="shared" si="1"/>
        <v>8.399038461538462E-2</v>
      </c>
      <c r="Y45" s="171">
        <f t="shared" si="3"/>
        <v>1.6771199999999999</v>
      </c>
      <c r="Z45" s="171">
        <f t="shared" si="3"/>
        <v>1.6771199999999999</v>
      </c>
      <c r="AA45" s="171">
        <f t="shared" si="3"/>
        <v>0</v>
      </c>
      <c r="AB45" s="171">
        <f>U45</f>
        <v>0</v>
      </c>
      <c r="AC45" s="171">
        <f t="shared" si="2"/>
        <v>0</v>
      </c>
      <c r="AD45" s="163">
        <v>31</v>
      </c>
      <c r="AE45" s="171">
        <f t="shared" si="5"/>
        <v>51.990719999999996</v>
      </c>
      <c r="AF45" s="179"/>
    </row>
    <row r="46" spans="1:32" ht="15.75" customHeight="1" x14ac:dyDescent="0.2">
      <c r="A46" s="163">
        <v>33</v>
      </c>
      <c r="B46" s="164" t="s">
        <v>60</v>
      </c>
      <c r="C46" s="163" t="s">
        <v>46</v>
      </c>
      <c r="D46" s="165">
        <v>638.9</v>
      </c>
      <c r="E46" s="163" t="s">
        <v>95</v>
      </c>
      <c r="F46" s="163">
        <v>177.8</v>
      </c>
      <c r="G46" s="163" t="s">
        <v>28</v>
      </c>
      <c r="H46" s="165" t="s">
        <v>48</v>
      </c>
      <c r="I46" s="158">
        <v>546.64</v>
      </c>
      <c r="J46" s="163">
        <v>100</v>
      </c>
      <c r="K46" s="163"/>
      <c r="L46" s="166">
        <v>468</v>
      </c>
      <c r="M46" s="166"/>
      <c r="N46" s="163">
        <v>7.6</v>
      </c>
      <c r="O46" s="166"/>
      <c r="P46" s="167">
        <v>15.834393654538628</v>
      </c>
      <c r="Q46" s="168">
        <f t="shared" si="8"/>
        <v>13</v>
      </c>
      <c r="R46" s="169">
        <v>5.2880000000000003</v>
      </c>
      <c r="S46" s="168">
        <v>7.8920000000000003</v>
      </c>
      <c r="T46" s="168">
        <v>68</v>
      </c>
      <c r="U46" s="168">
        <f t="shared" si="6"/>
        <v>12.859304084720121</v>
      </c>
      <c r="V46" s="169">
        <f t="shared" si="7"/>
        <v>32.995438418651801</v>
      </c>
      <c r="W46" s="170">
        <v>0.3</v>
      </c>
      <c r="X46" s="171">
        <f t="shared" si="1"/>
        <v>0.60707692307692307</v>
      </c>
      <c r="Y46" s="171">
        <f t="shared" si="3"/>
        <v>5.0764800000000001</v>
      </c>
      <c r="Z46" s="171">
        <f t="shared" si="3"/>
        <v>7.5763199999999999</v>
      </c>
      <c r="AA46" s="171">
        <f t="shared" si="3"/>
        <v>65.28</v>
      </c>
      <c r="AB46" s="171">
        <f t="shared" si="4"/>
        <v>12.859304084720121</v>
      </c>
      <c r="AC46" s="171">
        <f t="shared" si="2"/>
        <v>32.995438418651801</v>
      </c>
      <c r="AD46" s="163">
        <v>31</v>
      </c>
      <c r="AE46" s="171">
        <f t="shared" si="5"/>
        <v>157.37088</v>
      </c>
      <c r="AF46" s="179"/>
    </row>
    <row r="47" spans="1:32" ht="15.75" customHeight="1" x14ac:dyDescent="0.2">
      <c r="A47" s="163">
        <v>34</v>
      </c>
      <c r="B47" s="164" t="s">
        <v>119</v>
      </c>
      <c r="C47" s="163" t="s">
        <v>46</v>
      </c>
      <c r="D47" s="165">
        <v>654.07000000000005</v>
      </c>
      <c r="E47" s="163" t="s">
        <v>126</v>
      </c>
      <c r="F47" s="163">
        <v>177.8</v>
      </c>
      <c r="G47" s="163" t="s">
        <v>28</v>
      </c>
      <c r="H47" s="165" t="s">
        <v>48</v>
      </c>
      <c r="I47" s="158">
        <v>526.6</v>
      </c>
      <c r="J47" s="163">
        <v>0</v>
      </c>
      <c r="K47" s="166">
        <v>493</v>
      </c>
      <c r="L47" s="163"/>
      <c r="M47" s="166">
        <v>20</v>
      </c>
      <c r="N47" s="163">
        <v>0</v>
      </c>
      <c r="O47" s="166"/>
      <c r="P47" s="167">
        <v>24.17367490502857</v>
      </c>
      <c r="Q47" s="168">
        <f t="shared" si="8"/>
        <v>0</v>
      </c>
      <c r="R47" s="169">
        <v>0</v>
      </c>
      <c r="S47" s="168">
        <v>0</v>
      </c>
      <c r="T47" s="168">
        <v>0</v>
      </c>
      <c r="U47" s="168">
        <v>0</v>
      </c>
      <c r="V47" s="169">
        <v>0</v>
      </c>
      <c r="W47" s="170">
        <v>0</v>
      </c>
      <c r="X47" s="171">
        <v>0</v>
      </c>
      <c r="Y47" s="171">
        <f t="shared" si="3"/>
        <v>0</v>
      </c>
      <c r="Z47" s="171">
        <f t="shared" si="3"/>
        <v>0</v>
      </c>
      <c r="AA47" s="171">
        <f t="shared" si="3"/>
        <v>0</v>
      </c>
      <c r="AB47" s="171">
        <f t="shared" si="4"/>
        <v>0</v>
      </c>
      <c r="AC47" s="171">
        <f t="shared" si="2"/>
        <v>0</v>
      </c>
      <c r="AD47" s="163">
        <v>0</v>
      </c>
      <c r="AE47" s="171">
        <f t="shared" si="5"/>
        <v>0</v>
      </c>
      <c r="AF47" s="190" t="s">
        <v>215</v>
      </c>
    </row>
    <row r="48" spans="1:32" ht="15.75" customHeight="1" x14ac:dyDescent="0.2">
      <c r="A48" s="163">
        <v>35</v>
      </c>
      <c r="B48" s="164" t="s">
        <v>118</v>
      </c>
      <c r="C48" s="163" t="s">
        <v>46</v>
      </c>
      <c r="D48" s="165">
        <v>728.77</v>
      </c>
      <c r="E48" s="163" t="s">
        <v>133</v>
      </c>
      <c r="F48" s="163">
        <v>177.8</v>
      </c>
      <c r="G48" s="163" t="s">
        <v>28</v>
      </c>
      <c r="H48" s="165" t="s">
        <v>48</v>
      </c>
      <c r="I48" s="158">
        <v>557.04999999999995</v>
      </c>
      <c r="J48" s="163">
        <v>100</v>
      </c>
      <c r="K48" s="163"/>
      <c r="L48" s="166">
        <v>372</v>
      </c>
      <c r="M48" s="166"/>
      <c r="N48" s="163">
        <v>6.8</v>
      </c>
      <c r="O48" s="166"/>
      <c r="P48" s="167">
        <v>26.703286360868553</v>
      </c>
      <c r="Q48" s="168">
        <f t="shared" si="8"/>
        <v>13</v>
      </c>
      <c r="R48" s="169">
        <v>0.35599999999999998</v>
      </c>
      <c r="S48" s="168">
        <v>8.3680000000000003</v>
      </c>
      <c r="T48" s="168">
        <v>43</v>
      </c>
      <c r="U48" s="168">
        <f>T48/R48</f>
        <v>120.7865168539326</v>
      </c>
      <c r="V48" s="169">
        <f t="shared" si="7"/>
        <v>95.745697896749533</v>
      </c>
      <c r="W48" s="170">
        <v>0.5</v>
      </c>
      <c r="X48" s="171">
        <f t="shared" ref="X48:X55" si="9">S48/Q48</f>
        <v>0.64369230769230767</v>
      </c>
      <c r="Y48" s="171">
        <f t="shared" si="3"/>
        <v>0.34175999999999995</v>
      </c>
      <c r="Z48" s="171">
        <f t="shared" si="3"/>
        <v>8.0332799999999995</v>
      </c>
      <c r="AA48" s="171">
        <f t="shared" si="3"/>
        <v>41.28</v>
      </c>
      <c r="AB48" s="171">
        <f t="shared" si="4"/>
        <v>120.7865168539326</v>
      </c>
      <c r="AC48" s="171">
        <f t="shared" si="2"/>
        <v>95.745697896749533</v>
      </c>
      <c r="AD48" s="163">
        <v>31</v>
      </c>
      <c r="AE48" s="171">
        <f t="shared" si="5"/>
        <v>10.594559999999998</v>
      </c>
      <c r="AF48" s="179"/>
    </row>
    <row r="49" spans="1:32" ht="15.75" customHeight="1" x14ac:dyDescent="0.2">
      <c r="A49" s="163">
        <v>36</v>
      </c>
      <c r="B49" s="164" t="s">
        <v>117</v>
      </c>
      <c r="C49" s="163" t="s">
        <v>46</v>
      </c>
      <c r="D49" s="165">
        <v>671.45</v>
      </c>
      <c r="E49" s="163" t="s">
        <v>128</v>
      </c>
      <c r="F49" s="163">
        <v>177.8</v>
      </c>
      <c r="G49" s="163" t="s">
        <v>28</v>
      </c>
      <c r="H49" s="165" t="s">
        <v>187</v>
      </c>
      <c r="I49" s="158">
        <v>559.39</v>
      </c>
      <c r="J49" s="163">
        <v>265</v>
      </c>
      <c r="K49" s="163"/>
      <c r="L49" s="166">
        <v>364</v>
      </c>
      <c r="M49" s="166"/>
      <c r="N49" s="163">
        <v>3.2</v>
      </c>
      <c r="O49" s="166"/>
      <c r="P49" s="167">
        <v>23.314814164350942</v>
      </c>
      <c r="Q49" s="168">
        <f t="shared" si="8"/>
        <v>15.9</v>
      </c>
      <c r="R49" s="169">
        <v>2.762</v>
      </c>
      <c r="S49" s="168">
        <v>5.5939999999999994</v>
      </c>
      <c r="T49" s="168">
        <v>4</v>
      </c>
      <c r="U49" s="168">
        <f t="shared" ref="U49:U55" si="10">T49/R49</f>
        <v>1.448225923244026</v>
      </c>
      <c r="V49" s="169">
        <f t="shared" si="7"/>
        <v>50.625670361101172</v>
      </c>
      <c r="W49" s="170">
        <v>0.4</v>
      </c>
      <c r="X49" s="171">
        <v>0.2</v>
      </c>
      <c r="Y49" s="171">
        <f t="shared" si="3"/>
        <v>2.6515200000000001</v>
      </c>
      <c r="Z49" s="171">
        <f t="shared" si="3"/>
        <v>5.370239999999999</v>
      </c>
      <c r="AA49" s="171">
        <f t="shared" si="3"/>
        <v>3.84</v>
      </c>
      <c r="AB49" s="171">
        <f t="shared" si="4"/>
        <v>1.448225923244026</v>
      </c>
      <c r="AC49" s="171">
        <f t="shared" si="2"/>
        <v>50.625670361101172</v>
      </c>
      <c r="AD49" s="163">
        <v>31</v>
      </c>
      <c r="AE49" s="171">
        <f t="shared" si="5"/>
        <v>82.197119999999998</v>
      </c>
      <c r="AF49" s="172"/>
    </row>
    <row r="50" spans="1:32" ht="15.75" customHeight="1" x14ac:dyDescent="0.2">
      <c r="A50" s="163">
        <v>37</v>
      </c>
      <c r="B50" s="164" t="s">
        <v>130</v>
      </c>
      <c r="C50" s="163" t="s">
        <v>46</v>
      </c>
      <c r="D50" s="165">
        <v>622.6</v>
      </c>
      <c r="E50" s="163" t="s">
        <v>134</v>
      </c>
      <c r="F50" s="163">
        <v>177.8</v>
      </c>
      <c r="G50" s="163" t="s">
        <v>28</v>
      </c>
      <c r="H50" s="165" t="s">
        <v>48</v>
      </c>
      <c r="I50" s="158">
        <v>551.79999999999995</v>
      </c>
      <c r="J50" s="163">
        <v>85</v>
      </c>
      <c r="K50" s="163"/>
      <c r="L50" s="166">
        <v>90</v>
      </c>
      <c r="M50" s="166"/>
      <c r="N50" s="163">
        <v>5.0999999999999996</v>
      </c>
      <c r="O50" s="166"/>
      <c r="P50" s="167">
        <v>52.899957448579592</v>
      </c>
      <c r="Q50" s="168">
        <f t="shared" si="8"/>
        <v>11.05</v>
      </c>
      <c r="R50" s="169">
        <v>0.27100000000000002</v>
      </c>
      <c r="S50" s="168">
        <v>7.8129999999999997</v>
      </c>
      <c r="T50" s="168">
        <v>1</v>
      </c>
      <c r="U50" s="168">
        <f t="shared" si="10"/>
        <v>3.6900369003690034</v>
      </c>
      <c r="V50" s="169">
        <f t="shared" si="7"/>
        <v>96.531421988992705</v>
      </c>
      <c r="W50" s="170">
        <v>0</v>
      </c>
      <c r="X50" s="171">
        <f t="shared" si="9"/>
        <v>0.70705882352941174</v>
      </c>
      <c r="Y50" s="171">
        <f t="shared" si="3"/>
        <v>0.26016</v>
      </c>
      <c r="Z50" s="171">
        <f t="shared" si="3"/>
        <v>7.5004799999999996</v>
      </c>
      <c r="AA50" s="171">
        <f t="shared" si="3"/>
        <v>0.96</v>
      </c>
      <c r="AB50" s="171">
        <f t="shared" si="4"/>
        <v>3.6900369003690034</v>
      </c>
      <c r="AC50" s="171">
        <f t="shared" si="2"/>
        <v>96.531421988992705</v>
      </c>
      <c r="AD50" s="163">
        <v>31</v>
      </c>
      <c r="AE50" s="171">
        <f t="shared" si="5"/>
        <v>8.0649599999999992</v>
      </c>
      <c r="AF50" s="172"/>
    </row>
    <row r="51" spans="1:32" ht="15.75" customHeight="1" x14ac:dyDescent="0.2">
      <c r="A51" s="163">
        <v>38</v>
      </c>
      <c r="B51" s="193" t="s">
        <v>115</v>
      </c>
      <c r="C51" s="194" t="s">
        <v>46</v>
      </c>
      <c r="D51" s="195">
        <v>671.43</v>
      </c>
      <c r="E51" s="194" t="s">
        <v>286</v>
      </c>
      <c r="F51" s="163">
        <v>177.8</v>
      </c>
      <c r="G51" s="194" t="s">
        <v>28</v>
      </c>
      <c r="H51" s="195" t="s">
        <v>291</v>
      </c>
      <c r="I51" s="196">
        <v>565.80999999999995</v>
      </c>
      <c r="J51" s="194">
        <v>260</v>
      </c>
      <c r="K51" s="194"/>
      <c r="L51" s="197">
        <v>439</v>
      </c>
      <c r="M51" s="197"/>
      <c r="N51" s="163">
        <v>3.3</v>
      </c>
      <c r="O51" s="197"/>
      <c r="P51" s="198">
        <v>16.026468412171585</v>
      </c>
      <c r="Q51" s="199">
        <f t="shared" si="8"/>
        <v>7.8</v>
      </c>
      <c r="R51" s="200">
        <v>5.1820000000000004</v>
      </c>
      <c r="S51" s="168">
        <v>5.7010000000000005</v>
      </c>
      <c r="T51" s="199">
        <v>4</v>
      </c>
      <c r="U51" s="168">
        <f t="shared" si="10"/>
        <v>0.77190274025472783</v>
      </c>
      <c r="V51" s="169">
        <f t="shared" si="7"/>
        <v>9.1036660235046494</v>
      </c>
      <c r="W51" s="201">
        <v>0.7</v>
      </c>
      <c r="X51" s="171">
        <f t="shared" si="9"/>
        <v>0.73089743589743594</v>
      </c>
      <c r="Y51" s="171">
        <f t="shared" si="3"/>
        <v>4.9747200000000005</v>
      </c>
      <c r="Z51" s="171">
        <f t="shared" si="3"/>
        <v>5.4729600000000005</v>
      </c>
      <c r="AA51" s="171">
        <f t="shared" si="3"/>
        <v>3.84</v>
      </c>
      <c r="AB51" s="202">
        <f t="shared" si="4"/>
        <v>0.77190274025472783</v>
      </c>
      <c r="AC51" s="171">
        <f t="shared" si="2"/>
        <v>9.1036660235046494</v>
      </c>
      <c r="AD51" s="163">
        <v>31</v>
      </c>
      <c r="AE51" s="202">
        <f t="shared" si="5"/>
        <v>154.21632000000002</v>
      </c>
      <c r="AF51" s="172"/>
    </row>
    <row r="52" spans="1:32" ht="15.75" customHeight="1" x14ac:dyDescent="0.2">
      <c r="A52" s="163">
        <v>39</v>
      </c>
      <c r="B52" s="164" t="s">
        <v>116</v>
      </c>
      <c r="C52" s="163" t="s">
        <v>46</v>
      </c>
      <c r="D52" s="165">
        <v>681.27</v>
      </c>
      <c r="E52" s="163" t="s">
        <v>124</v>
      </c>
      <c r="F52" s="163">
        <v>177.8</v>
      </c>
      <c r="G52" s="163" t="s">
        <v>28</v>
      </c>
      <c r="H52" s="165" t="s">
        <v>53</v>
      </c>
      <c r="I52" s="158">
        <v>558.35</v>
      </c>
      <c r="J52" s="163">
        <v>170</v>
      </c>
      <c r="K52" s="163"/>
      <c r="L52" s="166">
        <v>405</v>
      </c>
      <c r="M52" s="166"/>
      <c r="N52" s="163">
        <v>1</v>
      </c>
      <c r="O52" s="166"/>
      <c r="P52" s="167">
        <v>16.604462325263771</v>
      </c>
      <c r="Q52" s="199">
        <f t="shared" si="8"/>
        <v>22.1</v>
      </c>
      <c r="R52" s="169">
        <v>0.95</v>
      </c>
      <c r="S52" s="168">
        <v>1.115</v>
      </c>
      <c r="T52" s="168">
        <v>0</v>
      </c>
      <c r="U52" s="168">
        <f t="shared" si="10"/>
        <v>0</v>
      </c>
      <c r="V52" s="169">
        <f t="shared" si="7"/>
        <v>14.79820627802691</v>
      </c>
      <c r="W52" s="170">
        <v>0.3</v>
      </c>
      <c r="X52" s="171">
        <f t="shared" si="9"/>
        <v>5.04524886877828E-2</v>
      </c>
      <c r="Y52" s="171">
        <f t="shared" si="3"/>
        <v>0.91199999999999992</v>
      </c>
      <c r="Z52" s="171">
        <f t="shared" si="3"/>
        <v>1.0704</v>
      </c>
      <c r="AA52" s="171">
        <f t="shared" si="3"/>
        <v>0</v>
      </c>
      <c r="AB52" s="171">
        <f t="shared" si="4"/>
        <v>0</v>
      </c>
      <c r="AC52" s="171">
        <f t="shared" si="2"/>
        <v>14.79820627802691</v>
      </c>
      <c r="AD52" s="163">
        <v>31</v>
      </c>
      <c r="AE52" s="171">
        <f t="shared" si="5"/>
        <v>28.271999999999998</v>
      </c>
      <c r="AF52" s="172"/>
    </row>
    <row r="53" spans="1:32" ht="15.75" customHeight="1" x14ac:dyDescent="0.2">
      <c r="A53" s="163">
        <v>40</v>
      </c>
      <c r="B53" s="164" t="s">
        <v>120</v>
      </c>
      <c r="C53" s="163" t="s">
        <v>46</v>
      </c>
      <c r="D53" s="165">
        <v>668.57</v>
      </c>
      <c r="E53" s="163" t="s">
        <v>285</v>
      </c>
      <c r="F53" s="163">
        <v>177.8</v>
      </c>
      <c r="G53" s="163" t="s">
        <v>28</v>
      </c>
      <c r="H53" s="165" t="s">
        <v>48</v>
      </c>
      <c r="I53" s="158">
        <v>567.08000000000004</v>
      </c>
      <c r="J53" s="163">
        <v>110</v>
      </c>
      <c r="K53" s="163"/>
      <c r="L53" s="166">
        <v>400</v>
      </c>
      <c r="M53" s="166"/>
      <c r="N53" s="163">
        <v>0.6</v>
      </c>
      <c r="O53" s="166"/>
      <c r="P53" s="167">
        <v>17.062291370958626</v>
      </c>
      <c r="Q53" s="168">
        <f t="shared" si="8"/>
        <v>14.3</v>
      </c>
      <c r="R53" s="169">
        <v>3.1480000000000001</v>
      </c>
      <c r="S53" s="168">
        <v>3.8450000000000002</v>
      </c>
      <c r="T53" s="168">
        <v>0</v>
      </c>
      <c r="U53" s="168">
        <f t="shared" si="10"/>
        <v>0</v>
      </c>
      <c r="V53" s="169">
        <f t="shared" si="7"/>
        <v>18.127438231469441</v>
      </c>
      <c r="W53" s="170">
        <v>0.5</v>
      </c>
      <c r="X53" s="171">
        <f t="shared" si="9"/>
        <v>0.26888111888111887</v>
      </c>
      <c r="Y53" s="171">
        <f t="shared" si="3"/>
        <v>3.0220799999999999</v>
      </c>
      <c r="Z53" s="171">
        <f t="shared" si="3"/>
        <v>3.6912000000000003</v>
      </c>
      <c r="AA53" s="171">
        <f t="shared" si="3"/>
        <v>0</v>
      </c>
      <c r="AB53" s="171">
        <f t="shared" si="4"/>
        <v>0</v>
      </c>
      <c r="AC53" s="171">
        <f t="shared" si="2"/>
        <v>18.127438231469441</v>
      </c>
      <c r="AD53" s="163">
        <v>31</v>
      </c>
      <c r="AE53" s="171">
        <f t="shared" si="5"/>
        <v>93.684479999999994</v>
      </c>
      <c r="AF53" s="172"/>
    </row>
    <row r="54" spans="1:32" ht="15.75" customHeight="1" x14ac:dyDescent="0.2">
      <c r="A54" s="163">
        <v>41</v>
      </c>
      <c r="B54" s="164" t="s">
        <v>114</v>
      </c>
      <c r="C54" s="163" t="s">
        <v>46</v>
      </c>
      <c r="D54" s="165">
        <v>584.25</v>
      </c>
      <c r="E54" s="163" t="s">
        <v>123</v>
      </c>
      <c r="F54" s="163">
        <v>177.8</v>
      </c>
      <c r="G54" s="163" t="s">
        <v>28</v>
      </c>
      <c r="H54" s="165" t="s">
        <v>125</v>
      </c>
      <c r="I54" s="158">
        <v>565.08000000000004</v>
      </c>
      <c r="J54" s="163">
        <v>240</v>
      </c>
      <c r="K54" s="163"/>
      <c r="L54" s="166">
        <v>57</v>
      </c>
      <c r="M54" s="166"/>
      <c r="N54" s="163">
        <v>0</v>
      </c>
      <c r="O54" s="166"/>
      <c r="P54" s="167">
        <v>50.789912108010583</v>
      </c>
      <c r="Q54" s="168">
        <f t="shared" si="8"/>
        <v>7.2</v>
      </c>
      <c r="R54" s="169">
        <v>0.97699999999999998</v>
      </c>
      <c r="S54" s="168">
        <v>2.4409999999999998</v>
      </c>
      <c r="T54" s="168">
        <v>0</v>
      </c>
      <c r="U54" s="168">
        <f t="shared" si="10"/>
        <v>0</v>
      </c>
      <c r="V54" s="169">
        <f t="shared" si="7"/>
        <v>59.975419909873004</v>
      </c>
      <c r="W54" s="170">
        <v>0.7</v>
      </c>
      <c r="X54" s="171">
        <f t="shared" si="9"/>
        <v>0.33902777777777776</v>
      </c>
      <c r="Y54" s="171">
        <f t="shared" si="3"/>
        <v>0.93791999999999998</v>
      </c>
      <c r="Z54" s="171">
        <f t="shared" si="3"/>
        <v>2.3433599999999997</v>
      </c>
      <c r="AA54" s="171">
        <f t="shared" si="3"/>
        <v>0</v>
      </c>
      <c r="AB54" s="171">
        <f t="shared" si="4"/>
        <v>0</v>
      </c>
      <c r="AC54" s="171">
        <f t="shared" si="2"/>
        <v>59.975419909873004</v>
      </c>
      <c r="AD54" s="163">
        <v>31</v>
      </c>
      <c r="AE54" s="171">
        <f t="shared" si="5"/>
        <v>29.075520000000001</v>
      </c>
      <c r="AF54" s="203"/>
    </row>
    <row r="55" spans="1:32" ht="15.75" customHeight="1" x14ac:dyDescent="0.2">
      <c r="A55" s="163">
        <v>42</v>
      </c>
      <c r="B55" s="164" t="s">
        <v>106</v>
      </c>
      <c r="C55" s="163" t="s">
        <v>46</v>
      </c>
      <c r="D55" s="165">
        <v>642.52</v>
      </c>
      <c r="E55" s="163" t="s">
        <v>111</v>
      </c>
      <c r="F55" s="163">
        <v>177.8</v>
      </c>
      <c r="G55" s="163" t="s">
        <v>28</v>
      </c>
      <c r="H55" s="165" t="s">
        <v>52</v>
      </c>
      <c r="I55" s="158">
        <v>556.65</v>
      </c>
      <c r="J55" s="163">
        <v>75</v>
      </c>
      <c r="K55" s="163"/>
      <c r="L55" s="163">
        <v>183</v>
      </c>
      <c r="M55" s="163"/>
      <c r="N55" s="163">
        <v>6.7</v>
      </c>
      <c r="O55" s="163"/>
      <c r="P55" s="182">
        <v>45.182669562189602</v>
      </c>
      <c r="Q55" s="171">
        <f t="shared" si="8"/>
        <v>16.5</v>
      </c>
      <c r="R55" s="170">
        <v>0.34699999999999998</v>
      </c>
      <c r="S55" s="168">
        <v>2.5289999999999999</v>
      </c>
      <c r="T55" s="171">
        <v>0</v>
      </c>
      <c r="U55" s="168">
        <f t="shared" si="10"/>
        <v>0</v>
      </c>
      <c r="V55" s="169">
        <f t="shared" si="7"/>
        <v>86.279161724001582</v>
      </c>
      <c r="W55" s="170">
        <v>0.3</v>
      </c>
      <c r="X55" s="171">
        <f t="shared" si="9"/>
        <v>0.15327272727272725</v>
      </c>
      <c r="Y55" s="171">
        <f t="shared" si="3"/>
        <v>0.33311999999999997</v>
      </c>
      <c r="Z55" s="171">
        <f t="shared" si="3"/>
        <v>2.4278399999999998</v>
      </c>
      <c r="AA55" s="171">
        <f t="shared" si="3"/>
        <v>0</v>
      </c>
      <c r="AB55" s="171">
        <f t="shared" si="4"/>
        <v>0</v>
      </c>
      <c r="AC55" s="171">
        <f t="shared" si="2"/>
        <v>86.279161724001582</v>
      </c>
      <c r="AD55" s="163">
        <v>31</v>
      </c>
      <c r="AE55" s="171">
        <f t="shared" si="5"/>
        <v>10.32672</v>
      </c>
      <c r="AF55" s="343"/>
    </row>
    <row r="56" spans="1:32" ht="15.75" customHeight="1" x14ac:dyDescent="0.2">
      <c r="A56" s="163">
        <v>43</v>
      </c>
      <c r="B56" s="164" t="s">
        <v>105</v>
      </c>
      <c r="C56" s="163" t="s">
        <v>46</v>
      </c>
      <c r="D56" s="165">
        <v>678.58</v>
      </c>
      <c r="E56" s="163" t="s">
        <v>110</v>
      </c>
      <c r="F56" s="163">
        <v>177.8</v>
      </c>
      <c r="G56" s="163" t="s">
        <v>28</v>
      </c>
      <c r="H56" s="165" t="s">
        <v>52</v>
      </c>
      <c r="I56" s="158">
        <v>529.41</v>
      </c>
      <c r="J56" s="163">
        <v>0</v>
      </c>
      <c r="K56" s="163">
        <v>248</v>
      </c>
      <c r="L56" s="163"/>
      <c r="M56" s="163">
        <v>0.5</v>
      </c>
      <c r="N56" s="163"/>
      <c r="O56" s="163"/>
      <c r="P56" s="182">
        <v>31.340290398141324</v>
      </c>
      <c r="Q56" s="171">
        <f t="shared" si="8"/>
        <v>0</v>
      </c>
      <c r="R56" s="170">
        <v>0</v>
      </c>
      <c r="S56" s="168">
        <v>0</v>
      </c>
      <c r="T56" s="171">
        <v>0</v>
      </c>
      <c r="U56" s="168">
        <f>IF(R56=0,0,T56/R56)</f>
        <v>0</v>
      </c>
      <c r="V56" s="169">
        <v>0</v>
      </c>
      <c r="W56" s="170">
        <v>0</v>
      </c>
      <c r="X56" s="171">
        <v>0</v>
      </c>
      <c r="Y56" s="171">
        <f t="shared" si="3"/>
        <v>0</v>
      </c>
      <c r="Z56" s="171">
        <f t="shared" si="3"/>
        <v>0</v>
      </c>
      <c r="AA56" s="171">
        <f t="shared" si="3"/>
        <v>0</v>
      </c>
      <c r="AB56" s="171">
        <f t="shared" si="4"/>
        <v>0</v>
      </c>
      <c r="AC56" s="171">
        <f t="shared" si="2"/>
        <v>0</v>
      </c>
      <c r="AD56" s="163">
        <v>0</v>
      </c>
      <c r="AE56" s="171">
        <f t="shared" si="5"/>
        <v>0</v>
      </c>
      <c r="AF56" s="172" t="s">
        <v>215</v>
      </c>
    </row>
    <row r="57" spans="1:32" ht="15.75" customHeight="1" x14ac:dyDescent="0.2">
      <c r="A57" s="163">
        <v>44</v>
      </c>
      <c r="B57" s="164" t="s">
        <v>104</v>
      </c>
      <c r="C57" s="163" t="s">
        <v>46</v>
      </c>
      <c r="D57" s="165">
        <v>707.14</v>
      </c>
      <c r="E57" s="163" t="s">
        <v>231</v>
      </c>
      <c r="F57" s="163">
        <v>177.8</v>
      </c>
      <c r="G57" s="163" t="s">
        <v>28</v>
      </c>
      <c r="H57" s="165" t="s">
        <v>52</v>
      </c>
      <c r="I57" s="158">
        <v>555</v>
      </c>
      <c r="J57" s="166">
        <v>0</v>
      </c>
      <c r="K57" s="163">
        <v>385</v>
      </c>
      <c r="L57" s="163"/>
      <c r="M57" s="163">
        <v>18</v>
      </c>
      <c r="N57" s="163"/>
      <c r="O57" s="163"/>
      <c r="P57" s="182">
        <v>35.955534337530786</v>
      </c>
      <c r="Q57" s="171">
        <f t="shared" si="8"/>
        <v>0</v>
      </c>
      <c r="R57" s="170">
        <v>0</v>
      </c>
      <c r="S57" s="168">
        <v>0</v>
      </c>
      <c r="T57" s="171">
        <v>0</v>
      </c>
      <c r="U57" s="171">
        <f>IF(T57=0,0,T57/R57)</f>
        <v>0</v>
      </c>
      <c r="V57" s="171">
        <f>IF(U57=0,0,U57/S57)</f>
        <v>0</v>
      </c>
      <c r="W57" s="170">
        <v>0</v>
      </c>
      <c r="X57" s="171">
        <f>IF(S57=0,0,S57/Q57)</f>
        <v>0</v>
      </c>
      <c r="Y57" s="171">
        <f t="shared" si="3"/>
        <v>0</v>
      </c>
      <c r="Z57" s="171">
        <f t="shared" si="3"/>
        <v>0</v>
      </c>
      <c r="AA57" s="171">
        <f t="shared" si="3"/>
        <v>0</v>
      </c>
      <c r="AB57" s="171">
        <f t="shared" si="4"/>
        <v>0</v>
      </c>
      <c r="AC57" s="171">
        <f t="shared" si="2"/>
        <v>0</v>
      </c>
      <c r="AD57" s="163">
        <v>0</v>
      </c>
      <c r="AE57" s="171">
        <f t="shared" si="5"/>
        <v>0</v>
      </c>
      <c r="AF57" s="172" t="s">
        <v>300</v>
      </c>
    </row>
    <row r="58" spans="1:32" ht="15.75" customHeight="1" x14ac:dyDescent="0.2">
      <c r="A58" s="163">
        <v>45</v>
      </c>
      <c r="B58" s="204" t="s">
        <v>158</v>
      </c>
      <c r="C58" s="163" t="s">
        <v>46</v>
      </c>
      <c r="D58" s="158">
        <v>674.45</v>
      </c>
      <c r="E58" s="158" t="s">
        <v>232</v>
      </c>
      <c r="F58" s="163">
        <v>177.8</v>
      </c>
      <c r="G58" s="163" t="s">
        <v>28</v>
      </c>
      <c r="H58" s="165" t="s">
        <v>52</v>
      </c>
      <c r="I58" s="158">
        <v>543.72</v>
      </c>
      <c r="J58" s="158">
        <v>160</v>
      </c>
      <c r="K58" s="158"/>
      <c r="L58" s="158">
        <v>457</v>
      </c>
      <c r="M58" s="158"/>
      <c r="N58" s="163">
        <v>7.8</v>
      </c>
      <c r="O58" s="158"/>
      <c r="P58" s="160">
        <v>17.317118938374509</v>
      </c>
      <c r="Q58" s="171">
        <f t="shared" si="8"/>
        <v>35.200000000000003</v>
      </c>
      <c r="R58" s="170">
        <v>7.6269999999999998</v>
      </c>
      <c r="S58" s="168">
        <v>9.7040000000000006</v>
      </c>
      <c r="T58" s="174">
        <v>368</v>
      </c>
      <c r="U58" s="171">
        <f t="shared" ref="U58:U64" si="11">T58/R58</f>
        <v>48.249639438835715</v>
      </c>
      <c r="V58" s="169">
        <f t="shared" si="7"/>
        <v>21.403544929925811</v>
      </c>
      <c r="W58" s="170">
        <v>0.4</v>
      </c>
      <c r="X58" s="171">
        <f t="shared" ref="X58:X74" si="12">S58/Q58</f>
        <v>0.27568181818181819</v>
      </c>
      <c r="Y58" s="171">
        <f t="shared" si="3"/>
        <v>7.3219199999999995</v>
      </c>
      <c r="Z58" s="171">
        <f t="shared" si="3"/>
        <v>9.3158399999999997</v>
      </c>
      <c r="AA58" s="171">
        <f t="shared" si="3"/>
        <v>353.28</v>
      </c>
      <c r="AB58" s="171">
        <f t="shared" si="4"/>
        <v>48.249639438835715</v>
      </c>
      <c r="AC58" s="171">
        <f t="shared" si="2"/>
        <v>21.403544929925811</v>
      </c>
      <c r="AD58" s="163">
        <v>31</v>
      </c>
      <c r="AE58" s="171">
        <f>Y58*AD58</f>
        <v>226.97951999999998</v>
      </c>
      <c r="AF58" s="305"/>
    </row>
    <row r="59" spans="1:32" ht="15.75" customHeight="1" x14ac:dyDescent="0.2">
      <c r="A59" s="163">
        <v>46</v>
      </c>
      <c r="B59" s="204" t="s">
        <v>160</v>
      </c>
      <c r="C59" s="163" t="s">
        <v>304</v>
      </c>
      <c r="D59" s="158">
        <v>677.33</v>
      </c>
      <c r="E59" s="158" t="s">
        <v>303</v>
      </c>
      <c r="F59" s="163">
        <v>177.8</v>
      </c>
      <c r="G59" s="163" t="s">
        <v>28</v>
      </c>
      <c r="H59" s="165" t="s">
        <v>50</v>
      </c>
      <c r="I59" s="158">
        <v>619</v>
      </c>
      <c r="J59" s="158">
        <v>110</v>
      </c>
      <c r="K59" s="158"/>
      <c r="L59" s="163">
        <v>93</v>
      </c>
      <c r="M59" s="158"/>
      <c r="N59" s="163">
        <v>8</v>
      </c>
      <c r="O59" s="158"/>
      <c r="P59" s="160">
        <v>58.635984197545042</v>
      </c>
      <c r="Q59" s="171">
        <f t="shared" si="8"/>
        <v>6.6</v>
      </c>
      <c r="R59" s="170">
        <v>0.57699999999999996</v>
      </c>
      <c r="S59" s="168">
        <v>3.488</v>
      </c>
      <c r="T59" s="174">
        <v>0</v>
      </c>
      <c r="U59" s="171">
        <f t="shared" si="11"/>
        <v>0</v>
      </c>
      <c r="V59" s="169">
        <f t="shared" si="7"/>
        <v>83.457568807339456</v>
      </c>
      <c r="W59" s="170">
        <v>0.4</v>
      </c>
      <c r="X59" s="171">
        <f t="shared" si="12"/>
        <v>0.52848484848484856</v>
      </c>
      <c r="Y59" s="171">
        <f t="shared" si="3"/>
        <v>0.55391999999999997</v>
      </c>
      <c r="Z59" s="171">
        <f t="shared" si="3"/>
        <v>3.3484799999999999</v>
      </c>
      <c r="AA59" s="171">
        <f t="shared" si="3"/>
        <v>0</v>
      </c>
      <c r="AB59" s="171">
        <f t="shared" si="4"/>
        <v>0</v>
      </c>
      <c r="AC59" s="171">
        <f t="shared" si="2"/>
        <v>83.457568807339456</v>
      </c>
      <c r="AD59" s="163">
        <v>31</v>
      </c>
      <c r="AE59" s="171">
        <f>Y59*AD59</f>
        <v>17.171519999999997</v>
      </c>
      <c r="AF59" s="172"/>
    </row>
    <row r="60" spans="1:32" ht="15.75" customHeight="1" x14ac:dyDescent="0.2">
      <c r="A60" s="163">
        <v>47</v>
      </c>
      <c r="B60" s="164" t="s">
        <v>164</v>
      </c>
      <c r="C60" s="163" t="s">
        <v>46</v>
      </c>
      <c r="D60" s="158">
        <v>678.47</v>
      </c>
      <c r="E60" s="158" t="s">
        <v>233</v>
      </c>
      <c r="F60" s="163">
        <v>177.8</v>
      </c>
      <c r="G60" s="163" t="s">
        <v>28</v>
      </c>
      <c r="H60" s="165" t="s">
        <v>48</v>
      </c>
      <c r="I60" s="158">
        <v>563.11</v>
      </c>
      <c r="J60" s="158">
        <v>105</v>
      </c>
      <c r="K60" s="158"/>
      <c r="L60" s="158">
        <v>421</v>
      </c>
      <c r="M60" s="158"/>
      <c r="N60" s="163">
        <v>2.2999999999999998</v>
      </c>
      <c r="O60" s="158"/>
      <c r="P60" s="182">
        <v>16.964992281433304</v>
      </c>
      <c r="Q60" s="171">
        <f t="shared" si="8"/>
        <v>13.65</v>
      </c>
      <c r="R60" s="170">
        <v>4.843</v>
      </c>
      <c r="S60" s="168">
        <v>5.431</v>
      </c>
      <c r="T60" s="171">
        <v>0</v>
      </c>
      <c r="U60" s="171">
        <f t="shared" si="11"/>
        <v>0</v>
      </c>
      <c r="V60" s="169">
        <f t="shared" si="7"/>
        <v>10.826735407843861</v>
      </c>
      <c r="W60" s="170">
        <v>0.4</v>
      </c>
      <c r="X60" s="171">
        <f t="shared" si="12"/>
        <v>0.39787545787545786</v>
      </c>
      <c r="Y60" s="171">
        <f t="shared" si="3"/>
        <v>4.6492800000000001</v>
      </c>
      <c r="Z60" s="171">
        <f t="shared" si="3"/>
        <v>5.2137599999999997</v>
      </c>
      <c r="AA60" s="171">
        <f t="shared" si="3"/>
        <v>0</v>
      </c>
      <c r="AB60" s="171">
        <f t="shared" si="4"/>
        <v>0</v>
      </c>
      <c r="AC60" s="171">
        <f t="shared" si="2"/>
        <v>10.826735407843861</v>
      </c>
      <c r="AD60" s="163">
        <v>31</v>
      </c>
      <c r="AE60" s="171">
        <f t="shared" ref="AE60:AE72" si="13">Y60*AD60</f>
        <v>144.12768</v>
      </c>
      <c r="AF60" s="172"/>
    </row>
    <row r="61" spans="1:32" ht="15.75" customHeight="1" x14ac:dyDescent="0.2">
      <c r="A61" s="163">
        <v>48</v>
      </c>
      <c r="B61" s="164" t="s">
        <v>61</v>
      </c>
      <c r="C61" s="163" t="s">
        <v>46</v>
      </c>
      <c r="D61" s="165">
        <v>667.18</v>
      </c>
      <c r="E61" s="163" t="s">
        <v>96</v>
      </c>
      <c r="F61" s="163">
        <v>177.8</v>
      </c>
      <c r="G61" s="163" t="s">
        <v>28</v>
      </c>
      <c r="H61" s="165" t="s">
        <v>52</v>
      </c>
      <c r="I61" s="158">
        <v>534.21</v>
      </c>
      <c r="J61" s="163">
        <v>135</v>
      </c>
      <c r="K61" s="163"/>
      <c r="L61" s="163">
        <v>395</v>
      </c>
      <c r="M61" s="163"/>
      <c r="N61" s="163">
        <v>8.6</v>
      </c>
      <c r="O61" s="163"/>
      <c r="P61" s="182">
        <v>23.98783656701762</v>
      </c>
      <c r="Q61" s="171">
        <f t="shared" si="8"/>
        <v>29.7</v>
      </c>
      <c r="R61" s="170">
        <v>9.6929999999999996</v>
      </c>
      <c r="S61" s="168">
        <v>15.922000000000001</v>
      </c>
      <c r="T61" s="171">
        <v>195</v>
      </c>
      <c r="U61" s="171">
        <f t="shared" si="11"/>
        <v>20.117610646858559</v>
      </c>
      <c r="V61" s="169">
        <f t="shared" si="7"/>
        <v>39.121969601808821</v>
      </c>
      <c r="W61" s="170">
        <v>0.3</v>
      </c>
      <c r="X61" s="171">
        <f t="shared" si="12"/>
        <v>0.53609427609427618</v>
      </c>
      <c r="Y61" s="171">
        <f t="shared" si="3"/>
        <v>9.3052799999999998</v>
      </c>
      <c r="Z61" s="171">
        <f t="shared" si="3"/>
        <v>15.285119999999999</v>
      </c>
      <c r="AA61" s="171">
        <f t="shared" si="3"/>
        <v>187.2</v>
      </c>
      <c r="AB61" s="171">
        <f t="shared" si="4"/>
        <v>20.117610646858559</v>
      </c>
      <c r="AC61" s="171">
        <v>67</v>
      </c>
      <c r="AD61" s="163">
        <v>31</v>
      </c>
      <c r="AE61" s="171">
        <f t="shared" si="13"/>
        <v>288.46368000000001</v>
      </c>
      <c r="AF61" s="190"/>
    </row>
    <row r="62" spans="1:32" ht="15.75" customHeight="1" x14ac:dyDescent="0.2">
      <c r="A62" s="163">
        <v>49</v>
      </c>
      <c r="B62" s="164" t="s">
        <v>64</v>
      </c>
      <c r="C62" s="163" t="s">
        <v>46</v>
      </c>
      <c r="D62" s="165">
        <v>672.5</v>
      </c>
      <c r="E62" s="163" t="s">
        <v>234</v>
      </c>
      <c r="F62" s="163">
        <v>177.8</v>
      </c>
      <c r="G62" s="163" t="s">
        <v>28</v>
      </c>
      <c r="H62" s="165" t="s">
        <v>49</v>
      </c>
      <c r="I62" s="158">
        <v>533.70000000000005</v>
      </c>
      <c r="J62" s="163">
        <v>360</v>
      </c>
      <c r="K62" s="163"/>
      <c r="L62" s="163">
        <v>437</v>
      </c>
      <c r="M62" s="163"/>
      <c r="N62" s="163">
        <v>7.7</v>
      </c>
      <c r="O62" s="163"/>
      <c r="P62" s="182">
        <v>19.195560121950756</v>
      </c>
      <c r="Q62" s="171">
        <f t="shared" si="8"/>
        <v>115.2</v>
      </c>
      <c r="R62" s="170">
        <v>12.555999999999999</v>
      </c>
      <c r="S62" s="168">
        <v>16.779</v>
      </c>
      <c r="T62" s="171">
        <v>2535</v>
      </c>
      <c r="U62" s="171">
        <f t="shared" si="11"/>
        <v>201.89550812360625</v>
      </c>
      <c r="V62" s="169">
        <f t="shared" si="7"/>
        <v>25.168365218427802</v>
      </c>
      <c r="W62" s="170">
        <v>0.3</v>
      </c>
      <c r="X62" s="171">
        <f t="shared" si="12"/>
        <v>0.14565104166666668</v>
      </c>
      <c r="Y62" s="171">
        <f t="shared" si="3"/>
        <v>12.053759999999999</v>
      </c>
      <c r="Z62" s="171">
        <f t="shared" si="3"/>
        <v>16.107839999999999</v>
      </c>
      <c r="AA62" s="171">
        <f t="shared" si="3"/>
        <v>2433.6</v>
      </c>
      <c r="AB62" s="171">
        <f t="shared" si="4"/>
        <v>201.89550812360625</v>
      </c>
      <c r="AC62" s="171">
        <f t="shared" si="2"/>
        <v>25.168365218427802</v>
      </c>
      <c r="AD62" s="163">
        <v>31</v>
      </c>
      <c r="AE62" s="171">
        <f t="shared" si="13"/>
        <v>373.66655999999995</v>
      </c>
      <c r="AF62" s="179"/>
    </row>
    <row r="63" spans="1:32" ht="15.75" customHeight="1" x14ac:dyDescent="0.2">
      <c r="A63" s="163">
        <v>50</v>
      </c>
      <c r="B63" s="164" t="s">
        <v>156</v>
      </c>
      <c r="C63" s="163" t="s">
        <v>46</v>
      </c>
      <c r="D63" s="165">
        <v>679.54</v>
      </c>
      <c r="E63" s="163" t="s">
        <v>166</v>
      </c>
      <c r="F63" s="163">
        <v>177.8</v>
      </c>
      <c r="G63" s="163" t="s">
        <v>28</v>
      </c>
      <c r="H63" s="165" t="s">
        <v>52</v>
      </c>
      <c r="I63" s="158">
        <v>530.98</v>
      </c>
      <c r="J63" s="163">
        <v>165</v>
      </c>
      <c r="K63" s="163"/>
      <c r="L63" s="163">
        <v>449</v>
      </c>
      <c r="M63" s="163"/>
      <c r="N63" s="163">
        <v>7.9</v>
      </c>
      <c r="O63" s="163"/>
      <c r="P63" s="182">
        <v>18.192812525310401</v>
      </c>
      <c r="Q63" s="171">
        <f t="shared" si="8"/>
        <v>36.299999999999997</v>
      </c>
      <c r="R63" s="170">
        <v>6.306</v>
      </c>
      <c r="S63" s="168">
        <v>9.7940000000000005</v>
      </c>
      <c r="T63" s="171">
        <v>279</v>
      </c>
      <c r="U63" s="171">
        <f t="shared" si="11"/>
        <v>44.243577545195052</v>
      </c>
      <c r="V63" s="169">
        <f t="shared" si="7"/>
        <v>35.613641004696753</v>
      </c>
      <c r="W63" s="170">
        <v>0.3</v>
      </c>
      <c r="X63" s="171">
        <f t="shared" si="12"/>
        <v>0.26980716253443532</v>
      </c>
      <c r="Y63" s="171">
        <f t="shared" si="3"/>
        <v>6.0537599999999996</v>
      </c>
      <c r="Z63" s="171">
        <f t="shared" si="3"/>
        <v>9.4022400000000008</v>
      </c>
      <c r="AA63" s="171">
        <f t="shared" si="3"/>
        <v>267.83999999999997</v>
      </c>
      <c r="AB63" s="171">
        <f t="shared" si="4"/>
        <v>44.243577545195052</v>
      </c>
      <c r="AC63" s="171">
        <f t="shared" si="2"/>
        <v>35.613641004696753</v>
      </c>
      <c r="AD63" s="163">
        <v>31</v>
      </c>
      <c r="AE63" s="171">
        <f t="shared" si="13"/>
        <v>187.66655999999998</v>
      </c>
      <c r="AF63" s="179"/>
    </row>
    <row r="64" spans="1:32" ht="15.75" customHeight="1" x14ac:dyDescent="0.2">
      <c r="A64" s="163">
        <v>51</v>
      </c>
      <c r="B64" s="164" t="s">
        <v>169</v>
      </c>
      <c r="C64" s="163" t="s">
        <v>46</v>
      </c>
      <c r="D64" s="165">
        <v>673</v>
      </c>
      <c r="E64" s="163" t="s">
        <v>170</v>
      </c>
      <c r="F64" s="163">
        <v>177.8</v>
      </c>
      <c r="G64" s="163" t="s">
        <v>28</v>
      </c>
      <c r="H64" s="165" t="s">
        <v>52</v>
      </c>
      <c r="I64" s="158">
        <v>541.48</v>
      </c>
      <c r="J64" s="163">
        <v>125</v>
      </c>
      <c r="K64" s="163"/>
      <c r="L64" s="163">
        <v>421</v>
      </c>
      <c r="M64" s="163"/>
      <c r="N64" s="163">
        <v>3.8</v>
      </c>
      <c r="O64" s="163"/>
      <c r="P64" s="182">
        <v>17.813719579476537</v>
      </c>
      <c r="Q64" s="171">
        <f t="shared" si="8"/>
        <v>27.5</v>
      </c>
      <c r="R64" s="170">
        <v>6.0170000000000003</v>
      </c>
      <c r="S64" s="168">
        <v>7.5820000000000007</v>
      </c>
      <c r="T64" s="171">
        <v>65</v>
      </c>
      <c r="U64" s="171">
        <f t="shared" si="11"/>
        <v>10.802725610769485</v>
      </c>
      <c r="V64" s="169">
        <f t="shared" si="7"/>
        <v>20.640991822738066</v>
      </c>
      <c r="W64" s="170">
        <v>0.5</v>
      </c>
      <c r="X64" s="171">
        <f t="shared" si="12"/>
        <v>0.27570909090909096</v>
      </c>
      <c r="Y64" s="171">
        <f t="shared" si="3"/>
        <v>5.7763200000000001</v>
      </c>
      <c r="Z64" s="171">
        <f t="shared" si="3"/>
        <v>7.2787200000000007</v>
      </c>
      <c r="AA64" s="171">
        <f t="shared" si="3"/>
        <v>62.4</v>
      </c>
      <c r="AB64" s="171">
        <f t="shared" si="4"/>
        <v>10.802725610769485</v>
      </c>
      <c r="AC64" s="171">
        <f t="shared" si="2"/>
        <v>20.640991822738066</v>
      </c>
      <c r="AD64" s="163">
        <v>31</v>
      </c>
      <c r="AE64" s="171">
        <f>Y64*AD64</f>
        <v>179.06592000000001</v>
      </c>
      <c r="AF64" s="179"/>
    </row>
    <row r="65" spans="1:32" ht="15.75" customHeight="1" x14ac:dyDescent="0.2">
      <c r="A65" s="163">
        <v>52</v>
      </c>
      <c r="B65" s="164" t="s">
        <v>62</v>
      </c>
      <c r="C65" s="163" t="s">
        <v>46</v>
      </c>
      <c r="D65" s="165">
        <v>673.73</v>
      </c>
      <c r="E65" s="163" t="s">
        <v>97</v>
      </c>
      <c r="F65" s="163">
        <v>177.8</v>
      </c>
      <c r="G65" s="163" t="s">
        <v>28</v>
      </c>
      <c r="H65" s="165" t="s">
        <v>218</v>
      </c>
      <c r="I65" s="158">
        <v>543</v>
      </c>
      <c r="J65" s="166">
        <v>110</v>
      </c>
      <c r="K65" s="166"/>
      <c r="L65" s="166">
        <v>446</v>
      </c>
      <c r="M65" s="166"/>
      <c r="N65" s="166">
        <v>8.6</v>
      </c>
      <c r="O65" s="163"/>
      <c r="P65" s="182">
        <v>19.634523592763998</v>
      </c>
      <c r="Q65" s="171">
        <f t="shared" si="8"/>
        <v>35.200000000000003</v>
      </c>
      <c r="R65" s="170">
        <v>8.6590000000000007</v>
      </c>
      <c r="S65" s="168">
        <v>11.217000000000001</v>
      </c>
      <c r="T65" s="171">
        <v>217</v>
      </c>
      <c r="U65" s="171">
        <f t="shared" si="6"/>
        <v>25.060630557801129</v>
      </c>
      <c r="V65" s="169">
        <f t="shared" si="7"/>
        <v>22.804671480788087</v>
      </c>
      <c r="W65" s="170">
        <v>0.3</v>
      </c>
      <c r="X65" s="171">
        <f t="shared" si="12"/>
        <v>0.31866477272727273</v>
      </c>
      <c r="Y65" s="171">
        <f t="shared" si="3"/>
        <v>8.31264</v>
      </c>
      <c r="Z65" s="171">
        <f t="shared" si="3"/>
        <v>10.768319999999999</v>
      </c>
      <c r="AA65" s="171">
        <f t="shared" si="3"/>
        <v>208.32</v>
      </c>
      <c r="AB65" s="171">
        <f t="shared" si="4"/>
        <v>25.060630557801129</v>
      </c>
      <c r="AC65" s="171">
        <f t="shared" si="2"/>
        <v>22.804671480788087</v>
      </c>
      <c r="AD65" s="163">
        <v>31</v>
      </c>
      <c r="AE65" s="171">
        <f t="shared" si="13"/>
        <v>257.69184000000001</v>
      </c>
      <c r="AF65" s="172"/>
    </row>
    <row r="66" spans="1:32" ht="15.75" customHeight="1" x14ac:dyDescent="0.2">
      <c r="A66" s="163">
        <v>53</v>
      </c>
      <c r="B66" s="164" t="s">
        <v>157</v>
      </c>
      <c r="C66" s="163" t="s">
        <v>46</v>
      </c>
      <c r="D66" s="165">
        <v>676.73</v>
      </c>
      <c r="E66" s="163" t="s">
        <v>179</v>
      </c>
      <c r="F66" s="163">
        <v>177.8</v>
      </c>
      <c r="G66" s="163" t="s">
        <v>28</v>
      </c>
      <c r="H66" s="165" t="s">
        <v>218</v>
      </c>
      <c r="I66" s="158">
        <v>579.14</v>
      </c>
      <c r="J66" s="163">
        <v>140</v>
      </c>
      <c r="K66" s="163"/>
      <c r="L66" s="163">
        <v>172</v>
      </c>
      <c r="M66" s="163"/>
      <c r="N66" s="163">
        <v>5.4</v>
      </c>
      <c r="O66" s="163"/>
      <c r="P66" s="182">
        <v>42.127560867193814</v>
      </c>
      <c r="Q66" s="171">
        <f t="shared" si="8"/>
        <v>44.8</v>
      </c>
      <c r="R66" s="170">
        <v>14.347</v>
      </c>
      <c r="S66" s="168">
        <v>36.591000000000001</v>
      </c>
      <c r="T66" s="171">
        <v>251</v>
      </c>
      <c r="U66" s="171">
        <f t="shared" si="6"/>
        <v>17.494946678748171</v>
      </c>
      <c r="V66" s="169">
        <f t="shared" si="7"/>
        <v>60.790904867317096</v>
      </c>
      <c r="W66" s="170">
        <v>0.4</v>
      </c>
      <c r="X66" s="171">
        <f t="shared" si="12"/>
        <v>0.81676339285714294</v>
      </c>
      <c r="Y66" s="171">
        <f t="shared" si="3"/>
        <v>13.773119999999999</v>
      </c>
      <c r="Z66" s="171">
        <f t="shared" si="3"/>
        <v>35.127360000000003</v>
      </c>
      <c r="AA66" s="171">
        <f t="shared" si="3"/>
        <v>240.95999999999998</v>
      </c>
      <c r="AB66" s="171">
        <f t="shared" si="4"/>
        <v>17.494946678748171</v>
      </c>
      <c r="AC66" s="171">
        <v>30</v>
      </c>
      <c r="AD66" s="163">
        <v>31</v>
      </c>
      <c r="AE66" s="171">
        <f t="shared" si="13"/>
        <v>426.96671999999995</v>
      </c>
      <c r="AF66" s="321"/>
    </row>
    <row r="67" spans="1:32" ht="15.75" customHeight="1" x14ac:dyDescent="0.2">
      <c r="A67" s="163">
        <v>54</v>
      </c>
      <c r="B67" s="164" t="s">
        <v>159</v>
      </c>
      <c r="C67" s="163" t="s">
        <v>46</v>
      </c>
      <c r="D67" s="165">
        <v>676</v>
      </c>
      <c r="E67" s="163" t="s">
        <v>167</v>
      </c>
      <c r="F67" s="163">
        <v>177.8</v>
      </c>
      <c r="G67" s="163" t="s">
        <v>28</v>
      </c>
      <c r="H67" s="165" t="s">
        <v>218</v>
      </c>
      <c r="I67" s="158">
        <v>508.57</v>
      </c>
      <c r="J67" s="163">
        <v>85</v>
      </c>
      <c r="K67" s="163"/>
      <c r="L67" s="163">
        <v>103</v>
      </c>
      <c r="M67" s="163"/>
      <c r="N67" s="163">
        <v>3.2</v>
      </c>
      <c r="O67" s="163"/>
      <c r="P67" s="182">
        <v>38.799999999999997</v>
      </c>
      <c r="Q67" s="171">
        <f t="shared" si="8"/>
        <v>27.2</v>
      </c>
      <c r="R67" s="170">
        <v>17.7</v>
      </c>
      <c r="S67" s="168">
        <v>23.1</v>
      </c>
      <c r="T67" s="171">
        <v>426</v>
      </c>
      <c r="U67" s="171">
        <f t="shared" si="6"/>
        <v>24.067796610169491</v>
      </c>
      <c r="V67" s="169">
        <v>23.26</v>
      </c>
      <c r="W67" s="170">
        <v>0.3</v>
      </c>
      <c r="X67" s="171">
        <f t="shared" si="12"/>
        <v>0.84926470588235303</v>
      </c>
      <c r="Y67" s="171">
        <f t="shared" si="3"/>
        <v>16.991999999999997</v>
      </c>
      <c r="Z67" s="171">
        <f t="shared" si="3"/>
        <v>22.176000000000002</v>
      </c>
      <c r="AA67" s="171">
        <f t="shared" si="3"/>
        <v>408.96</v>
      </c>
      <c r="AB67" s="171">
        <f t="shared" si="4"/>
        <v>24.067796610169491</v>
      </c>
      <c r="AC67" s="171">
        <v>14.18</v>
      </c>
      <c r="AD67" s="163">
        <v>31</v>
      </c>
      <c r="AE67" s="171">
        <f t="shared" si="13"/>
        <v>526.75199999999995</v>
      </c>
      <c r="AF67" s="172"/>
    </row>
    <row r="68" spans="1:32" ht="15.75" customHeight="1" x14ac:dyDescent="0.2">
      <c r="A68" s="163">
        <v>55</v>
      </c>
      <c r="B68" s="164" t="s">
        <v>210</v>
      </c>
      <c r="C68" s="163" t="s">
        <v>46</v>
      </c>
      <c r="D68" s="165">
        <v>728.32</v>
      </c>
      <c r="E68" s="163" t="s">
        <v>226</v>
      </c>
      <c r="F68" s="163">
        <v>177.8</v>
      </c>
      <c r="G68" s="163" t="s">
        <v>28</v>
      </c>
      <c r="H68" s="165" t="s">
        <v>218</v>
      </c>
      <c r="I68" s="158">
        <v>519.38</v>
      </c>
      <c r="J68" s="163">
        <v>180</v>
      </c>
      <c r="K68" s="163"/>
      <c r="L68" s="163">
        <v>416</v>
      </c>
      <c r="M68" s="163"/>
      <c r="N68" s="163">
        <v>9.5</v>
      </c>
      <c r="O68" s="163"/>
      <c r="P68" s="182">
        <v>20.935004155827521</v>
      </c>
      <c r="Q68" s="171">
        <f t="shared" si="8"/>
        <v>57.6</v>
      </c>
      <c r="R68" s="170">
        <v>19.989999999999998</v>
      </c>
      <c r="S68" s="168">
        <v>22.259</v>
      </c>
      <c r="T68" s="171">
        <v>847</v>
      </c>
      <c r="U68" s="171">
        <f t="shared" si="6"/>
        <v>42.371185592796401</v>
      </c>
      <c r="V68" s="169">
        <f t="shared" si="7"/>
        <v>10.193629543106168</v>
      </c>
      <c r="W68" s="170">
        <v>0.5</v>
      </c>
      <c r="X68" s="171">
        <f t="shared" si="12"/>
        <v>0.38644097222222223</v>
      </c>
      <c r="Y68" s="171">
        <f t="shared" si="3"/>
        <v>19.190399999999997</v>
      </c>
      <c r="Z68" s="171">
        <f t="shared" si="3"/>
        <v>21.368639999999999</v>
      </c>
      <c r="AA68" s="171">
        <f t="shared" si="3"/>
        <v>813.12</v>
      </c>
      <c r="AB68" s="171">
        <f t="shared" si="4"/>
        <v>42.371185592796401</v>
      </c>
      <c r="AC68" s="171">
        <f t="shared" si="2"/>
        <v>10.193629543106168</v>
      </c>
      <c r="AD68" s="163">
        <v>31</v>
      </c>
      <c r="AE68" s="171">
        <f t="shared" si="13"/>
        <v>594.90239999999994</v>
      </c>
      <c r="AF68" s="179"/>
    </row>
    <row r="69" spans="1:32" ht="15.75" customHeight="1" x14ac:dyDescent="0.2">
      <c r="A69" s="163">
        <v>56</v>
      </c>
      <c r="B69" s="164" t="s">
        <v>63</v>
      </c>
      <c r="C69" s="163" t="s">
        <v>46</v>
      </c>
      <c r="D69" s="165">
        <v>672.99</v>
      </c>
      <c r="E69" s="163" t="s">
        <v>98</v>
      </c>
      <c r="F69" s="163">
        <v>177.8</v>
      </c>
      <c r="G69" s="163" t="s">
        <v>28</v>
      </c>
      <c r="H69" s="165" t="s">
        <v>49</v>
      </c>
      <c r="I69" s="158">
        <v>540.61</v>
      </c>
      <c r="J69" s="163">
        <v>325</v>
      </c>
      <c r="K69" s="163"/>
      <c r="L69" s="163">
        <v>438</v>
      </c>
      <c r="M69" s="163"/>
      <c r="N69" s="163">
        <v>8.4</v>
      </c>
      <c r="O69" s="163"/>
      <c r="P69" s="182">
        <v>19.696525533297507</v>
      </c>
      <c r="Q69" s="171">
        <f t="shared" si="8"/>
        <v>104</v>
      </c>
      <c r="R69" s="170">
        <v>15.353999999999999</v>
      </c>
      <c r="S69" s="168">
        <v>16.305</v>
      </c>
      <c r="T69" s="171">
        <v>2027</v>
      </c>
      <c r="U69" s="171">
        <f t="shared" si="6"/>
        <v>132.01771525335417</v>
      </c>
      <c r="V69" s="169">
        <f t="shared" si="7"/>
        <v>5.8325666973321102</v>
      </c>
      <c r="W69" s="170">
        <v>0.6</v>
      </c>
      <c r="X69" s="171">
        <f t="shared" si="12"/>
        <v>0.15677884615384616</v>
      </c>
      <c r="Y69" s="171">
        <f t="shared" si="3"/>
        <v>14.739839999999999</v>
      </c>
      <c r="Z69" s="171">
        <f t="shared" si="3"/>
        <v>15.652799999999999</v>
      </c>
      <c r="AA69" s="171">
        <f t="shared" si="3"/>
        <v>1945.9199999999998</v>
      </c>
      <c r="AB69" s="171">
        <f t="shared" si="4"/>
        <v>132.01771525335417</v>
      </c>
      <c r="AC69" s="171">
        <f t="shared" si="2"/>
        <v>5.8325666973321102</v>
      </c>
      <c r="AD69" s="163">
        <v>31</v>
      </c>
      <c r="AE69" s="171">
        <f t="shared" si="13"/>
        <v>456.93503999999996</v>
      </c>
      <c r="AF69" s="179"/>
    </row>
    <row r="70" spans="1:32" ht="15.75" customHeight="1" x14ac:dyDescent="0.2">
      <c r="A70" s="163">
        <v>57</v>
      </c>
      <c r="B70" s="164" t="s">
        <v>217</v>
      </c>
      <c r="C70" s="163" t="s">
        <v>46</v>
      </c>
      <c r="D70" s="165">
        <v>684.57</v>
      </c>
      <c r="E70" s="163" t="s">
        <v>223</v>
      </c>
      <c r="F70" s="163">
        <v>177.8</v>
      </c>
      <c r="G70" s="163" t="s">
        <v>28</v>
      </c>
      <c r="H70" s="165" t="s">
        <v>219</v>
      </c>
      <c r="I70" s="158">
        <v>553.94000000000005</v>
      </c>
      <c r="J70" s="163">
        <v>85</v>
      </c>
      <c r="K70" s="163"/>
      <c r="L70" s="163">
        <v>271</v>
      </c>
      <c r="M70" s="163"/>
      <c r="N70" s="163">
        <v>10.3</v>
      </c>
      <c r="O70" s="163"/>
      <c r="P70" s="182">
        <v>40.5492015230774</v>
      </c>
      <c r="Q70" s="171">
        <f t="shared" si="8"/>
        <v>10.199999999999999</v>
      </c>
      <c r="R70" s="170">
        <v>0.93600000000000005</v>
      </c>
      <c r="S70" s="168">
        <v>8.3529999999999998</v>
      </c>
      <c r="T70" s="171">
        <v>0</v>
      </c>
      <c r="U70" s="171">
        <f t="shared" si="6"/>
        <v>0</v>
      </c>
      <c r="V70" s="169">
        <f t="shared" si="7"/>
        <v>88.794445109541485</v>
      </c>
      <c r="W70" s="170">
        <v>0.8</v>
      </c>
      <c r="X70" s="171">
        <f t="shared" si="12"/>
        <v>0.81892156862745102</v>
      </c>
      <c r="Y70" s="171">
        <f t="shared" si="3"/>
        <v>0.89856000000000003</v>
      </c>
      <c r="Z70" s="171">
        <f t="shared" si="3"/>
        <v>8.0188799999999993</v>
      </c>
      <c r="AA70" s="171">
        <f t="shared" si="3"/>
        <v>0</v>
      </c>
      <c r="AB70" s="171">
        <v>0</v>
      </c>
      <c r="AC70" s="171">
        <f t="shared" si="2"/>
        <v>88.794445109541485</v>
      </c>
      <c r="AD70" s="163">
        <v>31</v>
      </c>
      <c r="AE70" s="171">
        <f t="shared" si="13"/>
        <v>27.855360000000001</v>
      </c>
      <c r="AF70" s="179"/>
    </row>
    <row r="71" spans="1:32" ht="15.75" customHeight="1" x14ac:dyDescent="0.2">
      <c r="A71" s="163">
        <v>58</v>
      </c>
      <c r="B71" s="164" t="s">
        <v>211</v>
      </c>
      <c r="C71" s="163" t="s">
        <v>46</v>
      </c>
      <c r="D71" s="165">
        <v>683.16</v>
      </c>
      <c r="E71" s="163" t="s">
        <v>224</v>
      </c>
      <c r="F71" s="163">
        <v>177.8</v>
      </c>
      <c r="G71" s="163" t="s">
        <v>28</v>
      </c>
      <c r="H71" s="165" t="s">
        <v>52</v>
      </c>
      <c r="I71" s="158">
        <v>560.29</v>
      </c>
      <c r="J71" s="163">
        <v>110</v>
      </c>
      <c r="K71" s="163"/>
      <c r="L71" s="163">
        <v>437</v>
      </c>
      <c r="M71" s="163"/>
      <c r="N71" s="163">
        <v>2.6</v>
      </c>
      <c r="O71" s="163"/>
      <c r="P71" s="182">
        <v>15.623203132342121</v>
      </c>
      <c r="Q71" s="171">
        <f t="shared" si="8"/>
        <v>24.2</v>
      </c>
      <c r="R71" s="170">
        <v>3.6760000000000002</v>
      </c>
      <c r="S71" s="168">
        <v>4.5259999999999998</v>
      </c>
      <c r="T71" s="171">
        <v>38</v>
      </c>
      <c r="U71" s="171">
        <f t="shared" si="6"/>
        <v>10.337323177366702</v>
      </c>
      <c r="V71" s="169">
        <f t="shared" si="7"/>
        <v>18.78038002651347</v>
      </c>
      <c r="W71" s="170">
        <v>0.3</v>
      </c>
      <c r="X71" s="171">
        <f t="shared" si="12"/>
        <v>0.18702479338842976</v>
      </c>
      <c r="Y71" s="171">
        <f t="shared" si="3"/>
        <v>3.5289600000000001</v>
      </c>
      <c r="Z71" s="171">
        <f t="shared" si="3"/>
        <v>4.3449599999999995</v>
      </c>
      <c r="AA71" s="171">
        <f t="shared" si="3"/>
        <v>36.479999999999997</v>
      </c>
      <c r="AB71" s="171">
        <f t="shared" si="4"/>
        <v>10.337323177366702</v>
      </c>
      <c r="AC71" s="171">
        <f t="shared" si="2"/>
        <v>18.78038002651347</v>
      </c>
      <c r="AD71" s="163">
        <v>31</v>
      </c>
      <c r="AE71" s="171">
        <f t="shared" si="13"/>
        <v>109.39776000000001</v>
      </c>
      <c r="AF71" s="179"/>
    </row>
    <row r="72" spans="1:32" ht="15.75" customHeight="1" x14ac:dyDescent="0.2">
      <c r="A72" s="163">
        <v>59</v>
      </c>
      <c r="B72" s="164" t="s">
        <v>213</v>
      </c>
      <c r="C72" s="163" t="s">
        <v>46</v>
      </c>
      <c r="D72" s="165">
        <v>679.2</v>
      </c>
      <c r="E72" s="283" t="s">
        <v>225</v>
      </c>
      <c r="F72" s="163">
        <v>177.8</v>
      </c>
      <c r="G72" s="163" t="s">
        <v>28</v>
      </c>
      <c r="H72" s="165" t="s">
        <v>48</v>
      </c>
      <c r="I72" s="158">
        <v>559.19000000000005</v>
      </c>
      <c r="J72" s="163">
        <v>100</v>
      </c>
      <c r="K72" s="163"/>
      <c r="L72" s="163">
        <v>462</v>
      </c>
      <c r="M72" s="163"/>
      <c r="N72" s="163">
        <v>2.1</v>
      </c>
      <c r="O72" s="163"/>
      <c r="P72" s="182">
        <v>12.988734030664274</v>
      </c>
      <c r="Q72" s="171">
        <f t="shared" si="8"/>
        <v>13</v>
      </c>
      <c r="R72" s="170">
        <v>2.7639999999999998</v>
      </c>
      <c r="S72" s="168">
        <v>3.0910000000000002</v>
      </c>
      <c r="T72" s="171">
        <v>7</v>
      </c>
      <c r="U72" s="171">
        <f t="shared" si="6"/>
        <v>2.5325615050651233</v>
      </c>
      <c r="V72" s="169">
        <f t="shared" si="7"/>
        <v>10.579100614687816</v>
      </c>
      <c r="W72" s="170">
        <v>0.3</v>
      </c>
      <c r="X72" s="171">
        <f t="shared" si="12"/>
        <v>0.23776923076923079</v>
      </c>
      <c r="Y72" s="171">
        <f t="shared" si="3"/>
        <v>2.6534399999999998</v>
      </c>
      <c r="Z72" s="171">
        <f t="shared" si="3"/>
        <v>2.9673600000000002</v>
      </c>
      <c r="AA72" s="171">
        <f t="shared" si="3"/>
        <v>6.72</v>
      </c>
      <c r="AB72" s="171">
        <f t="shared" si="4"/>
        <v>2.5325615050651233</v>
      </c>
      <c r="AC72" s="171">
        <f t="shared" si="2"/>
        <v>10.579100614687816</v>
      </c>
      <c r="AD72" s="163">
        <v>31</v>
      </c>
      <c r="AE72" s="171">
        <f t="shared" si="13"/>
        <v>82.25663999999999</v>
      </c>
      <c r="AF72" s="179"/>
    </row>
    <row r="73" spans="1:32" ht="15.75" customHeight="1" x14ac:dyDescent="0.2">
      <c r="A73" s="163">
        <v>60</v>
      </c>
      <c r="B73" s="164" t="s">
        <v>172</v>
      </c>
      <c r="C73" s="163" t="s">
        <v>46</v>
      </c>
      <c r="D73" s="165">
        <v>673</v>
      </c>
      <c r="E73" s="163" t="s">
        <v>173</v>
      </c>
      <c r="F73" s="163">
        <v>177.8</v>
      </c>
      <c r="G73" s="163" t="s">
        <v>28</v>
      </c>
      <c r="H73" s="165" t="s">
        <v>50</v>
      </c>
      <c r="I73" s="158">
        <v>560.79</v>
      </c>
      <c r="J73" s="163">
        <v>150</v>
      </c>
      <c r="K73" s="163"/>
      <c r="L73" s="163">
        <v>324</v>
      </c>
      <c r="M73" s="163"/>
      <c r="N73" s="163">
        <v>7.8</v>
      </c>
      <c r="O73" s="163"/>
      <c r="P73" s="160">
        <v>32.356088525823893</v>
      </c>
      <c r="Q73" s="171">
        <f>LEFT(H73,(FIND("K",H73,1)-1))*J73/100</f>
        <v>9</v>
      </c>
      <c r="R73" s="170">
        <v>1.228</v>
      </c>
      <c r="S73" s="168">
        <v>1.2130000000000001</v>
      </c>
      <c r="T73" s="171">
        <v>0</v>
      </c>
      <c r="U73" s="171">
        <f t="shared" si="6"/>
        <v>0</v>
      </c>
      <c r="V73" s="169">
        <f t="shared" si="7"/>
        <v>-1.2366034624896869</v>
      </c>
      <c r="W73" s="170">
        <v>0.5</v>
      </c>
      <c r="X73" s="171">
        <f t="shared" si="12"/>
        <v>0.13477777777777777</v>
      </c>
      <c r="Y73" s="171">
        <f t="shared" si="3"/>
        <v>1.1788799999999999</v>
      </c>
      <c r="Z73" s="171">
        <f t="shared" si="3"/>
        <v>1.16448</v>
      </c>
      <c r="AA73" s="171">
        <f t="shared" si="3"/>
        <v>0</v>
      </c>
      <c r="AB73" s="171">
        <f t="shared" si="4"/>
        <v>0</v>
      </c>
      <c r="AC73" s="171">
        <f t="shared" si="2"/>
        <v>-1.2366034624896869</v>
      </c>
      <c r="AD73" s="163">
        <v>31</v>
      </c>
      <c r="AE73" s="171">
        <f>Y73*AD73</f>
        <v>36.545279999999998</v>
      </c>
      <c r="AF73" s="179"/>
    </row>
    <row r="74" spans="1:32" ht="15.75" customHeight="1" x14ac:dyDescent="0.2">
      <c r="A74" s="163">
        <v>61</v>
      </c>
      <c r="B74" s="219" t="s">
        <v>171</v>
      </c>
      <c r="C74" s="163" t="s">
        <v>46</v>
      </c>
      <c r="D74" s="188">
        <v>646</v>
      </c>
      <c r="E74" s="188" t="s">
        <v>191</v>
      </c>
      <c r="F74" s="163">
        <v>177.8</v>
      </c>
      <c r="G74" s="163" t="s">
        <v>28</v>
      </c>
      <c r="H74" s="165" t="s">
        <v>48</v>
      </c>
      <c r="I74" s="158">
        <v>570.15</v>
      </c>
      <c r="J74" s="158">
        <v>100</v>
      </c>
      <c r="K74" s="158"/>
      <c r="L74" s="158">
        <v>215</v>
      </c>
      <c r="M74" s="158"/>
      <c r="N74" s="163">
        <v>2.1</v>
      </c>
      <c r="O74" s="158"/>
      <c r="P74" s="284">
        <v>38.016885472945908</v>
      </c>
      <c r="Q74" s="174">
        <f>LEFT(H74,(FIND("K",H74,1)-1))*J74/100</f>
        <v>13</v>
      </c>
      <c r="R74" s="170">
        <v>0.41699999999999998</v>
      </c>
      <c r="S74" s="168">
        <v>1.6</v>
      </c>
      <c r="T74" s="174">
        <v>0</v>
      </c>
      <c r="U74" s="171">
        <f t="shared" si="6"/>
        <v>0</v>
      </c>
      <c r="V74" s="169">
        <f t="shared" si="7"/>
        <v>73.9375</v>
      </c>
      <c r="W74" s="170">
        <v>0.4</v>
      </c>
      <c r="X74" s="171">
        <f t="shared" si="12"/>
        <v>0.12307692307692308</v>
      </c>
      <c r="Y74" s="171">
        <f t="shared" si="3"/>
        <v>0.40031999999999995</v>
      </c>
      <c r="Z74" s="171">
        <f t="shared" si="3"/>
        <v>1.536</v>
      </c>
      <c r="AA74" s="171">
        <f t="shared" si="3"/>
        <v>0</v>
      </c>
      <c r="AB74" s="171">
        <f t="shared" si="4"/>
        <v>0</v>
      </c>
      <c r="AC74" s="171">
        <f t="shared" si="2"/>
        <v>73.9375</v>
      </c>
      <c r="AD74" s="163">
        <v>31</v>
      </c>
      <c r="AE74" s="171">
        <f>Y74*AD74</f>
        <v>12.409919999999998</v>
      </c>
      <c r="AF74" s="172"/>
    </row>
    <row r="75" spans="1:32" ht="15.75" x14ac:dyDescent="0.2">
      <c r="A75" s="305"/>
      <c r="B75" s="1834"/>
      <c r="C75" s="1834"/>
      <c r="D75" s="1834"/>
      <c r="E75" s="1835"/>
      <c r="F75" s="175"/>
      <c r="G75" s="163"/>
      <c r="H75" s="165"/>
      <c r="I75" s="171"/>
      <c r="J75" s="163"/>
      <c r="K75" s="175"/>
      <c r="L75" s="163"/>
      <c r="M75" s="175"/>
      <c r="N75" s="182"/>
      <c r="O75" s="175"/>
      <c r="P75" s="182"/>
      <c r="Q75" s="209"/>
      <c r="R75" s="209">
        <f>SUM(R14:R74)</f>
        <v>347.21299999999997</v>
      </c>
      <c r="S75" s="209">
        <f>SUM(S14:S74)</f>
        <v>562.02099999999984</v>
      </c>
      <c r="T75" s="209">
        <f>SUM(T14:T74)</f>
        <v>18811</v>
      </c>
      <c r="U75" s="209">
        <f>T75/R75</f>
        <v>54.177118944279165</v>
      </c>
      <c r="V75" s="209"/>
      <c r="W75" s="209"/>
      <c r="X75" s="209"/>
      <c r="Y75" s="209">
        <f>SUM(Y14:Y74)</f>
        <v>333.32448000000005</v>
      </c>
      <c r="Z75" s="209">
        <f>SUM(Z14:Z74)</f>
        <v>539.5401599999999</v>
      </c>
      <c r="AA75" s="209">
        <f>SUM(AA14:AA74)</f>
        <v>18058.560000000005</v>
      </c>
      <c r="AB75" s="209">
        <f>AA75/Y75</f>
        <v>54.177118944279165</v>
      </c>
      <c r="AC75" s="209"/>
      <c r="AD75" s="209"/>
      <c r="AE75" s="210">
        <f>SUM(AE14:AE74)</f>
        <v>10333.058879999999</v>
      </c>
      <c r="AF75" s="177"/>
    </row>
    <row r="76" spans="1:32" ht="15.75" x14ac:dyDescent="0.2">
      <c r="A76" s="305"/>
      <c r="B76" s="1836" t="s">
        <v>277</v>
      </c>
      <c r="C76" s="1837"/>
      <c r="D76" s="1837"/>
      <c r="E76" s="1837"/>
      <c r="F76" s="1838"/>
      <c r="G76" s="383"/>
      <c r="H76" s="382"/>
      <c r="I76" s="382"/>
      <c r="J76" s="158"/>
      <c r="K76" s="158"/>
      <c r="L76" s="158"/>
      <c r="M76" s="158"/>
      <c r="N76" s="158"/>
      <c r="O76" s="158"/>
      <c r="P76" s="160"/>
      <c r="Q76" s="174"/>
      <c r="R76" s="158"/>
      <c r="S76" s="174"/>
      <c r="T76" s="158"/>
      <c r="U76" s="388"/>
      <c r="V76" s="383"/>
      <c r="W76" s="383"/>
      <c r="X76" s="157"/>
      <c r="Y76" s="158"/>
      <c r="Z76" s="158"/>
      <c r="AA76" s="158"/>
      <c r="AB76" s="390"/>
      <c r="AC76" s="383"/>
      <c r="AD76" s="158"/>
      <c r="AE76" s="158"/>
      <c r="AF76" s="382"/>
    </row>
    <row r="77" spans="1:32" ht="15.75" customHeight="1" x14ac:dyDescent="0.2">
      <c r="A77" s="216">
        <v>62</v>
      </c>
      <c r="B77" s="163" t="s">
        <v>131</v>
      </c>
      <c r="C77" s="216" t="s">
        <v>177</v>
      </c>
      <c r="D77" s="165">
        <v>389.74</v>
      </c>
      <c r="E77" s="323" t="s">
        <v>136</v>
      </c>
      <c r="F77" s="163">
        <v>177.8</v>
      </c>
      <c r="G77" s="163" t="s">
        <v>28</v>
      </c>
      <c r="H77" s="165" t="s">
        <v>58</v>
      </c>
      <c r="I77" s="158">
        <v>142.80000000000001</v>
      </c>
      <c r="J77" s="163">
        <v>180</v>
      </c>
      <c r="K77" s="163"/>
      <c r="L77" s="163">
        <v>18</v>
      </c>
      <c r="M77" s="163"/>
      <c r="N77" s="163">
        <v>1</v>
      </c>
      <c r="O77" s="163"/>
      <c r="P77" s="182">
        <v>17.104657174004799</v>
      </c>
      <c r="Q77" s="174"/>
      <c r="R77" s="170">
        <v>1.669</v>
      </c>
      <c r="S77" s="171">
        <v>2.5169999999999999</v>
      </c>
      <c r="T77" s="171">
        <v>0</v>
      </c>
      <c r="U77" s="171">
        <f>T77/R77</f>
        <v>0</v>
      </c>
      <c r="V77" s="169">
        <f t="shared" ref="V77:V80" si="14">(S77-R77)/S77*100</f>
        <v>33.690901867302344</v>
      </c>
      <c r="W77" s="170">
        <v>0.3</v>
      </c>
      <c r="X77" s="171"/>
      <c r="Y77" s="171">
        <f t="shared" ref="Y77:Z81" si="15">R77*0.96</f>
        <v>1.6022399999999999</v>
      </c>
      <c r="Z77" s="171">
        <f t="shared" si="15"/>
        <v>2.4163199999999998</v>
      </c>
      <c r="AA77" s="171">
        <f t="shared" ref="AA77:AA82" si="16">T77*0.9494</f>
        <v>0</v>
      </c>
      <c r="AB77" s="171">
        <f t="shared" ref="AB77:AC82" si="17">U77</f>
        <v>0</v>
      </c>
      <c r="AC77" s="171">
        <f t="shared" si="17"/>
        <v>33.690901867302344</v>
      </c>
      <c r="AD77" s="163">
        <v>31</v>
      </c>
      <c r="AE77" s="171">
        <f>Y77*AD77</f>
        <v>49.669439999999994</v>
      </c>
      <c r="AF77" s="179"/>
    </row>
    <row r="78" spans="1:32" ht="15.75" customHeight="1" x14ac:dyDescent="0.2">
      <c r="A78" s="216">
        <v>63</v>
      </c>
      <c r="B78" s="163" t="s">
        <v>132</v>
      </c>
      <c r="C78" s="216" t="s">
        <v>177</v>
      </c>
      <c r="D78" s="163">
        <v>387.72</v>
      </c>
      <c r="E78" s="323" t="s">
        <v>135</v>
      </c>
      <c r="F78" s="163">
        <v>177.8</v>
      </c>
      <c r="G78" s="163" t="s">
        <v>28</v>
      </c>
      <c r="H78" s="165" t="s">
        <v>58</v>
      </c>
      <c r="I78" s="158">
        <v>136.03</v>
      </c>
      <c r="J78" s="163">
        <v>170</v>
      </c>
      <c r="K78" s="163"/>
      <c r="L78" s="163">
        <v>20</v>
      </c>
      <c r="M78" s="163"/>
      <c r="N78" s="163">
        <v>1</v>
      </c>
      <c r="O78" s="163"/>
      <c r="P78" s="182">
        <v>15.751348592282532</v>
      </c>
      <c r="Q78" s="171"/>
      <c r="R78" s="170">
        <v>2.6829999999999998</v>
      </c>
      <c r="S78" s="171">
        <v>4.7289999999999992</v>
      </c>
      <c r="T78" s="171">
        <v>0</v>
      </c>
      <c r="U78" s="171">
        <v>0</v>
      </c>
      <c r="V78" s="169">
        <f t="shared" si="14"/>
        <v>43.264960879678569</v>
      </c>
      <c r="W78" s="170">
        <v>0.4</v>
      </c>
      <c r="X78" s="171"/>
      <c r="Y78" s="171">
        <f t="shared" si="15"/>
        <v>2.5756799999999997</v>
      </c>
      <c r="Z78" s="171">
        <f t="shared" si="15"/>
        <v>4.539839999999999</v>
      </c>
      <c r="AA78" s="171">
        <f t="shared" si="16"/>
        <v>0</v>
      </c>
      <c r="AB78" s="171">
        <v>0</v>
      </c>
      <c r="AC78" s="171">
        <f>V78</f>
        <v>43.264960879678569</v>
      </c>
      <c r="AD78" s="163">
        <v>31</v>
      </c>
      <c r="AE78" s="171">
        <f>Y78*AD78</f>
        <v>79.846079999999986</v>
      </c>
      <c r="AF78" s="190"/>
    </row>
    <row r="79" spans="1:32" ht="15.75" customHeight="1" x14ac:dyDescent="0.2">
      <c r="A79" s="216">
        <v>64</v>
      </c>
      <c r="B79" s="163" t="s">
        <v>121</v>
      </c>
      <c r="C79" s="216" t="s">
        <v>177</v>
      </c>
      <c r="D79" s="163">
        <v>389.57</v>
      </c>
      <c r="E79" s="163" t="s">
        <v>137</v>
      </c>
      <c r="F79" s="163">
        <v>177.8</v>
      </c>
      <c r="G79" s="163" t="s">
        <v>28</v>
      </c>
      <c r="H79" s="165" t="s">
        <v>58</v>
      </c>
      <c r="I79" s="158">
        <v>120.43</v>
      </c>
      <c r="J79" s="163">
        <v>0</v>
      </c>
      <c r="K79" s="163"/>
      <c r="L79" s="163"/>
      <c r="M79" s="163"/>
      <c r="N79" s="163"/>
      <c r="O79" s="163"/>
      <c r="P79" s="182"/>
      <c r="Q79" s="171"/>
      <c r="R79" s="170"/>
      <c r="S79" s="171"/>
      <c r="T79" s="171"/>
      <c r="U79" s="171"/>
      <c r="V79" s="169"/>
      <c r="W79" s="170"/>
      <c r="X79" s="171"/>
      <c r="Y79" s="171">
        <f t="shared" si="15"/>
        <v>0</v>
      </c>
      <c r="Z79" s="171">
        <f t="shared" si="15"/>
        <v>0</v>
      </c>
      <c r="AA79" s="171">
        <f t="shared" si="16"/>
        <v>0</v>
      </c>
      <c r="AB79" s="171">
        <v>0</v>
      </c>
      <c r="AC79" s="171">
        <f>V79</f>
        <v>0</v>
      </c>
      <c r="AD79" s="163">
        <v>0</v>
      </c>
      <c r="AE79" s="171">
        <f>Y79*AD79</f>
        <v>0</v>
      </c>
      <c r="AF79" s="172"/>
    </row>
    <row r="80" spans="1:32" ht="15.75" customHeight="1" x14ac:dyDescent="0.2">
      <c r="A80" s="216">
        <v>65</v>
      </c>
      <c r="B80" s="164" t="s">
        <v>122</v>
      </c>
      <c r="C80" s="216" t="s">
        <v>177</v>
      </c>
      <c r="D80" s="163">
        <v>391.06</v>
      </c>
      <c r="E80" s="163" t="s">
        <v>138</v>
      </c>
      <c r="F80" s="163">
        <v>177.8</v>
      </c>
      <c r="G80" s="163" t="s">
        <v>28</v>
      </c>
      <c r="H80" s="165" t="s">
        <v>58</v>
      </c>
      <c r="I80" s="171">
        <v>151.72999999999999</v>
      </c>
      <c r="J80" s="163">
        <v>200</v>
      </c>
      <c r="K80" s="175"/>
      <c r="L80" s="163">
        <v>40</v>
      </c>
      <c r="M80" s="175"/>
      <c r="N80" s="163">
        <v>0.7</v>
      </c>
      <c r="O80" s="175"/>
      <c r="P80" s="182">
        <v>14.483334988738996</v>
      </c>
      <c r="Q80" s="171"/>
      <c r="R80" s="170">
        <v>2.1459999999999999</v>
      </c>
      <c r="S80" s="170">
        <v>2.569</v>
      </c>
      <c r="T80" s="171">
        <v>0</v>
      </c>
      <c r="U80" s="171">
        <f>T80/R80</f>
        <v>0</v>
      </c>
      <c r="V80" s="169">
        <f t="shared" si="14"/>
        <v>16.465550797975865</v>
      </c>
      <c r="W80" s="171">
        <v>0.6</v>
      </c>
      <c r="X80" s="171"/>
      <c r="Y80" s="171">
        <f t="shared" si="15"/>
        <v>2.0601599999999998</v>
      </c>
      <c r="Z80" s="171">
        <f t="shared" si="15"/>
        <v>2.46624</v>
      </c>
      <c r="AA80" s="171">
        <f t="shared" si="16"/>
        <v>0</v>
      </c>
      <c r="AB80" s="171">
        <f t="shared" si="17"/>
        <v>0</v>
      </c>
      <c r="AC80" s="171">
        <f t="shared" si="17"/>
        <v>16.465550797975865</v>
      </c>
      <c r="AD80" s="163">
        <v>31</v>
      </c>
      <c r="AE80" s="171">
        <f>Y80*AD80</f>
        <v>63.864959999999996</v>
      </c>
      <c r="AF80" s="177"/>
    </row>
    <row r="81" spans="1:32" ht="15.75" x14ac:dyDescent="0.2">
      <c r="A81" s="216">
        <v>66</v>
      </c>
      <c r="B81" s="163" t="s">
        <v>57</v>
      </c>
      <c r="C81" s="215" t="s">
        <v>176</v>
      </c>
      <c r="D81" s="163">
        <v>681.52</v>
      </c>
      <c r="E81" s="164" t="s">
        <v>93</v>
      </c>
      <c r="F81" s="163">
        <v>177.8</v>
      </c>
      <c r="G81" s="163" t="s">
        <v>28</v>
      </c>
      <c r="H81" s="165" t="s">
        <v>58</v>
      </c>
      <c r="I81" s="171">
        <v>157.88</v>
      </c>
      <c r="J81" s="163"/>
      <c r="K81" s="163">
        <v>81</v>
      </c>
      <c r="L81" s="163"/>
      <c r="M81" s="175">
        <v>0</v>
      </c>
      <c r="N81" s="163">
        <v>0</v>
      </c>
      <c r="O81" s="175"/>
      <c r="P81" s="391">
        <v>9.6</v>
      </c>
      <c r="Q81" s="171"/>
      <c r="R81" s="170">
        <v>0</v>
      </c>
      <c r="S81" s="171">
        <v>0</v>
      </c>
      <c r="T81" s="171">
        <v>0</v>
      </c>
      <c r="U81" s="171">
        <v>0</v>
      </c>
      <c r="V81" s="169"/>
      <c r="W81" s="171"/>
      <c r="X81" s="171"/>
      <c r="Y81" s="171">
        <f t="shared" si="15"/>
        <v>0</v>
      </c>
      <c r="Z81" s="171">
        <f t="shared" si="15"/>
        <v>0</v>
      </c>
      <c r="AA81" s="171">
        <f t="shared" si="16"/>
        <v>0</v>
      </c>
      <c r="AB81" s="171">
        <f t="shared" si="17"/>
        <v>0</v>
      </c>
      <c r="AC81" s="171">
        <f t="shared" si="17"/>
        <v>0</v>
      </c>
      <c r="AD81" s="163">
        <v>0</v>
      </c>
      <c r="AE81" s="171">
        <f>Y81*AD81</f>
        <v>0</v>
      </c>
      <c r="AF81" s="172" t="s">
        <v>305</v>
      </c>
    </row>
    <row r="82" spans="1:32" ht="15.75" x14ac:dyDescent="0.2">
      <c r="A82" s="216">
        <v>67</v>
      </c>
      <c r="B82" s="163" t="s">
        <v>184</v>
      </c>
      <c r="C82" s="215" t="s">
        <v>176</v>
      </c>
      <c r="D82" s="163">
        <v>422.78</v>
      </c>
      <c r="E82" s="164" t="s">
        <v>185</v>
      </c>
      <c r="F82" s="163">
        <v>177.8</v>
      </c>
      <c r="G82" s="163" t="s">
        <v>28</v>
      </c>
      <c r="H82" s="165" t="s">
        <v>58</v>
      </c>
      <c r="I82" s="171">
        <v>223.87</v>
      </c>
      <c r="J82" s="163"/>
      <c r="K82" s="163">
        <v>101</v>
      </c>
      <c r="L82" s="163"/>
      <c r="M82" s="175">
        <v>0</v>
      </c>
      <c r="N82" s="163">
        <v>0</v>
      </c>
      <c r="O82" s="175"/>
      <c r="P82" s="182">
        <v>7.5</v>
      </c>
      <c r="Q82" s="171"/>
      <c r="R82" s="170">
        <v>0</v>
      </c>
      <c r="S82" s="171">
        <v>0</v>
      </c>
      <c r="T82" s="171">
        <v>0</v>
      </c>
      <c r="U82" s="171">
        <v>0</v>
      </c>
      <c r="V82" s="169"/>
      <c r="W82" s="171"/>
      <c r="X82" s="171"/>
      <c r="Y82" s="171">
        <f>R82*0.96</f>
        <v>0</v>
      </c>
      <c r="Z82" s="171">
        <f>S82*0.96</f>
        <v>0</v>
      </c>
      <c r="AA82" s="171">
        <f t="shared" si="16"/>
        <v>0</v>
      </c>
      <c r="AB82" s="171">
        <f t="shared" si="17"/>
        <v>0</v>
      </c>
      <c r="AC82" s="171">
        <f t="shared" si="17"/>
        <v>0</v>
      </c>
      <c r="AD82" s="163">
        <v>0</v>
      </c>
      <c r="AE82" s="171">
        <f t="shared" ref="AE82" si="18">Y82*AD82</f>
        <v>0</v>
      </c>
      <c r="AF82" s="172" t="s">
        <v>305</v>
      </c>
    </row>
    <row r="83" spans="1:32" ht="15.75" x14ac:dyDescent="0.2">
      <c r="A83" s="306"/>
      <c r="B83" s="1834"/>
      <c r="C83" s="1834"/>
      <c r="D83" s="1834"/>
      <c r="E83" s="1835"/>
      <c r="F83" s="158"/>
      <c r="G83" s="383"/>
      <c r="H83" s="382"/>
      <c r="I83" s="382"/>
      <c r="J83" s="158"/>
      <c r="K83" s="158"/>
      <c r="L83" s="158"/>
      <c r="M83" s="158"/>
      <c r="N83" s="158"/>
      <c r="O83" s="158"/>
      <c r="P83" s="160"/>
      <c r="Q83" s="174"/>
      <c r="R83" s="209">
        <f>SUM(R77:R81)</f>
        <v>6.4980000000000002</v>
      </c>
      <c r="S83" s="209">
        <f>SUM(S77:S81)</f>
        <v>9.8149999999999977</v>
      </c>
      <c r="T83" s="209">
        <f>SUM(T77:T81)</f>
        <v>0</v>
      </c>
      <c r="U83" s="209">
        <f>SUM(U77:U80)</f>
        <v>0</v>
      </c>
      <c r="V83" s="383"/>
      <c r="W83" s="383"/>
      <c r="X83" s="383"/>
      <c r="Y83" s="209">
        <f>SUM(Y77:Y80)</f>
        <v>6.2380799999999992</v>
      </c>
      <c r="Z83" s="209">
        <f>SUM(Z77:Z80)</f>
        <v>9.4223999999999997</v>
      </c>
      <c r="AA83" s="209">
        <f>SUM(AA77:AA81)</f>
        <v>0</v>
      </c>
      <c r="AB83" s="209">
        <v>0</v>
      </c>
      <c r="AC83" s="383"/>
      <c r="AD83" s="158"/>
      <c r="AE83" s="209">
        <f>SUM(AE77:AE80)</f>
        <v>193.38047999999998</v>
      </c>
      <c r="AF83" s="218"/>
    </row>
    <row r="84" spans="1:32" ht="15.75" x14ac:dyDescent="0.2">
      <c r="A84" s="306"/>
      <c r="B84" s="1834"/>
      <c r="C84" s="1834"/>
      <c r="D84" s="1834"/>
      <c r="E84" s="1835"/>
      <c r="F84" s="175"/>
      <c r="G84" s="163"/>
      <c r="H84" s="165"/>
      <c r="I84" s="171"/>
      <c r="J84" s="163"/>
      <c r="K84" s="175"/>
      <c r="L84" s="163"/>
      <c r="M84" s="175"/>
      <c r="N84" s="182"/>
      <c r="O84" s="175"/>
      <c r="P84" s="224"/>
      <c r="Q84" s="209"/>
      <c r="R84" s="209"/>
      <c r="S84" s="209"/>
      <c r="T84" s="209"/>
      <c r="U84" s="209"/>
      <c r="V84" s="209"/>
      <c r="W84" s="209"/>
      <c r="X84" s="209"/>
      <c r="Y84" s="209"/>
      <c r="Z84" s="225"/>
      <c r="AA84" s="209"/>
      <c r="AB84" s="209"/>
      <c r="AC84" s="209"/>
      <c r="AD84" s="209"/>
      <c r="AE84" s="209"/>
      <c r="AF84" s="177"/>
    </row>
    <row r="85" spans="1:32" ht="15.75" x14ac:dyDescent="0.2">
      <c r="A85" s="306"/>
      <c r="B85" s="1843" t="s">
        <v>276</v>
      </c>
      <c r="C85" s="1839"/>
      <c r="D85" s="1839"/>
      <c r="E85" s="1839"/>
      <c r="F85" s="1839"/>
      <c r="G85" s="383"/>
      <c r="H85" s="382"/>
      <c r="I85" s="382"/>
      <c r="J85" s="158"/>
      <c r="K85" s="158"/>
      <c r="L85" s="158"/>
      <c r="M85" s="158"/>
      <c r="N85" s="158"/>
      <c r="O85" s="158"/>
      <c r="P85" s="160"/>
      <c r="Q85" s="174"/>
      <c r="R85" s="158"/>
      <c r="S85" s="158"/>
      <c r="T85" s="158"/>
      <c r="U85" s="388"/>
      <c r="V85" s="383"/>
      <c r="W85" s="383"/>
      <c r="X85" s="383"/>
      <c r="Y85" s="158"/>
      <c r="Z85" s="158"/>
      <c r="AA85" s="158"/>
      <c r="AB85" s="390"/>
      <c r="AC85" s="383"/>
      <c r="AD85" s="158"/>
      <c r="AE85" s="158"/>
      <c r="AF85" s="382"/>
    </row>
    <row r="86" spans="1:32" ht="15.75" x14ac:dyDescent="0.2">
      <c r="A86" s="163">
        <v>68</v>
      </c>
      <c r="B86" s="226" t="s">
        <v>107</v>
      </c>
      <c r="C86" s="188" t="s">
        <v>109</v>
      </c>
      <c r="D86" s="389"/>
      <c r="E86" s="389"/>
      <c r="F86" s="158"/>
      <c r="G86" s="383"/>
      <c r="H86" s="382"/>
      <c r="I86" s="382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88"/>
      <c r="V86" s="383"/>
      <c r="W86" s="383"/>
      <c r="X86" s="383"/>
      <c r="Y86" s="382"/>
      <c r="Z86" s="382"/>
      <c r="AA86" s="158"/>
      <c r="AB86" s="390"/>
      <c r="AC86" s="383"/>
      <c r="AD86" s="228"/>
      <c r="AE86" s="158"/>
      <c r="AF86" s="229"/>
    </row>
    <row r="87" spans="1:32" ht="15.75" x14ac:dyDescent="0.2">
      <c r="A87" s="163">
        <v>69</v>
      </c>
      <c r="B87" s="226" t="s">
        <v>108</v>
      </c>
      <c r="C87" s="188" t="s">
        <v>109</v>
      </c>
      <c r="D87" s="389"/>
      <c r="E87" s="389"/>
      <c r="F87" s="158"/>
      <c r="G87" s="383"/>
      <c r="H87" s="382"/>
      <c r="I87" s="382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388"/>
      <c r="V87" s="383"/>
      <c r="W87" s="383"/>
      <c r="X87" s="383"/>
      <c r="Y87" s="382"/>
      <c r="Z87" s="382"/>
      <c r="AA87" s="158"/>
      <c r="AB87" s="390"/>
      <c r="AC87" s="383"/>
      <c r="AD87" s="228"/>
      <c r="AE87" s="158"/>
      <c r="AF87" s="229"/>
    </row>
    <row r="88" spans="1:32" ht="15.75" x14ac:dyDescent="0.2">
      <c r="A88" s="163">
        <v>70</v>
      </c>
      <c r="B88" s="226" t="s">
        <v>195</v>
      </c>
      <c r="C88" s="216" t="s">
        <v>193</v>
      </c>
      <c r="D88" s="389"/>
      <c r="E88" s="389"/>
      <c r="F88" s="158"/>
      <c r="G88" s="383"/>
      <c r="H88" s="382"/>
      <c r="I88" s="38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88"/>
      <c r="V88" s="383"/>
      <c r="W88" s="383"/>
      <c r="X88" s="383"/>
      <c r="Y88" s="382"/>
      <c r="Z88" s="382"/>
      <c r="AA88" s="158"/>
      <c r="AB88" s="390"/>
      <c r="AC88" s="383"/>
      <c r="AD88" s="228"/>
      <c r="AE88" s="158"/>
      <c r="AF88" s="229"/>
    </row>
    <row r="89" spans="1:32" ht="15.75" x14ac:dyDescent="0.2">
      <c r="A89" s="163">
        <v>71</v>
      </c>
      <c r="B89" s="226" t="s">
        <v>192</v>
      </c>
      <c r="C89" s="216" t="s">
        <v>193</v>
      </c>
      <c r="D89" s="389"/>
      <c r="E89" s="389"/>
      <c r="F89" s="158"/>
      <c r="G89" s="383"/>
      <c r="H89" s="382"/>
      <c r="I89" s="38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88"/>
      <c r="V89" s="383"/>
      <c r="W89" s="383"/>
      <c r="X89" s="383"/>
      <c r="Y89" s="382"/>
      <c r="Z89" s="382"/>
      <c r="AA89" s="158"/>
      <c r="AB89" s="390"/>
      <c r="AC89" s="383"/>
      <c r="AD89" s="228"/>
      <c r="AE89" s="158"/>
      <c r="AF89" s="229"/>
    </row>
    <row r="90" spans="1:32" ht="15.75" x14ac:dyDescent="0.2">
      <c r="A90" s="163"/>
      <c r="B90" s="1843" t="s">
        <v>278</v>
      </c>
      <c r="C90" s="1839"/>
      <c r="D90" s="1839"/>
      <c r="E90" s="1839"/>
      <c r="F90" s="1839"/>
      <c r="G90" s="383"/>
      <c r="H90" s="382"/>
      <c r="I90" s="38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88"/>
      <c r="V90" s="383"/>
      <c r="W90" s="383"/>
      <c r="X90" s="383"/>
      <c r="Y90" s="158"/>
      <c r="Z90" s="158"/>
      <c r="AA90" s="158"/>
      <c r="AB90" s="390"/>
      <c r="AC90" s="383"/>
      <c r="AD90" s="158"/>
      <c r="AE90" s="158"/>
      <c r="AF90" s="382"/>
    </row>
    <row r="91" spans="1:32" ht="15.75" x14ac:dyDescent="0.2">
      <c r="A91" s="163">
        <v>72</v>
      </c>
      <c r="B91" s="207" t="s">
        <v>189</v>
      </c>
      <c r="C91" s="163" t="s">
        <v>46</v>
      </c>
      <c r="D91" s="189">
        <v>673</v>
      </c>
      <c r="E91" s="189" t="s">
        <v>190</v>
      </c>
      <c r="F91" s="163">
        <v>177.8</v>
      </c>
      <c r="G91" s="163"/>
      <c r="H91" s="165"/>
      <c r="I91" s="158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88"/>
      <c r="V91" s="383"/>
      <c r="W91" s="383"/>
      <c r="X91" s="383"/>
      <c r="Y91" s="230"/>
      <c r="Z91" s="231"/>
      <c r="AA91" s="382"/>
      <c r="AB91" s="390"/>
      <c r="AC91" s="158"/>
      <c r="AD91" s="163"/>
      <c r="AE91" s="171"/>
      <c r="AF91" s="179"/>
    </row>
    <row r="92" spans="1:32" ht="15.75" x14ac:dyDescent="0.25">
      <c r="A92" s="163">
        <v>73</v>
      </c>
      <c r="B92" s="164" t="s">
        <v>181</v>
      </c>
      <c r="C92" s="232" t="s">
        <v>183</v>
      </c>
      <c r="D92" s="165">
        <v>374.5</v>
      </c>
      <c r="E92" s="163" t="s">
        <v>182</v>
      </c>
      <c r="F92" s="163">
        <v>177.8</v>
      </c>
      <c r="G92" s="163"/>
      <c r="H92" s="165"/>
      <c r="I92" s="158"/>
      <c r="J92" s="163"/>
      <c r="K92" s="163"/>
      <c r="L92" s="163"/>
      <c r="M92" s="163"/>
      <c r="N92" s="182"/>
      <c r="O92" s="163"/>
      <c r="P92" s="170"/>
      <c r="Q92" s="171"/>
      <c r="R92" s="170"/>
      <c r="S92" s="171"/>
      <c r="T92" s="171"/>
      <c r="U92" s="171"/>
      <c r="V92" s="170"/>
      <c r="W92" s="170"/>
      <c r="X92" s="233"/>
      <c r="Y92" s="171"/>
      <c r="Z92" s="171"/>
      <c r="AA92" s="171"/>
      <c r="AB92" s="171"/>
      <c r="AC92" s="171"/>
      <c r="AD92" s="163"/>
      <c r="AE92" s="171"/>
      <c r="AF92" s="179"/>
    </row>
    <row r="93" spans="1:32" ht="15.75" x14ac:dyDescent="0.25">
      <c r="A93" s="163">
        <v>74</v>
      </c>
      <c r="B93" s="164" t="s">
        <v>188</v>
      </c>
      <c r="C93" s="232" t="s">
        <v>183</v>
      </c>
      <c r="D93" s="165">
        <v>376.58</v>
      </c>
      <c r="E93" s="163" t="s">
        <v>235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ht="15.75" x14ac:dyDescent="0.25">
      <c r="A94" s="163">
        <v>75</v>
      </c>
      <c r="B94" s="164" t="s">
        <v>186</v>
      </c>
      <c r="C94" s="232" t="s">
        <v>176</v>
      </c>
      <c r="D94" s="165">
        <v>387.56</v>
      </c>
      <c r="E94" s="163"/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163">
        <v>76</v>
      </c>
      <c r="B95" s="164" t="s">
        <v>174</v>
      </c>
      <c r="C95" s="163" t="s">
        <v>46</v>
      </c>
      <c r="D95" s="165">
        <v>672</v>
      </c>
      <c r="E95" s="163" t="s">
        <v>175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82"/>
      <c r="Q95" s="171"/>
      <c r="R95" s="170"/>
      <c r="S95" s="171"/>
      <c r="T95" s="171"/>
      <c r="U95" s="171"/>
      <c r="V95" s="170"/>
      <c r="W95" s="170"/>
      <c r="X95" s="171"/>
      <c r="Y95" s="171"/>
      <c r="Z95" s="171"/>
      <c r="AA95" s="171"/>
      <c r="AB95" s="171"/>
      <c r="AC95" s="171"/>
      <c r="AD95" s="163"/>
      <c r="AE95" s="171"/>
      <c r="AF95" s="179"/>
    </row>
    <row r="96" spans="1:32" ht="18" customHeight="1" x14ac:dyDescent="0.2">
      <c r="A96" s="163">
        <v>77</v>
      </c>
      <c r="B96" s="204" t="s">
        <v>103</v>
      </c>
      <c r="C96" s="163" t="s">
        <v>46</v>
      </c>
      <c r="D96" s="158">
        <v>582</v>
      </c>
      <c r="E96" s="158" t="s">
        <v>112</v>
      </c>
      <c r="F96" s="163">
        <v>177.8</v>
      </c>
      <c r="G96" s="163"/>
      <c r="H96" s="165"/>
      <c r="I96" s="158"/>
      <c r="J96" s="158"/>
      <c r="K96" s="159"/>
      <c r="L96" s="158"/>
      <c r="M96" s="159"/>
      <c r="N96" s="158"/>
      <c r="O96" s="158"/>
      <c r="P96" s="160"/>
      <c r="Q96" s="174"/>
      <c r="R96" s="158"/>
      <c r="S96" s="158"/>
      <c r="T96" s="158"/>
      <c r="U96" s="388"/>
      <c r="V96" s="383"/>
      <c r="W96" s="383"/>
      <c r="X96" s="157"/>
      <c r="Y96" s="234"/>
      <c r="Z96" s="158"/>
      <c r="AA96" s="158"/>
      <c r="AB96" s="388"/>
      <c r="AC96" s="158"/>
      <c r="AD96" s="235"/>
      <c r="AE96" s="174"/>
      <c r="AF96" s="179"/>
    </row>
    <row r="97" spans="1:32" ht="15.75" x14ac:dyDescent="0.2">
      <c r="A97" s="163"/>
      <c r="B97" s="1843" t="s">
        <v>279</v>
      </c>
      <c r="C97" s="1839"/>
      <c r="D97" s="1839"/>
      <c r="E97" s="1839"/>
      <c r="F97" s="1839"/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x14ac:dyDescent="0.2">
      <c r="A98" s="163">
        <v>78</v>
      </c>
      <c r="B98" s="164" t="s">
        <v>148</v>
      </c>
      <c r="C98" s="163" t="s">
        <v>46</v>
      </c>
      <c r="D98" s="163">
        <v>650</v>
      </c>
      <c r="E98" s="163" t="s">
        <v>75</v>
      </c>
      <c r="F98" s="163">
        <v>177.8</v>
      </c>
      <c r="G98" s="163"/>
      <c r="H98" s="165"/>
      <c r="I98" s="159">
        <v>536.14</v>
      </c>
      <c r="J98" s="163"/>
      <c r="K98" s="163"/>
      <c r="L98" s="163"/>
      <c r="M98" s="163"/>
      <c r="N98" s="182"/>
      <c r="O98" s="163"/>
      <c r="P98" s="182"/>
      <c r="Q98" s="171"/>
      <c r="R98" s="170"/>
      <c r="S98" s="171"/>
      <c r="T98" s="171"/>
      <c r="U98" s="171"/>
      <c r="V98" s="170"/>
      <c r="W98" s="170"/>
      <c r="X98" s="171"/>
      <c r="Y98" s="171"/>
      <c r="Z98" s="171"/>
      <c r="AA98" s="171"/>
      <c r="AB98" s="171"/>
      <c r="AC98" s="171"/>
      <c r="AD98" s="163"/>
      <c r="AE98" s="171"/>
      <c r="AF98" s="179"/>
    </row>
    <row r="99" spans="1:32" ht="15.75" x14ac:dyDescent="0.2">
      <c r="A99" s="163">
        <v>79</v>
      </c>
      <c r="B99" s="164" t="s">
        <v>155</v>
      </c>
      <c r="C99" s="163" t="s">
        <v>46</v>
      </c>
      <c r="D99" s="163">
        <v>674.13</v>
      </c>
      <c r="E99" s="163" t="s">
        <v>83</v>
      </c>
      <c r="F99" s="163">
        <v>177.8</v>
      </c>
      <c r="G99" s="163"/>
      <c r="H99" s="165"/>
      <c r="I99" s="158">
        <v>527.75</v>
      </c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80</v>
      </c>
      <c r="B100" s="164" t="s">
        <v>56</v>
      </c>
      <c r="C100" s="163" t="s">
        <v>46</v>
      </c>
      <c r="D100" s="165">
        <v>680.52</v>
      </c>
      <c r="E100" s="163" t="s">
        <v>92</v>
      </c>
      <c r="F100" s="163">
        <v>177.8</v>
      </c>
      <c r="G100" s="163"/>
      <c r="H100" s="165"/>
      <c r="I100" s="158">
        <v>555.95000000000005</v>
      </c>
      <c r="J100" s="163"/>
      <c r="K100" s="163"/>
      <c r="L100" s="163"/>
      <c r="M100" s="163"/>
      <c r="N100" s="182"/>
      <c r="O100" s="163"/>
      <c r="P100" s="170"/>
      <c r="Q100" s="171"/>
      <c r="R100" s="170"/>
      <c r="S100" s="171"/>
      <c r="T100" s="171"/>
      <c r="U100" s="171"/>
      <c r="V100" s="170"/>
      <c r="W100" s="170"/>
      <c r="X100" s="233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" x14ac:dyDescent="0.2">
      <c r="A101" s="305"/>
      <c r="B101" s="237"/>
      <c r="C101" s="237"/>
      <c r="D101" s="238"/>
      <c r="E101" s="239"/>
      <c r="F101" s="240"/>
      <c r="G101" s="240"/>
      <c r="H101" s="241"/>
      <c r="I101" s="242"/>
      <c r="J101" s="240"/>
      <c r="K101" s="240"/>
      <c r="L101" s="240"/>
      <c r="M101" s="240"/>
      <c r="N101" s="243"/>
      <c r="O101" s="240"/>
      <c r="P101" s="244"/>
      <c r="Q101" s="245"/>
      <c r="R101" s="244"/>
      <c r="S101" s="245"/>
      <c r="T101" s="245"/>
      <c r="U101" s="245"/>
      <c r="V101" s="244"/>
      <c r="W101" s="244"/>
      <c r="X101" s="246"/>
      <c r="Y101" s="245"/>
      <c r="Z101" s="245"/>
      <c r="AA101" s="245"/>
      <c r="AB101" s="245"/>
      <c r="AC101" s="245"/>
      <c r="AD101" s="240"/>
      <c r="AE101" s="245"/>
      <c r="AF101" s="247"/>
    </row>
    <row r="102" spans="1:32" ht="15" x14ac:dyDescent="0.2">
      <c r="A102" s="305"/>
      <c r="B102" s="1844"/>
      <c r="C102" s="1844"/>
      <c r="D102" s="1844"/>
      <c r="E102" s="1845"/>
      <c r="F102" s="248"/>
      <c r="G102" s="240"/>
      <c r="H102" s="241"/>
      <c r="I102" s="245"/>
      <c r="J102" s="240"/>
      <c r="K102" s="248"/>
      <c r="L102" s="240"/>
      <c r="M102" s="248"/>
      <c r="N102" s="243"/>
      <c r="O102" s="248"/>
      <c r="P102" s="249"/>
      <c r="Q102" s="250"/>
      <c r="R102" s="250">
        <f>R75+R83</f>
        <v>353.71099999999996</v>
      </c>
      <c r="S102" s="250">
        <f>S75+S83</f>
        <v>571.83599999999979</v>
      </c>
      <c r="T102" s="250">
        <f>T75+T83</f>
        <v>18811</v>
      </c>
      <c r="U102" s="250">
        <f>T102/R102</f>
        <v>53.181834887803895</v>
      </c>
      <c r="V102" s="250"/>
      <c r="W102" s="250"/>
      <c r="X102" s="250"/>
      <c r="Y102" s="250">
        <f>Y75+Y83+Y84</f>
        <v>339.56256000000008</v>
      </c>
      <c r="Z102" s="250">
        <f>Z75+Z83+Z84</f>
        <v>548.96255999999994</v>
      </c>
      <c r="AA102" s="250">
        <f>AA75+AA83</f>
        <v>18058.560000000005</v>
      </c>
      <c r="AB102" s="250">
        <f>AA102/Y102</f>
        <v>53.181834887803888</v>
      </c>
      <c r="AC102" s="250"/>
      <c r="AD102" s="250"/>
      <c r="AE102" s="251">
        <f>AE75+AE83+AE84</f>
        <v>10526.439359999998</v>
      </c>
      <c r="AF102" s="252"/>
    </row>
    <row r="103" spans="1:32" ht="15" x14ac:dyDescent="0.2">
      <c r="B103" s="253"/>
      <c r="C103" s="253"/>
      <c r="D103" s="253"/>
      <c r="E103" s="253"/>
      <c r="F103" s="254"/>
      <c r="G103" s="255"/>
      <c r="H103" s="256"/>
      <c r="I103" s="256"/>
      <c r="J103" s="254"/>
      <c r="K103" s="254"/>
      <c r="L103" s="254"/>
      <c r="M103" s="254"/>
      <c r="N103" s="254"/>
      <c r="O103" s="254"/>
      <c r="P103" s="257"/>
      <c r="Q103" s="258"/>
      <c r="R103" s="254"/>
      <c r="S103" s="254"/>
      <c r="T103" s="254"/>
      <c r="U103" s="259"/>
      <c r="V103" s="255"/>
      <c r="W103" s="255"/>
      <c r="X103" s="255"/>
      <c r="Y103" s="254"/>
      <c r="Z103" s="254"/>
      <c r="AA103" s="254"/>
      <c r="AB103" s="260"/>
      <c r="AC103" s="255"/>
      <c r="AD103" s="254"/>
      <c r="AE103" s="254"/>
      <c r="AF103" s="256"/>
    </row>
    <row r="104" spans="1:32" ht="15" x14ac:dyDescent="0.2">
      <c r="B104" s="289"/>
      <c r="C104" s="191"/>
      <c r="D104" s="289"/>
      <c r="E104" s="268">
        <v>0.95</v>
      </c>
      <c r="F104" s="289"/>
      <c r="G104" s="289" t="s">
        <v>102</v>
      </c>
      <c r="H104" s="290"/>
      <c r="I104" s="262"/>
      <c r="J104" s="289"/>
      <c r="K104" s="1883">
        <f>AE102*E104</f>
        <v>10000.117391999998</v>
      </c>
      <c r="L104" s="1884"/>
      <c r="M104" s="1885"/>
      <c r="N104" s="191" t="s">
        <v>27</v>
      </c>
      <c r="O104" s="254"/>
      <c r="P104" s="257"/>
      <c r="Q104" s="258"/>
      <c r="R104" s="254"/>
      <c r="S104" s="254"/>
      <c r="T104" s="254"/>
      <c r="U104" s="259"/>
      <c r="V104" s="255"/>
      <c r="W104" s="255"/>
      <c r="X104" s="255"/>
      <c r="Y104" s="254"/>
      <c r="Z104" s="254"/>
      <c r="AA104" s="254"/>
      <c r="AB104" s="260"/>
      <c r="AC104" s="255"/>
      <c r="AD104" s="254"/>
      <c r="AE104" s="254"/>
      <c r="AF104" s="256"/>
    </row>
    <row r="105" spans="1:32" ht="15" x14ac:dyDescent="0.2">
      <c r="B105" s="289"/>
      <c r="C105" s="191"/>
      <c r="D105" s="289"/>
      <c r="E105" s="268"/>
      <c r="F105" s="289"/>
      <c r="G105" s="191"/>
      <c r="H105" s="290"/>
      <c r="I105" s="262"/>
      <c r="J105" s="289"/>
      <c r="K105" s="191"/>
      <c r="L105" s="263"/>
      <c r="M105" s="289"/>
      <c r="N105" s="289"/>
      <c r="O105" s="289"/>
      <c r="P105" s="291"/>
      <c r="Q105" s="292"/>
      <c r="R105" s="289"/>
      <c r="S105" s="289"/>
      <c r="T105" s="289"/>
      <c r="U105" s="289"/>
      <c r="V105" s="289"/>
      <c r="W105" s="289"/>
      <c r="X105" s="211"/>
      <c r="Y105" s="211"/>
      <c r="Z105" s="211"/>
      <c r="AA105" s="211"/>
      <c r="AB105" s="211"/>
      <c r="AC105" s="211"/>
      <c r="AD105" s="211"/>
      <c r="AE105" s="211"/>
      <c r="AF105" s="266"/>
    </row>
    <row r="106" spans="1:32" ht="15" x14ac:dyDescent="0.2">
      <c r="B106" s="289"/>
      <c r="C106" s="289"/>
      <c r="D106" s="289"/>
      <c r="E106" s="293" t="s">
        <v>214</v>
      </c>
      <c r="F106" s="1881" t="s">
        <v>264</v>
      </c>
      <c r="G106" s="1881"/>
      <c r="H106" s="1881"/>
      <c r="I106" s="289"/>
      <c r="J106" s="289"/>
      <c r="K106" s="191"/>
      <c r="L106" s="191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1842" t="s">
        <v>99</v>
      </c>
      <c r="Y106" s="1824"/>
      <c r="Z106" s="1824"/>
      <c r="AA106" s="1824"/>
      <c r="AB106" s="211" t="s">
        <v>216</v>
      </c>
      <c r="AC106" s="211"/>
      <c r="AD106" s="211"/>
      <c r="AE106" s="211"/>
      <c r="AF106" s="211"/>
    </row>
  </sheetData>
  <mergeCells count="40">
    <mergeCell ref="B8:E8"/>
    <mergeCell ref="I1:X1"/>
    <mergeCell ref="A2:D2"/>
    <mergeCell ref="J2:W2"/>
    <mergeCell ref="A6:E6"/>
    <mergeCell ref="A7:E7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06:AA106"/>
    <mergeCell ref="AF12:AF13"/>
    <mergeCell ref="B75:E75"/>
    <mergeCell ref="B76:F76"/>
    <mergeCell ref="B83:E83"/>
    <mergeCell ref="B84:E84"/>
    <mergeCell ref="B85:F8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0:F90"/>
    <mergeCell ref="B97:F97"/>
    <mergeCell ref="B102:E102"/>
    <mergeCell ref="K104:M104"/>
    <mergeCell ref="F106:H106"/>
  </mergeCells>
  <pageMargins left="0.7" right="0.7" top="0.75" bottom="0.75" header="0.3" footer="0.3"/>
  <pageSetup paperSize="9" scale="31" orientation="landscape" r:id="rId1"/>
  <rowBreaks count="1" manualBreakCount="1">
    <brk id="7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106"/>
  <sheetViews>
    <sheetView topLeftCell="C1" zoomScale="70" zoomScaleNormal="70" zoomScaleSheetLayoutView="35" workbookViewId="0">
      <selection activeCell="I1" sqref="I1:X1"/>
    </sheetView>
  </sheetViews>
  <sheetFormatPr defaultRowHeight="12.75" x14ac:dyDescent="0.2"/>
  <cols>
    <col min="2" max="2" width="12.5703125" customWidth="1"/>
    <col min="3" max="4" width="11.140625" customWidth="1"/>
    <col min="5" max="5" width="79.7109375" customWidth="1"/>
    <col min="8" max="8" width="12.7109375" customWidth="1"/>
    <col min="9" max="9" width="11.85546875" customWidth="1"/>
    <col min="20" max="20" width="11.85546875" customWidth="1"/>
    <col min="21" max="21" width="10.7109375" bestFit="1" customWidth="1"/>
    <col min="27" max="27" width="12.5703125" customWidth="1"/>
    <col min="28" max="28" width="11" customWidth="1"/>
    <col min="31" max="31" width="12.7109375" customWidth="1"/>
    <col min="32" max="32" width="54" customWidth="1"/>
  </cols>
  <sheetData>
    <row r="1" spans="1:32" ht="15" x14ac:dyDescent="0.2">
      <c r="A1" s="304"/>
      <c r="B1" s="386"/>
      <c r="C1" s="386"/>
      <c r="D1" s="138"/>
      <c r="E1" s="138"/>
      <c r="F1" s="138"/>
      <c r="G1" s="386"/>
      <c r="H1" s="38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38"/>
      <c r="Z1" s="138"/>
      <c r="AA1" s="138"/>
      <c r="AB1" s="138"/>
      <c r="AC1" s="138"/>
      <c r="AD1" s="138"/>
      <c r="AE1" s="138"/>
      <c r="AF1" s="140"/>
    </row>
    <row r="2" spans="1:32" ht="15" x14ac:dyDescent="0.2">
      <c r="F2" s="138"/>
      <c r="G2" s="386"/>
      <c r="H2" s="386"/>
      <c r="I2" s="138"/>
      <c r="J2" s="1823" t="s">
        <v>306</v>
      </c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  <c r="X2" s="138"/>
      <c r="Y2" s="138"/>
      <c r="Z2" s="138"/>
      <c r="AA2" s="138"/>
      <c r="AB2" s="138"/>
      <c r="AC2" s="138"/>
      <c r="AD2" s="138"/>
      <c r="AE2" s="138"/>
      <c r="AF2" s="140"/>
    </row>
    <row r="3" spans="1:32" ht="15" x14ac:dyDescent="0.2">
      <c r="A3" s="1825" t="s">
        <v>54</v>
      </c>
      <c r="B3" s="1825"/>
      <c r="C3" s="1825"/>
      <c r="D3" s="1825"/>
      <c r="E3" s="138"/>
      <c r="F3" s="138"/>
      <c r="G3" s="386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385"/>
      <c r="S3" s="385"/>
      <c r="T3" s="385"/>
      <c r="U3" s="385"/>
      <c r="V3" s="385"/>
      <c r="W3" s="385"/>
      <c r="X3" s="385"/>
      <c r="Y3" s="385"/>
      <c r="Z3" s="138"/>
      <c r="AA3" s="138"/>
      <c r="AB3" s="138"/>
      <c r="AC3" s="143"/>
      <c r="AD3" s="143"/>
      <c r="AE3" s="143"/>
      <c r="AF3" s="144" t="s">
        <v>55</v>
      </c>
    </row>
    <row r="4" spans="1:32" ht="15" x14ac:dyDescent="0.2">
      <c r="A4" s="394" t="s">
        <v>261</v>
      </c>
      <c r="B4" s="394"/>
      <c r="C4" s="394"/>
      <c r="D4" s="394"/>
      <c r="E4" s="394"/>
      <c r="F4" s="138"/>
      <c r="G4" s="386"/>
      <c r="H4" s="386"/>
      <c r="I4" s="141"/>
      <c r="J4" s="141"/>
      <c r="K4" s="141"/>
      <c r="L4" s="141"/>
      <c r="M4" s="141"/>
      <c r="N4" s="141"/>
      <c r="O4" s="141"/>
      <c r="P4" s="141"/>
      <c r="Q4" s="141"/>
      <c r="R4" s="384"/>
      <c r="S4" s="384"/>
      <c r="T4" s="384"/>
      <c r="U4" s="384"/>
      <c r="V4" s="384"/>
      <c r="W4" s="384"/>
      <c r="X4" s="138"/>
      <c r="Y4" s="138"/>
      <c r="Z4" s="138"/>
      <c r="AA4" s="138"/>
      <c r="AB4" s="138"/>
      <c r="AC4" s="143"/>
      <c r="AD4" s="143"/>
      <c r="AE4" s="143"/>
      <c r="AF4" s="147" t="s">
        <v>284</v>
      </c>
    </row>
    <row r="5" spans="1:32" ht="15" x14ac:dyDescent="0.2">
      <c r="A5" s="148" t="s">
        <v>228</v>
      </c>
      <c r="B5" s="148"/>
      <c r="C5" s="148"/>
      <c r="D5" s="148"/>
      <c r="E5" s="148"/>
      <c r="F5" s="138"/>
      <c r="G5" s="386"/>
      <c r="H5" s="386"/>
      <c r="I5" s="138"/>
      <c r="J5" s="138"/>
      <c r="K5" s="386"/>
      <c r="L5" s="386"/>
      <c r="M5" s="138"/>
      <c r="N5" s="138"/>
      <c r="O5" s="138"/>
      <c r="P5" s="149"/>
      <c r="Q5" s="150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43"/>
      <c r="AD5" s="143"/>
      <c r="AE5" s="143"/>
      <c r="AF5" s="151" t="s">
        <v>229</v>
      </c>
    </row>
    <row r="6" spans="1:32" ht="15" x14ac:dyDescent="0.2">
      <c r="A6" s="1826"/>
      <c r="B6" s="1826"/>
      <c r="C6" s="1826"/>
      <c r="D6" s="1826"/>
      <c r="E6" s="1826"/>
      <c r="F6" s="138"/>
      <c r="G6" s="386"/>
      <c r="H6" s="386"/>
      <c r="I6" s="140"/>
      <c r="J6" s="138"/>
      <c r="K6" s="386"/>
      <c r="L6" s="386"/>
      <c r="M6" s="138"/>
      <c r="N6" s="138"/>
      <c r="O6" s="138"/>
      <c r="P6" s="149"/>
      <c r="Q6" s="150"/>
      <c r="R6" s="138"/>
      <c r="S6" s="138"/>
      <c r="T6" s="138"/>
      <c r="U6" s="138"/>
      <c r="V6" s="138"/>
      <c r="W6" s="147"/>
      <c r="X6" s="138"/>
      <c r="Y6" s="148"/>
      <c r="Z6" s="148"/>
      <c r="AA6" s="148"/>
      <c r="AB6" s="148"/>
      <c r="AC6" s="152"/>
      <c r="AD6" s="152"/>
      <c r="AE6" s="152"/>
      <c r="AF6" s="153"/>
    </row>
    <row r="7" spans="1:32" ht="15" x14ac:dyDescent="0.2">
      <c r="A7" s="1826"/>
      <c r="B7" s="1826"/>
      <c r="C7" s="1826"/>
      <c r="D7" s="1826"/>
      <c r="E7" s="1826"/>
      <c r="F7" s="138"/>
      <c r="G7" s="386"/>
      <c r="H7" s="386"/>
      <c r="I7" s="140"/>
      <c r="J7" s="138"/>
      <c r="K7" s="386"/>
      <c r="L7" s="386"/>
      <c r="M7" s="138"/>
      <c r="N7" s="138"/>
      <c r="O7" s="138"/>
      <c r="P7" s="149"/>
      <c r="Q7" s="150"/>
      <c r="R7" s="138"/>
      <c r="S7" s="138"/>
      <c r="T7" s="138"/>
      <c r="U7" s="138"/>
      <c r="V7" s="138"/>
      <c r="W7" s="147"/>
      <c r="X7" s="138"/>
      <c r="Y7" s="148"/>
      <c r="Z7" s="148"/>
      <c r="AA7" s="148"/>
      <c r="AB7" s="148"/>
      <c r="AC7" s="152"/>
      <c r="AD7" s="152"/>
      <c r="AE7" s="152"/>
      <c r="AF7" s="147"/>
    </row>
    <row r="8" spans="1:32" ht="15" x14ac:dyDescent="0.2">
      <c r="A8" s="304"/>
      <c r="B8" s="1826"/>
      <c r="C8" s="1826"/>
      <c r="D8" s="1826"/>
      <c r="E8" s="1826"/>
      <c r="F8" s="138"/>
      <c r="G8" s="386"/>
      <c r="H8" s="386"/>
      <c r="I8" s="140"/>
      <c r="J8" s="138"/>
      <c r="K8" s="386"/>
      <c r="L8" s="386"/>
      <c r="M8" s="138"/>
      <c r="N8" s="138"/>
      <c r="O8" s="138"/>
      <c r="P8" s="149"/>
      <c r="Q8" s="150"/>
      <c r="R8" s="138"/>
      <c r="S8" s="138"/>
      <c r="T8" s="138"/>
      <c r="U8" s="138"/>
      <c r="V8" s="138"/>
      <c r="W8" s="147"/>
      <c r="X8" s="138"/>
      <c r="Y8" s="148"/>
      <c r="Z8" s="148"/>
      <c r="AA8" s="148"/>
      <c r="AB8" s="148"/>
      <c r="AC8" s="152"/>
      <c r="AD8" s="152"/>
      <c r="AE8" s="152"/>
      <c r="AF8" s="151"/>
    </row>
    <row r="9" spans="1:32" ht="15" x14ac:dyDescent="0.2">
      <c r="A9" s="304"/>
      <c r="B9" s="154"/>
      <c r="C9" s="154"/>
      <c r="D9" s="154"/>
      <c r="E9" s="154"/>
      <c r="F9" s="138"/>
      <c r="G9" s="386"/>
      <c r="H9" s="386"/>
      <c r="I9" s="138"/>
      <c r="J9" s="138"/>
      <c r="K9" s="386"/>
      <c r="L9" s="386"/>
      <c r="M9" s="386"/>
      <c r="N9" s="386"/>
      <c r="O9" s="386"/>
      <c r="P9" s="386"/>
      <c r="Q9" s="386"/>
      <c r="R9" s="386"/>
      <c r="S9" s="386"/>
      <c r="T9" s="386"/>
      <c r="U9" s="386"/>
      <c r="V9" s="386"/>
      <c r="W9" s="138"/>
      <c r="X9" s="138"/>
      <c r="Y9" s="148"/>
      <c r="Z9" s="148"/>
      <c r="AA9" s="148"/>
      <c r="AB9" s="148"/>
      <c r="AC9" s="152"/>
      <c r="AD9" s="152"/>
      <c r="AE9" s="152"/>
      <c r="AF9" s="153"/>
    </row>
    <row r="10" spans="1:32" ht="15" x14ac:dyDescent="0.2">
      <c r="A10" s="304"/>
      <c r="B10" s="386"/>
      <c r="C10" s="386"/>
      <c r="D10" s="386"/>
      <c r="E10" s="138"/>
      <c r="F10" s="138"/>
      <c r="G10" s="386"/>
      <c r="H10" s="386"/>
      <c r="I10" s="140"/>
      <c r="J10" s="138"/>
      <c r="K10" s="386"/>
      <c r="L10" s="386"/>
      <c r="M10" s="138"/>
      <c r="N10" s="138"/>
      <c r="O10" s="138"/>
      <c r="P10" s="149"/>
      <c r="Q10" s="150"/>
      <c r="R10" s="138"/>
      <c r="S10" s="138"/>
      <c r="T10" s="138"/>
      <c r="U10" s="138"/>
      <c r="V10" s="138"/>
      <c r="W10" s="147"/>
      <c r="X10" s="138"/>
      <c r="Y10" s="148"/>
      <c r="Z10" s="148"/>
      <c r="AA10" s="148"/>
      <c r="AB10" s="148"/>
      <c r="AC10" s="152"/>
      <c r="AD10" s="152"/>
      <c r="AE10" s="152"/>
      <c r="AF10" s="155"/>
    </row>
    <row r="11" spans="1:32" ht="15.75" x14ac:dyDescent="0.2">
      <c r="A11" s="1819" t="s">
        <v>1</v>
      </c>
      <c r="B11" s="1819" t="s">
        <v>2</v>
      </c>
      <c r="C11" s="1820" t="s">
        <v>8</v>
      </c>
      <c r="D11" s="1820" t="s">
        <v>33</v>
      </c>
      <c r="E11" s="1819" t="s">
        <v>0</v>
      </c>
      <c r="F11" s="1820" t="s">
        <v>34</v>
      </c>
      <c r="G11" s="1820" t="s">
        <v>5</v>
      </c>
      <c r="H11" s="1832" t="s">
        <v>23</v>
      </c>
      <c r="I11" s="1832"/>
      <c r="J11" s="1832"/>
      <c r="K11" s="1832"/>
      <c r="L11" s="1832"/>
      <c r="M11" s="1832"/>
      <c r="N11" s="1832"/>
      <c r="O11" s="1832"/>
      <c r="P11" s="1832"/>
      <c r="Q11" s="1832"/>
      <c r="R11" s="1832"/>
      <c r="S11" s="1832"/>
      <c r="T11" s="1832"/>
      <c r="U11" s="1832"/>
      <c r="V11" s="1832"/>
      <c r="W11" s="1832"/>
      <c r="X11" s="1832" t="s">
        <v>22</v>
      </c>
      <c r="Y11" s="1832"/>
      <c r="Z11" s="1832"/>
      <c r="AA11" s="1832"/>
      <c r="AB11" s="1832"/>
      <c r="AC11" s="1832"/>
      <c r="AD11" s="1832"/>
      <c r="AE11" s="1832"/>
      <c r="AF11" s="1832"/>
    </row>
    <row r="12" spans="1:32" ht="159" x14ac:dyDescent="0.2">
      <c r="A12" s="1819"/>
      <c r="B12" s="1819"/>
      <c r="C12" s="1820"/>
      <c r="D12" s="1820"/>
      <c r="E12" s="1819"/>
      <c r="F12" s="1820"/>
      <c r="G12" s="1820"/>
      <c r="H12" s="1820" t="s">
        <v>66</v>
      </c>
      <c r="I12" s="1819" t="s">
        <v>35</v>
      </c>
      <c r="J12" s="383" t="s">
        <v>6</v>
      </c>
      <c r="K12" s="1819" t="s">
        <v>9</v>
      </c>
      <c r="L12" s="1819"/>
      <c r="M12" s="1819" t="s">
        <v>10</v>
      </c>
      <c r="N12" s="1819"/>
      <c r="O12" s="1819" t="s">
        <v>11</v>
      </c>
      <c r="P12" s="1819"/>
      <c r="Q12" s="157" t="s">
        <v>67</v>
      </c>
      <c r="R12" s="1819" t="s">
        <v>15</v>
      </c>
      <c r="S12" s="1833"/>
      <c r="T12" s="1833"/>
      <c r="U12" s="1820" t="s">
        <v>100</v>
      </c>
      <c r="V12" s="1831" t="s">
        <v>16</v>
      </c>
      <c r="W12" s="1820" t="s">
        <v>17</v>
      </c>
      <c r="X12" s="1820" t="s">
        <v>24</v>
      </c>
      <c r="Y12" s="1819" t="s">
        <v>15</v>
      </c>
      <c r="Z12" s="1839"/>
      <c r="AA12" s="1839"/>
      <c r="AB12" s="1820" t="s">
        <v>100</v>
      </c>
      <c r="AC12" s="1820" t="s">
        <v>16</v>
      </c>
      <c r="AD12" s="383" t="s">
        <v>18</v>
      </c>
      <c r="AE12" s="383" t="s">
        <v>20</v>
      </c>
      <c r="AF12" s="1819" t="s">
        <v>21</v>
      </c>
    </row>
    <row r="13" spans="1:32" ht="31.5" x14ac:dyDescent="0.2">
      <c r="A13" s="1819"/>
      <c r="B13" s="1819"/>
      <c r="C13" s="1820"/>
      <c r="D13" s="158" t="s">
        <v>3</v>
      </c>
      <c r="E13" s="158" t="s">
        <v>3</v>
      </c>
      <c r="F13" s="158" t="s">
        <v>4</v>
      </c>
      <c r="G13" s="1820"/>
      <c r="H13" s="1820"/>
      <c r="I13" s="1819"/>
      <c r="J13" s="159" t="s">
        <v>7</v>
      </c>
      <c r="K13" s="159" t="s">
        <v>30</v>
      </c>
      <c r="L13" s="159" t="s">
        <v>29</v>
      </c>
      <c r="M13" s="159" t="s">
        <v>31</v>
      </c>
      <c r="N13" s="159" t="s">
        <v>32</v>
      </c>
      <c r="O13" s="159" t="s">
        <v>12</v>
      </c>
      <c r="P13" s="294" t="s">
        <v>13</v>
      </c>
      <c r="Q13" s="161" t="s">
        <v>26</v>
      </c>
      <c r="R13" s="159" t="s">
        <v>14</v>
      </c>
      <c r="S13" s="159" t="s">
        <v>25</v>
      </c>
      <c r="T13" s="159" t="s">
        <v>113</v>
      </c>
      <c r="U13" s="1830"/>
      <c r="V13" s="1831"/>
      <c r="W13" s="1820"/>
      <c r="X13" s="1820"/>
      <c r="Y13" s="158" t="s">
        <v>14</v>
      </c>
      <c r="Z13" s="158" t="s">
        <v>25</v>
      </c>
      <c r="AA13" s="158" t="s">
        <v>113</v>
      </c>
      <c r="AB13" s="1840"/>
      <c r="AC13" s="1820"/>
      <c r="AD13" s="158" t="s">
        <v>19</v>
      </c>
      <c r="AE13" s="158" t="s">
        <v>27</v>
      </c>
      <c r="AF13" s="1819"/>
    </row>
    <row r="14" spans="1:32" s="396" customFormat="1" ht="15.75" customHeight="1" x14ac:dyDescent="0.2">
      <c r="A14" s="163">
        <v>1</v>
      </c>
      <c r="B14" s="164" t="s">
        <v>139</v>
      </c>
      <c r="C14" s="163" t="s">
        <v>46</v>
      </c>
      <c r="D14" s="163">
        <v>610.5</v>
      </c>
      <c r="E14" s="163" t="s">
        <v>203</v>
      </c>
      <c r="F14" s="163">
        <v>177.8</v>
      </c>
      <c r="G14" s="163" t="s">
        <v>28</v>
      </c>
      <c r="H14" s="165" t="s">
        <v>52</v>
      </c>
      <c r="I14" s="158">
        <v>558.05999999999995</v>
      </c>
      <c r="J14" s="163">
        <v>190</v>
      </c>
      <c r="K14" s="163"/>
      <c r="L14" s="163">
        <v>377</v>
      </c>
      <c r="M14" s="163"/>
      <c r="N14" s="163">
        <v>6.9</v>
      </c>
      <c r="O14" s="163"/>
      <c r="P14" s="182">
        <v>23.04</v>
      </c>
      <c r="Q14" s="171">
        <f t="shared" ref="Q14:Q37" si="0">LEFT(H14,(FIND("K",H14,1)-1))*J14/100</f>
        <v>41.8</v>
      </c>
      <c r="R14" s="170">
        <v>1.875</v>
      </c>
      <c r="S14" s="171">
        <v>4.2699999999999996</v>
      </c>
      <c r="T14" s="171">
        <v>2.06</v>
      </c>
      <c r="U14" s="171">
        <f t="shared" ref="U14:U74" si="1">T14/R14</f>
        <v>1.0986666666666667</v>
      </c>
      <c r="V14" s="170">
        <v>55.92</v>
      </c>
      <c r="W14" s="170">
        <v>0.43</v>
      </c>
      <c r="X14" s="171">
        <f t="shared" ref="X14:X46" si="2">S14/Q14</f>
        <v>0.10215311004784688</v>
      </c>
      <c r="Y14" s="171">
        <f>R14*0.925</f>
        <v>1.734375</v>
      </c>
      <c r="Z14" s="171">
        <f>S14*0.925</f>
        <v>3.9497499999999999</v>
      </c>
      <c r="AA14" s="171">
        <f>T14*0.935</f>
        <v>1.9261000000000001</v>
      </c>
      <c r="AB14" s="171">
        <f>U14</f>
        <v>1.0986666666666667</v>
      </c>
      <c r="AC14" s="171">
        <f t="shared" ref="AC14:AC74" si="3">V14</f>
        <v>55.92</v>
      </c>
      <c r="AD14" s="163">
        <v>28</v>
      </c>
      <c r="AE14" s="171">
        <f>Y14*AD14</f>
        <v>48.5625</v>
      </c>
      <c r="AF14" s="172"/>
    </row>
    <row r="15" spans="1:32" s="396" customFormat="1" ht="15.75" customHeight="1" x14ac:dyDescent="0.2">
      <c r="A15" s="163">
        <v>2</v>
      </c>
      <c r="B15" s="164" t="s">
        <v>140</v>
      </c>
      <c r="C15" s="163" t="s">
        <v>46</v>
      </c>
      <c r="D15" s="163">
        <v>585</v>
      </c>
      <c r="E15" s="163" t="s">
        <v>201</v>
      </c>
      <c r="F15" s="163">
        <v>177.8</v>
      </c>
      <c r="G15" s="163" t="s">
        <v>28</v>
      </c>
      <c r="H15" s="165" t="s">
        <v>53</v>
      </c>
      <c r="I15" s="158">
        <v>565.55999999999995</v>
      </c>
      <c r="J15" s="163">
        <v>0</v>
      </c>
      <c r="K15" s="163">
        <v>200</v>
      </c>
      <c r="L15" s="163"/>
      <c r="M15" s="163">
        <v>3.3</v>
      </c>
      <c r="N15" s="163">
        <v>0</v>
      </c>
      <c r="O15" s="163"/>
      <c r="P15" s="182">
        <v>37.892058893914275</v>
      </c>
      <c r="Q15" s="171">
        <v>0</v>
      </c>
      <c r="R15" s="171">
        <v>0</v>
      </c>
      <c r="S15" s="171">
        <v>0</v>
      </c>
      <c r="T15" s="171">
        <v>0</v>
      </c>
      <c r="U15" s="171">
        <v>0</v>
      </c>
      <c r="V15" s="171">
        <v>0</v>
      </c>
      <c r="W15" s="171"/>
      <c r="X15" s="171">
        <v>0</v>
      </c>
      <c r="Y15" s="171">
        <f t="shared" ref="Y15:Y74" si="4">R15*0.925</f>
        <v>0</v>
      </c>
      <c r="Z15" s="171">
        <f t="shared" ref="Z15:Z74" si="5">S15*0.925</f>
        <v>0</v>
      </c>
      <c r="AA15" s="171">
        <f t="shared" ref="AA15:AA74" si="6">T15*0.935</f>
        <v>0</v>
      </c>
      <c r="AB15" s="171">
        <f t="shared" ref="AB15:AB74" si="7">U15</f>
        <v>0</v>
      </c>
      <c r="AC15" s="171">
        <f t="shared" si="3"/>
        <v>0</v>
      </c>
      <c r="AD15" s="163">
        <v>0</v>
      </c>
      <c r="AE15" s="171">
        <f t="shared" ref="AE15:AE57" si="8">Y15*AD15</f>
        <v>0</v>
      </c>
      <c r="AF15" s="172" t="s">
        <v>215</v>
      </c>
    </row>
    <row r="16" spans="1:32" s="396" customFormat="1" ht="15.75" customHeight="1" x14ac:dyDescent="0.2">
      <c r="A16" s="163">
        <v>3</v>
      </c>
      <c r="B16" s="164" t="s">
        <v>141</v>
      </c>
      <c r="C16" s="163" t="s">
        <v>46</v>
      </c>
      <c r="D16" s="163">
        <v>670</v>
      </c>
      <c r="E16" s="163" t="s">
        <v>68</v>
      </c>
      <c r="F16" s="163">
        <v>177.8</v>
      </c>
      <c r="G16" s="163" t="s">
        <v>28</v>
      </c>
      <c r="H16" s="165" t="s">
        <v>218</v>
      </c>
      <c r="I16" s="158">
        <v>565.94000000000005</v>
      </c>
      <c r="J16" s="163">
        <v>140</v>
      </c>
      <c r="K16" s="163"/>
      <c r="L16" s="163">
        <v>492</v>
      </c>
      <c r="M16" s="163"/>
      <c r="N16" s="182">
        <v>8.6999999999999993</v>
      </c>
      <c r="O16" s="163"/>
      <c r="P16" s="182">
        <v>17.510000000000002</v>
      </c>
      <c r="Q16" s="171">
        <f>LEFT(H16,(FIND("K",H16,1)-1))*J16/100</f>
        <v>44.8</v>
      </c>
      <c r="R16" s="170">
        <v>16.53</v>
      </c>
      <c r="S16" s="171">
        <v>25.936</v>
      </c>
      <c r="T16" s="171">
        <v>2935.2069999999999</v>
      </c>
      <c r="U16" s="171">
        <f t="shared" si="1"/>
        <v>177.56848154869931</v>
      </c>
      <c r="V16" s="170">
        <v>36.25</v>
      </c>
      <c r="W16" s="170">
        <v>0.31</v>
      </c>
      <c r="X16" s="171">
        <f t="shared" si="2"/>
        <v>0.57892857142857146</v>
      </c>
      <c r="Y16" s="171">
        <f t="shared" si="4"/>
        <v>15.290250000000002</v>
      </c>
      <c r="Z16" s="171">
        <f t="shared" si="5"/>
        <v>23.9908</v>
      </c>
      <c r="AA16" s="171">
        <f t="shared" si="6"/>
        <v>2744.418545</v>
      </c>
      <c r="AB16" s="171">
        <f t="shared" si="7"/>
        <v>177.56848154869931</v>
      </c>
      <c r="AC16" s="171">
        <f t="shared" si="3"/>
        <v>36.25</v>
      </c>
      <c r="AD16" s="163">
        <v>28</v>
      </c>
      <c r="AE16" s="171">
        <f>Y16*AD16</f>
        <v>428.12700000000007</v>
      </c>
      <c r="AF16" s="172"/>
    </row>
    <row r="17" spans="1:32" s="396" customFormat="1" ht="15.75" customHeight="1" x14ac:dyDescent="0.2">
      <c r="A17" s="163">
        <v>4</v>
      </c>
      <c r="B17" s="164" t="s">
        <v>142</v>
      </c>
      <c r="C17" s="163" t="s">
        <v>46</v>
      </c>
      <c r="D17" s="163">
        <v>628</v>
      </c>
      <c r="E17" s="163" t="s">
        <v>297</v>
      </c>
      <c r="F17" s="163">
        <v>177.8</v>
      </c>
      <c r="G17" s="163" t="s">
        <v>28</v>
      </c>
      <c r="H17" s="165" t="s">
        <v>53</v>
      </c>
      <c r="I17" s="158">
        <v>538.47</v>
      </c>
      <c r="J17" s="163">
        <v>190</v>
      </c>
      <c r="K17" s="163"/>
      <c r="L17" s="163">
        <v>442</v>
      </c>
      <c r="M17" s="163"/>
      <c r="N17" s="182">
        <v>13.62</v>
      </c>
      <c r="O17" s="163"/>
      <c r="P17" s="182">
        <v>13.96375007940323</v>
      </c>
      <c r="Q17" s="171">
        <f t="shared" si="0"/>
        <v>24.7</v>
      </c>
      <c r="R17" s="170">
        <v>6.1340000000000003</v>
      </c>
      <c r="S17" s="171">
        <v>8.2590000000000003</v>
      </c>
      <c r="T17" s="171">
        <v>33.033000000000001</v>
      </c>
      <c r="U17" s="171">
        <f t="shared" si="1"/>
        <v>5.3852298663188787</v>
      </c>
      <c r="V17" s="170">
        <v>25.75</v>
      </c>
      <c r="W17" s="170">
        <v>0.5</v>
      </c>
      <c r="X17" s="171">
        <f>S17/Q17</f>
        <v>0.33437246963562756</v>
      </c>
      <c r="Y17" s="171">
        <f t="shared" si="4"/>
        <v>5.6739500000000005</v>
      </c>
      <c r="Z17" s="171">
        <f t="shared" si="5"/>
        <v>7.6395750000000007</v>
      </c>
      <c r="AA17" s="171">
        <f t="shared" si="6"/>
        <v>30.885855000000003</v>
      </c>
      <c r="AB17" s="171">
        <f t="shared" si="7"/>
        <v>5.3852298663188787</v>
      </c>
      <c r="AC17" s="171">
        <f t="shared" si="3"/>
        <v>25.75</v>
      </c>
      <c r="AD17" s="163">
        <v>28</v>
      </c>
      <c r="AE17" s="171">
        <f t="shared" si="8"/>
        <v>158.87060000000002</v>
      </c>
      <c r="AF17" s="172"/>
    </row>
    <row r="18" spans="1:32" s="396" customFormat="1" ht="15.75" customHeight="1" x14ac:dyDescent="0.2">
      <c r="A18" s="163">
        <v>5</v>
      </c>
      <c r="B18" s="164" t="s">
        <v>143</v>
      </c>
      <c r="C18" s="163" t="s">
        <v>46</v>
      </c>
      <c r="D18" s="163">
        <v>576.6</v>
      </c>
      <c r="E18" s="163" t="s">
        <v>70</v>
      </c>
      <c r="F18" s="163">
        <v>177.8</v>
      </c>
      <c r="G18" s="163" t="s">
        <v>28</v>
      </c>
      <c r="H18" s="165" t="s">
        <v>50</v>
      </c>
      <c r="I18" s="158">
        <v>543.75</v>
      </c>
      <c r="J18" s="163">
        <v>0</v>
      </c>
      <c r="K18" s="163">
        <v>358</v>
      </c>
      <c r="L18" s="163"/>
      <c r="M18" s="163">
        <v>17.8</v>
      </c>
      <c r="N18" s="163"/>
      <c r="O18" s="163"/>
      <c r="P18" s="182">
        <v>68.957634977185407</v>
      </c>
      <c r="Q18" s="171">
        <f t="shared" si="0"/>
        <v>0</v>
      </c>
      <c r="R18" s="170">
        <v>0</v>
      </c>
      <c r="S18" s="171">
        <v>0</v>
      </c>
      <c r="T18" s="171">
        <v>0</v>
      </c>
      <c r="U18" s="171">
        <v>0</v>
      </c>
      <c r="V18" s="170">
        <v>0</v>
      </c>
      <c r="W18" s="170">
        <v>1</v>
      </c>
      <c r="X18" s="171">
        <v>0</v>
      </c>
      <c r="Y18" s="171">
        <f t="shared" si="4"/>
        <v>0</v>
      </c>
      <c r="Z18" s="171">
        <f t="shared" si="5"/>
        <v>0</v>
      </c>
      <c r="AA18" s="171">
        <f t="shared" si="6"/>
        <v>0</v>
      </c>
      <c r="AB18" s="171">
        <f t="shared" si="7"/>
        <v>0</v>
      </c>
      <c r="AC18" s="171">
        <f t="shared" si="3"/>
        <v>0</v>
      </c>
      <c r="AD18" s="163">
        <v>0</v>
      </c>
      <c r="AE18" s="171">
        <f t="shared" si="8"/>
        <v>0</v>
      </c>
      <c r="AF18" s="172" t="s">
        <v>215</v>
      </c>
    </row>
    <row r="19" spans="1:32" s="396" customFormat="1" ht="15.75" customHeight="1" x14ac:dyDescent="0.2">
      <c r="A19" s="163">
        <v>6</v>
      </c>
      <c r="B19" s="164" t="s">
        <v>144</v>
      </c>
      <c r="C19" s="163" t="s">
        <v>46</v>
      </c>
      <c r="D19" s="163">
        <v>676.6</v>
      </c>
      <c r="E19" s="163" t="s">
        <v>71</v>
      </c>
      <c r="F19" s="163">
        <v>177.8</v>
      </c>
      <c r="G19" s="163" t="s">
        <v>28</v>
      </c>
      <c r="H19" s="165" t="s">
        <v>50</v>
      </c>
      <c r="I19" s="158">
        <v>584.32000000000005</v>
      </c>
      <c r="J19" s="163">
        <v>250</v>
      </c>
      <c r="K19" s="163"/>
      <c r="L19" s="163">
        <v>386</v>
      </c>
      <c r="M19" s="163"/>
      <c r="N19" s="163">
        <v>0.6</v>
      </c>
      <c r="O19" s="163"/>
      <c r="P19" s="182">
        <v>18.34</v>
      </c>
      <c r="Q19" s="171">
        <f t="shared" si="0"/>
        <v>15</v>
      </c>
      <c r="R19" s="170">
        <v>2.5289999999999999</v>
      </c>
      <c r="S19" s="171">
        <v>3.0739999999999998</v>
      </c>
      <c r="T19" s="171">
        <v>0.41399999999999998</v>
      </c>
      <c r="U19" s="171">
        <f t="shared" si="1"/>
        <v>0.16370106761565836</v>
      </c>
      <c r="V19" s="170">
        <v>17.760000000000002</v>
      </c>
      <c r="W19" s="170">
        <v>0.82</v>
      </c>
      <c r="X19" s="171">
        <f>S19/Q19</f>
        <v>0.20493333333333333</v>
      </c>
      <c r="Y19" s="171">
        <f t="shared" si="4"/>
        <v>2.3393250000000001</v>
      </c>
      <c r="Z19" s="171">
        <f t="shared" si="5"/>
        <v>2.8434499999999998</v>
      </c>
      <c r="AA19" s="171">
        <f t="shared" si="6"/>
        <v>0.38708999999999999</v>
      </c>
      <c r="AB19" s="171">
        <v>14.613</v>
      </c>
      <c r="AC19" s="171">
        <f t="shared" si="3"/>
        <v>17.760000000000002</v>
      </c>
      <c r="AD19" s="163">
        <v>28</v>
      </c>
      <c r="AE19" s="171">
        <f t="shared" si="8"/>
        <v>65.501100000000008</v>
      </c>
      <c r="AF19" s="172"/>
    </row>
    <row r="20" spans="1:32" s="396" customFormat="1" ht="15.75" customHeight="1" x14ac:dyDescent="0.2">
      <c r="A20" s="163">
        <v>7</v>
      </c>
      <c r="B20" s="164" t="s">
        <v>145</v>
      </c>
      <c r="C20" s="163" t="s">
        <v>46</v>
      </c>
      <c r="D20" s="163" t="s">
        <v>47</v>
      </c>
      <c r="E20" s="163" t="s">
        <v>72</v>
      </c>
      <c r="F20" s="163">
        <v>177.8</v>
      </c>
      <c r="G20" s="163" t="s">
        <v>28</v>
      </c>
      <c r="H20" s="165" t="s">
        <v>51</v>
      </c>
      <c r="I20" s="158">
        <v>588.04</v>
      </c>
      <c r="J20" s="163">
        <v>100</v>
      </c>
      <c r="K20" s="163"/>
      <c r="L20" s="163">
        <v>486</v>
      </c>
      <c r="M20" s="163"/>
      <c r="N20" s="163">
        <v>13.15</v>
      </c>
      <c r="O20" s="163"/>
      <c r="P20" s="182">
        <v>20.638803668752058</v>
      </c>
      <c r="Q20" s="171">
        <f t="shared" si="0"/>
        <v>22</v>
      </c>
      <c r="R20" s="170">
        <v>11.526</v>
      </c>
      <c r="S20" s="171">
        <v>13.301</v>
      </c>
      <c r="T20" s="171">
        <v>44.805</v>
      </c>
      <c r="U20" s="171">
        <f t="shared" si="1"/>
        <v>3.8872982821447164</v>
      </c>
      <c r="V20" s="170">
        <f t="shared" ref="V20:V74" si="9">(S20-R20)/S20*100</f>
        <v>13.344861288624918</v>
      </c>
      <c r="W20" s="170">
        <v>0.4</v>
      </c>
      <c r="X20" s="171">
        <f t="shared" si="2"/>
        <v>0.60459090909090907</v>
      </c>
      <c r="Y20" s="171">
        <f t="shared" si="4"/>
        <v>10.66155</v>
      </c>
      <c r="Z20" s="171">
        <f t="shared" si="5"/>
        <v>12.303425000000001</v>
      </c>
      <c r="AA20" s="171">
        <f t="shared" si="6"/>
        <v>41.892675000000004</v>
      </c>
      <c r="AB20" s="171">
        <f t="shared" si="7"/>
        <v>3.8872982821447164</v>
      </c>
      <c r="AC20" s="171">
        <f t="shared" si="3"/>
        <v>13.344861288624918</v>
      </c>
      <c r="AD20" s="163">
        <v>28</v>
      </c>
      <c r="AE20" s="171">
        <f t="shared" si="8"/>
        <v>298.52339999999998</v>
      </c>
      <c r="AF20" s="172"/>
    </row>
    <row r="21" spans="1:32" s="396" customFormat="1" ht="15.75" customHeight="1" x14ac:dyDescent="0.2">
      <c r="A21" s="163">
        <v>8</v>
      </c>
      <c r="B21" s="164" t="s">
        <v>146</v>
      </c>
      <c r="C21" s="163" t="s">
        <v>46</v>
      </c>
      <c r="D21" s="163">
        <v>764</v>
      </c>
      <c r="E21" s="75" t="s">
        <v>73</v>
      </c>
      <c r="F21" s="163">
        <v>177.8</v>
      </c>
      <c r="G21" s="163" t="s">
        <v>28</v>
      </c>
      <c r="H21" s="165" t="s">
        <v>52</v>
      </c>
      <c r="I21" s="174">
        <v>550</v>
      </c>
      <c r="J21" s="163">
        <v>95</v>
      </c>
      <c r="K21" s="175"/>
      <c r="L21" s="163">
        <v>396</v>
      </c>
      <c r="M21" s="175"/>
      <c r="N21" s="163">
        <v>8</v>
      </c>
      <c r="O21" s="175"/>
      <c r="P21" s="182">
        <v>25.00691481932396</v>
      </c>
      <c r="Q21" s="171">
        <f t="shared" si="0"/>
        <v>20.9</v>
      </c>
      <c r="R21" s="170">
        <v>6.319</v>
      </c>
      <c r="S21" s="171">
        <v>14.388000000000002</v>
      </c>
      <c r="T21" s="171">
        <v>53</v>
      </c>
      <c r="U21" s="171">
        <f t="shared" si="1"/>
        <v>8.3874030701060303</v>
      </c>
      <c r="V21" s="170">
        <f t="shared" si="9"/>
        <v>56.081456769530178</v>
      </c>
      <c r="W21" s="170">
        <v>0.3</v>
      </c>
      <c r="X21" s="171">
        <f t="shared" si="2"/>
        <v>0.68842105263157904</v>
      </c>
      <c r="Y21" s="171">
        <f t="shared" si="4"/>
        <v>5.8450750000000005</v>
      </c>
      <c r="Z21" s="171">
        <f t="shared" si="5"/>
        <v>13.308900000000003</v>
      </c>
      <c r="AA21" s="171">
        <f t="shared" si="6"/>
        <v>49.555</v>
      </c>
      <c r="AB21" s="171">
        <f t="shared" si="7"/>
        <v>8.3874030701060303</v>
      </c>
      <c r="AC21" s="171">
        <f t="shared" si="3"/>
        <v>56.081456769530178</v>
      </c>
      <c r="AD21" s="163">
        <v>28</v>
      </c>
      <c r="AE21" s="171">
        <f t="shared" si="8"/>
        <v>163.66210000000001</v>
      </c>
      <c r="AF21" s="172"/>
    </row>
    <row r="22" spans="1:32" s="396" customFormat="1" ht="15.75" customHeight="1" x14ac:dyDescent="0.2">
      <c r="A22" s="163">
        <v>9</v>
      </c>
      <c r="B22" s="164" t="s">
        <v>147</v>
      </c>
      <c r="C22" s="163" t="s">
        <v>46</v>
      </c>
      <c r="D22" s="163">
        <v>650.1</v>
      </c>
      <c r="E22" s="163" t="s">
        <v>74</v>
      </c>
      <c r="F22" s="163">
        <v>177.8</v>
      </c>
      <c r="G22" s="163" t="s">
        <v>28</v>
      </c>
      <c r="H22" s="165" t="s">
        <v>52</v>
      </c>
      <c r="I22" s="158">
        <v>591.98</v>
      </c>
      <c r="J22" s="163">
        <v>100</v>
      </c>
      <c r="K22" s="163"/>
      <c r="L22" s="163">
        <v>474</v>
      </c>
      <c r="M22" s="163"/>
      <c r="N22" s="163">
        <v>6.1</v>
      </c>
      <c r="O22" s="163"/>
      <c r="P22" s="182">
        <v>14.83</v>
      </c>
      <c r="Q22" s="171">
        <f t="shared" si="0"/>
        <v>22</v>
      </c>
      <c r="R22" s="170">
        <v>6.9459999999999997</v>
      </c>
      <c r="S22" s="171">
        <v>9.9849999999999994</v>
      </c>
      <c r="T22" s="171">
        <v>14</v>
      </c>
      <c r="U22" s="171">
        <f t="shared" si="1"/>
        <v>2.0155485171321623</v>
      </c>
      <c r="V22" s="170">
        <f t="shared" si="9"/>
        <v>30.435653480220331</v>
      </c>
      <c r="W22" s="170">
        <v>0.3</v>
      </c>
      <c r="X22" s="171">
        <f t="shared" si="2"/>
        <v>0.45386363636363636</v>
      </c>
      <c r="Y22" s="171">
        <f t="shared" si="4"/>
        <v>6.4250499999999997</v>
      </c>
      <c r="Z22" s="171">
        <f t="shared" si="5"/>
        <v>9.2361249999999995</v>
      </c>
      <c r="AA22" s="171">
        <f t="shared" si="6"/>
        <v>13.09</v>
      </c>
      <c r="AB22" s="171">
        <f t="shared" si="7"/>
        <v>2.0155485171321623</v>
      </c>
      <c r="AC22" s="171">
        <f t="shared" si="3"/>
        <v>30.435653480220331</v>
      </c>
      <c r="AD22" s="163">
        <v>28</v>
      </c>
      <c r="AE22" s="171">
        <f t="shared" si="8"/>
        <v>179.9014</v>
      </c>
      <c r="AF22" s="172"/>
    </row>
    <row r="23" spans="1:32" s="396" customFormat="1" ht="15.75" customHeight="1" x14ac:dyDescent="0.2">
      <c r="A23" s="163">
        <v>10</v>
      </c>
      <c r="B23" s="164" t="s">
        <v>149</v>
      </c>
      <c r="C23" s="163" t="s">
        <v>46</v>
      </c>
      <c r="D23" s="163">
        <v>606.29999999999995</v>
      </c>
      <c r="E23" s="163" t="s">
        <v>76</v>
      </c>
      <c r="F23" s="163">
        <v>177.8</v>
      </c>
      <c r="G23" s="163" t="s">
        <v>28</v>
      </c>
      <c r="H23" s="165" t="s">
        <v>52</v>
      </c>
      <c r="I23" s="158">
        <v>585.29999999999995</v>
      </c>
      <c r="J23" s="163">
        <v>135</v>
      </c>
      <c r="K23" s="163"/>
      <c r="L23" s="163">
        <v>300</v>
      </c>
      <c r="M23" s="163"/>
      <c r="N23" s="163">
        <v>4.4000000000000004</v>
      </c>
      <c r="O23" s="163"/>
      <c r="P23" s="182">
        <v>28.71</v>
      </c>
      <c r="Q23" s="171">
        <f t="shared" si="0"/>
        <v>29.7</v>
      </c>
      <c r="R23" s="170">
        <v>1.038</v>
      </c>
      <c r="S23" s="171">
        <v>2.0779999999999998</v>
      </c>
      <c r="T23" s="171">
        <v>0</v>
      </c>
      <c r="U23" s="171">
        <f t="shared" si="1"/>
        <v>0</v>
      </c>
      <c r="V23" s="170">
        <f t="shared" si="9"/>
        <v>50.048123195380171</v>
      </c>
      <c r="W23" s="170">
        <v>0.6</v>
      </c>
      <c r="X23" s="171">
        <f t="shared" si="2"/>
        <v>6.9966329966329968E-2</v>
      </c>
      <c r="Y23" s="171">
        <f t="shared" si="4"/>
        <v>0.96015000000000006</v>
      </c>
      <c r="Z23" s="171">
        <f t="shared" si="5"/>
        <v>1.92215</v>
      </c>
      <c r="AA23" s="171">
        <f t="shared" si="6"/>
        <v>0</v>
      </c>
      <c r="AB23" s="171">
        <f t="shared" si="7"/>
        <v>0</v>
      </c>
      <c r="AC23" s="171">
        <f t="shared" si="3"/>
        <v>50.048123195380171</v>
      </c>
      <c r="AD23" s="163">
        <v>28</v>
      </c>
      <c r="AE23" s="171">
        <f t="shared" si="8"/>
        <v>26.8842</v>
      </c>
      <c r="AF23" s="179"/>
    </row>
    <row r="24" spans="1:32" s="396" customFormat="1" ht="15.75" customHeight="1" x14ac:dyDescent="0.2">
      <c r="A24" s="163">
        <v>11</v>
      </c>
      <c r="B24" s="164" t="s">
        <v>150</v>
      </c>
      <c r="C24" s="163" t="s">
        <v>46</v>
      </c>
      <c r="D24" s="163">
        <v>661</v>
      </c>
      <c r="E24" s="180" t="s">
        <v>77</v>
      </c>
      <c r="F24" s="163">
        <v>177.8</v>
      </c>
      <c r="G24" s="163" t="s">
        <v>28</v>
      </c>
      <c r="H24" s="165" t="s">
        <v>53</v>
      </c>
      <c r="I24" s="158">
        <v>554.91</v>
      </c>
      <c r="J24" s="163">
        <v>86</v>
      </c>
      <c r="K24" s="163"/>
      <c r="L24" s="163">
        <v>391</v>
      </c>
      <c r="M24" s="163"/>
      <c r="N24" s="163">
        <v>0.65</v>
      </c>
      <c r="O24" s="163"/>
      <c r="P24" s="182">
        <v>17.760000000000002</v>
      </c>
      <c r="Q24" s="171">
        <f t="shared" si="0"/>
        <v>11.18</v>
      </c>
      <c r="R24" s="170">
        <v>0.70399999999999996</v>
      </c>
      <c r="S24" s="171">
        <v>1.107</v>
      </c>
      <c r="T24" s="171">
        <v>0.27900000000000003</v>
      </c>
      <c r="U24" s="171">
        <f t="shared" si="1"/>
        <v>0.39630681818181823</v>
      </c>
      <c r="V24" s="170">
        <f t="shared" si="9"/>
        <v>36.404697380307141</v>
      </c>
      <c r="W24" s="170">
        <v>0.4</v>
      </c>
      <c r="X24" s="171">
        <f t="shared" si="2"/>
        <v>9.9016100178890884E-2</v>
      </c>
      <c r="Y24" s="171">
        <f t="shared" si="4"/>
        <v>0.6512</v>
      </c>
      <c r="Z24" s="171">
        <f t="shared" si="5"/>
        <v>1.0239750000000001</v>
      </c>
      <c r="AA24" s="171">
        <f t="shared" si="6"/>
        <v>0.26086500000000001</v>
      </c>
      <c r="AB24" s="171">
        <f t="shared" si="7"/>
        <v>0.39630681818181823</v>
      </c>
      <c r="AC24" s="171">
        <f t="shared" si="3"/>
        <v>36.404697380307141</v>
      </c>
      <c r="AD24" s="163">
        <v>28</v>
      </c>
      <c r="AE24" s="171">
        <f t="shared" si="8"/>
        <v>18.233599999999999</v>
      </c>
      <c r="AF24" s="172"/>
    </row>
    <row r="25" spans="1:32" s="396" customFormat="1" ht="15.75" customHeight="1" x14ac:dyDescent="0.2">
      <c r="A25" s="163">
        <v>12</v>
      </c>
      <c r="B25" s="164" t="s">
        <v>151</v>
      </c>
      <c r="C25" s="163" t="s">
        <v>46</v>
      </c>
      <c r="D25" s="163">
        <v>675.4</v>
      </c>
      <c r="E25" s="180" t="s">
        <v>298</v>
      </c>
      <c r="F25" s="163">
        <v>177.8</v>
      </c>
      <c r="G25" s="163" t="s">
        <v>28</v>
      </c>
      <c r="H25" s="165" t="s">
        <v>52</v>
      </c>
      <c r="I25" s="158">
        <v>553.5</v>
      </c>
      <c r="J25" s="163">
        <v>220</v>
      </c>
      <c r="K25" s="163"/>
      <c r="L25" s="163">
        <v>331</v>
      </c>
      <c r="M25" s="163"/>
      <c r="N25" s="163">
        <v>6.7</v>
      </c>
      <c r="O25" s="163"/>
      <c r="P25" s="182">
        <v>28.64</v>
      </c>
      <c r="Q25" s="171">
        <f t="shared" si="0"/>
        <v>48.4</v>
      </c>
      <c r="R25" s="170">
        <v>17</v>
      </c>
      <c r="S25" s="171">
        <v>26.238</v>
      </c>
      <c r="T25" s="171">
        <v>215.92099999999999</v>
      </c>
      <c r="U25" s="171">
        <f t="shared" si="1"/>
        <v>12.701235294117646</v>
      </c>
      <c r="V25" s="170">
        <v>34.799999999999997</v>
      </c>
      <c r="W25" s="170">
        <v>0.4</v>
      </c>
      <c r="X25" s="171">
        <f t="shared" si="2"/>
        <v>0.54210743801652894</v>
      </c>
      <c r="Y25" s="171">
        <f t="shared" si="4"/>
        <v>15.725000000000001</v>
      </c>
      <c r="Z25" s="171">
        <f t="shared" si="5"/>
        <v>24.270150000000001</v>
      </c>
      <c r="AA25" s="171">
        <f t="shared" si="6"/>
        <v>201.886135</v>
      </c>
      <c r="AB25" s="171">
        <f t="shared" si="7"/>
        <v>12.701235294117646</v>
      </c>
      <c r="AC25" s="171">
        <f t="shared" si="3"/>
        <v>34.799999999999997</v>
      </c>
      <c r="AD25" s="163">
        <v>28</v>
      </c>
      <c r="AE25" s="171">
        <f t="shared" si="8"/>
        <v>440.30000000000007</v>
      </c>
      <c r="AF25" s="172"/>
    </row>
    <row r="26" spans="1:32" s="396" customFormat="1" ht="15.75" customHeight="1" x14ac:dyDescent="0.2">
      <c r="A26" s="163">
        <v>13</v>
      </c>
      <c r="B26" s="164" t="s">
        <v>36</v>
      </c>
      <c r="C26" s="163" t="s">
        <v>46</v>
      </c>
      <c r="D26" s="163">
        <v>584.5</v>
      </c>
      <c r="E26" s="180" t="s">
        <v>79</v>
      </c>
      <c r="F26" s="163">
        <v>177.8</v>
      </c>
      <c r="G26" s="163" t="s">
        <v>28</v>
      </c>
      <c r="H26" s="165" t="s">
        <v>49</v>
      </c>
      <c r="I26" s="158">
        <v>525.03</v>
      </c>
      <c r="J26" s="163">
        <v>120</v>
      </c>
      <c r="K26" s="163"/>
      <c r="L26" s="163">
        <v>333</v>
      </c>
      <c r="M26" s="163"/>
      <c r="N26" s="163">
        <v>7.2</v>
      </c>
      <c r="O26" s="163"/>
      <c r="P26" s="182">
        <v>26.42</v>
      </c>
      <c r="Q26" s="171">
        <f t="shared" si="0"/>
        <v>38.4</v>
      </c>
      <c r="R26" s="170">
        <v>12.087999999999999</v>
      </c>
      <c r="S26" s="171">
        <v>25.523</v>
      </c>
      <c r="T26" s="171">
        <v>252</v>
      </c>
      <c r="U26" s="171">
        <f t="shared" si="1"/>
        <v>20.847121111846462</v>
      </c>
      <c r="V26" s="170">
        <f t="shared" si="9"/>
        <v>52.638796379735929</v>
      </c>
      <c r="W26" s="170">
        <v>0.3</v>
      </c>
      <c r="X26" s="171">
        <f t="shared" si="2"/>
        <v>0.66466145833333334</v>
      </c>
      <c r="Y26" s="171">
        <f t="shared" si="4"/>
        <v>11.1814</v>
      </c>
      <c r="Z26" s="171">
        <f t="shared" si="5"/>
        <v>23.608775000000001</v>
      </c>
      <c r="AA26" s="171">
        <f t="shared" si="6"/>
        <v>235.62</v>
      </c>
      <c r="AB26" s="171">
        <f t="shared" si="7"/>
        <v>20.847121111846462</v>
      </c>
      <c r="AC26" s="171">
        <f t="shared" si="3"/>
        <v>52.638796379735929</v>
      </c>
      <c r="AD26" s="163">
        <v>28</v>
      </c>
      <c r="AE26" s="171">
        <f t="shared" si="8"/>
        <v>313.07920000000001</v>
      </c>
      <c r="AF26" s="172"/>
    </row>
    <row r="27" spans="1:32" s="396" customFormat="1" ht="15.75" customHeight="1" x14ac:dyDescent="0.2">
      <c r="A27" s="163">
        <v>14</v>
      </c>
      <c r="B27" s="164" t="s">
        <v>152</v>
      </c>
      <c r="C27" s="163" t="s">
        <v>46</v>
      </c>
      <c r="D27" s="163">
        <v>565</v>
      </c>
      <c r="E27" s="180" t="s">
        <v>80</v>
      </c>
      <c r="F27" s="163">
        <v>177.8</v>
      </c>
      <c r="G27" s="163" t="s">
        <v>28</v>
      </c>
      <c r="H27" s="165" t="s">
        <v>52</v>
      </c>
      <c r="I27" s="174">
        <v>522</v>
      </c>
      <c r="J27" s="163">
        <v>310</v>
      </c>
      <c r="K27" s="163"/>
      <c r="L27" s="163">
        <v>408</v>
      </c>
      <c r="M27" s="163"/>
      <c r="N27" s="163">
        <v>8.6999999999999993</v>
      </c>
      <c r="O27" s="163"/>
      <c r="P27" s="182">
        <v>20.62</v>
      </c>
      <c r="Q27" s="171">
        <f t="shared" si="0"/>
        <v>68.2</v>
      </c>
      <c r="R27" s="170">
        <v>10.923</v>
      </c>
      <c r="S27" s="171">
        <v>18.521999999999998</v>
      </c>
      <c r="T27" s="171">
        <v>4185.0169999999998</v>
      </c>
      <c r="U27" s="171">
        <f t="shared" si="1"/>
        <v>383.13805731026275</v>
      </c>
      <c r="V27" s="170">
        <f t="shared" si="9"/>
        <v>41.02688694525429</v>
      </c>
      <c r="W27" s="170">
        <v>0.4</v>
      </c>
      <c r="X27" s="171">
        <f t="shared" si="2"/>
        <v>0.27158357771260994</v>
      </c>
      <c r="Y27" s="171">
        <f t="shared" si="4"/>
        <v>10.103775000000001</v>
      </c>
      <c r="Z27" s="171">
        <f t="shared" si="5"/>
        <v>17.132849999999998</v>
      </c>
      <c r="AA27" s="171">
        <f t="shared" si="6"/>
        <v>3912.9908949999999</v>
      </c>
      <c r="AB27" s="171">
        <f t="shared" si="7"/>
        <v>383.13805731026275</v>
      </c>
      <c r="AC27" s="171">
        <f t="shared" si="3"/>
        <v>41.02688694525429</v>
      </c>
      <c r="AD27" s="163">
        <v>28</v>
      </c>
      <c r="AE27" s="171">
        <f t="shared" si="8"/>
        <v>282.90570000000002</v>
      </c>
      <c r="AF27" s="172"/>
    </row>
    <row r="28" spans="1:32" s="396" customFormat="1" ht="15.75" customHeight="1" x14ac:dyDescent="0.2">
      <c r="A28" s="163">
        <v>15</v>
      </c>
      <c r="B28" s="164" t="s">
        <v>37</v>
      </c>
      <c r="C28" s="163" t="s">
        <v>46</v>
      </c>
      <c r="D28" s="163">
        <v>670</v>
      </c>
      <c r="E28" s="163" t="s">
        <v>81</v>
      </c>
      <c r="F28" s="163">
        <v>177.8</v>
      </c>
      <c r="G28" s="163" t="s">
        <v>28</v>
      </c>
      <c r="H28" s="165" t="s">
        <v>48</v>
      </c>
      <c r="I28" s="158">
        <v>570.95000000000005</v>
      </c>
      <c r="J28" s="163">
        <v>85</v>
      </c>
      <c r="K28" s="163"/>
      <c r="L28" s="163">
        <v>451</v>
      </c>
      <c r="M28" s="163"/>
      <c r="N28" s="163">
        <v>7.1</v>
      </c>
      <c r="O28" s="163"/>
      <c r="P28" s="182">
        <v>19.23</v>
      </c>
      <c r="Q28" s="171">
        <f t="shared" si="0"/>
        <v>11.05</v>
      </c>
      <c r="R28" s="170">
        <v>4.0629999999999997</v>
      </c>
      <c r="S28" s="171">
        <v>6.0129999999999999</v>
      </c>
      <c r="T28" s="171">
        <v>17.241</v>
      </c>
      <c r="U28" s="171">
        <f t="shared" si="1"/>
        <v>4.2434161949298552</v>
      </c>
      <c r="V28" s="170">
        <f t="shared" si="9"/>
        <v>32.429735572925331</v>
      </c>
      <c r="W28" s="170">
        <v>0.4</v>
      </c>
      <c r="X28" s="171">
        <f t="shared" si="2"/>
        <v>0.54416289592760181</v>
      </c>
      <c r="Y28" s="171">
        <f t="shared" si="4"/>
        <v>3.7582749999999998</v>
      </c>
      <c r="Z28" s="171">
        <f t="shared" si="5"/>
        <v>5.5620250000000002</v>
      </c>
      <c r="AA28" s="171">
        <f t="shared" si="6"/>
        <v>16.120335000000001</v>
      </c>
      <c r="AB28" s="171">
        <f t="shared" si="7"/>
        <v>4.2434161949298552</v>
      </c>
      <c r="AC28" s="171">
        <f t="shared" si="3"/>
        <v>32.429735572925331</v>
      </c>
      <c r="AD28" s="163">
        <v>28</v>
      </c>
      <c r="AE28" s="171">
        <f>Y28*AD28</f>
        <v>105.23169999999999</v>
      </c>
      <c r="AF28" s="179"/>
    </row>
    <row r="29" spans="1:32" s="396" customFormat="1" ht="15.75" customHeight="1" x14ac:dyDescent="0.2">
      <c r="A29" s="163">
        <v>16</v>
      </c>
      <c r="B29" s="164" t="s">
        <v>153</v>
      </c>
      <c r="C29" s="164" t="s">
        <v>46</v>
      </c>
      <c r="D29" s="164">
        <v>672</v>
      </c>
      <c r="E29" s="164" t="s">
        <v>82</v>
      </c>
      <c r="F29" s="164">
        <v>177.8</v>
      </c>
      <c r="G29" s="164" t="s">
        <v>28</v>
      </c>
      <c r="H29" s="164" t="s">
        <v>49</v>
      </c>
      <c r="I29" s="164">
        <v>590.9</v>
      </c>
      <c r="J29" s="164">
        <v>300</v>
      </c>
      <c r="K29" s="164"/>
      <c r="L29" s="164">
        <v>506</v>
      </c>
      <c r="M29" s="164"/>
      <c r="N29" s="164">
        <v>9.8000000000000007</v>
      </c>
      <c r="O29" s="164"/>
      <c r="P29" s="371">
        <v>14.78</v>
      </c>
      <c r="Q29" s="164">
        <f t="shared" si="0"/>
        <v>96</v>
      </c>
      <c r="R29" s="181">
        <v>17.710999999999999</v>
      </c>
      <c r="S29" s="171">
        <v>21.321999999999999</v>
      </c>
      <c r="T29" s="164">
        <v>1203.69</v>
      </c>
      <c r="U29" s="181">
        <f t="shared" si="1"/>
        <v>67.962847947603194</v>
      </c>
      <c r="V29" s="181">
        <f t="shared" si="9"/>
        <v>16.935559515992875</v>
      </c>
      <c r="W29" s="164">
        <v>0.5</v>
      </c>
      <c r="X29" s="181">
        <f t="shared" si="2"/>
        <v>0.22210416666666666</v>
      </c>
      <c r="Y29" s="171">
        <f t="shared" si="4"/>
        <v>16.382674999999999</v>
      </c>
      <c r="Z29" s="171">
        <f t="shared" si="5"/>
        <v>19.722850000000001</v>
      </c>
      <c r="AA29" s="171">
        <f t="shared" si="6"/>
        <v>1125.4501500000001</v>
      </c>
      <c r="AB29" s="181">
        <f t="shared" si="7"/>
        <v>67.962847947603194</v>
      </c>
      <c r="AC29" s="181">
        <f t="shared" si="3"/>
        <v>16.935559515992875</v>
      </c>
      <c r="AD29" s="163">
        <v>28</v>
      </c>
      <c r="AE29" s="181">
        <f>Y29*AD29</f>
        <v>458.71489999999994</v>
      </c>
      <c r="AF29" s="164"/>
    </row>
    <row r="30" spans="1:32" s="396" customFormat="1" ht="15.75" customHeight="1" x14ac:dyDescent="0.2">
      <c r="A30" s="163">
        <v>17</v>
      </c>
      <c r="B30" s="164" t="s">
        <v>154</v>
      </c>
      <c r="C30" s="163" t="s">
        <v>46</v>
      </c>
      <c r="D30" s="82">
        <v>615</v>
      </c>
      <c r="E30" s="75" t="s">
        <v>204</v>
      </c>
      <c r="F30" s="163">
        <v>177.8</v>
      </c>
      <c r="G30" s="163" t="s">
        <v>28</v>
      </c>
      <c r="H30" s="165" t="s">
        <v>48</v>
      </c>
      <c r="I30" s="174">
        <v>605.78</v>
      </c>
      <c r="J30" s="163"/>
      <c r="K30" s="163">
        <v>153</v>
      </c>
      <c r="L30" s="163"/>
      <c r="M30" s="163">
        <v>9</v>
      </c>
      <c r="N30" s="163"/>
      <c r="O30" s="163"/>
      <c r="P30" s="182">
        <v>39.788985414489787</v>
      </c>
      <c r="Q30" s="171">
        <v>0</v>
      </c>
      <c r="R30" s="170">
        <v>0</v>
      </c>
      <c r="S30" s="171">
        <v>0</v>
      </c>
      <c r="T30" s="171">
        <v>0</v>
      </c>
      <c r="U30" s="171">
        <v>0</v>
      </c>
      <c r="V30" s="171">
        <v>0</v>
      </c>
      <c r="W30" s="171">
        <v>0</v>
      </c>
      <c r="X30" s="171">
        <v>0</v>
      </c>
      <c r="Y30" s="171">
        <f t="shared" si="4"/>
        <v>0</v>
      </c>
      <c r="Z30" s="171">
        <f t="shared" si="5"/>
        <v>0</v>
      </c>
      <c r="AA30" s="171">
        <f t="shared" si="6"/>
        <v>0</v>
      </c>
      <c r="AB30" s="171">
        <v>0</v>
      </c>
      <c r="AC30" s="171">
        <v>0</v>
      </c>
      <c r="AD30" s="163">
        <v>0</v>
      </c>
      <c r="AE30" s="171">
        <v>0</v>
      </c>
      <c r="AF30" s="172" t="s">
        <v>237</v>
      </c>
    </row>
    <row r="31" spans="1:32" s="396" customFormat="1" ht="15.75" customHeight="1" x14ac:dyDescent="0.2">
      <c r="A31" s="163">
        <v>18</v>
      </c>
      <c r="B31" s="164" t="s">
        <v>38</v>
      </c>
      <c r="C31" s="163" t="s">
        <v>46</v>
      </c>
      <c r="D31" s="182">
        <v>580</v>
      </c>
      <c r="E31" s="163" t="s">
        <v>84</v>
      </c>
      <c r="F31" s="163">
        <v>177.8</v>
      </c>
      <c r="G31" s="163" t="s">
        <v>28</v>
      </c>
      <c r="H31" s="165" t="s">
        <v>48</v>
      </c>
      <c r="I31" s="158">
        <v>561.19000000000005</v>
      </c>
      <c r="J31" s="163"/>
      <c r="K31" s="163">
        <v>107</v>
      </c>
      <c r="L31" s="163"/>
      <c r="M31" s="163">
        <v>0.9</v>
      </c>
      <c r="N31" s="163"/>
      <c r="O31" s="163"/>
      <c r="P31" s="182">
        <v>47.393382817065302</v>
      </c>
      <c r="Q31" s="171">
        <f t="shared" si="0"/>
        <v>0</v>
      </c>
      <c r="R31" s="170">
        <v>0</v>
      </c>
      <c r="S31" s="171">
        <v>0</v>
      </c>
      <c r="T31" s="170">
        <v>0</v>
      </c>
      <c r="U31" s="170">
        <v>0</v>
      </c>
      <c r="V31" s="170">
        <v>0</v>
      </c>
      <c r="W31" s="170">
        <v>0</v>
      </c>
      <c r="X31" s="170">
        <v>0</v>
      </c>
      <c r="Y31" s="171">
        <f t="shared" si="4"/>
        <v>0</v>
      </c>
      <c r="Z31" s="171">
        <f t="shared" si="5"/>
        <v>0</v>
      </c>
      <c r="AA31" s="171">
        <f t="shared" si="6"/>
        <v>0</v>
      </c>
      <c r="AB31" s="171">
        <f>U31</f>
        <v>0</v>
      </c>
      <c r="AC31" s="171">
        <f t="shared" si="3"/>
        <v>0</v>
      </c>
      <c r="AD31" s="163">
        <v>0</v>
      </c>
      <c r="AE31" s="171">
        <f t="shared" si="8"/>
        <v>0</v>
      </c>
      <c r="AF31" s="172" t="s">
        <v>215</v>
      </c>
    </row>
    <row r="32" spans="1:32" s="396" customFormat="1" ht="15.75" customHeight="1" x14ac:dyDescent="0.2">
      <c r="A32" s="163">
        <v>19</v>
      </c>
      <c r="B32" s="164" t="s">
        <v>39</v>
      </c>
      <c r="C32" s="163" t="s">
        <v>46</v>
      </c>
      <c r="D32" s="163">
        <v>575.20000000000005</v>
      </c>
      <c r="E32" s="163" t="s">
        <v>85</v>
      </c>
      <c r="F32" s="163">
        <v>177.8</v>
      </c>
      <c r="G32" s="163" t="s">
        <v>28</v>
      </c>
      <c r="H32" s="165" t="s">
        <v>51</v>
      </c>
      <c r="I32" s="158">
        <v>571.29</v>
      </c>
      <c r="J32" s="163">
        <v>95</v>
      </c>
      <c r="K32" s="163"/>
      <c r="L32" s="163">
        <v>423</v>
      </c>
      <c r="M32" s="163"/>
      <c r="N32" s="163">
        <v>6.6</v>
      </c>
      <c r="O32" s="163"/>
      <c r="P32" s="182">
        <v>18.739999999999998</v>
      </c>
      <c r="Q32" s="171">
        <f t="shared" si="0"/>
        <v>20.9</v>
      </c>
      <c r="R32" s="170">
        <v>8.4</v>
      </c>
      <c r="S32" s="171">
        <v>15.428000000000001</v>
      </c>
      <c r="T32" s="171">
        <v>423.75900000000001</v>
      </c>
      <c r="U32" s="171">
        <f t="shared" si="1"/>
        <v>50.447499999999998</v>
      </c>
      <c r="V32" s="170">
        <f>(S32-R32)/S32*100</f>
        <v>45.553539019963701</v>
      </c>
      <c r="W32" s="170">
        <v>0.3</v>
      </c>
      <c r="X32" s="171">
        <f t="shared" si="2"/>
        <v>0.73818181818181827</v>
      </c>
      <c r="Y32" s="171">
        <f t="shared" si="4"/>
        <v>7.7700000000000005</v>
      </c>
      <c r="Z32" s="171">
        <f t="shared" si="5"/>
        <v>14.270900000000001</v>
      </c>
      <c r="AA32" s="171">
        <f t="shared" si="6"/>
        <v>396.21466500000002</v>
      </c>
      <c r="AB32" s="171">
        <f t="shared" si="7"/>
        <v>50.447499999999998</v>
      </c>
      <c r="AC32" s="171">
        <f t="shared" si="3"/>
        <v>45.553539019963701</v>
      </c>
      <c r="AD32" s="163">
        <v>28</v>
      </c>
      <c r="AE32" s="171">
        <f t="shared" si="8"/>
        <v>217.56</v>
      </c>
      <c r="AF32" s="183"/>
    </row>
    <row r="33" spans="1:32" s="396" customFormat="1" ht="15.75" customHeight="1" x14ac:dyDescent="0.2">
      <c r="A33" s="163">
        <v>20</v>
      </c>
      <c r="B33" s="164" t="s">
        <v>40</v>
      </c>
      <c r="C33" s="163" t="s">
        <v>46</v>
      </c>
      <c r="D33" s="163">
        <v>679.7</v>
      </c>
      <c r="E33" s="163" t="s">
        <v>86</v>
      </c>
      <c r="F33" s="163">
        <v>177.8</v>
      </c>
      <c r="G33" s="163" t="s">
        <v>28</v>
      </c>
      <c r="H33" s="165" t="s">
        <v>48</v>
      </c>
      <c r="I33" s="158">
        <v>588.04999999999995</v>
      </c>
      <c r="J33" s="163">
        <v>0</v>
      </c>
      <c r="K33" s="163">
        <v>410</v>
      </c>
      <c r="L33" s="163">
        <v>0</v>
      </c>
      <c r="M33" s="163">
        <v>0.3</v>
      </c>
      <c r="N33" s="163"/>
      <c r="O33" s="163"/>
      <c r="P33" s="182">
        <v>16.425930282478571</v>
      </c>
      <c r="Q33" s="171">
        <f>LEFT(H33,(FIND("K",H33,1)-1))*J33/100</f>
        <v>0</v>
      </c>
      <c r="R33" s="170">
        <v>0</v>
      </c>
      <c r="S33" s="171">
        <v>0</v>
      </c>
      <c r="T33" s="171">
        <v>0</v>
      </c>
      <c r="U33" s="171">
        <f>IF(R33=0,0,T33/R33)</f>
        <v>0</v>
      </c>
      <c r="V33" s="170">
        <v>0</v>
      </c>
      <c r="W33" s="170">
        <v>0</v>
      </c>
      <c r="X33" s="171">
        <v>0</v>
      </c>
      <c r="Y33" s="171">
        <f t="shared" si="4"/>
        <v>0</v>
      </c>
      <c r="Z33" s="171">
        <f t="shared" si="5"/>
        <v>0</v>
      </c>
      <c r="AA33" s="171">
        <f t="shared" si="6"/>
        <v>0</v>
      </c>
      <c r="AB33" s="171">
        <v>0</v>
      </c>
      <c r="AC33" s="171">
        <v>0</v>
      </c>
      <c r="AD33" s="163">
        <v>0</v>
      </c>
      <c r="AE33" s="171">
        <f>Y33*AD33</f>
        <v>0</v>
      </c>
      <c r="AF33" s="179" t="s">
        <v>215</v>
      </c>
    </row>
    <row r="34" spans="1:32" s="396" customFormat="1" ht="15.75" customHeight="1" x14ac:dyDescent="0.2">
      <c r="A34" s="163">
        <v>21</v>
      </c>
      <c r="B34" s="164" t="s">
        <v>41</v>
      </c>
      <c r="C34" s="163" t="s">
        <v>46</v>
      </c>
      <c r="D34" s="163">
        <v>573.70000000000005</v>
      </c>
      <c r="E34" s="163" t="s">
        <v>87</v>
      </c>
      <c r="F34" s="163">
        <v>177.8</v>
      </c>
      <c r="G34" s="163" t="s">
        <v>28</v>
      </c>
      <c r="H34" s="165" t="s">
        <v>52</v>
      </c>
      <c r="I34" s="158">
        <v>554.30999999999995</v>
      </c>
      <c r="J34" s="163">
        <v>300</v>
      </c>
      <c r="K34" s="163"/>
      <c r="L34" s="163">
        <v>473</v>
      </c>
      <c r="M34" s="163"/>
      <c r="N34" s="163">
        <v>7.2</v>
      </c>
      <c r="O34" s="163"/>
      <c r="P34" s="182">
        <v>14.19</v>
      </c>
      <c r="Q34" s="171">
        <f t="shared" si="0"/>
        <v>66</v>
      </c>
      <c r="R34" s="170">
        <v>5.7160000000000002</v>
      </c>
      <c r="S34" s="171">
        <v>7.0049999999999999</v>
      </c>
      <c r="T34" s="171">
        <v>598</v>
      </c>
      <c r="U34" s="171">
        <f t="shared" si="1"/>
        <v>104.6186144156753</v>
      </c>
      <c r="V34" s="170">
        <f t="shared" si="9"/>
        <v>18.401142041398995</v>
      </c>
      <c r="W34" s="170">
        <v>0.3</v>
      </c>
      <c r="X34" s="171">
        <f t="shared" si="2"/>
        <v>0.10613636363636364</v>
      </c>
      <c r="Y34" s="171">
        <f t="shared" si="4"/>
        <v>5.2873000000000001</v>
      </c>
      <c r="Z34" s="171">
        <f t="shared" si="5"/>
        <v>6.4796250000000004</v>
      </c>
      <c r="AA34" s="171">
        <f t="shared" si="6"/>
        <v>559.13</v>
      </c>
      <c r="AB34" s="171">
        <v>89.536086956521729</v>
      </c>
      <c r="AC34" s="171">
        <v>26</v>
      </c>
      <c r="AD34" s="163">
        <v>28</v>
      </c>
      <c r="AE34" s="171">
        <f t="shared" si="8"/>
        <v>148.0444</v>
      </c>
      <c r="AF34" s="183"/>
    </row>
    <row r="35" spans="1:32" s="396" customFormat="1" ht="15.75" customHeight="1" x14ac:dyDescent="0.2">
      <c r="A35" s="163">
        <v>22</v>
      </c>
      <c r="B35" s="164" t="s">
        <v>42</v>
      </c>
      <c r="C35" s="163" t="s">
        <v>46</v>
      </c>
      <c r="D35" s="163">
        <v>681.1</v>
      </c>
      <c r="E35" s="163" t="s">
        <v>88</v>
      </c>
      <c r="F35" s="163">
        <v>177.8</v>
      </c>
      <c r="G35" s="163" t="s">
        <v>28</v>
      </c>
      <c r="H35" s="165" t="s">
        <v>48</v>
      </c>
      <c r="I35" s="158">
        <v>589.66</v>
      </c>
      <c r="J35" s="163">
        <v>125</v>
      </c>
      <c r="K35" s="163"/>
      <c r="L35" s="163">
        <v>471</v>
      </c>
      <c r="M35" s="163"/>
      <c r="N35" s="163">
        <v>8.4</v>
      </c>
      <c r="O35" s="163"/>
      <c r="P35" s="182">
        <v>18.010000000000002</v>
      </c>
      <c r="Q35" s="171">
        <f t="shared" si="0"/>
        <v>16.25</v>
      </c>
      <c r="R35" s="170">
        <v>6.11</v>
      </c>
      <c r="S35" s="171">
        <v>10.367000000000001</v>
      </c>
      <c r="T35" s="171">
        <v>16.931000000000001</v>
      </c>
      <c r="U35" s="171">
        <f t="shared" si="1"/>
        <v>2.7710310965630116</v>
      </c>
      <c r="V35" s="170">
        <f t="shared" si="9"/>
        <v>41.062988328349569</v>
      </c>
      <c r="W35" s="170">
        <v>0.3</v>
      </c>
      <c r="X35" s="171">
        <f t="shared" si="2"/>
        <v>0.63796923076923084</v>
      </c>
      <c r="Y35" s="171">
        <f t="shared" si="4"/>
        <v>5.6517500000000007</v>
      </c>
      <c r="Z35" s="171">
        <f t="shared" si="5"/>
        <v>9.589475000000002</v>
      </c>
      <c r="AA35" s="171">
        <f t="shared" si="6"/>
        <v>15.830485000000001</v>
      </c>
      <c r="AB35" s="171">
        <f t="shared" si="7"/>
        <v>2.7710310965630116</v>
      </c>
      <c r="AC35" s="171">
        <f t="shared" si="3"/>
        <v>41.062988328349569</v>
      </c>
      <c r="AD35" s="163">
        <v>28</v>
      </c>
      <c r="AE35" s="171">
        <f t="shared" si="8"/>
        <v>158.24900000000002</v>
      </c>
      <c r="AF35" s="179"/>
    </row>
    <row r="36" spans="1:32" s="396" customFormat="1" ht="15.75" customHeight="1" x14ac:dyDescent="0.2">
      <c r="A36" s="163">
        <v>23</v>
      </c>
      <c r="B36" s="164" t="s">
        <v>43</v>
      </c>
      <c r="C36" s="163" t="s">
        <v>46</v>
      </c>
      <c r="D36" s="163">
        <v>682.7</v>
      </c>
      <c r="E36" s="163" t="s">
        <v>89</v>
      </c>
      <c r="F36" s="163">
        <v>177.8</v>
      </c>
      <c r="G36" s="163" t="s">
        <v>28</v>
      </c>
      <c r="H36" s="165" t="s">
        <v>52</v>
      </c>
      <c r="I36" s="186">
        <v>551.13</v>
      </c>
      <c r="J36" s="163">
        <v>85</v>
      </c>
      <c r="K36" s="163"/>
      <c r="L36" s="163">
        <v>444</v>
      </c>
      <c r="M36" s="163"/>
      <c r="N36" s="163">
        <v>7.2</v>
      </c>
      <c r="O36" s="163"/>
      <c r="P36" s="182">
        <v>19.21</v>
      </c>
      <c r="Q36" s="171">
        <f t="shared" si="0"/>
        <v>18.7</v>
      </c>
      <c r="R36" s="170">
        <v>2.0499999999999998</v>
      </c>
      <c r="S36" s="171">
        <v>10.882999999999999</v>
      </c>
      <c r="T36" s="171">
        <v>48.55</v>
      </c>
      <c r="U36" s="171">
        <f t="shared" si="1"/>
        <v>23.682926829268293</v>
      </c>
      <c r="V36" s="170">
        <f t="shared" si="9"/>
        <v>81.163282183221526</v>
      </c>
      <c r="W36" s="170">
        <v>0.6</v>
      </c>
      <c r="X36" s="171">
        <f t="shared" si="2"/>
        <v>0.58197860962566839</v>
      </c>
      <c r="Y36" s="171">
        <f t="shared" si="4"/>
        <v>1.89625</v>
      </c>
      <c r="Z36" s="171">
        <f t="shared" si="5"/>
        <v>10.066775</v>
      </c>
      <c r="AA36" s="171">
        <f t="shared" si="6"/>
        <v>45.39425</v>
      </c>
      <c r="AB36" s="171">
        <f t="shared" si="7"/>
        <v>23.682926829268293</v>
      </c>
      <c r="AC36" s="171">
        <f t="shared" si="3"/>
        <v>81.163282183221526</v>
      </c>
      <c r="AD36" s="163">
        <v>28</v>
      </c>
      <c r="AE36" s="171">
        <f t="shared" si="8"/>
        <v>53.094999999999999</v>
      </c>
      <c r="AF36" s="172"/>
    </row>
    <row r="37" spans="1:32" s="396" customFormat="1" ht="15.75" customHeight="1" x14ac:dyDescent="0.2">
      <c r="A37" s="163">
        <v>24</v>
      </c>
      <c r="B37" s="164" t="s">
        <v>44</v>
      </c>
      <c r="C37" s="163" t="s">
        <v>46</v>
      </c>
      <c r="D37" s="163">
        <v>614.20000000000005</v>
      </c>
      <c r="E37" s="163" t="s">
        <v>90</v>
      </c>
      <c r="F37" s="163">
        <v>177.8</v>
      </c>
      <c r="G37" s="163" t="s">
        <v>28</v>
      </c>
      <c r="H37" s="165" t="s">
        <v>52</v>
      </c>
      <c r="I37" s="186">
        <v>592.85</v>
      </c>
      <c r="J37" s="163">
        <v>200</v>
      </c>
      <c r="K37" s="163"/>
      <c r="L37" s="163">
        <v>224</v>
      </c>
      <c r="M37" s="163"/>
      <c r="N37" s="163">
        <v>8.5</v>
      </c>
      <c r="O37" s="163"/>
      <c r="P37" s="182">
        <v>41.71</v>
      </c>
      <c r="Q37" s="171">
        <f t="shared" si="0"/>
        <v>44</v>
      </c>
      <c r="R37" s="170">
        <v>15.474</v>
      </c>
      <c r="S37" s="171">
        <v>34.61</v>
      </c>
      <c r="T37" s="171">
        <v>150.655</v>
      </c>
      <c r="U37" s="171">
        <f t="shared" si="1"/>
        <v>9.7360087889362799</v>
      </c>
      <c r="V37" s="170">
        <v>45</v>
      </c>
      <c r="W37" s="170">
        <v>0.5</v>
      </c>
      <c r="X37" s="171">
        <f t="shared" si="2"/>
        <v>0.78659090909090912</v>
      </c>
      <c r="Y37" s="171">
        <f t="shared" si="4"/>
        <v>14.313450000000001</v>
      </c>
      <c r="Z37" s="171">
        <f t="shared" si="5"/>
        <v>32.014250000000004</v>
      </c>
      <c r="AA37" s="171">
        <f t="shared" si="6"/>
        <v>140.862425</v>
      </c>
      <c r="AB37" s="171">
        <f t="shared" si="7"/>
        <v>9.7360087889362799</v>
      </c>
      <c r="AC37" s="171">
        <f t="shared" si="3"/>
        <v>45</v>
      </c>
      <c r="AD37" s="163">
        <v>28</v>
      </c>
      <c r="AE37" s="171">
        <f t="shared" si="8"/>
        <v>400.77660000000003</v>
      </c>
      <c r="AF37" s="172"/>
    </row>
    <row r="38" spans="1:32" s="396" customFormat="1" ht="15.75" customHeight="1" x14ac:dyDescent="0.2">
      <c r="A38" s="163">
        <v>25</v>
      </c>
      <c r="B38" s="164" t="s">
        <v>45</v>
      </c>
      <c r="C38" s="163" t="s">
        <v>46</v>
      </c>
      <c r="D38" s="163">
        <v>636.4</v>
      </c>
      <c r="E38" s="163" t="s">
        <v>91</v>
      </c>
      <c r="F38" s="163">
        <v>177.8</v>
      </c>
      <c r="G38" s="163" t="s">
        <v>28</v>
      </c>
      <c r="H38" s="165" t="s">
        <v>52</v>
      </c>
      <c r="I38" s="158">
        <v>592.95000000000005</v>
      </c>
      <c r="J38" s="163">
        <v>295</v>
      </c>
      <c r="K38" s="163"/>
      <c r="L38" s="163">
        <v>495</v>
      </c>
      <c r="M38" s="163"/>
      <c r="N38" s="163">
        <v>8.8000000000000007</v>
      </c>
      <c r="O38" s="163"/>
      <c r="P38" s="182">
        <v>15.5</v>
      </c>
      <c r="Q38" s="171">
        <f>LEFT(H38,(FIND("K",H38,1)-1))*J38/100</f>
        <v>64.900000000000006</v>
      </c>
      <c r="R38" s="170">
        <v>15.393000000000001</v>
      </c>
      <c r="S38" s="171">
        <v>28.271000000000001</v>
      </c>
      <c r="T38" s="171">
        <v>549.34500000000003</v>
      </c>
      <c r="U38" s="171">
        <f t="shared" si="1"/>
        <v>35.687975053595792</v>
      </c>
      <c r="V38" s="170">
        <f t="shared" si="9"/>
        <v>45.551979059813938</v>
      </c>
      <c r="W38" s="170">
        <v>0.3</v>
      </c>
      <c r="X38" s="171">
        <f t="shared" si="2"/>
        <v>0.43560862865947608</v>
      </c>
      <c r="Y38" s="171">
        <f t="shared" si="4"/>
        <v>14.238525000000001</v>
      </c>
      <c r="Z38" s="171">
        <f t="shared" si="5"/>
        <v>26.150675000000003</v>
      </c>
      <c r="AA38" s="171">
        <f t="shared" si="6"/>
        <v>513.63757500000008</v>
      </c>
      <c r="AB38" s="171">
        <f t="shared" si="7"/>
        <v>35.687975053595792</v>
      </c>
      <c r="AC38" s="171">
        <f t="shared" si="3"/>
        <v>45.551979059813938</v>
      </c>
      <c r="AD38" s="163">
        <v>28</v>
      </c>
      <c r="AE38" s="171">
        <f t="shared" si="8"/>
        <v>398.67870000000005</v>
      </c>
      <c r="AF38" s="172"/>
    </row>
    <row r="39" spans="1:32" s="396" customFormat="1" ht="15.75" customHeight="1" x14ac:dyDescent="0.2">
      <c r="A39" s="163">
        <v>26</v>
      </c>
      <c r="B39" s="164" t="s">
        <v>206</v>
      </c>
      <c r="C39" s="163" t="s">
        <v>46</v>
      </c>
      <c r="D39" s="163">
        <v>660.2</v>
      </c>
      <c r="E39" s="163" t="s">
        <v>227</v>
      </c>
      <c r="F39" s="163">
        <v>177.8</v>
      </c>
      <c r="G39" s="163" t="s">
        <v>28</v>
      </c>
      <c r="H39" s="165" t="s">
        <v>212</v>
      </c>
      <c r="I39" s="158">
        <v>547.65</v>
      </c>
      <c r="J39" s="163">
        <v>100</v>
      </c>
      <c r="K39" s="163"/>
      <c r="L39" s="163">
        <v>457</v>
      </c>
      <c r="M39" s="163"/>
      <c r="N39" s="163">
        <v>14.5</v>
      </c>
      <c r="O39" s="163"/>
      <c r="P39" s="182">
        <v>23.65</v>
      </c>
      <c r="Q39" s="171">
        <f t="shared" ref="Q39:Q72" si="10">LEFT(H39,(FIND("K",H39,1)-1))*J39/100</f>
        <v>8</v>
      </c>
      <c r="R39" s="170">
        <v>5.5709999999999997</v>
      </c>
      <c r="S39" s="171">
        <v>6.5149999999999997</v>
      </c>
      <c r="T39" s="171">
        <v>23.448</v>
      </c>
      <c r="U39" s="171">
        <f t="shared" si="1"/>
        <v>4.208939149165321</v>
      </c>
      <c r="V39" s="170">
        <f t="shared" si="9"/>
        <v>14.489639293937067</v>
      </c>
      <c r="W39" s="170">
        <v>0.4</v>
      </c>
      <c r="X39" s="171">
        <f t="shared" si="2"/>
        <v>0.81437499999999996</v>
      </c>
      <c r="Y39" s="171">
        <f t="shared" si="4"/>
        <v>5.1531750000000001</v>
      </c>
      <c r="Z39" s="171">
        <f t="shared" si="5"/>
        <v>6.0263749999999998</v>
      </c>
      <c r="AA39" s="171">
        <f t="shared" si="6"/>
        <v>21.92388</v>
      </c>
      <c r="AB39" s="171">
        <f t="shared" si="7"/>
        <v>4.208939149165321</v>
      </c>
      <c r="AC39" s="171">
        <f t="shared" si="3"/>
        <v>14.489639293937067</v>
      </c>
      <c r="AD39" s="163">
        <v>28</v>
      </c>
      <c r="AE39" s="171">
        <f t="shared" si="8"/>
        <v>144.28890000000001</v>
      </c>
      <c r="AF39" s="172"/>
    </row>
    <row r="40" spans="1:32" s="396" customFormat="1" ht="15.75" customHeight="1" x14ac:dyDescent="0.2">
      <c r="A40" s="163">
        <v>27</v>
      </c>
      <c r="B40" s="204" t="s">
        <v>161</v>
      </c>
      <c r="C40" s="163" t="s">
        <v>46</v>
      </c>
      <c r="D40" s="158">
        <v>677</v>
      </c>
      <c r="E40" s="165" t="s">
        <v>178</v>
      </c>
      <c r="F40" s="163">
        <v>177.8</v>
      </c>
      <c r="G40" s="163" t="s">
        <v>28</v>
      </c>
      <c r="H40" s="165" t="s">
        <v>52</v>
      </c>
      <c r="I40" s="158">
        <v>535.41</v>
      </c>
      <c r="J40" s="158">
        <v>115</v>
      </c>
      <c r="K40" s="158"/>
      <c r="L40" s="158">
        <v>457</v>
      </c>
      <c r="M40" s="158"/>
      <c r="N40" s="163">
        <v>6.8</v>
      </c>
      <c r="O40" s="158"/>
      <c r="P40" s="160">
        <v>15.41</v>
      </c>
      <c r="Q40" s="171">
        <f t="shared" si="10"/>
        <v>25.3</v>
      </c>
      <c r="R40" s="170">
        <v>4.8239999999999998</v>
      </c>
      <c r="S40" s="171">
        <v>7.2030000000000003</v>
      </c>
      <c r="T40" s="174">
        <v>551.44299999999998</v>
      </c>
      <c r="U40" s="171">
        <f t="shared" si="1"/>
        <v>114.31239635157546</v>
      </c>
      <c r="V40" s="170">
        <f t="shared" si="9"/>
        <v>33.027905039566853</v>
      </c>
      <c r="W40" s="170">
        <v>0.5</v>
      </c>
      <c r="X40" s="171">
        <f t="shared" si="2"/>
        <v>0.28470355731225294</v>
      </c>
      <c r="Y40" s="171">
        <f t="shared" si="4"/>
        <v>4.4622000000000002</v>
      </c>
      <c r="Z40" s="171">
        <f t="shared" si="5"/>
        <v>6.6627750000000008</v>
      </c>
      <c r="AA40" s="171">
        <f t="shared" si="6"/>
        <v>515.59920499999998</v>
      </c>
      <c r="AB40" s="171">
        <f t="shared" si="7"/>
        <v>114.31239635157546</v>
      </c>
      <c r="AC40" s="171">
        <f t="shared" si="3"/>
        <v>33.027905039566853</v>
      </c>
      <c r="AD40" s="163">
        <v>28</v>
      </c>
      <c r="AE40" s="171">
        <f t="shared" si="8"/>
        <v>124.94160000000001</v>
      </c>
      <c r="AF40" s="343"/>
    </row>
    <row r="41" spans="1:32" s="396" customFormat="1" ht="15.75" customHeight="1" x14ac:dyDescent="0.2">
      <c r="A41" s="163">
        <v>28</v>
      </c>
      <c r="B41" s="204" t="s">
        <v>162</v>
      </c>
      <c r="C41" s="163" t="s">
        <v>46</v>
      </c>
      <c r="D41" s="158">
        <v>676</v>
      </c>
      <c r="E41" s="165" t="s">
        <v>180</v>
      </c>
      <c r="F41" s="163">
        <v>177.8</v>
      </c>
      <c r="G41" s="163" t="s">
        <v>28</v>
      </c>
      <c r="H41" s="165" t="s">
        <v>50</v>
      </c>
      <c r="I41" s="158">
        <v>545.42999999999995</v>
      </c>
      <c r="J41" s="158" t="s">
        <v>240</v>
      </c>
      <c r="K41" s="158">
        <v>71</v>
      </c>
      <c r="L41" s="163"/>
      <c r="M41" s="158">
        <v>0.8</v>
      </c>
      <c r="N41" s="163">
        <v>0</v>
      </c>
      <c r="O41" s="158"/>
      <c r="P41" s="160">
        <v>48.361855648107749</v>
      </c>
      <c r="Q41" s="171">
        <v>0</v>
      </c>
      <c r="R41" s="170">
        <v>0</v>
      </c>
      <c r="S41" s="171">
        <v>0</v>
      </c>
      <c r="T41" s="174">
        <v>0</v>
      </c>
      <c r="U41" s="171">
        <v>0</v>
      </c>
      <c r="V41" s="170">
        <v>0</v>
      </c>
      <c r="W41" s="170">
        <v>0</v>
      </c>
      <c r="X41" s="171">
        <v>0</v>
      </c>
      <c r="Y41" s="171">
        <f t="shared" si="4"/>
        <v>0</v>
      </c>
      <c r="Z41" s="171">
        <f t="shared" si="5"/>
        <v>0</v>
      </c>
      <c r="AA41" s="171">
        <f t="shared" si="6"/>
        <v>0</v>
      </c>
      <c r="AB41" s="171">
        <f t="shared" si="7"/>
        <v>0</v>
      </c>
      <c r="AC41" s="171">
        <f t="shared" si="3"/>
        <v>0</v>
      </c>
      <c r="AD41" s="163">
        <v>0</v>
      </c>
      <c r="AE41" s="171">
        <f t="shared" si="8"/>
        <v>0</v>
      </c>
      <c r="AF41" s="343" t="s">
        <v>215</v>
      </c>
    </row>
    <row r="42" spans="1:32" s="396" customFormat="1" ht="15.75" customHeight="1" x14ac:dyDescent="0.2">
      <c r="A42" s="163">
        <v>29</v>
      </c>
      <c r="B42" s="204" t="s">
        <v>163</v>
      </c>
      <c r="C42" s="163" t="s">
        <v>46</v>
      </c>
      <c r="D42" s="158">
        <v>677.27</v>
      </c>
      <c r="E42" s="165" t="s">
        <v>194</v>
      </c>
      <c r="F42" s="163">
        <v>177.8</v>
      </c>
      <c r="G42" s="163" t="s">
        <v>28</v>
      </c>
      <c r="H42" s="165" t="s">
        <v>187</v>
      </c>
      <c r="I42" s="158">
        <v>553.82000000000005</v>
      </c>
      <c r="J42" s="158">
        <v>180</v>
      </c>
      <c r="K42" s="158"/>
      <c r="L42" s="158">
        <v>281</v>
      </c>
      <c r="M42" s="158"/>
      <c r="N42" s="163">
        <v>6.7</v>
      </c>
      <c r="O42" s="158"/>
      <c r="P42" s="160">
        <v>37.17</v>
      </c>
      <c r="Q42" s="171">
        <f t="shared" si="10"/>
        <v>10.8</v>
      </c>
      <c r="R42" s="170">
        <v>5.7480000000000002</v>
      </c>
      <c r="S42" s="171">
        <v>8.7729999999999997</v>
      </c>
      <c r="T42" s="174">
        <v>14.536</v>
      </c>
      <c r="U42" s="171">
        <f>T42/R42</f>
        <v>2.5288796102992341</v>
      </c>
      <c r="V42" s="170">
        <f t="shared" si="9"/>
        <v>34.480793343212127</v>
      </c>
      <c r="W42" s="170">
        <v>0.4</v>
      </c>
      <c r="X42" s="171">
        <f t="shared" si="2"/>
        <v>0.81231481481481471</v>
      </c>
      <c r="Y42" s="171">
        <f t="shared" si="4"/>
        <v>5.3169000000000004</v>
      </c>
      <c r="Z42" s="171">
        <f t="shared" si="5"/>
        <v>8.1150249999999993</v>
      </c>
      <c r="AA42" s="171">
        <f t="shared" si="6"/>
        <v>13.59116</v>
      </c>
      <c r="AB42" s="171">
        <f t="shared" si="7"/>
        <v>2.5288796102992341</v>
      </c>
      <c r="AC42" s="171">
        <f t="shared" si="3"/>
        <v>34.480793343212127</v>
      </c>
      <c r="AD42" s="163">
        <v>28</v>
      </c>
      <c r="AE42" s="171">
        <f t="shared" si="8"/>
        <v>148.8732</v>
      </c>
      <c r="AF42" s="343"/>
    </row>
    <row r="43" spans="1:32" s="396" customFormat="1" ht="15.75" customHeight="1" x14ac:dyDescent="0.2">
      <c r="A43" s="163">
        <v>30</v>
      </c>
      <c r="B43" s="164" t="s">
        <v>59</v>
      </c>
      <c r="C43" s="163" t="s">
        <v>46</v>
      </c>
      <c r="D43" s="165">
        <v>643</v>
      </c>
      <c r="E43" s="163" t="s">
        <v>94</v>
      </c>
      <c r="F43" s="163">
        <v>177.8</v>
      </c>
      <c r="G43" s="163" t="s">
        <v>28</v>
      </c>
      <c r="H43" s="165" t="s">
        <v>48</v>
      </c>
      <c r="I43" s="158">
        <v>540.79999999999995</v>
      </c>
      <c r="J43" s="163">
        <v>85</v>
      </c>
      <c r="K43" s="163"/>
      <c r="L43" s="163">
        <v>424</v>
      </c>
      <c r="M43" s="163"/>
      <c r="N43" s="163">
        <v>2.5</v>
      </c>
      <c r="O43" s="163"/>
      <c r="P43" s="182">
        <v>15.523534025439771</v>
      </c>
      <c r="Q43" s="171">
        <f t="shared" si="10"/>
        <v>11.05</v>
      </c>
      <c r="R43" s="170">
        <v>25.045000000000002</v>
      </c>
      <c r="S43" s="171">
        <v>36.197000000000003</v>
      </c>
      <c r="T43" s="171">
        <v>7.5919999999999996</v>
      </c>
      <c r="U43" s="171">
        <f t="shared" si="1"/>
        <v>0.30313435815532042</v>
      </c>
      <c r="V43" s="170">
        <f t="shared" si="9"/>
        <v>30.809183081470842</v>
      </c>
      <c r="W43" s="170">
        <v>0.3</v>
      </c>
      <c r="X43" s="171">
        <f t="shared" si="2"/>
        <v>3.2757466063348417</v>
      </c>
      <c r="Y43" s="171">
        <f t="shared" si="4"/>
        <v>23.166625000000003</v>
      </c>
      <c r="Z43" s="171">
        <f t="shared" si="5"/>
        <v>33.482225000000007</v>
      </c>
      <c r="AA43" s="171">
        <f t="shared" si="6"/>
        <v>7.0985199999999997</v>
      </c>
      <c r="AB43" s="171">
        <f>U43</f>
        <v>0.30313435815532042</v>
      </c>
      <c r="AC43" s="171">
        <f t="shared" si="3"/>
        <v>30.809183081470842</v>
      </c>
      <c r="AD43" s="163">
        <v>28</v>
      </c>
      <c r="AE43" s="171">
        <f t="shared" si="8"/>
        <v>648.66550000000007</v>
      </c>
      <c r="AF43" s="179"/>
    </row>
    <row r="44" spans="1:32" s="396" customFormat="1" ht="15.75" customHeight="1" x14ac:dyDescent="0.2">
      <c r="A44" s="163">
        <v>31</v>
      </c>
      <c r="B44" s="164" t="s">
        <v>207</v>
      </c>
      <c r="C44" s="163" t="s">
        <v>46</v>
      </c>
      <c r="D44" s="165">
        <v>673</v>
      </c>
      <c r="E44" s="163" t="s">
        <v>230</v>
      </c>
      <c r="F44" s="163">
        <v>177.8</v>
      </c>
      <c r="G44" s="163" t="s">
        <v>28</v>
      </c>
      <c r="H44" s="165" t="s">
        <v>50</v>
      </c>
      <c r="I44" s="158">
        <v>564.41999999999996</v>
      </c>
      <c r="J44" s="163">
        <v>145</v>
      </c>
      <c r="K44" s="163"/>
      <c r="L44" s="163">
        <v>280</v>
      </c>
      <c r="M44" s="163"/>
      <c r="N44" s="182">
        <v>2.17</v>
      </c>
      <c r="O44" s="163"/>
      <c r="P44" s="182">
        <v>29.2</v>
      </c>
      <c r="Q44" s="171">
        <f t="shared" si="10"/>
        <v>8.6999999999999993</v>
      </c>
      <c r="R44" s="170">
        <v>4.7919999999999998</v>
      </c>
      <c r="S44" s="171">
        <v>6.6909999999999998</v>
      </c>
      <c r="T44" s="171">
        <v>1.276</v>
      </c>
      <c r="U44" s="171">
        <f t="shared" si="1"/>
        <v>0.26627712854757929</v>
      </c>
      <c r="V44" s="170">
        <f t="shared" si="9"/>
        <v>28.381407861306236</v>
      </c>
      <c r="W44" s="170">
        <v>0.4</v>
      </c>
      <c r="X44" s="171">
        <f t="shared" si="2"/>
        <v>0.76908045977011497</v>
      </c>
      <c r="Y44" s="171">
        <f t="shared" si="4"/>
        <v>4.4325999999999999</v>
      </c>
      <c r="Z44" s="171">
        <f t="shared" si="5"/>
        <v>6.1891750000000005</v>
      </c>
      <c r="AA44" s="171">
        <f t="shared" si="6"/>
        <v>1.19306</v>
      </c>
      <c r="AB44" s="171">
        <f>U44</f>
        <v>0.26627712854757929</v>
      </c>
      <c r="AC44" s="171">
        <f t="shared" si="3"/>
        <v>28.381407861306236</v>
      </c>
      <c r="AD44" s="163">
        <v>28</v>
      </c>
      <c r="AE44" s="171">
        <f t="shared" si="8"/>
        <v>124.11279999999999</v>
      </c>
      <c r="AF44" s="179"/>
    </row>
    <row r="45" spans="1:32" s="396" customFormat="1" ht="15.75" customHeight="1" x14ac:dyDescent="0.2">
      <c r="A45" s="163">
        <v>32</v>
      </c>
      <c r="B45" s="164" t="s">
        <v>196</v>
      </c>
      <c r="C45" s="163" t="s">
        <v>304</v>
      </c>
      <c r="D45" s="165">
        <v>641</v>
      </c>
      <c r="E45" s="163" t="s">
        <v>296</v>
      </c>
      <c r="F45" s="163">
        <v>177.8</v>
      </c>
      <c r="G45" s="163" t="s">
        <v>28</v>
      </c>
      <c r="H45" s="165" t="s">
        <v>218</v>
      </c>
      <c r="I45" s="158">
        <v>618.66999999999996</v>
      </c>
      <c r="J45" s="163">
        <v>65</v>
      </c>
      <c r="K45" s="163"/>
      <c r="L45" s="163">
        <v>501</v>
      </c>
      <c r="M45" s="163"/>
      <c r="N45" s="182">
        <v>3.1</v>
      </c>
      <c r="O45" s="163"/>
      <c r="P45" s="182">
        <v>13.4</v>
      </c>
      <c r="Q45" s="171">
        <f t="shared" si="10"/>
        <v>20.8</v>
      </c>
      <c r="R45" s="170">
        <v>1.9059999999999999</v>
      </c>
      <c r="S45" s="171">
        <v>2.1349999999999998</v>
      </c>
      <c r="T45" s="171">
        <v>1.7929999999999999</v>
      </c>
      <c r="U45" s="171">
        <f t="shared" si="1"/>
        <v>0.94071353620146902</v>
      </c>
      <c r="V45" s="170">
        <f t="shared" si="9"/>
        <v>10.725995316159246</v>
      </c>
      <c r="W45" s="170">
        <v>0</v>
      </c>
      <c r="X45" s="171">
        <f t="shared" si="2"/>
        <v>0.10264423076923075</v>
      </c>
      <c r="Y45" s="171">
        <f t="shared" si="4"/>
        <v>1.76305</v>
      </c>
      <c r="Z45" s="171">
        <f t="shared" si="5"/>
        <v>1.9748749999999999</v>
      </c>
      <c r="AA45" s="171">
        <f t="shared" si="6"/>
        <v>1.676455</v>
      </c>
      <c r="AB45" s="171">
        <f>U45</f>
        <v>0.94071353620146902</v>
      </c>
      <c r="AC45" s="171">
        <f t="shared" si="3"/>
        <v>10.725995316159246</v>
      </c>
      <c r="AD45" s="163">
        <v>28</v>
      </c>
      <c r="AE45" s="171">
        <f t="shared" si="8"/>
        <v>49.365400000000001</v>
      </c>
      <c r="AF45" s="179"/>
    </row>
    <row r="46" spans="1:32" s="396" customFormat="1" ht="15.75" customHeight="1" x14ac:dyDescent="0.2">
      <c r="A46" s="163">
        <v>33</v>
      </c>
      <c r="B46" s="164" t="s">
        <v>60</v>
      </c>
      <c r="C46" s="163" t="s">
        <v>46</v>
      </c>
      <c r="D46" s="165">
        <v>638.9</v>
      </c>
      <c r="E46" s="163" t="s">
        <v>95</v>
      </c>
      <c r="F46" s="163">
        <v>177.8</v>
      </c>
      <c r="G46" s="163" t="s">
        <v>28</v>
      </c>
      <c r="H46" s="165" t="s">
        <v>48</v>
      </c>
      <c r="I46" s="158">
        <v>546.64</v>
      </c>
      <c r="J46" s="163">
        <v>100</v>
      </c>
      <c r="K46" s="163"/>
      <c r="L46" s="163">
        <v>460</v>
      </c>
      <c r="M46" s="163"/>
      <c r="N46" s="163">
        <v>7.1</v>
      </c>
      <c r="O46" s="163"/>
      <c r="P46" s="182">
        <v>15.88</v>
      </c>
      <c r="Q46" s="171">
        <f t="shared" si="10"/>
        <v>13</v>
      </c>
      <c r="R46" s="170">
        <v>5.8410000000000002</v>
      </c>
      <c r="S46" s="171">
        <v>8.7829999999999995</v>
      </c>
      <c r="T46" s="171">
        <v>120.48699999999999</v>
      </c>
      <c r="U46" s="171">
        <f t="shared" si="1"/>
        <v>20.627803458311931</v>
      </c>
      <c r="V46" s="170">
        <f t="shared" si="9"/>
        <v>33.496527382443354</v>
      </c>
      <c r="W46" s="170">
        <v>0.3</v>
      </c>
      <c r="X46" s="171">
        <f t="shared" si="2"/>
        <v>0.67561538461538462</v>
      </c>
      <c r="Y46" s="171">
        <f t="shared" si="4"/>
        <v>5.4029250000000006</v>
      </c>
      <c r="Z46" s="171">
        <f t="shared" si="5"/>
        <v>8.124274999999999</v>
      </c>
      <c r="AA46" s="171">
        <f t="shared" si="6"/>
        <v>112.655345</v>
      </c>
      <c r="AB46" s="171">
        <f t="shared" si="7"/>
        <v>20.627803458311931</v>
      </c>
      <c r="AC46" s="171">
        <f t="shared" si="3"/>
        <v>33.496527382443354</v>
      </c>
      <c r="AD46" s="163">
        <v>28</v>
      </c>
      <c r="AE46" s="171">
        <f t="shared" si="8"/>
        <v>151.28190000000001</v>
      </c>
      <c r="AF46" s="179"/>
    </row>
    <row r="47" spans="1:32" s="396" customFormat="1" ht="15.75" customHeight="1" x14ac:dyDescent="0.2">
      <c r="A47" s="163">
        <v>34</v>
      </c>
      <c r="B47" s="164" t="s">
        <v>119</v>
      </c>
      <c r="C47" s="163" t="s">
        <v>46</v>
      </c>
      <c r="D47" s="165">
        <v>654.07000000000005</v>
      </c>
      <c r="E47" s="163" t="s">
        <v>126</v>
      </c>
      <c r="F47" s="163">
        <v>177.8</v>
      </c>
      <c r="G47" s="163" t="s">
        <v>28</v>
      </c>
      <c r="H47" s="165" t="s">
        <v>48</v>
      </c>
      <c r="I47" s="158">
        <v>526.6</v>
      </c>
      <c r="J47" s="163">
        <v>0</v>
      </c>
      <c r="K47" s="163">
        <v>493</v>
      </c>
      <c r="L47" s="163"/>
      <c r="M47" s="163">
        <v>20</v>
      </c>
      <c r="N47" s="163">
        <v>0</v>
      </c>
      <c r="O47" s="163"/>
      <c r="P47" s="182">
        <v>24.17367490502857</v>
      </c>
      <c r="Q47" s="171">
        <f t="shared" si="10"/>
        <v>0</v>
      </c>
      <c r="R47" s="170">
        <v>0</v>
      </c>
      <c r="S47" s="171">
        <v>0</v>
      </c>
      <c r="T47" s="171">
        <v>0</v>
      </c>
      <c r="U47" s="171">
        <v>0</v>
      </c>
      <c r="V47" s="170">
        <v>0</v>
      </c>
      <c r="W47" s="170">
        <v>0</v>
      </c>
      <c r="X47" s="171">
        <v>0</v>
      </c>
      <c r="Y47" s="171">
        <f t="shared" si="4"/>
        <v>0</v>
      </c>
      <c r="Z47" s="171">
        <f t="shared" si="5"/>
        <v>0</v>
      </c>
      <c r="AA47" s="171">
        <f t="shared" si="6"/>
        <v>0</v>
      </c>
      <c r="AB47" s="171">
        <f t="shared" si="7"/>
        <v>0</v>
      </c>
      <c r="AC47" s="171">
        <f t="shared" si="3"/>
        <v>0</v>
      </c>
      <c r="AD47" s="163">
        <v>0</v>
      </c>
      <c r="AE47" s="171">
        <f t="shared" si="8"/>
        <v>0</v>
      </c>
      <c r="AF47" s="343" t="s">
        <v>215</v>
      </c>
    </row>
    <row r="48" spans="1:32" s="396" customFormat="1" ht="15.75" customHeight="1" x14ac:dyDescent="0.2">
      <c r="A48" s="163">
        <v>35</v>
      </c>
      <c r="B48" s="164" t="s">
        <v>118</v>
      </c>
      <c r="C48" s="163" t="s">
        <v>46</v>
      </c>
      <c r="D48" s="165">
        <v>728.77</v>
      </c>
      <c r="E48" s="163" t="s">
        <v>133</v>
      </c>
      <c r="F48" s="163">
        <v>177.8</v>
      </c>
      <c r="G48" s="163" t="s">
        <v>28</v>
      </c>
      <c r="H48" s="165" t="s">
        <v>48</v>
      </c>
      <c r="I48" s="158">
        <v>557.04999999999995</v>
      </c>
      <c r="J48" s="163">
        <v>100</v>
      </c>
      <c r="K48" s="163"/>
      <c r="L48" s="163">
        <v>420</v>
      </c>
      <c r="M48" s="163"/>
      <c r="N48" s="163">
        <v>7.3</v>
      </c>
      <c r="O48" s="163"/>
      <c r="P48" s="182">
        <v>21.67</v>
      </c>
      <c r="Q48" s="171">
        <f t="shared" si="10"/>
        <v>13</v>
      </c>
      <c r="R48" s="170">
        <v>3.1880000000000002</v>
      </c>
      <c r="S48" s="171">
        <v>9.7249999999999996</v>
      </c>
      <c r="T48" s="171">
        <v>57.723999999999997</v>
      </c>
      <c r="U48" s="171">
        <f>T48/R48</f>
        <v>18.106649937264741</v>
      </c>
      <c r="V48" s="170">
        <f t="shared" si="9"/>
        <v>67.218508997429296</v>
      </c>
      <c r="W48" s="170">
        <v>0.5</v>
      </c>
      <c r="X48" s="171">
        <f t="shared" ref="X48:X55" si="11">S48/Q48</f>
        <v>0.74807692307692308</v>
      </c>
      <c r="Y48" s="171">
        <f t="shared" si="4"/>
        <v>2.9489000000000001</v>
      </c>
      <c r="Z48" s="171">
        <f t="shared" si="5"/>
        <v>8.9956250000000004</v>
      </c>
      <c r="AA48" s="171">
        <f t="shared" si="6"/>
        <v>53.971939999999996</v>
      </c>
      <c r="AB48" s="171">
        <f t="shared" si="7"/>
        <v>18.106649937264741</v>
      </c>
      <c r="AC48" s="171">
        <f t="shared" si="3"/>
        <v>67.218508997429296</v>
      </c>
      <c r="AD48" s="163">
        <v>28</v>
      </c>
      <c r="AE48" s="171">
        <f t="shared" si="8"/>
        <v>82.569199999999995</v>
      </c>
      <c r="AF48" s="179"/>
    </row>
    <row r="49" spans="1:32" s="396" customFormat="1" ht="15.75" customHeight="1" x14ac:dyDescent="0.2">
      <c r="A49" s="163">
        <v>36</v>
      </c>
      <c r="B49" s="164" t="s">
        <v>117</v>
      </c>
      <c r="C49" s="163" t="s">
        <v>46</v>
      </c>
      <c r="D49" s="165">
        <v>671.45</v>
      </c>
      <c r="E49" s="163" t="s">
        <v>128</v>
      </c>
      <c r="F49" s="163">
        <v>177.8</v>
      </c>
      <c r="G49" s="163" t="s">
        <v>28</v>
      </c>
      <c r="H49" s="165" t="s">
        <v>187</v>
      </c>
      <c r="I49" s="158">
        <v>559.39</v>
      </c>
      <c r="J49" s="163">
        <v>265</v>
      </c>
      <c r="K49" s="163"/>
      <c r="L49" s="163">
        <v>347</v>
      </c>
      <c r="M49" s="163"/>
      <c r="N49" s="163">
        <v>2.5</v>
      </c>
      <c r="O49" s="163"/>
      <c r="P49" s="182">
        <v>23.92</v>
      </c>
      <c r="Q49" s="171">
        <f t="shared" si="10"/>
        <v>15.9</v>
      </c>
      <c r="R49" s="170">
        <v>2.762</v>
      </c>
      <c r="S49" s="171">
        <v>5.5939999999999994</v>
      </c>
      <c r="T49" s="171">
        <v>4</v>
      </c>
      <c r="U49" s="171">
        <f t="shared" ref="U49:U55" si="12">T49/R49</f>
        <v>1.448225923244026</v>
      </c>
      <c r="V49" s="170">
        <f t="shared" si="9"/>
        <v>50.625670361101172</v>
      </c>
      <c r="W49" s="170">
        <v>0.4</v>
      </c>
      <c r="X49" s="171">
        <v>0.2</v>
      </c>
      <c r="Y49" s="171">
        <f t="shared" si="4"/>
        <v>2.5548500000000001</v>
      </c>
      <c r="Z49" s="171">
        <f t="shared" si="5"/>
        <v>5.1744499999999993</v>
      </c>
      <c r="AA49" s="171">
        <f t="shared" si="6"/>
        <v>3.74</v>
      </c>
      <c r="AB49" s="171">
        <f t="shared" si="7"/>
        <v>1.448225923244026</v>
      </c>
      <c r="AC49" s="171">
        <f t="shared" si="3"/>
        <v>50.625670361101172</v>
      </c>
      <c r="AD49" s="163">
        <v>28</v>
      </c>
      <c r="AE49" s="171">
        <f t="shared" si="8"/>
        <v>71.535799999999995</v>
      </c>
      <c r="AF49" s="172"/>
    </row>
    <row r="50" spans="1:32" s="396" customFormat="1" ht="15.75" customHeight="1" x14ac:dyDescent="0.2">
      <c r="A50" s="163">
        <v>37</v>
      </c>
      <c r="B50" s="164" t="s">
        <v>130</v>
      </c>
      <c r="C50" s="163" t="s">
        <v>46</v>
      </c>
      <c r="D50" s="165">
        <v>622.6</v>
      </c>
      <c r="E50" s="163" t="s">
        <v>134</v>
      </c>
      <c r="F50" s="163">
        <v>177.8</v>
      </c>
      <c r="G50" s="163" t="s">
        <v>28</v>
      </c>
      <c r="H50" s="165" t="s">
        <v>48</v>
      </c>
      <c r="I50" s="158">
        <v>551.79999999999995</v>
      </c>
      <c r="J50" s="163">
        <v>85</v>
      </c>
      <c r="K50" s="163"/>
      <c r="L50" s="163">
        <v>87</v>
      </c>
      <c r="M50" s="163"/>
      <c r="N50" s="163">
        <v>4.8</v>
      </c>
      <c r="O50" s="163"/>
      <c r="P50" s="182">
        <v>51.79</v>
      </c>
      <c r="Q50" s="171">
        <f t="shared" si="10"/>
        <v>11.05</v>
      </c>
      <c r="R50" s="170">
        <v>0.25800000000000001</v>
      </c>
      <c r="S50" s="171">
        <v>8.2829999999999995</v>
      </c>
      <c r="T50" s="171">
        <v>0.55200000000000005</v>
      </c>
      <c r="U50" s="171">
        <f t="shared" si="12"/>
        <v>2.1395348837209305</v>
      </c>
      <c r="V50" s="170">
        <f t="shared" si="9"/>
        <v>96.885186526620785</v>
      </c>
      <c r="W50" s="170">
        <v>0</v>
      </c>
      <c r="X50" s="171">
        <f t="shared" si="11"/>
        <v>0.74959276018099541</v>
      </c>
      <c r="Y50" s="171">
        <f t="shared" si="4"/>
        <v>0.23865000000000003</v>
      </c>
      <c r="Z50" s="171">
        <f t="shared" si="5"/>
        <v>7.6617749999999996</v>
      </c>
      <c r="AA50" s="171">
        <f t="shared" si="6"/>
        <v>0.51612000000000002</v>
      </c>
      <c r="AB50" s="171">
        <f t="shared" si="7"/>
        <v>2.1395348837209305</v>
      </c>
      <c r="AC50" s="171">
        <f t="shared" si="3"/>
        <v>96.885186526620785</v>
      </c>
      <c r="AD50" s="163">
        <v>28</v>
      </c>
      <c r="AE50" s="171">
        <f t="shared" si="8"/>
        <v>6.6822000000000008</v>
      </c>
      <c r="AF50" s="172"/>
    </row>
    <row r="51" spans="1:32" s="396" customFormat="1" ht="15.75" customHeight="1" x14ac:dyDescent="0.2">
      <c r="A51" s="163">
        <v>38</v>
      </c>
      <c r="B51" s="193" t="s">
        <v>115</v>
      </c>
      <c r="C51" s="194" t="s">
        <v>46</v>
      </c>
      <c r="D51" s="195">
        <v>671.43</v>
      </c>
      <c r="E51" s="194" t="s">
        <v>286</v>
      </c>
      <c r="F51" s="163">
        <v>177.8</v>
      </c>
      <c r="G51" s="194" t="s">
        <v>28</v>
      </c>
      <c r="H51" s="195" t="s">
        <v>291</v>
      </c>
      <c r="I51" s="196">
        <v>565.80999999999995</v>
      </c>
      <c r="J51" s="194">
        <v>260</v>
      </c>
      <c r="K51" s="194"/>
      <c r="L51" s="194">
        <v>441</v>
      </c>
      <c r="M51" s="194"/>
      <c r="N51" s="163">
        <v>3.03</v>
      </c>
      <c r="O51" s="194"/>
      <c r="P51" s="397">
        <v>15.9</v>
      </c>
      <c r="Q51" s="202">
        <f t="shared" si="10"/>
        <v>7.8</v>
      </c>
      <c r="R51" s="201">
        <v>3.798</v>
      </c>
      <c r="S51" s="171">
        <v>4.1680000000000001</v>
      </c>
      <c r="T51" s="202">
        <v>2.4140000000000001</v>
      </c>
      <c r="U51" s="171">
        <f t="shared" si="12"/>
        <v>0.63559768299104791</v>
      </c>
      <c r="V51" s="170">
        <f t="shared" si="9"/>
        <v>8.8771593090211152</v>
      </c>
      <c r="W51" s="201">
        <v>0.7</v>
      </c>
      <c r="X51" s="171">
        <f t="shared" si="11"/>
        <v>0.53435897435897439</v>
      </c>
      <c r="Y51" s="171">
        <f t="shared" si="4"/>
        <v>3.51315</v>
      </c>
      <c r="Z51" s="171">
        <f t="shared" si="5"/>
        <v>3.8554000000000004</v>
      </c>
      <c r="AA51" s="171">
        <f t="shared" si="6"/>
        <v>2.2570900000000003</v>
      </c>
      <c r="AB51" s="202">
        <f t="shared" si="7"/>
        <v>0.63559768299104791</v>
      </c>
      <c r="AC51" s="171">
        <f t="shared" si="3"/>
        <v>8.8771593090211152</v>
      </c>
      <c r="AD51" s="163">
        <v>28</v>
      </c>
      <c r="AE51" s="202">
        <f t="shared" si="8"/>
        <v>98.368200000000002</v>
      </c>
      <c r="AF51" s="172"/>
    </row>
    <row r="52" spans="1:32" s="396" customFormat="1" ht="15.75" customHeight="1" x14ac:dyDescent="0.2">
      <c r="A52" s="163">
        <v>39</v>
      </c>
      <c r="B52" s="164" t="s">
        <v>116</v>
      </c>
      <c r="C52" s="163" t="s">
        <v>46</v>
      </c>
      <c r="D52" s="165">
        <v>681.27</v>
      </c>
      <c r="E52" s="163" t="s">
        <v>124</v>
      </c>
      <c r="F52" s="163">
        <v>177.8</v>
      </c>
      <c r="G52" s="163" t="s">
        <v>28</v>
      </c>
      <c r="H52" s="165" t="s">
        <v>53</v>
      </c>
      <c r="I52" s="158">
        <v>558.35</v>
      </c>
      <c r="J52" s="163">
        <v>170</v>
      </c>
      <c r="K52" s="163"/>
      <c r="L52" s="163">
        <v>364</v>
      </c>
      <c r="M52" s="163"/>
      <c r="N52" s="163">
        <v>5.15</v>
      </c>
      <c r="O52" s="163"/>
      <c r="P52" s="182">
        <v>24.48</v>
      </c>
      <c r="Q52" s="202">
        <f t="shared" si="10"/>
        <v>22.1</v>
      </c>
      <c r="R52" s="170">
        <v>1.75</v>
      </c>
      <c r="S52" s="171">
        <v>2.637</v>
      </c>
      <c r="T52" s="171">
        <v>1.5860000000000001</v>
      </c>
      <c r="U52" s="171">
        <f t="shared" si="12"/>
        <v>0.90628571428571436</v>
      </c>
      <c r="V52" s="170">
        <f t="shared" si="9"/>
        <v>33.636708380735683</v>
      </c>
      <c r="W52" s="170">
        <v>0.3</v>
      </c>
      <c r="X52" s="171">
        <f t="shared" si="11"/>
        <v>0.11932126696832579</v>
      </c>
      <c r="Y52" s="171">
        <f t="shared" si="4"/>
        <v>1.6187500000000001</v>
      </c>
      <c r="Z52" s="171">
        <f t="shared" si="5"/>
        <v>2.439225</v>
      </c>
      <c r="AA52" s="171">
        <f t="shared" si="6"/>
        <v>1.4829100000000002</v>
      </c>
      <c r="AB52" s="171">
        <f t="shared" si="7"/>
        <v>0.90628571428571436</v>
      </c>
      <c r="AC52" s="171">
        <f t="shared" si="3"/>
        <v>33.636708380735683</v>
      </c>
      <c r="AD52" s="163">
        <v>28</v>
      </c>
      <c r="AE52" s="171">
        <f t="shared" si="8"/>
        <v>45.325000000000003</v>
      </c>
      <c r="AF52" s="172"/>
    </row>
    <row r="53" spans="1:32" s="396" customFormat="1" ht="15.75" customHeight="1" x14ac:dyDescent="0.2">
      <c r="A53" s="163">
        <v>40</v>
      </c>
      <c r="B53" s="164" t="s">
        <v>120</v>
      </c>
      <c r="C53" s="163" t="s">
        <v>46</v>
      </c>
      <c r="D53" s="165">
        <v>668.57</v>
      </c>
      <c r="E53" s="163" t="s">
        <v>285</v>
      </c>
      <c r="F53" s="163">
        <v>177.8</v>
      </c>
      <c r="G53" s="163" t="s">
        <v>28</v>
      </c>
      <c r="H53" s="165" t="s">
        <v>48</v>
      </c>
      <c r="I53" s="158">
        <v>567.08000000000004</v>
      </c>
      <c r="J53" s="163">
        <v>110</v>
      </c>
      <c r="K53" s="163"/>
      <c r="L53" s="163">
        <v>401</v>
      </c>
      <c r="M53" s="163"/>
      <c r="N53" s="163">
        <v>0.7</v>
      </c>
      <c r="O53" s="163"/>
      <c r="P53" s="182">
        <v>17.062291370958626</v>
      </c>
      <c r="Q53" s="171">
        <f t="shared" si="10"/>
        <v>14.3</v>
      </c>
      <c r="R53" s="170">
        <v>2.8849999999999998</v>
      </c>
      <c r="S53" s="171">
        <v>3.5870000000000002</v>
      </c>
      <c r="T53" s="171">
        <v>3.448</v>
      </c>
      <c r="U53" s="171">
        <f t="shared" si="12"/>
        <v>1.1951473136915078</v>
      </c>
      <c r="V53" s="170">
        <f t="shared" si="9"/>
        <v>19.570671870644002</v>
      </c>
      <c r="W53" s="170">
        <v>0.5</v>
      </c>
      <c r="X53" s="171">
        <f t="shared" si="11"/>
        <v>0.25083916083916086</v>
      </c>
      <c r="Y53" s="171">
        <f t="shared" si="4"/>
        <v>2.668625</v>
      </c>
      <c r="Z53" s="171">
        <f t="shared" si="5"/>
        <v>3.3179750000000001</v>
      </c>
      <c r="AA53" s="171">
        <f t="shared" si="6"/>
        <v>3.2238800000000003</v>
      </c>
      <c r="AB53" s="171">
        <f t="shared" si="7"/>
        <v>1.1951473136915078</v>
      </c>
      <c r="AC53" s="171">
        <f t="shared" si="3"/>
        <v>19.570671870644002</v>
      </c>
      <c r="AD53" s="163">
        <v>28</v>
      </c>
      <c r="AE53" s="171">
        <f t="shared" si="8"/>
        <v>74.721500000000006</v>
      </c>
      <c r="AF53" s="172"/>
    </row>
    <row r="54" spans="1:32" s="396" customFormat="1" ht="15.75" customHeight="1" x14ac:dyDescent="0.2">
      <c r="A54" s="163">
        <v>41</v>
      </c>
      <c r="B54" s="164" t="s">
        <v>114</v>
      </c>
      <c r="C54" s="163" t="s">
        <v>46</v>
      </c>
      <c r="D54" s="165">
        <v>584.25</v>
      </c>
      <c r="E54" s="163" t="s">
        <v>123</v>
      </c>
      <c r="F54" s="163">
        <v>177.8</v>
      </c>
      <c r="G54" s="163" t="s">
        <v>28</v>
      </c>
      <c r="H54" s="165" t="s">
        <v>125</v>
      </c>
      <c r="I54" s="158">
        <v>565.08000000000004</v>
      </c>
      <c r="J54" s="163">
        <v>240</v>
      </c>
      <c r="K54" s="163"/>
      <c r="L54" s="163">
        <v>52</v>
      </c>
      <c r="M54" s="163"/>
      <c r="N54" s="163">
        <v>0.18</v>
      </c>
      <c r="O54" s="163"/>
      <c r="P54" s="182">
        <v>52.04</v>
      </c>
      <c r="Q54" s="171">
        <f t="shared" si="10"/>
        <v>7.2</v>
      </c>
      <c r="R54" s="170">
        <v>0.14899999999999999</v>
      </c>
      <c r="S54" s="171">
        <v>0.33300000000000002</v>
      </c>
      <c r="T54" s="171">
        <v>1.5169999999999999</v>
      </c>
      <c r="U54" s="171">
        <f t="shared" si="12"/>
        <v>10.181208053691275</v>
      </c>
      <c r="V54" s="170">
        <f t="shared" si="9"/>
        <v>55.255255255255264</v>
      </c>
      <c r="W54" s="170">
        <v>0.7</v>
      </c>
      <c r="X54" s="171">
        <f t="shared" si="11"/>
        <v>4.6249999999999999E-2</v>
      </c>
      <c r="Y54" s="171">
        <f t="shared" si="4"/>
        <v>0.137825</v>
      </c>
      <c r="Z54" s="171">
        <f t="shared" si="5"/>
        <v>0.30802500000000005</v>
      </c>
      <c r="AA54" s="171">
        <f t="shared" si="6"/>
        <v>1.4183950000000001</v>
      </c>
      <c r="AB54" s="171">
        <f t="shared" si="7"/>
        <v>10.181208053691275</v>
      </c>
      <c r="AC54" s="171">
        <f t="shared" si="3"/>
        <v>55.255255255255264</v>
      </c>
      <c r="AD54" s="163">
        <v>28</v>
      </c>
      <c r="AE54" s="171">
        <f t="shared" si="8"/>
        <v>3.8591000000000002</v>
      </c>
      <c r="AF54" s="203"/>
    </row>
    <row r="55" spans="1:32" s="396" customFormat="1" ht="15.75" customHeight="1" x14ac:dyDescent="0.2">
      <c r="A55" s="163">
        <v>42</v>
      </c>
      <c r="B55" s="164" t="s">
        <v>106</v>
      </c>
      <c r="C55" s="163" t="s">
        <v>46</v>
      </c>
      <c r="D55" s="165">
        <v>642.52</v>
      </c>
      <c r="E55" s="163" t="s">
        <v>111</v>
      </c>
      <c r="F55" s="163">
        <v>177.8</v>
      </c>
      <c r="G55" s="163" t="s">
        <v>28</v>
      </c>
      <c r="H55" s="165" t="s">
        <v>52</v>
      </c>
      <c r="I55" s="158">
        <v>556.65</v>
      </c>
      <c r="J55" s="163">
        <v>75</v>
      </c>
      <c r="K55" s="163"/>
      <c r="L55" s="163">
        <v>187</v>
      </c>
      <c r="M55" s="163"/>
      <c r="N55" s="163">
        <v>7.2</v>
      </c>
      <c r="O55" s="163"/>
      <c r="P55" s="182">
        <v>45.7</v>
      </c>
      <c r="Q55" s="171">
        <f t="shared" si="10"/>
        <v>16.5</v>
      </c>
      <c r="R55" s="170">
        <v>0.26100000000000001</v>
      </c>
      <c r="S55" s="171">
        <v>2.4740000000000002</v>
      </c>
      <c r="T55" s="171">
        <v>6.0339999999999998</v>
      </c>
      <c r="U55" s="171">
        <f t="shared" si="12"/>
        <v>23.11877394636015</v>
      </c>
      <c r="V55" s="170">
        <f t="shared" si="9"/>
        <v>89.450282942603067</v>
      </c>
      <c r="W55" s="170">
        <v>0.3</v>
      </c>
      <c r="X55" s="171">
        <f t="shared" si="11"/>
        <v>0.14993939393939396</v>
      </c>
      <c r="Y55" s="171">
        <f t="shared" si="4"/>
        <v>0.24142500000000003</v>
      </c>
      <c r="Z55" s="171">
        <f t="shared" si="5"/>
        <v>2.2884500000000001</v>
      </c>
      <c r="AA55" s="171">
        <f t="shared" si="6"/>
        <v>5.6417900000000003</v>
      </c>
      <c r="AB55" s="171">
        <f t="shared" si="7"/>
        <v>23.11877394636015</v>
      </c>
      <c r="AC55" s="171">
        <f t="shared" si="3"/>
        <v>89.450282942603067</v>
      </c>
      <c r="AD55" s="163">
        <v>28</v>
      </c>
      <c r="AE55" s="171">
        <f t="shared" si="8"/>
        <v>6.7599000000000009</v>
      </c>
      <c r="AF55" s="343"/>
    </row>
    <row r="56" spans="1:32" s="396" customFormat="1" ht="15.75" customHeight="1" x14ac:dyDescent="0.2">
      <c r="A56" s="163">
        <v>43</v>
      </c>
      <c r="B56" s="164" t="s">
        <v>105</v>
      </c>
      <c r="C56" s="163" t="s">
        <v>46</v>
      </c>
      <c r="D56" s="165">
        <v>678.58</v>
      </c>
      <c r="E56" s="163" t="s">
        <v>110</v>
      </c>
      <c r="F56" s="163">
        <v>177.8</v>
      </c>
      <c r="G56" s="163" t="s">
        <v>28</v>
      </c>
      <c r="H56" s="165" t="s">
        <v>52</v>
      </c>
      <c r="I56" s="158">
        <v>529.41</v>
      </c>
      <c r="J56" s="163">
        <v>0</v>
      </c>
      <c r="K56" s="163">
        <v>248</v>
      </c>
      <c r="L56" s="163"/>
      <c r="M56" s="163">
        <v>0.5</v>
      </c>
      <c r="N56" s="163"/>
      <c r="O56" s="163"/>
      <c r="P56" s="182">
        <v>31.340290398141324</v>
      </c>
      <c r="Q56" s="171">
        <f t="shared" si="10"/>
        <v>0</v>
      </c>
      <c r="R56" s="170">
        <v>0</v>
      </c>
      <c r="S56" s="171">
        <v>0</v>
      </c>
      <c r="T56" s="171">
        <v>0</v>
      </c>
      <c r="U56" s="171">
        <f>IF(R56=0,0,T56/R56)</f>
        <v>0</v>
      </c>
      <c r="V56" s="170">
        <v>0</v>
      </c>
      <c r="W56" s="170">
        <v>0</v>
      </c>
      <c r="X56" s="171">
        <v>0</v>
      </c>
      <c r="Y56" s="171">
        <f t="shared" si="4"/>
        <v>0</v>
      </c>
      <c r="Z56" s="171">
        <f t="shared" si="5"/>
        <v>0</v>
      </c>
      <c r="AA56" s="171">
        <f t="shared" si="6"/>
        <v>0</v>
      </c>
      <c r="AB56" s="171">
        <f t="shared" si="7"/>
        <v>0</v>
      </c>
      <c r="AC56" s="171">
        <f t="shared" si="3"/>
        <v>0</v>
      </c>
      <c r="AD56" s="163">
        <v>0</v>
      </c>
      <c r="AE56" s="171">
        <f t="shared" si="8"/>
        <v>0</v>
      </c>
      <c r="AF56" s="172" t="s">
        <v>215</v>
      </c>
    </row>
    <row r="57" spans="1:32" s="396" customFormat="1" ht="15.75" customHeight="1" x14ac:dyDescent="0.2">
      <c r="A57" s="163">
        <v>44</v>
      </c>
      <c r="B57" s="164" t="s">
        <v>104</v>
      </c>
      <c r="C57" s="163" t="s">
        <v>46</v>
      </c>
      <c r="D57" s="165">
        <v>707.14</v>
      </c>
      <c r="E57" s="163" t="s">
        <v>231</v>
      </c>
      <c r="F57" s="163">
        <v>177.8</v>
      </c>
      <c r="G57" s="163" t="s">
        <v>28</v>
      </c>
      <c r="H57" s="165" t="s">
        <v>52</v>
      </c>
      <c r="I57" s="158">
        <v>555</v>
      </c>
      <c r="J57" s="163">
        <v>0</v>
      </c>
      <c r="K57" s="163">
        <v>385</v>
      </c>
      <c r="L57" s="163"/>
      <c r="M57" s="163">
        <v>18</v>
      </c>
      <c r="N57" s="163"/>
      <c r="O57" s="163"/>
      <c r="P57" s="182">
        <v>35.955534337530786</v>
      </c>
      <c r="Q57" s="171">
        <f t="shared" si="10"/>
        <v>0</v>
      </c>
      <c r="R57" s="170">
        <v>0</v>
      </c>
      <c r="S57" s="171">
        <v>0</v>
      </c>
      <c r="T57" s="171">
        <v>0</v>
      </c>
      <c r="U57" s="171">
        <f>IF(T57=0,0,T57/R57)</f>
        <v>0</v>
      </c>
      <c r="V57" s="171">
        <f>IF(U57=0,0,U57/S57)</f>
        <v>0</v>
      </c>
      <c r="W57" s="170">
        <v>0</v>
      </c>
      <c r="X57" s="171">
        <f>IF(S57=0,0,S57/Q57)</f>
        <v>0</v>
      </c>
      <c r="Y57" s="171">
        <f t="shared" si="4"/>
        <v>0</v>
      </c>
      <c r="Z57" s="171">
        <f t="shared" si="5"/>
        <v>0</v>
      </c>
      <c r="AA57" s="171">
        <f t="shared" si="6"/>
        <v>0</v>
      </c>
      <c r="AB57" s="171">
        <f t="shared" si="7"/>
        <v>0</v>
      </c>
      <c r="AC57" s="171">
        <f t="shared" si="3"/>
        <v>0</v>
      </c>
      <c r="AD57" s="163">
        <v>0</v>
      </c>
      <c r="AE57" s="171">
        <f t="shared" si="8"/>
        <v>0</v>
      </c>
      <c r="AF57" s="172" t="s">
        <v>300</v>
      </c>
    </row>
    <row r="58" spans="1:32" s="396" customFormat="1" ht="15.75" customHeight="1" x14ac:dyDescent="0.2">
      <c r="A58" s="163">
        <v>45</v>
      </c>
      <c r="B58" s="204" t="s">
        <v>158</v>
      </c>
      <c r="C58" s="163" t="s">
        <v>46</v>
      </c>
      <c r="D58" s="158">
        <v>674.45</v>
      </c>
      <c r="E58" s="158" t="s">
        <v>232</v>
      </c>
      <c r="F58" s="163">
        <v>177.8</v>
      </c>
      <c r="G58" s="163" t="s">
        <v>28</v>
      </c>
      <c r="H58" s="165" t="s">
        <v>52</v>
      </c>
      <c r="I58" s="158">
        <v>543.72</v>
      </c>
      <c r="J58" s="158">
        <v>160</v>
      </c>
      <c r="K58" s="158"/>
      <c r="L58" s="158">
        <v>455</v>
      </c>
      <c r="M58" s="158"/>
      <c r="N58" s="163">
        <v>8.02</v>
      </c>
      <c r="O58" s="158"/>
      <c r="P58" s="160">
        <v>17.46</v>
      </c>
      <c r="Q58" s="171">
        <f t="shared" si="10"/>
        <v>35.200000000000003</v>
      </c>
      <c r="R58" s="170">
        <v>8.2850000000000001</v>
      </c>
      <c r="S58" s="171">
        <v>10.352</v>
      </c>
      <c r="T58" s="174">
        <v>337.17200000000003</v>
      </c>
      <c r="U58" s="171">
        <f t="shared" ref="U58:U64" si="13">T58/R58</f>
        <v>40.696680748340377</v>
      </c>
      <c r="V58" s="170">
        <f t="shared" si="9"/>
        <v>19.967156105100464</v>
      </c>
      <c r="W58" s="170">
        <v>0.4</v>
      </c>
      <c r="X58" s="171">
        <f t="shared" ref="X58:X74" si="14">S58/Q58</f>
        <v>0.29409090909090907</v>
      </c>
      <c r="Y58" s="171">
        <f t="shared" si="4"/>
        <v>7.6636250000000006</v>
      </c>
      <c r="Z58" s="171">
        <f t="shared" si="5"/>
        <v>9.5756000000000014</v>
      </c>
      <c r="AA58" s="171">
        <f t="shared" si="6"/>
        <v>315.25582000000003</v>
      </c>
      <c r="AB58" s="171">
        <f t="shared" si="7"/>
        <v>40.696680748340377</v>
      </c>
      <c r="AC58" s="171">
        <f t="shared" si="3"/>
        <v>19.967156105100464</v>
      </c>
      <c r="AD58" s="163">
        <v>28</v>
      </c>
      <c r="AE58" s="171">
        <f>Y58*AD58</f>
        <v>214.58150000000001</v>
      </c>
      <c r="AF58" s="398"/>
    </row>
    <row r="59" spans="1:32" s="396" customFormat="1" ht="15.75" customHeight="1" x14ac:dyDescent="0.2">
      <c r="A59" s="163">
        <v>46</v>
      </c>
      <c r="B59" s="204" t="s">
        <v>160</v>
      </c>
      <c r="C59" s="163" t="s">
        <v>304</v>
      </c>
      <c r="D59" s="158">
        <v>677.33</v>
      </c>
      <c r="E59" s="158" t="s">
        <v>303</v>
      </c>
      <c r="F59" s="163">
        <v>177.8</v>
      </c>
      <c r="G59" s="163" t="s">
        <v>28</v>
      </c>
      <c r="H59" s="165" t="s">
        <v>50</v>
      </c>
      <c r="I59" s="158">
        <v>619</v>
      </c>
      <c r="J59" s="158">
        <v>200</v>
      </c>
      <c r="K59" s="158"/>
      <c r="L59" s="163">
        <v>160</v>
      </c>
      <c r="M59" s="158"/>
      <c r="N59" s="163">
        <v>8.41</v>
      </c>
      <c r="O59" s="158"/>
      <c r="P59" s="160">
        <v>51.83</v>
      </c>
      <c r="Q59" s="171">
        <f t="shared" si="10"/>
        <v>12</v>
      </c>
      <c r="R59" s="170">
        <v>0.79100000000000004</v>
      </c>
      <c r="S59" s="171">
        <v>6.0540000000000003</v>
      </c>
      <c r="T59" s="174">
        <v>1.069</v>
      </c>
      <c r="U59" s="171">
        <f t="shared" si="13"/>
        <v>1.3514538558786344</v>
      </c>
      <c r="V59" s="170">
        <f t="shared" si="9"/>
        <v>86.934258341592326</v>
      </c>
      <c r="W59" s="170">
        <v>0.4</v>
      </c>
      <c r="X59" s="171">
        <f t="shared" si="14"/>
        <v>0.50450000000000006</v>
      </c>
      <c r="Y59" s="171">
        <f t="shared" si="4"/>
        <v>0.73167500000000008</v>
      </c>
      <c r="Z59" s="171">
        <f t="shared" si="5"/>
        <v>5.5999500000000006</v>
      </c>
      <c r="AA59" s="171">
        <f t="shared" si="6"/>
        <v>0.99951500000000004</v>
      </c>
      <c r="AB59" s="171">
        <f t="shared" si="7"/>
        <v>1.3514538558786344</v>
      </c>
      <c r="AC59" s="171">
        <f t="shared" si="3"/>
        <v>86.934258341592326</v>
      </c>
      <c r="AD59" s="163">
        <v>28</v>
      </c>
      <c r="AE59" s="171">
        <f>Y59*AD59</f>
        <v>20.486900000000002</v>
      </c>
      <c r="AF59" s="172"/>
    </row>
    <row r="60" spans="1:32" s="396" customFormat="1" ht="15.75" customHeight="1" x14ac:dyDescent="0.2">
      <c r="A60" s="163">
        <v>47</v>
      </c>
      <c r="B60" s="164" t="s">
        <v>164</v>
      </c>
      <c r="C60" s="163" t="s">
        <v>46</v>
      </c>
      <c r="D60" s="158">
        <v>678.47</v>
      </c>
      <c r="E60" s="158" t="s">
        <v>233</v>
      </c>
      <c r="F60" s="163">
        <v>177.8</v>
      </c>
      <c r="G60" s="163" t="s">
        <v>28</v>
      </c>
      <c r="H60" s="165" t="s">
        <v>48</v>
      </c>
      <c r="I60" s="158">
        <v>563.11</v>
      </c>
      <c r="J60" s="158">
        <v>105</v>
      </c>
      <c r="K60" s="158"/>
      <c r="L60" s="158">
        <v>420</v>
      </c>
      <c r="M60" s="158"/>
      <c r="N60" s="163">
        <v>2.39</v>
      </c>
      <c r="O60" s="158"/>
      <c r="P60" s="182">
        <v>17.149999999999999</v>
      </c>
      <c r="Q60" s="171">
        <f t="shared" si="10"/>
        <v>13.65</v>
      </c>
      <c r="R60" s="170">
        <v>4.5389999999999997</v>
      </c>
      <c r="S60" s="171">
        <v>5.383</v>
      </c>
      <c r="T60" s="171">
        <v>8</v>
      </c>
      <c r="U60" s="171">
        <f t="shared" si="13"/>
        <v>1.7625027539105531</v>
      </c>
      <c r="V60" s="170">
        <f t="shared" si="9"/>
        <v>15.678989411109054</v>
      </c>
      <c r="W60" s="170">
        <v>0.4</v>
      </c>
      <c r="X60" s="171">
        <f t="shared" si="14"/>
        <v>0.39435897435897432</v>
      </c>
      <c r="Y60" s="171">
        <f t="shared" si="4"/>
        <v>4.1985749999999999</v>
      </c>
      <c r="Z60" s="171">
        <f t="shared" si="5"/>
        <v>4.9792750000000003</v>
      </c>
      <c r="AA60" s="171">
        <f t="shared" si="6"/>
        <v>7.48</v>
      </c>
      <c r="AB60" s="171">
        <f t="shared" si="7"/>
        <v>1.7625027539105531</v>
      </c>
      <c r="AC60" s="171">
        <f t="shared" si="3"/>
        <v>15.678989411109054</v>
      </c>
      <c r="AD60" s="163">
        <v>28</v>
      </c>
      <c r="AE60" s="171">
        <f t="shared" ref="AE60:AE72" si="15">Y60*AD60</f>
        <v>117.56010000000001</v>
      </c>
      <c r="AF60" s="172"/>
    </row>
    <row r="61" spans="1:32" s="396" customFormat="1" ht="15.75" customHeight="1" x14ac:dyDescent="0.2">
      <c r="A61" s="163">
        <v>48</v>
      </c>
      <c r="B61" s="164" t="s">
        <v>61</v>
      </c>
      <c r="C61" s="163" t="s">
        <v>46</v>
      </c>
      <c r="D61" s="165">
        <v>667.18</v>
      </c>
      <c r="E61" s="163" t="s">
        <v>96</v>
      </c>
      <c r="F61" s="163">
        <v>177.8</v>
      </c>
      <c r="G61" s="163" t="s">
        <v>28</v>
      </c>
      <c r="H61" s="165" t="s">
        <v>52</v>
      </c>
      <c r="I61" s="158">
        <v>534.21</v>
      </c>
      <c r="J61" s="163">
        <v>135</v>
      </c>
      <c r="K61" s="163"/>
      <c r="L61" s="163">
        <v>431</v>
      </c>
      <c r="M61" s="163"/>
      <c r="N61" s="163">
        <v>8.49</v>
      </c>
      <c r="O61" s="163"/>
      <c r="P61" s="182">
        <v>20.09</v>
      </c>
      <c r="Q61" s="171">
        <f t="shared" si="10"/>
        <v>29.7</v>
      </c>
      <c r="R61" s="170">
        <v>9.109</v>
      </c>
      <c r="S61" s="171">
        <v>13.113</v>
      </c>
      <c r="T61" s="171">
        <v>193.31</v>
      </c>
      <c r="U61" s="171">
        <f t="shared" si="13"/>
        <v>21.221868481721376</v>
      </c>
      <c r="V61" s="170">
        <f t="shared" si="9"/>
        <v>30.534584000610078</v>
      </c>
      <c r="W61" s="170">
        <v>0.3</v>
      </c>
      <c r="X61" s="171">
        <f t="shared" si="14"/>
        <v>0.44151515151515153</v>
      </c>
      <c r="Y61" s="171">
        <f t="shared" si="4"/>
        <v>8.4258249999999997</v>
      </c>
      <c r="Z61" s="171">
        <f t="shared" si="5"/>
        <v>12.129525000000001</v>
      </c>
      <c r="AA61" s="171">
        <f t="shared" si="6"/>
        <v>180.74485000000001</v>
      </c>
      <c r="AB61" s="171">
        <f t="shared" si="7"/>
        <v>21.221868481721376</v>
      </c>
      <c r="AC61" s="171">
        <v>67</v>
      </c>
      <c r="AD61" s="163">
        <v>28</v>
      </c>
      <c r="AE61" s="171">
        <f t="shared" si="15"/>
        <v>235.92309999999998</v>
      </c>
      <c r="AF61" s="343"/>
    </row>
    <row r="62" spans="1:32" s="396" customFormat="1" ht="15.75" customHeight="1" x14ac:dyDescent="0.2">
      <c r="A62" s="163">
        <v>49</v>
      </c>
      <c r="B62" s="164" t="s">
        <v>64</v>
      </c>
      <c r="C62" s="163" t="s">
        <v>46</v>
      </c>
      <c r="D62" s="165">
        <v>672.5</v>
      </c>
      <c r="E62" s="163" t="s">
        <v>234</v>
      </c>
      <c r="F62" s="163">
        <v>177.8</v>
      </c>
      <c r="G62" s="163" t="s">
        <v>28</v>
      </c>
      <c r="H62" s="165" t="s">
        <v>49</v>
      </c>
      <c r="I62" s="158">
        <v>533.70000000000005</v>
      </c>
      <c r="J62" s="163">
        <v>360</v>
      </c>
      <c r="K62" s="163"/>
      <c r="L62" s="163">
        <v>443</v>
      </c>
      <c r="M62" s="163"/>
      <c r="N62" s="163">
        <v>8.34</v>
      </c>
      <c r="O62" s="163"/>
      <c r="P62" s="182">
        <v>18.98</v>
      </c>
      <c r="Q62" s="171">
        <f t="shared" si="10"/>
        <v>115.2</v>
      </c>
      <c r="R62" s="170">
        <v>13.24</v>
      </c>
      <c r="S62" s="171">
        <v>17.402999999999999</v>
      </c>
      <c r="T62" s="171">
        <v>2319.8969999999999</v>
      </c>
      <c r="U62" s="171">
        <f t="shared" si="13"/>
        <v>175.21880664652568</v>
      </c>
      <c r="V62" s="170">
        <f t="shared" si="9"/>
        <v>23.921163017870477</v>
      </c>
      <c r="W62" s="170">
        <v>0.3</v>
      </c>
      <c r="X62" s="171">
        <f t="shared" si="14"/>
        <v>0.15106770833333333</v>
      </c>
      <c r="Y62" s="171">
        <f t="shared" si="4"/>
        <v>12.247000000000002</v>
      </c>
      <c r="Z62" s="171">
        <f t="shared" si="5"/>
        <v>16.097774999999999</v>
      </c>
      <c r="AA62" s="171">
        <f t="shared" si="6"/>
        <v>2169.1036950000002</v>
      </c>
      <c r="AB62" s="171">
        <f t="shared" si="7"/>
        <v>175.21880664652568</v>
      </c>
      <c r="AC62" s="171">
        <f t="shared" si="3"/>
        <v>23.921163017870477</v>
      </c>
      <c r="AD62" s="163">
        <v>28</v>
      </c>
      <c r="AE62" s="171">
        <f t="shared" si="15"/>
        <v>342.91600000000005</v>
      </c>
      <c r="AF62" s="179"/>
    </row>
    <row r="63" spans="1:32" s="396" customFormat="1" ht="15.75" customHeight="1" x14ac:dyDescent="0.2">
      <c r="A63" s="163">
        <v>50</v>
      </c>
      <c r="B63" s="164" t="s">
        <v>156</v>
      </c>
      <c r="C63" s="163" t="s">
        <v>46</v>
      </c>
      <c r="D63" s="165">
        <v>679.54</v>
      </c>
      <c r="E63" s="163" t="s">
        <v>166</v>
      </c>
      <c r="F63" s="163">
        <v>177.8</v>
      </c>
      <c r="G63" s="163" t="s">
        <v>28</v>
      </c>
      <c r="H63" s="165" t="s">
        <v>52</v>
      </c>
      <c r="I63" s="158">
        <v>530.98</v>
      </c>
      <c r="J63" s="163">
        <v>165</v>
      </c>
      <c r="K63" s="163"/>
      <c r="L63" s="163">
        <v>448</v>
      </c>
      <c r="M63" s="163"/>
      <c r="N63" s="163">
        <v>8.8000000000000007</v>
      </c>
      <c r="O63" s="163"/>
      <c r="P63" s="182">
        <v>18.84</v>
      </c>
      <c r="Q63" s="171">
        <f t="shared" si="10"/>
        <v>36.299999999999997</v>
      </c>
      <c r="R63" s="170">
        <v>8.4290000000000003</v>
      </c>
      <c r="S63" s="171">
        <v>12.103</v>
      </c>
      <c r="T63" s="171">
        <v>238.69</v>
      </c>
      <c r="U63" s="171">
        <f t="shared" si="13"/>
        <v>28.317712658678371</v>
      </c>
      <c r="V63" s="170">
        <f t="shared" si="9"/>
        <v>30.356110055358172</v>
      </c>
      <c r="W63" s="170">
        <v>0.3</v>
      </c>
      <c r="X63" s="171">
        <f t="shared" si="14"/>
        <v>0.33341597796143252</v>
      </c>
      <c r="Y63" s="171">
        <f t="shared" si="4"/>
        <v>7.796825000000001</v>
      </c>
      <c r="Z63" s="171">
        <f t="shared" si="5"/>
        <v>11.195275000000001</v>
      </c>
      <c r="AA63" s="171">
        <f t="shared" si="6"/>
        <v>223.17515</v>
      </c>
      <c r="AB63" s="171">
        <f t="shared" si="7"/>
        <v>28.317712658678371</v>
      </c>
      <c r="AC63" s="171">
        <f t="shared" si="3"/>
        <v>30.356110055358172</v>
      </c>
      <c r="AD63" s="163">
        <v>28</v>
      </c>
      <c r="AE63" s="171">
        <f t="shared" si="15"/>
        <v>218.31110000000004</v>
      </c>
      <c r="AF63" s="179"/>
    </row>
    <row r="64" spans="1:32" s="396" customFormat="1" ht="15.75" customHeight="1" x14ac:dyDescent="0.2">
      <c r="A64" s="163">
        <v>51</v>
      </c>
      <c r="B64" s="164" t="s">
        <v>169</v>
      </c>
      <c r="C64" s="163" t="s">
        <v>46</v>
      </c>
      <c r="D64" s="165">
        <v>673</v>
      </c>
      <c r="E64" s="163" t="s">
        <v>170</v>
      </c>
      <c r="F64" s="163">
        <v>177.8</v>
      </c>
      <c r="G64" s="163" t="s">
        <v>28</v>
      </c>
      <c r="H64" s="165" t="s">
        <v>52</v>
      </c>
      <c r="I64" s="158">
        <v>541.48</v>
      </c>
      <c r="J64" s="163">
        <v>125</v>
      </c>
      <c r="K64" s="163"/>
      <c r="L64" s="163">
        <v>418</v>
      </c>
      <c r="M64" s="163"/>
      <c r="N64" s="163">
        <v>3.12</v>
      </c>
      <c r="O64" s="163"/>
      <c r="P64" s="182">
        <v>17.22</v>
      </c>
      <c r="Q64" s="171">
        <f t="shared" si="10"/>
        <v>27.5</v>
      </c>
      <c r="R64" s="170">
        <v>4.8449999999999998</v>
      </c>
      <c r="S64" s="171">
        <v>6.3159999999999998</v>
      </c>
      <c r="T64" s="171">
        <v>58.828000000000003</v>
      </c>
      <c r="U64" s="171">
        <f t="shared" si="13"/>
        <v>12.14200206398349</v>
      </c>
      <c r="V64" s="170">
        <f t="shared" si="9"/>
        <v>23.290056998100063</v>
      </c>
      <c r="W64" s="170">
        <v>0.5</v>
      </c>
      <c r="X64" s="171">
        <f t="shared" si="14"/>
        <v>0.22967272727272728</v>
      </c>
      <c r="Y64" s="171">
        <f t="shared" si="4"/>
        <v>4.4816250000000002</v>
      </c>
      <c r="Z64" s="171">
        <f t="shared" si="5"/>
        <v>5.8422999999999998</v>
      </c>
      <c r="AA64" s="171">
        <f t="shared" si="6"/>
        <v>55.004180000000005</v>
      </c>
      <c r="AB64" s="171">
        <f t="shared" si="7"/>
        <v>12.14200206398349</v>
      </c>
      <c r="AC64" s="171">
        <f t="shared" si="3"/>
        <v>23.290056998100063</v>
      </c>
      <c r="AD64" s="163">
        <v>28</v>
      </c>
      <c r="AE64" s="171">
        <f>Y64*AD64</f>
        <v>125.4855</v>
      </c>
      <c r="AF64" s="179"/>
    </row>
    <row r="65" spans="1:32" s="396" customFormat="1" ht="15.75" customHeight="1" x14ac:dyDescent="0.2">
      <c r="A65" s="163">
        <v>52</v>
      </c>
      <c r="B65" s="164" t="s">
        <v>62</v>
      </c>
      <c r="C65" s="163" t="s">
        <v>46</v>
      </c>
      <c r="D65" s="165">
        <v>673.73</v>
      </c>
      <c r="E65" s="163" t="s">
        <v>97</v>
      </c>
      <c r="F65" s="163">
        <v>177.8</v>
      </c>
      <c r="G65" s="163" t="s">
        <v>28</v>
      </c>
      <c r="H65" s="165" t="s">
        <v>218</v>
      </c>
      <c r="I65" s="158">
        <v>543</v>
      </c>
      <c r="J65" s="163">
        <v>110</v>
      </c>
      <c r="K65" s="163"/>
      <c r="L65" s="163">
        <v>445</v>
      </c>
      <c r="M65" s="163"/>
      <c r="N65" s="163">
        <v>8.6999999999999993</v>
      </c>
      <c r="O65" s="163"/>
      <c r="P65" s="182">
        <v>19.510000000000002</v>
      </c>
      <c r="Q65" s="171">
        <f t="shared" si="10"/>
        <v>35.200000000000003</v>
      </c>
      <c r="R65" s="170">
        <v>9.3230000000000004</v>
      </c>
      <c r="S65" s="171">
        <v>11.076000000000001</v>
      </c>
      <c r="T65" s="171">
        <v>213.345</v>
      </c>
      <c r="U65" s="171">
        <f t="shared" si="1"/>
        <v>22.883728413600771</v>
      </c>
      <c r="V65" s="170">
        <f t="shared" si="9"/>
        <v>15.82701336222463</v>
      </c>
      <c r="W65" s="170">
        <v>0.3</v>
      </c>
      <c r="X65" s="171">
        <f t="shared" si="14"/>
        <v>0.31465909090909089</v>
      </c>
      <c r="Y65" s="171">
        <f t="shared" si="4"/>
        <v>8.6237750000000002</v>
      </c>
      <c r="Z65" s="171">
        <f t="shared" si="5"/>
        <v>10.2453</v>
      </c>
      <c r="AA65" s="171">
        <f t="shared" si="6"/>
        <v>199.477575</v>
      </c>
      <c r="AB65" s="171">
        <f t="shared" si="7"/>
        <v>22.883728413600771</v>
      </c>
      <c r="AC65" s="171">
        <f t="shared" si="3"/>
        <v>15.82701336222463</v>
      </c>
      <c r="AD65" s="163">
        <v>28</v>
      </c>
      <c r="AE65" s="171">
        <f t="shared" si="15"/>
        <v>241.4657</v>
      </c>
      <c r="AF65" s="172"/>
    </row>
    <row r="66" spans="1:32" s="396" customFormat="1" ht="15.75" customHeight="1" x14ac:dyDescent="0.2">
      <c r="A66" s="163">
        <v>53</v>
      </c>
      <c r="B66" s="164" t="s">
        <v>157</v>
      </c>
      <c r="C66" s="163" t="s">
        <v>46</v>
      </c>
      <c r="D66" s="165">
        <v>676.73</v>
      </c>
      <c r="E66" s="163" t="s">
        <v>179</v>
      </c>
      <c r="F66" s="163">
        <v>177.8</v>
      </c>
      <c r="G66" s="163" t="s">
        <v>28</v>
      </c>
      <c r="H66" s="165" t="s">
        <v>218</v>
      </c>
      <c r="I66" s="158">
        <v>579.14</v>
      </c>
      <c r="J66" s="163">
        <v>140</v>
      </c>
      <c r="K66" s="163"/>
      <c r="L66" s="163">
        <v>169</v>
      </c>
      <c r="M66" s="163"/>
      <c r="N66" s="163">
        <v>9.5</v>
      </c>
      <c r="O66" s="163"/>
      <c r="P66" s="182">
        <v>45.99</v>
      </c>
      <c r="Q66" s="171">
        <f t="shared" si="10"/>
        <v>44.8</v>
      </c>
      <c r="R66" s="170">
        <v>10.856999999999999</v>
      </c>
      <c r="S66" s="171">
        <v>32.551000000000002</v>
      </c>
      <c r="T66" s="171">
        <v>232.75899999999999</v>
      </c>
      <c r="U66" s="171">
        <f t="shared" si="1"/>
        <v>21.438611034355716</v>
      </c>
      <c r="V66" s="170">
        <f t="shared" si="9"/>
        <v>66.646185985069579</v>
      </c>
      <c r="W66" s="170">
        <v>0.4</v>
      </c>
      <c r="X66" s="171">
        <f t="shared" si="14"/>
        <v>0.7265848214285715</v>
      </c>
      <c r="Y66" s="171">
        <f t="shared" si="4"/>
        <v>10.042724999999999</v>
      </c>
      <c r="Z66" s="171">
        <f t="shared" si="5"/>
        <v>30.109675000000003</v>
      </c>
      <c r="AA66" s="171">
        <f t="shared" si="6"/>
        <v>217.62966499999999</v>
      </c>
      <c r="AB66" s="171">
        <f t="shared" si="7"/>
        <v>21.438611034355716</v>
      </c>
      <c r="AC66" s="171">
        <v>30</v>
      </c>
      <c r="AD66" s="163">
        <v>28</v>
      </c>
      <c r="AE66" s="171">
        <f t="shared" si="15"/>
        <v>281.19629999999995</v>
      </c>
      <c r="AF66" s="321"/>
    </row>
    <row r="67" spans="1:32" s="396" customFormat="1" ht="15.75" customHeight="1" x14ac:dyDescent="0.2">
      <c r="A67" s="163">
        <v>54</v>
      </c>
      <c r="B67" s="164" t="s">
        <v>159</v>
      </c>
      <c r="C67" s="163" t="s">
        <v>46</v>
      </c>
      <c r="D67" s="165">
        <v>676</v>
      </c>
      <c r="E67" s="163" t="s">
        <v>167</v>
      </c>
      <c r="F67" s="163">
        <v>177.8</v>
      </c>
      <c r="G67" s="163" t="s">
        <v>28</v>
      </c>
      <c r="H67" s="165" t="s">
        <v>218</v>
      </c>
      <c r="I67" s="158">
        <v>508.57</v>
      </c>
      <c r="J67" s="163">
        <v>180</v>
      </c>
      <c r="K67" s="163"/>
      <c r="L67" s="163">
        <v>224</v>
      </c>
      <c r="M67" s="163"/>
      <c r="N67" s="163">
        <v>9.3000000000000007</v>
      </c>
      <c r="O67" s="163"/>
      <c r="P67" s="182">
        <v>35.53</v>
      </c>
      <c r="Q67" s="171">
        <f t="shared" si="10"/>
        <v>57.6</v>
      </c>
      <c r="R67" s="170">
        <v>31.518000000000001</v>
      </c>
      <c r="S67" s="171">
        <v>37.856999999999999</v>
      </c>
      <c r="T67" s="171">
        <v>698.22400000000005</v>
      </c>
      <c r="U67" s="171">
        <f t="shared" si="1"/>
        <v>22.153182308522116</v>
      </c>
      <c r="V67" s="170">
        <v>23.26</v>
      </c>
      <c r="W67" s="170">
        <v>0.3</v>
      </c>
      <c r="X67" s="171">
        <f t="shared" si="14"/>
        <v>0.65723958333333332</v>
      </c>
      <c r="Y67" s="171">
        <f t="shared" si="4"/>
        <v>29.154150000000001</v>
      </c>
      <c r="Z67" s="171">
        <f t="shared" si="5"/>
        <v>35.017724999999999</v>
      </c>
      <c r="AA67" s="171">
        <f t="shared" si="6"/>
        <v>652.83944000000008</v>
      </c>
      <c r="AB67" s="171">
        <f t="shared" si="7"/>
        <v>22.153182308522116</v>
      </c>
      <c r="AC67" s="171">
        <v>14.18</v>
      </c>
      <c r="AD67" s="163">
        <v>28</v>
      </c>
      <c r="AE67" s="171">
        <f t="shared" si="15"/>
        <v>816.31619999999998</v>
      </c>
      <c r="AF67" s="172"/>
    </row>
    <row r="68" spans="1:32" s="396" customFormat="1" ht="15.75" customHeight="1" x14ac:dyDescent="0.2">
      <c r="A68" s="163">
        <v>55</v>
      </c>
      <c r="B68" s="164" t="s">
        <v>210</v>
      </c>
      <c r="C68" s="163" t="s">
        <v>46</v>
      </c>
      <c r="D68" s="165">
        <v>728.32</v>
      </c>
      <c r="E68" s="163" t="s">
        <v>226</v>
      </c>
      <c r="F68" s="163">
        <v>177.8</v>
      </c>
      <c r="G68" s="163" t="s">
        <v>28</v>
      </c>
      <c r="H68" s="165" t="s">
        <v>218</v>
      </c>
      <c r="I68" s="158">
        <v>519.38</v>
      </c>
      <c r="J68" s="163">
        <v>180</v>
      </c>
      <c r="K68" s="163"/>
      <c r="L68" s="163">
        <v>427</v>
      </c>
      <c r="M68" s="163"/>
      <c r="N68" s="163">
        <v>10.199999999999999</v>
      </c>
      <c r="O68" s="163"/>
      <c r="P68" s="182">
        <v>20.18</v>
      </c>
      <c r="Q68" s="171">
        <f t="shared" si="10"/>
        <v>57.6</v>
      </c>
      <c r="R68" s="170">
        <v>19.056999999999999</v>
      </c>
      <c r="S68" s="171">
        <v>21.56</v>
      </c>
      <c r="T68" s="171">
        <v>793.82799999999997</v>
      </c>
      <c r="U68" s="171">
        <f t="shared" si="1"/>
        <v>41.655454688565882</v>
      </c>
      <c r="V68" s="170">
        <f t="shared" si="9"/>
        <v>11.609461966604826</v>
      </c>
      <c r="W68" s="170">
        <v>0.5</v>
      </c>
      <c r="X68" s="171">
        <f t="shared" si="14"/>
        <v>0.3743055555555555</v>
      </c>
      <c r="Y68" s="171">
        <f t="shared" si="4"/>
        <v>17.627724999999998</v>
      </c>
      <c r="Z68" s="171">
        <f t="shared" si="5"/>
        <v>19.943000000000001</v>
      </c>
      <c r="AA68" s="171">
        <f t="shared" si="6"/>
        <v>742.22918000000004</v>
      </c>
      <c r="AB68" s="171">
        <f t="shared" si="7"/>
        <v>41.655454688565882</v>
      </c>
      <c r="AC68" s="171">
        <f t="shared" si="3"/>
        <v>11.609461966604826</v>
      </c>
      <c r="AD68" s="163">
        <v>28</v>
      </c>
      <c r="AE68" s="171">
        <f t="shared" si="15"/>
        <v>493.57629999999995</v>
      </c>
      <c r="AF68" s="179"/>
    </row>
    <row r="69" spans="1:32" s="396" customFormat="1" ht="15.75" customHeight="1" x14ac:dyDescent="0.2">
      <c r="A69" s="163">
        <v>56</v>
      </c>
      <c r="B69" s="164" t="s">
        <v>63</v>
      </c>
      <c r="C69" s="163" t="s">
        <v>46</v>
      </c>
      <c r="D69" s="165">
        <v>672.99</v>
      </c>
      <c r="E69" s="163" t="s">
        <v>98</v>
      </c>
      <c r="F69" s="163">
        <v>177.8</v>
      </c>
      <c r="G69" s="163" t="s">
        <v>28</v>
      </c>
      <c r="H69" s="165" t="s">
        <v>49</v>
      </c>
      <c r="I69" s="158">
        <v>540.61</v>
      </c>
      <c r="J69" s="163">
        <v>325</v>
      </c>
      <c r="K69" s="163"/>
      <c r="L69" s="163">
        <v>451</v>
      </c>
      <c r="M69" s="163"/>
      <c r="N69" s="163">
        <v>9.0299999999999994</v>
      </c>
      <c r="O69" s="163"/>
      <c r="P69" s="182">
        <v>18.89</v>
      </c>
      <c r="Q69" s="171">
        <f t="shared" si="10"/>
        <v>104</v>
      </c>
      <c r="R69" s="170">
        <v>14.038</v>
      </c>
      <c r="S69" s="171">
        <v>15.515000000000001</v>
      </c>
      <c r="T69" s="171">
        <v>1546.2760000000001</v>
      </c>
      <c r="U69" s="171">
        <f t="shared" si="1"/>
        <v>110.14930901837869</v>
      </c>
      <c r="V69" s="170">
        <f t="shared" si="9"/>
        <v>9.5198195294875951</v>
      </c>
      <c r="W69" s="170">
        <v>0.6</v>
      </c>
      <c r="X69" s="171">
        <f t="shared" si="14"/>
        <v>0.14918269230769232</v>
      </c>
      <c r="Y69" s="171">
        <f t="shared" si="4"/>
        <v>12.985150000000001</v>
      </c>
      <c r="Z69" s="171">
        <f t="shared" si="5"/>
        <v>14.351375000000001</v>
      </c>
      <c r="AA69" s="171">
        <f t="shared" si="6"/>
        <v>1445.7680600000001</v>
      </c>
      <c r="AB69" s="171">
        <f t="shared" si="7"/>
        <v>110.14930901837869</v>
      </c>
      <c r="AC69" s="171">
        <f t="shared" si="3"/>
        <v>9.5198195294875951</v>
      </c>
      <c r="AD69" s="163">
        <v>28</v>
      </c>
      <c r="AE69" s="171">
        <f t="shared" si="15"/>
        <v>363.58420000000001</v>
      </c>
      <c r="AF69" s="179"/>
    </row>
    <row r="70" spans="1:32" s="396" customFormat="1" ht="15.75" customHeight="1" x14ac:dyDescent="0.2">
      <c r="A70" s="163">
        <v>57</v>
      </c>
      <c r="B70" s="164" t="s">
        <v>217</v>
      </c>
      <c r="C70" s="163" t="s">
        <v>46</v>
      </c>
      <c r="D70" s="165">
        <v>684.57</v>
      </c>
      <c r="E70" s="163" t="s">
        <v>223</v>
      </c>
      <c r="F70" s="163">
        <v>177.8</v>
      </c>
      <c r="G70" s="163" t="s">
        <v>28</v>
      </c>
      <c r="H70" s="165" t="s">
        <v>219</v>
      </c>
      <c r="I70" s="158">
        <v>553.94000000000005</v>
      </c>
      <c r="J70" s="163">
        <v>85</v>
      </c>
      <c r="K70" s="163"/>
      <c r="L70" s="163">
        <v>263</v>
      </c>
      <c r="M70" s="163"/>
      <c r="N70" s="163">
        <v>9.8000000000000007</v>
      </c>
      <c r="O70" s="163"/>
      <c r="P70" s="182">
        <v>40.520000000000003</v>
      </c>
      <c r="Q70" s="171">
        <f t="shared" si="10"/>
        <v>10.199999999999999</v>
      </c>
      <c r="R70" s="170">
        <v>0.53600000000000003</v>
      </c>
      <c r="S70" s="171">
        <v>7.2850000000000001</v>
      </c>
      <c r="T70" s="171">
        <v>12.172000000000001</v>
      </c>
      <c r="U70" s="171">
        <f t="shared" si="1"/>
        <v>22.708955223880597</v>
      </c>
      <c r="V70" s="170">
        <f t="shared" si="9"/>
        <v>92.642415923129732</v>
      </c>
      <c r="W70" s="170">
        <v>0.8</v>
      </c>
      <c r="X70" s="171">
        <f t="shared" si="14"/>
        <v>0.71421568627450982</v>
      </c>
      <c r="Y70" s="171">
        <f t="shared" si="4"/>
        <v>0.49580000000000007</v>
      </c>
      <c r="Z70" s="171">
        <f t="shared" si="5"/>
        <v>6.7386250000000008</v>
      </c>
      <c r="AA70" s="171">
        <f t="shared" si="6"/>
        <v>11.380820000000002</v>
      </c>
      <c r="AB70" s="171">
        <v>0</v>
      </c>
      <c r="AC70" s="171">
        <f t="shared" si="3"/>
        <v>92.642415923129732</v>
      </c>
      <c r="AD70" s="163">
        <v>28</v>
      </c>
      <c r="AE70" s="171">
        <f t="shared" si="15"/>
        <v>13.882400000000002</v>
      </c>
      <c r="AF70" s="179"/>
    </row>
    <row r="71" spans="1:32" s="396" customFormat="1" ht="15.75" customHeight="1" x14ac:dyDescent="0.2">
      <c r="A71" s="163">
        <v>58</v>
      </c>
      <c r="B71" s="164" t="s">
        <v>211</v>
      </c>
      <c r="C71" s="163" t="s">
        <v>46</v>
      </c>
      <c r="D71" s="165">
        <v>683.16</v>
      </c>
      <c r="E71" s="163" t="s">
        <v>224</v>
      </c>
      <c r="F71" s="163">
        <v>177.8</v>
      </c>
      <c r="G71" s="163" t="s">
        <v>28</v>
      </c>
      <c r="H71" s="165" t="s">
        <v>52</v>
      </c>
      <c r="I71" s="158">
        <v>560.29</v>
      </c>
      <c r="J71" s="163">
        <v>110</v>
      </c>
      <c r="K71" s="163"/>
      <c r="L71" s="163">
        <v>442</v>
      </c>
      <c r="M71" s="163"/>
      <c r="N71" s="163">
        <v>3.1</v>
      </c>
      <c r="O71" s="163"/>
      <c r="P71" s="182">
        <v>15.52</v>
      </c>
      <c r="Q71" s="171">
        <f t="shared" si="10"/>
        <v>24.2</v>
      </c>
      <c r="R71" s="170">
        <v>7.931</v>
      </c>
      <c r="S71" s="171">
        <v>9.2010000000000005</v>
      </c>
      <c r="T71" s="171">
        <v>50.828000000000003</v>
      </c>
      <c r="U71" s="171">
        <f t="shared" si="1"/>
        <v>6.4087756903290884</v>
      </c>
      <c r="V71" s="170">
        <f t="shared" si="9"/>
        <v>13.802847516574291</v>
      </c>
      <c r="W71" s="170">
        <v>0.3</v>
      </c>
      <c r="X71" s="171">
        <f t="shared" si="14"/>
        <v>0.38020661157024799</v>
      </c>
      <c r="Y71" s="171">
        <f t="shared" si="4"/>
        <v>7.3361750000000008</v>
      </c>
      <c r="Z71" s="171">
        <f t="shared" si="5"/>
        <v>8.5109250000000003</v>
      </c>
      <c r="AA71" s="171">
        <f t="shared" si="6"/>
        <v>47.524180000000008</v>
      </c>
      <c r="AB71" s="171">
        <f t="shared" si="7"/>
        <v>6.4087756903290884</v>
      </c>
      <c r="AC71" s="171">
        <f t="shared" si="3"/>
        <v>13.802847516574291</v>
      </c>
      <c r="AD71" s="163">
        <v>28</v>
      </c>
      <c r="AE71" s="171">
        <f t="shared" si="15"/>
        <v>205.41290000000004</v>
      </c>
      <c r="AF71" s="179"/>
    </row>
    <row r="72" spans="1:32" s="396" customFormat="1" ht="15.75" customHeight="1" x14ac:dyDescent="0.2">
      <c r="A72" s="163">
        <v>59</v>
      </c>
      <c r="B72" s="164" t="s">
        <v>213</v>
      </c>
      <c r="C72" s="163" t="s">
        <v>46</v>
      </c>
      <c r="D72" s="165">
        <v>679.2</v>
      </c>
      <c r="E72" s="399" t="s">
        <v>225</v>
      </c>
      <c r="F72" s="163">
        <v>177.8</v>
      </c>
      <c r="G72" s="163" t="s">
        <v>28</v>
      </c>
      <c r="H72" s="165" t="s">
        <v>48</v>
      </c>
      <c r="I72" s="158">
        <v>559.19000000000005</v>
      </c>
      <c r="J72" s="163">
        <v>100</v>
      </c>
      <c r="K72" s="163"/>
      <c r="L72" s="163">
        <v>466</v>
      </c>
      <c r="M72" s="163"/>
      <c r="N72" s="163">
        <v>2.2999999999999998</v>
      </c>
      <c r="O72" s="163"/>
      <c r="P72" s="182">
        <v>12.59</v>
      </c>
      <c r="Q72" s="171">
        <f t="shared" si="10"/>
        <v>13</v>
      </c>
      <c r="R72" s="170">
        <v>3.1640000000000001</v>
      </c>
      <c r="S72" s="171">
        <v>4.843</v>
      </c>
      <c r="T72" s="171">
        <v>7.7590000000000003</v>
      </c>
      <c r="U72" s="171">
        <f t="shared" si="1"/>
        <v>2.4522756005056889</v>
      </c>
      <c r="V72" s="170">
        <f t="shared" si="9"/>
        <v>34.668593846789179</v>
      </c>
      <c r="W72" s="170">
        <v>0.3</v>
      </c>
      <c r="X72" s="171">
        <f t="shared" si="14"/>
        <v>0.37253846153846154</v>
      </c>
      <c r="Y72" s="171">
        <f t="shared" si="4"/>
        <v>2.9267000000000003</v>
      </c>
      <c r="Z72" s="171">
        <f t="shared" si="5"/>
        <v>4.4797750000000001</v>
      </c>
      <c r="AA72" s="171">
        <f t="shared" si="6"/>
        <v>7.254665000000001</v>
      </c>
      <c r="AB72" s="171">
        <f t="shared" si="7"/>
        <v>2.4522756005056889</v>
      </c>
      <c r="AC72" s="171">
        <f t="shared" si="3"/>
        <v>34.668593846789179</v>
      </c>
      <c r="AD72" s="163">
        <v>28</v>
      </c>
      <c r="AE72" s="171">
        <f t="shared" si="15"/>
        <v>81.947600000000008</v>
      </c>
      <c r="AF72" s="179"/>
    </row>
    <row r="73" spans="1:32" s="396" customFormat="1" ht="15.75" customHeight="1" x14ac:dyDescent="0.2">
      <c r="A73" s="163">
        <v>60</v>
      </c>
      <c r="B73" s="164" t="s">
        <v>172</v>
      </c>
      <c r="C73" s="163" t="s">
        <v>46</v>
      </c>
      <c r="D73" s="165">
        <v>673</v>
      </c>
      <c r="E73" s="163" t="s">
        <v>173</v>
      </c>
      <c r="F73" s="163">
        <v>177.8</v>
      </c>
      <c r="G73" s="163" t="s">
        <v>28</v>
      </c>
      <c r="H73" s="165" t="s">
        <v>50</v>
      </c>
      <c r="I73" s="158">
        <v>560.79</v>
      </c>
      <c r="J73" s="163">
        <v>150</v>
      </c>
      <c r="K73" s="163"/>
      <c r="L73" s="163">
        <v>330</v>
      </c>
      <c r="M73" s="163"/>
      <c r="N73" s="163">
        <v>7.8</v>
      </c>
      <c r="O73" s="163"/>
      <c r="P73" s="160">
        <v>31.21</v>
      </c>
      <c r="Q73" s="171">
        <f>LEFT(H73,(FIND("K",H73,1)-1))*J73/100</f>
        <v>9</v>
      </c>
      <c r="R73" s="170">
        <v>1.7689999999999999</v>
      </c>
      <c r="S73" s="171">
        <v>3.33</v>
      </c>
      <c r="T73" s="171">
        <v>1.379</v>
      </c>
      <c r="U73" s="171">
        <f t="shared" si="1"/>
        <v>0.77953646127755793</v>
      </c>
      <c r="V73" s="170">
        <f t="shared" si="9"/>
        <v>46.876876876876885</v>
      </c>
      <c r="W73" s="170">
        <v>0.5</v>
      </c>
      <c r="X73" s="171">
        <f t="shared" si="14"/>
        <v>0.37</v>
      </c>
      <c r="Y73" s="171">
        <f t="shared" si="4"/>
        <v>1.636325</v>
      </c>
      <c r="Z73" s="171">
        <f t="shared" si="5"/>
        <v>3.0802500000000004</v>
      </c>
      <c r="AA73" s="171">
        <f t="shared" si="6"/>
        <v>1.2893650000000001</v>
      </c>
      <c r="AB73" s="171">
        <f t="shared" si="7"/>
        <v>0.77953646127755793</v>
      </c>
      <c r="AC73" s="171">
        <f t="shared" si="3"/>
        <v>46.876876876876885</v>
      </c>
      <c r="AD73" s="163">
        <v>28</v>
      </c>
      <c r="AE73" s="171">
        <f>Y73*AD73</f>
        <v>45.817100000000003</v>
      </c>
      <c r="AF73" s="179"/>
    </row>
    <row r="74" spans="1:32" s="396" customFormat="1" ht="15.75" customHeight="1" x14ac:dyDescent="0.2">
      <c r="A74" s="163">
        <v>61</v>
      </c>
      <c r="B74" s="219" t="s">
        <v>171</v>
      </c>
      <c r="C74" s="163" t="s">
        <v>46</v>
      </c>
      <c r="D74" s="158">
        <v>646</v>
      </c>
      <c r="E74" s="158" t="s">
        <v>191</v>
      </c>
      <c r="F74" s="163">
        <v>177.8</v>
      </c>
      <c r="G74" s="163" t="s">
        <v>28</v>
      </c>
      <c r="H74" s="165" t="s">
        <v>48</v>
      </c>
      <c r="I74" s="158">
        <v>570.15</v>
      </c>
      <c r="J74" s="158">
        <v>100</v>
      </c>
      <c r="K74" s="158"/>
      <c r="L74" s="158">
        <v>228</v>
      </c>
      <c r="M74" s="158"/>
      <c r="N74" s="163">
        <v>3.6</v>
      </c>
      <c r="O74" s="158"/>
      <c r="P74" s="284">
        <v>37.6</v>
      </c>
      <c r="Q74" s="174">
        <f>LEFT(H74,(FIND("K",H74,1)-1))*J74/100</f>
        <v>13</v>
      </c>
      <c r="R74" s="170">
        <v>0.34699999999999998</v>
      </c>
      <c r="S74" s="171">
        <v>1.0229999999999999</v>
      </c>
      <c r="T74" s="174">
        <v>0</v>
      </c>
      <c r="U74" s="171">
        <f t="shared" si="1"/>
        <v>0</v>
      </c>
      <c r="V74" s="170">
        <f t="shared" si="9"/>
        <v>66.080156402737046</v>
      </c>
      <c r="W74" s="170">
        <v>0.4</v>
      </c>
      <c r="X74" s="171">
        <f t="shared" si="14"/>
        <v>7.8692307692307686E-2</v>
      </c>
      <c r="Y74" s="171">
        <f t="shared" si="4"/>
        <v>0.32097500000000001</v>
      </c>
      <c r="Z74" s="171">
        <f t="shared" si="5"/>
        <v>0.94627499999999998</v>
      </c>
      <c r="AA74" s="171">
        <f t="shared" si="6"/>
        <v>0</v>
      </c>
      <c r="AB74" s="171">
        <f t="shared" si="7"/>
        <v>0</v>
      </c>
      <c r="AC74" s="171">
        <f t="shared" si="3"/>
        <v>66.080156402737046</v>
      </c>
      <c r="AD74" s="163">
        <v>28</v>
      </c>
      <c r="AE74" s="171">
        <f>Y74*AD74</f>
        <v>8.9873000000000012</v>
      </c>
      <c r="AF74" s="172"/>
    </row>
    <row r="75" spans="1:32" s="396" customFormat="1" ht="15.75" x14ac:dyDescent="0.2">
      <c r="A75" s="400"/>
      <c r="B75" s="1834"/>
      <c r="C75" s="1834"/>
      <c r="D75" s="1834"/>
      <c r="E75" s="1835"/>
      <c r="F75" s="175"/>
      <c r="G75" s="163"/>
      <c r="H75" s="165"/>
      <c r="I75" s="171"/>
      <c r="J75" s="163"/>
      <c r="K75" s="175"/>
      <c r="L75" s="163"/>
      <c r="M75" s="175"/>
      <c r="N75" s="182"/>
      <c r="O75" s="175"/>
      <c r="P75" s="182"/>
      <c r="Q75" s="209"/>
      <c r="R75" s="209">
        <f>SUM(R14:R74)</f>
        <v>385.08500000000004</v>
      </c>
      <c r="S75" s="209">
        <f>SUM(S14:S74)</f>
        <v>614.64299999999992</v>
      </c>
      <c r="T75" s="209">
        <f>SUM(T14:T74)</f>
        <v>18255.292999999998</v>
      </c>
      <c r="U75" s="209">
        <f>T75/R75</f>
        <v>47.405879221470578</v>
      </c>
      <c r="V75" s="209"/>
      <c r="W75" s="209"/>
      <c r="X75" s="209"/>
      <c r="Y75" s="209">
        <f>SUM(Y14:Y74)</f>
        <v>356.20362499999999</v>
      </c>
      <c r="Z75" s="209">
        <f>SUM(Z14:Z74)</f>
        <v>568.54477499999985</v>
      </c>
      <c r="AA75" s="209">
        <f>SUM(AA14:AA74)</f>
        <v>17068.698954999996</v>
      </c>
      <c r="AB75" s="209">
        <f>AA75/Y75</f>
        <v>47.918375213054041</v>
      </c>
      <c r="AC75" s="209"/>
      <c r="AD75" s="209"/>
      <c r="AE75" s="210">
        <f>SUM(AE14:AE74)</f>
        <v>9973.7014999999956</v>
      </c>
      <c r="AF75" s="177"/>
    </row>
    <row r="76" spans="1:32" s="396" customFormat="1" ht="15.75" x14ac:dyDescent="0.2">
      <c r="A76" s="400"/>
      <c r="B76" s="1836" t="s">
        <v>277</v>
      </c>
      <c r="C76" s="1887"/>
      <c r="D76" s="1887"/>
      <c r="E76" s="1887"/>
      <c r="F76" s="1888"/>
      <c r="G76" s="393"/>
      <c r="H76" s="392"/>
      <c r="I76" s="392"/>
      <c r="J76" s="158"/>
      <c r="K76" s="158"/>
      <c r="L76" s="158"/>
      <c r="M76" s="158"/>
      <c r="N76" s="158"/>
      <c r="O76" s="158"/>
      <c r="P76" s="160"/>
      <c r="Q76" s="174"/>
      <c r="R76" s="158"/>
      <c r="S76" s="174"/>
      <c r="T76" s="158"/>
      <c r="U76" s="395"/>
      <c r="V76" s="393"/>
      <c r="W76" s="393"/>
      <c r="X76" s="157"/>
      <c r="Y76" s="158"/>
      <c r="Z76" s="158"/>
      <c r="AA76" s="158"/>
      <c r="AB76" s="395"/>
      <c r="AC76" s="393"/>
      <c r="AD76" s="158"/>
      <c r="AE76" s="158"/>
      <c r="AF76" s="392"/>
    </row>
    <row r="77" spans="1:32" s="396" customFormat="1" ht="15.75" customHeight="1" x14ac:dyDescent="0.2">
      <c r="A77" s="216">
        <v>62</v>
      </c>
      <c r="B77" s="163" t="s">
        <v>131</v>
      </c>
      <c r="C77" s="216" t="s">
        <v>177</v>
      </c>
      <c r="D77" s="165">
        <v>389.74</v>
      </c>
      <c r="E77" s="323" t="s">
        <v>136</v>
      </c>
      <c r="F77" s="163">
        <v>177.8</v>
      </c>
      <c r="G77" s="163" t="s">
        <v>28</v>
      </c>
      <c r="H77" s="165" t="s">
        <v>58</v>
      </c>
      <c r="I77" s="158">
        <v>142.80000000000001</v>
      </c>
      <c r="J77" s="163">
        <v>180</v>
      </c>
      <c r="K77" s="163"/>
      <c r="L77" s="163">
        <v>22</v>
      </c>
      <c r="M77" s="163"/>
      <c r="N77" s="163">
        <v>0</v>
      </c>
      <c r="O77" s="163"/>
      <c r="P77" s="182">
        <v>15.28</v>
      </c>
      <c r="Q77" s="174"/>
      <c r="R77" s="170">
        <v>1.9390000000000001</v>
      </c>
      <c r="S77" s="171">
        <v>2.3260000000000001</v>
      </c>
      <c r="T77" s="171">
        <v>0</v>
      </c>
      <c r="U77" s="171">
        <f>T77/R77</f>
        <v>0</v>
      </c>
      <c r="V77" s="170">
        <f t="shared" ref="V77:V80" si="16">(S77-R77)/S77*100</f>
        <v>16.638005159071369</v>
      </c>
      <c r="W77" s="170">
        <v>0.3</v>
      </c>
      <c r="X77" s="171"/>
      <c r="Y77" s="171">
        <f>R77*0.9424</f>
        <v>1.8273136000000001</v>
      </c>
      <c r="Z77" s="171">
        <f>S77*0.9424</f>
        <v>2.1920223999999999</v>
      </c>
      <c r="AA77" s="171">
        <f t="shared" ref="AA77:AA82" si="17">T77*0.9494</f>
        <v>0</v>
      </c>
      <c r="AB77" s="171">
        <f t="shared" ref="AB77:AC82" si="18">U77</f>
        <v>0</v>
      </c>
      <c r="AC77" s="171">
        <f t="shared" si="18"/>
        <v>16.638005159071369</v>
      </c>
      <c r="AD77" s="163">
        <v>28</v>
      </c>
      <c r="AE77" s="171">
        <f>Y77*AD77</f>
        <v>51.164780800000003</v>
      </c>
      <c r="AF77" s="179"/>
    </row>
    <row r="78" spans="1:32" s="396" customFormat="1" ht="15.75" customHeight="1" x14ac:dyDescent="0.2">
      <c r="A78" s="216">
        <v>63</v>
      </c>
      <c r="B78" s="163" t="s">
        <v>132</v>
      </c>
      <c r="C78" s="216" t="s">
        <v>177</v>
      </c>
      <c r="D78" s="163">
        <v>387.72</v>
      </c>
      <c r="E78" s="323" t="s">
        <v>135</v>
      </c>
      <c r="F78" s="163">
        <v>177.8</v>
      </c>
      <c r="G78" s="163" t="s">
        <v>28</v>
      </c>
      <c r="H78" s="165" t="s">
        <v>58</v>
      </c>
      <c r="I78" s="158">
        <v>136.03</v>
      </c>
      <c r="J78" s="163">
        <v>170</v>
      </c>
      <c r="K78" s="163"/>
      <c r="L78" s="163">
        <v>23</v>
      </c>
      <c r="M78" s="163"/>
      <c r="N78" s="163">
        <v>0</v>
      </c>
      <c r="O78" s="163"/>
      <c r="P78" s="182">
        <v>14.06</v>
      </c>
      <c r="Q78" s="171"/>
      <c r="R78" s="170">
        <v>2.7330000000000001</v>
      </c>
      <c r="S78" s="171">
        <v>3.6970000000000001</v>
      </c>
      <c r="T78" s="171">
        <v>0</v>
      </c>
      <c r="U78" s="171">
        <v>0</v>
      </c>
      <c r="V78" s="170">
        <f t="shared" si="16"/>
        <v>26.07519610494996</v>
      </c>
      <c r="W78" s="170">
        <v>0.4</v>
      </c>
      <c r="X78" s="171"/>
      <c r="Y78" s="171">
        <f t="shared" ref="Y78:Y82" si="19">R78*0.9424</f>
        <v>2.5755792</v>
      </c>
      <c r="Z78" s="171">
        <f t="shared" ref="Z78:Z82" si="20">S78*0.9424</f>
        <v>3.4840528000000002</v>
      </c>
      <c r="AA78" s="171">
        <f t="shared" si="17"/>
        <v>0</v>
      </c>
      <c r="AB78" s="171">
        <v>0</v>
      </c>
      <c r="AC78" s="171">
        <f>V78</f>
        <v>26.07519610494996</v>
      </c>
      <c r="AD78" s="163">
        <v>28</v>
      </c>
      <c r="AE78" s="171">
        <f>Y78*AD78</f>
        <v>72.116217599999999</v>
      </c>
      <c r="AF78" s="343"/>
    </row>
    <row r="79" spans="1:32" s="396" customFormat="1" ht="15.75" customHeight="1" x14ac:dyDescent="0.2">
      <c r="A79" s="216">
        <v>64</v>
      </c>
      <c r="B79" s="163" t="s">
        <v>121</v>
      </c>
      <c r="C79" s="216" t="s">
        <v>177</v>
      </c>
      <c r="D79" s="163">
        <v>389.57</v>
      </c>
      <c r="E79" s="163" t="s">
        <v>137</v>
      </c>
      <c r="F79" s="163">
        <v>177.8</v>
      </c>
      <c r="G79" s="163" t="s">
        <v>28</v>
      </c>
      <c r="H79" s="165" t="s">
        <v>58</v>
      </c>
      <c r="I79" s="158">
        <v>120.43</v>
      </c>
      <c r="J79" s="163">
        <v>0</v>
      </c>
      <c r="K79" s="163"/>
      <c r="L79" s="163"/>
      <c r="M79" s="163"/>
      <c r="N79" s="163"/>
      <c r="O79" s="163"/>
      <c r="P79" s="182"/>
      <c r="Q79" s="171"/>
      <c r="R79" s="170"/>
      <c r="S79" s="171"/>
      <c r="T79" s="171"/>
      <c r="U79" s="171"/>
      <c r="V79" s="170"/>
      <c r="W79" s="170"/>
      <c r="X79" s="171"/>
      <c r="Y79" s="171">
        <f t="shared" si="19"/>
        <v>0</v>
      </c>
      <c r="Z79" s="171">
        <f t="shared" si="20"/>
        <v>0</v>
      </c>
      <c r="AA79" s="171">
        <f t="shared" si="17"/>
        <v>0</v>
      </c>
      <c r="AB79" s="171">
        <v>0</v>
      </c>
      <c r="AC79" s="171">
        <f>V79</f>
        <v>0</v>
      </c>
      <c r="AD79" s="163">
        <v>0</v>
      </c>
      <c r="AE79" s="171">
        <f>Y79*AD79</f>
        <v>0</v>
      </c>
      <c r="AF79" s="172"/>
    </row>
    <row r="80" spans="1:32" s="396" customFormat="1" ht="15.75" customHeight="1" x14ac:dyDescent="0.2">
      <c r="A80" s="216">
        <v>65</v>
      </c>
      <c r="B80" s="164" t="s">
        <v>122</v>
      </c>
      <c r="C80" s="216" t="s">
        <v>177</v>
      </c>
      <c r="D80" s="163">
        <v>391.06</v>
      </c>
      <c r="E80" s="163" t="s">
        <v>138</v>
      </c>
      <c r="F80" s="163">
        <v>177.8</v>
      </c>
      <c r="G80" s="163" t="s">
        <v>28</v>
      </c>
      <c r="H80" s="165" t="s">
        <v>58</v>
      </c>
      <c r="I80" s="171">
        <v>151.72999999999999</v>
      </c>
      <c r="J80" s="163">
        <v>200</v>
      </c>
      <c r="K80" s="175"/>
      <c r="L80" s="163">
        <v>42</v>
      </c>
      <c r="M80" s="175"/>
      <c r="N80" s="163">
        <v>0</v>
      </c>
      <c r="O80" s="175"/>
      <c r="P80" s="182">
        <v>13.92</v>
      </c>
      <c r="Q80" s="171"/>
      <c r="R80" s="170">
        <v>3.206</v>
      </c>
      <c r="S80" s="170">
        <v>3.6190000000000002</v>
      </c>
      <c r="T80" s="171">
        <v>0</v>
      </c>
      <c r="U80" s="171">
        <f>T80/R80</f>
        <v>0</v>
      </c>
      <c r="V80" s="170">
        <f t="shared" si="16"/>
        <v>11.411992263056099</v>
      </c>
      <c r="W80" s="171">
        <v>0.6</v>
      </c>
      <c r="X80" s="171"/>
      <c r="Y80" s="171">
        <f t="shared" si="19"/>
        <v>3.0213344000000002</v>
      </c>
      <c r="Z80" s="171">
        <f t="shared" si="20"/>
        <v>3.4105456000000003</v>
      </c>
      <c r="AA80" s="171">
        <f t="shared" si="17"/>
        <v>0</v>
      </c>
      <c r="AB80" s="171">
        <f t="shared" si="18"/>
        <v>0</v>
      </c>
      <c r="AC80" s="171">
        <f t="shared" si="18"/>
        <v>11.411992263056099</v>
      </c>
      <c r="AD80" s="163">
        <v>28</v>
      </c>
      <c r="AE80" s="171">
        <f>Y80*AD80</f>
        <v>84.597363200000004</v>
      </c>
      <c r="AF80" s="177"/>
    </row>
    <row r="81" spans="1:32" s="396" customFormat="1" ht="15.75" x14ac:dyDescent="0.2">
      <c r="A81" s="216">
        <v>66</v>
      </c>
      <c r="B81" s="163" t="s">
        <v>57</v>
      </c>
      <c r="C81" s="215" t="s">
        <v>176</v>
      </c>
      <c r="D81" s="163">
        <v>681.52</v>
      </c>
      <c r="E81" s="164" t="s">
        <v>93</v>
      </c>
      <c r="F81" s="163">
        <v>177.8</v>
      </c>
      <c r="G81" s="163" t="s">
        <v>28</v>
      </c>
      <c r="H81" s="165" t="s">
        <v>58</v>
      </c>
      <c r="I81" s="171">
        <v>157.88</v>
      </c>
      <c r="J81" s="163"/>
      <c r="K81" s="163">
        <v>81</v>
      </c>
      <c r="L81" s="163"/>
      <c r="M81" s="175">
        <v>0</v>
      </c>
      <c r="N81" s="163">
        <v>0</v>
      </c>
      <c r="O81" s="175"/>
      <c r="P81" s="401">
        <v>9.6</v>
      </c>
      <c r="Q81" s="171"/>
      <c r="R81" s="170">
        <v>0</v>
      </c>
      <c r="S81" s="171">
        <v>0</v>
      </c>
      <c r="T81" s="171">
        <v>0</v>
      </c>
      <c r="U81" s="171">
        <v>0</v>
      </c>
      <c r="V81" s="170"/>
      <c r="W81" s="171"/>
      <c r="X81" s="171"/>
      <c r="Y81" s="171">
        <f t="shared" si="19"/>
        <v>0</v>
      </c>
      <c r="Z81" s="171">
        <f t="shared" si="20"/>
        <v>0</v>
      </c>
      <c r="AA81" s="171">
        <f t="shared" si="17"/>
        <v>0</v>
      </c>
      <c r="AB81" s="171">
        <f t="shared" si="18"/>
        <v>0</v>
      </c>
      <c r="AC81" s="171">
        <f t="shared" si="18"/>
        <v>0</v>
      </c>
      <c r="AD81" s="163">
        <v>0</v>
      </c>
      <c r="AE81" s="171">
        <f>Y81*AD81</f>
        <v>0</v>
      </c>
      <c r="AF81" s="172" t="s">
        <v>305</v>
      </c>
    </row>
    <row r="82" spans="1:32" s="396" customFormat="1" ht="15.75" x14ac:dyDescent="0.2">
      <c r="A82" s="216">
        <v>67</v>
      </c>
      <c r="B82" s="163" t="s">
        <v>184</v>
      </c>
      <c r="C82" s="215" t="s">
        <v>176</v>
      </c>
      <c r="D82" s="163">
        <v>422.78</v>
      </c>
      <c r="E82" s="164" t="s">
        <v>185</v>
      </c>
      <c r="F82" s="163">
        <v>177.8</v>
      </c>
      <c r="G82" s="163" t="s">
        <v>28</v>
      </c>
      <c r="H82" s="165" t="s">
        <v>58</v>
      </c>
      <c r="I82" s="171">
        <v>223.87</v>
      </c>
      <c r="J82" s="163"/>
      <c r="K82" s="163">
        <v>101</v>
      </c>
      <c r="L82" s="163"/>
      <c r="M82" s="175">
        <v>0</v>
      </c>
      <c r="N82" s="163">
        <v>0</v>
      </c>
      <c r="O82" s="175"/>
      <c r="P82" s="182">
        <v>7.5</v>
      </c>
      <c r="Q82" s="171"/>
      <c r="R82" s="170">
        <v>0</v>
      </c>
      <c r="S82" s="171">
        <v>0</v>
      </c>
      <c r="T82" s="171">
        <v>0</v>
      </c>
      <c r="U82" s="171">
        <v>0</v>
      </c>
      <c r="V82" s="170"/>
      <c r="W82" s="171"/>
      <c r="X82" s="171"/>
      <c r="Y82" s="171">
        <f t="shared" si="19"/>
        <v>0</v>
      </c>
      <c r="Z82" s="171">
        <f t="shared" si="20"/>
        <v>0</v>
      </c>
      <c r="AA82" s="171">
        <f t="shared" si="17"/>
        <v>0</v>
      </c>
      <c r="AB82" s="171">
        <f t="shared" si="18"/>
        <v>0</v>
      </c>
      <c r="AC82" s="171">
        <f t="shared" si="18"/>
        <v>0</v>
      </c>
      <c r="AD82" s="163">
        <v>0</v>
      </c>
      <c r="AE82" s="171">
        <f t="shared" ref="AE82" si="21">Y82*AD82</f>
        <v>0</v>
      </c>
      <c r="AF82" s="172" t="s">
        <v>305</v>
      </c>
    </row>
    <row r="83" spans="1:32" ht="15.75" x14ac:dyDescent="0.2">
      <c r="A83" s="306"/>
      <c r="B83" s="1834"/>
      <c r="C83" s="1834"/>
      <c r="D83" s="1834"/>
      <c r="E83" s="1835"/>
      <c r="F83" s="158"/>
      <c r="G83" s="383"/>
      <c r="H83" s="382"/>
      <c r="I83" s="382"/>
      <c r="J83" s="158"/>
      <c r="K83" s="158"/>
      <c r="L83" s="158"/>
      <c r="M83" s="158"/>
      <c r="N83" s="158"/>
      <c r="O83" s="158"/>
      <c r="P83" s="160"/>
      <c r="Q83" s="174"/>
      <c r="R83" s="209">
        <f>SUM(R77:R81)</f>
        <v>7.8780000000000001</v>
      </c>
      <c r="S83" s="209">
        <f>SUM(S77:S81)</f>
        <v>9.6419999999999995</v>
      </c>
      <c r="T83" s="209">
        <f>SUM(T77:T81)</f>
        <v>0</v>
      </c>
      <c r="U83" s="209">
        <f>SUM(U77:U80)</f>
        <v>0</v>
      </c>
      <c r="V83" s="383"/>
      <c r="W83" s="383"/>
      <c r="X83" s="383"/>
      <c r="Y83" s="209">
        <f>SUM(Y77:Y80)</f>
        <v>7.4242272000000007</v>
      </c>
      <c r="Z83" s="209">
        <f>SUM(Z77:Z80)</f>
        <v>9.0866208000000004</v>
      </c>
      <c r="AA83" s="209">
        <f>SUM(AA77:AA81)</f>
        <v>0</v>
      </c>
      <c r="AB83" s="209">
        <v>0</v>
      </c>
      <c r="AC83" s="383"/>
      <c r="AD83" s="158"/>
      <c r="AE83" s="209">
        <f>SUM(AE77:AE80)</f>
        <v>207.87836160000001</v>
      </c>
      <c r="AF83" s="218"/>
    </row>
    <row r="84" spans="1:32" ht="15.75" x14ac:dyDescent="0.2">
      <c r="A84" s="306"/>
      <c r="B84" s="1834"/>
      <c r="C84" s="1834"/>
      <c r="D84" s="1834"/>
      <c r="E84" s="1835"/>
      <c r="F84" s="175"/>
      <c r="G84" s="163"/>
      <c r="H84" s="165"/>
      <c r="I84" s="171"/>
      <c r="J84" s="163"/>
      <c r="K84" s="175"/>
      <c r="L84" s="163"/>
      <c r="M84" s="175"/>
      <c r="N84" s="182"/>
      <c r="O84" s="175"/>
      <c r="P84" s="224"/>
      <c r="Q84" s="209"/>
      <c r="R84" s="209"/>
      <c r="S84" s="209"/>
      <c r="T84" s="209"/>
      <c r="U84" s="209"/>
      <c r="V84" s="209"/>
      <c r="W84" s="209"/>
      <c r="X84" s="209"/>
      <c r="Y84" s="209"/>
      <c r="Z84" s="225"/>
      <c r="AA84" s="209"/>
      <c r="AB84" s="209"/>
      <c r="AC84" s="209"/>
      <c r="AD84" s="209"/>
      <c r="AE84" s="209"/>
      <c r="AF84" s="177"/>
    </row>
    <row r="85" spans="1:32" ht="15.75" x14ac:dyDescent="0.2">
      <c r="A85" s="306"/>
      <c r="B85" s="1843" t="s">
        <v>276</v>
      </c>
      <c r="C85" s="1839"/>
      <c r="D85" s="1839"/>
      <c r="E85" s="1839"/>
      <c r="F85" s="1839"/>
      <c r="G85" s="383"/>
      <c r="H85" s="382"/>
      <c r="I85" s="382"/>
      <c r="J85" s="158"/>
      <c r="K85" s="158"/>
      <c r="L85" s="158"/>
      <c r="M85" s="158"/>
      <c r="N85" s="158"/>
      <c r="O85" s="158"/>
      <c r="P85" s="160"/>
      <c r="Q85" s="174"/>
      <c r="R85" s="158"/>
      <c r="S85" s="158"/>
      <c r="T85" s="158"/>
      <c r="U85" s="388"/>
      <c r="V85" s="383"/>
      <c r="W85" s="383"/>
      <c r="X85" s="383"/>
      <c r="Y85" s="158"/>
      <c r="Z85" s="158"/>
      <c r="AA85" s="158"/>
      <c r="AB85" s="390"/>
      <c r="AC85" s="383"/>
      <c r="AD85" s="158"/>
      <c r="AE85" s="158"/>
      <c r="AF85" s="382"/>
    </row>
    <row r="86" spans="1:32" ht="15.75" x14ac:dyDescent="0.2">
      <c r="A86" s="163">
        <v>68</v>
      </c>
      <c r="B86" s="226" t="s">
        <v>107</v>
      </c>
      <c r="C86" s="188" t="s">
        <v>109</v>
      </c>
      <c r="D86" s="389"/>
      <c r="E86" s="389"/>
      <c r="F86" s="158"/>
      <c r="G86" s="383"/>
      <c r="H86" s="382"/>
      <c r="I86" s="382"/>
      <c r="J86" s="158"/>
      <c r="K86" s="158"/>
      <c r="L86" s="158"/>
      <c r="M86" s="158"/>
      <c r="N86" s="158"/>
      <c r="O86" s="158"/>
      <c r="P86" s="160"/>
      <c r="Q86" s="174"/>
      <c r="R86" s="158"/>
      <c r="S86" s="158"/>
      <c r="T86" s="158"/>
      <c r="U86" s="388"/>
      <c r="V86" s="383"/>
      <c r="W86" s="383"/>
      <c r="X86" s="383"/>
      <c r="Y86" s="382"/>
      <c r="Z86" s="382"/>
      <c r="AA86" s="158"/>
      <c r="AB86" s="390"/>
      <c r="AC86" s="383"/>
      <c r="AD86" s="228"/>
      <c r="AE86" s="158"/>
      <c r="AF86" s="229"/>
    </row>
    <row r="87" spans="1:32" ht="15.75" x14ac:dyDescent="0.2">
      <c r="A87" s="163">
        <v>69</v>
      </c>
      <c r="B87" s="226" t="s">
        <v>108</v>
      </c>
      <c r="C87" s="188" t="s">
        <v>109</v>
      </c>
      <c r="D87" s="389"/>
      <c r="E87" s="389"/>
      <c r="F87" s="158"/>
      <c r="G87" s="383"/>
      <c r="H87" s="382"/>
      <c r="I87" s="382"/>
      <c r="J87" s="158"/>
      <c r="K87" s="158"/>
      <c r="L87" s="158"/>
      <c r="M87" s="158"/>
      <c r="N87" s="158"/>
      <c r="O87" s="158"/>
      <c r="P87" s="160"/>
      <c r="Q87" s="174"/>
      <c r="R87" s="158"/>
      <c r="S87" s="158"/>
      <c r="T87" s="158"/>
      <c r="U87" s="388"/>
      <c r="V87" s="383"/>
      <c r="W87" s="383"/>
      <c r="X87" s="383"/>
      <c r="Y87" s="382"/>
      <c r="Z87" s="382"/>
      <c r="AA87" s="158"/>
      <c r="AB87" s="390"/>
      <c r="AC87" s="383"/>
      <c r="AD87" s="228"/>
      <c r="AE87" s="158"/>
      <c r="AF87" s="229"/>
    </row>
    <row r="88" spans="1:32" ht="15.75" x14ac:dyDescent="0.2">
      <c r="A88" s="163">
        <v>70</v>
      </c>
      <c r="B88" s="226" t="s">
        <v>195</v>
      </c>
      <c r="C88" s="216" t="s">
        <v>193</v>
      </c>
      <c r="D88" s="389"/>
      <c r="E88" s="389"/>
      <c r="F88" s="158"/>
      <c r="G88" s="383"/>
      <c r="H88" s="382"/>
      <c r="I88" s="382"/>
      <c r="J88" s="158"/>
      <c r="K88" s="158"/>
      <c r="L88" s="158"/>
      <c r="M88" s="158"/>
      <c r="N88" s="158"/>
      <c r="O88" s="158"/>
      <c r="P88" s="160"/>
      <c r="Q88" s="174"/>
      <c r="R88" s="158"/>
      <c r="S88" s="158"/>
      <c r="T88" s="158"/>
      <c r="U88" s="388"/>
      <c r="V88" s="383"/>
      <c r="W88" s="383"/>
      <c r="X88" s="383"/>
      <c r="Y88" s="382"/>
      <c r="Z88" s="382"/>
      <c r="AA88" s="158"/>
      <c r="AB88" s="390"/>
      <c r="AC88" s="383"/>
      <c r="AD88" s="228"/>
      <c r="AE88" s="158"/>
      <c r="AF88" s="229"/>
    </row>
    <row r="89" spans="1:32" ht="15.75" x14ac:dyDescent="0.2">
      <c r="A89" s="163">
        <v>71</v>
      </c>
      <c r="B89" s="226" t="s">
        <v>192</v>
      </c>
      <c r="C89" s="216" t="s">
        <v>193</v>
      </c>
      <c r="D89" s="389"/>
      <c r="E89" s="389"/>
      <c r="F89" s="158"/>
      <c r="G89" s="383"/>
      <c r="H89" s="382"/>
      <c r="I89" s="382"/>
      <c r="J89" s="158"/>
      <c r="K89" s="158"/>
      <c r="L89" s="158"/>
      <c r="M89" s="158"/>
      <c r="N89" s="158"/>
      <c r="O89" s="158"/>
      <c r="P89" s="160"/>
      <c r="Q89" s="174"/>
      <c r="R89" s="158"/>
      <c r="S89" s="158"/>
      <c r="T89" s="158"/>
      <c r="U89" s="388"/>
      <c r="V89" s="383"/>
      <c r="W89" s="383"/>
      <c r="X89" s="383"/>
      <c r="Y89" s="382"/>
      <c r="Z89" s="382"/>
      <c r="AA89" s="158"/>
      <c r="AB89" s="390"/>
      <c r="AC89" s="383"/>
      <c r="AD89" s="228"/>
      <c r="AE89" s="158"/>
      <c r="AF89" s="229"/>
    </row>
    <row r="90" spans="1:32" ht="15.75" x14ac:dyDescent="0.2">
      <c r="A90" s="163"/>
      <c r="B90" s="1843" t="s">
        <v>278</v>
      </c>
      <c r="C90" s="1839"/>
      <c r="D90" s="1839"/>
      <c r="E90" s="1839"/>
      <c r="F90" s="1839"/>
      <c r="G90" s="383"/>
      <c r="H90" s="382"/>
      <c r="I90" s="382"/>
      <c r="J90" s="158"/>
      <c r="K90" s="158"/>
      <c r="L90" s="158"/>
      <c r="M90" s="158"/>
      <c r="N90" s="158"/>
      <c r="O90" s="158"/>
      <c r="P90" s="160"/>
      <c r="Q90" s="174"/>
      <c r="R90" s="158"/>
      <c r="S90" s="158"/>
      <c r="T90" s="158"/>
      <c r="U90" s="388"/>
      <c r="V90" s="383"/>
      <c r="W90" s="383"/>
      <c r="X90" s="383"/>
      <c r="Y90" s="158"/>
      <c r="Z90" s="158"/>
      <c r="AA90" s="158"/>
      <c r="AB90" s="390"/>
      <c r="AC90" s="383"/>
      <c r="AD90" s="158"/>
      <c r="AE90" s="158"/>
      <c r="AF90" s="382"/>
    </row>
    <row r="91" spans="1:32" ht="15.75" x14ac:dyDescent="0.2">
      <c r="A91" s="163">
        <v>72</v>
      </c>
      <c r="B91" s="207" t="s">
        <v>189</v>
      </c>
      <c r="C91" s="163" t="s">
        <v>46</v>
      </c>
      <c r="D91" s="189">
        <v>673</v>
      </c>
      <c r="E91" s="189" t="s">
        <v>190</v>
      </c>
      <c r="F91" s="163">
        <v>177.8</v>
      </c>
      <c r="G91" s="163"/>
      <c r="H91" s="165"/>
      <c r="I91" s="158"/>
      <c r="J91" s="158"/>
      <c r="K91" s="158"/>
      <c r="L91" s="158"/>
      <c r="M91" s="158"/>
      <c r="N91" s="158"/>
      <c r="O91" s="158"/>
      <c r="P91" s="160"/>
      <c r="Q91" s="174"/>
      <c r="R91" s="158"/>
      <c r="S91" s="158"/>
      <c r="T91" s="158"/>
      <c r="U91" s="388"/>
      <c r="V91" s="383"/>
      <c r="W91" s="383"/>
      <c r="X91" s="383"/>
      <c r="Y91" s="230"/>
      <c r="Z91" s="231"/>
      <c r="AA91" s="382"/>
      <c r="AB91" s="390"/>
      <c r="AC91" s="158"/>
      <c r="AD91" s="163"/>
      <c r="AE91" s="171"/>
      <c r="AF91" s="179"/>
    </row>
    <row r="92" spans="1:32" ht="15.75" x14ac:dyDescent="0.25">
      <c r="A92" s="163">
        <v>73</v>
      </c>
      <c r="B92" s="164" t="s">
        <v>181</v>
      </c>
      <c r="C92" s="232" t="s">
        <v>183</v>
      </c>
      <c r="D92" s="165">
        <v>374.5</v>
      </c>
      <c r="E92" s="163" t="s">
        <v>182</v>
      </c>
      <c r="F92" s="163">
        <v>177.8</v>
      </c>
      <c r="G92" s="163"/>
      <c r="H92" s="165"/>
      <c r="I92" s="158"/>
      <c r="J92" s="163"/>
      <c r="K92" s="163"/>
      <c r="L92" s="163"/>
      <c r="M92" s="163"/>
      <c r="N92" s="182"/>
      <c r="O92" s="163"/>
      <c r="P92" s="170"/>
      <c r="Q92" s="171"/>
      <c r="R92" s="170"/>
      <c r="S92" s="171"/>
      <c r="T92" s="171"/>
      <c r="U92" s="171"/>
      <c r="V92" s="170"/>
      <c r="W92" s="170"/>
      <c r="X92" s="233"/>
      <c r="Y92" s="171"/>
      <c r="Z92" s="171"/>
      <c r="AA92" s="171"/>
      <c r="AB92" s="171"/>
      <c r="AC92" s="171"/>
      <c r="AD92" s="163"/>
      <c r="AE92" s="171"/>
      <c r="AF92" s="179"/>
    </row>
    <row r="93" spans="1:32" ht="15.75" x14ac:dyDescent="0.25">
      <c r="A93" s="163">
        <v>74</v>
      </c>
      <c r="B93" s="164" t="s">
        <v>188</v>
      </c>
      <c r="C93" s="232" t="s">
        <v>183</v>
      </c>
      <c r="D93" s="165">
        <v>376.58</v>
      </c>
      <c r="E93" s="163" t="s">
        <v>235</v>
      </c>
      <c r="F93" s="163">
        <v>177.8</v>
      </c>
      <c r="G93" s="163"/>
      <c r="H93" s="165"/>
      <c r="I93" s="158"/>
      <c r="J93" s="163"/>
      <c r="K93" s="163"/>
      <c r="L93" s="163"/>
      <c r="M93" s="163"/>
      <c r="N93" s="182"/>
      <c r="O93" s="163"/>
      <c r="P93" s="170"/>
      <c r="Q93" s="171"/>
      <c r="R93" s="170"/>
      <c r="S93" s="171"/>
      <c r="T93" s="171"/>
      <c r="U93" s="171"/>
      <c r="V93" s="170"/>
      <c r="W93" s="170"/>
      <c r="X93" s="233"/>
      <c r="Y93" s="171"/>
      <c r="Z93" s="171"/>
      <c r="AA93" s="171"/>
      <c r="AB93" s="171"/>
      <c r="AC93" s="171"/>
      <c r="AD93" s="163"/>
      <c r="AE93" s="171"/>
      <c r="AF93" s="179"/>
    </row>
    <row r="94" spans="1:32" ht="15.75" x14ac:dyDescent="0.25">
      <c r="A94" s="163">
        <v>75</v>
      </c>
      <c r="B94" s="164" t="s">
        <v>186</v>
      </c>
      <c r="C94" s="232" t="s">
        <v>176</v>
      </c>
      <c r="D94" s="165">
        <v>387.56</v>
      </c>
      <c r="E94" s="163"/>
      <c r="F94" s="163">
        <v>177.8</v>
      </c>
      <c r="G94" s="163"/>
      <c r="H94" s="165"/>
      <c r="I94" s="158"/>
      <c r="J94" s="163"/>
      <c r="K94" s="163"/>
      <c r="L94" s="163"/>
      <c r="M94" s="163"/>
      <c r="N94" s="182"/>
      <c r="O94" s="163"/>
      <c r="P94" s="170"/>
      <c r="Q94" s="171"/>
      <c r="R94" s="170"/>
      <c r="S94" s="171"/>
      <c r="T94" s="171"/>
      <c r="U94" s="171"/>
      <c r="V94" s="170"/>
      <c r="W94" s="170"/>
      <c r="X94" s="233"/>
      <c r="Y94" s="171"/>
      <c r="Z94" s="171"/>
      <c r="AA94" s="171"/>
      <c r="AB94" s="171"/>
      <c r="AC94" s="171"/>
      <c r="AD94" s="163"/>
      <c r="AE94" s="171"/>
      <c r="AF94" s="179"/>
    </row>
    <row r="95" spans="1:32" ht="15.75" x14ac:dyDescent="0.2">
      <c r="A95" s="163">
        <v>76</v>
      </c>
      <c r="B95" s="164" t="s">
        <v>174</v>
      </c>
      <c r="C95" s="163" t="s">
        <v>46</v>
      </c>
      <c r="D95" s="165">
        <v>672</v>
      </c>
      <c r="E95" s="163" t="s">
        <v>175</v>
      </c>
      <c r="F95" s="163">
        <v>177.8</v>
      </c>
      <c r="G95" s="163"/>
      <c r="H95" s="165"/>
      <c r="I95" s="158"/>
      <c r="J95" s="163"/>
      <c r="K95" s="163"/>
      <c r="L95" s="163"/>
      <c r="M95" s="163"/>
      <c r="N95" s="182"/>
      <c r="O95" s="163"/>
      <c r="P95" s="182"/>
      <c r="Q95" s="171"/>
      <c r="R95" s="170"/>
      <c r="S95" s="171"/>
      <c r="T95" s="171"/>
      <c r="U95" s="171"/>
      <c r="V95" s="170"/>
      <c r="W95" s="170"/>
      <c r="X95" s="171"/>
      <c r="Y95" s="171"/>
      <c r="Z95" s="171"/>
      <c r="AA95" s="171"/>
      <c r="AB95" s="171"/>
      <c r="AC95" s="171"/>
      <c r="AD95" s="163"/>
      <c r="AE95" s="171"/>
      <c r="AF95" s="179"/>
    </row>
    <row r="96" spans="1:32" ht="18" customHeight="1" x14ac:dyDescent="0.2">
      <c r="A96" s="163">
        <v>77</v>
      </c>
      <c r="B96" s="204" t="s">
        <v>103</v>
      </c>
      <c r="C96" s="163" t="s">
        <v>46</v>
      </c>
      <c r="D96" s="158">
        <v>582</v>
      </c>
      <c r="E96" s="158" t="s">
        <v>112</v>
      </c>
      <c r="F96" s="163">
        <v>177.8</v>
      </c>
      <c r="G96" s="163"/>
      <c r="H96" s="165"/>
      <c r="I96" s="158"/>
      <c r="J96" s="158"/>
      <c r="K96" s="159"/>
      <c r="L96" s="158"/>
      <c r="M96" s="159"/>
      <c r="N96" s="158"/>
      <c r="O96" s="158"/>
      <c r="P96" s="160"/>
      <c r="Q96" s="174"/>
      <c r="R96" s="158"/>
      <c r="S96" s="158"/>
      <c r="T96" s="158"/>
      <c r="U96" s="388"/>
      <c r="V96" s="383"/>
      <c r="W96" s="383"/>
      <c r="X96" s="157"/>
      <c r="Y96" s="234"/>
      <c r="Z96" s="158"/>
      <c r="AA96" s="158"/>
      <c r="AB96" s="388"/>
      <c r="AC96" s="158"/>
      <c r="AD96" s="235"/>
      <c r="AE96" s="174"/>
      <c r="AF96" s="179"/>
    </row>
    <row r="97" spans="1:32" ht="15.75" x14ac:dyDescent="0.2">
      <c r="A97" s="163"/>
      <c r="B97" s="1843" t="s">
        <v>279</v>
      </c>
      <c r="C97" s="1839"/>
      <c r="D97" s="1839"/>
      <c r="E97" s="1839"/>
      <c r="F97" s="1839"/>
      <c r="G97" s="163"/>
      <c r="H97" s="165"/>
      <c r="I97" s="158"/>
      <c r="J97" s="163"/>
      <c r="K97" s="163"/>
      <c r="L97" s="163"/>
      <c r="M97" s="163"/>
      <c r="N97" s="182"/>
      <c r="O97" s="163"/>
      <c r="P97" s="182"/>
      <c r="Q97" s="171"/>
      <c r="R97" s="170"/>
      <c r="S97" s="171"/>
      <c r="T97" s="171"/>
      <c r="U97" s="171"/>
      <c r="V97" s="170"/>
      <c r="W97" s="170"/>
      <c r="X97" s="171"/>
      <c r="Y97" s="171"/>
      <c r="Z97" s="171"/>
      <c r="AA97" s="171"/>
      <c r="AB97" s="171"/>
      <c r="AC97" s="171"/>
      <c r="AD97" s="163"/>
      <c r="AE97" s="171"/>
      <c r="AF97" s="179"/>
    </row>
    <row r="98" spans="1:32" ht="15.75" x14ac:dyDescent="0.2">
      <c r="A98" s="163">
        <v>78</v>
      </c>
      <c r="B98" s="164" t="s">
        <v>148</v>
      </c>
      <c r="C98" s="163" t="s">
        <v>46</v>
      </c>
      <c r="D98" s="163">
        <v>650</v>
      </c>
      <c r="E98" s="163" t="s">
        <v>75</v>
      </c>
      <c r="F98" s="163">
        <v>177.8</v>
      </c>
      <c r="G98" s="163"/>
      <c r="H98" s="165"/>
      <c r="I98" s="159">
        <v>536.14</v>
      </c>
      <c r="J98" s="163"/>
      <c r="K98" s="163"/>
      <c r="L98" s="163"/>
      <c r="M98" s="163"/>
      <c r="N98" s="182"/>
      <c r="O98" s="163"/>
      <c r="P98" s="182"/>
      <c r="Q98" s="171"/>
      <c r="R98" s="170"/>
      <c r="S98" s="171"/>
      <c r="T98" s="171"/>
      <c r="U98" s="171"/>
      <c r="V98" s="170"/>
      <c r="W98" s="170"/>
      <c r="X98" s="171"/>
      <c r="Y98" s="171"/>
      <c r="Z98" s="171"/>
      <c r="AA98" s="171"/>
      <c r="AB98" s="171"/>
      <c r="AC98" s="171"/>
      <c r="AD98" s="163"/>
      <c r="AE98" s="171"/>
      <c r="AF98" s="179"/>
    </row>
    <row r="99" spans="1:32" ht="15.75" x14ac:dyDescent="0.2">
      <c r="A99" s="163">
        <v>79</v>
      </c>
      <c r="B99" s="164" t="s">
        <v>155</v>
      </c>
      <c r="C99" s="163" t="s">
        <v>46</v>
      </c>
      <c r="D99" s="163">
        <v>674.13</v>
      </c>
      <c r="E99" s="163" t="s">
        <v>83</v>
      </c>
      <c r="F99" s="163">
        <v>177.8</v>
      </c>
      <c r="G99" s="163"/>
      <c r="H99" s="165"/>
      <c r="I99" s="158">
        <v>527.75</v>
      </c>
      <c r="J99" s="163"/>
      <c r="K99" s="163"/>
      <c r="L99" s="163"/>
      <c r="M99" s="163"/>
      <c r="N99" s="182"/>
      <c r="O99" s="163"/>
      <c r="P99" s="182"/>
      <c r="Q99" s="171"/>
      <c r="R99" s="170"/>
      <c r="S99" s="171"/>
      <c r="T99" s="171"/>
      <c r="U99" s="171"/>
      <c r="V99" s="170"/>
      <c r="W99" s="170"/>
      <c r="X99" s="171"/>
      <c r="Y99" s="171"/>
      <c r="Z99" s="171"/>
      <c r="AA99" s="171"/>
      <c r="AB99" s="171"/>
      <c r="AC99" s="171"/>
      <c r="AD99" s="163"/>
      <c r="AE99" s="171"/>
      <c r="AF99" s="179"/>
    </row>
    <row r="100" spans="1:32" ht="15.75" x14ac:dyDescent="0.2">
      <c r="A100" s="163">
        <v>80</v>
      </c>
      <c r="B100" s="164" t="s">
        <v>56</v>
      </c>
      <c r="C100" s="163" t="s">
        <v>46</v>
      </c>
      <c r="D100" s="165">
        <v>680.52</v>
      </c>
      <c r="E100" s="163" t="s">
        <v>92</v>
      </c>
      <c r="F100" s="163">
        <v>177.8</v>
      </c>
      <c r="G100" s="163"/>
      <c r="H100" s="165"/>
      <c r="I100" s="158">
        <v>555.95000000000005</v>
      </c>
      <c r="J100" s="163"/>
      <c r="K100" s="163"/>
      <c r="L100" s="163"/>
      <c r="M100" s="163"/>
      <c r="N100" s="182"/>
      <c r="O100" s="163"/>
      <c r="P100" s="170"/>
      <c r="Q100" s="171"/>
      <c r="R100" s="170"/>
      <c r="S100" s="171"/>
      <c r="T100" s="171"/>
      <c r="U100" s="171"/>
      <c r="V100" s="170"/>
      <c r="W100" s="170"/>
      <c r="X100" s="233"/>
      <c r="Y100" s="171"/>
      <c r="Z100" s="171"/>
      <c r="AA100" s="171"/>
      <c r="AB100" s="171"/>
      <c r="AC100" s="171"/>
      <c r="AD100" s="163"/>
      <c r="AE100" s="171"/>
      <c r="AF100" s="179"/>
    </row>
    <row r="101" spans="1:32" ht="15" x14ac:dyDescent="0.2">
      <c r="A101" s="305"/>
      <c r="B101" s="237"/>
      <c r="C101" s="237"/>
      <c r="D101" s="238"/>
      <c r="E101" s="239"/>
      <c r="F101" s="240"/>
      <c r="G101" s="240"/>
      <c r="H101" s="241"/>
      <c r="I101" s="242"/>
      <c r="J101" s="240"/>
      <c r="K101" s="240"/>
      <c r="L101" s="240"/>
      <c r="M101" s="240"/>
      <c r="N101" s="243"/>
      <c r="O101" s="240"/>
      <c r="P101" s="244"/>
      <c r="Q101" s="245"/>
      <c r="R101" s="244"/>
      <c r="S101" s="245"/>
      <c r="T101" s="245"/>
      <c r="U101" s="245"/>
      <c r="V101" s="244"/>
      <c r="W101" s="244"/>
      <c r="X101" s="246"/>
      <c r="Y101" s="245"/>
      <c r="Z101" s="245"/>
      <c r="AA101" s="245"/>
      <c r="AB101" s="245"/>
      <c r="AC101" s="245"/>
      <c r="AD101" s="240"/>
      <c r="AE101" s="245"/>
      <c r="AF101" s="247"/>
    </row>
    <row r="102" spans="1:32" ht="15" x14ac:dyDescent="0.2">
      <c r="A102" s="305"/>
      <c r="B102" s="1844"/>
      <c r="C102" s="1844"/>
      <c r="D102" s="1844"/>
      <c r="E102" s="1845"/>
      <c r="F102" s="248"/>
      <c r="G102" s="240"/>
      <c r="H102" s="241"/>
      <c r="I102" s="245"/>
      <c r="J102" s="240"/>
      <c r="K102" s="248"/>
      <c r="L102" s="240"/>
      <c r="M102" s="248"/>
      <c r="N102" s="243"/>
      <c r="O102" s="248"/>
      <c r="P102" s="249"/>
      <c r="Q102" s="250"/>
      <c r="R102" s="250">
        <f>R75+R83</f>
        <v>392.96300000000002</v>
      </c>
      <c r="S102" s="250">
        <f>S75+S83</f>
        <v>624.28499999999997</v>
      </c>
      <c r="T102" s="250">
        <f>T75+T83</f>
        <v>18255.292999999998</v>
      </c>
      <c r="U102" s="250">
        <f>T102/R102</f>
        <v>46.455500899575782</v>
      </c>
      <c r="V102" s="250"/>
      <c r="W102" s="250"/>
      <c r="X102" s="250"/>
      <c r="Y102" s="250">
        <f>Y75+Y83+Y84</f>
        <v>363.62785220000001</v>
      </c>
      <c r="Z102" s="250">
        <f>Z75+Z83+Z84</f>
        <v>577.63139579999984</v>
      </c>
      <c r="AA102" s="250">
        <f>AA75+AA83</f>
        <v>17068.698954999996</v>
      </c>
      <c r="AB102" s="250">
        <f>AA102/Y102</f>
        <v>46.94002082550044</v>
      </c>
      <c r="AC102" s="250"/>
      <c r="AD102" s="250"/>
      <c r="AE102" s="251">
        <f>AE75+AE83+AE84</f>
        <v>10181.579861599996</v>
      </c>
      <c r="AF102" s="252"/>
    </row>
    <row r="103" spans="1:32" ht="15" x14ac:dyDescent="0.2">
      <c r="A103" s="304"/>
      <c r="B103" s="253"/>
      <c r="C103" s="253"/>
      <c r="D103" s="253"/>
      <c r="E103" s="253"/>
      <c r="F103" s="254"/>
      <c r="G103" s="255"/>
      <c r="H103" s="256"/>
      <c r="I103" s="256"/>
      <c r="J103" s="254"/>
      <c r="K103" s="254"/>
      <c r="L103" s="254"/>
      <c r="M103" s="254"/>
      <c r="N103" s="254"/>
      <c r="O103" s="254"/>
      <c r="P103" s="257"/>
      <c r="Q103" s="258"/>
      <c r="R103" s="254"/>
      <c r="S103" s="254"/>
      <c r="T103" s="254"/>
      <c r="U103" s="259"/>
      <c r="V103" s="255"/>
      <c r="W103" s="255"/>
      <c r="X103" s="255"/>
      <c r="Y103" s="254"/>
      <c r="Z103" s="254"/>
      <c r="AA103" s="254"/>
      <c r="AB103" s="260"/>
      <c r="AC103" s="255"/>
      <c r="AD103" s="254"/>
      <c r="AE103" s="254"/>
      <c r="AF103" s="256"/>
    </row>
    <row r="104" spans="1:32" ht="15" x14ac:dyDescent="0.2">
      <c r="A104" s="304"/>
      <c r="B104" s="289"/>
      <c r="C104" s="191"/>
      <c r="D104" s="289"/>
      <c r="E104" s="268">
        <v>0.95</v>
      </c>
      <c r="F104" s="289"/>
      <c r="G104" s="289" t="s">
        <v>102</v>
      </c>
      <c r="H104" s="290"/>
      <c r="I104" s="262"/>
      <c r="J104" s="289"/>
      <c r="K104" s="1883">
        <f>AE102*E104</f>
        <v>9672.5008685199955</v>
      </c>
      <c r="L104" s="1884"/>
      <c r="M104" s="1885"/>
      <c r="N104" s="191" t="s">
        <v>27</v>
      </c>
      <c r="O104" s="254"/>
      <c r="P104" s="257"/>
      <c r="Q104" s="258"/>
      <c r="R104" s="254"/>
      <c r="S104" s="254"/>
      <c r="T104" s="254"/>
      <c r="U104" s="259"/>
      <c r="V104" s="255"/>
      <c r="W104" s="255"/>
      <c r="X104" s="255"/>
      <c r="Y104" s="254"/>
      <c r="Z104" s="254"/>
      <c r="AA104" s="254"/>
      <c r="AB104" s="260"/>
      <c r="AC104" s="255"/>
      <c r="AD104" s="254"/>
      <c r="AE104" s="254"/>
      <c r="AF104" s="256"/>
    </row>
    <row r="105" spans="1:32" ht="15" x14ac:dyDescent="0.2">
      <c r="A105" s="304"/>
      <c r="B105" s="289"/>
      <c r="C105" s="191"/>
      <c r="D105" s="289"/>
      <c r="E105" s="268"/>
      <c r="F105" s="289"/>
      <c r="G105" s="191"/>
      <c r="H105" s="290"/>
      <c r="I105" s="262"/>
      <c r="J105" s="289"/>
      <c r="K105" s="191"/>
      <c r="L105" s="263"/>
      <c r="M105" s="289"/>
      <c r="N105" s="289"/>
      <c r="O105" s="289"/>
      <c r="P105" s="291"/>
      <c r="Q105" s="292"/>
      <c r="R105" s="289"/>
      <c r="S105" s="289"/>
      <c r="T105" s="289"/>
      <c r="U105" s="289"/>
      <c r="V105" s="289"/>
      <c r="W105" s="289"/>
      <c r="X105" s="211"/>
      <c r="Y105" s="211"/>
      <c r="Z105" s="211"/>
      <c r="AA105" s="211"/>
      <c r="AB105" s="211"/>
      <c r="AC105" s="211"/>
      <c r="AD105" s="211"/>
      <c r="AE105" s="211"/>
      <c r="AF105" s="266"/>
    </row>
    <row r="106" spans="1:32" ht="15" x14ac:dyDescent="0.2">
      <c r="A106" s="304"/>
      <c r="B106" s="289"/>
      <c r="C106" s="289"/>
      <c r="D106" s="289"/>
      <c r="E106" s="293" t="s">
        <v>214</v>
      </c>
      <c r="F106" s="1881" t="s">
        <v>264</v>
      </c>
      <c r="G106" s="1881"/>
      <c r="H106" s="1881"/>
      <c r="I106" s="289"/>
      <c r="J106" s="289"/>
      <c r="K106" s="191"/>
      <c r="L106" s="191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1842" t="s">
        <v>99</v>
      </c>
      <c r="Y106" s="1824"/>
      <c r="Z106" s="1824"/>
      <c r="AA106" s="1824"/>
      <c r="AB106" s="211" t="s">
        <v>216</v>
      </c>
      <c r="AC106" s="211"/>
      <c r="AD106" s="211"/>
      <c r="AE106" s="211"/>
      <c r="AF106" s="211"/>
    </row>
  </sheetData>
  <mergeCells count="40">
    <mergeCell ref="B8:E8"/>
    <mergeCell ref="I1:X1"/>
    <mergeCell ref="A3:D3"/>
    <mergeCell ref="J2:W2"/>
    <mergeCell ref="A6:E6"/>
    <mergeCell ref="A7:E7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06:AA106"/>
    <mergeCell ref="AF12:AF13"/>
    <mergeCell ref="B75:E75"/>
    <mergeCell ref="B76:F76"/>
    <mergeCell ref="B83:E83"/>
    <mergeCell ref="B84:E84"/>
    <mergeCell ref="B85:F8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0:F90"/>
    <mergeCell ref="B97:F97"/>
    <mergeCell ref="B102:E102"/>
    <mergeCell ref="K104:M104"/>
    <mergeCell ref="F106:H106"/>
  </mergeCells>
  <pageMargins left="0.25" right="0.25" top="0.75" bottom="0.75" header="0.3" footer="0.3"/>
  <pageSetup paperSize="9" scale="30" orientation="landscape" r:id="rId1"/>
  <rowBreaks count="1" manualBreakCount="1">
    <brk id="7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108"/>
  <sheetViews>
    <sheetView view="pageBreakPreview" topLeftCell="B1" zoomScale="60" zoomScaleNormal="60" workbookViewId="0">
      <selection activeCell="H12" sqref="H12:H13"/>
    </sheetView>
  </sheetViews>
  <sheetFormatPr defaultColWidth="9.140625" defaultRowHeight="18.75" x14ac:dyDescent="0.3"/>
  <cols>
    <col min="1" max="1" width="9.140625" style="402"/>
    <col min="2" max="2" width="11.5703125" style="402" customWidth="1"/>
    <col min="3" max="3" width="14.7109375" style="402" customWidth="1"/>
    <col min="4" max="4" width="9.140625" style="402"/>
    <col min="5" max="5" width="91.140625" style="402" customWidth="1"/>
    <col min="6" max="7" width="9.140625" style="402"/>
    <col min="8" max="8" width="12.28515625" style="402" customWidth="1"/>
    <col min="9" max="19" width="9.140625" style="402"/>
    <col min="20" max="20" width="11.7109375" style="402" customWidth="1"/>
    <col min="21" max="21" width="11.28515625" style="402" customWidth="1"/>
    <col min="22" max="26" width="9.140625" style="402"/>
    <col min="27" max="27" width="12.28515625" style="402" customWidth="1"/>
    <col min="28" max="30" width="9.140625" style="402"/>
    <col min="31" max="31" width="12.5703125" style="402" customWidth="1"/>
    <col min="32" max="32" width="67.7109375" style="402" customWidth="1"/>
    <col min="33" max="16384" width="9.140625" style="402"/>
  </cols>
  <sheetData>
    <row r="1" spans="1:32" x14ac:dyDescent="0.3"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</row>
    <row r="2" spans="1:32" x14ac:dyDescent="0.3">
      <c r="F2" s="403"/>
      <c r="G2" s="404"/>
      <c r="H2" s="404"/>
      <c r="I2" s="403"/>
      <c r="J2" s="1909" t="s">
        <v>309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x14ac:dyDescent="0.3">
      <c r="A3" s="1910" t="s">
        <v>54</v>
      </c>
      <c r="B3" s="1910"/>
      <c r="C3" s="1910"/>
      <c r="D3" s="1910"/>
      <c r="E3" s="403"/>
      <c r="F3" s="403"/>
      <c r="G3" s="404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x14ac:dyDescent="0.3">
      <c r="A4" s="409" t="s">
        <v>311</v>
      </c>
      <c r="B4" s="409"/>
      <c r="C4" s="409"/>
      <c r="D4" s="409"/>
      <c r="E4" s="409"/>
      <c r="F4" s="403"/>
      <c r="G4" s="404"/>
      <c r="H4" s="404"/>
      <c r="I4" s="406"/>
      <c r="J4" s="406"/>
      <c r="K4" s="406"/>
      <c r="L4" s="406"/>
      <c r="M4" s="406"/>
      <c r="N4" s="406"/>
      <c r="O4" s="406"/>
      <c r="P4" s="406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284</v>
      </c>
    </row>
    <row r="5" spans="1:32" x14ac:dyDescent="0.3">
      <c r="A5" s="409" t="s">
        <v>316</v>
      </c>
      <c r="B5" s="412"/>
      <c r="C5" s="412"/>
      <c r="D5" s="412"/>
      <c r="E5" s="403"/>
      <c r="F5" s="403"/>
      <c r="G5" s="404"/>
      <c r="H5" s="404"/>
      <c r="I5" s="403"/>
      <c r="J5" s="403"/>
      <c r="K5" s="404"/>
      <c r="L5" s="404"/>
      <c r="M5" s="403"/>
      <c r="N5" s="403"/>
      <c r="O5" s="403"/>
      <c r="P5" s="413"/>
      <c r="Q5" s="414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x14ac:dyDescent="0.3">
      <c r="A6" s="403"/>
      <c r="B6" s="409"/>
      <c r="C6" s="409"/>
      <c r="D6" s="409"/>
      <c r="E6" s="403"/>
      <c r="F6" s="403"/>
      <c r="G6" s="404"/>
      <c r="H6" s="404"/>
      <c r="I6" s="405"/>
      <c r="J6" s="403"/>
      <c r="K6" s="404"/>
      <c r="L6" s="404"/>
      <c r="M6" s="403"/>
      <c r="N6" s="403"/>
      <c r="O6" s="403"/>
      <c r="P6" s="413"/>
      <c r="Q6" s="414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x14ac:dyDescent="0.3">
      <c r="A7" s="1911" t="s">
        <v>261</v>
      </c>
      <c r="B7" s="1911"/>
      <c r="C7" s="1911"/>
      <c r="D7" s="1911"/>
      <c r="E7" s="1911"/>
      <c r="F7" s="403"/>
      <c r="G7" s="404"/>
      <c r="H7" s="404"/>
      <c r="I7" s="405"/>
      <c r="J7" s="403"/>
      <c r="K7" s="404"/>
      <c r="L7" s="404"/>
      <c r="M7" s="403"/>
      <c r="N7" s="403"/>
      <c r="O7" s="403"/>
      <c r="P7" s="413"/>
      <c r="Q7" s="414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x14ac:dyDescent="0.3">
      <c r="A8" s="1911" t="s">
        <v>316</v>
      </c>
      <c r="B8" s="1911"/>
      <c r="C8" s="1911"/>
      <c r="D8" s="1911"/>
      <c r="E8" s="1911"/>
      <c r="F8" s="403"/>
      <c r="G8" s="404"/>
      <c r="H8" s="404"/>
      <c r="I8" s="405"/>
      <c r="J8" s="403"/>
      <c r="K8" s="404"/>
      <c r="L8" s="404"/>
      <c r="M8" s="403"/>
      <c r="N8" s="403"/>
      <c r="O8" s="403"/>
      <c r="P8" s="413"/>
      <c r="Q8" s="414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x14ac:dyDescent="0.3">
      <c r="A9" s="418"/>
      <c r="B9" s="1911"/>
      <c r="C9" s="1911"/>
      <c r="D9" s="1911"/>
      <c r="E9" s="1911"/>
      <c r="F9" s="403"/>
      <c r="G9" s="404"/>
      <c r="H9" s="404"/>
      <c r="I9" s="403"/>
      <c r="J9" s="403"/>
      <c r="K9" s="404"/>
      <c r="L9" s="404"/>
      <c r="M9" s="404"/>
      <c r="N9" s="404"/>
      <c r="O9" s="404"/>
      <c r="P9" s="404"/>
      <c r="Q9" s="404"/>
      <c r="R9" s="404"/>
      <c r="S9" s="404"/>
      <c r="T9" s="404"/>
      <c r="U9" s="404"/>
      <c r="V9" s="404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x14ac:dyDescent="0.3">
      <c r="A10" s="418"/>
      <c r="B10" s="404"/>
      <c r="C10" s="404"/>
      <c r="D10" s="404"/>
      <c r="E10" s="403"/>
      <c r="F10" s="403"/>
      <c r="G10" s="404"/>
      <c r="H10" s="404"/>
      <c r="I10" s="405"/>
      <c r="J10" s="403"/>
      <c r="K10" s="404"/>
      <c r="L10" s="404"/>
      <c r="M10" s="403"/>
      <c r="N10" s="403"/>
      <c r="O10" s="403"/>
      <c r="P10" s="413"/>
      <c r="Q10" s="414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x14ac:dyDescent="0.3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8.75" x14ac:dyDescent="0.3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420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422" t="s">
        <v>18</v>
      </c>
      <c r="AE12" s="422" t="s">
        <v>20</v>
      </c>
      <c r="AF12" s="1891" t="s">
        <v>21</v>
      </c>
    </row>
    <row r="13" spans="1:32" ht="37.5" x14ac:dyDescent="0.3">
      <c r="A13" s="1891"/>
      <c r="B13" s="1891"/>
      <c r="C13" s="1903"/>
      <c r="D13" s="423" t="s">
        <v>3</v>
      </c>
      <c r="E13" s="423" t="s">
        <v>3</v>
      </c>
      <c r="F13" s="423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425" t="s">
        <v>13</v>
      </c>
      <c r="Q13" s="426" t="s">
        <v>26</v>
      </c>
      <c r="R13" s="424" t="s">
        <v>14</v>
      </c>
      <c r="S13" s="424" t="s">
        <v>25</v>
      </c>
      <c r="T13" s="424" t="s">
        <v>113</v>
      </c>
      <c r="U13" s="1903"/>
      <c r="V13" s="1907"/>
      <c r="W13" s="1903"/>
      <c r="X13" s="1903"/>
      <c r="Y13" s="423" t="s">
        <v>14</v>
      </c>
      <c r="Z13" s="423" t="s">
        <v>25</v>
      </c>
      <c r="AA13" s="423" t="s">
        <v>113</v>
      </c>
      <c r="AB13" s="1904"/>
      <c r="AC13" s="1903"/>
      <c r="AD13" s="423" t="s">
        <v>19</v>
      </c>
      <c r="AE13" s="423" t="s">
        <v>27</v>
      </c>
      <c r="AF13" s="1891"/>
    </row>
    <row r="14" spans="1:32" x14ac:dyDescent="0.3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9" t="s">
        <v>52</v>
      </c>
      <c r="I14" s="423">
        <v>558.05999999999995</v>
      </c>
      <c r="J14" s="427">
        <v>190</v>
      </c>
      <c r="K14" s="427"/>
      <c r="L14" s="427">
        <v>369</v>
      </c>
      <c r="M14" s="427"/>
      <c r="N14" s="427">
        <v>7.5</v>
      </c>
      <c r="O14" s="427"/>
      <c r="P14" s="430">
        <v>25.707401698760872</v>
      </c>
      <c r="Q14" s="431">
        <f t="shared" ref="Q14:Q37" si="0">LEFT(H14,(FIND("K",H14,1)-1))*J14/100</f>
        <v>41.8</v>
      </c>
      <c r="R14" s="432">
        <v>1.7010000000000001</v>
      </c>
      <c r="S14" s="431">
        <v>3.4580000000000002</v>
      </c>
      <c r="T14" s="431">
        <v>8</v>
      </c>
      <c r="U14" s="431">
        <f t="shared" ref="U14:U74" si="1">T14/R14</f>
        <v>4.7031158142269254</v>
      </c>
      <c r="V14" s="433">
        <f>(S14-R14)/S14*100</f>
        <v>50.809716599190281</v>
      </c>
      <c r="W14" s="432">
        <v>0.43</v>
      </c>
      <c r="X14" s="431">
        <f t="shared" ref="X14:X46" si="2">S14/Q14</f>
        <v>8.2727272727272733E-2</v>
      </c>
      <c r="Y14" s="431">
        <f>R14*0.925</f>
        <v>1.5734250000000001</v>
      </c>
      <c r="Z14" s="431">
        <f>S14*0.925</f>
        <v>3.1986500000000002</v>
      </c>
      <c r="AA14" s="431">
        <f>T14*0.935</f>
        <v>7.48</v>
      </c>
      <c r="AB14" s="431">
        <f>U14</f>
        <v>4.7031158142269254</v>
      </c>
      <c r="AC14" s="431">
        <f t="shared" ref="AC14:AC74" si="3">V14</f>
        <v>50.809716599190281</v>
      </c>
      <c r="AD14" s="427">
        <v>31</v>
      </c>
      <c r="AE14" s="431">
        <f>Y14*AD14</f>
        <v>48.776175000000002</v>
      </c>
      <c r="AF14" s="434"/>
    </row>
    <row r="15" spans="1:32" x14ac:dyDescent="0.3">
      <c r="A15" s="427">
        <v>2</v>
      </c>
      <c r="B15" s="428" t="s">
        <v>140</v>
      </c>
      <c r="C15" s="427" t="s">
        <v>46</v>
      </c>
      <c r="D15" s="427">
        <v>585</v>
      </c>
      <c r="E15" s="427" t="s">
        <v>201</v>
      </c>
      <c r="F15" s="427">
        <v>177.8</v>
      </c>
      <c r="G15" s="427" t="s">
        <v>28</v>
      </c>
      <c r="H15" s="429" t="s">
        <v>53</v>
      </c>
      <c r="I15" s="423">
        <v>565.55999999999995</v>
      </c>
      <c r="J15" s="427">
        <v>0</v>
      </c>
      <c r="K15" s="427">
        <v>185</v>
      </c>
      <c r="L15" s="427"/>
      <c r="M15" s="427">
        <v>4.4000000000000004</v>
      </c>
      <c r="N15" s="427"/>
      <c r="O15" s="427"/>
      <c r="P15" s="430">
        <v>40.584051819007563</v>
      </c>
      <c r="Q15" s="431">
        <v>0</v>
      </c>
      <c r="R15" s="431">
        <v>0</v>
      </c>
      <c r="S15" s="431">
        <v>0</v>
      </c>
      <c r="T15" s="431">
        <v>0</v>
      </c>
      <c r="U15" s="431">
        <v>0</v>
      </c>
      <c r="V15" s="433">
        <v>0</v>
      </c>
      <c r="W15" s="431"/>
      <c r="X15" s="431">
        <v>0</v>
      </c>
      <c r="Y15" s="431">
        <f t="shared" ref="Y15:Z74" si="4">R15*0.925</f>
        <v>0</v>
      </c>
      <c r="Z15" s="431">
        <f t="shared" si="4"/>
        <v>0</v>
      </c>
      <c r="AA15" s="431">
        <f t="shared" ref="AA15:AA74" si="5">T15*0.935</f>
        <v>0</v>
      </c>
      <c r="AB15" s="431">
        <f t="shared" ref="AB15:AB74" si="6">U15</f>
        <v>0</v>
      </c>
      <c r="AC15" s="431">
        <f t="shared" si="3"/>
        <v>0</v>
      </c>
      <c r="AD15" s="427">
        <v>0</v>
      </c>
      <c r="AE15" s="431">
        <f t="shared" ref="AE15:AE57" si="7">Y15*AD15</f>
        <v>0</v>
      </c>
      <c r="AF15" s="434" t="s">
        <v>215</v>
      </c>
    </row>
    <row r="16" spans="1:32" x14ac:dyDescent="0.3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9" t="s">
        <v>218</v>
      </c>
      <c r="I16" s="423">
        <v>565.94000000000005</v>
      </c>
      <c r="J16" s="427">
        <v>160</v>
      </c>
      <c r="K16" s="427"/>
      <c r="L16" s="427">
        <v>491</v>
      </c>
      <c r="M16" s="427"/>
      <c r="N16" s="430">
        <v>9.4</v>
      </c>
      <c r="O16" s="427"/>
      <c r="P16" s="430">
        <v>13.939140368773026</v>
      </c>
      <c r="Q16" s="431">
        <f>LEFT(H16,(FIND("K",H16,1)-1))*J16/100</f>
        <v>51.2</v>
      </c>
      <c r="R16" s="432">
        <v>15.007</v>
      </c>
      <c r="S16" s="431">
        <v>24.616</v>
      </c>
      <c r="T16" s="431">
        <v>2699</v>
      </c>
      <c r="U16" s="431">
        <f t="shared" si="1"/>
        <v>179.84940361164792</v>
      </c>
      <c r="V16" s="433">
        <f t="shared" ref="V16:V74" si="8">(S16-R16)/S16*100</f>
        <v>39.035586610334747</v>
      </c>
      <c r="W16" s="432">
        <v>0.31</v>
      </c>
      <c r="X16" s="431">
        <f t="shared" si="2"/>
        <v>0.48078124999999999</v>
      </c>
      <c r="Y16" s="431">
        <f t="shared" si="4"/>
        <v>13.881475</v>
      </c>
      <c r="Z16" s="431">
        <f t="shared" si="4"/>
        <v>22.7698</v>
      </c>
      <c r="AA16" s="431">
        <f t="shared" si="5"/>
        <v>2523.5650000000001</v>
      </c>
      <c r="AB16" s="431">
        <f t="shared" si="6"/>
        <v>179.84940361164792</v>
      </c>
      <c r="AC16" s="431">
        <f t="shared" si="3"/>
        <v>39.035586610334747</v>
      </c>
      <c r="AD16" s="427">
        <v>31</v>
      </c>
      <c r="AE16" s="431">
        <f>Y16*AD16</f>
        <v>430.32572499999998</v>
      </c>
      <c r="AF16" s="434"/>
    </row>
    <row r="17" spans="1:32" x14ac:dyDescent="0.3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9" t="s">
        <v>53</v>
      </c>
      <c r="I17" s="423">
        <v>538.47</v>
      </c>
      <c r="J17" s="427">
        <v>210</v>
      </c>
      <c r="K17" s="427"/>
      <c r="L17" s="427">
        <v>451</v>
      </c>
      <c r="M17" s="427"/>
      <c r="N17" s="430">
        <v>2.2999999999999998</v>
      </c>
      <c r="O17" s="427"/>
      <c r="P17" s="430">
        <v>13.072003034800709</v>
      </c>
      <c r="Q17" s="431">
        <f t="shared" si="0"/>
        <v>27.3</v>
      </c>
      <c r="R17" s="432">
        <v>6.9930000000000003</v>
      </c>
      <c r="S17" s="431">
        <v>9.1159999999999997</v>
      </c>
      <c r="T17" s="431">
        <v>35</v>
      </c>
      <c r="U17" s="431">
        <f t="shared" si="1"/>
        <v>5.005005005005005</v>
      </c>
      <c r="V17" s="433">
        <f t="shared" si="8"/>
        <v>23.288723124177263</v>
      </c>
      <c r="W17" s="432">
        <v>0.5</v>
      </c>
      <c r="X17" s="431">
        <f>S17/Q17</f>
        <v>0.33391941391941388</v>
      </c>
      <c r="Y17" s="431">
        <f t="shared" si="4"/>
        <v>6.4685250000000005</v>
      </c>
      <c r="Z17" s="431">
        <f t="shared" si="4"/>
        <v>8.4322999999999997</v>
      </c>
      <c r="AA17" s="431">
        <f t="shared" si="5"/>
        <v>32.725000000000001</v>
      </c>
      <c r="AB17" s="431">
        <f t="shared" si="6"/>
        <v>5.005005005005005</v>
      </c>
      <c r="AC17" s="431">
        <f t="shared" si="3"/>
        <v>23.288723124177263</v>
      </c>
      <c r="AD17" s="427">
        <v>31</v>
      </c>
      <c r="AE17" s="431">
        <f t="shared" si="7"/>
        <v>200.52427500000002</v>
      </c>
      <c r="AF17" s="434"/>
    </row>
    <row r="18" spans="1:32" x14ac:dyDescent="0.3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429" t="s">
        <v>50</v>
      </c>
      <c r="I18" s="423">
        <v>543.75</v>
      </c>
      <c r="J18" s="427">
        <v>0</v>
      </c>
      <c r="K18" s="427">
        <v>290</v>
      </c>
      <c r="L18" s="427"/>
      <c r="M18" s="435">
        <v>8</v>
      </c>
      <c r="N18" s="427"/>
      <c r="O18" s="427"/>
      <c r="P18" s="430">
        <v>33.110139733294282</v>
      </c>
      <c r="Q18" s="431">
        <f t="shared" si="0"/>
        <v>0</v>
      </c>
      <c r="R18" s="432">
        <v>0</v>
      </c>
      <c r="S18" s="431">
        <v>0</v>
      </c>
      <c r="T18" s="431">
        <v>0</v>
      </c>
      <c r="U18" s="431">
        <v>0</v>
      </c>
      <c r="V18" s="433">
        <v>0</v>
      </c>
      <c r="W18" s="432">
        <v>1</v>
      </c>
      <c r="X18" s="431">
        <v>0</v>
      </c>
      <c r="Y18" s="431">
        <f t="shared" si="4"/>
        <v>0</v>
      </c>
      <c r="Z18" s="431">
        <f t="shared" si="4"/>
        <v>0</v>
      </c>
      <c r="AA18" s="431">
        <f t="shared" si="5"/>
        <v>0</v>
      </c>
      <c r="AB18" s="431">
        <f t="shared" si="6"/>
        <v>0</v>
      </c>
      <c r="AC18" s="431">
        <f t="shared" si="3"/>
        <v>0</v>
      </c>
      <c r="AD18" s="427">
        <v>0</v>
      </c>
      <c r="AE18" s="431">
        <f t="shared" si="7"/>
        <v>0</v>
      </c>
      <c r="AF18" s="434" t="s">
        <v>215</v>
      </c>
    </row>
    <row r="19" spans="1:32" x14ac:dyDescent="0.3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9" t="s">
        <v>50</v>
      </c>
      <c r="I19" s="423">
        <v>584.32000000000005</v>
      </c>
      <c r="J19" s="427">
        <v>250</v>
      </c>
      <c r="K19" s="427"/>
      <c r="L19" s="427">
        <v>414</v>
      </c>
      <c r="M19" s="427"/>
      <c r="N19" s="427">
        <v>0.6</v>
      </c>
      <c r="O19" s="427"/>
      <c r="P19" s="430">
        <v>16.091304534884816</v>
      </c>
      <c r="Q19" s="431">
        <f t="shared" si="0"/>
        <v>15</v>
      </c>
      <c r="R19" s="432">
        <v>2.3969999999999998</v>
      </c>
      <c r="S19" s="431">
        <v>2.6339999999999999</v>
      </c>
      <c r="T19" s="431">
        <v>0</v>
      </c>
      <c r="U19" s="431">
        <f t="shared" si="1"/>
        <v>0</v>
      </c>
      <c r="V19" s="433">
        <f t="shared" si="8"/>
        <v>8.9977220956719854</v>
      </c>
      <c r="W19" s="432">
        <v>0.82</v>
      </c>
      <c r="X19" s="431">
        <f>S19/Q19</f>
        <v>0.17560000000000001</v>
      </c>
      <c r="Y19" s="431">
        <f t="shared" si="4"/>
        <v>2.217225</v>
      </c>
      <c r="Z19" s="431">
        <f t="shared" si="4"/>
        <v>2.4364500000000002</v>
      </c>
      <c r="AA19" s="431">
        <f t="shared" si="5"/>
        <v>0</v>
      </c>
      <c r="AB19" s="431">
        <v>14.613</v>
      </c>
      <c r="AC19" s="431">
        <f t="shared" si="3"/>
        <v>8.9977220956719854</v>
      </c>
      <c r="AD19" s="427">
        <v>31</v>
      </c>
      <c r="AE19" s="431">
        <f t="shared" si="7"/>
        <v>68.733975000000001</v>
      </c>
      <c r="AF19" s="434"/>
    </row>
    <row r="20" spans="1:32" x14ac:dyDescent="0.3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9" t="s">
        <v>51</v>
      </c>
      <c r="I20" s="423">
        <v>588.04</v>
      </c>
      <c r="J20" s="427">
        <v>120</v>
      </c>
      <c r="K20" s="427"/>
      <c r="L20" s="427">
        <v>484</v>
      </c>
      <c r="M20" s="427"/>
      <c r="N20" s="427">
        <v>10.8</v>
      </c>
      <c r="O20" s="427"/>
      <c r="P20" s="430">
        <v>18.673771197823104</v>
      </c>
      <c r="Q20" s="431">
        <f t="shared" si="0"/>
        <v>26.4</v>
      </c>
      <c r="R20" s="432">
        <v>12.497</v>
      </c>
      <c r="S20" s="431">
        <v>13.797000000000001</v>
      </c>
      <c r="T20" s="431">
        <v>108</v>
      </c>
      <c r="U20" s="431">
        <f t="shared" si="1"/>
        <v>8.6420740977834676</v>
      </c>
      <c r="V20" s="433">
        <f t="shared" si="8"/>
        <v>9.4223381894614828</v>
      </c>
      <c r="W20" s="432">
        <v>0.4</v>
      </c>
      <c r="X20" s="431">
        <f t="shared" si="2"/>
        <v>0.52261363636363645</v>
      </c>
      <c r="Y20" s="431">
        <f t="shared" si="4"/>
        <v>11.559725</v>
      </c>
      <c r="Z20" s="431">
        <f t="shared" si="4"/>
        <v>12.762225000000001</v>
      </c>
      <c r="AA20" s="431">
        <f t="shared" si="5"/>
        <v>100.98</v>
      </c>
      <c r="AB20" s="431">
        <f t="shared" si="6"/>
        <v>8.6420740977834676</v>
      </c>
      <c r="AC20" s="431">
        <f t="shared" si="3"/>
        <v>9.4223381894614828</v>
      </c>
      <c r="AD20" s="427">
        <v>31</v>
      </c>
      <c r="AE20" s="431">
        <f t="shared" si="7"/>
        <v>358.35147499999999</v>
      </c>
      <c r="AF20" s="434"/>
    </row>
    <row r="21" spans="1:32" ht="23.45" customHeight="1" x14ac:dyDescent="0.3">
      <c r="A21" s="427">
        <v>8</v>
      </c>
      <c r="B21" s="428" t="s">
        <v>146</v>
      </c>
      <c r="C21" s="427" t="s">
        <v>46</v>
      </c>
      <c r="D21" s="427">
        <v>764</v>
      </c>
      <c r="E21" s="436" t="s">
        <v>73</v>
      </c>
      <c r="F21" s="427">
        <v>177.8</v>
      </c>
      <c r="G21" s="427" t="s">
        <v>28</v>
      </c>
      <c r="H21" s="429" t="s">
        <v>52</v>
      </c>
      <c r="I21" s="437">
        <v>550</v>
      </c>
      <c r="J21" s="427">
        <v>85</v>
      </c>
      <c r="K21" s="438"/>
      <c r="L21" s="427">
        <v>418</v>
      </c>
      <c r="M21" s="438"/>
      <c r="N21" s="427">
        <v>8.6999999999999993</v>
      </c>
      <c r="O21" s="438"/>
      <c r="P21" s="430">
        <v>23.553699629622979</v>
      </c>
      <c r="Q21" s="431">
        <f t="shared" si="0"/>
        <v>18.7</v>
      </c>
      <c r="R21" s="432">
        <v>5.12</v>
      </c>
      <c r="S21" s="431">
        <v>13.564</v>
      </c>
      <c r="T21" s="431">
        <v>30</v>
      </c>
      <c r="U21" s="431">
        <f t="shared" si="1"/>
        <v>5.859375</v>
      </c>
      <c r="V21" s="433">
        <f t="shared" si="8"/>
        <v>62.253022707166018</v>
      </c>
      <c r="W21" s="432">
        <v>0.3</v>
      </c>
      <c r="X21" s="431">
        <f t="shared" si="2"/>
        <v>0.7253475935828877</v>
      </c>
      <c r="Y21" s="431">
        <f t="shared" si="4"/>
        <v>4.7360000000000007</v>
      </c>
      <c r="Z21" s="431">
        <f t="shared" si="4"/>
        <v>12.546700000000001</v>
      </c>
      <c r="AA21" s="431">
        <f t="shared" si="5"/>
        <v>28.05</v>
      </c>
      <c r="AB21" s="431">
        <f t="shared" si="6"/>
        <v>5.859375</v>
      </c>
      <c r="AC21" s="431">
        <f t="shared" si="3"/>
        <v>62.253022707166018</v>
      </c>
      <c r="AD21" s="427">
        <v>31</v>
      </c>
      <c r="AE21" s="431">
        <f t="shared" si="7"/>
        <v>146.81600000000003</v>
      </c>
      <c r="AF21" s="434"/>
    </row>
    <row r="22" spans="1:32" x14ac:dyDescent="0.3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9" t="s">
        <v>52</v>
      </c>
      <c r="I22" s="423">
        <v>591.98</v>
      </c>
      <c r="J22" s="427">
        <v>100</v>
      </c>
      <c r="K22" s="427"/>
      <c r="L22" s="427">
        <v>472</v>
      </c>
      <c r="M22" s="427"/>
      <c r="N22" s="427">
        <v>6.3</v>
      </c>
      <c r="O22" s="427"/>
      <c r="P22" s="430">
        <v>15.4470046321963</v>
      </c>
      <c r="Q22" s="431">
        <f t="shared" si="0"/>
        <v>22</v>
      </c>
      <c r="R22" s="432">
        <v>5.8</v>
      </c>
      <c r="S22" s="431">
        <v>9.0830000000000002</v>
      </c>
      <c r="T22" s="431">
        <v>14</v>
      </c>
      <c r="U22" s="431">
        <f t="shared" si="1"/>
        <v>2.4137931034482758</v>
      </c>
      <c r="V22" s="433">
        <f t="shared" si="8"/>
        <v>36.144445667730928</v>
      </c>
      <c r="W22" s="432">
        <v>0.3</v>
      </c>
      <c r="X22" s="431">
        <f t="shared" si="2"/>
        <v>0.41286363636363638</v>
      </c>
      <c r="Y22" s="431">
        <f t="shared" si="4"/>
        <v>5.3650000000000002</v>
      </c>
      <c r="Z22" s="431">
        <f t="shared" si="4"/>
        <v>8.4017750000000007</v>
      </c>
      <c r="AA22" s="431">
        <f t="shared" si="5"/>
        <v>13.09</v>
      </c>
      <c r="AB22" s="431">
        <f t="shared" si="6"/>
        <v>2.4137931034482758</v>
      </c>
      <c r="AC22" s="431">
        <f t="shared" si="3"/>
        <v>36.144445667730928</v>
      </c>
      <c r="AD22" s="427">
        <v>31</v>
      </c>
      <c r="AE22" s="431">
        <f t="shared" si="7"/>
        <v>166.315</v>
      </c>
      <c r="AF22" s="434"/>
    </row>
    <row r="23" spans="1:32" x14ac:dyDescent="0.3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9" t="s">
        <v>52</v>
      </c>
      <c r="I23" s="423">
        <v>585.29999999999995</v>
      </c>
      <c r="J23" s="427">
        <v>135</v>
      </c>
      <c r="K23" s="427"/>
      <c r="L23" s="427">
        <v>301</v>
      </c>
      <c r="M23" s="427"/>
      <c r="N23" s="427">
        <v>5.4</v>
      </c>
      <c r="O23" s="427"/>
      <c r="P23" s="430">
        <v>30.453640810701454</v>
      </c>
      <c r="Q23" s="431">
        <f t="shared" si="0"/>
        <v>29.7</v>
      </c>
      <c r="R23" s="432">
        <v>0.83499999999999996</v>
      </c>
      <c r="S23" s="431">
        <v>2.2320000000000002</v>
      </c>
      <c r="T23" s="431">
        <v>0</v>
      </c>
      <c r="U23" s="431">
        <f t="shared" si="1"/>
        <v>0</v>
      </c>
      <c r="V23" s="433">
        <f t="shared" si="8"/>
        <v>62.589605734767026</v>
      </c>
      <c r="W23" s="432">
        <v>0.6</v>
      </c>
      <c r="X23" s="431">
        <f t="shared" si="2"/>
        <v>7.5151515151515164E-2</v>
      </c>
      <c r="Y23" s="431">
        <f t="shared" si="4"/>
        <v>0.77237500000000003</v>
      </c>
      <c r="Z23" s="431">
        <f t="shared" si="4"/>
        <v>2.0646000000000004</v>
      </c>
      <c r="AA23" s="431">
        <f t="shared" si="5"/>
        <v>0</v>
      </c>
      <c r="AB23" s="431">
        <f t="shared" si="6"/>
        <v>0</v>
      </c>
      <c r="AC23" s="431">
        <f t="shared" si="3"/>
        <v>62.589605734767026</v>
      </c>
      <c r="AD23" s="427">
        <v>31</v>
      </c>
      <c r="AE23" s="431">
        <f t="shared" si="7"/>
        <v>23.943625000000001</v>
      </c>
      <c r="AF23" s="439"/>
    </row>
    <row r="24" spans="1:32" ht="24" customHeight="1" x14ac:dyDescent="0.3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9" t="s">
        <v>53</v>
      </c>
      <c r="I24" s="423">
        <v>554.91</v>
      </c>
      <c r="J24" s="427">
        <v>86</v>
      </c>
      <c r="K24" s="427"/>
      <c r="L24" s="427">
        <v>390</v>
      </c>
      <c r="M24" s="427"/>
      <c r="N24" s="427">
        <v>0</v>
      </c>
      <c r="O24" s="427"/>
      <c r="P24" s="430">
        <v>17.824411951184</v>
      </c>
      <c r="Q24" s="431">
        <f t="shared" si="0"/>
        <v>11.18</v>
      </c>
      <c r="R24" s="432">
        <v>0.46899999999999997</v>
      </c>
      <c r="S24" s="431">
        <v>1.4739999999999998</v>
      </c>
      <c r="T24" s="431">
        <v>0</v>
      </c>
      <c r="U24" s="431">
        <f t="shared" si="1"/>
        <v>0</v>
      </c>
      <c r="V24" s="433">
        <f t="shared" si="8"/>
        <v>68.181818181818187</v>
      </c>
      <c r="W24" s="432">
        <v>0.4</v>
      </c>
      <c r="X24" s="431">
        <f t="shared" si="2"/>
        <v>0.13184257602862251</v>
      </c>
      <c r="Y24" s="431">
        <f t="shared" si="4"/>
        <v>0.43382500000000002</v>
      </c>
      <c r="Z24" s="431">
        <f t="shared" si="4"/>
        <v>1.3634499999999998</v>
      </c>
      <c r="AA24" s="431">
        <f t="shared" si="5"/>
        <v>0</v>
      </c>
      <c r="AB24" s="431">
        <f t="shared" si="6"/>
        <v>0</v>
      </c>
      <c r="AC24" s="431">
        <f t="shared" si="3"/>
        <v>68.181818181818187</v>
      </c>
      <c r="AD24" s="427">
        <v>31</v>
      </c>
      <c r="AE24" s="431">
        <f t="shared" si="7"/>
        <v>13.448575</v>
      </c>
      <c r="AF24" s="434"/>
    </row>
    <row r="25" spans="1:32" ht="25.15" customHeight="1" x14ac:dyDescent="0.3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9" t="s">
        <v>52</v>
      </c>
      <c r="I25" s="423">
        <v>553.5</v>
      </c>
      <c r="J25" s="427">
        <v>200</v>
      </c>
      <c r="K25" s="427"/>
      <c r="L25" s="427">
        <v>276</v>
      </c>
      <c r="M25" s="427"/>
      <c r="N25" s="427">
        <v>6.8</v>
      </c>
      <c r="O25" s="427"/>
      <c r="P25" s="430">
        <v>34.665724531413332</v>
      </c>
      <c r="Q25" s="431">
        <f t="shared" si="0"/>
        <v>44</v>
      </c>
      <c r="R25" s="432">
        <v>12.79</v>
      </c>
      <c r="S25" s="431">
        <v>19.91</v>
      </c>
      <c r="T25" s="431">
        <v>108</v>
      </c>
      <c r="U25" s="431">
        <f t="shared" si="1"/>
        <v>8.4440969507427681</v>
      </c>
      <c r="V25" s="433">
        <f t="shared" si="8"/>
        <v>35.760924158714218</v>
      </c>
      <c r="W25" s="432">
        <v>0.4</v>
      </c>
      <c r="X25" s="431">
        <f t="shared" si="2"/>
        <v>0.45250000000000001</v>
      </c>
      <c r="Y25" s="431">
        <f t="shared" si="4"/>
        <v>11.83075</v>
      </c>
      <c r="Z25" s="431">
        <f t="shared" si="4"/>
        <v>18.41675</v>
      </c>
      <c r="AA25" s="431">
        <f t="shared" si="5"/>
        <v>100.98</v>
      </c>
      <c r="AB25" s="431">
        <f t="shared" si="6"/>
        <v>8.4440969507427681</v>
      </c>
      <c r="AC25" s="431">
        <f t="shared" si="3"/>
        <v>35.760924158714218</v>
      </c>
      <c r="AD25" s="427">
        <v>31</v>
      </c>
      <c r="AE25" s="431">
        <f t="shared" si="7"/>
        <v>366.75324999999998</v>
      </c>
      <c r="AF25" s="434"/>
    </row>
    <row r="26" spans="1:32" ht="21.6" customHeight="1" x14ac:dyDescent="0.3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9" t="s">
        <v>49</v>
      </c>
      <c r="I26" s="423">
        <v>525.03</v>
      </c>
      <c r="J26" s="427">
        <v>120</v>
      </c>
      <c r="K26" s="427"/>
      <c r="L26" s="427">
        <v>333</v>
      </c>
      <c r="M26" s="427"/>
      <c r="N26" s="427">
        <v>7.3</v>
      </c>
      <c r="O26" s="427"/>
      <c r="P26" s="430">
        <v>27.011330320343152</v>
      </c>
      <c r="Q26" s="431">
        <f t="shared" si="0"/>
        <v>38.4</v>
      </c>
      <c r="R26" s="432">
        <v>16.920999999999999</v>
      </c>
      <c r="S26" s="431">
        <v>27.407</v>
      </c>
      <c r="T26" s="431">
        <v>254</v>
      </c>
      <c r="U26" s="431">
        <f t="shared" si="1"/>
        <v>15.010933159978725</v>
      </c>
      <c r="V26" s="433">
        <f t="shared" si="8"/>
        <v>38.260298463896085</v>
      </c>
      <c r="W26" s="432">
        <v>0.3</v>
      </c>
      <c r="X26" s="431">
        <f t="shared" si="2"/>
        <v>0.71372395833333335</v>
      </c>
      <c r="Y26" s="431">
        <f t="shared" si="4"/>
        <v>15.651925</v>
      </c>
      <c r="Z26" s="431">
        <f t="shared" si="4"/>
        <v>25.351475000000001</v>
      </c>
      <c r="AA26" s="431">
        <f t="shared" si="5"/>
        <v>237.49</v>
      </c>
      <c r="AB26" s="431">
        <f t="shared" si="6"/>
        <v>15.010933159978725</v>
      </c>
      <c r="AC26" s="431">
        <f t="shared" si="3"/>
        <v>38.260298463896085</v>
      </c>
      <c r="AD26" s="427">
        <v>31</v>
      </c>
      <c r="AE26" s="431">
        <f t="shared" si="7"/>
        <v>485.209675</v>
      </c>
      <c r="AF26" s="434"/>
    </row>
    <row r="27" spans="1:32" ht="18" customHeight="1" x14ac:dyDescent="0.3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9" t="s">
        <v>52</v>
      </c>
      <c r="I27" s="437">
        <v>522</v>
      </c>
      <c r="J27" s="427">
        <v>360</v>
      </c>
      <c r="K27" s="427"/>
      <c r="L27" s="427">
        <v>423</v>
      </c>
      <c r="M27" s="427"/>
      <c r="N27" s="427">
        <v>9.1</v>
      </c>
      <c r="O27" s="427"/>
      <c r="P27" s="430">
        <v>19.95321869598471</v>
      </c>
      <c r="Q27" s="431">
        <f t="shared" si="0"/>
        <v>79.2</v>
      </c>
      <c r="R27" s="432">
        <v>11.3</v>
      </c>
      <c r="S27" s="431">
        <v>19.908000000000001</v>
      </c>
      <c r="T27" s="431">
        <v>5049</v>
      </c>
      <c r="U27" s="431">
        <f t="shared" si="1"/>
        <v>446.81415929203536</v>
      </c>
      <c r="V27" s="433">
        <f t="shared" si="8"/>
        <v>43.238898935101467</v>
      </c>
      <c r="W27" s="432">
        <v>0.4</v>
      </c>
      <c r="X27" s="431">
        <f t="shared" si="2"/>
        <v>0.25136363636363634</v>
      </c>
      <c r="Y27" s="431">
        <f t="shared" si="4"/>
        <v>10.452500000000001</v>
      </c>
      <c r="Z27" s="431">
        <f t="shared" si="4"/>
        <v>18.414900000000003</v>
      </c>
      <c r="AA27" s="431">
        <f t="shared" si="5"/>
        <v>4720.8150000000005</v>
      </c>
      <c r="AB27" s="431">
        <f t="shared" si="6"/>
        <v>446.81415929203536</v>
      </c>
      <c r="AC27" s="431">
        <f t="shared" si="3"/>
        <v>43.238898935101467</v>
      </c>
      <c r="AD27" s="427">
        <v>31</v>
      </c>
      <c r="AE27" s="431">
        <f t="shared" si="7"/>
        <v>324.02750000000003</v>
      </c>
      <c r="AF27" s="434"/>
    </row>
    <row r="28" spans="1:32" x14ac:dyDescent="0.3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9" t="s">
        <v>48</v>
      </c>
      <c r="I28" s="423">
        <v>570.95000000000005</v>
      </c>
      <c r="J28" s="427">
        <v>85</v>
      </c>
      <c r="K28" s="427"/>
      <c r="L28" s="427">
        <v>452</v>
      </c>
      <c r="M28" s="427"/>
      <c r="N28" s="427">
        <v>7.1</v>
      </c>
      <c r="O28" s="427"/>
      <c r="P28" s="430">
        <v>19.649378667671648</v>
      </c>
      <c r="Q28" s="431">
        <f t="shared" si="0"/>
        <v>11.05</v>
      </c>
      <c r="R28" s="432">
        <v>3.6560000000000001</v>
      </c>
      <c r="S28" s="431">
        <v>5.8659999999999997</v>
      </c>
      <c r="T28" s="431">
        <v>26</v>
      </c>
      <c r="U28" s="431">
        <f t="shared" si="1"/>
        <v>7.1115973741794312</v>
      </c>
      <c r="V28" s="433">
        <f t="shared" si="8"/>
        <v>37.674735765427883</v>
      </c>
      <c r="W28" s="432">
        <v>0.4</v>
      </c>
      <c r="X28" s="431">
        <f t="shared" si="2"/>
        <v>0.53085972850678731</v>
      </c>
      <c r="Y28" s="431">
        <f t="shared" si="4"/>
        <v>3.3818000000000001</v>
      </c>
      <c r="Z28" s="431">
        <f t="shared" si="4"/>
        <v>5.42605</v>
      </c>
      <c r="AA28" s="431">
        <f t="shared" si="5"/>
        <v>24.310000000000002</v>
      </c>
      <c r="AB28" s="431">
        <f t="shared" si="6"/>
        <v>7.1115973741794312</v>
      </c>
      <c r="AC28" s="431">
        <f t="shared" si="3"/>
        <v>37.674735765427883</v>
      </c>
      <c r="AD28" s="427">
        <v>31</v>
      </c>
      <c r="AE28" s="431">
        <f>Y28*AD28</f>
        <v>104.83580000000001</v>
      </c>
      <c r="AF28" s="439"/>
    </row>
    <row r="29" spans="1:32" ht="21" customHeight="1" x14ac:dyDescent="0.3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>
        <v>300</v>
      </c>
      <c r="K29" s="428"/>
      <c r="L29" s="428">
        <v>514</v>
      </c>
      <c r="M29" s="428"/>
      <c r="N29" s="428">
        <v>10.199999999999999</v>
      </c>
      <c r="O29" s="428"/>
      <c r="P29" s="441">
        <v>14.62530017139756</v>
      </c>
      <c r="Q29" s="428">
        <f t="shared" si="0"/>
        <v>96</v>
      </c>
      <c r="R29" s="442">
        <v>14.151999999999999</v>
      </c>
      <c r="S29" s="431">
        <v>20.046999999999997</v>
      </c>
      <c r="T29" s="428">
        <v>1048</v>
      </c>
      <c r="U29" s="442">
        <f t="shared" si="1"/>
        <v>74.053137365743368</v>
      </c>
      <c r="V29" s="433">
        <f t="shared" si="8"/>
        <v>29.405896144061451</v>
      </c>
      <c r="W29" s="428">
        <v>0.5</v>
      </c>
      <c r="X29" s="442">
        <f t="shared" si="2"/>
        <v>0.20882291666666664</v>
      </c>
      <c r="Y29" s="431">
        <f t="shared" si="4"/>
        <v>13.0906</v>
      </c>
      <c r="Z29" s="431">
        <f t="shared" si="4"/>
        <v>18.543474999999997</v>
      </c>
      <c r="AA29" s="431">
        <f t="shared" si="5"/>
        <v>979.88000000000011</v>
      </c>
      <c r="AB29" s="442">
        <f t="shared" si="6"/>
        <v>74.053137365743368</v>
      </c>
      <c r="AC29" s="442">
        <f t="shared" si="3"/>
        <v>29.405896144061451</v>
      </c>
      <c r="AD29" s="427">
        <v>31</v>
      </c>
      <c r="AE29" s="442">
        <f>Y29*AD29</f>
        <v>405.80860000000001</v>
      </c>
      <c r="AF29" s="428"/>
    </row>
    <row r="30" spans="1:32" ht="21" customHeight="1" x14ac:dyDescent="0.3">
      <c r="A30" s="427">
        <v>17</v>
      </c>
      <c r="B30" s="428" t="s">
        <v>154</v>
      </c>
      <c r="C30" s="427" t="s">
        <v>46</v>
      </c>
      <c r="D30" s="443">
        <v>615</v>
      </c>
      <c r="E30" s="436" t="s">
        <v>204</v>
      </c>
      <c r="F30" s="427">
        <v>177.8</v>
      </c>
      <c r="G30" s="427" t="s">
        <v>28</v>
      </c>
      <c r="H30" s="429" t="s">
        <v>48</v>
      </c>
      <c r="I30" s="437">
        <v>605.78</v>
      </c>
      <c r="J30" s="427"/>
      <c r="K30" s="435">
        <v>163</v>
      </c>
      <c r="L30" s="427"/>
      <c r="M30" s="427">
        <v>9.8000000000000007</v>
      </c>
      <c r="N30" s="427"/>
      <c r="O30" s="427"/>
      <c r="P30" s="444">
        <v>48.54</v>
      </c>
      <c r="Q30" s="431">
        <v>0</v>
      </c>
      <c r="R30" s="432">
        <v>0</v>
      </c>
      <c r="S30" s="431">
        <v>0</v>
      </c>
      <c r="T30" s="431">
        <v>0</v>
      </c>
      <c r="U30" s="431">
        <v>0</v>
      </c>
      <c r="V30" s="433">
        <v>0</v>
      </c>
      <c r="W30" s="431">
        <v>0</v>
      </c>
      <c r="X30" s="431">
        <v>0</v>
      </c>
      <c r="Y30" s="431">
        <f t="shared" si="4"/>
        <v>0</v>
      </c>
      <c r="Z30" s="431">
        <f t="shared" si="4"/>
        <v>0</v>
      </c>
      <c r="AA30" s="431">
        <f t="shared" si="5"/>
        <v>0</v>
      </c>
      <c r="AB30" s="431">
        <v>0</v>
      </c>
      <c r="AC30" s="431">
        <v>0</v>
      </c>
      <c r="AD30" s="427">
        <v>0</v>
      </c>
      <c r="AE30" s="431">
        <v>0</v>
      </c>
      <c r="AF30" s="434" t="s">
        <v>237</v>
      </c>
    </row>
    <row r="31" spans="1:32" x14ac:dyDescent="0.3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9" t="s">
        <v>48</v>
      </c>
      <c r="I31" s="423">
        <v>561.19000000000005</v>
      </c>
      <c r="J31" s="427"/>
      <c r="K31" s="435">
        <v>110</v>
      </c>
      <c r="L31" s="427"/>
      <c r="M31" s="427">
        <v>1</v>
      </c>
      <c r="N31" s="427"/>
      <c r="O31" s="427"/>
      <c r="P31" s="430">
        <v>47.194571980935095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32">
        <v>0</v>
      </c>
      <c r="V31" s="433">
        <v>0</v>
      </c>
      <c r="W31" s="432">
        <v>0</v>
      </c>
      <c r="X31" s="432">
        <v>0</v>
      </c>
      <c r="Y31" s="431">
        <f t="shared" si="4"/>
        <v>0</v>
      </c>
      <c r="Z31" s="431">
        <f t="shared" si="4"/>
        <v>0</v>
      </c>
      <c r="AA31" s="431">
        <f t="shared" si="5"/>
        <v>0</v>
      </c>
      <c r="AB31" s="431">
        <f>U31</f>
        <v>0</v>
      </c>
      <c r="AC31" s="431">
        <f t="shared" si="3"/>
        <v>0</v>
      </c>
      <c r="AD31" s="427">
        <v>0</v>
      </c>
      <c r="AE31" s="431">
        <f t="shared" si="7"/>
        <v>0</v>
      </c>
      <c r="AF31" s="434" t="s">
        <v>215</v>
      </c>
    </row>
    <row r="32" spans="1:32" x14ac:dyDescent="0.3">
      <c r="A32" s="427">
        <v>19</v>
      </c>
      <c r="B32" s="428" t="s">
        <v>39</v>
      </c>
      <c r="C32" s="427" t="s">
        <v>46</v>
      </c>
      <c r="D32" s="427">
        <v>575.20000000000005</v>
      </c>
      <c r="E32" s="427" t="s">
        <v>85</v>
      </c>
      <c r="F32" s="427">
        <v>177.8</v>
      </c>
      <c r="G32" s="427" t="s">
        <v>28</v>
      </c>
      <c r="H32" s="429" t="s">
        <v>51</v>
      </c>
      <c r="I32" s="423">
        <v>571.29</v>
      </c>
      <c r="J32" s="427">
        <v>0</v>
      </c>
      <c r="K32" s="427">
        <v>325</v>
      </c>
      <c r="L32" s="427"/>
      <c r="M32" s="435">
        <v>1.8</v>
      </c>
      <c r="N32" s="427"/>
      <c r="O32" s="427"/>
      <c r="P32" s="430">
        <v>24.880874537142855</v>
      </c>
      <c r="Q32" s="431">
        <f t="shared" si="0"/>
        <v>0</v>
      </c>
      <c r="R32" s="432">
        <v>0</v>
      </c>
      <c r="S32" s="431">
        <v>0</v>
      </c>
      <c r="T32" s="431">
        <v>0</v>
      </c>
      <c r="U32" s="431">
        <v>0</v>
      </c>
      <c r="V32" s="433">
        <v>0</v>
      </c>
      <c r="W32" s="432">
        <v>0</v>
      </c>
      <c r="X32" s="431">
        <v>0</v>
      </c>
      <c r="Y32" s="431">
        <f t="shared" si="4"/>
        <v>0</v>
      </c>
      <c r="Z32" s="431">
        <f t="shared" si="4"/>
        <v>0</v>
      </c>
      <c r="AA32" s="431">
        <f t="shared" si="5"/>
        <v>0</v>
      </c>
      <c r="AB32" s="431">
        <f t="shared" si="6"/>
        <v>0</v>
      </c>
      <c r="AC32" s="431">
        <f t="shared" si="3"/>
        <v>0</v>
      </c>
      <c r="AD32" s="427">
        <v>0</v>
      </c>
      <c r="AE32" s="431">
        <f t="shared" si="7"/>
        <v>0</v>
      </c>
      <c r="AF32" s="434" t="s">
        <v>237</v>
      </c>
    </row>
    <row r="33" spans="1:32" ht="19.149999999999999" customHeight="1" x14ac:dyDescent="0.3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9" t="s">
        <v>48</v>
      </c>
      <c r="I33" s="423">
        <v>588.04999999999995</v>
      </c>
      <c r="J33" s="427">
        <v>0</v>
      </c>
      <c r="K33" s="427">
        <v>410</v>
      </c>
      <c r="L33" s="427"/>
      <c r="M33" s="427">
        <v>0.3</v>
      </c>
      <c r="N33" s="427"/>
      <c r="O33" s="427"/>
      <c r="P33" s="430">
        <v>16.705329774897958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31">
        <v>0</v>
      </c>
      <c r="Y33" s="431">
        <f t="shared" si="4"/>
        <v>0</v>
      </c>
      <c r="Z33" s="431">
        <f t="shared" si="4"/>
        <v>0</v>
      </c>
      <c r="AA33" s="431">
        <f t="shared" si="5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x14ac:dyDescent="0.3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9" t="s">
        <v>52</v>
      </c>
      <c r="I34" s="423">
        <v>554.30999999999995</v>
      </c>
      <c r="J34" s="427">
        <v>300</v>
      </c>
      <c r="K34" s="427"/>
      <c r="L34" s="427">
        <v>474</v>
      </c>
      <c r="M34" s="427"/>
      <c r="N34" s="427">
        <v>7.1</v>
      </c>
      <c r="O34" s="427"/>
      <c r="P34" s="430">
        <v>14.233212352269305</v>
      </c>
      <c r="Q34" s="431">
        <f t="shared" si="0"/>
        <v>66</v>
      </c>
      <c r="R34" s="432">
        <v>9.859</v>
      </c>
      <c r="S34" s="431">
        <v>11.669</v>
      </c>
      <c r="T34" s="431">
        <v>502</v>
      </c>
      <c r="U34" s="431">
        <f t="shared" si="1"/>
        <v>50.917942996247085</v>
      </c>
      <c r="V34" s="433">
        <f t="shared" si="8"/>
        <v>15.511183477590199</v>
      </c>
      <c r="W34" s="432">
        <v>0.3</v>
      </c>
      <c r="X34" s="431">
        <f t="shared" si="2"/>
        <v>0.17680303030303032</v>
      </c>
      <c r="Y34" s="431">
        <f t="shared" si="4"/>
        <v>9.1195750000000011</v>
      </c>
      <c r="Z34" s="431">
        <f t="shared" si="4"/>
        <v>10.793825000000002</v>
      </c>
      <c r="AA34" s="431">
        <f t="shared" si="5"/>
        <v>469.37</v>
      </c>
      <c r="AB34" s="431">
        <v>89.536086956521729</v>
      </c>
      <c r="AC34" s="431">
        <v>26</v>
      </c>
      <c r="AD34" s="427">
        <v>31</v>
      </c>
      <c r="AE34" s="431">
        <f t="shared" si="7"/>
        <v>282.70682500000004</v>
      </c>
      <c r="AF34" s="445"/>
    </row>
    <row r="35" spans="1:32" x14ac:dyDescent="0.3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9" t="s">
        <v>48</v>
      </c>
      <c r="I35" s="423">
        <v>589.66</v>
      </c>
      <c r="J35" s="427">
        <v>125</v>
      </c>
      <c r="K35" s="427"/>
      <c r="L35" s="427">
        <v>467</v>
      </c>
      <c r="M35" s="427"/>
      <c r="N35" s="427">
        <v>8.6</v>
      </c>
      <c r="O35" s="427"/>
      <c r="P35" s="430">
        <v>18.701228379645812</v>
      </c>
      <c r="Q35" s="431">
        <f t="shared" si="0"/>
        <v>16.25</v>
      </c>
      <c r="R35" s="432">
        <v>6.9740000000000002</v>
      </c>
      <c r="S35" s="431">
        <v>10.824</v>
      </c>
      <c r="T35" s="431">
        <v>15</v>
      </c>
      <c r="U35" s="431">
        <f t="shared" si="1"/>
        <v>2.1508459994264411</v>
      </c>
      <c r="V35" s="433">
        <f t="shared" si="8"/>
        <v>35.569105691056905</v>
      </c>
      <c r="W35" s="432">
        <v>0.3</v>
      </c>
      <c r="X35" s="431">
        <f t="shared" si="2"/>
        <v>0.66609230769230765</v>
      </c>
      <c r="Y35" s="431">
        <f t="shared" si="4"/>
        <v>6.4509500000000006</v>
      </c>
      <c r="Z35" s="431">
        <f t="shared" si="4"/>
        <v>10.0122</v>
      </c>
      <c r="AA35" s="431">
        <f t="shared" si="5"/>
        <v>14.025</v>
      </c>
      <c r="AB35" s="431">
        <f t="shared" si="6"/>
        <v>2.1508459994264411</v>
      </c>
      <c r="AC35" s="431">
        <f t="shared" si="3"/>
        <v>35.569105691056905</v>
      </c>
      <c r="AD35" s="427">
        <v>31</v>
      </c>
      <c r="AE35" s="431">
        <f t="shared" si="7"/>
        <v>199.97945000000001</v>
      </c>
      <c r="AF35" s="439"/>
    </row>
    <row r="36" spans="1:32" x14ac:dyDescent="0.3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9" t="s">
        <v>52</v>
      </c>
      <c r="I36" s="446">
        <v>551.13</v>
      </c>
      <c r="J36" s="427">
        <v>85</v>
      </c>
      <c r="K36" s="427"/>
      <c r="L36" s="427">
        <v>441</v>
      </c>
      <c r="M36" s="427"/>
      <c r="N36" s="427">
        <v>7.3</v>
      </c>
      <c r="O36" s="427"/>
      <c r="P36" s="430">
        <v>20.000303869770345</v>
      </c>
      <c r="Q36" s="431">
        <f t="shared" si="0"/>
        <v>18.7</v>
      </c>
      <c r="R36" s="432">
        <v>0.82599999999999996</v>
      </c>
      <c r="S36" s="431">
        <v>11.719000000000001</v>
      </c>
      <c r="T36" s="431">
        <v>43</v>
      </c>
      <c r="U36" s="431">
        <f t="shared" si="1"/>
        <v>52.058111380145284</v>
      </c>
      <c r="V36" s="433">
        <f t="shared" si="8"/>
        <v>92.951617032169978</v>
      </c>
      <c r="W36" s="432">
        <v>0.6</v>
      </c>
      <c r="X36" s="431">
        <f t="shared" si="2"/>
        <v>0.62668449197860976</v>
      </c>
      <c r="Y36" s="431">
        <f t="shared" si="4"/>
        <v>0.76405000000000001</v>
      </c>
      <c r="Z36" s="431">
        <f t="shared" si="4"/>
        <v>10.840075000000002</v>
      </c>
      <c r="AA36" s="431">
        <f t="shared" si="5"/>
        <v>40.205000000000005</v>
      </c>
      <c r="AB36" s="431">
        <f t="shared" si="6"/>
        <v>52.058111380145284</v>
      </c>
      <c r="AC36" s="431">
        <f t="shared" si="3"/>
        <v>92.951617032169978</v>
      </c>
      <c r="AD36" s="427">
        <v>31</v>
      </c>
      <c r="AE36" s="431">
        <f t="shared" si="7"/>
        <v>23.685549999999999</v>
      </c>
      <c r="AF36" s="434"/>
    </row>
    <row r="37" spans="1:32" x14ac:dyDescent="0.3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9" t="s">
        <v>52</v>
      </c>
      <c r="I37" s="446">
        <v>592.85</v>
      </c>
      <c r="J37" s="427">
        <v>250</v>
      </c>
      <c r="K37" s="427"/>
      <c r="L37" s="427">
        <v>265</v>
      </c>
      <c r="M37" s="427"/>
      <c r="N37" s="427">
        <v>8.3000000000000007</v>
      </c>
      <c r="O37" s="427"/>
      <c r="P37" s="430">
        <v>38.172739355103573</v>
      </c>
      <c r="Q37" s="431">
        <f t="shared" si="0"/>
        <v>55</v>
      </c>
      <c r="R37" s="432">
        <v>15.391</v>
      </c>
      <c r="S37" s="431">
        <v>43.963999999999999</v>
      </c>
      <c r="T37" s="431">
        <v>213</v>
      </c>
      <c r="U37" s="431">
        <f t="shared" si="1"/>
        <v>13.839256708465987</v>
      </c>
      <c r="V37" s="433">
        <f t="shared" si="8"/>
        <v>64.991811482121747</v>
      </c>
      <c r="W37" s="432">
        <v>0.5</v>
      </c>
      <c r="X37" s="431">
        <f t="shared" si="2"/>
        <v>0.79934545454545447</v>
      </c>
      <c r="Y37" s="431">
        <f t="shared" si="4"/>
        <v>14.236675</v>
      </c>
      <c r="Z37" s="431">
        <f t="shared" si="4"/>
        <v>40.666699999999999</v>
      </c>
      <c r="AA37" s="431">
        <f t="shared" si="5"/>
        <v>199.155</v>
      </c>
      <c r="AB37" s="431">
        <f t="shared" si="6"/>
        <v>13.839256708465987</v>
      </c>
      <c r="AC37" s="431">
        <f t="shared" si="3"/>
        <v>64.991811482121747</v>
      </c>
      <c r="AD37" s="427">
        <v>31</v>
      </c>
      <c r="AE37" s="431">
        <f t="shared" si="7"/>
        <v>441.33692500000001</v>
      </c>
      <c r="AF37" s="434"/>
    </row>
    <row r="38" spans="1:32" x14ac:dyDescent="0.3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9" t="s">
        <v>52</v>
      </c>
      <c r="I38" s="423">
        <v>592.95000000000005</v>
      </c>
      <c r="J38" s="427">
        <v>295</v>
      </c>
      <c r="K38" s="427"/>
      <c r="L38" s="427">
        <v>497</v>
      </c>
      <c r="M38" s="427"/>
      <c r="N38" s="427">
        <v>9.1</v>
      </c>
      <c r="O38" s="427"/>
      <c r="P38" s="430">
        <v>16.010804818916128</v>
      </c>
      <c r="Q38" s="431">
        <f>LEFT(H38,(FIND("K",H38,1)-1))*J38/100</f>
        <v>64.900000000000006</v>
      </c>
      <c r="R38" s="432">
        <v>17.079000000000001</v>
      </c>
      <c r="S38" s="431">
        <v>29.377000000000002</v>
      </c>
      <c r="T38" s="431">
        <v>557</v>
      </c>
      <c r="U38" s="431">
        <f t="shared" si="1"/>
        <v>32.613150652848525</v>
      </c>
      <c r="V38" s="433">
        <f t="shared" si="8"/>
        <v>41.862681689757295</v>
      </c>
      <c r="W38" s="432">
        <v>0.3</v>
      </c>
      <c r="X38" s="431">
        <f t="shared" si="2"/>
        <v>0.4526502311248074</v>
      </c>
      <c r="Y38" s="431">
        <f t="shared" si="4"/>
        <v>15.798075000000001</v>
      </c>
      <c r="Z38" s="431">
        <f t="shared" si="4"/>
        <v>27.173725000000005</v>
      </c>
      <c r="AA38" s="431">
        <f t="shared" si="5"/>
        <v>520.79500000000007</v>
      </c>
      <c r="AB38" s="431">
        <f t="shared" si="6"/>
        <v>32.613150652848525</v>
      </c>
      <c r="AC38" s="431">
        <f t="shared" si="3"/>
        <v>41.862681689757295</v>
      </c>
      <c r="AD38" s="427">
        <v>31</v>
      </c>
      <c r="AE38" s="431">
        <f t="shared" si="7"/>
        <v>489.74032500000004</v>
      </c>
      <c r="AF38" s="434"/>
    </row>
    <row r="39" spans="1:32" x14ac:dyDescent="0.3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9" t="s">
        <v>212</v>
      </c>
      <c r="I39" s="423">
        <v>547.65</v>
      </c>
      <c r="J39" s="427">
        <v>120</v>
      </c>
      <c r="K39" s="427"/>
      <c r="L39" s="427">
        <v>454</v>
      </c>
      <c r="M39" s="427"/>
      <c r="N39" s="427">
        <v>13.3</v>
      </c>
      <c r="O39" s="427"/>
      <c r="P39" s="430">
        <v>23.008335056179135</v>
      </c>
      <c r="Q39" s="431">
        <f t="shared" ref="Q39:Q72" si="9">LEFT(H39,(FIND("K",H39,1)-1))*J39/100</f>
        <v>9.6</v>
      </c>
      <c r="R39" s="432">
        <v>7.1689999999999996</v>
      </c>
      <c r="S39" s="431">
        <v>8.0549999999999997</v>
      </c>
      <c r="T39" s="431">
        <v>29</v>
      </c>
      <c r="U39" s="431">
        <f t="shared" si="1"/>
        <v>4.0451945878086208</v>
      </c>
      <c r="V39" s="433">
        <f t="shared" si="8"/>
        <v>10.999379267535694</v>
      </c>
      <c r="W39" s="432">
        <v>0.4</v>
      </c>
      <c r="X39" s="431">
        <f t="shared" si="2"/>
        <v>0.83906250000000004</v>
      </c>
      <c r="Y39" s="431">
        <f t="shared" si="4"/>
        <v>6.6313250000000004</v>
      </c>
      <c r="Z39" s="431">
        <f t="shared" si="4"/>
        <v>7.4508749999999999</v>
      </c>
      <c r="AA39" s="431">
        <f t="shared" si="5"/>
        <v>27.115000000000002</v>
      </c>
      <c r="AB39" s="431">
        <f t="shared" si="6"/>
        <v>4.0451945878086208</v>
      </c>
      <c r="AC39" s="431">
        <f t="shared" si="3"/>
        <v>10.999379267535694</v>
      </c>
      <c r="AD39" s="427">
        <v>31</v>
      </c>
      <c r="AE39" s="431">
        <f t="shared" si="7"/>
        <v>205.57107500000001</v>
      </c>
      <c r="AF39" s="434"/>
    </row>
    <row r="40" spans="1:32" x14ac:dyDescent="0.3">
      <c r="A40" s="427">
        <v>27</v>
      </c>
      <c r="B40" s="447" t="s">
        <v>161</v>
      </c>
      <c r="C40" s="427" t="s">
        <v>46</v>
      </c>
      <c r="D40" s="423">
        <v>677</v>
      </c>
      <c r="E40" s="429" t="s">
        <v>178</v>
      </c>
      <c r="F40" s="427">
        <v>177.8</v>
      </c>
      <c r="G40" s="427" t="s">
        <v>28</v>
      </c>
      <c r="H40" s="429" t="s">
        <v>52</v>
      </c>
      <c r="I40" s="423">
        <v>535.41</v>
      </c>
      <c r="J40" s="423">
        <v>130</v>
      </c>
      <c r="K40" s="423"/>
      <c r="L40" s="423">
        <v>458</v>
      </c>
      <c r="M40" s="423"/>
      <c r="N40" s="427">
        <v>7.3</v>
      </c>
      <c r="O40" s="423"/>
      <c r="P40" s="448">
        <v>16.054411513551347</v>
      </c>
      <c r="Q40" s="431">
        <f t="shared" si="9"/>
        <v>28.6</v>
      </c>
      <c r="R40" s="432">
        <v>4.4720000000000004</v>
      </c>
      <c r="S40" s="431">
        <v>6.6180000000000003</v>
      </c>
      <c r="T40" s="437">
        <v>494</v>
      </c>
      <c r="U40" s="431">
        <f t="shared" si="1"/>
        <v>110.46511627906976</v>
      </c>
      <c r="V40" s="433">
        <f t="shared" si="8"/>
        <v>32.426715019643396</v>
      </c>
      <c r="W40" s="432">
        <v>0.5</v>
      </c>
      <c r="X40" s="431">
        <f t="shared" si="2"/>
        <v>0.23139860139860141</v>
      </c>
      <c r="Y40" s="431">
        <f t="shared" si="4"/>
        <v>4.1366000000000005</v>
      </c>
      <c r="Z40" s="431">
        <f t="shared" si="4"/>
        <v>6.1216500000000007</v>
      </c>
      <c r="AA40" s="431">
        <f t="shared" si="5"/>
        <v>461.89000000000004</v>
      </c>
      <c r="AB40" s="431">
        <f t="shared" si="6"/>
        <v>110.46511627906976</v>
      </c>
      <c r="AC40" s="431">
        <f t="shared" si="3"/>
        <v>32.426715019643396</v>
      </c>
      <c r="AD40" s="427">
        <v>31</v>
      </c>
      <c r="AE40" s="431">
        <f t="shared" si="7"/>
        <v>128.23460000000003</v>
      </c>
      <c r="AF40" s="449"/>
    </row>
    <row r="41" spans="1:32" ht="16.149999999999999" customHeight="1" x14ac:dyDescent="0.3">
      <c r="A41" s="427">
        <v>28</v>
      </c>
      <c r="B41" s="447" t="s">
        <v>162</v>
      </c>
      <c r="C41" s="427" t="s">
        <v>46</v>
      </c>
      <c r="D41" s="423">
        <v>676</v>
      </c>
      <c r="E41" s="429" t="s">
        <v>180</v>
      </c>
      <c r="F41" s="427">
        <v>177.8</v>
      </c>
      <c r="G41" s="427" t="s">
        <v>28</v>
      </c>
      <c r="H41" s="429" t="s">
        <v>50</v>
      </c>
      <c r="I41" s="423">
        <v>545.42999999999995</v>
      </c>
      <c r="J41" s="423">
        <v>0</v>
      </c>
      <c r="K41" s="423">
        <v>70</v>
      </c>
      <c r="L41" s="427"/>
      <c r="M41" s="423">
        <v>0.9</v>
      </c>
      <c r="N41" s="427"/>
      <c r="O41" s="423"/>
      <c r="P41" s="448">
        <v>50.493165130297953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4"/>
        <v>0</v>
      </c>
      <c r="Z41" s="431">
        <f t="shared" si="4"/>
        <v>0</v>
      </c>
      <c r="AA41" s="431">
        <f t="shared" si="5"/>
        <v>0</v>
      </c>
      <c r="AB41" s="431">
        <f t="shared" si="6"/>
        <v>0</v>
      </c>
      <c r="AC41" s="431">
        <f t="shared" si="3"/>
        <v>0</v>
      </c>
      <c r="AD41" s="427">
        <v>0</v>
      </c>
      <c r="AE41" s="431">
        <f t="shared" si="7"/>
        <v>0</v>
      </c>
      <c r="AF41" s="449" t="s">
        <v>215</v>
      </c>
    </row>
    <row r="42" spans="1:32" x14ac:dyDescent="0.3">
      <c r="A42" s="427">
        <v>29</v>
      </c>
      <c r="B42" s="447" t="s">
        <v>163</v>
      </c>
      <c r="C42" s="427" t="s">
        <v>46</v>
      </c>
      <c r="D42" s="423">
        <v>677.27</v>
      </c>
      <c r="E42" s="429" t="s">
        <v>194</v>
      </c>
      <c r="F42" s="427">
        <v>177.8</v>
      </c>
      <c r="G42" s="427" t="s">
        <v>28</v>
      </c>
      <c r="H42" s="429" t="s">
        <v>187</v>
      </c>
      <c r="I42" s="423">
        <v>553.82000000000005</v>
      </c>
      <c r="J42" s="423">
        <v>180</v>
      </c>
      <c r="K42" s="423"/>
      <c r="L42" s="423">
        <v>277</v>
      </c>
      <c r="M42" s="423"/>
      <c r="N42" s="427">
        <v>1.5</v>
      </c>
      <c r="O42" s="423"/>
      <c r="P42" s="448">
        <v>33.21939454134553</v>
      </c>
      <c r="Q42" s="431">
        <f t="shared" si="9"/>
        <v>10.8</v>
      </c>
      <c r="R42" s="432">
        <v>4.7</v>
      </c>
      <c r="S42" s="431">
        <v>8.2089999999999996</v>
      </c>
      <c r="T42" s="437">
        <v>28</v>
      </c>
      <c r="U42" s="431">
        <f>T42/R42</f>
        <v>5.957446808510638</v>
      </c>
      <c r="V42" s="433">
        <f t="shared" si="8"/>
        <v>42.745766841271774</v>
      </c>
      <c r="W42" s="432">
        <v>0.4</v>
      </c>
      <c r="X42" s="431">
        <f t="shared" si="2"/>
        <v>0.76009259259259254</v>
      </c>
      <c r="Y42" s="431">
        <f t="shared" si="4"/>
        <v>4.3475000000000001</v>
      </c>
      <c r="Z42" s="431">
        <f t="shared" si="4"/>
        <v>7.5933250000000001</v>
      </c>
      <c r="AA42" s="431">
        <f t="shared" si="5"/>
        <v>26.18</v>
      </c>
      <c r="AB42" s="431">
        <f t="shared" si="6"/>
        <v>5.957446808510638</v>
      </c>
      <c r="AC42" s="431">
        <f t="shared" si="3"/>
        <v>42.745766841271774</v>
      </c>
      <c r="AD42" s="427">
        <v>31</v>
      </c>
      <c r="AE42" s="431">
        <f t="shared" si="7"/>
        <v>134.77250000000001</v>
      </c>
      <c r="AF42" s="449"/>
    </row>
    <row r="43" spans="1:32" x14ac:dyDescent="0.3">
      <c r="A43" s="427">
        <v>30</v>
      </c>
      <c r="B43" s="428" t="s">
        <v>59</v>
      </c>
      <c r="C43" s="427" t="s">
        <v>46</v>
      </c>
      <c r="D43" s="429">
        <v>643</v>
      </c>
      <c r="E43" s="427" t="s">
        <v>94</v>
      </c>
      <c r="F43" s="427">
        <v>177.8</v>
      </c>
      <c r="G43" s="427" t="s">
        <v>28</v>
      </c>
      <c r="H43" s="429" t="s">
        <v>48</v>
      </c>
      <c r="I43" s="423">
        <v>540.79999999999995</v>
      </c>
      <c r="J43" s="427">
        <v>100</v>
      </c>
      <c r="K43" s="427"/>
      <c r="L43" s="427">
        <v>413</v>
      </c>
      <c r="M43" s="427"/>
      <c r="N43" s="427">
        <v>2.2000000000000002</v>
      </c>
      <c r="O43" s="427"/>
      <c r="P43" s="430">
        <v>16.2900881525551</v>
      </c>
      <c r="Q43" s="431">
        <f t="shared" si="9"/>
        <v>13</v>
      </c>
      <c r="R43" s="432">
        <v>3.2629999999999999</v>
      </c>
      <c r="S43" s="431">
        <v>5.0270000000000001</v>
      </c>
      <c r="T43" s="431">
        <v>8</v>
      </c>
      <c r="U43" s="431">
        <f t="shared" si="1"/>
        <v>2.4517315353968741</v>
      </c>
      <c r="V43" s="433">
        <f t="shared" si="8"/>
        <v>35.090511239307745</v>
      </c>
      <c r="W43" s="432">
        <v>0.3</v>
      </c>
      <c r="X43" s="431">
        <f t="shared" si="2"/>
        <v>0.38669230769230772</v>
      </c>
      <c r="Y43" s="431">
        <f t="shared" si="4"/>
        <v>3.018275</v>
      </c>
      <c r="Z43" s="431">
        <f t="shared" si="4"/>
        <v>4.6499750000000004</v>
      </c>
      <c r="AA43" s="431">
        <f t="shared" si="5"/>
        <v>7.48</v>
      </c>
      <c r="AB43" s="431">
        <f>U43</f>
        <v>2.4517315353968741</v>
      </c>
      <c r="AC43" s="431">
        <f t="shared" si="3"/>
        <v>35.090511239307745</v>
      </c>
      <c r="AD43" s="427">
        <v>31</v>
      </c>
      <c r="AE43" s="431">
        <f t="shared" si="7"/>
        <v>93.566524999999999</v>
      </c>
      <c r="AF43" s="439"/>
    </row>
    <row r="44" spans="1:32" x14ac:dyDescent="0.3">
      <c r="A44" s="427">
        <v>31</v>
      </c>
      <c r="B44" s="428" t="s">
        <v>207</v>
      </c>
      <c r="C44" s="427" t="s">
        <v>46</v>
      </c>
      <c r="D44" s="429">
        <v>673</v>
      </c>
      <c r="E44" s="427" t="s">
        <v>230</v>
      </c>
      <c r="F44" s="427">
        <v>177.8</v>
      </c>
      <c r="G44" s="427" t="s">
        <v>28</v>
      </c>
      <c r="H44" s="429" t="s">
        <v>50</v>
      </c>
      <c r="I44" s="423">
        <v>564.41999999999996</v>
      </c>
      <c r="J44" s="427">
        <v>145</v>
      </c>
      <c r="K44" s="427"/>
      <c r="L44" s="427">
        <v>301</v>
      </c>
      <c r="M44" s="427"/>
      <c r="N44" s="430">
        <v>3</v>
      </c>
      <c r="O44" s="427"/>
      <c r="P44" s="430">
        <v>28.644727782036533</v>
      </c>
      <c r="Q44" s="431">
        <f t="shared" si="9"/>
        <v>8.6999999999999993</v>
      </c>
      <c r="R44" s="432">
        <v>4.4169999999999998</v>
      </c>
      <c r="S44" s="431">
        <v>6.3759999999999994</v>
      </c>
      <c r="T44" s="431">
        <v>0</v>
      </c>
      <c r="U44" s="431">
        <f t="shared" si="1"/>
        <v>0</v>
      </c>
      <c r="V44" s="433">
        <f t="shared" si="8"/>
        <v>30.7245922208281</v>
      </c>
      <c r="W44" s="432">
        <v>0.4</v>
      </c>
      <c r="X44" s="431">
        <f t="shared" si="2"/>
        <v>0.73287356321839081</v>
      </c>
      <c r="Y44" s="431">
        <f t="shared" si="4"/>
        <v>4.0857250000000001</v>
      </c>
      <c r="Z44" s="431">
        <f t="shared" si="4"/>
        <v>5.8978000000000002</v>
      </c>
      <c r="AA44" s="431">
        <f t="shared" si="5"/>
        <v>0</v>
      </c>
      <c r="AB44" s="431">
        <f>U44</f>
        <v>0</v>
      </c>
      <c r="AC44" s="431">
        <f t="shared" si="3"/>
        <v>30.7245922208281</v>
      </c>
      <c r="AD44" s="427">
        <v>31</v>
      </c>
      <c r="AE44" s="431">
        <f t="shared" si="7"/>
        <v>126.65747500000001</v>
      </c>
      <c r="AF44" s="439"/>
    </row>
    <row r="45" spans="1:32" x14ac:dyDescent="0.3">
      <c r="A45" s="427">
        <v>32</v>
      </c>
      <c r="B45" s="428" t="s">
        <v>196</v>
      </c>
      <c r="C45" s="427" t="s">
        <v>304</v>
      </c>
      <c r="D45" s="429">
        <v>641</v>
      </c>
      <c r="E45" s="427" t="s">
        <v>296</v>
      </c>
      <c r="F45" s="427">
        <v>177.8</v>
      </c>
      <c r="G45" s="427" t="s">
        <v>28</v>
      </c>
      <c r="H45" s="429" t="s">
        <v>218</v>
      </c>
      <c r="I45" s="423">
        <v>618.66999999999996</v>
      </c>
      <c r="J45" s="427">
        <v>65</v>
      </c>
      <c r="K45" s="427"/>
      <c r="L45" s="427">
        <v>512</v>
      </c>
      <c r="M45" s="427"/>
      <c r="N45" s="430">
        <v>5.0999999999999996</v>
      </c>
      <c r="O45" s="427"/>
      <c r="P45" s="430">
        <v>14.397768596483656</v>
      </c>
      <c r="Q45" s="431">
        <f t="shared" si="9"/>
        <v>20.8</v>
      </c>
      <c r="R45" s="432">
        <v>1.278</v>
      </c>
      <c r="S45" s="431">
        <v>1.369</v>
      </c>
      <c r="T45" s="431">
        <v>7</v>
      </c>
      <c r="U45" s="431">
        <f t="shared" si="1"/>
        <v>5.4773082942097027</v>
      </c>
      <c r="V45" s="433">
        <f t="shared" si="8"/>
        <v>6.6471877282688068</v>
      </c>
      <c r="W45" s="432">
        <v>0</v>
      </c>
      <c r="X45" s="431">
        <f t="shared" si="2"/>
        <v>6.5817307692307689E-2</v>
      </c>
      <c r="Y45" s="431">
        <f t="shared" si="4"/>
        <v>1.18215</v>
      </c>
      <c r="Z45" s="431">
        <f t="shared" si="4"/>
        <v>1.2663250000000001</v>
      </c>
      <c r="AA45" s="431">
        <f t="shared" si="5"/>
        <v>6.5449999999999999</v>
      </c>
      <c r="AB45" s="431">
        <f>U45</f>
        <v>5.4773082942097027</v>
      </c>
      <c r="AC45" s="431">
        <f t="shared" si="3"/>
        <v>6.6471877282688068</v>
      </c>
      <c r="AD45" s="427">
        <v>31</v>
      </c>
      <c r="AE45" s="431">
        <f t="shared" si="7"/>
        <v>36.646650000000001</v>
      </c>
      <c r="AF45" s="439"/>
    </row>
    <row r="46" spans="1:32" x14ac:dyDescent="0.3">
      <c r="A46" s="427">
        <v>33</v>
      </c>
      <c r="B46" s="428" t="s">
        <v>60</v>
      </c>
      <c r="C46" s="427" t="s">
        <v>46</v>
      </c>
      <c r="D46" s="429">
        <v>638.9</v>
      </c>
      <c r="E46" s="427" t="s">
        <v>95</v>
      </c>
      <c r="F46" s="427">
        <v>177.8</v>
      </c>
      <c r="G46" s="427" t="s">
        <v>28</v>
      </c>
      <c r="H46" s="429" t="s">
        <v>48</v>
      </c>
      <c r="I46" s="423">
        <v>546.64</v>
      </c>
      <c r="J46" s="427">
        <v>100</v>
      </c>
      <c r="K46" s="427"/>
      <c r="L46" s="427">
        <v>462</v>
      </c>
      <c r="M46" s="427"/>
      <c r="N46" s="427">
        <v>7.1</v>
      </c>
      <c r="O46" s="427"/>
      <c r="P46" s="430">
        <v>15.994237722893187</v>
      </c>
      <c r="Q46" s="431">
        <f t="shared" si="9"/>
        <v>13</v>
      </c>
      <c r="R46" s="432">
        <v>6.4080000000000004</v>
      </c>
      <c r="S46" s="431">
        <v>10.035</v>
      </c>
      <c r="T46" s="431">
        <v>96</v>
      </c>
      <c r="U46" s="431">
        <f t="shared" si="1"/>
        <v>14.9812734082397</v>
      </c>
      <c r="V46" s="433">
        <f t="shared" si="8"/>
        <v>36.143497757847534</v>
      </c>
      <c r="W46" s="432">
        <v>0.3</v>
      </c>
      <c r="X46" s="431">
        <f t="shared" si="2"/>
        <v>0.77192307692307693</v>
      </c>
      <c r="Y46" s="431">
        <f t="shared" si="4"/>
        <v>5.9274000000000004</v>
      </c>
      <c r="Z46" s="431">
        <f t="shared" si="4"/>
        <v>9.282375</v>
      </c>
      <c r="AA46" s="431">
        <f t="shared" si="5"/>
        <v>89.76</v>
      </c>
      <c r="AB46" s="431">
        <f t="shared" si="6"/>
        <v>14.9812734082397</v>
      </c>
      <c r="AC46" s="431">
        <f t="shared" si="3"/>
        <v>36.143497757847534</v>
      </c>
      <c r="AD46" s="427">
        <v>31</v>
      </c>
      <c r="AE46" s="431">
        <f t="shared" si="7"/>
        <v>183.74940000000001</v>
      </c>
      <c r="AF46" s="439"/>
    </row>
    <row r="47" spans="1:32" ht="15" customHeight="1" x14ac:dyDescent="0.3">
      <c r="A47" s="427">
        <v>34</v>
      </c>
      <c r="B47" s="428" t="s">
        <v>119</v>
      </c>
      <c r="C47" s="427" t="s">
        <v>46</v>
      </c>
      <c r="D47" s="429">
        <v>654.07000000000005</v>
      </c>
      <c r="E47" s="427" t="s">
        <v>126</v>
      </c>
      <c r="F47" s="427">
        <v>177.8</v>
      </c>
      <c r="G47" s="427" t="s">
        <v>28</v>
      </c>
      <c r="H47" s="429" t="s">
        <v>48</v>
      </c>
      <c r="I47" s="423">
        <v>526.6</v>
      </c>
      <c r="J47" s="427">
        <v>0</v>
      </c>
      <c r="K47" s="427">
        <v>495</v>
      </c>
      <c r="L47" s="427"/>
      <c r="M47" s="427">
        <v>21</v>
      </c>
      <c r="N47" s="427"/>
      <c r="O47" s="427"/>
      <c r="P47" s="430">
        <v>47.796216023857141</v>
      </c>
      <c r="Q47" s="431">
        <f t="shared" si="9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4"/>
        <v>0</v>
      </c>
      <c r="Z47" s="431">
        <f t="shared" si="4"/>
        <v>0</v>
      </c>
      <c r="AA47" s="431">
        <f t="shared" si="5"/>
        <v>0</v>
      </c>
      <c r="AB47" s="431">
        <f t="shared" si="6"/>
        <v>0</v>
      </c>
      <c r="AC47" s="431">
        <f t="shared" si="3"/>
        <v>0</v>
      </c>
      <c r="AD47" s="427">
        <v>0</v>
      </c>
      <c r="AE47" s="431">
        <f t="shared" si="7"/>
        <v>0</v>
      </c>
      <c r="AF47" s="449" t="s">
        <v>215</v>
      </c>
    </row>
    <row r="48" spans="1:32" x14ac:dyDescent="0.3">
      <c r="A48" s="427">
        <v>35</v>
      </c>
      <c r="B48" s="428" t="s">
        <v>118</v>
      </c>
      <c r="C48" s="427" t="s">
        <v>46</v>
      </c>
      <c r="D48" s="429">
        <v>728.77</v>
      </c>
      <c r="E48" s="427" t="s">
        <v>133</v>
      </c>
      <c r="F48" s="427">
        <v>177.8</v>
      </c>
      <c r="G48" s="427" t="s">
        <v>28</v>
      </c>
      <c r="H48" s="429" t="s">
        <v>48</v>
      </c>
      <c r="I48" s="423">
        <v>557.04999999999995</v>
      </c>
      <c r="J48" s="427">
        <v>100</v>
      </c>
      <c r="K48" s="427"/>
      <c r="L48" s="427">
        <v>417</v>
      </c>
      <c r="M48" s="427"/>
      <c r="N48" s="427">
        <v>7.6</v>
      </c>
      <c r="O48" s="427"/>
      <c r="P48" s="430">
        <v>22.510705697387209</v>
      </c>
      <c r="Q48" s="431">
        <f t="shared" si="9"/>
        <v>13</v>
      </c>
      <c r="R48" s="432">
        <v>0.443</v>
      </c>
      <c r="S48" s="431">
        <v>8.5469999999999988</v>
      </c>
      <c r="T48" s="431">
        <v>46</v>
      </c>
      <c r="U48" s="431">
        <f>T48/R48</f>
        <v>103.83747178329571</v>
      </c>
      <c r="V48" s="433">
        <f t="shared" si="8"/>
        <v>94.81689481689483</v>
      </c>
      <c r="W48" s="432">
        <v>0.5</v>
      </c>
      <c r="X48" s="431">
        <f t="shared" ref="X48:X55" si="10">S48/Q48</f>
        <v>0.65746153846153832</v>
      </c>
      <c r="Y48" s="431">
        <f t="shared" si="4"/>
        <v>0.409775</v>
      </c>
      <c r="Z48" s="431">
        <f t="shared" si="4"/>
        <v>7.9059749999999989</v>
      </c>
      <c r="AA48" s="431">
        <f t="shared" si="5"/>
        <v>43.010000000000005</v>
      </c>
      <c r="AB48" s="431">
        <f t="shared" si="6"/>
        <v>103.83747178329571</v>
      </c>
      <c r="AC48" s="431">
        <f t="shared" si="3"/>
        <v>94.81689481689483</v>
      </c>
      <c r="AD48" s="427">
        <v>31</v>
      </c>
      <c r="AE48" s="431">
        <f t="shared" si="7"/>
        <v>12.703025</v>
      </c>
      <c r="AF48" s="439"/>
    </row>
    <row r="49" spans="1:32" x14ac:dyDescent="0.3">
      <c r="A49" s="427">
        <v>36</v>
      </c>
      <c r="B49" s="428" t="s">
        <v>117</v>
      </c>
      <c r="C49" s="427" t="s">
        <v>46</v>
      </c>
      <c r="D49" s="429">
        <v>671.45</v>
      </c>
      <c r="E49" s="427" t="s">
        <v>128</v>
      </c>
      <c r="F49" s="427">
        <v>177.8</v>
      </c>
      <c r="G49" s="427" t="s">
        <v>28</v>
      </c>
      <c r="H49" s="429" t="s">
        <v>187</v>
      </c>
      <c r="I49" s="423">
        <v>559.39</v>
      </c>
      <c r="J49" s="427">
        <v>265</v>
      </c>
      <c r="K49" s="427"/>
      <c r="L49" s="427">
        <v>321</v>
      </c>
      <c r="M49" s="427"/>
      <c r="N49" s="427">
        <v>1.8</v>
      </c>
      <c r="O49" s="427"/>
      <c r="P49" s="430">
        <v>26.834346407520098</v>
      </c>
      <c r="Q49" s="431">
        <f t="shared" si="9"/>
        <v>15.9</v>
      </c>
      <c r="R49" s="432">
        <v>0.97</v>
      </c>
      <c r="S49" s="431">
        <v>5.5979999999999999</v>
      </c>
      <c r="T49" s="431">
        <v>5</v>
      </c>
      <c r="U49" s="431">
        <f t="shared" ref="U49:U55" si="11">T49/R49</f>
        <v>5.1546391752577323</v>
      </c>
      <c r="V49" s="433">
        <f t="shared" si="8"/>
        <v>82.672382993926405</v>
      </c>
      <c r="W49" s="432">
        <v>0.4</v>
      </c>
      <c r="X49" s="431">
        <v>0.2</v>
      </c>
      <c r="Y49" s="431">
        <f t="shared" si="4"/>
        <v>0.89724999999999999</v>
      </c>
      <c r="Z49" s="431">
        <f t="shared" si="4"/>
        <v>5.1781500000000005</v>
      </c>
      <c r="AA49" s="431">
        <f t="shared" si="5"/>
        <v>4.6750000000000007</v>
      </c>
      <c r="AB49" s="431">
        <f t="shared" si="6"/>
        <v>5.1546391752577323</v>
      </c>
      <c r="AC49" s="431">
        <f t="shared" si="3"/>
        <v>82.672382993926405</v>
      </c>
      <c r="AD49" s="427">
        <v>31</v>
      </c>
      <c r="AE49" s="431">
        <f t="shared" si="7"/>
        <v>27.81475</v>
      </c>
      <c r="AF49" s="434"/>
    </row>
    <row r="50" spans="1:32" x14ac:dyDescent="0.3">
      <c r="A50" s="427">
        <v>37</v>
      </c>
      <c r="B50" s="428" t="s">
        <v>130</v>
      </c>
      <c r="C50" s="427" t="s">
        <v>46</v>
      </c>
      <c r="D50" s="429">
        <v>622.6</v>
      </c>
      <c r="E50" s="427" t="s">
        <v>134</v>
      </c>
      <c r="F50" s="427">
        <v>177.8</v>
      </c>
      <c r="G50" s="427" t="s">
        <v>28</v>
      </c>
      <c r="H50" s="429" t="s">
        <v>48</v>
      </c>
      <c r="I50" s="423">
        <v>551.79999999999995</v>
      </c>
      <c r="J50" s="427">
        <v>0</v>
      </c>
      <c r="K50" s="427"/>
      <c r="L50" s="427">
        <v>90</v>
      </c>
      <c r="M50" s="427"/>
      <c r="N50" s="427">
        <v>7.5</v>
      </c>
      <c r="O50" s="427"/>
      <c r="P50" s="430">
        <v>55.210324369885704</v>
      </c>
      <c r="Q50" s="431">
        <f t="shared" si="9"/>
        <v>0</v>
      </c>
      <c r="R50" s="432">
        <v>0</v>
      </c>
      <c r="S50" s="431">
        <v>0</v>
      </c>
      <c r="T50" s="431">
        <v>0</v>
      </c>
      <c r="U50" s="431">
        <v>0</v>
      </c>
      <c r="V50" s="433">
        <v>0</v>
      </c>
      <c r="W50" s="432">
        <v>0</v>
      </c>
      <c r="X50" s="431">
        <v>0</v>
      </c>
      <c r="Y50" s="431">
        <f t="shared" si="4"/>
        <v>0</v>
      </c>
      <c r="Z50" s="431">
        <f t="shared" si="4"/>
        <v>0</v>
      </c>
      <c r="AA50" s="431">
        <f t="shared" si="5"/>
        <v>0</v>
      </c>
      <c r="AB50" s="431">
        <f t="shared" si="6"/>
        <v>0</v>
      </c>
      <c r="AC50" s="431">
        <f t="shared" si="3"/>
        <v>0</v>
      </c>
      <c r="AD50" s="427">
        <v>31</v>
      </c>
      <c r="AE50" s="431">
        <f t="shared" si="7"/>
        <v>0</v>
      </c>
      <c r="AF50" s="434"/>
    </row>
    <row r="51" spans="1:32" x14ac:dyDescent="0.3">
      <c r="A51" s="427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427">
        <v>177.8</v>
      </c>
      <c r="G51" s="451" t="s">
        <v>28</v>
      </c>
      <c r="H51" s="452" t="s">
        <v>291</v>
      </c>
      <c r="I51" s="453">
        <v>565.80999999999995</v>
      </c>
      <c r="J51" s="451">
        <v>260</v>
      </c>
      <c r="K51" s="451"/>
      <c r="L51" s="451">
        <v>425</v>
      </c>
      <c r="M51" s="451"/>
      <c r="N51" s="427">
        <v>3.1</v>
      </c>
      <c r="O51" s="451"/>
      <c r="P51" s="454">
        <v>17.037825077595894</v>
      </c>
      <c r="Q51" s="455">
        <f t="shared" si="9"/>
        <v>7.8</v>
      </c>
      <c r="R51" s="456">
        <v>4.3899999999999997</v>
      </c>
      <c r="S51" s="431">
        <v>4.4269999999999996</v>
      </c>
      <c r="T51" s="455">
        <v>5</v>
      </c>
      <c r="U51" s="431">
        <f t="shared" si="11"/>
        <v>1.1389521640091116</v>
      </c>
      <c r="V51" s="433">
        <f t="shared" si="8"/>
        <v>0.83578043822001191</v>
      </c>
      <c r="W51" s="456">
        <v>0.7</v>
      </c>
      <c r="X51" s="431">
        <f t="shared" si="10"/>
        <v>0.5675641025641025</v>
      </c>
      <c r="Y51" s="431">
        <f t="shared" si="4"/>
        <v>4.0607499999999996</v>
      </c>
      <c r="Z51" s="431">
        <f t="shared" si="4"/>
        <v>4.0949749999999998</v>
      </c>
      <c r="AA51" s="431">
        <f t="shared" si="5"/>
        <v>4.6750000000000007</v>
      </c>
      <c r="AB51" s="455">
        <f t="shared" si="6"/>
        <v>1.1389521640091116</v>
      </c>
      <c r="AC51" s="431">
        <f t="shared" si="3"/>
        <v>0.83578043822001191</v>
      </c>
      <c r="AD51" s="427">
        <v>31</v>
      </c>
      <c r="AE51" s="455">
        <f t="shared" si="7"/>
        <v>125.88324999999999</v>
      </c>
      <c r="AF51" s="434"/>
    </row>
    <row r="52" spans="1:32" x14ac:dyDescent="0.3">
      <c r="A52" s="427">
        <v>39</v>
      </c>
      <c r="B52" s="428" t="s">
        <v>116</v>
      </c>
      <c r="C52" s="427" t="s">
        <v>46</v>
      </c>
      <c r="D52" s="429">
        <v>681.27</v>
      </c>
      <c r="E52" s="427" t="s">
        <v>124</v>
      </c>
      <c r="F52" s="427">
        <v>177.8</v>
      </c>
      <c r="G52" s="427" t="s">
        <v>28</v>
      </c>
      <c r="H52" s="429" t="s">
        <v>53</v>
      </c>
      <c r="I52" s="423">
        <v>558.35</v>
      </c>
      <c r="J52" s="427">
        <v>200</v>
      </c>
      <c r="K52" s="427"/>
      <c r="L52" s="427">
        <v>316</v>
      </c>
      <c r="M52" s="427"/>
      <c r="N52" s="427">
        <v>1.7</v>
      </c>
      <c r="O52" s="427"/>
      <c r="P52" s="430">
        <v>26.14819884319574</v>
      </c>
      <c r="Q52" s="455">
        <f t="shared" si="9"/>
        <v>26</v>
      </c>
      <c r="R52" s="432">
        <v>2.5489999999999999</v>
      </c>
      <c r="S52" s="431">
        <v>4.0590000000000002</v>
      </c>
      <c r="T52" s="431">
        <v>2</v>
      </c>
      <c r="U52" s="431">
        <f t="shared" si="11"/>
        <v>0.78462142016477054</v>
      </c>
      <c r="V52" s="433">
        <f t="shared" si="8"/>
        <v>37.201281103720127</v>
      </c>
      <c r="W52" s="432">
        <v>0.3</v>
      </c>
      <c r="X52" s="431">
        <f t="shared" si="10"/>
        <v>0.15611538461538463</v>
      </c>
      <c r="Y52" s="431">
        <f t="shared" si="4"/>
        <v>2.3578250000000001</v>
      </c>
      <c r="Z52" s="431">
        <f t="shared" si="4"/>
        <v>3.7545750000000004</v>
      </c>
      <c r="AA52" s="431">
        <f t="shared" si="5"/>
        <v>1.87</v>
      </c>
      <c r="AB52" s="431">
        <f t="shared" si="6"/>
        <v>0.78462142016477054</v>
      </c>
      <c r="AC52" s="431">
        <f t="shared" si="3"/>
        <v>37.201281103720127</v>
      </c>
      <c r="AD52" s="427">
        <v>31</v>
      </c>
      <c r="AE52" s="431">
        <f t="shared" si="7"/>
        <v>73.092574999999997</v>
      </c>
      <c r="AF52" s="434"/>
    </row>
    <row r="53" spans="1:32" x14ac:dyDescent="0.3">
      <c r="A53" s="427">
        <v>40</v>
      </c>
      <c r="B53" s="428" t="s">
        <v>120</v>
      </c>
      <c r="C53" s="427" t="s">
        <v>46</v>
      </c>
      <c r="D53" s="429">
        <v>668.57</v>
      </c>
      <c r="E53" s="427" t="s">
        <v>285</v>
      </c>
      <c r="F53" s="427">
        <v>177.8</v>
      </c>
      <c r="G53" s="427" t="s">
        <v>28</v>
      </c>
      <c r="H53" s="429" t="s">
        <v>48</v>
      </c>
      <c r="I53" s="423">
        <v>567.08000000000004</v>
      </c>
      <c r="J53" s="427">
        <v>130</v>
      </c>
      <c r="K53" s="427"/>
      <c r="L53" s="427">
        <v>397</v>
      </c>
      <c r="M53" s="427"/>
      <c r="N53" s="427">
        <v>0.6</v>
      </c>
      <c r="O53" s="427"/>
      <c r="P53" s="430">
        <v>17.418651959407999</v>
      </c>
      <c r="Q53" s="431">
        <f t="shared" si="9"/>
        <v>16.899999999999999</v>
      </c>
      <c r="R53" s="432">
        <v>3.8660000000000001</v>
      </c>
      <c r="S53" s="431">
        <v>4.1109999999999998</v>
      </c>
      <c r="T53" s="431">
        <v>0</v>
      </c>
      <c r="U53" s="431">
        <f t="shared" si="11"/>
        <v>0</v>
      </c>
      <c r="V53" s="433">
        <f t="shared" si="8"/>
        <v>5.9596205302845942</v>
      </c>
      <c r="W53" s="432">
        <v>0.5</v>
      </c>
      <c r="X53" s="431">
        <f t="shared" si="10"/>
        <v>0.24325443786982248</v>
      </c>
      <c r="Y53" s="431">
        <f t="shared" si="4"/>
        <v>3.5760500000000004</v>
      </c>
      <c r="Z53" s="431">
        <f t="shared" si="4"/>
        <v>3.8026749999999998</v>
      </c>
      <c r="AA53" s="431">
        <f t="shared" si="5"/>
        <v>0</v>
      </c>
      <c r="AB53" s="431">
        <f t="shared" si="6"/>
        <v>0</v>
      </c>
      <c r="AC53" s="431">
        <f t="shared" si="3"/>
        <v>5.9596205302845942</v>
      </c>
      <c r="AD53" s="427">
        <v>31</v>
      </c>
      <c r="AE53" s="431">
        <f t="shared" si="7"/>
        <v>110.85755000000002</v>
      </c>
      <c r="AF53" s="434"/>
    </row>
    <row r="54" spans="1:32" x14ac:dyDescent="0.3">
      <c r="A54" s="427">
        <v>41</v>
      </c>
      <c r="B54" s="428" t="s">
        <v>114</v>
      </c>
      <c r="C54" s="427" t="s">
        <v>46</v>
      </c>
      <c r="D54" s="429">
        <v>584.25</v>
      </c>
      <c r="E54" s="427" t="s">
        <v>123</v>
      </c>
      <c r="F54" s="427">
        <v>177.8</v>
      </c>
      <c r="G54" s="427" t="s">
        <v>28</v>
      </c>
      <c r="H54" s="429" t="s">
        <v>125</v>
      </c>
      <c r="I54" s="423">
        <v>565.08000000000004</v>
      </c>
      <c r="J54" s="427">
        <v>240</v>
      </c>
      <c r="K54" s="427"/>
      <c r="L54" s="427">
        <v>52</v>
      </c>
      <c r="M54" s="427"/>
      <c r="N54" s="427">
        <v>0</v>
      </c>
      <c r="O54" s="427"/>
      <c r="P54" s="430">
        <v>50.815555779886928</v>
      </c>
      <c r="Q54" s="431">
        <f t="shared" si="9"/>
        <v>7.2</v>
      </c>
      <c r="R54" s="432">
        <v>0.22800000000000001</v>
      </c>
      <c r="S54" s="431">
        <v>0.42500000000000004</v>
      </c>
      <c r="T54" s="431">
        <v>0</v>
      </c>
      <c r="U54" s="431">
        <f t="shared" si="11"/>
        <v>0</v>
      </c>
      <c r="V54" s="433">
        <f t="shared" si="8"/>
        <v>46.352941176470594</v>
      </c>
      <c r="W54" s="432">
        <v>0.7</v>
      </c>
      <c r="X54" s="431">
        <f t="shared" si="10"/>
        <v>5.9027777777777783E-2</v>
      </c>
      <c r="Y54" s="431">
        <f t="shared" si="4"/>
        <v>0.2109</v>
      </c>
      <c r="Z54" s="431">
        <f t="shared" si="4"/>
        <v>0.39312500000000006</v>
      </c>
      <c r="AA54" s="431">
        <f t="shared" si="5"/>
        <v>0</v>
      </c>
      <c r="AB54" s="431">
        <f t="shared" si="6"/>
        <v>0</v>
      </c>
      <c r="AC54" s="431">
        <f t="shared" si="3"/>
        <v>46.352941176470594</v>
      </c>
      <c r="AD54" s="427">
        <v>31</v>
      </c>
      <c r="AE54" s="431">
        <f t="shared" si="7"/>
        <v>6.5379000000000005</v>
      </c>
      <c r="AF54" s="457"/>
    </row>
    <row r="55" spans="1:32" x14ac:dyDescent="0.3">
      <c r="A55" s="427">
        <v>42</v>
      </c>
      <c r="B55" s="428" t="s">
        <v>106</v>
      </c>
      <c r="C55" s="427" t="s">
        <v>46</v>
      </c>
      <c r="D55" s="429">
        <v>642.52</v>
      </c>
      <c r="E55" s="427" t="s">
        <v>111</v>
      </c>
      <c r="F55" s="427">
        <v>177.8</v>
      </c>
      <c r="G55" s="427" t="s">
        <v>28</v>
      </c>
      <c r="H55" s="429" t="s">
        <v>52</v>
      </c>
      <c r="I55" s="423">
        <v>556.65</v>
      </c>
      <c r="J55" s="427">
        <v>75</v>
      </c>
      <c r="K55" s="427"/>
      <c r="L55" s="427">
        <v>186</v>
      </c>
      <c r="M55" s="427"/>
      <c r="N55" s="427">
        <v>7.4</v>
      </c>
      <c r="O55" s="427"/>
      <c r="P55" s="430">
        <v>45.938957766820948</v>
      </c>
      <c r="Q55" s="431">
        <f t="shared" si="9"/>
        <v>16.5</v>
      </c>
      <c r="R55" s="432">
        <v>0.11899999999999999</v>
      </c>
      <c r="S55" s="431">
        <v>1.341</v>
      </c>
      <c r="T55" s="431">
        <v>5</v>
      </c>
      <c r="U55" s="431">
        <f t="shared" si="11"/>
        <v>42.016806722689076</v>
      </c>
      <c r="V55" s="433">
        <f t="shared" si="8"/>
        <v>91.126025354213269</v>
      </c>
      <c r="W55" s="432">
        <v>0.3</v>
      </c>
      <c r="X55" s="431">
        <f t="shared" si="10"/>
        <v>8.1272727272727274E-2</v>
      </c>
      <c r="Y55" s="431">
        <f t="shared" si="4"/>
        <v>0.11007500000000001</v>
      </c>
      <c r="Z55" s="431">
        <f t="shared" si="4"/>
        <v>1.2404250000000001</v>
      </c>
      <c r="AA55" s="431">
        <f t="shared" si="5"/>
        <v>4.6750000000000007</v>
      </c>
      <c r="AB55" s="431">
        <f t="shared" si="6"/>
        <v>42.016806722689076</v>
      </c>
      <c r="AC55" s="431">
        <f t="shared" si="3"/>
        <v>91.126025354213269</v>
      </c>
      <c r="AD55" s="427">
        <v>31</v>
      </c>
      <c r="AE55" s="431">
        <f t="shared" si="7"/>
        <v>3.4123250000000001</v>
      </c>
      <c r="AF55" s="449"/>
    </row>
    <row r="56" spans="1:32" x14ac:dyDescent="0.3">
      <c r="A56" s="427">
        <v>43</v>
      </c>
      <c r="B56" s="428" t="s">
        <v>105</v>
      </c>
      <c r="C56" s="427" t="s">
        <v>46</v>
      </c>
      <c r="D56" s="429">
        <v>678.58</v>
      </c>
      <c r="E56" s="427" t="s">
        <v>110</v>
      </c>
      <c r="F56" s="427">
        <v>177.8</v>
      </c>
      <c r="G56" s="427" t="s">
        <v>28</v>
      </c>
      <c r="H56" s="429" t="s">
        <v>52</v>
      </c>
      <c r="I56" s="423">
        <v>529.41</v>
      </c>
      <c r="J56" s="427">
        <v>0</v>
      </c>
      <c r="K56" s="427">
        <v>251</v>
      </c>
      <c r="L56" s="427"/>
      <c r="M56" s="427">
        <v>0.7</v>
      </c>
      <c r="N56" s="427"/>
      <c r="O56" s="427"/>
      <c r="P56" s="430">
        <v>49.678952920842846</v>
      </c>
      <c r="Q56" s="431">
        <f t="shared" si="9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4"/>
        <v>0</v>
      </c>
      <c r="Z56" s="431">
        <f t="shared" si="4"/>
        <v>0</v>
      </c>
      <c r="AA56" s="431">
        <f t="shared" si="5"/>
        <v>0</v>
      </c>
      <c r="AB56" s="431">
        <f t="shared" si="6"/>
        <v>0</v>
      </c>
      <c r="AC56" s="431">
        <f t="shared" si="3"/>
        <v>0</v>
      </c>
      <c r="AD56" s="427">
        <v>0</v>
      </c>
      <c r="AE56" s="431">
        <f t="shared" si="7"/>
        <v>0</v>
      </c>
      <c r="AF56" s="434" t="s">
        <v>215</v>
      </c>
    </row>
    <row r="57" spans="1:32" ht="15.75" customHeight="1" x14ac:dyDescent="0.3">
      <c r="A57" s="427">
        <v>44</v>
      </c>
      <c r="B57" s="428" t="s">
        <v>104</v>
      </c>
      <c r="C57" s="427" t="s">
        <v>46</v>
      </c>
      <c r="D57" s="429">
        <v>707.14</v>
      </c>
      <c r="E57" s="427" t="s">
        <v>231</v>
      </c>
      <c r="F57" s="427">
        <v>177.8</v>
      </c>
      <c r="G57" s="427" t="s">
        <v>28</v>
      </c>
      <c r="H57" s="429" t="s">
        <v>52</v>
      </c>
      <c r="I57" s="423">
        <v>555</v>
      </c>
      <c r="J57" s="427">
        <v>0</v>
      </c>
      <c r="K57" s="427">
        <v>388</v>
      </c>
      <c r="L57" s="427"/>
      <c r="M57" s="427">
        <v>18.2</v>
      </c>
      <c r="N57" s="427"/>
      <c r="O57" s="427"/>
      <c r="P57" s="430">
        <v>51.103439026099998</v>
      </c>
      <c r="Q57" s="431">
        <f t="shared" si="9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3">
        <v>0</v>
      </c>
      <c r="W57" s="432">
        <v>0</v>
      </c>
      <c r="X57" s="431">
        <f>IF(S57=0,0,S57/Q57)</f>
        <v>0</v>
      </c>
      <c r="Y57" s="431">
        <f t="shared" si="4"/>
        <v>0</v>
      </c>
      <c r="Z57" s="431">
        <f t="shared" si="4"/>
        <v>0</v>
      </c>
      <c r="AA57" s="431">
        <f t="shared" si="5"/>
        <v>0</v>
      </c>
      <c r="AB57" s="431">
        <f t="shared" si="6"/>
        <v>0</v>
      </c>
      <c r="AC57" s="431">
        <f t="shared" si="3"/>
        <v>0</v>
      </c>
      <c r="AD57" s="427">
        <v>0</v>
      </c>
      <c r="AE57" s="431">
        <f t="shared" si="7"/>
        <v>0</v>
      </c>
      <c r="AF57" s="434" t="s">
        <v>300</v>
      </c>
    </row>
    <row r="58" spans="1:32" ht="15.75" customHeight="1" x14ac:dyDescent="0.3">
      <c r="A58" s="427">
        <v>45</v>
      </c>
      <c r="B58" s="447" t="s">
        <v>158</v>
      </c>
      <c r="C58" s="427" t="s">
        <v>46</v>
      </c>
      <c r="D58" s="423">
        <v>674.45</v>
      </c>
      <c r="E58" s="423" t="s">
        <v>232</v>
      </c>
      <c r="F58" s="427">
        <v>177.8</v>
      </c>
      <c r="G58" s="427" t="s">
        <v>28</v>
      </c>
      <c r="H58" s="429" t="s">
        <v>52</v>
      </c>
      <c r="I58" s="423">
        <v>543.72</v>
      </c>
      <c r="J58" s="423">
        <v>160</v>
      </c>
      <c r="K58" s="423"/>
      <c r="L58" s="423">
        <v>458</v>
      </c>
      <c r="M58" s="423"/>
      <c r="N58" s="427">
        <v>8.1999999999999993</v>
      </c>
      <c r="O58" s="423"/>
      <c r="P58" s="448">
        <v>17.621435289736144</v>
      </c>
      <c r="Q58" s="431">
        <f t="shared" si="9"/>
        <v>35.200000000000003</v>
      </c>
      <c r="R58" s="432">
        <v>8.9139999999999997</v>
      </c>
      <c r="S58" s="431">
        <v>11.131</v>
      </c>
      <c r="T58" s="437">
        <v>234</v>
      </c>
      <c r="U58" s="431">
        <f t="shared" ref="U58:U64" si="12">T58/R58</f>
        <v>26.250841373120934</v>
      </c>
      <c r="V58" s="433">
        <f t="shared" si="8"/>
        <v>19.917347947174562</v>
      </c>
      <c r="W58" s="432">
        <v>0.4</v>
      </c>
      <c r="X58" s="431">
        <f t="shared" ref="X58:X74" si="13">S58/Q58</f>
        <v>0.31622159090909091</v>
      </c>
      <c r="Y58" s="431">
        <f t="shared" si="4"/>
        <v>8.2454499999999999</v>
      </c>
      <c r="Z58" s="431">
        <f t="shared" si="4"/>
        <v>10.296175</v>
      </c>
      <c r="AA58" s="431">
        <f t="shared" si="5"/>
        <v>218.79000000000002</v>
      </c>
      <c r="AB58" s="431">
        <f t="shared" si="6"/>
        <v>26.250841373120934</v>
      </c>
      <c r="AC58" s="431">
        <f t="shared" si="3"/>
        <v>19.917347947174562</v>
      </c>
      <c r="AD58" s="427">
        <v>31</v>
      </c>
      <c r="AE58" s="431">
        <f>Y58*AD58</f>
        <v>255.60894999999999</v>
      </c>
      <c r="AF58" s="458"/>
    </row>
    <row r="59" spans="1:32" ht="15.75" customHeight="1" x14ac:dyDescent="0.3">
      <c r="A59" s="427">
        <v>46</v>
      </c>
      <c r="B59" s="447" t="s">
        <v>160</v>
      </c>
      <c r="C59" s="427" t="s">
        <v>304</v>
      </c>
      <c r="D59" s="423">
        <v>677.33</v>
      </c>
      <c r="E59" s="423" t="s">
        <v>315</v>
      </c>
      <c r="F59" s="427">
        <v>177.8</v>
      </c>
      <c r="G59" s="427" t="s">
        <v>28</v>
      </c>
      <c r="H59" s="429" t="s">
        <v>50</v>
      </c>
      <c r="I59" s="423">
        <v>619</v>
      </c>
      <c r="J59" s="423">
        <v>300</v>
      </c>
      <c r="K59" s="423"/>
      <c r="L59" s="427">
        <v>241</v>
      </c>
      <c r="M59" s="423"/>
      <c r="N59" s="427">
        <v>8.5</v>
      </c>
      <c r="O59" s="423"/>
      <c r="P59" s="448">
        <v>44.711591470817297</v>
      </c>
      <c r="Q59" s="431">
        <f t="shared" si="9"/>
        <v>18</v>
      </c>
      <c r="R59" s="432">
        <v>1.722</v>
      </c>
      <c r="S59" s="431">
        <v>13.104999999999999</v>
      </c>
      <c r="T59" s="437">
        <v>9</v>
      </c>
      <c r="U59" s="431">
        <f t="shared" si="12"/>
        <v>5.2264808362369335</v>
      </c>
      <c r="V59" s="433">
        <f t="shared" si="8"/>
        <v>86.859977107974061</v>
      </c>
      <c r="W59" s="432">
        <v>0.4</v>
      </c>
      <c r="X59" s="431">
        <f t="shared" si="13"/>
        <v>0.72805555555555546</v>
      </c>
      <c r="Y59" s="431">
        <f t="shared" si="4"/>
        <v>1.5928500000000001</v>
      </c>
      <c r="Z59" s="431">
        <f t="shared" si="4"/>
        <v>12.122124999999999</v>
      </c>
      <c r="AA59" s="431">
        <f t="shared" si="5"/>
        <v>8.4150000000000009</v>
      </c>
      <c r="AB59" s="431">
        <f t="shared" si="6"/>
        <v>5.2264808362369335</v>
      </c>
      <c r="AC59" s="431">
        <f t="shared" si="3"/>
        <v>86.859977107974061</v>
      </c>
      <c r="AD59" s="427">
        <v>31</v>
      </c>
      <c r="AE59" s="431">
        <f>Y59*AD59</f>
        <v>49.378350000000005</v>
      </c>
      <c r="AF59" s="434"/>
    </row>
    <row r="60" spans="1:32" ht="15.75" customHeight="1" x14ac:dyDescent="0.3">
      <c r="A60" s="427">
        <v>47</v>
      </c>
      <c r="B60" s="428" t="s">
        <v>164</v>
      </c>
      <c r="C60" s="427" t="s">
        <v>46</v>
      </c>
      <c r="D60" s="423">
        <v>678.47</v>
      </c>
      <c r="E60" s="423" t="s">
        <v>233</v>
      </c>
      <c r="F60" s="427">
        <v>177.8</v>
      </c>
      <c r="G60" s="427" t="s">
        <v>28</v>
      </c>
      <c r="H60" s="429" t="s">
        <v>48</v>
      </c>
      <c r="I60" s="423">
        <v>563.11</v>
      </c>
      <c r="J60" s="423">
        <v>130</v>
      </c>
      <c r="K60" s="423"/>
      <c r="L60" s="423">
        <v>409</v>
      </c>
      <c r="M60" s="423"/>
      <c r="N60" s="427">
        <v>2</v>
      </c>
      <c r="O60" s="423"/>
      <c r="P60" s="430">
        <v>17.848702825575263</v>
      </c>
      <c r="Q60" s="431">
        <f t="shared" si="9"/>
        <v>16.899999999999999</v>
      </c>
      <c r="R60" s="432">
        <v>4.7960000000000003</v>
      </c>
      <c r="S60" s="431">
        <v>5.3470000000000004</v>
      </c>
      <c r="T60" s="431">
        <v>10</v>
      </c>
      <c r="U60" s="431">
        <f t="shared" si="12"/>
        <v>2.085070892410342</v>
      </c>
      <c r="V60" s="433">
        <f t="shared" si="8"/>
        <v>10.304843837665983</v>
      </c>
      <c r="W60" s="432">
        <v>0.4</v>
      </c>
      <c r="X60" s="431">
        <f t="shared" si="13"/>
        <v>0.31639053254437877</v>
      </c>
      <c r="Y60" s="431">
        <f t="shared" si="4"/>
        <v>4.4363000000000001</v>
      </c>
      <c r="Z60" s="431">
        <f t="shared" si="4"/>
        <v>4.9459750000000007</v>
      </c>
      <c r="AA60" s="431">
        <f t="shared" si="5"/>
        <v>9.3500000000000014</v>
      </c>
      <c r="AB60" s="431">
        <f t="shared" si="6"/>
        <v>2.085070892410342</v>
      </c>
      <c r="AC60" s="431">
        <f t="shared" si="3"/>
        <v>10.304843837665983</v>
      </c>
      <c r="AD60" s="427">
        <v>31</v>
      </c>
      <c r="AE60" s="431">
        <f t="shared" ref="AE60:AE72" si="14">Y60*AD60</f>
        <v>137.52530000000002</v>
      </c>
      <c r="AF60" s="434"/>
    </row>
    <row r="61" spans="1:32" x14ac:dyDescent="0.3">
      <c r="A61" s="427">
        <v>48</v>
      </c>
      <c r="B61" s="428" t="s">
        <v>61</v>
      </c>
      <c r="C61" s="427" t="s">
        <v>46</v>
      </c>
      <c r="D61" s="429">
        <v>667.18</v>
      </c>
      <c r="E61" s="427" t="s">
        <v>96</v>
      </c>
      <c r="F61" s="427">
        <v>177.8</v>
      </c>
      <c r="G61" s="427" t="s">
        <v>28</v>
      </c>
      <c r="H61" s="429" t="s">
        <v>52</v>
      </c>
      <c r="I61" s="423">
        <v>534.21</v>
      </c>
      <c r="J61" s="427">
        <v>150</v>
      </c>
      <c r="K61" s="427"/>
      <c r="L61" s="427">
        <v>446</v>
      </c>
      <c r="M61" s="427"/>
      <c r="N61" s="427">
        <v>8.8000000000000007</v>
      </c>
      <c r="O61" s="427"/>
      <c r="P61" s="430">
        <v>19.256274859486226</v>
      </c>
      <c r="Q61" s="431">
        <f t="shared" si="9"/>
        <v>33</v>
      </c>
      <c r="R61" s="432">
        <v>9.8450000000000006</v>
      </c>
      <c r="S61" s="431">
        <v>13.534000000000001</v>
      </c>
      <c r="T61" s="431">
        <v>247</v>
      </c>
      <c r="U61" s="431">
        <f t="shared" si="12"/>
        <v>25.088877602844082</v>
      </c>
      <c r="V61" s="433">
        <f t="shared" si="8"/>
        <v>27.257277966602629</v>
      </c>
      <c r="W61" s="432">
        <v>0.3</v>
      </c>
      <c r="X61" s="431">
        <f t="shared" si="13"/>
        <v>0.41012121212121216</v>
      </c>
      <c r="Y61" s="431">
        <f t="shared" si="4"/>
        <v>9.1066250000000011</v>
      </c>
      <c r="Z61" s="431">
        <f t="shared" si="4"/>
        <v>12.518950000000002</v>
      </c>
      <c r="AA61" s="431">
        <f t="shared" si="5"/>
        <v>230.94500000000002</v>
      </c>
      <c r="AB61" s="431">
        <f t="shared" si="6"/>
        <v>25.088877602844082</v>
      </c>
      <c r="AC61" s="431">
        <v>67</v>
      </c>
      <c r="AD61" s="427">
        <v>31</v>
      </c>
      <c r="AE61" s="431">
        <f t="shared" si="14"/>
        <v>282.30537500000003</v>
      </c>
      <c r="AF61" s="449"/>
    </row>
    <row r="62" spans="1:32" x14ac:dyDescent="0.3">
      <c r="A62" s="427">
        <v>49</v>
      </c>
      <c r="B62" s="428" t="s">
        <v>64</v>
      </c>
      <c r="C62" s="427" t="s">
        <v>46</v>
      </c>
      <c r="D62" s="429">
        <v>672.5</v>
      </c>
      <c r="E62" s="427" t="s">
        <v>234</v>
      </c>
      <c r="F62" s="427">
        <v>177.8</v>
      </c>
      <c r="G62" s="427" t="s">
        <v>28</v>
      </c>
      <c r="H62" s="429" t="s">
        <v>49</v>
      </c>
      <c r="I62" s="423">
        <v>533.70000000000005</v>
      </c>
      <c r="J62" s="427">
        <v>360</v>
      </c>
      <c r="K62" s="427"/>
      <c r="L62" s="427">
        <v>451</v>
      </c>
      <c r="M62" s="427"/>
      <c r="N62" s="427">
        <v>9.6</v>
      </c>
      <c r="O62" s="427"/>
      <c r="P62" s="430">
        <v>19.890507864672127</v>
      </c>
      <c r="Q62" s="431">
        <f t="shared" si="9"/>
        <v>115.2</v>
      </c>
      <c r="R62" s="432">
        <v>13.058999999999999</v>
      </c>
      <c r="S62" s="431">
        <v>16.608000000000001</v>
      </c>
      <c r="T62" s="431">
        <v>2189</v>
      </c>
      <c r="U62" s="431">
        <f t="shared" si="12"/>
        <v>167.62386093881616</v>
      </c>
      <c r="V62" s="433">
        <f t="shared" si="8"/>
        <v>21.369219653179197</v>
      </c>
      <c r="W62" s="432">
        <v>0.3</v>
      </c>
      <c r="X62" s="431">
        <f t="shared" si="13"/>
        <v>0.14416666666666667</v>
      </c>
      <c r="Y62" s="431">
        <f t="shared" si="4"/>
        <v>12.079575</v>
      </c>
      <c r="Z62" s="431">
        <f t="shared" si="4"/>
        <v>15.362400000000001</v>
      </c>
      <c r="AA62" s="431">
        <f t="shared" si="5"/>
        <v>2046.7150000000001</v>
      </c>
      <c r="AB62" s="431">
        <f t="shared" si="6"/>
        <v>167.62386093881616</v>
      </c>
      <c r="AC62" s="431">
        <f t="shared" si="3"/>
        <v>21.369219653179197</v>
      </c>
      <c r="AD62" s="427">
        <v>31</v>
      </c>
      <c r="AE62" s="431">
        <f t="shared" si="14"/>
        <v>374.46682500000003</v>
      </c>
      <c r="AF62" s="439"/>
    </row>
    <row r="63" spans="1:32" x14ac:dyDescent="0.3">
      <c r="A63" s="427">
        <v>50</v>
      </c>
      <c r="B63" s="428" t="s">
        <v>156</v>
      </c>
      <c r="C63" s="427" t="s">
        <v>46</v>
      </c>
      <c r="D63" s="429">
        <v>679.54</v>
      </c>
      <c r="E63" s="427" t="s">
        <v>166</v>
      </c>
      <c r="F63" s="427">
        <v>177.8</v>
      </c>
      <c r="G63" s="427" t="s">
        <v>28</v>
      </c>
      <c r="H63" s="429" t="s">
        <v>52</v>
      </c>
      <c r="I63" s="423">
        <v>530.98</v>
      </c>
      <c r="J63" s="427">
        <v>165</v>
      </c>
      <c r="K63" s="427"/>
      <c r="L63" s="427">
        <v>443</v>
      </c>
      <c r="M63" s="427"/>
      <c r="N63" s="427">
        <v>8</v>
      </c>
      <c r="O63" s="427"/>
      <c r="P63" s="430">
        <v>18.804619100595872</v>
      </c>
      <c r="Q63" s="431">
        <f t="shared" si="9"/>
        <v>36.299999999999997</v>
      </c>
      <c r="R63" s="432">
        <v>8.2539999999999996</v>
      </c>
      <c r="S63" s="431">
        <v>11.882</v>
      </c>
      <c r="T63" s="431">
        <v>174</v>
      </c>
      <c r="U63" s="431">
        <f t="shared" si="12"/>
        <v>21.080688151199421</v>
      </c>
      <c r="V63" s="433">
        <f t="shared" si="8"/>
        <v>30.533580205352635</v>
      </c>
      <c r="W63" s="432">
        <v>0.3</v>
      </c>
      <c r="X63" s="431">
        <f t="shared" si="13"/>
        <v>0.32732782369146007</v>
      </c>
      <c r="Y63" s="431">
        <f t="shared" si="4"/>
        <v>7.6349499999999999</v>
      </c>
      <c r="Z63" s="431">
        <f t="shared" si="4"/>
        <v>10.99085</v>
      </c>
      <c r="AA63" s="431">
        <f t="shared" si="5"/>
        <v>162.69</v>
      </c>
      <c r="AB63" s="431">
        <f t="shared" si="6"/>
        <v>21.080688151199421</v>
      </c>
      <c r="AC63" s="431">
        <f t="shared" si="3"/>
        <v>30.533580205352635</v>
      </c>
      <c r="AD63" s="427">
        <v>31</v>
      </c>
      <c r="AE63" s="431">
        <f t="shared" si="14"/>
        <v>236.68344999999999</v>
      </c>
      <c r="AF63" s="439"/>
    </row>
    <row r="64" spans="1:32" x14ac:dyDescent="0.3">
      <c r="A64" s="427">
        <v>51</v>
      </c>
      <c r="B64" s="428" t="s">
        <v>169</v>
      </c>
      <c r="C64" s="427" t="s">
        <v>46</v>
      </c>
      <c r="D64" s="429">
        <v>673</v>
      </c>
      <c r="E64" s="427" t="s">
        <v>170</v>
      </c>
      <c r="F64" s="427">
        <v>177.8</v>
      </c>
      <c r="G64" s="427" t="s">
        <v>28</v>
      </c>
      <c r="H64" s="429" t="s">
        <v>52</v>
      </c>
      <c r="I64" s="423">
        <v>541.48</v>
      </c>
      <c r="J64" s="427">
        <v>125</v>
      </c>
      <c r="K64" s="427"/>
      <c r="L64" s="427">
        <v>412</v>
      </c>
      <c r="M64" s="427"/>
      <c r="N64" s="427">
        <v>7.8</v>
      </c>
      <c r="O64" s="427"/>
      <c r="P64" s="430">
        <v>22.742419408681144</v>
      </c>
      <c r="Q64" s="431">
        <f t="shared" si="9"/>
        <v>27.5</v>
      </c>
      <c r="R64" s="432">
        <v>3.8290000000000002</v>
      </c>
      <c r="S64" s="431">
        <v>5.5049999999999999</v>
      </c>
      <c r="T64" s="431">
        <v>28</v>
      </c>
      <c r="U64" s="431">
        <f t="shared" si="12"/>
        <v>7.3126142595978063</v>
      </c>
      <c r="V64" s="433">
        <f t="shared" si="8"/>
        <v>30.445049954586732</v>
      </c>
      <c r="W64" s="432">
        <v>0.5</v>
      </c>
      <c r="X64" s="431">
        <f t="shared" si="13"/>
        <v>0.20018181818181818</v>
      </c>
      <c r="Y64" s="431">
        <f t="shared" si="4"/>
        <v>3.5418250000000002</v>
      </c>
      <c r="Z64" s="431">
        <f t="shared" si="4"/>
        <v>5.0921250000000002</v>
      </c>
      <c r="AA64" s="431">
        <f t="shared" si="5"/>
        <v>26.18</v>
      </c>
      <c r="AB64" s="431">
        <f t="shared" si="6"/>
        <v>7.3126142595978063</v>
      </c>
      <c r="AC64" s="431">
        <f t="shared" si="3"/>
        <v>30.445049954586732</v>
      </c>
      <c r="AD64" s="427">
        <v>31</v>
      </c>
      <c r="AE64" s="431">
        <f>Y64*AD64</f>
        <v>109.796575</v>
      </c>
      <c r="AF64" s="439"/>
    </row>
    <row r="65" spans="1:32" x14ac:dyDescent="0.3">
      <c r="A65" s="427">
        <v>52</v>
      </c>
      <c r="B65" s="428" t="s">
        <v>62</v>
      </c>
      <c r="C65" s="427" t="s">
        <v>46</v>
      </c>
      <c r="D65" s="429">
        <v>673.73</v>
      </c>
      <c r="E65" s="427" t="s">
        <v>97</v>
      </c>
      <c r="F65" s="427">
        <v>177.8</v>
      </c>
      <c r="G65" s="427" t="s">
        <v>28</v>
      </c>
      <c r="H65" s="429" t="s">
        <v>218</v>
      </c>
      <c r="I65" s="423">
        <v>543</v>
      </c>
      <c r="J65" s="427">
        <v>130</v>
      </c>
      <c r="K65" s="427"/>
      <c r="L65" s="427">
        <v>443</v>
      </c>
      <c r="M65" s="427"/>
      <c r="N65" s="427">
        <v>4</v>
      </c>
      <c r="O65" s="427"/>
      <c r="P65" s="430">
        <v>15.455469603251274</v>
      </c>
      <c r="Q65" s="431">
        <f t="shared" si="9"/>
        <v>41.6</v>
      </c>
      <c r="R65" s="432">
        <v>8.8140000000000001</v>
      </c>
      <c r="S65" s="431">
        <v>12.670999999999999</v>
      </c>
      <c r="T65" s="431">
        <v>206</v>
      </c>
      <c r="U65" s="431">
        <f t="shared" si="1"/>
        <v>23.371908327660538</v>
      </c>
      <c r="V65" s="433">
        <f t="shared" si="8"/>
        <v>30.439586457264618</v>
      </c>
      <c r="W65" s="432">
        <v>0.3</v>
      </c>
      <c r="X65" s="431">
        <f t="shared" si="13"/>
        <v>0.30459134615384614</v>
      </c>
      <c r="Y65" s="431">
        <f t="shared" si="4"/>
        <v>8.1529500000000006</v>
      </c>
      <c r="Z65" s="431">
        <f t="shared" si="4"/>
        <v>11.720675</v>
      </c>
      <c r="AA65" s="431">
        <f t="shared" si="5"/>
        <v>192.61</v>
      </c>
      <c r="AB65" s="431">
        <f t="shared" si="6"/>
        <v>23.371908327660538</v>
      </c>
      <c r="AC65" s="431">
        <f t="shared" si="3"/>
        <v>30.439586457264618</v>
      </c>
      <c r="AD65" s="427">
        <v>31</v>
      </c>
      <c r="AE65" s="431">
        <f t="shared" si="14"/>
        <v>252.74145000000001</v>
      </c>
      <c r="AF65" s="434"/>
    </row>
    <row r="66" spans="1:32" x14ac:dyDescent="0.3">
      <c r="A66" s="427">
        <v>53</v>
      </c>
      <c r="B66" s="428" t="s">
        <v>157</v>
      </c>
      <c r="C66" s="427" t="s">
        <v>46</v>
      </c>
      <c r="D66" s="429">
        <v>676.73</v>
      </c>
      <c r="E66" s="427" t="s">
        <v>179</v>
      </c>
      <c r="F66" s="427">
        <v>177.8</v>
      </c>
      <c r="G66" s="427" t="s">
        <v>28</v>
      </c>
      <c r="H66" s="429" t="s">
        <v>218</v>
      </c>
      <c r="I66" s="423">
        <v>579.14</v>
      </c>
      <c r="J66" s="427">
        <v>160</v>
      </c>
      <c r="K66" s="427"/>
      <c r="L66" s="427">
        <v>170</v>
      </c>
      <c r="M66" s="427"/>
      <c r="N66" s="427">
        <v>9.3000000000000007</v>
      </c>
      <c r="O66" s="427"/>
      <c r="P66" s="430">
        <v>46.269513794276861</v>
      </c>
      <c r="Q66" s="431">
        <f t="shared" si="9"/>
        <v>51.2</v>
      </c>
      <c r="R66" s="432">
        <v>15.340999999999999</v>
      </c>
      <c r="S66" s="431">
        <v>40.301000000000002</v>
      </c>
      <c r="T66" s="431">
        <v>296</v>
      </c>
      <c r="U66" s="431">
        <f t="shared" si="1"/>
        <v>19.294700475849034</v>
      </c>
      <c r="V66" s="433">
        <f t="shared" si="8"/>
        <v>61.93394704846034</v>
      </c>
      <c r="W66" s="432">
        <v>0.4</v>
      </c>
      <c r="X66" s="431">
        <f t="shared" si="13"/>
        <v>0.78712890624999998</v>
      </c>
      <c r="Y66" s="431">
        <f t="shared" si="4"/>
        <v>14.190424999999999</v>
      </c>
      <c r="Z66" s="431">
        <f t="shared" si="4"/>
        <v>37.278425000000006</v>
      </c>
      <c r="AA66" s="431">
        <f t="shared" si="5"/>
        <v>276.76</v>
      </c>
      <c r="AB66" s="431">
        <f t="shared" si="6"/>
        <v>19.294700475849034</v>
      </c>
      <c r="AC66" s="431">
        <v>30</v>
      </c>
      <c r="AD66" s="427">
        <v>31</v>
      </c>
      <c r="AE66" s="431">
        <f t="shared" si="14"/>
        <v>439.90317499999998</v>
      </c>
      <c r="AF66" s="459"/>
    </row>
    <row r="67" spans="1:32" x14ac:dyDescent="0.3">
      <c r="A67" s="427">
        <v>54</v>
      </c>
      <c r="B67" s="428" t="s">
        <v>159</v>
      </c>
      <c r="C67" s="427" t="s">
        <v>46</v>
      </c>
      <c r="D67" s="429">
        <v>676</v>
      </c>
      <c r="E67" s="427" t="s">
        <v>167</v>
      </c>
      <c r="F67" s="427">
        <v>177.8</v>
      </c>
      <c r="G67" s="427" t="s">
        <v>28</v>
      </c>
      <c r="H67" s="429" t="s">
        <v>218</v>
      </c>
      <c r="I67" s="423">
        <v>508.57</v>
      </c>
      <c r="J67" s="427">
        <v>200</v>
      </c>
      <c r="K67" s="427"/>
      <c r="L67" s="427">
        <v>326</v>
      </c>
      <c r="M67" s="427"/>
      <c r="N67" s="427">
        <v>9.3000000000000007</v>
      </c>
      <c r="O67" s="427"/>
      <c r="P67" s="430">
        <v>26.65971042709576</v>
      </c>
      <c r="Q67" s="431">
        <f t="shared" si="9"/>
        <v>64</v>
      </c>
      <c r="R67" s="432">
        <v>37.134999999999998</v>
      </c>
      <c r="S67" s="431">
        <v>39.78</v>
      </c>
      <c r="T67" s="431">
        <v>935</v>
      </c>
      <c r="U67" s="431">
        <f t="shared" si="1"/>
        <v>25.178403123737716</v>
      </c>
      <c r="V67" s="433">
        <f t="shared" si="8"/>
        <v>6.6490698843640104</v>
      </c>
      <c r="W67" s="432">
        <v>0.3</v>
      </c>
      <c r="X67" s="431">
        <f t="shared" si="13"/>
        <v>0.62156250000000002</v>
      </c>
      <c r="Y67" s="431">
        <f t="shared" si="4"/>
        <v>34.349874999999997</v>
      </c>
      <c r="Z67" s="431">
        <f t="shared" si="4"/>
        <v>36.796500000000002</v>
      </c>
      <c r="AA67" s="431">
        <f t="shared" si="5"/>
        <v>874.22500000000002</v>
      </c>
      <c r="AB67" s="431">
        <f t="shared" si="6"/>
        <v>25.178403123737716</v>
      </c>
      <c r="AC67" s="431">
        <v>14.18</v>
      </c>
      <c r="AD67" s="427">
        <v>31</v>
      </c>
      <c r="AE67" s="431">
        <f t="shared" si="14"/>
        <v>1064.846125</v>
      </c>
      <c r="AF67" s="434"/>
    </row>
    <row r="68" spans="1:32" x14ac:dyDescent="0.3">
      <c r="A68" s="427">
        <v>55</v>
      </c>
      <c r="B68" s="428" t="s">
        <v>210</v>
      </c>
      <c r="C68" s="427" t="s">
        <v>46</v>
      </c>
      <c r="D68" s="429">
        <v>728.32</v>
      </c>
      <c r="E68" s="427" t="s">
        <v>226</v>
      </c>
      <c r="F68" s="427">
        <v>177.8</v>
      </c>
      <c r="G68" s="427" t="s">
        <v>28</v>
      </c>
      <c r="H68" s="429" t="s">
        <v>218</v>
      </c>
      <c r="I68" s="423">
        <v>519.38</v>
      </c>
      <c r="J68" s="427">
        <v>200</v>
      </c>
      <c r="K68" s="427"/>
      <c r="L68" s="427">
        <v>455</v>
      </c>
      <c r="M68" s="427"/>
      <c r="N68" s="427">
        <v>11.6</v>
      </c>
      <c r="O68" s="427"/>
      <c r="P68" s="430">
        <v>19.362310013925942</v>
      </c>
      <c r="Q68" s="431">
        <f t="shared" si="9"/>
        <v>64</v>
      </c>
      <c r="R68" s="432">
        <v>24.477</v>
      </c>
      <c r="S68" s="431">
        <v>25.957000000000001</v>
      </c>
      <c r="T68" s="431">
        <v>892</v>
      </c>
      <c r="U68" s="431">
        <f t="shared" si="1"/>
        <v>36.442374473995997</v>
      </c>
      <c r="V68" s="433">
        <f t="shared" si="8"/>
        <v>5.7017374889239916</v>
      </c>
      <c r="W68" s="432">
        <v>0.5</v>
      </c>
      <c r="X68" s="431">
        <f t="shared" si="13"/>
        <v>0.40557812500000001</v>
      </c>
      <c r="Y68" s="431">
        <f t="shared" si="4"/>
        <v>22.641225000000002</v>
      </c>
      <c r="Z68" s="431">
        <f t="shared" si="4"/>
        <v>24.010225000000002</v>
      </c>
      <c r="AA68" s="431">
        <f t="shared" si="5"/>
        <v>834.0200000000001</v>
      </c>
      <c r="AB68" s="431">
        <f t="shared" si="6"/>
        <v>36.442374473995997</v>
      </c>
      <c r="AC68" s="431">
        <f t="shared" si="3"/>
        <v>5.7017374889239916</v>
      </c>
      <c r="AD68" s="427">
        <v>31</v>
      </c>
      <c r="AE68" s="431">
        <f t="shared" si="14"/>
        <v>701.87797500000011</v>
      </c>
      <c r="AF68" s="439"/>
    </row>
    <row r="69" spans="1:32" x14ac:dyDescent="0.3">
      <c r="A69" s="427">
        <v>56</v>
      </c>
      <c r="B69" s="428" t="s">
        <v>63</v>
      </c>
      <c r="C69" s="427" t="s">
        <v>46</v>
      </c>
      <c r="D69" s="429">
        <v>672.99</v>
      </c>
      <c r="E69" s="427" t="s">
        <v>98</v>
      </c>
      <c r="F69" s="427">
        <v>177.8</v>
      </c>
      <c r="G69" s="427" t="s">
        <v>28</v>
      </c>
      <c r="H69" s="429" t="s">
        <v>310</v>
      </c>
      <c r="I69" s="423">
        <v>536.32000000000005</v>
      </c>
      <c r="J69" s="427">
        <v>100</v>
      </c>
      <c r="K69" s="427"/>
      <c r="L69" s="427">
        <v>453</v>
      </c>
      <c r="M69" s="427"/>
      <c r="N69" s="427">
        <v>8</v>
      </c>
      <c r="O69" s="427"/>
      <c r="P69" s="430">
        <v>10.253462843683195</v>
      </c>
      <c r="Q69" s="431">
        <f t="shared" si="9"/>
        <v>22</v>
      </c>
      <c r="R69" s="432">
        <v>14.5</v>
      </c>
      <c r="S69" s="431">
        <v>16.5</v>
      </c>
      <c r="T69" s="431">
        <v>1600</v>
      </c>
      <c r="U69" s="431">
        <f t="shared" si="1"/>
        <v>110.34482758620689</v>
      </c>
      <c r="V69" s="433">
        <f t="shared" si="8"/>
        <v>12.121212121212121</v>
      </c>
      <c r="W69" s="432">
        <v>0.6</v>
      </c>
      <c r="X69" s="431">
        <f t="shared" si="13"/>
        <v>0.75</v>
      </c>
      <c r="Y69" s="431">
        <f t="shared" si="4"/>
        <v>13.412500000000001</v>
      </c>
      <c r="Z69" s="431">
        <f t="shared" si="4"/>
        <v>15.262500000000001</v>
      </c>
      <c r="AA69" s="431">
        <f t="shared" si="5"/>
        <v>1496</v>
      </c>
      <c r="AB69" s="431">
        <f t="shared" si="6"/>
        <v>110.34482758620689</v>
      </c>
      <c r="AC69" s="431">
        <f t="shared" si="3"/>
        <v>12.121212121212121</v>
      </c>
      <c r="AD69" s="427">
        <v>31</v>
      </c>
      <c r="AE69" s="431">
        <f t="shared" si="14"/>
        <v>415.78750000000002</v>
      </c>
      <c r="AF69" s="439"/>
    </row>
    <row r="70" spans="1:32" x14ac:dyDescent="0.3">
      <c r="A70" s="427">
        <v>57</v>
      </c>
      <c r="B70" s="428" t="s">
        <v>217</v>
      </c>
      <c r="C70" s="427" t="s">
        <v>46</v>
      </c>
      <c r="D70" s="429">
        <v>684.57</v>
      </c>
      <c r="E70" s="427" t="s">
        <v>223</v>
      </c>
      <c r="F70" s="427">
        <v>177.8</v>
      </c>
      <c r="G70" s="427" t="s">
        <v>28</v>
      </c>
      <c r="H70" s="429" t="s">
        <v>219</v>
      </c>
      <c r="I70" s="423">
        <v>553.94000000000005</v>
      </c>
      <c r="J70" s="427">
        <v>85</v>
      </c>
      <c r="K70" s="427"/>
      <c r="L70" s="427">
        <v>253</v>
      </c>
      <c r="M70" s="427"/>
      <c r="N70" s="427">
        <v>9.1</v>
      </c>
      <c r="O70" s="427"/>
      <c r="P70" s="430">
        <v>41.323215609635575</v>
      </c>
      <c r="Q70" s="431">
        <f t="shared" si="9"/>
        <v>10.199999999999999</v>
      </c>
      <c r="R70" s="432">
        <v>0.54300000000000004</v>
      </c>
      <c r="S70" s="431">
        <v>7.7080000000000002</v>
      </c>
      <c r="T70" s="431">
        <v>9</v>
      </c>
      <c r="U70" s="431">
        <f t="shared" si="1"/>
        <v>16.574585635359114</v>
      </c>
      <c r="V70" s="433">
        <f t="shared" si="8"/>
        <v>92.955371043072134</v>
      </c>
      <c r="W70" s="432">
        <v>0.8</v>
      </c>
      <c r="X70" s="431">
        <f t="shared" si="13"/>
        <v>0.75568627450980397</v>
      </c>
      <c r="Y70" s="431">
        <f t="shared" si="4"/>
        <v>0.50227500000000003</v>
      </c>
      <c r="Z70" s="431">
        <f t="shared" si="4"/>
        <v>7.1299000000000001</v>
      </c>
      <c r="AA70" s="431">
        <f t="shared" si="5"/>
        <v>8.4150000000000009</v>
      </c>
      <c r="AB70" s="431">
        <v>0</v>
      </c>
      <c r="AC70" s="431">
        <f t="shared" si="3"/>
        <v>92.955371043072134</v>
      </c>
      <c r="AD70" s="427">
        <v>31</v>
      </c>
      <c r="AE70" s="431">
        <f t="shared" si="14"/>
        <v>15.570525</v>
      </c>
      <c r="AF70" s="439"/>
    </row>
    <row r="71" spans="1:32" x14ac:dyDescent="0.3">
      <c r="A71" s="427">
        <v>58</v>
      </c>
      <c r="B71" s="428" t="s">
        <v>211</v>
      </c>
      <c r="C71" s="427" t="s">
        <v>46</v>
      </c>
      <c r="D71" s="429">
        <v>683.16</v>
      </c>
      <c r="E71" s="427" t="s">
        <v>224</v>
      </c>
      <c r="F71" s="427">
        <v>177.8</v>
      </c>
      <c r="G71" s="427" t="s">
        <v>28</v>
      </c>
      <c r="H71" s="429" t="s">
        <v>52</v>
      </c>
      <c r="I71" s="423">
        <v>560.29</v>
      </c>
      <c r="J71" s="427">
        <v>110</v>
      </c>
      <c r="K71" s="427"/>
      <c r="L71" s="427">
        <v>436</v>
      </c>
      <c r="M71" s="427"/>
      <c r="N71" s="427">
        <v>3.1</v>
      </c>
      <c r="O71" s="427"/>
      <c r="P71" s="430">
        <v>16.018900729669539</v>
      </c>
      <c r="Q71" s="431">
        <f t="shared" si="9"/>
        <v>24.2</v>
      </c>
      <c r="R71" s="432">
        <v>4.57</v>
      </c>
      <c r="S71" s="431">
        <v>4.6890000000000001</v>
      </c>
      <c r="T71" s="431">
        <v>54</v>
      </c>
      <c r="U71" s="431">
        <f t="shared" si="1"/>
        <v>11.816192560175054</v>
      </c>
      <c r="V71" s="433">
        <f t="shared" si="8"/>
        <v>2.5378545532096348</v>
      </c>
      <c r="W71" s="432">
        <v>0.3</v>
      </c>
      <c r="X71" s="431">
        <f t="shared" si="13"/>
        <v>0.19376033057851241</v>
      </c>
      <c r="Y71" s="431">
        <f t="shared" si="4"/>
        <v>4.2272500000000006</v>
      </c>
      <c r="Z71" s="431">
        <f t="shared" si="4"/>
        <v>4.3373249999999999</v>
      </c>
      <c r="AA71" s="431">
        <f t="shared" si="5"/>
        <v>50.49</v>
      </c>
      <c r="AB71" s="431">
        <f t="shared" si="6"/>
        <v>11.816192560175054</v>
      </c>
      <c r="AC71" s="431">
        <f t="shared" si="3"/>
        <v>2.5378545532096348</v>
      </c>
      <c r="AD71" s="427">
        <v>31</v>
      </c>
      <c r="AE71" s="431">
        <f t="shared" si="14"/>
        <v>131.04475000000002</v>
      </c>
      <c r="AF71" s="439"/>
    </row>
    <row r="72" spans="1:32" x14ac:dyDescent="0.3">
      <c r="A72" s="427">
        <v>59</v>
      </c>
      <c r="B72" s="428" t="s">
        <v>213</v>
      </c>
      <c r="C72" s="427" t="s">
        <v>46</v>
      </c>
      <c r="D72" s="429">
        <v>679.2</v>
      </c>
      <c r="E72" s="460" t="s">
        <v>225</v>
      </c>
      <c r="F72" s="427">
        <v>177.8</v>
      </c>
      <c r="G72" s="427" t="s">
        <v>28</v>
      </c>
      <c r="H72" s="429" t="s">
        <v>48</v>
      </c>
      <c r="I72" s="423">
        <v>559.19000000000005</v>
      </c>
      <c r="J72" s="427">
        <v>100</v>
      </c>
      <c r="K72" s="427"/>
      <c r="L72" s="427">
        <v>479</v>
      </c>
      <c r="M72" s="427"/>
      <c r="N72" s="427">
        <v>3.1</v>
      </c>
      <c r="O72" s="427"/>
      <c r="P72" s="430">
        <v>12.410365873755001</v>
      </c>
      <c r="Q72" s="431">
        <f t="shared" si="9"/>
        <v>13</v>
      </c>
      <c r="R72" s="432">
        <v>2.9180000000000001</v>
      </c>
      <c r="S72" s="431">
        <v>4.6610000000000005</v>
      </c>
      <c r="T72" s="431">
        <v>9</v>
      </c>
      <c r="U72" s="431">
        <f t="shared" si="1"/>
        <v>3.084304318026045</v>
      </c>
      <c r="V72" s="433">
        <f t="shared" si="8"/>
        <v>37.395408710577129</v>
      </c>
      <c r="W72" s="432">
        <v>0.3</v>
      </c>
      <c r="X72" s="431">
        <f t="shared" si="13"/>
        <v>0.35853846153846158</v>
      </c>
      <c r="Y72" s="431">
        <f t="shared" si="4"/>
        <v>2.6991500000000004</v>
      </c>
      <c r="Z72" s="431">
        <f t="shared" si="4"/>
        <v>4.3114250000000007</v>
      </c>
      <c r="AA72" s="431">
        <f t="shared" si="5"/>
        <v>8.4150000000000009</v>
      </c>
      <c r="AB72" s="431">
        <f t="shared" si="6"/>
        <v>3.084304318026045</v>
      </c>
      <c r="AC72" s="431">
        <f t="shared" si="3"/>
        <v>37.395408710577129</v>
      </c>
      <c r="AD72" s="427">
        <v>31</v>
      </c>
      <c r="AE72" s="431">
        <f t="shared" si="14"/>
        <v>83.673650000000009</v>
      </c>
      <c r="AF72" s="439"/>
    </row>
    <row r="73" spans="1:32" x14ac:dyDescent="0.3">
      <c r="A73" s="427">
        <v>60</v>
      </c>
      <c r="B73" s="428" t="s">
        <v>172</v>
      </c>
      <c r="C73" s="427" t="s">
        <v>46</v>
      </c>
      <c r="D73" s="429">
        <v>673</v>
      </c>
      <c r="E73" s="427" t="s">
        <v>173</v>
      </c>
      <c r="F73" s="427">
        <v>177.8</v>
      </c>
      <c r="G73" s="427" t="s">
        <v>28</v>
      </c>
      <c r="H73" s="429" t="s">
        <v>50</v>
      </c>
      <c r="I73" s="423">
        <v>560.79</v>
      </c>
      <c r="J73" s="427">
        <v>180</v>
      </c>
      <c r="K73" s="427"/>
      <c r="L73" s="427">
        <v>360</v>
      </c>
      <c r="M73" s="427"/>
      <c r="N73" s="427">
        <v>7.9</v>
      </c>
      <c r="O73" s="427"/>
      <c r="P73" s="448">
        <v>28.772034403065341</v>
      </c>
      <c r="Q73" s="431">
        <f>LEFT(H73,(FIND("K",H73,1)-1))*J73/100</f>
        <v>10.8</v>
      </c>
      <c r="R73" s="432">
        <v>0.92200000000000004</v>
      </c>
      <c r="S73" s="431">
        <v>3.49</v>
      </c>
      <c r="T73" s="431">
        <v>6</v>
      </c>
      <c r="U73" s="431">
        <f t="shared" si="1"/>
        <v>6.5075921908893708</v>
      </c>
      <c r="V73" s="433">
        <f t="shared" si="8"/>
        <v>73.581661891117477</v>
      </c>
      <c r="W73" s="432">
        <v>0.5</v>
      </c>
      <c r="X73" s="431">
        <f t="shared" si="13"/>
        <v>0.32314814814814813</v>
      </c>
      <c r="Y73" s="431">
        <f t="shared" si="4"/>
        <v>0.85285000000000011</v>
      </c>
      <c r="Z73" s="431">
        <f t="shared" si="4"/>
        <v>3.2282500000000005</v>
      </c>
      <c r="AA73" s="431">
        <f t="shared" si="5"/>
        <v>5.61</v>
      </c>
      <c r="AB73" s="431">
        <f t="shared" si="6"/>
        <v>6.5075921908893708</v>
      </c>
      <c r="AC73" s="431">
        <f t="shared" si="3"/>
        <v>73.581661891117477</v>
      </c>
      <c r="AD73" s="427">
        <v>31</v>
      </c>
      <c r="AE73" s="431">
        <f>Y73*AD73</f>
        <v>26.438350000000003</v>
      </c>
      <c r="AF73" s="439"/>
    </row>
    <row r="74" spans="1:32" ht="15.75" customHeight="1" x14ac:dyDescent="0.3">
      <c r="A74" s="427">
        <v>61</v>
      </c>
      <c r="B74" s="461" t="s">
        <v>171</v>
      </c>
      <c r="C74" s="427" t="s">
        <v>46</v>
      </c>
      <c r="D74" s="423">
        <v>646</v>
      </c>
      <c r="E74" s="423" t="s">
        <v>191</v>
      </c>
      <c r="F74" s="427">
        <v>177.8</v>
      </c>
      <c r="G74" s="427" t="s">
        <v>28</v>
      </c>
      <c r="H74" s="429" t="s">
        <v>48</v>
      </c>
      <c r="I74" s="423">
        <v>570.15</v>
      </c>
      <c r="J74" s="423">
        <v>100</v>
      </c>
      <c r="K74" s="423"/>
      <c r="L74" s="423">
        <v>247</v>
      </c>
      <c r="M74" s="423"/>
      <c r="N74" s="427">
        <v>8.5</v>
      </c>
      <c r="O74" s="423"/>
      <c r="P74" s="430">
        <v>41.559115900322851</v>
      </c>
      <c r="Q74" s="437">
        <f>LEFT(H74,(FIND("K",H74,1)-1))*J74/100</f>
        <v>13</v>
      </c>
      <c r="R74" s="432">
        <v>0.50800000000000001</v>
      </c>
      <c r="S74" s="431">
        <v>1.9470000000000001</v>
      </c>
      <c r="T74" s="437">
        <v>0</v>
      </c>
      <c r="U74" s="431">
        <f t="shared" si="1"/>
        <v>0</v>
      </c>
      <c r="V74" s="433">
        <f t="shared" si="8"/>
        <v>73.908577298407806</v>
      </c>
      <c r="W74" s="432">
        <v>0.4</v>
      </c>
      <c r="X74" s="431">
        <f t="shared" si="13"/>
        <v>0.14976923076923077</v>
      </c>
      <c r="Y74" s="431">
        <f t="shared" si="4"/>
        <v>0.46990000000000004</v>
      </c>
      <c r="Z74" s="431">
        <f t="shared" si="4"/>
        <v>1.8009750000000002</v>
      </c>
      <c r="AA74" s="431">
        <f t="shared" si="5"/>
        <v>0</v>
      </c>
      <c r="AB74" s="431">
        <f t="shared" si="6"/>
        <v>0</v>
      </c>
      <c r="AC74" s="431">
        <f t="shared" si="3"/>
        <v>73.908577298407806</v>
      </c>
      <c r="AD74" s="427">
        <v>31</v>
      </c>
      <c r="AE74" s="431">
        <f>Y74*AD74</f>
        <v>14.5669</v>
      </c>
      <c r="AF74" s="434"/>
    </row>
    <row r="75" spans="1:32" ht="22.15" customHeight="1" x14ac:dyDescent="0.3">
      <c r="A75" s="427"/>
      <c r="B75" s="463"/>
      <c r="C75" s="464"/>
      <c r="D75" s="465"/>
      <c r="E75" s="447"/>
      <c r="F75" s="427"/>
      <c r="G75" s="427"/>
      <c r="H75" s="429"/>
      <c r="I75" s="423"/>
      <c r="J75" s="423"/>
      <c r="K75" s="423"/>
      <c r="L75" s="423"/>
      <c r="M75" s="423"/>
      <c r="N75" s="427"/>
      <c r="O75" s="423"/>
      <c r="P75" s="430"/>
      <c r="Q75" s="437"/>
      <c r="R75" s="466">
        <f>SUM(R14:R74)</f>
        <v>364.18599999999998</v>
      </c>
      <c r="S75" s="467">
        <f>SUM(S14:S74)</f>
        <v>589.678</v>
      </c>
      <c r="T75" s="512">
        <f>SUM(T14:T74)</f>
        <v>18332</v>
      </c>
      <c r="U75" s="467">
        <f>T75/R75</f>
        <v>50.336915751841097</v>
      </c>
      <c r="V75" s="468"/>
      <c r="W75" s="466"/>
      <c r="X75" s="467"/>
      <c r="Y75" s="467">
        <f>SUM(Y14:Y74)</f>
        <v>336.87205000000006</v>
      </c>
      <c r="Z75" s="467">
        <f>SUM(Z14:Z74)</f>
        <v>545.45214999999996</v>
      </c>
      <c r="AA75" s="481">
        <f>SUM(AA14:AA74)</f>
        <v>17140.420000000009</v>
      </c>
      <c r="AB75" s="467">
        <f>AA75/Y75</f>
        <v>50.881098624833989</v>
      </c>
      <c r="AC75" s="467"/>
      <c r="AD75" s="438"/>
      <c r="AE75" s="467">
        <f>SUM(AE14:AE74)</f>
        <v>10443.033549999998</v>
      </c>
      <c r="AF75" s="434"/>
    </row>
    <row r="76" spans="1:32" x14ac:dyDescent="0.3">
      <c r="A76" s="427"/>
      <c r="B76" s="1905"/>
      <c r="C76" s="1906"/>
      <c r="D76" s="1906"/>
      <c r="E76" s="1906"/>
      <c r="F76" s="428"/>
      <c r="G76" s="427"/>
      <c r="H76" s="429"/>
      <c r="I76" s="429"/>
      <c r="J76" s="423"/>
      <c r="K76" s="423"/>
      <c r="L76" s="423"/>
      <c r="M76" s="423"/>
      <c r="N76" s="423"/>
      <c r="O76" s="423"/>
      <c r="P76" s="448"/>
      <c r="Q76" s="437"/>
      <c r="R76" s="423"/>
      <c r="S76" s="423"/>
      <c r="T76" s="423"/>
      <c r="U76" s="422"/>
      <c r="V76" s="422"/>
      <c r="W76" s="422"/>
      <c r="X76" s="422"/>
      <c r="Y76" s="473"/>
      <c r="Z76" s="474"/>
      <c r="AA76" s="470"/>
      <c r="AB76" s="422"/>
      <c r="AC76" s="423"/>
      <c r="AD76" s="427"/>
      <c r="AE76" s="431"/>
      <c r="AF76" s="434"/>
    </row>
    <row r="77" spans="1:32" x14ac:dyDescent="0.3">
      <c r="A77" s="475"/>
      <c r="B77" s="1900" t="s">
        <v>277</v>
      </c>
      <c r="C77" s="1901"/>
      <c r="D77" s="1901"/>
      <c r="E77" s="1901"/>
      <c r="F77" s="1902"/>
      <c r="G77" s="422"/>
      <c r="H77" s="470"/>
      <c r="I77" s="470"/>
      <c r="J77" s="423"/>
      <c r="K77" s="423"/>
      <c r="L77" s="423"/>
      <c r="M77" s="423"/>
      <c r="N77" s="423"/>
      <c r="O77" s="423"/>
      <c r="P77" s="448"/>
      <c r="Q77" s="437"/>
      <c r="R77" s="423"/>
      <c r="S77" s="437"/>
      <c r="T77" s="423"/>
      <c r="U77" s="422"/>
      <c r="V77" s="422"/>
      <c r="W77" s="422"/>
      <c r="X77" s="421"/>
      <c r="Y77" s="423"/>
      <c r="Z77" s="423"/>
      <c r="AA77" s="423"/>
      <c r="AB77" s="422"/>
      <c r="AC77" s="422"/>
      <c r="AD77" s="423"/>
      <c r="AE77" s="423"/>
      <c r="AF77" s="470"/>
    </row>
    <row r="78" spans="1:32" ht="15.75" customHeight="1" x14ac:dyDescent="0.3">
      <c r="A78" s="476">
        <v>62</v>
      </c>
      <c r="B78" s="427" t="s">
        <v>131</v>
      </c>
      <c r="C78" s="476" t="s">
        <v>313</v>
      </c>
      <c r="D78" s="429">
        <v>389.74</v>
      </c>
      <c r="E78" s="477" t="s">
        <v>136</v>
      </c>
      <c r="F78" s="427">
        <v>177.8</v>
      </c>
      <c r="G78" s="427" t="s">
        <v>28</v>
      </c>
      <c r="H78" s="429" t="s">
        <v>58</v>
      </c>
      <c r="I78" s="423">
        <v>142.80000000000001</v>
      </c>
      <c r="J78" s="427">
        <v>180</v>
      </c>
      <c r="K78" s="427"/>
      <c r="L78" s="427">
        <v>22</v>
      </c>
      <c r="M78" s="427"/>
      <c r="N78" s="427">
        <v>0</v>
      </c>
      <c r="O78" s="427"/>
      <c r="P78" s="430">
        <v>15.920688320718945</v>
      </c>
      <c r="Q78" s="437"/>
      <c r="R78" s="432">
        <v>1.141</v>
      </c>
      <c r="S78" s="431">
        <v>1.9689999999999999</v>
      </c>
      <c r="T78" s="431">
        <v>0</v>
      </c>
      <c r="U78" s="431">
        <f>T78/R78</f>
        <v>0</v>
      </c>
      <c r="V78" s="432">
        <f t="shared" ref="V78:V81" si="15">(S78-R78)/S78*100</f>
        <v>42.051802945657691</v>
      </c>
      <c r="W78" s="432">
        <v>0.3</v>
      </c>
      <c r="X78" s="431"/>
      <c r="Y78" s="431">
        <f>R78*0.9424</f>
        <v>1.0752784</v>
      </c>
      <c r="Z78" s="431">
        <f>S78*0.9424</f>
        <v>1.8555855999999999</v>
      </c>
      <c r="AA78" s="431">
        <f t="shared" ref="AA78:AA83" si="16">T78*0.9494</f>
        <v>0</v>
      </c>
      <c r="AB78" s="431">
        <f t="shared" ref="AB78:AC83" si="17">U78</f>
        <v>0</v>
      </c>
      <c r="AC78" s="431">
        <f t="shared" si="17"/>
        <v>42.051802945657691</v>
      </c>
      <c r="AD78" s="427">
        <v>31</v>
      </c>
      <c r="AE78" s="431">
        <f>Y78*AD78</f>
        <v>33.333630399999997</v>
      </c>
      <c r="AF78" s="439"/>
    </row>
    <row r="79" spans="1:32" ht="15.75" customHeight="1" x14ac:dyDescent="0.3">
      <c r="A79" s="476">
        <v>63</v>
      </c>
      <c r="B79" s="427" t="s">
        <v>132</v>
      </c>
      <c r="C79" s="476" t="s">
        <v>313</v>
      </c>
      <c r="D79" s="427">
        <v>387.72</v>
      </c>
      <c r="E79" s="477" t="s">
        <v>135</v>
      </c>
      <c r="F79" s="427">
        <v>177.8</v>
      </c>
      <c r="G79" s="427" t="s">
        <v>28</v>
      </c>
      <c r="H79" s="429" t="s">
        <v>58</v>
      </c>
      <c r="I79" s="423">
        <v>136.03</v>
      </c>
      <c r="J79" s="427">
        <v>170</v>
      </c>
      <c r="K79" s="427"/>
      <c r="L79" s="427">
        <v>23</v>
      </c>
      <c r="M79" s="427"/>
      <c r="N79" s="427">
        <v>0</v>
      </c>
      <c r="O79" s="427"/>
      <c r="P79" s="430">
        <v>14.49755763472502</v>
      </c>
      <c r="Q79" s="431"/>
      <c r="R79" s="432">
        <v>3.3220000000000001</v>
      </c>
      <c r="S79" s="431">
        <v>5.0359999999999996</v>
      </c>
      <c r="T79" s="431">
        <v>0</v>
      </c>
      <c r="U79" s="431">
        <v>0</v>
      </c>
      <c r="V79" s="432">
        <f t="shared" si="15"/>
        <v>34.034948371723587</v>
      </c>
      <c r="W79" s="432">
        <v>0.4</v>
      </c>
      <c r="X79" s="431"/>
      <c r="Y79" s="431">
        <f t="shared" ref="Y79:Z83" si="18">R79*0.9424</f>
        <v>3.1306528</v>
      </c>
      <c r="Z79" s="431">
        <f t="shared" si="18"/>
        <v>4.7459264000000001</v>
      </c>
      <c r="AA79" s="431">
        <f t="shared" si="16"/>
        <v>0</v>
      </c>
      <c r="AB79" s="431">
        <v>0</v>
      </c>
      <c r="AC79" s="431">
        <f>V79</f>
        <v>34.034948371723587</v>
      </c>
      <c r="AD79" s="427">
        <v>31</v>
      </c>
      <c r="AE79" s="431">
        <f>Y79*AD79</f>
        <v>97.050236799999993</v>
      </c>
      <c r="AF79" s="449"/>
    </row>
    <row r="80" spans="1:32" x14ac:dyDescent="0.3">
      <c r="A80" s="476">
        <v>64</v>
      </c>
      <c r="B80" s="427" t="s">
        <v>121</v>
      </c>
      <c r="C80" s="476" t="s">
        <v>313</v>
      </c>
      <c r="D80" s="427">
        <v>389.57</v>
      </c>
      <c r="E80" s="427" t="s">
        <v>137</v>
      </c>
      <c r="F80" s="427">
        <v>177.8</v>
      </c>
      <c r="G80" s="427" t="s">
        <v>28</v>
      </c>
      <c r="H80" s="429" t="s">
        <v>58</v>
      </c>
      <c r="I80" s="423">
        <v>120.43</v>
      </c>
      <c r="J80" s="427">
        <v>0</v>
      </c>
      <c r="K80" s="427"/>
      <c r="L80" s="427"/>
      <c r="M80" s="427"/>
      <c r="N80" s="427"/>
      <c r="O80" s="427"/>
      <c r="P80" s="430">
        <v>0</v>
      </c>
      <c r="Q80" s="431"/>
      <c r="R80" s="432"/>
      <c r="S80" s="431"/>
      <c r="T80" s="431"/>
      <c r="U80" s="431"/>
      <c r="V80" s="432"/>
      <c r="W80" s="432"/>
      <c r="X80" s="431"/>
      <c r="Y80" s="431">
        <f t="shared" si="18"/>
        <v>0</v>
      </c>
      <c r="Z80" s="431">
        <f t="shared" si="18"/>
        <v>0</v>
      </c>
      <c r="AA80" s="431">
        <f t="shared" si="16"/>
        <v>0</v>
      </c>
      <c r="AB80" s="431">
        <v>0</v>
      </c>
      <c r="AC80" s="431">
        <f>V80</f>
        <v>0</v>
      </c>
      <c r="AD80" s="427">
        <v>0</v>
      </c>
      <c r="AE80" s="431">
        <f>Y80*AD80</f>
        <v>0</v>
      </c>
      <c r="AF80" s="434" t="s">
        <v>215</v>
      </c>
    </row>
    <row r="81" spans="1:32" x14ac:dyDescent="0.3">
      <c r="A81" s="476">
        <v>65</v>
      </c>
      <c r="B81" s="427" t="s">
        <v>122</v>
      </c>
      <c r="C81" s="476" t="s">
        <v>313</v>
      </c>
      <c r="D81" s="427">
        <v>391.06</v>
      </c>
      <c r="E81" s="427" t="s">
        <v>138</v>
      </c>
      <c r="F81" s="427">
        <v>177.8</v>
      </c>
      <c r="G81" s="427" t="s">
        <v>28</v>
      </c>
      <c r="H81" s="429" t="s">
        <v>58</v>
      </c>
      <c r="I81" s="431">
        <v>151.72999999999999</v>
      </c>
      <c r="J81" s="427">
        <v>220</v>
      </c>
      <c r="K81" s="438"/>
      <c r="L81" s="427">
        <v>42</v>
      </c>
      <c r="M81" s="438"/>
      <c r="N81" s="427">
        <v>0</v>
      </c>
      <c r="O81" s="438"/>
      <c r="P81" s="430">
        <v>13.42464218864651</v>
      </c>
      <c r="Q81" s="431"/>
      <c r="R81" s="432">
        <v>2.2120000000000002</v>
      </c>
      <c r="S81" s="432">
        <v>2.6050000000000004</v>
      </c>
      <c r="T81" s="431">
        <v>0</v>
      </c>
      <c r="U81" s="431">
        <f>T81/R81</f>
        <v>0</v>
      </c>
      <c r="V81" s="432">
        <f t="shared" si="15"/>
        <v>15.086372360844535</v>
      </c>
      <c r="W81" s="431">
        <v>0.6</v>
      </c>
      <c r="X81" s="431"/>
      <c r="Y81" s="431">
        <f t="shared" si="18"/>
        <v>2.0845888000000001</v>
      </c>
      <c r="Z81" s="431">
        <f t="shared" si="18"/>
        <v>2.4549520000000005</v>
      </c>
      <c r="AA81" s="431">
        <f t="shared" si="16"/>
        <v>0</v>
      </c>
      <c r="AB81" s="431">
        <f t="shared" si="17"/>
        <v>0</v>
      </c>
      <c r="AC81" s="431">
        <f t="shared" si="17"/>
        <v>15.086372360844535</v>
      </c>
      <c r="AD81" s="427">
        <v>31</v>
      </c>
      <c r="AE81" s="431">
        <f>Y81*AD81</f>
        <v>64.622252799999998</v>
      </c>
      <c r="AF81" s="478"/>
    </row>
    <row r="82" spans="1:32" x14ac:dyDescent="0.3">
      <c r="A82" s="476">
        <v>66</v>
      </c>
      <c r="B82" s="427" t="s">
        <v>57</v>
      </c>
      <c r="C82" s="476" t="s">
        <v>314</v>
      </c>
      <c r="D82" s="427">
        <v>376.58</v>
      </c>
      <c r="E82" s="428" t="s">
        <v>93</v>
      </c>
      <c r="F82" s="427">
        <v>177.8</v>
      </c>
      <c r="G82" s="427" t="s">
        <v>28</v>
      </c>
      <c r="H82" s="429" t="s">
        <v>58</v>
      </c>
      <c r="I82" s="431">
        <v>157.88</v>
      </c>
      <c r="J82" s="427"/>
      <c r="K82" s="427">
        <v>77</v>
      </c>
      <c r="L82" s="427"/>
      <c r="M82" s="438">
        <v>0</v>
      </c>
      <c r="N82" s="427">
        <v>0</v>
      </c>
      <c r="O82" s="438"/>
      <c r="P82" s="479">
        <v>13.184792269518255</v>
      </c>
      <c r="Q82" s="431"/>
      <c r="R82" s="432">
        <v>0</v>
      </c>
      <c r="S82" s="431">
        <v>0</v>
      </c>
      <c r="T82" s="431">
        <v>0</v>
      </c>
      <c r="U82" s="431">
        <v>0</v>
      </c>
      <c r="V82" s="432"/>
      <c r="W82" s="431"/>
      <c r="X82" s="431"/>
      <c r="Y82" s="431">
        <f t="shared" si="18"/>
        <v>0</v>
      </c>
      <c r="Z82" s="431">
        <f t="shared" si="18"/>
        <v>0</v>
      </c>
      <c r="AA82" s="431">
        <f t="shared" si="16"/>
        <v>0</v>
      </c>
      <c r="AB82" s="431">
        <f t="shared" si="17"/>
        <v>0</v>
      </c>
      <c r="AC82" s="431">
        <f t="shared" si="17"/>
        <v>0</v>
      </c>
      <c r="AD82" s="427">
        <v>0</v>
      </c>
      <c r="AE82" s="431">
        <f>Y82*AD82</f>
        <v>0</v>
      </c>
      <c r="AF82" s="434" t="s">
        <v>312</v>
      </c>
    </row>
    <row r="83" spans="1:32" x14ac:dyDescent="0.3">
      <c r="A83" s="476">
        <v>67</v>
      </c>
      <c r="B83" s="427" t="s">
        <v>184</v>
      </c>
      <c r="C83" s="476" t="s">
        <v>314</v>
      </c>
      <c r="D83" s="427">
        <v>422.78</v>
      </c>
      <c r="E83" s="428" t="s">
        <v>185</v>
      </c>
      <c r="F83" s="427">
        <v>177.8</v>
      </c>
      <c r="G83" s="427" t="s">
        <v>28</v>
      </c>
      <c r="H83" s="429" t="s">
        <v>58</v>
      </c>
      <c r="I83" s="431">
        <v>223.87</v>
      </c>
      <c r="J83" s="427"/>
      <c r="K83" s="427">
        <v>98</v>
      </c>
      <c r="L83" s="427"/>
      <c r="M83" s="438">
        <v>0</v>
      </c>
      <c r="N83" s="427">
        <v>0</v>
      </c>
      <c r="O83" s="438"/>
      <c r="P83" s="430">
        <v>4.8734954922053868</v>
      </c>
      <c r="Q83" s="431"/>
      <c r="R83" s="432">
        <v>0</v>
      </c>
      <c r="S83" s="431">
        <v>0</v>
      </c>
      <c r="T83" s="431">
        <v>0</v>
      </c>
      <c r="U83" s="431">
        <v>0</v>
      </c>
      <c r="V83" s="432"/>
      <c r="W83" s="431"/>
      <c r="X83" s="431"/>
      <c r="Y83" s="431">
        <f t="shared" si="18"/>
        <v>0</v>
      </c>
      <c r="Z83" s="431">
        <f t="shared" si="18"/>
        <v>0</v>
      </c>
      <c r="AA83" s="431">
        <f t="shared" si="16"/>
        <v>0</v>
      </c>
      <c r="AB83" s="431">
        <f t="shared" si="17"/>
        <v>0</v>
      </c>
      <c r="AC83" s="431">
        <f t="shared" si="17"/>
        <v>0</v>
      </c>
      <c r="AD83" s="427">
        <v>0</v>
      </c>
      <c r="AE83" s="431">
        <f t="shared" ref="AE83" si="19">Y83*AD83</f>
        <v>0</v>
      </c>
      <c r="AF83" s="434" t="s">
        <v>312</v>
      </c>
    </row>
    <row r="84" spans="1:32" x14ac:dyDescent="0.3">
      <c r="A84" s="469"/>
      <c r="B84" s="1889"/>
      <c r="C84" s="1889"/>
      <c r="D84" s="1889"/>
      <c r="E84" s="1890"/>
      <c r="F84" s="423"/>
      <c r="G84" s="422"/>
      <c r="H84" s="470"/>
      <c r="I84" s="470"/>
      <c r="J84" s="423"/>
      <c r="K84" s="423"/>
      <c r="L84" s="423"/>
      <c r="M84" s="423"/>
      <c r="N84" s="423"/>
      <c r="O84" s="423"/>
      <c r="P84" s="448"/>
      <c r="Q84" s="437"/>
      <c r="R84" s="467">
        <f>SUM(R78:R82)</f>
        <v>6.6750000000000007</v>
      </c>
      <c r="S84" s="467">
        <f>SUM(S78:S82)</f>
        <v>9.61</v>
      </c>
      <c r="T84" s="467">
        <f>SUM(T78:T82)</f>
        <v>0</v>
      </c>
      <c r="U84" s="467">
        <f>SUM(U78:U81)</f>
        <v>0</v>
      </c>
      <c r="V84" s="422"/>
      <c r="W84" s="422"/>
      <c r="X84" s="422"/>
      <c r="Y84" s="467">
        <f>SUM(Y78:Y81)</f>
        <v>6.2905200000000008</v>
      </c>
      <c r="Z84" s="467">
        <f>SUM(Z78:Z81)</f>
        <v>9.0564640000000001</v>
      </c>
      <c r="AA84" s="467">
        <f>SUM(AA78:AA82)</f>
        <v>0</v>
      </c>
      <c r="AB84" s="467">
        <v>0</v>
      </c>
      <c r="AC84" s="422"/>
      <c r="AD84" s="423"/>
      <c r="AE84" s="467">
        <f>SUM(AE78:AE81)</f>
        <v>195.00612000000001</v>
      </c>
      <c r="AF84" s="471"/>
    </row>
    <row r="85" spans="1:32" x14ac:dyDescent="0.3">
      <c r="A85" s="469"/>
      <c r="B85" s="1889"/>
      <c r="C85" s="1889"/>
      <c r="D85" s="1889"/>
      <c r="E85" s="1890"/>
      <c r="F85" s="438"/>
      <c r="G85" s="427"/>
      <c r="H85" s="429"/>
      <c r="I85" s="431"/>
      <c r="J85" s="427"/>
      <c r="K85" s="438"/>
      <c r="L85" s="427"/>
      <c r="M85" s="438"/>
      <c r="N85" s="430"/>
      <c r="O85" s="438"/>
      <c r="P85" s="480"/>
      <c r="Q85" s="467"/>
      <c r="R85" s="467"/>
      <c r="S85" s="467"/>
      <c r="T85" s="467"/>
      <c r="U85" s="467"/>
      <c r="V85" s="467"/>
      <c r="W85" s="467"/>
      <c r="X85" s="467"/>
      <c r="Y85" s="467"/>
      <c r="Z85" s="481"/>
      <c r="AA85" s="467"/>
      <c r="AB85" s="467"/>
      <c r="AC85" s="467"/>
      <c r="AD85" s="467"/>
      <c r="AE85" s="467"/>
      <c r="AF85" s="478"/>
    </row>
    <row r="86" spans="1:32" x14ac:dyDescent="0.3">
      <c r="A86" s="469"/>
      <c r="B86" s="1894" t="s">
        <v>276</v>
      </c>
      <c r="C86" s="1895"/>
      <c r="D86" s="1895"/>
      <c r="E86" s="1895"/>
      <c r="F86" s="1895"/>
      <c r="G86" s="422"/>
      <c r="H86" s="470"/>
      <c r="I86" s="470"/>
      <c r="J86" s="423"/>
      <c r="K86" s="423"/>
      <c r="L86" s="423"/>
      <c r="M86" s="423"/>
      <c r="N86" s="423"/>
      <c r="O86" s="423"/>
      <c r="P86" s="448"/>
      <c r="Q86" s="437"/>
      <c r="R86" s="423"/>
      <c r="S86" s="423"/>
      <c r="T86" s="423"/>
      <c r="U86" s="422"/>
      <c r="V86" s="422"/>
      <c r="W86" s="422"/>
      <c r="X86" s="422"/>
      <c r="Y86" s="423"/>
      <c r="Z86" s="423"/>
      <c r="AA86" s="423"/>
      <c r="AB86" s="482"/>
      <c r="AC86" s="422"/>
      <c r="AD86" s="423"/>
      <c r="AE86" s="423"/>
      <c r="AF86" s="470"/>
    </row>
    <row r="87" spans="1:32" x14ac:dyDescent="0.3">
      <c r="A87" s="427">
        <v>68</v>
      </c>
      <c r="B87" s="483" t="s">
        <v>107</v>
      </c>
      <c r="C87" s="484" t="s">
        <v>109</v>
      </c>
      <c r="D87" s="484"/>
      <c r="E87" s="484"/>
      <c r="F87" s="423"/>
      <c r="G87" s="422"/>
      <c r="H87" s="470"/>
      <c r="I87" s="470"/>
      <c r="J87" s="423"/>
      <c r="K87" s="423"/>
      <c r="L87" s="423"/>
      <c r="M87" s="423"/>
      <c r="N87" s="423"/>
      <c r="O87" s="423"/>
      <c r="P87" s="448"/>
      <c r="Q87" s="437"/>
      <c r="R87" s="423"/>
      <c r="S87" s="423"/>
      <c r="T87" s="423"/>
      <c r="U87" s="422"/>
      <c r="V87" s="422"/>
      <c r="W87" s="422"/>
      <c r="X87" s="422"/>
      <c r="Y87" s="470"/>
      <c r="Z87" s="470"/>
      <c r="AA87" s="423"/>
      <c r="AB87" s="482"/>
      <c r="AC87" s="422"/>
      <c r="AD87" s="485"/>
      <c r="AE87" s="423"/>
      <c r="AF87" s="486"/>
    </row>
    <row r="88" spans="1:32" x14ac:dyDescent="0.3">
      <c r="A88" s="427">
        <v>69</v>
      </c>
      <c r="B88" s="483" t="s">
        <v>108</v>
      </c>
      <c r="C88" s="484" t="s">
        <v>109</v>
      </c>
      <c r="D88" s="484"/>
      <c r="E88" s="484"/>
      <c r="F88" s="423"/>
      <c r="G88" s="422"/>
      <c r="H88" s="470"/>
      <c r="I88" s="470"/>
      <c r="J88" s="423"/>
      <c r="K88" s="423"/>
      <c r="L88" s="423"/>
      <c r="M88" s="423"/>
      <c r="N88" s="423"/>
      <c r="O88" s="423"/>
      <c r="P88" s="448"/>
      <c r="Q88" s="437"/>
      <c r="R88" s="423"/>
      <c r="S88" s="423"/>
      <c r="T88" s="423"/>
      <c r="U88" s="422"/>
      <c r="V88" s="422"/>
      <c r="W88" s="422"/>
      <c r="X88" s="422"/>
      <c r="Y88" s="470"/>
      <c r="Z88" s="470"/>
      <c r="AA88" s="423"/>
      <c r="AB88" s="482"/>
      <c r="AC88" s="422"/>
      <c r="AD88" s="485"/>
      <c r="AE88" s="423"/>
      <c r="AF88" s="486"/>
    </row>
    <row r="89" spans="1:32" x14ac:dyDescent="0.3">
      <c r="A89" s="427">
        <v>70</v>
      </c>
      <c r="B89" s="483" t="s">
        <v>195</v>
      </c>
      <c r="C89" s="476" t="s">
        <v>193</v>
      </c>
      <c r="D89" s="484"/>
      <c r="E89" s="484"/>
      <c r="F89" s="423"/>
      <c r="G89" s="422"/>
      <c r="H89" s="470"/>
      <c r="I89" s="470"/>
      <c r="J89" s="423"/>
      <c r="K89" s="423"/>
      <c r="L89" s="423"/>
      <c r="M89" s="423"/>
      <c r="N89" s="423"/>
      <c r="O89" s="423"/>
      <c r="P89" s="448"/>
      <c r="Q89" s="437"/>
      <c r="R89" s="423"/>
      <c r="S89" s="423"/>
      <c r="T89" s="423"/>
      <c r="U89" s="422"/>
      <c r="V89" s="422"/>
      <c r="W89" s="422"/>
      <c r="X89" s="422"/>
      <c r="Y89" s="470"/>
      <c r="Z89" s="470"/>
      <c r="AA89" s="423"/>
      <c r="AB89" s="482"/>
      <c r="AC89" s="422"/>
      <c r="AD89" s="485"/>
      <c r="AE89" s="423"/>
      <c r="AF89" s="486"/>
    </row>
    <row r="90" spans="1:32" x14ac:dyDescent="0.3">
      <c r="A90" s="427">
        <v>71</v>
      </c>
      <c r="B90" s="483" t="s">
        <v>192</v>
      </c>
      <c r="C90" s="476" t="s">
        <v>193</v>
      </c>
      <c r="D90" s="484"/>
      <c r="E90" s="484"/>
      <c r="F90" s="423"/>
      <c r="G90" s="422"/>
      <c r="H90" s="470"/>
      <c r="I90" s="470"/>
      <c r="J90" s="423"/>
      <c r="K90" s="423"/>
      <c r="L90" s="423"/>
      <c r="M90" s="423"/>
      <c r="N90" s="423"/>
      <c r="O90" s="423"/>
      <c r="P90" s="448"/>
      <c r="Q90" s="437"/>
      <c r="R90" s="423"/>
      <c r="S90" s="423"/>
      <c r="T90" s="423"/>
      <c r="U90" s="422"/>
      <c r="V90" s="422"/>
      <c r="W90" s="422"/>
      <c r="X90" s="422"/>
      <c r="Y90" s="470"/>
      <c r="Z90" s="470"/>
      <c r="AA90" s="423"/>
      <c r="AB90" s="482"/>
      <c r="AC90" s="422"/>
      <c r="AD90" s="485"/>
      <c r="AE90" s="423"/>
      <c r="AF90" s="486"/>
    </row>
    <row r="91" spans="1:32" x14ac:dyDescent="0.3">
      <c r="A91" s="427"/>
      <c r="B91" s="1894" t="s">
        <v>278</v>
      </c>
      <c r="C91" s="1895"/>
      <c r="D91" s="1895"/>
      <c r="E91" s="1895"/>
      <c r="F91" s="1895"/>
      <c r="G91" s="422"/>
      <c r="H91" s="470"/>
      <c r="I91" s="470"/>
      <c r="J91" s="423"/>
      <c r="K91" s="423"/>
      <c r="L91" s="423"/>
      <c r="M91" s="423"/>
      <c r="N91" s="423"/>
      <c r="O91" s="423"/>
      <c r="P91" s="448"/>
      <c r="Q91" s="437"/>
      <c r="R91" s="423"/>
      <c r="S91" s="423"/>
      <c r="T91" s="423"/>
      <c r="U91" s="422"/>
      <c r="V91" s="422"/>
      <c r="W91" s="422"/>
      <c r="X91" s="422"/>
      <c r="Y91" s="423"/>
      <c r="Z91" s="423"/>
      <c r="AA91" s="423"/>
      <c r="AB91" s="482"/>
      <c r="AC91" s="422"/>
      <c r="AD91" s="423"/>
      <c r="AE91" s="423"/>
      <c r="AF91" s="470"/>
    </row>
    <row r="92" spans="1:32" x14ac:dyDescent="0.3">
      <c r="A92" s="427">
        <v>72</v>
      </c>
      <c r="B92" s="487" t="s">
        <v>189</v>
      </c>
      <c r="C92" s="427" t="s">
        <v>46</v>
      </c>
      <c r="D92" s="472">
        <v>673</v>
      </c>
      <c r="E92" s="472" t="s">
        <v>190</v>
      </c>
      <c r="F92" s="427">
        <v>177.8</v>
      </c>
      <c r="G92" s="427"/>
      <c r="H92" s="429"/>
      <c r="I92" s="423"/>
      <c r="J92" s="423"/>
      <c r="K92" s="423"/>
      <c r="L92" s="423"/>
      <c r="M92" s="423"/>
      <c r="N92" s="423"/>
      <c r="O92" s="423"/>
      <c r="P92" s="448"/>
      <c r="Q92" s="437"/>
      <c r="R92" s="423"/>
      <c r="S92" s="423"/>
      <c r="T92" s="423"/>
      <c r="U92" s="422"/>
      <c r="V92" s="422"/>
      <c r="W92" s="422"/>
      <c r="X92" s="422"/>
      <c r="Y92" s="488"/>
      <c r="Z92" s="489"/>
      <c r="AA92" s="470"/>
      <c r="AB92" s="482"/>
      <c r="AC92" s="423"/>
      <c r="AD92" s="427"/>
      <c r="AE92" s="431"/>
      <c r="AF92" s="439"/>
    </row>
    <row r="93" spans="1:32" x14ac:dyDescent="0.3">
      <c r="A93" s="427">
        <v>73</v>
      </c>
      <c r="B93" s="428" t="s">
        <v>181</v>
      </c>
      <c r="C93" s="490" t="s">
        <v>183</v>
      </c>
      <c r="D93" s="429">
        <v>374.5</v>
      </c>
      <c r="E93" s="427" t="s">
        <v>182</v>
      </c>
      <c r="F93" s="427">
        <v>177.8</v>
      </c>
      <c r="G93" s="427"/>
      <c r="H93" s="429"/>
      <c r="I93" s="423"/>
      <c r="J93" s="427"/>
      <c r="K93" s="427"/>
      <c r="L93" s="427"/>
      <c r="M93" s="427"/>
      <c r="N93" s="430"/>
      <c r="O93" s="427"/>
      <c r="P93" s="432"/>
      <c r="Q93" s="431"/>
      <c r="R93" s="432"/>
      <c r="S93" s="431"/>
      <c r="T93" s="431"/>
      <c r="U93" s="431"/>
      <c r="V93" s="432"/>
      <c r="W93" s="432"/>
      <c r="X93" s="491"/>
      <c r="Y93" s="431"/>
      <c r="Z93" s="431"/>
      <c r="AA93" s="431"/>
      <c r="AB93" s="431"/>
      <c r="AC93" s="431"/>
      <c r="AD93" s="427"/>
      <c r="AE93" s="431"/>
      <c r="AF93" s="439"/>
    </row>
    <row r="94" spans="1:32" x14ac:dyDescent="0.3">
      <c r="A94" s="427">
        <v>74</v>
      </c>
      <c r="B94" s="428" t="s">
        <v>188</v>
      </c>
      <c r="C94" s="490" t="s">
        <v>183</v>
      </c>
      <c r="D94" s="429">
        <v>376.58</v>
      </c>
      <c r="E94" s="427" t="s">
        <v>235</v>
      </c>
      <c r="F94" s="427">
        <v>177.8</v>
      </c>
      <c r="G94" s="427"/>
      <c r="H94" s="429"/>
      <c r="I94" s="423"/>
      <c r="J94" s="427"/>
      <c r="K94" s="427"/>
      <c r="L94" s="427"/>
      <c r="M94" s="427"/>
      <c r="N94" s="430"/>
      <c r="O94" s="427"/>
      <c r="P94" s="432"/>
      <c r="Q94" s="431"/>
      <c r="R94" s="432"/>
      <c r="S94" s="431"/>
      <c r="T94" s="431"/>
      <c r="U94" s="431"/>
      <c r="V94" s="432"/>
      <c r="W94" s="432"/>
      <c r="X94" s="491"/>
      <c r="Y94" s="431"/>
      <c r="Z94" s="431"/>
      <c r="AA94" s="431"/>
      <c r="AB94" s="431"/>
      <c r="AC94" s="431"/>
      <c r="AD94" s="427"/>
      <c r="AE94" s="431"/>
      <c r="AF94" s="439"/>
    </row>
    <row r="95" spans="1:32" x14ac:dyDescent="0.3">
      <c r="A95" s="427">
        <v>75</v>
      </c>
      <c r="B95" s="428" t="s">
        <v>186</v>
      </c>
      <c r="C95" s="490" t="s">
        <v>176</v>
      </c>
      <c r="D95" s="429">
        <v>387.56</v>
      </c>
      <c r="E95" s="427"/>
      <c r="F95" s="427">
        <v>177.8</v>
      </c>
      <c r="G95" s="427"/>
      <c r="H95" s="429"/>
      <c r="I95" s="423"/>
      <c r="J95" s="427"/>
      <c r="K95" s="427"/>
      <c r="L95" s="427"/>
      <c r="M95" s="427"/>
      <c r="N95" s="430"/>
      <c r="O95" s="427"/>
      <c r="P95" s="432"/>
      <c r="Q95" s="431"/>
      <c r="R95" s="432"/>
      <c r="S95" s="431"/>
      <c r="T95" s="431"/>
      <c r="U95" s="431"/>
      <c r="V95" s="432"/>
      <c r="W95" s="432"/>
      <c r="X95" s="491"/>
      <c r="Y95" s="431"/>
      <c r="Z95" s="431"/>
      <c r="AA95" s="431"/>
      <c r="AB95" s="431"/>
      <c r="AC95" s="431"/>
      <c r="AD95" s="427"/>
      <c r="AE95" s="431"/>
      <c r="AF95" s="439"/>
    </row>
    <row r="96" spans="1:32" x14ac:dyDescent="0.3">
      <c r="A96" s="427">
        <v>76</v>
      </c>
      <c r="B96" s="428" t="s">
        <v>174</v>
      </c>
      <c r="C96" s="427" t="s">
        <v>46</v>
      </c>
      <c r="D96" s="429">
        <v>672</v>
      </c>
      <c r="E96" s="427" t="s">
        <v>175</v>
      </c>
      <c r="F96" s="427">
        <v>177.8</v>
      </c>
      <c r="G96" s="427"/>
      <c r="H96" s="429"/>
      <c r="I96" s="423"/>
      <c r="J96" s="427"/>
      <c r="K96" s="427"/>
      <c r="L96" s="427"/>
      <c r="M96" s="427"/>
      <c r="N96" s="430"/>
      <c r="O96" s="427"/>
      <c r="P96" s="430"/>
      <c r="Q96" s="431"/>
      <c r="R96" s="432"/>
      <c r="S96" s="431"/>
      <c r="T96" s="431"/>
      <c r="U96" s="431"/>
      <c r="V96" s="432"/>
      <c r="W96" s="432"/>
      <c r="X96" s="431"/>
      <c r="Y96" s="431"/>
      <c r="Z96" s="431"/>
      <c r="AA96" s="431"/>
      <c r="AB96" s="431"/>
      <c r="AC96" s="431"/>
      <c r="AD96" s="427"/>
      <c r="AE96" s="431"/>
      <c r="AF96" s="439"/>
    </row>
    <row r="97" spans="1:32" ht="19.149999999999999" customHeight="1" x14ac:dyDescent="0.3">
      <c r="A97" s="427">
        <v>77</v>
      </c>
      <c r="B97" s="447" t="s">
        <v>103</v>
      </c>
      <c r="C97" s="427" t="s">
        <v>46</v>
      </c>
      <c r="D97" s="423">
        <v>582</v>
      </c>
      <c r="E97" s="423" t="s">
        <v>112</v>
      </c>
      <c r="F97" s="427">
        <v>177.8</v>
      </c>
      <c r="G97" s="427"/>
      <c r="H97" s="429"/>
      <c r="I97" s="423"/>
      <c r="J97" s="423"/>
      <c r="K97" s="424"/>
      <c r="L97" s="423"/>
      <c r="M97" s="424"/>
      <c r="N97" s="423"/>
      <c r="O97" s="423"/>
      <c r="P97" s="448"/>
      <c r="Q97" s="437"/>
      <c r="R97" s="423"/>
      <c r="S97" s="423"/>
      <c r="T97" s="423"/>
      <c r="U97" s="422"/>
      <c r="V97" s="422"/>
      <c r="W97" s="422"/>
      <c r="X97" s="421"/>
      <c r="Y97" s="492"/>
      <c r="Z97" s="423"/>
      <c r="AA97" s="423"/>
      <c r="AB97" s="422"/>
      <c r="AC97" s="423"/>
      <c r="AD97" s="493"/>
      <c r="AE97" s="437"/>
      <c r="AF97" s="439"/>
    </row>
    <row r="98" spans="1:32" ht="19.149999999999999" customHeight="1" x14ac:dyDescent="0.3">
      <c r="A98" s="427">
        <v>78</v>
      </c>
      <c r="B98" s="514" t="s">
        <v>220</v>
      </c>
      <c r="C98" s="427" t="s">
        <v>46</v>
      </c>
      <c r="D98" s="515">
        <v>685.69</v>
      </c>
      <c r="E98" s="515" t="s">
        <v>222</v>
      </c>
      <c r="F98" s="427">
        <v>177.8</v>
      </c>
      <c r="G98" s="427"/>
      <c r="H98" s="429"/>
      <c r="I98" s="515"/>
      <c r="J98" s="515"/>
      <c r="K98" s="424"/>
      <c r="L98" s="515"/>
      <c r="M98" s="424"/>
      <c r="N98" s="515"/>
      <c r="O98" s="515"/>
      <c r="P98" s="448"/>
      <c r="Q98" s="437"/>
      <c r="R98" s="515"/>
      <c r="S98" s="515"/>
      <c r="T98" s="515"/>
      <c r="U98" s="513"/>
      <c r="V98" s="513"/>
      <c r="W98" s="513"/>
      <c r="X98" s="421"/>
      <c r="Y98" s="492"/>
      <c r="Z98" s="515"/>
      <c r="AA98" s="515"/>
      <c r="AB98" s="513"/>
      <c r="AC98" s="515"/>
      <c r="AD98" s="493"/>
      <c r="AE98" s="437"/>
      <c r="AF98" s="439"/>
    </row>
    <row r="99" spans="1:32" x14ac:dyDescent="0.3">
      <c r="A99" s="427"/>
      <c r="B99" s="1894" t="s">
        <v>279</v>
      </c>
      <c r="C99" s="1895"/>
      <c r="D99" s="1895"/>
      <c r="E99" s="1895"/>
      <c r="F99" s="1895"/>
      <c r="G99" s="427"/>
      <c r="H99" s="429"/>
      <c r="I99" s="423"/>
      <c r="J99" s="427"/>
      <c r="K99" s="427"/>
      <c r="L99" s="427"/>
      <c r="M99" s="427"/>
      <c r="N99" s="430"/>
      <c r="O99" s="427"/>
      <c r="P99" s="430"/>
      <c r="Q99" s="431"/>
      <c r="R99" s="432"/>
      <c r="S99" s="431"/>
      <c r="T99" s="431"/>
      <c r="U99" s="431"/>
      <c r="V99" s="432"/>
      <c r="W99" s="432"/>
      <c r="X99" s="431"/>
      <c r="Y99" s="431"/>
      <c r="Z99" s="431"/>
      <c r="AA99" s="431"/>
      <c r="AB99" s="431"/>
      <c r="AC99" s="431"/>
      <c r="AD99" s="427"/>
      <c r="AE99" s="431"/>
      <c r="AF99" s="439"/>
    </row>
    <row r="100" spans="1:32" x14ac:dyDescent="0.3">
      <c r="A100" s="427">
        <v>79</v>
      </c>
      <c r="B100" s="428" t="s">
        <v>148</v>
      </c>
      <c r="C100" s="427" t="s">
        <v>46</v>
      </c>
      <c r="D100" s="427">
        <v>650</v>
      </c>
      <c r="E100" s="427" t="s">
        <v>75</v>
      </c>
      <c r="F100" s="427">
        <v>177.8</v>
      </c>
      <c r="G100" s="427"/>
      <c r="H100" s="429"/>
      <c r="I100" s="424">
        <v>536.14</v>
      </c>
      <c r="J100" s="427"/>
      <c r="K100" s="427"/>
      <c r="L100" s="427"/>
      <c r="M100" s="427"/>
      <c r="N100" s="430"/>
      <c r="O100" s="427"/>
      <c r="P100" s="430"/>
      <c r="Q100" s="431"/>
      <c r="R100" s="432"/>
      <c r="S100" s="431"/>
      <c r="T100" s="431"/>
      <c r="U100" s="431"/>
      <c r="V100" s="432"/>
      <c r="W100" s="432"/>
      <c r="X100" s="431"/>
      <c r="Y100" s="431"/>
      <c r="Z100" s="431"/>
      <c r="AA100" s="431"/>
      <c r="AB100" s="431"/>
      <c r="AC100" s="431"/>
      <c r="AD100" s="427"/>
      <c r="AE100" s="431"/>
      <c r="AF100" s="439"/>
    </row>
    <row r="101" spans="1:32" x14ac:dyDescent="0.3">
      <c r="A101" s="427">
        <v>80</v>
      </c>
      <c r="B101" s="428" t="s">
        <v>155</v>
      </c>
      <c r="C101" s="427" t="s">
        <v>46</v>
      </c>
      <c r="D101" s="427">
        <v>674.13</v>
      </c>
      <c r="E101" s="427" t="s">
        <v>83</v>
      </c>
      <c r="F101" s="427">
        <v>177.8</v>
      </c>
      <c r="G101" s="427"/>
      <c r="H101" s="429"/>
      <c r="I101" s="423">
        <v>527.75</v>
      </c>
      <c r="J101" s="427"/>
      <c r="K101" s="427"/>
      <c r="L101" s="427"/>
      <c r="M101" s="427"/>
      <c r="N101" s="430"/>
      <c r="O101" s="427"/>
      <c r="P101" s="430"/>
      <c r="Q101" s="431"/>
      <c r="R101" s="432"/>
      <c r="S101" s="431"/>
      <c r="T101" s="431"/>
      <c r="U101" s="431"/>
      <c r="V101" s="432"/>
      <c r="W101" s="432"/>
      <c r="X101" s="431"/>
      <c r="Y101" s="431"/>
      <c r="Z101" s="431"/>
      <c r="AA101" s="431"/>
      <c r="AB101" s="431"/>
      <c r="AC101" s="431"/>
      <c r="AD101" s="427"/>
      <c r="AE101" s="431"/>
      <c r="AF101" s="439"/>
    </row>
    <row r="102" spans="1:32" x14ac:dyDescent="0.3">
      <c r="A102" s="427">
        <v>81</v>
      </c>
      <c r="B102" s="428" t="s">
        <v>56</v>
      </c>
      <c r="C102" s="427" t="s">
        <v>46</v>
      </c>
      <c r="D102" s="429">
        <v>680.52</v>
      </c>
      <c r="E102" s="427" t="s">
        <v>92</v>
      </c>
      <c r="F102" s="427">
        <v>177.8</v>
      </c>
      <c r="G102" s="427"/>
      <c r="H102" s="429"/>
      <c r="I102" s="423">
        <v>555.95000000000005</v>
      </c>
      <c r="J102" s="427"/>
      <c r="K102" s="427"/>
      <c r="L102" s="427"/>
      <c r="M102" s="427"/>
      <c r="N102" s="430"/>
      <c r="O102" s="427"/>
      <c r="P102" s="432"/>
      <c r="Q102" s="431"/>
      <c r="R102" s="432"/>
      <c r="S102" s="431"/>
      <c r="T102" s="431"/>
      <c r="U102" s="431"/>
      <c r="V102" s="432"/>
      <c r="W102" s="432"/>
      <c r="X102" s="491"/>
      <c r="Y102" s="431"/>
      <c r="Z102" s="431"/>
      <c r="AA102" s="431"/>
      <c r="AB102" s="431"/>
      <c r="AC102" s="431"/>
      <c r="AD102" s="427"/>
      <c r="AE102" s="431"/>
      <c r="AF102" s="439"/>
    </row>
    <row r="103" spans="1:32" x14ac:dyDescent="0.3">
      <c r="A103" s="494"/>
      <c r="B103" s="464"/>
      <c r="C103" s="464"/>
      <c r="D103" s="463"/>
      <c r="E103" s="428"/>
      <c r="F103" s="427"/>
      <c r="G103" s="427"/>
      <c r="H103" s="429"/>
      <c r="I103" s="423"/>
      <c r="J103" s="427"/>
      <c r="K103" s="427"/>
      <c r="L103" s="427"/>
      <c r="M103" s="427"/>
      <c r="N103" s="430"/>
      <c r="O103" s="427"/>
      <c r="P103" s="432"/>
      <c r="Q103" s="431"/>
      <c r="R103" s="432"/>
      <c r="S103" s="431"/>
      <c r="T103" s="431"/>
      <c r="U103" s="431"/>
      <c r="V103" s="432"/>
      <c r="W103" s="432"/>
      <c r="X103" s="491"/>
      <c r="Y103" s="431"/>
      <c r="Z103" s="431"/>
      <c r="AA103" s="431"/>
      <c r="AB103" s="431"/>
      <c r="AC103" s="431"/>
      <c r="AD103" s="427"/>
      <c r="AE103" s="431"/>
      <c r="AF103" s="439"/>
    </row>
    <row r="104" spans="1:32" x14ac:dyDescent="0.3">
      <c r="A104" s="494"/>
      <c r="B104" s="1889"/>
      <c r="C104" s="1889"/>
      <c r="D104" s="1889"/>
      <c r="E104" s="1890"/>
      <c r="F104" s="438"/>
      <c r="G104" s="427"/>
      <c r="H104" s="429"/>
      <c r="I104" s="431"/>
      <c r="J104" s="427"/>
      <c r="K104" s="438"/>
      <c r="L104" s="427"/>
      <c r="M104" s="438"/>
      <c r="N104" s="430"/>
      <c r="O104" s="438"/>
      <c r="P104" s="480"/>
      <c r="Q104" s="467"/>
      <c r="R104" s="467">
        <f>R75+R84</f>
        <v>370.86099999999999</v>
      </c>
      <c r="S104" s="467">
        <f>S75+S84</f>
        <v>599.28800000000001</v>
      </c>
      <c r="T104" s="481">
        <f>T75+T84</f>
        <v>18332</v>
      </c>
      <c r="U104" s="467">
        <f>T104/R104</f>
        <v>49.430918861783795</v>
      </c>
      <c r="V104" s="467"/>
      <c r="W104" s="467"/>
      <c r="X104" s="467"/>
      <c r="Y104" s="467">
        <f>Y75+Y84+Y85</f>
        <v>343.16257000000007</v>
      </c>
      <c r="Z104" s="467">
        <f>Z75+Z84+Z85</f>
        <v>554.50861399999997</v>
      </c>
      <c r="AA104" s="481">
        <f>AA75+AA84+AA85</f>
        <v>17140.420000000009</v>
      </c>
      <c r="AB104" s="467">
        <f>AB75+AB84+AB85</f>
        <v>50.881098624833989</v>
      </c>
      <c r="AC104" s="467"/>
      <c r="AD104" s="467"/>
      <c r="AE104" s="495">
        <f>AE75+AE84+AE85</f>
        <v>10638.039669999998</v>
      </c>
      <c r="AF104" s="478"/>
    </row>
    <row r="105" spans="1:32" x14ac:dyDescent="0.3">
      <c r="A105" s="418"/>
      <c r="B105" s="496"/>
      <c r="C105" s="496"/>
      <c r="D105" s="496"/>
      <c r="E105" s="496"/>
      <c r="F105" s="497"/>
      <c r="G105" s="498"/>
      <c r="H105" s="499"/>
      <c r="I105" s="499"/>
      <c r="J105" s="497"/>
      <c r="K105" s="497"/>
      <c r="L105" s="497"/>
      <c r="M105" s="497"/>
      <c r="N105" s="497"/>
      <c r="O105" s="497"/>
      <c r="P105" s="500"/>
      <c r="Q105" s="501"/>
      <c r="R105" s="497"/>
      <c r="S105" s="497"/>
      <c r="T105" s="497"/>
      <c r="U105" s="498"/>
      <c r="V105" s="498"/>
      <c r="W105" s="498"/>
      <c r="X105" s="498"/>
      <c r="Y105" s="497"/>
      <c r="Z105" s="497"/>
      <c r="AA105" s="497"/>
      <c r="AB105" s="502"/>
      <c r="AC105" s="498"/>
      <c r="AD105" s="497"/>
      <c r="AE105" s="497"/>
      <c r="AF105" s="499"/>
    </row>
    <row r="106" spans="1:32" x14ac:dyDescent="0.3">
      <c r="A106" s="418"/>
      <c r="B106" s="503"/>
      <c r="C106" s="504"/>
      <c r="D106" s="503"/>
      <c r="E106" s="505">
        <v>0.95</v>
      </c>
      <c r="F106" s="503"/>
      <c r="G106" s="503" t="s">
        <v>102</v>
      </c>
      <c r="H106" s="460"/>
      <c r="I106" s="506"/>
      <c r="J106" s="503"/>
      <c r="K106" s="1896">
        <f>AE104*E106</f>
        <v>10106.137686499998</v>
      </c>
      <c r="L106" s="1897"/>
      <c r="M106" s="1898"/>
      <c r="N106" s="504" t="s">
        <v>27</v>
      </c>
      <c r="O106" s="497"/>
      <c r="P106" s="500"/>
      <c r="Q106" s="501"/>
      <c r="R106" s="497"/>
      <c r="S106" s="497"/>
      <c r="T106" s="497"/>
      <c r="U106" s="498"/>
      <c r="V106" s="498"/>
      <c r="W106" s="498"/>
      <c r="X106" s="498"/>
      <c r="Y106" s="497"/>
      <c r="Z106" s="497"/>
      <c r="AA106" s="497"/>
      <c r="AB106" s="502"/>
      <c r="AC106" s="498"/>
      <c r="AD106" s="497"/>
      <c r="AE106" s="497"/>
      <c r="AF106" s="499"/>
    </row>
    <row r="107" spans="1:32" x14ac:dyDescent="0.3">
      <c r="A107" s="418"/>
      <c r="B107" s="503"/>
      <c r="C107" s="504"/>
      <c r="D107" s="503"/>
      <c r="E107" s="505"/>
      <c r="F107" s="503"/>
      <c r="G107" s="504"/>
      <c r="H107" s="460"/>
      <c r="I107" s="506"/>
      <c r="J107" s="503"/>
      <c r="K107" s="504"/>
      <c r="L107" s="462"/>
      <c r="M107" s="503"/>
      <c r="N107" s="503"/>
      <c r="O107" s="503"/>
      <c r="P107" s="507"/>
      <c r="Q107" s="508"/>
      <c r="R107" s="503"/>
      <c r="S107" s="503"/>
      <c r="T107" s="503"/>
      <c r="U107" s="503"/>
      <c r="V107" s="503"/>
      <c r="W107" s="503"/>
      <c r="X107" s="509"/>
      <c r="Y107" s="509"/>
      <c r="Z107" s="509"/>
      <c r="AA107" s="509"/>
      <c r="AB107" s="509"/>
      <c r="AC107" s="509"/>
      <c r="AD107" s="509"/>
      <c r="AE107" s="509"/>
      <c r="AF107" s="510"/>
    </row>
    <row r="108" spans="1:32" x14ac:dyDescent="0.3">
      <c r="A108" s="418"/>
      <c r="B108" s="503"/>
      <c r="C108" s="503"/>
      <c r="D108" s="503"/>
      <c r="E108" s="511" t="s">
        <v>214</v>
      </c>
      <c r="F108" s="1899" t="s">
        <v>268</v>
      </c>
      <c r="G108" s="1899"/>
      <c r="H108" s="1899"/>
      <c r="I108" s="503"/>
      <c r="J108" s="503"/>
      <c r="K108" s="504"/>
      <c r="L108" s="504"/>
      <c r="M108" s="503"/>
      <c r="N108" s="503"/>
      <c r="O108" s="503"/>
      <c r="P108" s="503"/>
      <c r="Q108" s="503"/>
      <c r="R108" s="503"/>
      <c r="S108" s="503"/>
      <c r="T108" s="503"/>
      <c r="U108" s="503"/>
      <c r="V108" s="503"/>
      <c r="W108" s="503"/>
      <c r="X108" s="1892" t="s">
        <v>99</v>
      </c>
      <c r="Y108" s="1893"/>
      <c r="Z108" s="1893"/>
      <c r="AA108" s="1893"/>
      <c r="AB108" s="509" t="s">
        <v>216</v>
      </c>
      <c r="AC108" s="509"/>
      <c r="AD108" s="509"/>
      <c r="AE108" s="509"/>
      <c r="AF108" s="509"/>
    </row>
  </sheetData>
  <mergeCells count="40">
    <mergeCell ref="I1:X1"/>
    <mergeCell ref="AC12:AC13"/>
    <mergeCell ref="J2:W2"/>
    <mergeCell ref="A3:D3"/>
    <mergeCell ref="A7:E7"/>
    <mergeCell ref="A8:E8"/>
    <mergeCell ref="A11:A13"/>
    <mergeCell ref="B11:B13"/>
    <mergeCell ref="C11:C13"/>
    <mergeCell ref="D11:D12"/>
    <mergeCell ref="E11:E12"/>
    <mergeCell ref="B9:E9"/>
    <mergeCell ref="R12:T12"/>
    <mergeCell ref="AF12:AF13"/>
    <mergeCell ref="B77:F77"/>
    <mergeCell ref="B84:E84"/>
    <mergeCell ref="Y12:AA12"/>
    <mergeCell ref="AB12:AB13"/>
    <mergeCell ref="B76:E76"/>
    <mergeCell ref="U12:U13"/>
    <mergeCell ref="V12:V13"/>
    <mergeCell ref="W12:W13"/>
    <mergeCell ref="X12:X13"/>
    <mergeCell ref="F11:F12"/>
    <mergeCell ref="G11:G13"/>
    <mergeCell ref="H11:W11"/>
    <mergeCell ref="X11:AF11"/>
    <mergeCell ref="H12:H13"/>
    <mergeCell ref="X108:AA108"/>
    <mergeCell ref="B86:F86"/>
    <mergeCell ref="B91:F91"/>
    <mergeCell ref="B99:F99"/>
    <mergeCell ref="B104:E104"/>
    <mergeCell ref="K106:M106"/>
    <mergeCell ref="F108:H108"/>
    <mergeCell ref="B85:E85"/>
    <mergeCell ref="I12:I13"/>
    <mergeCell ref="K12:L12"/>
    <mergeCell ref="M12:N12"/>
    <mergeCell ref="O12:P12"/>
  </mergeCells>
  <pageMargins left="0.7" right="0.7" top="0.75" bottom="0.75" header="0.3" footer="0.3"/>
  <pageSetup paperSize="9" scale="81" orientation="landscape" r:id="rId1"/>
  <rowBreaks count="1" manualBreakCount="1">
    <brk id="7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110"/>
  <sheetViews>
    <sheetView zoomScale="60" zoomScaleNormal="60" workbookViewId="0">
      <selection activeCell="H18" sqref="H18"/>
    </sheetView>
  </sheetViews>
  <sheetFormatPr defaultRowHeight="12.75" x14ac:dyDescent="0.2"/>
  <cols>
    <col min="2" max="3" width="14.5703125" customWidth="1"/>
    <col min="5" max="5" width="95.140625" customWidth="1"/>
    <col min="6" max="6" width="11.28515625" customWidth="1"/>
    <col min="8" max="8" width="14.7109375" customWidth="1"/>
    <col min="10" max="10" width="10.140625" customWidth="1"/>
    <col min="17" max="17" width="11.140625" bestFit="1" customWidth="1"/>
    <col min="20" max="20" width="10.85546875" bestFit="1" customWidth="1"/>
    <col min="24" max="24" width="10.7109375" customWidth="1"/>
    <col min="31" max="31" width="12.5703125" customWidth="1"/>
    <col min="32" max="32" width="67.7109375" customWidth="1"/>
  </cols>
  <sheetData>
    <row r="1" spans="1:32" ht="18.75" x14ac:dyDescent="0.3">
      <c r="A1" s="402"/>
      <c r="B1" s="402"/>
      <c r="C1" s="402"/>
      <c r="D1" s="402"/>
      <c r="E1" s="402"/>
      <c r="F1" s="402"/>
      <c r="G1" s="402"/>
      <c r="H1" s="4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402"/>
      <c r="Z1" s="402"/>
      <c r="AA1" s="402"/>
      <c r="AB1" s="402"/>
      <c r="AC1" s="402"/>
      <c r="AD1" s="402"/>
      <c r="AE1" s="402"/>
      <c r="AF1" s="402"/>
    </row>
    <row r="2" spans="1:32" ht="18.75" x14ac:dyDescent="0.3">
      <c r="A2" s="402"/>
      <c r="B2" s="402"/>
      <c r="C2" s="402"/>
      <c r="D2" s="402"/>
      <c r="E2" s="402"/>
      <c r="F2" s="403"/>
      <c r="G2" s="524"/>
      <c r="H2" s="524"/>
      <c r="I2" s="403"/>
      <c r="J2" s="1909" t="s">
        <v>317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524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ht="18.75" x14ac:dyDescent="0.2">
      <c r="A4" s="525" t="s">
        <v>311</v>
      </c>
      <c r="B4" s="525"/>
      <c r="C4" s="525"/>
      <c r="D4" s="525"/>
      <c r="E4" s="525"/>
      <c r="F4" s="403"/>
      <c r="G4" s="524"/>
      <c r="H4" s="524"/>
      <c r="I4" s="406"/>
      <c r="J4" s="406"/>
      <c r="K4" s="406"/>
      <c r="L4" s="406"/>
      <c r="M4" s="406"/>
      <c r="N4" s="406"/>
      <c r="O4" s="406"/>
      <c r="P4" s="406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338</v>
      </c>
    </row>
    <row r="5" spans="1:32" ht="18.75" x14ac:dyDescent="0.2">
      <c r="A5" s="525" t="s">
        <v>316</v>
      </c>
      <c r="B5" s="412"/>
      <c r="C5" s="412"/>
      <c r="D5" s="412"/>
      <c r="E5" s="403"/>
      <c r="F5" s="403"/>
      <c r="G5" s="524"/>
      <c r="H5" s="524"/>
      <c r="I5" s="403"/>
      <c r="J5" s="403"/>
      <c r="K5" s="524"/>
      <c r="L5" s="524"/>
      <c r="M5" s="403"/>
      <c r="N5" s="403"/>
      <c r="O5" s="403"/>
      <c r="P5" s="413"/>
      <c r="Q5" s="414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ht="18.75" x14ac:dyDescent="0.2">
      <c r="A6" s="403"/>
      <c r="B6" s="525"/>
      <c r="C6" s="525"/>
      <c r="D6" s="525"/>
      <c r="E6" s="403"/>
      <c r="F6" s="403"/>
      <c r="G6" s="524"/>
      <c r="H6" s="524"/>
      <c r="I6" s="405"/>
      <c r="J6" s="403"/>
      <c r="K6" s="524"/>
      <c r="L6" s="524"/>
      <c r="M6" s="403"/>
      <c r="N6" s="403"/>
      <c r="O6" s="403"/>
      <c r="P6" s="413"/>
      <c r="Q6" s="414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524"/>
      <c r="H7" s="524"/>
      <c r="I7" s="405"/>
      <c r="J7" s="403"/>
      <c r="K7" s="524"/>
      <c r="L7" s="524"/>
      <c r="M7" s="403"/>
      <c r="N7" s="403"/>
      <c r="O7" s="403"/>
      <c r="P7" s="413"/>
      <c r="Q7" s="414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403"/>
      <c r="G8" s="524"/>
      <c r="H8" s="524"/>
      <c r="I8" s="405"/>
      <c r="J8" s="403"/>
      <c r="K8" s="524"/>
      <c r="L8" s="524"/>
      <c r="M8" s="403"/>
      <c r="N8" s="403"/>
      <c r="O8" s="403"/>
      <c r="P8" s="413"/>
      <c r="Q8" s="414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ht="18.75" x14ac:dyDescent="0.3">
      <c r="A9" s="418"/>
      <c r="B9" s="1911"/>
      <c r="C9" s="1911"/>
      <c r="D9" s="1911"/>
      <c r="E9" s="1911"/>
      <c r="F9" s="403"/>
      <c r="G9" s="524"/>
      <c r="H9" s="524"/>
      <c r="I9" s="403"/>
      <c r="J9" s="403"/>
      <c r="K9" s="524"/>
      <c r="L9" s="524"/>
      <c r="M9" s="524"/>
      <c r="N9" s="524"/>
      <c r="O9" s="524"/>
      <c r="P9" s="524"/>
      <c r="Q9" s="524"/>
      <c r="R9" s="524"/>
      <c r="S9" s="524"/>
      <c r="T9" s="524"/>
      <c r="U9" s="524"/>
      <c r="V9" s="524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ht="18.75" x14ac:dyDescent="0.3">
      <c r="A10" s="418"/>
      <c r="B10" s="524"/>
      <c r="C10" s="524"/>
      <c r="D10" s="524"/>
      <c r="E10" s="403"/>
      <c r="F10" s="403"/>
      <c r="G10" s="524"/>
      <c r="H10" s="524"/>
      <c r="I10" s="405"/>
      <c r="J10" s="403"/>
      <c r="K10" s="524"/>
      <c r="L10" s="524"/>
      <c r="M10" s="403"/>
      <c r="N10" s="403"/>
      <c r="O10" s="403"/>
      <c r="P10" s="413"/>
      <c r="Q10" s="414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45.9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523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520" t="s">
        <v>18</v>
      </c>
      <c r="AE12" s="520" t="s">
        <v>20</v>
      </c>
      <c r="AF12" s="1891" t="s">
        <v>21</v>
      </c>
    </row>
    <row r="13" spans="1:32" ht="54" customHeight="1" x14ac:dyDescent="0.2">
      <c r="A13" s="1891"/>
      <c r="B13" s="1891"/>
      <c r="C13" s="1903"/>
      <c r="D13" s="526" t="s">
        <v>3</v>
      </c>
      <c r="E13" s="526" t="s">
        <v>3</v>
      </c>
      <c r="F13" s="526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425" t="s">
        <v>13</v>
      </c>
      <c r="Q13" s="426" t="s">
        <v>26</v>
      </c>
      <c r="R13" s="424" t="s">
        <v>14</v>
      </c>
      <c r="S13" s="424" t="s">
        <v>25</v>
      </c>
      <c r="T13" s="424" t="s">
        <v>113</v>
      </c>
      <c r="U13" s="1903"/>
      <c r="V13" s="1907"/>
      <c r="W13" s="1903"/>
      <c r="X13" s="1903"/>
      <c r="Y13" s="526" t="s">
        <v>14</v>
      </c>
      <c r="Z13" s="526" t="s">
        <v>25</v>
      </c>
      <c r="AA13" s="526" t="s">
        <v>113</v>
      </c>
      <c r="AB13" s="1904"/>
      <c r="AC13" s="1903"/>
      <c r="AD13" s="526" t="s">
        <v>19</v>
      </c>
      <c r="AE13" s="526" t="s">
        <v>27</v>
      </c>
      <c r="AF13" s="1891"/>
    </row>
    <row r="14" spans="1:32" ht="18.75" customHeight="1" x14ac:dyDescent="0.2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9" t="s">
        <v>52</v>
      </c>
      <c r="I14" s="526">
        <v>558.05999999999995</v>
      </c>
      <c r="J14" s="427" t="s">
        <v>318</v>
      </c>
      <c r="K14" s="427"/>
      <c r="L14" s="427">
        <v>342</v>
      </c>
      <c r="M14" s="427"/>
      <c r="N14" s="427">
        <v>5.2</v>
      </c>
      <c r="O14" s="427"/>
      <c r="P14" s="430">
        <v>25.965024812152905</v>
      </c>
      <c r="Q14" s="431">
        <f t="shared" ref="Q14:Q37" si="0">LEFT(H14,(FIND("K",H14,1)-1))*J14/100</f>
        <v>41.8</v>
      </c>
      <c r="R14" s="432">
        <v>3.3039999999999998</v>
      </c>
      <c r="S14" s="431">
        <v>5.3650000000000002</v>
      </c>
      <c r="T14" s="431">
        <v>7</v>
      </c>
      <c r="U14" s="431">
        <f t="shared" ref="U14:U74" si="1">T14/R14</f>
        <v>2.1186440677966103</v>
      </c>
      <c r="V14" s="433">
        <f>(S14-R14)/S14*100</f>
        <v>38.415657036346694</v>
      </c>
      <c r="W14" s="432">
        <v>1</v>
      </c>
      <c r="X14" s="431">
        <f t="shared" ref="X14:X46" si="2">S14/Q14</f>
        <v>0.12834928229665074</v>
      </c>
      <c r="Y14" s="431">
        <f>R14*0.952</f>
        <v>3.1454079999999998</v>
      </c>
      <c r="Z14" s="431">
        <f>S14*0.952</f>
        <v>5.1074799999999998</v>
      </c>
      <c r="AA14" s="431">
        <f>T14*0.952</f>
        <v>6.6639999999999997</v>
      </c>
      <c r="AB14" s="431">
        <f>U14</f>
        <v>2.1186440677966103</v>
      </c>
      <c r="AC14" s="431">
        <f t="shared" ref="AC14:AC74" si="3">V14</f>
        <v>38.415657036346694</v>
      </c>
      <c r="AD14" s="427">
        <v>30</v>
      </c>
      <c r="AE14" s="431">
        <f>Y14*AD14</f>
        <v>94.362239999999986</v>
      </c>
      <c r="AF14" s="434"/>
    </row>
    <row r="15" spans="1:32" ht="18.75" customHeight="1" x14ac:dyDescent="0.2">
      <c r="A15" s="427">
        <v>2</v>
      </c>
      <c r="B15" s="428" t="s">
        <v>140</v>
      </c>
      <c r="C15" s="427" t="s">
        <v>46</v>
      </c>
      <c r="D15" s="427">
        <v>585</v>
      </c>
      <c r="E15" s="427" t="s">
        <v>201</v>
      </c>
      <c r="F15" s="427">
        <v>177.8</v>
      </c>
      <c r="G15" s="427" t="s">
        <v>28</v>
      </c>
      <c r="H15" s="429" t="s">
        <v>53</v>
      </c>
      <c r="I15" s="526">
        <v>565.55999999999995</v>
      </c>
      <c r="J15" s="427" t="s">
        <v>319</v>
      </c>
      <c r="K15" s="427"/>
      <c r="L15" s="427">
        <v>452</v>
      </c>
      <c r="M15" s="427"/>
      <c r="N15" s="427">
        <v>4.5</v>
      </c>
      <c r="O15" s="427"/>
      <c r="P15" s="430">
        <v>16.332727731279554</v>
      </c>
      <c r="Q15" s="431">
        <f t="shared" si="0"/>
        <v>20.8</v>
      </c>
      <c r="R15" s="431">
        <v>2.7090000000000001</v>
      </c>
      <c r="S15" s="431">
        <v>4.0640000000000001</v>
      </c>
      <c r="T15" s="431">
        <v>7</v>
      </c>
      <c r="U15" s="431">
        <f t="shared" si="1"/>
        <v>2.5839793281653747</v>
      </c>
      <c r="V15" s="433">
        <f>(S15-R15)/S15*100</f>
        <v>33.341535433070867</v>
      </c>
      <c r="W15" s="431">
        <v>4</v>
      </c>
      <c r="X15" s="431">
        <f t="shared" si="2"/>
        <v>0.19538461538461538</v>
      </c>
      <c r="Y15" s="431">
        <f t="shared" ref="Y15:Y29" si="4">R15*0.952</f>
        <v>2.5789680000000001</v>
      </c>
      <c r="Z15" s="431">
        <f t="shared" ref="Z15:Z29" si="5">S15*0.952</f>
        <v>3.8689279999999999</v>
      </c>
      <c r="AA15" s="431">
        <f t="shared" ref="AA15:AA29" si="6">T15*0.952</f>
        <v>6.6639999999999997</v>
      </c>
      <c r="AB15" s="431">
        <f t="shared" ref="AB15:AB74" si="7">U15</f>
        <v>2.5839793281653747</v>
      </c>
      <c r="AC15" s="431">
        <f t="shared" si="3"/>
        <v>33.341535433070867</v>
      </c>
      <c r="AD15" s="427">
        <v>30</v>
      </c>
      <c r="AE15" s="431">
        <f t="shared" ref="AE15:AE57" si="8">Y15*AD15</f>
        <v>77.369039999999998</v>
      </c>
      <c r="AF15" s="434"/>
    </row>
    <row r="16" spans="1:32" ht="18.75" customHeight="1" x14ac:dyDescent="0.2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9" t="s">
        <v>218</v>
      </c>
      <c r="I16" s="526">
        <v>565.94000000000005</v>
      </c>
      <c r="J16" s="427" t="s">
        <v>245</v>
      </c>
      <c r="K16" s="427"/>
      <c r="L16" s="427">
        <v>493</v>
      </c>
      <c r="M16" s="427"/>
      <c r="N16" s="430">
        <v>10.1</v>
      </c>
      <c r="O16" s="427"/>
      <c r="P16" s="430">
        <v>14.452040004067801</v>
      </c>
      <c r="Q16" s="431">
        <f>LEFT(H16,(FIND("K",H16,1)-1))*J16/100</f>
        <v>57.6</v>
      </c>
      <c r="R16" s="432">
        <v>14.244999999999999</v>
      </c>
      <c r="S16" s="431">
        <v>21.577999999999999</v>
      </c>
      <c r="T16" s="530">
        <v>2295</v>
      </c>
      <c r="U16" s="431">
        <f t="shared" si="1"/>
        <v>161.10916110916111</v>
      </c>
      <c r="V16" s="433">
        <f t="shared" ref="V16:V74" si="9">(S16-R16)/S16*100</f>
        <v>33.983687088701458</v>
      </c>
      <c r="W16" s="432">
        <v>0.3</v>
      </c>
      <c r="X16" s="431">
        <f t="shared" si="2"/>
        <v>0.37461805555555555</v>
      </c>
      <c r="Y16" s="431">
        <f t="shared" si="4"/>
        <v>13.561239999999998</v>
      </c>
      <c r="Z16" s="431">
        <f t="shared" si="5"/>
        <v>20.542255999999998</v>
      </c>
      <c r="AA16" s="530">
        <f t="shared" si="6"/>
        <v>2184.8399999999997</v>
      </c>
      <c r="AB16" s="431">
        <f t="shared" si="7"/>
        <v>161.10916110916111</v>
      </c>
      <c r="AC16" s="431">
        <f t="shared" si="3"/>
        <v>33.983687088701458</v>
      </c>
      <c r="AD16" s="427">
        <v>30</v>
      </c>
      <c r="AE16" s="431">
        <f>Y16*AD16</f>
        <v>406.83719999999994</v>
      </c>
      <c r="AF16" s="434"/>
    </row>
    <row r="17" spans="1:32" ht="18.75" customHeight="1" x14ac:dyDescent="0.2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9" t="s">
        <v>53</v>
      </c>
      <c r="I17" s="526">
        <v>538.47</v>
      </c>
      <c r="J17" s="427">
        <v>230</v>
      </c>
      <c r="K17" s="427"/>
      <c r="L17" s="427">
        <v>452</v>
      </c>
      <c r="M17" s="427"/>
      <c r="N17" s="430">
        <v>2.5</v>
      </c>
      <c r="O17" s="427"/>
      <c r="P17" s="430">
        <v>13.178191383138547</v>
      </c>
      <c r="Q17" s="431">
        <f t="shared" si="0"/>
        <v>29.9</v>
      </c>
      <c r="R17" s="432">
        <v>5.9640000000000004</v>
      </c>
      <c r="S17" s="431">
        <v>7.7190000000000003</v>
      </c>
      <c r="T17" s="431">
        <v>38</v>
      </c>
      <c r="U17" s="431">
        <f t="shared" si="1"/>
        <v>6.3715627095908784</v>
      </c>
      <c r="V17" s="433">
        <f t="shared" si="9"/>
        <v>22.736105713175281</v>
      </c>
      <c r="W17" s="432">
        <v>0.3</v>
      </c>
      <c r="X17" s="431">
        <f>S17/Q17</f>
        <v>0.25816053511705689</v>
      </c>
      <c r="Y17" s="431">
        <f t="shared" si="4"/>
        <v>5.6777280000000001</v>
      </c>
      <c r="Z17" s="431">
        <f t="shared" si="5"/>
        <v>7.3484879999999997</v>
      </c>
      <c r="AA17" s="431">
        <f t="shared" si="6"/>
        <v>36.176000000000002</v>
      </c>
      <c r="AB17" s="431">
        <f t="shared" si="7"/>
        <v>6.3715627095908784</v>
      </c>
      <c r="AC17" s="431">
        <f t="shared" si="3"/>
        <v>22.736105713175281</v>
      </c>
      <c r="AD17" s="427">
        <v>30</v>
      </c>
      <c r="AE17" s="431">
        <f t="shared" si="8"/>
        <v>170.33184</v>
      </c>
      <c r="AF17" s="434"/>
    </row>
    <row r="18" spans="1:32" ht="18.75" customHeight="1" x14ac:dyDescent="0.2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429" t="s">
        <v>48</v>
      </c>
      <c r="I18" s="526">
        <v>546</v>
      </c>
      <c r="J18" s="427" t="s">
        <v>248</v>
      </c>
      <c r="K18" s="427"/>
      <c r="L18" s="427">
        <v>421</v>
      </c>
      <c r="M18" s="435"/>
      <c r="N18" s="427">
        <v>7.5</v>
      </c>
      <c r="O18" s="427"/>
      <c r="P18" s="430">
        <v>21.268661486628243</v>
      </c>
      <c r="Q18" s="431">
        <f t="shared" si="0"/>
        <v>11.05</v>
      </c>
      <c r="R18" s="432">
        <v>3.7</v>
      </c>
      <c r="S18" s="431">
        <v>8.2460000000000004</v>
      </c>
      <c r="T18" s="431">
        <v>9</v>
      </c>
      <c r="U18" s="431">
        <v>0</v>
      </c>
      <c r="V18" s="433">
        <v>0</v>
      </c>
      <c r="W18" s="432">
        <v>2</v>
      </c>
      <c r="X18" s="431">
        <v>0</v>
      </c>
      <c r="Y18" s="431">
        <f t="shared" si="4"/>
        <v>3.5224000000000002</v>
      </c>
      <c r="Z18" s="431">
        <f t="shared" si="5"/>
        <v>7.8501919999999998</v>
      </c>
      <c r="AA18" s="431">
        <f t="shared" si="6"/>
        <v>8.5679999999999996</v>
      </c>
      <c r="AB18" s="431">
        <f t="shared" si="7"/>
        <v>0</v>
      </c>
      <c r="AC18" s="431">
        <f t="shared" si="3"/>
        <v>0</v>
      </c>
      <c r="AD18" s="427">
        <v>30</v>
      </c>
      <c r="AE18" s="431">
        <f t="shared" si="8"/>
        <v>105.67200000000001</v>
      </c>
      <c r="AF18" s="434"/>
    </row>
    <row r="19" spans="1:32" ht="18.75" customHeight="1" x14ac:dyDescent="0.2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9" t="s">
        <v>50</v>
      </c>
      <c r="I19" s="526">
        <v>584.32000000000005</v>
      </c>
      <c r="J19" s="427" t="s">
        <v>321</v>
      </c>
      <c r="K19" s="427"/>
      <c r="L19" s="427">
        <v>423</v>
      </c>
      <c r="M19" s="427"/>
      <c r="N19" s="427">
        <v>2</v>
      </c>
      <c r="O19" s="427"/>
      <c r="P19" s="430">
        <v>16.770730730688427</v>
      </c>
      <c r="Q19" s="431">
        <f t="shared" si="0"/>
        <v>16.8</v>
      </c>
      <c r="R19" s="432">
        <v>6.8179999999999996</v>
      </c>
      <c r="S19" s="431">
        <v>10.917999999999999</v>
      </c>
      <c r="T19" s="431">
        <v>15</v>
      </c>
      <c r="U19" s="431">
        <f t="shared" si="1"/>
        <v>2.2000586682311529</v>
      </c>
      <c r="V19" s="433">
        <f t="shared" si="9"/>
        <v>37.552665323319289</v>
      </c>
      <c r="W19" s="432">
        <v>3</v>
      </c>
      <c r="X19" s="431">
        <f>S19/Q19</f>
        <v>0.64988095238095234</v>
      </c>
      <c r="Y19" s="431">
        <f t="shared" si="4"/>
        <v>6.4907359999999992</v>
      </c>
      <c r="Z19" s="431">
        <f t="shared" si="5"/>
        <v>10.393935999999998</v>
      </c>
      <c r="AA19" s="431">
        <f t="shared" si="6"/>
        <v>14.28</v>
      </c>
      <c r="AB19" s="431">
        <v>14.613</v>
      </c>
      <c r="AC19" s="431">
        <f t="shared" si="3"/>
        <v>37.552665323319289</v>
      </c>
      <c r="AD19" s="427">
        <v>30</v>
      </c>
      <c r="AE19" s="431">
        <f t="shared" si="8"/>
        <v>194.72207999999998</v>
      </c>
      <c r="AF19" s="434"/>
    </row>
    <row r="20" spans="1:32" ht="18.75" customHeight="1" x14ac:dyDescent="0.2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9" t="s">
        <v>52</v>
      </c>
      <c r="I20" s="526">
        <v>560</v>
      </c>
      <c r="J20" s="427" t="s">
        <v>322</v>
      </c>
      <c r="K20" s="427"/>
      <c r="L20" s="427">
        <v>477</v>
      </c>
      <c r="M20" s="427"/>
      <c r="N20" s="427">
        <v>12.2</v>
      </c>
      <c r="O20" s="427"/>
      <c r="P20" s="430">
        <v>20.866410724858298</v>
      </c>
      <c r="Q20" s="431">
        <f t="shared" si="0"/>
        <v>26.4</v>
      </c>
      <c r="R20" s="432">
        <v>10.169</v>
      </c>
      <c r="S20" s="431">
        <v>13.103000000000002</v>
      </c>
      <c r="T20" s="431">
        <v>123</v>
      </c>
      <c r="U20" s="431">
        <f t="shared" si="1"/>
        <v>12.095584619923295</v>
      </c>
      <c r="V20" s="433">
        <f t="shared" si="9"/>
        <v>22.391818667480734</v>
      </c>
      <c r="W20" s="432">
        <v>2</v>
      </c>
      <c r="X20" s="431">
        <f t="shared" si="2"/>
        <v>0.49632575757575764</v>
      </c>
      <c r="Y20" s="431">
        <f t="shared" si="4"/>
        <v>9.6808879999999995</v>
      </c>
      <c r="Z20" s="431">
        <f t="shared" si="5"/>
        <v>12.474056000000001</v>
      </c>
      <c r="AA20" s="431">
        <f t="shared" si="6"/>
        <v>117.09599999999999</v>
      </c>
      <c r="AB20" s="431">
        <f t="shared" si="7"/>
        <v>12.095584619923295</v>
      </c>
      <c r="AC20" s="431">
        <f t="shared" si="3"/>
        <v>22.391818667480734</v>
      </c>
      <c r="AD20" s="427">
        <v>30</v>
      </c>
      <c r="AE20" s="431">
        <f t="shared" si="8"/>
        <v>290.42663999999996</v>
      </c>
      <c r="AF20" s="434"/>
    </row>
    <row r="21" spans="1:32" ht="18.75" customHeight="1" x14ac:dyDescent="0.2">
      <c r="A21" s="427">
        <v>8</v>
      </c>
      <c r="B21" s="428" t="s">
        <v>146</v>
      </c>
      <c r="C21" s="427" t="s">
        <v>46</v>
      </c>
      <c r="D21" s="427">
        <v>764</v>
      </c>
      <c r="E21" s="436" t="s">
        <v>73</v>
      </c>
      <c r="F21" s="427">
        <v>177.8</v>
      </c>
      <c r="G21" s="427" t="s">
        <v>28</v>
      </c>
      <c r="H21" s="429" t="s">
        <v>52</v>
      </c>
      <c r="I21" s="437">
        <v>550</v>
      </c>
      <c r="J21" s="427" t="s">
        <v>248</v>
      </c>
      <c r="K21" s="438"/>
      <c r="L21" s="427">
        <v>280</v>
      </c>
      <c r="M21" s="438"/>
      <c r="N21" s="427">
        <v>9.1</v>
      </c>
      <c r="O21" s="438"/>
      <c r="P21" s="430">
        <v>37.925497202215823</v>
      </c>
      <c r="Q21" s="431">
        <f t="shared" si="0"/>
        <v>18.7</v>
      </c>
      <c r="R21" s="432">
        <v>2.8530000000000002</v>
      </c>
      <c r="S21" s="431">
        <v>14.215999999999999</v>
      </c>
      <c r="T21" s="431">
        <v>89</v>
      </c>
      <c r="U21" s="431">
        <f t="shared" si="1"/>
        <v>31.195233087977567</v>
      </c>
      <c r="V21" s="433">
        <f t="shared" si="9"/>
        <v>79.931063590320761</v>
      </c>
      <c r="W21" s="432">
        <v>2</v>
      </c>
      <c r="X21" s="431">
        <f t="shared" si="2"/>
        <v>0.76021390374331554</v>
      </c>
      <c r="Y21" s="431">
        <f t="shared" si="4"/>
        <v>2.716056</v>
      </c>
      <c r="Z21" s="431">
        <f t="shared" si="5"/>
        <v>13.533631999999999</v>
      </c>
      <c r="AA21" s="431">
        <f t="shared" si="6"/>
        <v>84.727999999999994</v>
      </c>
      <c r="AB21" s="431">
        <f t="shared" si="7"/>
        <v>31.195233087977567</v>
      </c>
      <c r="AC21" s="431">
        <f t="shared" si="3"/>
        <v>79.931063590320761</v>
      </c>
      <c r="AD21" s="427">
        <v>30</v>
      </c>
      <c r="AE21" s="431">
        <f t="shared" si="8"/>
        <v>81.481679999999997</v>
      </c>
      <c r="AF21" s="434"/>
    </row>
    <row r="22" spans="1:32" ht="18.75" customHeight="1" x14ac:dyDescent="0.2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9" t="s">
        <v>52</v>
      </c>
      <c r="I22" s="526">
        <v>591.98</v>
      </c>
      <c r="J22" s="427" t="s">
        <v>239</v>
      </c>
      <c r="K22" s="427"/>
      <c r="L22" s="427">
        <v>475</v>
      </c>
      <c r="M22" s="427"/>
      <c r="N22" s="427">
        <v>6.7</v>
      </c>
      <c r="O22" s="427"/>
      <c r="P22" s="430">
        <v>15.649873175316884</v>
      </c>
      <c r="Q22" s="431">
        <f t="shared" si="0"/>
        <v>22</v>
      </c>
      <c r="R22" s="432">
        <v>6.9240000000000004</v>
      </c>
      <c r="S22" s="431">
        <v>10.4</v>
      </c>
      <c r="T22" s="431">
        <v>20</v>
      </c>
      <c r="U22" s="431">
        <f t="shared" si="1"/>
        <v>2.8885037550548813</v>
      </c>
      <c r="V22" s="433">
        <f t="shared" si="9"/>
        <v>33.42307692307692</v>
      </c>
      <c r="W22" s="432">
        <v>0.5</v>
      </c>
      <c r="X22" s="431">
        <f t="shared" si="2"/>
        <v>0.47272727272727272</v>
      </c>
      <c r="Y22" s="431">
        <f t="shared" si="4"/>
        <v>6.5916480000000002</v>
      </c>
      <c r="Z22" s="431">
        <f t="shared" si="5"/>
        <v>9.9008000000000003</v>
      </c>
      <c r="AA22" s="431">
        <f t="shared" si="6"/>
        <v>19.04</v>
      </c>
      <c r="AB22" s="431">
        <f t="shared" si="7"/>
        <v>2.8885037550548813</v>
      </c>
      <c r="AC22" s="431">
        <f t="shared" si="3"/>
        <v>33.42307692307692</v>
      </c>
      <c r="AD22" s="427">
        <v>30</v>
      </c>
      <c r="AE22" s="431">
        <f t="shared" si="8"/>
        <v>197.74943999999999</v>
      </c>
      <c r="AF22" s="434"/>
    </row>
    <row r="23" spans="1:32" ht="18.75" customHeight="1" x14ac:dyDescent="0.2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9" t="s">
        <v>52</v>
      </c>
      <c r="I23" s="526">
        <v>585.29999999999995</v>
      </c>
      <c r="J23" s="427" t="s">
        <v>319</v>
      </c>
      <c r="K23" s="427"/>
      <c r="L23" s="427">
        <v>219</v>
      </c>
      <c r="M23" s="427"/>
      <c r="N23" s="427">
        <v>1.5</v>
      </c>
      <c r="O23" s="427"/>
      <c r="P23" s="430">
        <v>35.444038614285709</v>
      </c>
      <c r="Q23" s="431">
        <f t="shared" si="0"/>
        <v>35.200000000000003</v>
      </c>
      <c r="R23" s="432">
        <v>0</v>
      </c>
      <c r="S23" s="431">
        <v>2.2410000000000001</v>
      </c>
      <c r="T23" s="431">
        <v>0</v>
      </c>
      <c r="U23" s="431">
        <v>0</v>
      </c>
      <c r="V23" s="433">
        <f t="shared" si="9"/>
        <v>100</v>
      </c>
      <c r="W23" s="432">
        <v>0.3</v>
      </c>
      <c r="X23" s="431">
        <f t="shared" si="2"/>
        <v>6.3664772727272723E-2</v>
      </c>
      <c r="Y23" s="431">
        <f t="shared" si="4"/>
        <v>0</v>
      </c>
      <c r="Z23" s="431">
        <f t="shared" si="5"/>
        <v>2.133432</v>
      </c>
      <c r="AA23" s="431">
        <f t="shared" si="6"/>
        <v>0</v>
      </c>
      <c r="AB23" s="431">
        <f t="shared" si="7"/>
        <v>0</v>
      </c>
      <c r="AC23" s="431">
        <f t="shared" si="3"/>
        <v>100</v>
      </c>
      <c r="AD23" s="427">
        <v>30</v>
      </c>
      <c r="AE23" s="431">
        <f t="shared" si="8"/>
        <v>0</v>
      </c>
      <c r="AF23" s="439"/>
    </row>
    <row r="24" spans="1:32" ht="18.75" customHeight="1" x14ac:dyDescent="0.2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9" t="s">
        <v>53</v>
      </c>
      <c r="I24" s="526">
        <v>554.91</v>
      </c>
      <c r="J24" s="427" t="s">
        <v>322</v>
      </c>
      <c r="K24" s="427"/>
      <c r="L24" s="427">
        <v>408</v>
      </c>
      <c r="M24" s="427"/>
      <c r="N24" s="427">
        <v>1.2</v>
      </c>
      <c r="O24" s="427"/>
      <c r="P24" s="430">
        <v>17.444370001723367</v>
      </c>
      <c r="Q24" s="431">
        <f t="shared" si="0"/>
        <v>15.6</v>
      </c>
      <c r="R24" s="432">
        <v>3.2730000000000001</v>
      </c>
      <c r="S24" s="431">
        <v>4.8819999999999997</v>
      </c>
      <c r="T24" s="431">
        <v>9</v>
      </c>
      <c r="U24" s="431">
        <f t="shared" si="1"/>
        <v>2.7497708524289641</v>
      </c>
      <c r="V24" s="433">
        <f t="shared" si="9"/>
        <v>32.957804178615312</v>
      </c>
      <c r="W24" s="432">
        <v>1</v>
      </c>
      <c r="X24" s="431">
        <f t="shared" si="2"/>
        <v>0.31294871794871792</v>
      </c>
      <c r="Y24" s="431">
        <f t="shared" si="4"/>
        <v>3.1158959999999998</v>
      </c>
      <c r="Z24" s="431">
        <f t="shared" si="5"/>
        <v>4.6476639999999998</v>
      </c>
      <c r="AA24" s="431">
        <f t="shared" si="6"/>
        <v>8.5679999999999996</v>
      </c>
      <c r="AB24" s="431">
        <f t="shared" si="7"/>
        <v>2.7497708524289641</v>
      </c>
      <c r="AC24" s="431">
        <f t="shared" si="3"/>
        <v>32.957804178615312</v>
      </c>
      <c r="AD24" s="427">
        <v>30</v>
      </c>
      <c r="AE24" s="431">
        <f t="shared" si="8"/>
        <v>93.476879999999994</v>
      </c>
      <c r="AF24" s="434"/>
    </row>
    <row r="25" spans="1:32" ht="18.75" customHeight="1" x14ac:dyDescent="0.2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9" t="s">
        <v>52</v>
      </c>
      <c r="I25" s="526">
        <v>553.5</v>
      </c>
      <c r="J25" s="427">
        <v>250</v>
      </c>
      <c r="K25" s="427"/>
      <c r="L25" s="427">
        <v>291</v>
      </c>
      <c r="M25" s="427"/>
      <c r="N25" s="427">
        <v>2.2999999999999998</v>
      </c>
      <c r="O25" s="427"/>
      <c r="P25" s="430">
        <v>28.942707725963096</v>
      </c>
      <c r="Q25" s="431">
        <f t="shared" si="0"/>
        <v>55</v>
      </c>
      <c r="R25" s="432">
        <v>20.655999999999999</v>
      </c>
      <c r="S25" s="431">
        <v>31.919999999999998</v>
      </c>
      <c r="T25" s="431">
        <v>0</v>
      </c>
      <c r="U25" s="431">
        <f t="shared" si="1"/>
        <v>0</v>
      </c>
      <c r="V25" s="433">
        <f t="shared" si="9"/>
        <v>35.288220551378444</v>
      </c>
      <c r="W25" s="432">
        <v>0.3</v>
      </c>
      <c r="X25" s="431">
        <f t="shared" si="2"/>
        <v>0.5803636363636363</v>
      </c>
      <c r="Y25" s="431">
        <f t="shared" si="4"/>
        <v>19.664511999999998</v>
      </c>
      <c r="Z25" s="431">
        <f t="shared" si="5"/>
        <v>30.387839999999997</v>
      </c>
      <c r="AA25" s="431">
        <f t="shared" si="6"/>
        <v>0</v>
      </c>
      <c r="AB25" s="431">
        <f t="shared" si="7"/>
        <v>0</v>
      </c>
      <c r="AC25" s="431">
        <f t="shared" si="3"/>
        <v>35.288220551378444</v>
      </c>
      <c r="AD25" s="427">
        <v>30</v>
      </c>
      <c r="AE25" s="431">
        <f t="shared" si="8"/>
        <v>589.93535999999995</v>
      </c>
      <c r="AF25" s="434"/>
    </row>
    <row r="26" spans="1:32" ht="18.75" customHeight="1" x14ac:dyDescent="0.2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9" t="s">
        <v>49</v>
      </c>
      <c r="I26" s="526">
        <v>525.03</v>
      </c>
      <c r="J26" s="427" t="s">
        <v>322</v>
      </c>
      <c r="K26" s="427"/>
      <c r="L26" s="427">
        <v>333</v>
      </c>
      <c r="M26" s="427"/>
      <c r="N26" s="427">
        <v>7.5</v>
      </c>
      <c r="O26" s="427"/>
      <c r="P26" s="430">
        <v>27.351016860232964</v>
      </c>
      <c r="Q26" s="431">
        <f t="shared" si="0"/>
        <v>38.4</v>
      </c>
      <c r="R26" s="432">
        <v>15.26</v>
      </c>
      <c r="S26" s="431">
        <v>26.039000000000001</v>
      </c>
      <c r="T26" s="431">
        <v>249</v>
      </c>
      <c r="U26" s="431">
        <f t="shared" si="1"/>
        <v>16.317169069462647</v>
      </c>
      <c r="V26" s="433">
        <f t="shared" si="9"/>
        <v>41.395598909328321</v>
      </c>
      <c r="W26" s="432">
        <v>0.3</v>
      </c>
      <c r="X26" s="431">
        <f t="shared" si="2"/>
        <v>0.67809895833333345</v>
      </c>
      <c r="Y26" s="431">
        <f t="shared" si="4"/>
        <v>14.527519999999999</v>
      </c>
      <c r="Z26" s="431">
        <f t="shared" si="5"/>
        <v>24.789128000000002</v>
      </c>
      <c r="AA26" s="431">
        <f t="shared" si="6"/>
        <v>237.048</v>
      </c>
      <c r="AB26" s="431">
        <f t="shared" si="7"/>
        <v>16.317169069462647</v>
      </c>
      <c r="AC26" s="431">
        <f t="shared" si="3"/>
        <v>41.395598909328321</v>
      </c>
      <c r="AD26" s="427">
        <v>30</v>
      </c>
      <c r="AE26" s="431">
        <f t="shared" si="8"/>
        <v>435.82559999999995</v>
      </c>
      <c r="AF26" s="434"/>
    </row>
    <row r="27" spans="1:32" ht="18.75" customHeight="1" x14ac:dyDescent="0.2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9" t="s">
        <v>52</v>
      </c>
      <c r="I27" s="437">
        <v>522</v>
      </c>
      <c r="J27" s="427" t="s">
        <v>257</v>
      </c>
      <c r="K27" s="427"/>
      <c r="L27" s="427">
        <v>432</v>
      </c>
      <c r="M27" s="427"/>
      <c r="N27" s="427">
        <v>9.5</v>
      </c>
      <c r="O27" s="427"/>
      <c r="P27" s="430">
        <v>19.505136640827345</v>
      </c>
      <c r="Q27" s="431">
        <f t="shared" si="0"/>
        <v>79.2</v>
      </c>
      <c r="R27" s="432">
        <v>12.579000000000001</v>
      </c>
      <c r="S27" s="431">
        <v>20.488</v>
      </c>
      <c r="T27" s="530">
        <v>4855</v>
      </c>
      <c r="U27" s="431">
        <f t="shared" si="1"/>
        <v>385.96072819778993</v>
      </c>
      <c r="V27" s="433">
        <f t="shared" si="9"/>
        <v>38.603084732526355</v>
      </c>
      <c r="W27" s="432">
        <v>0.3</v>
      </c>
      <c r="X27" s="431">
        <f t="shared" si="2"/>
        <v>0.25868686868686869</v>
      </c>
      <c r="Y27" s="431">
        <f t="shared" si="4"/>
        <v>11.975208</v>
      </c>
      <c r="Z27" s="431">
        <f t="shared" si="5"/>
        <v>19.504576</v>
      </c>
      <c r="AA27" s="530">
        <f t="shared" si="6"/>
        <v>4621.96</v>
      </c>
      <c r="AB27" s="431">
        <f t="shared" si="7"/>
        <v>385.96072819778993</v>
      </c>
      <c r="AC27" s="431">
        <f t="shared" si="3"/>
        <v>38.603084732526355</v>
      </c>
      <c r="AD27" s="427">
        <v>30</v>
      </c>
      <c r="AE27" s="431">
        <f t="shared" si="8"/>
        <v>359.25623999999999</v>
      </c>
      <c r="AF27" s="434"/>
    </row>
    <row r="28" spans="1:32" ht="18.75" customHeight="1" x14ac:dyDescent="0.2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9" t="s">
        <v>48</v>
      </c>
      <c r="I28" s="526">
        <v>570.95000000000005</v>
      </c>
      <c r="J28" s="427" t="s">
        <v>248</v>
      </c>
      <c r="K28" s="427"/>
      <c r="L28" s="427">
        <v>454</v>
      </c>
      <c r="M28" s="427"/>
      <c r="N28" s="427">
        <v>7.7</v>
      </c>
      <c r="O28" s="427"/>
      <c r="P28" s="430">
        <v>20.027763493249019</v>
      </c>
      <c r="Q28" s="431">
        <f t="shared" si="0"/>
        <v>11.05</v>
      </c>
      <c r="R28" s="432">
        <v>2.8639999999999999</v>
      </c>
      <c r="S28" s="431">
        <v>5.3249999999999993</v>
      </c>
      <c r="T28" s="431">
        <v>27</v>
      </c>
      <c r="U28" s="431">
        <f t="shared" si="1"/>
        <v>9.4273743016759788</v>
      </c>
      <c r="V28" s="433">
        <f t="shared" si="9"/>
        <v>46.215962441314552</v>
      </c>
      <c r="W28" s="432">
        <v>0.4</v>
      </c>
      <c r="X28" s="431">
        <f t="shared" si="2"/>
        <v>0.48190045248868768</v>
      </c>
      <c r="Y28" s="431">
        <f t="shared" si="4"/>
        <v>2.7265279999999996</v>
      </c>
      <c r="Z28" s="431">
        <f t="shared" si="5"/>
        <v>5.069399999999999</v>
      </c>
      <c r="AA28" s="431">
        <f t="shared" si="6"/>
        <v>25.704000000000001</v>
      </c>
      <c r="AB28" s="431">
        <f t="shared" si="7"/>
        <v>9.4273743016759788</v>
      </c>
      <c r="AC28" s="431">
        <f t="shared" si="3"/>
        <v>46.215962441314552</v>
      </c>
      <c r="AD28" s="427">
        <v>30</v>
      </c>
      <c r="AE28" s="431">
        <f>Y28*AD28</f>
        <v>81.795839999999984</v>
      </c>
      <c r="AF28" s="439"/>
    </row>
    <row r="29" spans="1:32" ht="18.75" customHeight="1" x14ac:dyDescent="0.2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 t="s">
        <v>250</v>
      </c>
      <c r="K29" s="428"/>
      <c r="L29" s="428">
        <v>507</v>
      </c>
      <c r="M29" s="428"/>
      <c r="N29" s="428">
        <v>11.3</v>
      </c>
      <c r="O29" s="428"/>
      <c r="P29" s="441">
        <v>16.044850429097817</v>
      </c>
      <c r="Q29" s="428">
        <f t="shared" si="0"/>
        <v>96</v>
      </c>
      <c r="R29" s="442">
        <v>14.669</v>
      </c>
      <c r="S29" s="431">
        <v>16.725999999999999</v>
      </c>
      <c r="T29" s="428">
        <v>778</v>
      </c>
      <c r="U29" s="442">
        <f t="shared" si="1"/>
        <v>53.037016838230279</v>
      </c>
      <c r="V29" s="433">
        <f t="shared" si="9"/>
        <v>12.298218342699981</v>
      </c>
      <c r="W29" s="428">
        <v>0.3</v>
      </c>
      <c r="X29" s="442">
        <f t="shared" si="2"/>
        <v>0.17422916666666666</v>
      </c>
      <c r="Y29" s="431">
        <f t="shared" si="4"/>
        <v>13.964888</v>
      </c>
      <c r="Z29" s="431">
        <f t="shared" si="5"/>
        <v>15.923151999999998</v>
      </c>
      <c r="AA29" s="431">
        <f t="shared" si="6"/>
        <v>740.65599999999995</v>
      </c>
      <c r="AB29" s="442">
        <f t="shared" si="7"/>
        <v>53.037016838230279</v>
      </c>
      <c r="AC29" s="442">
        <f t="shared" si="3"/>
        <v>12.298218342699981</v>
      </c>
      <c r="AD29" s="427">
        <v>30</v>
      </c>
      <c r="AE29" s="442">
        <f>Y29*AD29</f>
        <v>418.94664</v>
      </c>
      <c r="AF29" s="428"/>
    </row>
    <row r="30" spans="1:32" ht="18.75" customHeight="1" x14ac:dyDescent="0.2">
      <c r="A30" s="427">
        <v>17</v>
      </c>
      <c r="B30" s="428" t="s">
        <v>154</v>
      </c>
      <c r="C30" s="427" t="s">
        <v>46</v>
      </c>
      <c r="D30" s="443">
        <v>615</v>
      </c>
      <c r="E30" s="436" t="s">
        <v>204</v>
      </c>
      <c r="F30" s="427">
        <v>177.8</v>
      </c>
      <c r="G30" s="427" t="s">
        <v>28</v>
      </c>
      <c r="H30" s="429" t="s">
        <v>48</v>
      </c>
      <c r="I30" s="437">
        <v>605.78</v>
      </c>
      <c r="J30" s="427">
        <v>0</v>
      </c>
      <c r="K30" s="435">
        <v>166</v>
      </c>
      <c r="L30" s="427"/>
      <c r="M30" s="427">
        <v>10</v>
      </c>
      <c r="N30" s="427"/>
      <c r="O30" s="427"/>
      <c r="P30" s="444">
        <v>50.234069408163258</v>
      </c>
      <c r="Q30" s="431">
        <v>0</v>
      </c>
      <c r="R30" s="432"/>
      <c r="S30" s="431"/>
      <c r="T30" s="431"/>
      <c r="U30" s="431">
        <v>0</v>
      </c>
      <c r="V30" s="433">
        <v>0</v>
      </c>
      <c r="W30" s="431"/>
      <c r="X30" s="431">
        <v>0</v>
      </c>
      <c r="Y30" s="431">
        <f t="shared" ref="Y30:Y74" si="10">R30*0.952</f>
        <v>0</v>
      </c>
      <c r="Z30" s="431">
        <f t="shared" ref="Z30:Z74" si="11">S30*0.952</f>
        <v>0</v>
      </c>
      <c r="AA30" s="431">
        <f t="shared" ref="AA30:AA74" si="12">T30*0.952</f>
        <v>0</v>
      </c>
      <c r="AB30" s="431">
        <v>0</v>
      </c>
      <c r="AC30" s="431">
        <v>0</v>
      </c>
      <c r="AD30" s="427">
        <v>0</v>
      </c>
      <c r="AE30" s="431">
        <v>0</v>
      </c>
      <c r="AF30" s="434" t="s">
        <v>334</v>
      </c>
    </row>
    <row r="31" spans="1:32" ht="18.75" customHeight="1" x14ac:dyDescent="0.2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9" t="s">
        <v>48</v>
      </c>
      <c r="I31" s="526">
        <v>561.19000000000005</v>
      </c>
      <c r="J31" s="427" t="s">
        <v>240</v>
      </c>
      <c r="K31" s="435">
        <v>112</v>
      </c>
      <c r="L31" s="427"/>
      <c r="M31" s="427">
        <v>0.9</v>
      </c>
      <c r="N31" s="427"/>
      <c r="O31" s="427"/>
      <c r="P31" s="430">
        <v>47.414156906326525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32">
        <v>0</v>
      </c>
      <c r="V31" s="433">
        <v>0</v>
      </c>
      <c r="W31" s="432">
        <v>0</v>
      </c>
      <c r="X31" s="432">
        <v>0</v>
      </c>
      <c r="Y31" s="431">
        <f t="shared" si="10"/>
        <v>0</v>
      </c>
      <c r="Z31" s="431">
        <f t="shared" si="11"/>
        <v>0</v>
      </c>
      <c r="AA31" s="431">
        <f t="shared" si="12"/>
        <v>0</v>
      </c>
      <c r="AB31" s="431">
        <f>U31</f>
        <v>0</v>
      </c>
      <c r="AC31" s="431">
        <f t="shared" si="3"/>
        <v>0</v>
      </c>
      <c r="AD31" s="427">
        <v>0</v>
      </c>
      <c r="AE31" s="431">
        <f t="shared" si="8"/>
        <v>0</v>
      </c>
      <c r="AF31" s="434" t="s">
        <v>335</v>
      </c>
    </row>
    <row r="32" spans="1:32" ht="18.75" customHeight="1" x14ac:dyDescent="0.2">
      <c r="A32" s="427">
        <v>19</v>
      </c>
      <c r="B32" s="428" t="s">
        <v>39</v>
      </c>
      <c r="C32" s="427" t="s">
        <v>46</v>
      </c>
      <c r="D32" s="427">
        <v>575.20000000000005</v>
      </c>
      <c r="E32" s="427" t="s">
        <v>85</v>
      </c>
      <c r="F32" s="427">
        <v>177.8</v>
      </c>
      <c r="G32" s="427" t="s">
        <v>28</v>
      </c>
      <c r="H32" s="429" t="s">
        <v>51</v>
      </c>
      <c r="I32" s="526">
        <v>571.29</v>
      </c>
      <c r="J32" s="427" t="s">
        <v>248</v>
      </c>
      <c r="K32" s="427"/>
      <c r="L32" s="427">
        <v>333</v>
      </c>
      <c r="M32" s="435"/>
      <c r="N32" s="427">
        <v>5.8</v>
      </c>
      <c r="O32" s="427"/>
      <c r="P32" s="430">
        <v>28.002991998367349</v>
      </c>
      <c r="Q32" s="431">
        <f t="shared" si="0"/>
        <v>18.7</v>
      </c>
      <c r="R32" s="432">
        <v>0</v>
      </c>
      <c r="S32" s="431">
        <v>12.968</v>
      </c>
      <c r="T32" s="431">
        <v>50</v>
      </c>
      <c r="U32" s="431">
        <v>0</v>
      </c>
      <c r="V32" s="433">
        <v>0</v>
      </c>
      <c r="W32" s="432">
        <v>0</v>
      </c>
      <c r="X32" s="431">
        <v>0</v>
      </c>
      <c r="Y32" s="431">
        <f t="shared" si="10"/>
        <v>0</v>
      </c>
      <c r="Z32" s="431">
        <f t="shared" si="11"/>
        <v>12.345535999999999</v>
      </c>
      <c r="AA32" s="431">
        <f t="shared" si="12"/>
        <v>47.599999999999994</v>
      </c>
      <c r="AB32" s="431">
        <f t="shared" si="7"/>
        <v>0</v>
      </c>
      <c r="AC32" s="431">
        <v>50</v>
      </c>
      <c r="AD32" s="427">
        <v>30</v>
      </c>
      <c r="AE32" s="431">
        <f t="shared" si="8"/>
        <v>0</v>
      </c>
      <c r="AF32" s="434" t="s">
        <v>336</v>
      </c>
    </row>
    <row r="33" spans="1:32" ht="18.75" customHeight="1" x14ac:dyDescent="0.2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9" t="s">
        <v>48</v>
      </c>
      <c r="I33" s="526">
        <v>588.04999999999995</v>
      </c>
      <c r="J33" s="427" t="s">
        <v>240</v>
      </c>
      <c r="K33" s="435">
        <v>153</v>
      </c>
      <c r="L33" s="427"/>
      <c r="M33" s="427">
        <v>0.3</v>
      </c>
      <c r="N33" s="427"/>
      <c r="O33" s="427"/>
      <c r="P33" s="430">
        <v>42.422771683061214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31">
        <v>0</v>
      </c>
      <c r="Y33" s="431">
        <f t="shared" si="10"/>
        <v>0</v>
      </c>
      <c r="Z33" s="431">
        <f t="shared" si="11"/>
        <v>0</v>
      </c>
      <c r="AA33" s="431">
        <f t="shared" si="12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ht="18.75" customHeight="1" x14ac:dyDescent="0.2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9" t="s">
        <v>52</v>
      </c>
      <c r="I34" s="526">
        <v>554.30999999999995</v>
      </c>
      <c r="J34" s="427" t="s">
        <v>250</v>
      </c>
      <c r="K34" s="427"/>
      <c r="L34" s="427">
        <v>474</v>
      </c>
      <c r="M34" s="427"/>
      <c r="N34" s="427">
        <v>7.5</v>
      </c>
      <c r="O34" s="427"/>
      <c r="P34" s="430">
        <v>14.53594086673902</v>
      </c>
      <c r="Q34" s="431">
        <f t="shared" si="0"/>
        <v>66</v>
      </c>
      <c r="R34" s="432">
        <v>9.0150000000000006</v>
      </c>
      <c r="S34" s="431">
        <v>9.6950000000000003</v>
      </c>
      <c r="T34" s="431">
        <v>405</v>
      </c>
      <c r="U34" s="431">
        <f t="shared" si="1"/>
        <v>44.925124792013307</v>
      </c>
      <c r="V34" s="433">
        <f t="shared" si="9"/>
        <v>7.0139247034553858</v>
      </c>
      <c r="W34" s="432">
        <v>0.3</v>
      </c>
      <c r="X34" s="431">
        <f t="shared" si="2"/>
        <v>0.14689393939393941</v>
      </c>
      <c r="Y34" s="431">
        <f t="shared" si="10"/>
        <v>8.5822800000000008</v>
      </c>
      <c r="Z34" s="431">
        <f t="shared" si="11"/>
        <v>9.2296399999999998</v>
      </c>
      <c r="AA34" s="431">
        <f t="shared" si="12"/>
        <v>385.56</v>
      </c>
      <c r="AB34" s="431">
        <v>89.536086956521729</v>
      </c>
      <c r="AC34" s="431">
        <v>26</v>
      </c>
      <c r="AD34" s="427">
        <v>30</v>
      </c>
      <c r="AE34" s="431">
        <f t="shared" si="8"/>
        <v>257.46840000000003</v>
      </c>
      <c r="AF34" s="445"/>
    </row>
    <row r="35" spans="1:32" ht="18.75" customHeight="1" x14ac:dyDescent="0.2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9" t="s">
        <v>48</v>
      </c>
      <c r="I35" s="526">
        <v>589.66</v>
      </c>
      <c r="J35" s="427" t="s">
        <v>246</v>
      </c>
      <c r="K35" s="427"/>
      <c r="L35" s="427">
        <v>477</v>
      </c>
      <c r="M35" s="427"/>
      <c r="N35" s="427">
        <v>7.8</v>
      </c>
      <c r="O35" s="427"/>
      <c r="P35" s="430">
        <v>17.165194571265754</v>
      </c>
      <c r="Q35" s="431">
        <f t="shared" si="0"/>
        <v>16.25</v>
      </c>
      <c r="R35" s="432">
        <v>4.944</v>
      </c>
      <c r="S35" s="431">
        <v>9.3680000000000003</v>
      </c>
      <c r="T35" s="431">
        <v>18</v>
      </c>
      <c r="U35" s="431">
        <f t="shared" si="1"/>
        <v>3.6407766990291264</v>
      </c>
      <c r="V35" s="433">
        <f t="shared" si="9"/>
        <v>47.224594363791631</v>
      </c>
      <c r="W35" s="432">
        <v>1</v>
      </c>
      <c r="X35" s="431">
        <f t="shared" si="2"/>
        <v>0.57649230769230775</v>
      </c>
      <c r="Y35" s="431">
        <f t="shared" si="10"/>
        <v>4.7066879999999998</v>
      </c>
      <c r="Z35" s="431">
        <f t="shared" si="11"/>
        <v>8.918336</v>
      </c>
      <c r="AA35" s="431">
        <f t="shared" si="12"/>
        <v>17.135999999999999</v>
      </c>
      <c r="AB35" s="431">
        <f t="shared" si="7"/>
        <v>3.6407766990291264</v>
      </c>
      <c r="AC35" s="431">
        <f t="shared" si="3"/>
        <v>47.224594363791631</v>
      </c>
      <c r="AD35" s="427">
        <v>30</v>
      </c>
      <c r="AE35" s="431">
        <f t="shared" si="8"/>
        <v>141.20063999999999</v>
      </c>
      <c r="AF35" s="439"/>
    </row>
    <row r="36" spans="1:32" ht="18.75" customHeight="1" x14ac:dyDescent="0.2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9" t="s">
        <v>52</v>
      </c>
      <c r="I36" s="446">
        <v>551.13</v>
      </c>
      <c r="J36" s="427" t="s">
        <v>248</v>
      </c>
      <c r="K36" s="427"/>
      <c r="L36" s="427">
        <v>446</v>
      </c>
      <c r="M36" s="427"/>
      <c r="N36" s="427">
        <v>7.9</v>
      </c>
      <c r="O36" s="427"/>
      <c r="P36" s="430">
        <v>20.079670777453519</v>
      </c>
      <c r="Q36" s="431">
        <f t="shared" si="0"/>
        <v>18.7</v>
      </c>
      <c r="R36" s="432">
        <v>1.206</v>
      </c>
      <c r="S36" s="431">
        <v>10.618</v>
      </c>
      <c r="T36" s="431">
        <v>37</v>
      </c>
      <c r="U36" s="431">
        <f t="shared" si="1"/>
        <v>30.679933665008292</v>
      </c>
      <c r="V36" s="433">
        <f t="shared" si="9"/>
        <v>88.641928800150694</v>
      </c>
      <c r="W36" s="432">
        <v>1</v>
      </c>
      <c r="X36" s="431">
        <f t="shared" si="2"/>
        <v>0.5678074866310161</v>
      </c>
      <c r="Y36" s="431">
        <f t="shared" si="10"/>
        <v>1.148112</v>
      </c>
      <c r="Z36" s="431">
        <f t="shared" si="11"/>
        <v>10.108336</v>
      </c>
      <c r="AA36" s="431">
        <f t="shared" si="12"/>
        <v>35.223999999999997</v>
      </c>
      <c r="AB36" s="431">
        <f t="shared" si="7"/>
        <v>30.679933665008292</v>
      </c>
      <c r="AC36" s="431">
        <f t="shared" si="3"/>
        <v>88.641928800150694</v>
      </c>
      <c r="AD36" s="427">
        <v>30</v>
      </c>
      <c r="AE36" s="431">
        <f t="shared" si="8"/>
        <v>34.443359999999998</v>
      </c>
      <c r="AF36" s="434"/>
    </row>
    <row r="37" spans="1:32" ht="18.75" customHeight="1" x14ac:dyDescent="0.2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9" t="s">
        <v>52</v>
      </c>
      <c r="I37" s="446">
        <v>592.85</v>
      </c>
      <c r="J37" s="427">
        <v>250</v>
      </c>
      <c r="K37" s="427"/>
      <c r="L37" s="427">
        <v>214</v>
      </c>
      <c r="M37" s="427"/>
      <c r="N37" s="427">
        <v>8.9</v>
      </c>
      <c r="O37" s="427"/>
      <c r="P37" s="430">
        <v>43.932818056420224</v>
      </c>
      <c r="Q37" s="431">
        <f t="shared" si="0"/>
        <v>55</v>
      </c>
      <c r="R37" s="432">
        <v>15.416</v>
      </c>
      <c r="S37" s="431">
        <v>36.599000000000004</v>
      </c>
      <c r="T37" s="431">
        <v>187</v>
      </c>
      <c r="U37" s="431">
        <f t="shared" si="1"/>
        <v>12.130254281266216</v>
      </c>
      <c r="V37" s="433">
        <f t="shared" si="9"/>
        <v>57.878630563676602</v>
      </c>
      <c r="W37" s="432">
        <v>0.3</v>
      </c>
      <c r="X37" s="431">
        <f t="shared" si="2"/>
        <v>0.66543636363636371</v>
      </c>
      <c r="Y37" s="431">
        <f t="shared" si="10"/>
        <v>14.676031999999999</v>
      </c>
      <c r="Z37" s="431">
        <f t="shared" si="11"/>
        <v>34.842248000000005</v>
      </c>
      <c r="AA37" s="431">
        <f t="shared" si="12"/>
        <v>178.024</v>
      </c>
      <c r="AB37" s="431">
        <f t="shared" si="7"/>
        <v>12.130254281266216</v>
      </c>
      <c r="AC37" s="431">
        <f t="shared" si="3"/>
        <v>57.878630563676602</v>
      </c>
      <c r="AD37" s="427">
        <v>30</v>
      </c>
      <c r="AE37" s="431">
        <f t="shared" si="8"/>
        <v>440.28095999999999</v>
      </c>
      <c r="AF37" s="434"/>
    </row>
    <row r="38" spans="1:32" ht="18.75" customHeight="1" x14ac:dyDescent="0.2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9" t="s">
        <v>52</v>
      </c>
      <c r="I38" s="526">
        <v>592.95000000000005</v>
      </c>
      <c r="J38" s="427" t="s">
        <v>323</v>
      </c>
      <c r="K38" s="427"/>
      <c r="L38" s="427">
        <v>496</v>
      </c>
      <c r="M38" s="427"/>
      <c r="N38" s="427">
        <v>9</v>
      </c>
      <c r="O38" s="427"/>
      <c r="P38" s="430">
        <v>15.987216240831478</v>
      </c>
      <c r="Q38" s="431">
        <f>LEFT(H38,(FIND("K",H38,1)-1))*J38/100</f>
        <v>64.900000000000006</v>
      </c>
      <c r="R38" s="432">
        <v>13.901</v>
      </c>
      <c r="S38" s="431">
        <v>26.042000000000002</v>
      </c>
      <c r="T38" s="431">
        <v>498</v>
      </c>
      <c r="U38" s="431">
        <f t="shared" si="1"/>
        <v>35.824760808574922</v>
      </c>
      <c r="V38" s="433">
        <f t="shared" si="9"/>
        <v>46.62084325320636</v>
      </c>
      <c r="W38" s="432">
        <v>1</v>
      </c>
      <c r="X38" s="431">
        <f t="shared" si="2"/>
        <v>0.4012634822804314</v>
      </c>
      <c r="Y38" s="431">
        <f t="shared" si="10"/>
        <v>13.233751999999999</v>
      </c>
      <c r="Z38" s="431">
        <f t="shared" si="11"/>
        <v>24.791983999999999</v>
      </c>
      <c r="AA38" s="431">
        <f t="shared" si="12"/>
        <v>474.096</v>
      </c>
      <c r="AB38" s="431">
        <f t="shared" si="7"/>
        <v>35.824760808574922</v>
      </c>
      <c r="AC38" s="431">
        <f t="shared" si="3"/>
        <v>46.62084325320636</v>
      </c>
      <c r="AD38" s="427">
        <v>30</v>
      </c>
      <c r="AE38" s="431">
        <f t="shared" si="8"/>
        <v>397.01255999999995</v>
      </c>
      <c r="AF38" s="434"/>
    </row>
    <row r="39" spans="1:32" ht="18.75" customHeight="1" x14ac:dyDescent="0.2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9" t="s">
        <v>212</v>
      </c>
      <c r="I39" s="526">
        <v>547.65</v>
      </c>
      <c r="J39" s="427" t="s">
        <v>322</v>
      </c>
      <c r="K39" s="427"/>
      <c r="L39" s="427">
        <v>405</v>
      </c>
      <c r="M39" s="427"/>
      <c r="N39" s="427">
        <v>8.1</v>
      </c>
      <c r="O39" s="427"/>
      <c r="P39" s="430">
        <v>22.41786076873252</v>
      </c>
      <c r="Q39" s="431">
        <f t="shared" ref="Q39:Q72" si="13">LEFT(H39,(FIND("K",H39,1)-1))*J39/100</f>
        <v>9.6</v>
      </c>
      <c r="R39" s="432">
        <v>6.3070000000000004</v>
      </c>
      <c r="S39" s="431">
        <v>7.125</v>
      </c>
      <c r="T39" s="431">
        <v>28</v>
      </c>
      <c r="U39" s="431">
        <f t="shared" si="1"/>
        <v>4.4395116537180908</v>
      </c>
      <c r="V39" s="433">
        <f t="shared" si="9"/>
        <v>11.48070175438596</v>
      </c>
      <c r="W39" s="432">
        <v>0.3</v>
      </c>
      <c r="X39" s="431">
        <f t="shared" si="2"/>
        <v>0.7421875</v>
      </c>
      <c r="Y39" s="431">
        <f t="shared" si="10"/>
        <v>6.004264</v>
      </c>
      <c r="Z39" s="431">
        <f t="shared" si="11"/>
        <v>6.7829999999999995</v>
      </c>
      <c r="AA39" s="431">
        <f t="shared" si="12"/>
        <v>26.655999999999999</v>
      </c>
      <c r="AB39" s="431">
        <f t="shared" si="7"/>
        <v>4.4395116537180908</v>
      </c>
      <c r="AC39" s="431">
        <f t="shared" si="3"/>
        <v>11.48070175438596</v>
      </c>
      <c r="AD39" s="427">
        <v>30</v>
      </c>
      <c r="AE39" s="431">
        <f t="shared" si="8"/>
        <v>180.12791999999999</v>
      </c>
      <c r="AF39" s="434"/>
    </row>
    <row r="40" spans="1:32" ht="18.75" customHeight="1" x14ac:dyDescent="0.2">
      <c r="A40" s="427">
        <v>27</v>
      </c>
      <c r="B40" s="519" t="s">
        <v>161</v>
      </c>
      <c r="C40" s="427" t="s">
        <v>46</v>
      </c>
      <c r="D40" s="526">
        <v>677</v>
      </c>
      <c r="E40" s="429" t="s">
        <v>178</v>
      </c>
      <c r="F40" s="427">
        <v>177.8</v>
      </c>
      <c r="G40" s="427" t="s">
        <v>28</v>
      </c>
      <c r="H40" s="429" t="s">
        <v>52</v>
      </c>
      <c r="I40" s="526">
        <v>535.41</v>
      </c>
      <c r="J40" s="526" t="s">
        <v>324</v>
      </c>
      <c r="K40" s="526"/>
      <c r="L40" s="526">
        <v>446</v>
      </c>
      <c r="M40" s="526"/>
      <c r="N40" s="427">
        <v>7.2</v>
      </c>
      <c r="O40" s="526"/>
      <c r="P40" s="448">
        <v>17.095350011764666</v>
      </c>
      <c r="Q40" s="431">
        <f t="shared" si="13"/>
        <v>28.6</v>
      </c>
      <c r="R40" s="432">
        <v>4.577</v>
      </c>
      <c r="S40" s="431">
        <v>6.2219999999999995</v>
      </c>
      <c r="T40" s="437">
        <v>309</v>
      </c>
      <c r="U40" s="431">
        <f t="shared" si="1"/>
        <v>67.511470395455532</v>
      </c>
      <c r="V40" s="433">
        <f t="shared" si="9"/>
        <v>26.43844423015107</v>
      </c>
      <c r="W40" s="432">
        <v>0.4</v>
      </c>
      <c r="X40" s="431">
        <f t="shared" si="2"/>
        <v>0.21755244755244751</v>
      </c>
      <c r="Y40" s="431">
        <f t="shared" si="10"/>
        <v>4.3573040000000001</v>
      </c>
      <c r="Z40" s="431">
        <f t="shared" si="11"/>
        <v>5.9233439999999993</v>
      </c>
      <c r="AA40" s="431">
        <f t="shared" si="12"/>
        <v>294.16800000000001</v>
      </c>
      <c r="AB40" s="431">
        <f t="shared" si="7"/>
        <v>67.511470395455532</v>
      </c>
      <c r="AC40" s="431">
        <f t="shared" si="3"/>
        <v>26.43844423015107</v>
      </c>
      <c r="AD40" s="427">
        <v>30</v>
      </c>
      <c r="AE40" s="431">
        <f t="shared" si="8"/>
        <v>130.71912</v>
      </c>
      <c r="AF40" s="449"/>
    </row>
    <row r="41" spans="1:32" ht="18.75" customHeight="1" x14ac:dyDescent="0.2">
      <c r="A41" s="427">
        <v>28</v>
      </c>
      <c r="B41" s="519" t="s">
        <v>162</v>
      </c>
      <c r="C41" s="427" t="s">
        <v>46</v>
      </c>
      <c r="D41" s="526">
        <v>676</v>
      </c>
      <c r="E41" s="429" t="s">
        <v>180</v>
      </c>
      <c r="F41" s="427">
        <v>177.8</v>
      </c>
      <c r="G41" s="427" t="s">
        <v>28</v>
      </c>
      <c r="H41" s="429" t="s">
        <v>50</v>
      </c>
      <c r="I41" s="526">
        <v>545.42999999999995</v>
      </c>
      <c r="J41" s="526" t="s">
        <v>240</v>
      </c>
      <c r="K41" s="424">
        <v>75</v>
      </c>
      <c r="L41" s="427">
        <v>0</v>
      </c>
      <c r="M41" s="526">
        <v>1</v>
      </c>
      <c r="N41" s="427"/>
      <c r="O41" s="526"/>
      <c r="P41" s="448">
        <v>49.031288666406638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10"/>
        <v>0</v>
      </c>
      <c r="Z41" s="431">
        <f t="shared" si="11"/>
        <v>0</v>
      </c>
      <c r="AA41" s="431">
        <f t="shared" si="12"/>
        <v>0</v>
      </c>
      <c r="AB41" s="431">
        <f t="shared" si="7"/>
        <v>0</v>
      </c>
      <c r="AC41" s="431">
        <f t="shared" si="3"/>
        <v>0</v>
      </c>
      <c r="AD41" s="427">
        <v>0</v>
      </c>
      <c r="AE41" s="431">
        <f t="shared" si="8"/>
        <v>0</v>
      </c>
      <c r="AF41" s="449" t="s">
        <v>335</v>
      </c>
    </row>
    <row r="42" spans="1:32" ht="18.75" customHeight="1" x14ac:dyDescent="0.2">
      <c r="A42" s="427">
        <v>29</v>
      </c>
      <c r="B42" s="519" t="s">
        <v>163</v>
      </c>
      <c r="C42" s="427" t="s">
        <v>46</v>
      </c>
      <c r="D42" s="526">
        <v>677.27</v>
      </c>
      <c r="E42" s="429" t="s">
        <v>194</v>
      </c>
      <c r="F42" s="427">
        <v>177.8</v>
      </c>
      <c r="G42" s="427" t="s">
        <v>28</v>
      </c>
      <c r="H42" s="429" t="s">
        <v>187</v>
      </c>
      <c r="I42" s="526">
        <v>553.82000000000005</v>
      </c>
      <c r="J42" s="526" t="s">
        <v>245</v>
      </c>
      <c r="K42" s="526"/>
      <c r="L42" s="526">
        <v>285</v>
      </c>
      <c r="M42" s="526"/>
      <c r="N42" s="427">
        <v>7</v>
      </c>
      <c r="O42" s="526"/>
      <c r="P42" s="448">
        <v>37.821539816946562</v>
      </c>
      <c r="Q42" s="431">
        <f t="shared" si="13"/>
        <v>10.8</v>
      </c>
      <c r="R42" s="432">
        <v>4.5069999999999997</v>
      </c>
      <c r="S42" s="431">
        <v>7.8349999999999991</v>
      </c>
      <c r="T42" s="437">
        <v>13</v>
      </c>
      <c r="U42" s="431">
        <f>T42/R42</f>
        <v>2.8844020412691371</v>
      </c>
      <c r="V42" s="433">
        <f t="shared" si="9"/>
        <v>42.476068921506062</v>
      </c>
      <c r="W42" s="432">
        <v>3</v>
      </c>
      <c r="X42" s="431">
        <f t="shared" si="2"/>
        <v>0.72546296296296287</v>
      </c>
      <c r="Y42" s="431">
        <f t="shared" si="10"/>
        <v>4.2906639999999996</v>
      </c>
      <c r="Z42" s="431">
        <f t="shared" si="11"/>
        <v>7.4589199999999991</v>
      </c>
      <c r="AA42" s="431">
        <f t="shared" si="12"/>
        <v>12.375999999999999</v>
      </c>
      <c r="AB42" s="431">
        <f t="shared" si="7"/>
        <v>2.8844020412691371</v>
      </c>
      <c r="AC42" s="431">
        <f t="shared" si="3"/>
        <v>42.476068921506062</v>
      </c>
      <c r="AD42" s="427">
        <v>30</v>
      </c>
      <c r="AE42" s="431">
        <f t="shared" si="8"/>
        <v>128.71992</v>
      </c>
      <c r="AF42" s="449"/>
    </row>
    <row r="43" spans="1:32" ht="18.75" customHeight="1" x14ac:dyDescent="0.2">
      <c r="A43" s="427">
        <v>30</v>
      </c>
      <c r="B43" s="428" t="s">
        <v>59</v>
      </c>
      <c r="C43" s="427" t="s">
        <v>46</v>
      </c>
      <c r="D43" s="429">
        <v>643</v>
      </c>
      <c r="E43" s="427" t="s">
        <v>94</v>
      </c>
      <c r="F43" s="427">
        <v>177.8</v>
      </c>
      <c r="G43" s="427" t="s">
        <v>28</v>
      </c>
      <c r="H43" s="429" t="s">
        <v>48</v>
      </c>
      <c r="I43" s="526">
        <v>540.79999999999995</v>
      </c>
      <c r="J43" s="427" t="s">
        <v>239</v>
      </c>
      <c r="K43" s="427"/>
      <c r="L43" s="427">
        <v>429</v>
      </c>
      <c r="M43" s="427"/>
      <c r="N43" s="427">
        <v>2.6</v>
      </c>
      <c r="O43" s="427"/>
      <c r="P43" s="430">
        <v>15.178640814316882</v>
      </c>
      <c r="Q43" s="431">
        <f t="shared" si="13"/>
        <v>13</v>
      </c>
      <c r="R43" s="432">
        <v>3.9390000000000001</v>
      </c>
      <c r="S43" s="431">
        <v>5.4539999999999997</v>
      </c>
      <c r="T43" s="431">
        <v>11</v>
      </c>
      <c r="U43" s="431">
        <f t="shared" si="1"/>
        <v>2.7925869510027925</v>
      </c>
      <c r="V43" s="433">
        <f t="shared" si="9"/>
        <v>27.777777777777775</v>
      </c>
      <c r="W43" s="432">
        <v>1</v>
      </c>
      <c r="X43" s="431">
        <f t="shared" si="2"/>
        <v>0.41953846153846153</v>
      </c>
      <c r="Y43" s="431">
        <f t="shared" si="10"/>
        <v>3.7499279999999997</v>
      </c>
      <c r="Z43" s="431">
        <f t="shared" si="11"/>
        <v>5.1922079999999999</v>
      </c>
      <c r="AA43" s="431">
        <f t="shared" si="12"/>
        <v>10.472</v>
      </c>
      <c r="AB43" s="431">
        <f>U43</f>
        <v>2.7925869510027925</v>
      </c>
      <c r="AC43" s="431">
        <f t="shared" si="3"/>
        <v>27.777777777777775</v>
      </c>
      <c r="AD43" s="427">
        <v>30</v>
      </c>
      <c r="AE43" s="431">
        <f t="shared" si="8"/>
        <v>112.49784</v>
      </c>
      <c r="AF43" s="439"/>
    </row>
    <row r="44" spans="1:32" ht="18.75" customHeight="1" x14ac:dyDescent="0.2">
      <c r="A44" s="427">
        <v>31</v>
      </c>
      <c r="B44" s="428" t="s">
        <v>207</v>
      </c>
      <c r="C44" s="427" t="s">
        <v>46</v>
      </c>
      <c r="D44" s="429">
        <v>673</v>
      </c>
      <c r="E44" s="427" t="s">
        <v>230</v>
      </c>
      <c r="F44" s="427">
        <v>177.8</v>
      </c>
      <c r="G44" s="427" t="s">
        <v>28</v>
      </c>
      <c r="H44" s="429" t="s">
        <v>50</v>
      </c>
      <c r="I44" s="526">
        <v>564.41999999999996</v>
      </c>
      <c r="J44" s="427" t="s">
        <v>325</v>
      </c>
      <c r="K44" s="427"/>
      <c r="L44" s="427">
        <v>307</v>
      </c>
      <c r="M44" s="427"/>
      <c r="N44" s="430">
        <v>3.7</v>
      </c>
      <c r="O44" s="427"/>
      <c r="P44" s="430">
        <v>29.097135260753181</v>
      </c>
      <c r="Q44" s="431">
        <f t="shared" si="13"/>
        <v>8.6999999999999993</v>
      </c>
      <c r="R44" s="432">
        <v>3.7</v>
      </c>
      <c r="S44" s="431">
        <v>6.0739999999999998</v>
      </c>
      <c r="T44" s="431">
        <v>3</v>
      </c>
      <c r="U44" s="431">
        <f t="shared" si="1"/>
        <v>0.81081081081081074</v>
      </c>
      <c r="V44" s="433">
        <f t="shared" si="9"/>
        <v>39.084622983207105</v>
      </c>
      <c r="W44" s="432">
        <v>0.5</v>
      </c>
      <c r="X44" s="431">
        <f t="shared" si="2"/>
        <v>0.69816091954022996</v>
      </c>
      <c r="Y44" s="431">
        <f t="shared" si="10"/>
        <v>3.5224000000000002</v>
      </c>
      <c r="Z44" s="431">
        <f t="shared" si="11"/>
        <v>5.7824479999999996</v>
      </c>
      <c r="AA44" s="431">
        <f t="shared" si="12"/>
        <v>2.8559999999999999</v>
      </c>
      <c r="AB44" s="431">
        <f>U44</f>
        <v>0.81081081081081074</v>
      </c>
      <c r="AC44" s="431">
        <f t="shared" si="3"/>
        <v>39.084622983207105</v>
      </c>
      <c r="AD44" s="427">
        <v>30</v>
      </c>
      <c r="AE44" s="431">
        <f t="shared" si="8"/>
        <v>105.67200000000001</v>
      </c>
      <c r="AF44" s="439"/>
    </row>
    <row r="45" spans="1:32" ht="18.75" customHeight="1" x14ac:dyDescent="0.2">
      <c r="A45" s="427">
        <v>32</v>
      </c>
      <c r="B45" s="428" t="s">
        <v>196</v>
      </c>
      <c r="C45" s="427" t="s">
        <v>304</v>
      </c>
      <c r="D45" s="429">
        <v>641</v>
      </c>
      <c r="E45" s="427" t="s">
        <v>296</v>
      </c>
      <c r="F45" s="427">
        <v>177.8</v>
      </c>
      <c r="G45" s="427" t="s">
        <v>28</v>
      </c>
      <c r="H45" s="429" t="s">
        <v>218</v>
      </c>
      <c r="I45" s="526">
        <v>618.66999999999996</v>
      </c>
      <c r="J45" s="427" t="s">
        <v>326</v>
      </c>
      <c r="K45" s="427"/>
      <c r="L45" s="427">
        <v>509</v>
      </c>
      <c r="M45" s="427"/>
      <c r="N45" s="430">
        <v>2.6</v>
      </c>
      <c r="O45" s="427"/>
      <c r="P45" s="430">
        <v>13.540322425185629</v>
      </c>
      <c r="Q45" s="431">
        <f t="shared" si="13"/>
        <v>20.8</v>
      </c>
      <c r="R45" s="432">
        <v>0.20899999999999999</v>
      </c>
      <c r="S45" s="431">
        <v>2.02</v>
      </c>
      <c r="T45" s="431">
        <v>0</v>
      </c>
      <c r="U45" s="431">
        <f t="shared" si="1"/>
        <v>0</v>
      </c>
      <c r="V45" s="433">
        <f t="shared" si="9"/>
        <v>89.653465346534659</v>
      </c>
      <c r="W45" s="432">
        <v>0.3</v>
      </c>
      <c r="X45" s="431">
        <f t="shared" si="2"/>
        <v>9.7115384615384617E-2</v>
      </c>
      <c r="Y45" s="431">
        <f t="shared" si="10"/>
        <v>0.19896799999999998</v>
      </c>
      <c r="Z45" s="431">
        <f t="shared" si="11"/>
        <v>1.9230399999999999</v>
      </c>
      <c r="AA45" s="431">
        <f t="shared" si="12"/>
        <v>0</v>
      </c>
      <c r="AB45" s="431">
        <f>U45</f>
        <v>0</v>
      </c>
      <c r="AC45" s="431">
        <f t="shared" si="3"/>
        <v>89.653465346534659</v>
      </c>
      <c r="AD45" s="427">
        <v>30</v>
      </c>
      <c r="AE45" s="431">
        <f t="shared" si="8"/>
        <v>5.9690399999999997</v>
      </c>
      <c r="AF45" s="439"/>
    </row>
    <row r="46" spans="1:32" ht="18.75" customHeight="1" x14ac:dyDescent="0.2">
      <c r="A46" s="427">
        <v>33</v>
      </c>
      <c r="B46" s="428" t="s">
        <v>60</v>
      </c>
      <c r="C46" s="427" t="s">
        <v>46</v>
      </c>
      <c r="D46" s="429">
        <v>638.9</v>
      </c>
      <c r="E46" s="427" t="s">
        <v>95</v>
      </c>
      <c r="F46" s="427">
        <v>177.8</v>
      </c>
      <c r="G46" s="427" t="s">
        <v>28</v>
      </c>
      <c r="H46" s="429" t="s">
        <v>48</v>
      </c>
      <c r="I46" s="526">
        <v>546.64</v>
      </c>
      <c r="J46" s="427" t="s">
        <v>239</v>
      </c>
      <c r="K46" s="427"/>
      <c r="L46" s="427">
        <v>463</v>
      </c>
      <c r="M46" s="427"/>
      <c r="N46" s="427">
        <v>7.6</v>
      </c>
      <c r="O46" s="427"/>
      <c r="P46" s="430">
        <v>16.398814692327836</v>
      </c>
      <c r="Q46" s="431">
        <f t="shared" si="13"/>
        <v>13</v>
      </c>
      <c r="R46" s="432">
        <v>6.4370000000000003</v>
      </c>
      <c r="S46" s="431">
        <v>9.7370000000000001</v>
      </c>
      <c r="T46" s="431">
        <v>113</v>
      </c>
      <c r="U46" s="431">
        <f t="shared" si="1"/>
        <v>17.554761534876494</v>
      </c>
      <c r="V46" s="433">
        <f t="shared" si="9"/>
        <v>33.891342302557256</v>
      </c>
      <c r="W46" s="432">
        <v>0.3</v>
      </c>
      <c r="X46" s="431">
        <f t="shared" si="2"/>
        <v>0.749</v>
      </c>
      <c r="Y46" s="431">
        <f t="shared" si="10"/>
        <v>6.1280239999999999</v>
      </c>
      <c r="Z46" s="431">
        <f t="shared" si="11"/>
        <v>9.2696240000000003</v>
      </c>
      <c r="AA46" s="431">
        <f t="shared" si="12"/>
        <v>107.57599999999999</v>
      </c>
      <c r="AB46" s="431">
        <f t="shared" si="7"/>
        <v>17.554761534876494</v>
      </c>
      <c r="AC46" s="431">
        <f t="shared" si="3"/>
        <v>33.891342302557256</v>
      </c>
      <c r="AD46" s="427">
        <v>30</v>
      </c>
      <c r="AE46" s="431">
        <f t="shared" si="8"/>
        <v>183.84072</v>
      </c>
      <c r="AF46" s="439"/>
    </row>
    <row r="47" spans="1:32" ht="18.75" customHeight="1" x14ac:dyDescent="0.2">
      <c r="A47" s="427">
        <v>34</v>
      </c>
      <c r="B47" s="428" t="s">
        <v>119</v>
      </c>
      <c r="C47" s="427" t="s">
        <v>46</v>
      </c>
      <c r="D47" s="429">
        <v>654.07000000000005</v>
      </c>
      <c r="E47" s="427" t="s">
        <v>126</v>
      </c>
      <c r="F47" s="427">
        <v>177.8</v>
      </c>
      <c r="G47" s="427" t="s">
        <v>28</v>
      </c>
      <c r="H47" s="429" t="s">
        <v>48</v>
      </c>
      <c r="I47" s="526">
        <v>526.6</v>
      </c>
      <c r="J47" s="427" t="s">
        <v>240</v>
      </c>
      <c r="K47" s="435">
        <v>498</v>
      </c>
      <c r="L47" s="427">
        <v>0</v>
      </c>
      <c r="M47" s="427">
        <v>22.5</v>
      </c>
      <c r="N47" s="427"/>
      <c r="O47" s="427"/>
      <c r="P47" s="430">
        <v>56.306829634212406</v>
      </c>
      <c r="Q47" s="431">
        <f t="shared" si="13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10"/>
        <v>0</v>
      </c>
      <c r="Z47" s="431">
        <f t="shared" si="11"/>
        <v>0</v>
      </c>
      <c r="AA47" s="431">
        <f t="shared" si="12"/>
        <v>0</v>
      </c>
      <c r="AB47" s="431">
        <f t="shared" si="7"/>
        <v>0</v>
      </c>
      <c r="AC47" s="431">
        <f t="shared" si="3"/>
        <v>0</v>
      </c>
      <c r="AD47" s="427">
        <v>0</v>
      </c>
      <c r="AE47" s="431">
        <f t="shared" si="8"/>
        <v>0</v>
      </c>
      <c r="AF47" s="449" t="s">
        <v>335</v>
      </c>
    </row>
    <row r="48" spans="1:32" ht="18.75" customHeight="1" x14ac:dyDescent="0.2">
      <c r="A48" s="427">
        <v>35</v>
      </c>
      <c r="B48" s="428" t="s">
        <v>118</v>
      </c>
      <c r="C48" s="427" t="s">
        <v>46</v>
      </c>
      <c r="D48" s="429">
        <v>728.77</v>
      </c>
      <c r="E48" s="427" t="s">
        <v>133</v>
      </c>
      <c r="F48" s="427">
        <v>177.8</v>
      </c>
      <c r="G48" s="427" t="s">
        <v>28</v>
      </c>
      <c r="H48" s="429" t="s">
        <v>48</v>
      </c>
      <c r="I48" s="526">
        <v>557.04999999999995</v>
      </c>
      <c r="J48" s="427" t="s">
        <v>239</v>
      </c>
      <c r="K48" s="427"/>
      <c r="L48" s="427">
        <v>430</v>
      </c>
      <c r="M48" s="427"/>
      <c r="N48" s="427">
        <v>8.1</v>
      </c>
      <c r="O48" s="427"/>
      <c r="P48" s="430">
        <v>21.972833905646695</v>
      </c>
      <c r="Q48" s="431">
        <f t="shared" si="13"/>
        <v>13</v>
      </c>
      <c r="R48" s="432">
        <v>0.67800000000000005</v>
      </c>
      <c r="S48" s="431">
        <v>6.8890000000000002</v>
      </c>
      <c r="T48" s="431">
        <v>34</v>
      </c>
      <c r="U48" s="431">
        <f>T48/R48</f>
        <v>50.147492625368727</v>
      </c>
      <c r="V48" s="433">
        <f t="shared" si="9"/>
        <v>90.15822325446365</v>
      </c>
      <c r="W48" s="432">
        <v>2</v>
      </c>
      <c r="X48" s="431">
        <f t="shared" ref="X48:X55" si="14">S48/Q48</f>
        <v>0.52992307692307694</v>
      </c>
      <c r="Y48" s="431">
        <f t="shared" si="10"/>
        <v>0.64545600000000003</v>
      </c>
      <c r="Z48" s="431">
        <f t="shared" si="11"/>
        <v>6.5583279999999995</v>
      </c>
      <c r="AA48" s="431">
        <f t="shared" si="12"/>
        <v>32.367999999999995</v>
      </c>
      <c r="AB48" s="431">
        <f t="shared" si="7"/>
        <v>50.147492625368727</v>
      </c>
      <c r="AC48" s="431">
        <f t="shared" si="3"/>
        <v>90.15822325446365</v>
      </c>
      <c r="AD48" s="427">
        <v>30</v>
      </c>
      <c r="AE48" s="431">
        <f t="shared" si="8"/>
        <v>19.363680000000002</v>
      </c>
      <c r="AF48" s="439"/>
    </row>
    <row r="49" spans="1:32" ht="18.75" customHeight="1" x14ac:dyDescent="0.2">
      <c r="A49" s="427">
        <v>36</v>
      </c>
      <c r="B49" s="428" t="s">
        <v>117</v>
      </c>
      <c r="C49" s="427" t="s">
        <v>46</v>
      </c>
      <c r="D49" s="429">
        <v>671.45</v>
      </c>
      <c r="E49" s="427" t="s">
        <v>128</v>
      </c>
      <c r="F49" s="427">
        <v>177.8</v>
      </c>
      <c r="G49" s="427" t="s">
        <v>28</v>
      </c>
      <c r="H49" s="429" t="s">
        <v>187</v>
      </c>
      <c r="I49" s="526">
        <v>559.39</v>
      </c>
      <c r="J49" s="427" t="s">
        <v>327</v>
      </c>
      <c r="K49" s="427"/>
      <c r="L49" s="427">
        <v>293</v>
      </c>
      <c r="M49" s="427"/>
      <c r="N49" s="427">
        <v>2</v>
      </c>
      <c r="O49" s="427"/>
      <c r="P49" s="430">
        <v>29.515202599534181</v>
      </c>
      <c r="Q49" s="431">
        <f t="shared" si="13"/>
        <v>15.9</v>
      </c>
      <c r="R49" s="432">
        <v>1.8260000000000001</v>
      </c>
      <c r="S49" s="431">
        <v>5.9510000000000005</v>
      </c>
      <c r="T49" s="431">
        <v>0</v>
      </c>
      <c r="U49" s="431">
        <f t="shared" ref="U49:U55" si="15">T49/R49</f>
        <v>0</v>
      </c>
      <c r="V49" s="433">
        <f t="shared" si="9"/>
        <v>69.316081330868755</v>
      </c>
      <c r="W49" s="432">
        <v>0.5</v>
      </c>
      <c r="X49" s="431">
        <v>0.2</v>
      </c>
      <c r="Y49" s="431">
        <f t="shared" si="10"/>
        <v>1.7383519999999999</v>
      </c>
      <c r="Z49" s="431">
        <f t="shared" si="11"/>
        <v>5.6653520000000004</v>
      </c>
      <c r="AA49" s="431">
        <f t="shared" si="12"/>
        <v>0</v>
      </c>
      <c r="AB49" s="431">
        <f t="shared" si="7"/>
        <v>0</v>
      </c>
      <c r="AC49" s="431">
        <f t="shared" si="3"/>
        <v>69.316081330868755</v>
      </c>
      <c r="AD49" s="427">
        <v>30</v>
      </c>
      <c r="AE49" s="431">
        <f t="shared" si="8"/>
        <v>52.150559999999999</v>
      </c>
      <c r="AF49" s="434"/>
    </row>
    <row r="50" spans="1:32" ht="18.75" customHeight="1" x14ac:dyDescent="0.2">
      <c r="A50" s="427">
        <v>37</v>
      </c>
      <c r="B50" s="428" t="s">
        <v>130</v>
      </c>
      <c r="C50" s="427" t="s">
        <v>46</v>
      </c>
      <c r="D50" s="429">
        <v>622.6</v>
      </c>
      <c r="E50" s="427" t="s">
        <v>134</v>
      </c>
      <c r="F50" s="427">
        <v>177.8</v>
      </c>
      <c r="G50" s="427" t="s">
        <v>28</v>
      </c>
      <c r="H50" s="429" t="s">
        <v>48</v>
      </c>
      <c r="I50" s="526">
        <v>551.79999999999995</v>
      </c>
      <c r="J50" s="427" t="s">
        <v>248</v>
      </c>
      <c r="K50" s="427"/>
      <c r="L50" s="427">
        <v>101</v>
      </c>
      <c r="M50" s="427"/>
      <c r="N50" s="427">
        <v>6.4</v>
      </c>
      <c r="O50" s="427"/>
      <c r="P50" s="430">
        <v>53.208086425714278</v>
      </c>
      <c r="Q50" s="431">
        <f t="shared" si="13"/>
        <v>11.05</v>
      </c>
      <c r="R50" s="432">
        <v>0</v>
      </c>
      <c r="S50" s="431">
        <v>7.3330000000000002</v>
      </c>
      <c r="T50" s="431">
        <v>0</v>
      </c>
      <c r="U50" s="431">
        <v>0</v>
      </c>
      <c r="V50" s="433">
        <v>0</v>
      </c>
      <c r="W50" s="432">
        <v>0</v>
      </c>
      <c r="X50" s="431">
        <v>0</v>
      </c>
      <c r="Y50" s="431">
        <f t="shared" si="10"/>
        <v>0</v>
      </c>
      <c r="Z50" s="431">
        <f t="shared" si="11"/>
        <v>6.9810159999999994</v>
      </c>
      <c r="AA50" s="431">
        <f t="shared" si="12"/>
        <v>0</v>
      </c>
      <c r="AB50" s="431">
        <f t="shared" si="7"/>
        <v>0</v>
      </c>
      <c r="AC50" s="431">
        <f t="shared" si="3"/>
        <v>0</v>
      </c>
      <c r="AD50" s="427">
        <v>30</v>
      </c>
      <c r="AE50" s="431">
        <f t="shared" si="8"/>
        <v>0</v>
      </c>
      <c r="AF50" s="434"/>
    </row>
    <row r="51" spans="1:32" ht="18.75" customHeight="1" x14ac:dyDescent="0.2">
      <c r="A51" s="427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427">
        <v>177.8</v>
      </c>
      <c r="G51" s="451" t="s">
        <v>28</v>
      </c>
      <c r="H51" s="452" t="s">
        <v>291</v>
      </c>
      <c r="I51" s="453">
        <v>565.80999999999995</v>
      </c>
      <c r="J51" s="451" t="s">
        <v>240</v>
      </c>
      <c r="K51" s="451">
        <v>283</v>
      </c>
      <c r="L51" s="451"/>
      <c r="M51" s="451"/>
      <c r="N51" s="427">
        <v>0</v>
      </c>
      <c r="O51" s="451"/>
      <c r="P51" s="454">
        <v>27.324900357676601</v>
      </c>
      <c r="Q51" s="455">
        <f t="shared" si="13"/>
        <v>0</v>
      </c>
      <c r="R51" s="456">
        <v>0</v>
      </c>
      <c r="S51" s="431">
        <v>0</v>
      </c>
      <c r="T51" s="455">
        <v>0</v>
      </c>
      <c r="U51" s="431">
        <v>0</v>
      </c>
      <c r="V51" s="433">
        <v>0</v>
      </c>
      <c r="W51" s="456">
        <v>0</v>
      </c>
      <c r="X51" s="431">
        <v>0</v>
      </c>
      <c r="Y51" s="431">
        <f t="shared" si="10"/>
        <v>0</v>
      </c>
      <c r="Z51" s="431">
        <f t="shared" si="11"/>
        <v>0</v>
      </c>
      <c r="AA51" s="431">
        <f t="shared" si="12"/>
        <v>0</v>
      </c>
      <c r="AB51" s="455">
        <f t="shared" si="7"/>
        <v>0</v>
      </c>
      <c r="AC51" s="431">
        <f t="shared" si="3"/>
        <v>0</v>
      </c>
      <c r="AD51" s="427">
        <v>30</v>
      </c>
      <c r="AE51" s="455">
        <f t="shared" si="8"/>
        <v>0</v>
      </c>
      <c r="AF51" s="449" t="s">
        <v>335</v>
      </c>
    </row>
    <row r="52" spans="1:32" ht="18.75" customHeight="1" x14ac:dyDescent="0.2">
      <c r="A52" s="427">
        <v>39</v>
      </c>
      <c r="B52" s="428" t="s">
        <v>116</v>
      </c>
      <c r="C52" s="427" t="s">
        <v>46</v>
      </c>
      <c r="D52" s="429">
        <v>681.27</v>
      </c>
      <c r="E52" s="427" t="s">
        <v>124</v>
      </c>
      <c r="F52" s="427">
        <v>177.8</v>
      </c>
      <c r="G52" s="427" t="s">
        <v>28</v>
      </c>
      <c r="H52" s="429" t="s">
        <v>53</v>
      </c>
      <c r="I52" s="526">
        <v>558.35</v>
      </c>
      <c r="J52" s="427" t="s">
        <v>244</v>
      </c>
      <c r="K52" s="427"/>
      <c r="L52" s="427">
        <v>269</v>
      </c>
      <c r="M52" s="427"/>
      <c r="N52" s="427">
        <v>0.4</v>
      </c>
      <c r="O52" s="427"/>
      <c r="P52" s="430">
        <v>30.260854510490937</v>
      </c>
      <c r="Q52" s="455">
        <f t="shared" si="13"/>
        <v>26</v>
      </c>
      <c r="R52" s="432">
        <v>1.2649999999999999</v>
      </c>
      <c r="S52" s="431">
        <v>4.4539999999999997</v>
      </c>
      <c r="T52" s="431">
        <v>4</v>
      </c>
      <c r="U52" s="431">
        <f t="shared" si="15"/>
        <v>3.1620553359683798</v>
      </c>
      <c r="V52" s="433">
        <f t="shared" si="9"/>
        <v>71.598563089357881</v>
      </c>
      <c r="W52" s="432">
        <v>1</v>
      </c>
      <c r="X52" s="431">
        <f t="shared" si="14"/>
        <v>0.1713076923076923</v>
      </c>
      <c r="Y52" s="431">
        <f t="shared" si="10"/>
        <v>1.2042799999999998</v>
      </c>
      <c r="Z52" s="431">
        <f t="shared" si="11"/>
        <v>4.240208</v>
      </c>
      <c r="AA52" s="431">
        <f t="shared" si="12"/>
        <v>3.8079999999999998</v>
      </c>
      <c r="AB52" s="431">
        <f t="shared" si="7"/>
        <v>3.1620553359683798</v>
      </c>
      <c r="AC52" s="431">
        <f t="shared" si="3"/>
        <v>71.598563089357881</v>
      </c>
      <c r="AD52" s="427">
        <v>30</v>
      </c>
      <c r="AE52" s="431">
        <f t="shared" si="8"/>
        <v>36.128399999999992</v>
      </c>
      <c r="AF52" s="449"/>
    </row>
    <row r="53" spans="1:32" ht="18.75" customHeight="1" x14ac:dyDescent="0.2">
      <c r="A53" s="427">
        <v>40</v>
      </c>
      <c r="B53" s="428" t="s">
        <v>120</v>
      </c>
      <c r="C53" s="427" t="s">
        <v>46</v>
      </c>
      <c r="D53" s="429">
        <v>668.57</v>
      </c>
      <c r="E53" s="427" t="s">
        <v>285</v>
      </c>
      <c r="F53" s="427">
        <v>177.8</v>
      </c>
      <c r="G53" s="427" t="s">
        <v>28</v>
      </c>
      <c r="H53" s="429" t="s">
        <v>48</v>
      </c>
      <c r="I53" s="526">
        <v>567.08000000000004</v>
      </c>
      <c r="J53" s="427" t="s">
        <v>319</v>
      </c>
      <c r="K53" s="427"/>
      <c r="L53" s="427">
        <v>407</v>
      </c>
      <c r="M53" s="427"/>
      <c r="N53" s="427">
        <v>0.7</v>
      </c>
      <c r="O53" s="427"/>
      <c r="P53" s="430">
        <v>16.847176777405181</v>
      </c>
      <c r="Q53" s="431">
        <f t="shared" si="13"/>
        <v>20.8</v>
      </c>
      <c r="R53" s="432">
        <v>3.504</v>
      </c>
      <c r="S53" s="431">
        <v>4.1920000000000002</v>
      </c>
      <c r="T53" s="431">
        <v>4</v>
      </c>
      <c r="U53" s="431">
        <f t="shared" si="15"/>
        <v>1.1415525114155252</v>
      </c>
      <c r="V53" s="433">
        <f t="shared" si="9"/>
        <v>16.412213740458018</v>
      </c>
      <c r="W53" s="432">
        <v>1</v>
      </c>
      <c r="X53" s="431">
        <f t="shared" si="14"/>
        <v>0.20153846153846153</v>
      </c>
      <c r="Y53" s="431">
        <f t="shared" si="10"/>
        <v>3.3358079999999997</v>
      </c>
      <c r="Z53" s="431">
        <f t="shared" si="11"/>
        <v>3.9907840000000001</v>
      </c>
      <c r="AA53" s="431">
        <f t="shared" si="12"/>
        <v>3.8079999999999998</v>
      </c>
      <c r="AB53" s="431">
        <f t="shared" si="7"/>
        <v>1.1415525114155252</v>
      </c>
      <c r="AC53" s="431">
        <f t="shared" si="3"/>
        <v>16.412213740458018</v>
      </c>
      <c r="AD53" s="427">
        <v>30</v>
      </c>
      <c r="AE53" s="431">
        <f t="shared" si="8"/>
        <v>100.07423999999999</v>
      </c>
      <c r="AF53" s="434"/>
    </row>
    <row r="54" spans="1:32" ht="18.75" customHeight="1" x14ac:dyDescent="0.2">
      <c r="A54" s="427">
        <v>41</v>
      </c>
      <c r="B54" s="428" t="s">
        <v>114</v>
      </c>
      <c r="C54" s="427" t="s">
        <v>46</v>
      </c>
      <c r="D54" s="429">
        <v>584.25</v>
      </c>
      <c r="E54" s="427" t="s">
        <v>123</v>
      </c>
      <c r="F54" s="427">
        <v>177.8</v>
      </c>
      <c r="G54" s="427" t="s">
        <v>28</v>
      </c>
      <c r="H54" s="429" t="s">
        <v>125</v>
      </c>
      <c r="I54" s="526">
        <v>565.08000000000004</v>
      </c>
      <c r="J54" s="427" t="s">
        <v>328</v>
      </c>
      <c r="K54" s="427"/>
      <c r="L54" s="427">
        <v>70</v>
      </c>
      <c r="M54" s="427"/>
      <c r="N54" s="427">
        <v>0.5</v>
      </c>
      <c r="O54" s="427"/>
      <c r="P54" s="430">
        <v>51.101239134104233</v>
      </c>
      <c r="Q54" s="431">
        <f t="shared" si="13"/>
        <v>7.2</v>
      </c>
      <c r="R54" s="432">
        <v>7.0000000000000007E-2</v>
      </c>
      <c r="S54" s="431">
        <v>0.89999999999999991</v>
      </c>
      <c r="T54" s="431">
        <v>0</v>
      </c>
      <c r="U54" s="431">
        <f t="shared" si="15"/>
        <v>0</v>
      </c>
      <c r="V54" s="433">
        <f t="shared" si="9"/>
        <v>92.222222222222214</v>
      </c>
      <c r="W54" s="432">
        <v>0.3</v>
      </c>
      <c r="X54" s="431">
        <f t="shared" si="14"/>
        <v>0.12499999999999999</v>
      </c>
      <c r="Y54" s="431">
        <f t="shared" si="10"/>
        <v>6.6640000000000005E-2</v>
      </c>
      <c r="Z54" s="431">
        <f t="shared" si="11"/>
        <v>0.8567999999999999</v>
      </c>
      <c r="AA54" s="431">
        <f t="shared" si="12"/>
        <v>0</v>
      </c>
      <c r="AB54" s="431">
        <f t="shared" si="7"/>
        <v>0</v>
      </c>
      <c r="AC54" s="431">
        <f t="shared" si="3"/>
        <v>92.222222222222214</v>
      </c>
      <c r="AD54" s="427">
        <v>30</v>
      </c>
      <c r="AE54" s="431">
        <f t="shared" si="8"/>
        <v>1.9992000000000001</v>
      </c>
      <c r="AF54" s="457"/>
    </row>
    <row r="55" spans="1:32" ht="18.75" customHeight="1" x14ac:dyDescent="0.2">
      <c r="A55" s="427">
        <v>42</v>
      </c>
      <c r="B55" s="428" t="s">
        <v>106</v>
      </c>
      <c r="C55" s="427" t="s">
        <v>46</v>
      </c>
      <c r="D55" s="429">
        <v>642.52</v>
      </c>
      <c r="E55" s="427" t="s">
        <v>111</v>
      </c>
      <c r="F55" s="427">
        <v>177.8</v>
      </c>
      <c r="G55" s="427" t="s">
        <v>28</v>
      </c>
      <c r="H55" s="429" t="s">
        <v>52</v>
      </c>
      <c r="I55" s="526">
        <v>556.65</v>
      </c>
      <c r="J55" s="427" t="s">
        <v>260</v>
      </c>
      <c r="K55" s="427"/>
      <c r="L55" s="427">
        <v>140</v>
      </c>
      <c r="M55" s="427"/>
      <c r="N55" s="427">
        <v>3.4</v>
      </c>
      <c r="O55" s="427"/>
      <c r="P55" s="430">
        <v>46.538052220578003</v>
      </c>
      <c r="Q55" s="431">
        <f t="shared" si="13"/>
        <v>16.5</v>
      </c>
      <c r="R55" s="432">
        <v>0.27100000000000002</v>
      </c>
      <c r="S55" s="431">
        <v>2.9859999999999998</v>
      </c>
      <c r="T55" s="431">
        <v>0</v>
      </c>
      <c r="U55" s="431">
        <f t="shared" si="15"/>
        <v>0</v>
      </c>
      <c r="V55" s="433">
        <f t="shared" si="9"/>
        <v>90.924313462826518</v>
      </c>
      <c r="W55" s="432">
        <v>1</v>
      </c>
      <c r="X55" s="431">
        <f t="shared" si="14"/>
        <v>0.18096969696969695</v>
      </c>
      <c r="Y55" s="431">
        <f t="shared" si="10"/>
        <v>0.257992</v>
      </c>
      <c r="Z55" s="431">
        <f t="shared" si="11"/>
        <v>2.8426719999999999</v>
      </c>
      <c r="AA55" s="431">
        <f t="shared" si="12"/>
        <v>0</v>
      </c>
      <c r="AB55" s="431">
        <f t="shared" si="7"/>
        <v>0</v>
      </c>
      <c r="AC55" s="431">
        <f t="shared" si="3"/>
        <v>90.924313462826518</v>
      </c>
      <c r="AD55" s="427">
        <v>30</v>
      </c>
      <c r="AE55" s="431">
        <f t="shared" si="8"/>
        <v>7.7397600000000004</v>
      </c>
      <c r="AF55" s="449"/>
    </row>
    <row r="56" spans="1:32" ht="18.75" customHeight="1" x14ac:dyDescent="0.2">
      <c r="A56" s="427">
        <v>43</v>
      </c>
      <c r="B56" s="428" t="s">
        <v>105</v>
      </c>
      <c r="C56" s="427" t="s">
        <v>46</v>
      </c>
      <c r="D56" s="429">
        <v>678.58</v>
      </c>
      <c r="E56" s="427" t="s">
        <v>110</v>
      </c>
      <c r="F56" s="427">
        <v>177.8</v>
      </c>
      <c r="G56" s="427" t="s">
        <v>28</v>
      </c>
      <c r="H56" s="429" t="s">
        <v>52</v>
      </c>
      <c r="I56" s="526">
        <v>529.41</v>
      </c>
      <c r="J56" s="427" t="s">
        <v>240</v>
      </c>
      <c r="K56" s="435">
        <v>255</v>
      </c>
      <c r="L56" s="427">
        <v>0</v>
      </c>
      <c r="M56" s="427">
        <v>1</v>
      </c>
      <c r="N56" s="427"/>
      <c r="O56" s="427"/>
      <c r="P56" s="430">
        <v>31.074340127161232</v>
      </c>
      <c r="Q56" s="431">
        <f t="shared" si="13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10"/>
        <v>0</v>
      </c>
      <c r="Z56" s="431">
        <f t="shared" si="11"/>
        <v>0</v>
      </c>
      <c r="AA56" s="431">
        <f t="shared" si="12"/>
        <v>0</v>
      </c>
      <c r="AB56" s="431">
        <f t="shared" si="7"/>
        <v>0</v>
      </c>
      <c r="AC56" s="431">
        <f t="shared" si="3"/>
        <v>0</v>
      </c>
      <c r="AD56" s="427">
        <v>0</v>
      </c>
      <c r="AE56" s="431">
        <f t="shared" si="8"/>
        <v>0</v>
      </c>
      <c r="AF56" s="434" t="s">
        <v>335</v>
      </c>
    </row>
    <row r="57" spans="1:32" ht="18.75" customHeight="1" x14ac:dyDescent="0.2">
      <c r="A57" s="427">
        <v>44</v>
      </c>
      <c r="B57" s="428" t="s">
        <v>104</v>
      </c>
      <c r="C57" s="427" t="s">
        <v>46</v>
      </c>
      <c r="D57" s="429">
        <v>707.14</v>
      </c>
      <c r="E57" s="427" t="s">
        <v>231</v>
      </c>
      <c r="F57" s="427">
        <v>177.8</v>
      </c>
      <c r="G57" s="427" t="s">
        <v>28</v>
      </c>
      <c r="H57" s="429" t="s">
        <v>52</v>
      </c>
      <c r="I57" s="526">
        <v>555</v>
      </c>
      <c r="J57" s="427" t="s">
        <v>240</v>
      </c>
      <c r="K57" s="435">
        <v>402</v>
      </c>
      <c r="L57" s="427">
        <v>0</v>
      </c>
      <c r="M57" s="427">
        <v>19.600000000000001</v>
      </c>
      <c r="N57" s="427"/>
      <c r="O57" s="427"/>
      <c r="P57" s="430">
        <v>36.30391419324004</v>
      </c>
      <c r="Q57" s="431">
        <f t="shared" si="13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3">
        <v>0</v>
      </c>
      <c r="W57" s="432">
        <v>0</v>
      </c>
      <c r="X57" s="431">
        <f>IF(S57=0,0,S57/Q57)</f>
        <v>0</v>
      </c>
      <c r="Y57" s="431">
        <f t="shared" si="10"/>
        <v>0</v>
      </c>
      <c r="Z57" s="431">
        <f t="shared" si="11"/>
        <v>0</v>
      </c>
      <c r="AA57" s="431">
        <f t="shared" si="12"/>
        <v>0</v>
      </c>
      <c r="AB57" s="431">
        <f t="shared" si="7"/>
        <v>0</v>
      </c>
      <c r="AC57" s="431">
        <f t="shared" si="3"/>
        <v>0</v>
      </c>
      <c r="AD57" s="427">
        <v>0</v>
      </c>
      <c r="AE57" s="431">
        <f t="shared" si="8"/>
        <v>0</v>
      </c>
      <c r="AF57" s="434" t="s">
        <v>334</v>
      </c>
    </row>
    <row r="58" spans="1:32" ht="18.75" customHeight="1" x14ac:dyDescent="0.3">
      <c r="A58" s="427">
        <v>45</v>
      </c>
      <c r="B58" s="519" t="s">
        <v>158</v>
      </c>
      <c r="C58" s="427" t="s">
        <v>46</v>
      </c>
      <c r="D58" s="526">
        <v>674.45</v>
      </c>
      <c r="E58" s="526" t="s">
        <v>232</v>
      </c>
      <c r="F58" s="427">
        <v>177.8</v>
      </c>
      <c r="G58" s="427" t="s">
        <v>28</v>
      </c>
      <c r="H58" s="429" t="s">
        <v>52</v>
      </c>
      <c r="I58" s="526">
        <v>543.72</v>
      </c>
      <c r="J58" s="526" t="s">
        <v>319</v>
      </c>
      <c r="K58" s="526"/>
      <c r="L58" s="526">
        <v>458</v>
      </c>
      <c r="M58" s="526"/>
      <c r="N58" s="427">
        <v>8.6999999999999993</v>
      </c>
      <c r="O58" s="526"/>
      <c r="P58" s="448">
        <v>18.22439162267057</v>
      </c>
      <c r="Q58" s="431">
        <f t="shared" si="13"/>
        <v>35.200000000000003</v>
      </c>
      <c r="R58" s="432">
        <v>9.15</v>
      </c>
      <c r="S58" s="431">
        <v>11.290000000000001</v>
      </c>
      <c r="T58" s="437">
        <v>347</v>
      </c>
      <c r="U58" s="431">
        <f t="shared" ref="U58:U64" si="16">T58/R58</f>
        <v>37.923497267759558</v>
      </c>
      <c r="V58" s="433">
        <f t="shared" si="9"/>
        <v>18.954827280779455</v>
      </c>
      <c r="W58" s="432">
        <v>2</v>
      </c>
      <c r="X58" s="431">
        <f t="shared" ref="X58:X74" si="17">S58/Q58</f>
        <v>0.32073863636363636</v>
      </c>
      <c r="Y58" s="431">
        <f t="shared" si="10"/>
        <v>8.7108000000000008</v>
      </c>
      <c r="Z58" s="431">
        <f t="shared" si="11"/>
        <v>10.74808</v>
      </c>
      <c r="AA58" s="431">
        <f t="shared" si="12"/>
        <v>330.34399999999999</v>
      </c>
      <c r="AB58" s="431">
        <f t="shared" si="7"/>
        <v>37.923497267759558</v>
      </c>
      <c r="AC58" s="431">
        <f t="shared" si="3"/>
        <v>18.954827280779455</v>
      </c>
      <c r="AD58" s="427">
        <v>30</v>
      </c>
      <c r="AE58" s="431">
        <f>Y58*AD58</f>
        <v>261.32400000000001</v>
      </c>
      <c r="AF58" s="458"/>
    </row>
    <row r="59" spans="1:32" ht="18.75" customHeight="1" x14ac:dyDescent="0.2">
      <c r="A59" s="427">
        <v>46</v>
      </c>
      <c r="B59" s="519" t="s">
        <v>160</v>
      </c>
      <c r="C59" s="427" t="s">
        <v>304</v>
      </c>
      <c r="D59" s="526">
        <v>677.33</v>
      </c>
      <c r="E59" s="526" t="s">
        <v>315</v>
      </c>
      <c r="F59" s="427">
        <v>177.8</v>
      </c>
      <c r="G59" s="427" t="s">
        <v>28</v>
      </c>
      <c r="H59" s="429" t="s">
        <v>50</v>
      </c>
      <c r="I59" s="526">
        <v>619</v>
      </c>
      <c r="J59" s="526" t="s">
        <v>250</v>
      </c>
      <c r="K59" s="526"/>
      <c r="L59" s="427">
        <v>257</v>
      </c>
      <c r="M59" s="526"/>
      <c r="N59" s="427">
        <v>8.6</v>
      </c>
      <c r="O59" s="526"/>
      <c r="P59" s="448">
        <v>43.335202505674694</v>
      </c>
      <c r="Q59" s="431">
        <f t="shared" si="13"/>
        <v>18</v>
      </c>
      <c r="R59" s="432">
        <v>1.407</v>
      </c>
      <c r="S59" s="431">
        <v>10.94</v>
      </c>
      <c r="T59" s="437">
        <v>10</v>
      </c>
      <c r="U59" s="431">
        <f t="shared" si="16"/>
        <v>7.1073205401563611</v>
      </c>
      <c r="V59" s="433">
        <f t="shared" si="9"/>
        <v>87.138939670932359</v>
      </c>
      <c r="W59" s="432">
        <v>0</v>
      </c>
      <c r="X59" s="431">
        <f t="shared" si="17"/>
        <v>0.60777777777777775</v>
      </c>
      <c r="Y59" s="431">
        <f t="shared" si="10"/>
        <v>1.339464</v>
      </c>
      <c r="Z59" s="431">
        <f t="shared" si="11"/>
        <v>10.414879999999998</v>
      </c>
      <c r="AA59" s="431">
        <f t="shared" si="12"/>
        <v>9.52</v>
      </c>
      <c r="AB59" s="431">
        <f t="shared" si="7"/>
        <v>7.1073205401563611</v>
      </c>
      <c r="AC59" s="431">
        <f t="shared" si="3"/>
        <v>87.138939670932359</v>
      </c>
      <c r="AD59" s="427">
        <v>30</v>
      </c>
      <c r="AE59" s="431">
        <f>Y59*AD59</f>
        <v>40.183920000000001</v>
      </c>
      <c r="AF59" s="434"/>
    </row>
    <row r="60" spans="1:32" ht="18.75" customHeight="1" x14ac:dyDescent="0.2">
      <c r="A60" s="427">
        <v>47</v>
      </c>
      <c r="B60" s="428" t="s">
        <v>164</v>
      </c>
      <c r="C60" s="427" t="s">
        <v>46</v>
      </c>
      <c r="D60" s="526">
        <v>678.47</v>
      </c>
      <c r="E60" s="526" t="s">
        <v>233</v>
      </c>
      <c r="F60" s="427">
        <v>177.8</v>
      </c>
      <c r="G60" s="427" t="s">
        <v>28</v>
      </c>
      <c r="H60" s="429" t="s">
        <v>48</v>
      </c>
      <c r="I60" s="526">
        <v>563.11</v>
      </c>
      <c r="J60" s="526" t="s">
        <v>243</v>
      </c>
      <c r="K60" s="526"/>
      <c r="L60" s="526">
        <v>421</v>
      </c>
      <c r="M60" s="526"/>
      <c r="N60" s="427">
        <v>1.5</v>
      </c>
      <c r="O60" s="526"/>
      <c r="P60" s="430">
        <v>16.283307553863668</v>
      </c>
      <c r="Q60" s="431">
        <f t="shared" si="13"/>
        <v>19.5</v>
      </c>
      <c r="R60" s="432">
        <v>3.9670000000000001</v>
      </c>
      <c r="S60" s="431">
        <v>4.7140000000000004</v>
      </c>
      <c r="T60" s="431">
        <v>10</v>
      </c>
      <c r="U60" s="431">
        <f t="shared" si="16"/>
        <v>2.5207965717166623</v>
      </c>
      <c r="V60" s="433">
        <f t="shared" si="9"/>
        <v>15.846414934238446</v>
      </c>
      <c r="W60" s="432">
        <v>6</v>
      </c>
      <c r="X60" s="431">
        <f t="shared" si="17"/>
        <v>0.24174358974358975</v>
      </c>
      <c r="Y60" s="431">
        <f t="shared" si="10"/>
        <v>3.7765839999999997</v>
      </c>
      <c r="Z60" s="431">
        <f t="shared" si="11"/>
        <v>4.4877280000000006</v>
      </c>
      <c r="AA60" s="431">
        <f t="shared" si="12"/>
        <v>9.52</v>
      </c>
      <c r="AB60" s="431">
        <f t="shared" si="7"/>
        <v>2.5207965717166623</v>
      </c>
      <c r="AC60" s="431">
        <f t="shared" si="3"/>
        <v>15.846414934238446</v>
      </c>
      <c r="AD60" s="427">
        <v>30</v>
      </c>
      <c r="AE60" s="431">
        <f t="shared" ref="AE60:AE72" si="18">Y60*AD60</f>
        <v>113.29751999999999</v>
      </c>
      <c r="AF60" s="434"/>
    </row>
    <row r="61" spans="1:32" ht="18.75" customHeight="1" x14ac:dyDescent="0.2">
      <c r="A61" s="427">
        <v>48</v>
      </c>
      <c r="B61" s="428" t="s">
        <v>61</v>
      </c>
      <c r="C61" s="427" t="s">
        <v>46</v>
      </c>
      <c r="D61" s="429">
        <v>667.18</v>
      </c>
      <c r="E61" s="427" t="s">
        <v>96</v>
      </c>
      <c r="F61" s="427">
        <v>177.8</v>
      </c>
      <c r="G61" s="427" t="s">
        <v>28</v>
      </c>
      <c r="H61" s="429" t="s">
        <v>52</v>
      </c>
      <c r="I61" s="526">
        <v>534.21</v>
      </c>
      <c r="J61" s="427" t="s">
        <v>243</v>
      </c>
      <c r="K61" s="427"/>
      <c r="L61" s="427">
        <v>446</v>
      </c>
      <c r="M61" s="427"/>
      <c r="N61" s="427">
        <v>8.6</v>
      </c>
      <c r="O61" s="427"/>
      <c r="P61" s="430">
        <v>19.022072870609627</v>
      </c>
      <c r="Q61" s="431">
        <f t="shared" si="13"/>
        <v>33</v>
      </c>
      <c r="R61" s="432">
        <v>8.8569999999999993</v>
      </c>
      <c r="S61" s="431">
        <v>11.488999999999999</v>
      </c>
      <c r="T61" s="431">
        <v>173</v>
      </c>
      <c r="U61" s="431">
        <f t="shared" si="16"/>
        <v>19.532573106017839</v>
      </c>
      <c r="V61" s="433">
        <f t="shared" si="9"/>
        <v>22.908869353294456</v>
      </c>
      <c r="W61" s="432">
        <v>0.5</v>
      </c>
      <c r="X61" s="431">
        <f t="shared" si="17"/>
        <v>0.3481515151515151</v>
      </c>
      <c r="Y61" s="431">
        <f t="shared" si="10"/>
        <v>8.4318639999999991</v>
      </c>
      <c r="Z61" s="431">
        <f t="shared" si="11"/>
        <v>10.937527999999999</v>
      </c>
      <c r="AA61" s="431">
        <f t="shared" si="12"/>
        <v>164.696</v>
      </c>
      <c r="AB61" s="431">
        <f t="shared" si="7"/>
        <v>19.532573106017839</v>
      </c>
      <c r="AC61" s="431">
        <v>67</v>
      </c>
      <c r="AD61" s="427">
        <v>30</v>
      </c>
      <c r="AE61" s="431">
        <f t="shared" si="18"/>
        <v>252.95591999999996</v>
      </c>
      <c r="AF61" s="449"/>
    </row>
    <row r="62" spans="1:32" ht="18.75" customHeight="1" x14ac:dyDescent="0.2">
      <c r="A62" s="427">
        <v>49</v>
      </c>
      <c r="B62" s="428" t="s">
        <v>64</v>
      </c>
      <c r="C62" s="427" t="s">
        <v>46</v>
      </c>
      <c r="D62" s="429">
        <v>672.5</v>
      </c>
      <c r="E62" s="427" t="s">
        <v>234</v>
      </c>
      <c r="F62" s="427">
        <v>177.8</v>
      </c>
      <c r="G62" s="427" t="s">
        <v>28</v>
      </c>
      <c r="H62" s="429" t="s">
        <v>49</v>
      </c>
      <c r="I62" s="526">
        <v>533.70000000000005</v>
      </c>
      <c r="J62" s="427" t="s">
        <v>257</v>
      </c>
      <c r="K62" s="427"/>
      <c r="L62" s="427">
        <v>461</v>
      </c>
      <c r="M62" s="427"/>
      <c r="N62" s="427">
        <v>9.8000000000000007</v>
      </c>
      <c r="O62" s="427"/>
      <c r="P62" s="430">
        <v>19.069426576517291</v>
      </c>
      <c r="Q62" s="431">
        <f t="shared" si="13"/>
        <v>115.2</v>
      </c>
      <c r="R62" s="432">
        <v>10.02</v>
      </c>
      <c r="S62" s="431">
        <v>12.998999999999999</v>
      </c>
      <c r="T62" s="530">
        <v>2028</v>
      </c>
      <c r="U62" s="431">
        <f t="shared" si="16"/>
        <v>202.39520958083833</v>
      </c>
      <c r="V62" s="433">
        <f t="shared" si="9"/>
        <v>22.917147472882526</v>
      </c>
      <c r="W62" s="432">
        <v>0.3</v>
      </c>
      <c r="X62" s="431">
        <f t="shared" si="17"/>
        <v>0.11283854166666665</v>
      </c>
      <c r="Y62" s="431">
        <f t="shared" si="10"/>
        <v>9.53904</v>
      </c>
      <c r="Z62" s="431">
        <f t="shared" si="11"/>
        <v>12.375047999999998</v>
      </c>
      <c r="AA62" s="530">
        <f t="shared" si="12"/>
        <v>1930.6559999999999</v>
      </c>
      <c r="AB62" s="431">
        <f t="shared" si="7"/>
        <v>202.39520958083833</v>
      </c>
      <c r="AC62" s="431">
        <f t="shared" si="3"/>
        <v>22.917147472882526</v>
      </c>
      <c r="AD62" s="427">
        <v>30</v>
      </c>
      <c r="AE62" s="431">
        <f t="shared" si="18"/>
        <v>286.1712</v>
      </c>
      <c r="AF62" s="439"/>
    </row>
    <row r="63" spans="1:32" ht="18.75" customHeight="1" x14ac:dyDescent="0.2">
      <c r="A63" s="427">
        <v>50</v>
      </c>
      <c r="B63" s="428" t="s">
        <v>156</v>
      </c>
      <c r="C63" s="427" t="s">
        <v>46</v>
      </c>
      <c r="D63" s="429">
        <v>679.54</v>
      </c>
      <c r="E63" s="427" t="s">
        <v>166</v>
      </c>
      <c r="F63" s="427">
        <v>177.8</v>
      </c>
      <c r="G63" s="427" t="s">
        <v>28</v>
      </c>
      <c r="H63" s="429" t="s">
        <v>52</v>
      </c>
      <c r="I63" s="526">
        <v>530.98</v>
      </c>
      <c r="J63" s="427" t="s">
        <v>329</v>
      </c>
      <c r="K63" s="427"/>
      <c r="L63" s="427">
        <v>446</v>
      </c>
      <c r="M63" s="427"/>
      <c r="N63" s="427">
        <v>7.7</v>
      </c>
      <c r="O63" s="427"/>
      <c r="P63" s="430">
        <v>18.300252122261544</v>
      </c>
      <c r="Q63" s="431">
        <f t="shared" si="13"/>
        <v>36.299999999999997</v>
      </c>
      <c r="R63" s="432">
        <v>8.2080000000000002</v>
      </c>
      <c r="S63" s="431">
        <v>12.143000000000001</v>
      </c>
      <c r="T63" s="431">
        <v>163</v>
      </c>
      <c r="U63" s="431">
        <f t="shared" si="16"/>
        <v>19.858674463937621</v>
      </c>
      <c r="V63" s="433">
        <f t="shared" si="9"/>
        <v>32.405501111751626</v>
      </c>
      <c r="W63" s="432">
        <v>1</v>
      </c>
      <c r="X63" s="431">
        <f t="shared" si="17"/>
        <v>0.33451790633608819</v>
      </c>
      <c r="Y63" s="431">
        <f t="shared" si="10"/>
        <v>7.8140159999999996</v>
      </c>
      <c r="Z63" s="431">
        <f t="shared" si="11"/>
        <v>11.560136</v>
      </c>
      <c r="AA63" s="431">
        <f t="shared" si="12"/>
        <v>155.17599999999999</v>
      </c>
      <c r="AB63" s="431">
        <f t="shared" si="7"/>
        <v>19.858674463937621</v>
      </c>
      <c r="AC63" s="431">
        <f t="shared" si="3"/>
        <v>32.405501111751626</v>
      </c>
      <c r="AD63" s="427">
        <v>30</v>
      </c>
      <c r="AE63" s="431">
        <f t="shared" si="18"/>
        <v>234.42048</v>
      </c>
      <c r="AF63" s="439"/>
    </row>
    <row r="64" spans="1:32" ht="18.75" customHeight="1" x14ac:dyDescent="0.2">
      <c r="A64" s="427">
        <v>51</v>
      </c>
      <c r="B64" s="428" t="s">
        <v>169</v>
      </c>
      <c r="C64" s="427" t="s">
        <v>46</v>
      </c>
      <c r="D64" s="429">
        <v>673</v>
      </c>
      <c r="E64" s="427" t="s">
        <v>170</v>
      </c>
      <c r="F64" s="427">
        <v>177.8</v>
      </c>
      <c r="G64" s="427" t="s">
        <v>28</v>
      </c>
      <c r="H64" s="429" t="s">
        <v>52</v>
      </c>
      <c r="I64" s="526">
        <v>541.48</v>
      </c>
      <c r="J64" s="427" t="s">
        <v>246</v>
      </c>
      <c r="K64" s="427"/>
      <c r="L64" s="427">
        <v>416</v>
      </c>
      <c r="M64" s="427"/>
      <c r="N64" s="427">
        <v>2.2000000000000002</v>
      </c>
      <c r="O64" s="427"/>
      <c r="P64" s="430">
        <v>16.989421449617243</v>
      </c>
      <c r="Q64" s="431">
        <f t="shared" si="13"/>
        <v>27.5</v>
      </c>
      <c r="R64" s="432">
        <v>2.843</v>
      </c>
      <c r="S64" s="431">
        <v>4.3010000000000002</v>
      </c>
      <c r="T64" s="431">
        <v>32</v>
      </c>
      <c r="U64" s="431">
        <f t="shared" si="16"/>
        <v>11.255715793176222</v>
      </c>
      <c r="V64" s="433">
        <f t="shared" si="9"/>
        <v>33.899093234131598</v>
      </c>
      <c r="W64" s="432">
        <v>1</v>
      </c>
      <c r="X64" s="431">
        <f t="shared" si="17"/>
        <v>0.15640000000000001</v>
      </c>
      <c r="Y64" s="431">
        <f t="shared" si="10"/>
        <v>2.7065359999999998</v>
      </c>
      <c r="Z64" s="431">
        <f t="shared" si="11"/>
        <v>4.0945520000000002</v>
      </c>
      <c r="AA64" s="431">
        <f t="shared" si="12"/>
        <v>30.463999999999999</v>
      </c>
      <c r="AB64" s="431">
        <f t="shared" si="7"/>
        <v>11.255715793176222</v>
      </c>
      <c r="AC64" s="431">
        <f t="shared" si="3"/>
        <v>33.899093234131598</v>
      </c>
      <c r="AD64" s="427">
        <v>30</v>
      </c>
      <c r="AE64" s="431">
        <f>Y64*AD64</f>
        <v>81.196079999999995</v>
      </c>
      <c r="AF64" s="439"/>
    </row>
    <row r="65" spans="1:32" ht="18.75" customHeight="1" x14ac:dyDescent="0.2">
      <c r="A65" s="427">
        <v>52</v>
      </c>
      <c r="B65" s="428" t="s">
        <v>62</v>
      </c>
      <c r="C65" s="427" t="s">
        <v>46</v>
      </c>
      <c r="D65" s="429">
        <v>673.73</v>
      </c>
      <c r="E65" s="427" t="s">
        <v>97</v>
      </c>
      <c r="F65" s="427">
        <v>177.8</v>
      </c>
      <c r="G65" s="427" t="s">
        <v>28</v>
      </c>
      <c r="H65" s="429" t="s">
        <v>218</v>
      </c>
      <c r="I65" s="526">
        <v>543</v>
      </c>
      <c r="J65" s="427" t="s">
        <v>243</v>
      </c>
      <c r="K65" s="427"/>
      <c r="L65" s="427">
        <v>440</v>
      </c>
      <c r="M65" s="427"/>
      <c r="N65" s="427">
        <v>5.8</v>
      </c>
      <c r="O65" s="427"/>
      <c r="P65" s="430">
        <v>17.48183144857051</v>
      </c>
      <c r="Q65" s="431">
        <f t="shared" si="13"/>
        <v>48</v>
      </c>
      <c r="R65" s="432">
        <v>9.8659999999999997</v>
      </c>
      <c r="S65" s="431">
        <v>11.805999999999999</v>
      </c>
      <c r="T65" s="431">
        <v>161</v>
      </c>
      <c r="U65" s="431">
        <f t="shared" si="1"/>
        <v>16.318670180417595</v>
      </c>
      <c r="V65" s="433">
        <f t="shared" si="9"/>
        <v>16.432322547857019</v>
      </c>
      <c r="W65" s="432">
        <v>0.5</v>
      </c>
      <c r="X65" s="431">
        <f t="shared" si="17"/>
        <v>0.24595833333333331</v>
      </c>
      <c r="Y65" s="431">
        <f t="shared" si="10"/>
        <v>9.3924319999999994</v>
      </c>
      <c r="Z65" s="431">
        <f t="shared" si="11"/>
        <v>11.239311999999998</v>
      </c>
      <c r="AA65" s="431">
        <f t="shared" si="12"/>
        <v>153.27199999999999</v>
      </c>
      <c r="AB65" s="431">
        <f t="shared" si="7"/>
        <v>16.318670180417595</v>
      </c>
      <c r="AC65" s="431">
        <f t="shared" si="3"/>
        <v>16.432322547857019</v>
      </c>
      <c r="AD65" s="427">
        <v>30</v>
      </c>
      <c r="AE65" s="431">
        <f t="shared" si="18"/>
        <v>281.77296000000001</v>
      </c>
      <c r="AF65" s="434"/>
    </row>
    <row r="66" spans="1:32" ht="18.75" customHeight="1" x14ac:dyDescent="0.2">
      <c r="A66" s="427">
        <v>53</v>
      </c>
      <c r="B66" s="428" t="s">
        <v>157</v>
      </c>
      <c r="C66" s="427" t="s">
        <v>46</v>
      </c>
      <c r="D66" s="429">
        <v>676.73</v>
      </c>
      <c r="E66" s="427" t="s">
        <v>179</v>
      </c>
      <c r="F66" s="427">
        <v>177.8</v>
      </c>
      <c r="G66" s="427" t="s">
        <v>28</v>
      </c>
      <c r="H66" s="429" t="s">
        <v>218</v>
      </c>
      <c r="I66" s="526">
        <v>579.14</v>
      </c>
      <c r="J66" s="427" t="s">
        <v>322</v>
      </c>
      <c r="K66" s="427"/>
      <c r="L66" s="427">
        <v>161</v>
      </c>
      <c r="M66" s="427"/>
      <c r="N66" s="427">
        <v>9.9</v>
      </c>
      <c r="O66" s="427"/>
      <c r="P66" s="430">
        <v>47.832550406314354</v>
      </c>
      <c r="Q66" s="431">
        <f t="shared" si="13"/>
        <v>38.4</v>
      </c>
      <c r="R66" s="432">
        <v>10.455</v>
      </c>
      <c r="S66" s="431">
        <v>26.957000000000001</v>
      </c>
      <c r="T66" s="431">
        <v>183</v>
      </c>
      <c r="U66" s="431">
        <f t="shared" si="1"/>
        <v>17.503586800573888</v>
      </c>
      <c r="V66" s="433">
        <f t="shared" si="9"/>
        <v>61.216010683681418</v>
      </c>
      <c r="W66" s="432">
        <v>2</v>
      </c>
      <c r="X66" s="431">
        <f t="shared" si="17"/>
        <v>0.70200520833333335</v>
      </c>
      <c r="Y66" s="431">
        <f t="shared" si="10"/>
        <v>9.9531600000000005</v>
      </c>
      <c r="Z66" s="431">
        <f t="shared" si="11"/>
        <v>25.663063999999999</v>
      </c>
      <c r="AA66" s="431">
        <f t="shared" si="12"/>
        <v>174.21599999999998</v>
      </c>
      <c r="AB66" s="431">
        <f t="shared" si="7"/>
        <v>17.503586800573888</v>
      </c>
      <c r="AC66" s="431">
        <v>30</v>
      </c>
      <c r="AD66" s="427">
        <v>30</v>
      </c>
      <c r="AE66" s="431">
        <f t="shared" si="18"/>
        <v>298.59480000000002</v>
      </c>
      <c r="AF66" s="459"/>
    </row>
    <row r="67" spans="1:32" ht="18.75" customHeight="1" x14ac:dyDescent="0.2">
      <c r="A67" s="427">
        <v>54</v>
      </c>
      <c r="B67" s="428" t="s">
        <v>159</v>
      </c>
      <c r="C67" s="427" t="s">
        <v>46</v>
      </c>
      <c r="D67" s="429">
        <v>676</v>
      </c>
      <c r="E67" s="427" t="s">
        <v>167</v>
      </c>
      <c r="F67" s="427">
        <v>177.8</v>
      </c>
      <c r="G67" s="427" t="s">
        <v>28</v>
      </c>
      <c r="H67" s="429" t="s">
        <v>218</v>
      </c>
      <c r="I67" s="526">
        <v>508.57</v>
      </c>
      <c r="J67" s="427" t="s">
        <v>320</v>
      </c>
      <c r="K67" s="427"/>
      <c r="L67" s="427">
        <v>373</v>
      </c>
      <c r="M67" s="427"/>
      <c r="N67" s="427">
        <v>10</v>
      </c>
      <c r="O67" s="427"/>
      <c r="P67" s="430">
        <v>23.33622693677551</v>
      </c>
      <c r="Q67" s="431">
        <f t="shared" si="13"/>
        <v>70.400000000000006</v>
      </c>
      <c r="R67" s="432">
        <v>34.335000000000001</v>
      </c>
      <c r="S67" s="431">
        <v>38.898000000000003</v>
      </c>
      <c r="T67" s="431">
        <v>965</v>
      </c>
      <c r="U67" s="431">
        <f t="shared" si="1"/>
        <v>28.105431775156546</v>
      </c>
      <c r="V67" s="433">
        <f t="shared" si="9"/>
        <v>11.730680240629344</v>
      </c>
      <c r="W67" s="432">
        <v>0.7</v>
      </c>
      <c r="X67" s="431">
        <f t="shared" si="17"/>
        <v>0.55252840909090906</v>
      </c>
      <c r="Y67" s="431">
        <f t="shared" si="10"/>
        <v>32.686920000000001</v>
      </c>
      <c r="Z67" s="431">
        <f t="shared" si="11"/>
        <v>37.030895999999998</v>
      </c>
      <c r="AA67" s="431">
        <f t="shared" si="12"/>
        <v>918.68</v>
      </c>
      <c r="AB67" s="431">
        <f t="shared" si="7"/>
        <v>28.105431775156546</v>
      </c>
      <c r="AC67" s="431">
        <v>14.18</v>
      </c>
      <c r="AD67" s="427">
        <v>30</v>
      </c>
      <c r="AE67" s="431">
        <f t="shared" si="18"/>
        <v>980.60760000000005</v>
      </c>
      <c r="AF67" s="434"/>
    </row>
    <row r="68" spans="1:32" ht="18.75" customHeight="1" x14ac:dyDescent="0.2">
      <c r="A68" s="427">
        <v>55</v>
      </c>
      <c r="B68" s="428" t="s">
        <v>210</v>
      </c>
      <c r="C68" s="427" t="s">
        <v>46</v>
      </c>
      <c r="D68" s="429">
        <v>728.32</v>
      </c>
      <c r="E68" s="427" t="s">
        <v>226</v>
      </c>
      <c r="F68" s="427">
        <v>177.8</v>
      </c>
      <c r="G68" s="427" t="s">
        <v>28</v>
      </c>
      <c r="H68" s="429" t="s">
        <v>218</v>
      </c>
      <c r="I68" s="526">
        <v>519.38</v>
      </c>
      <c r="J68" s="427" t="s">
        <v>244</v>
      </c>
      <c r="K68" s="427"/>
      <c r="L68" s="427">
        <v>449</v>
      </c>
      <c r="M68" s="427"/>
      <c r="N68" s="427">
        <v>11.5</v>
      </c>
      <c r="O68" s="427"/>
      <c r="P68" s="430">
        <v>19.761985639204365</v>
      </c>
      <c r="Q68" s="431">
        <f t="shared" si="13"/>
        <v>64</v>
      </c>
      <c r="R68" s="432">
        <v>20.943000000000001</v>
      </c>
      <c r="S68" s="431">
        <v>22.892000000000003</v>
      </c>
      <c r="T68" s="431">
        <v>812</v>
      </c>
      <c r="U68" s="431">
        <f t="shared" si="1"/>
        <v>38.771904693692399</v>
      </c>
      <c r="V68" s="433">
        <f t="shared" si="9"/>
        <v>8.5138913157434963</v>
      </c>
      <c r="W68" s="432">
        <v>0.5</v>
      </c>
      <c r="X68" s="431">
        <f t="shared" si="17"/>
        <v>0.35768750000000005</v>
      </c>
      <c r="Y68" s="431">
        <f t="shared" si="10"/>
        <v>19.937736000000001</v>
      </c>
      <c r="Z68" s="431">
        <f t="shared" si="11"/>
        <v>21.793184000000004</v>
      </c>
      <c r="AA68" s="431">
        <f t="shared" si="12"/>
        <v>773.024</v>
      </c>
      <c r="AB68" s="431">
        <f t="shared" si="7"/>
        <v>38.771904693692399</v>
      </c>
      <c r="AC68" s="431">
        <f t="shared" si="3"/>
        <v>8.5138913157434963</v>
      </c>
      <c r="AD68" s="427">
        <v>30</v>
      </c>
      <c r="AE68" s="431">
        <f t="shared" si="18"/>
        <v>598.13208000000009</v>
      </c>
      <c r="AF68" s="439"/>
    </row>
    <row r="69" spans="1:32" ht="18.75" customHeight="1" x14ac:dyDescent="0.2">
      <c r="A69" s="427">
        <v>56</v>
      </c>
      <c r="B69" s="428" t="s">
        <v>63</v>
      </c>
      <c r="C69" s="427" t="s">
        <v>46</v>
      </c>
      <c r="D69" s="429">
        <v>672.99</v>
      </c>
      <c r="E69" s="427" t="s">
        <v>98</v>
      </c>
      <c r="F69" s="427">
        <v>177.8</v>
      </c>
      <c r="G69" s="427" t="s">
        <v>28</v>
      </c>
      <c r="H69" s="429" t="s">
        <v>310</v>
      </c>
      <c r="I69" s="526">
        <v>536.32000000000005</v>
      </c>
      <c r="J69" s="427">
        <v>230</v>
      </c>
      <c r="K69" s="427"/>
      <c r="L69" s="427">
        <v>379</v>
      </c>
      <c r="M69" s="427"/>
      <c r="N69" s="427">
        <v>10.7</v>
      </c>
      <c r="O69" s="427"/>
      <c r="P69" s="430">
        <v>27.773810664565211</v>
      </c>
      <c r="Q69" s="431">
        <f t="shared" si="13"/>
        <v>50.6</v>
      </c>
      <c r="R69" s="432">
        <v>9.609</v>
      </c>
      <c r="S69" s="431">
        <v>12.285</v>
      </c>
      <c r="T69" s="431">
        <v>766</v>
      </c>
      <c r="U69" s="431">
        <f t="shared" si="1"/>
        <v>79.716932042876465</v>
      </c>
      <c r="V69" s="433">
        <f t="shared" si="9"/>
        <v>21.782661782661783</v>
      </c>
      <c r="W69" s="432">
        <v>0.5</v>
      </c>
      <c r="X69" s="431">
        <f t="shared" si="17"/>
        <v>0.24278656126482212</v>
      </c>
      <c r="Y69" s="431">
        <f t="shared" si="10"/>
        <v>9.1477679999999992</v>
      </c>
      <c r="Z69" s="431">
        <f t="shared" si="11"/>
        <v>11.695319999999999</v>
      </c>
      <c r="AA69" s="431">
        <f t="shared" si="12"/>
        <v>729.23199999999997</v>
      </c>
      <c r="AB69" s="431">
        <f t="shared" si="7"/>
        <v>79.716932042876465</v>
      </c>
      <c r="AC69" s="431">
        <f t="shared" si="3"/>
        <v>21.782661782661783</v>
      </c>
      <c r="AD69" s="427">
        <v>30</v>
      </c>
      <c r="AE69" s="431">
        <f t="shared" si="18"/>
        <v>274.43304000000001</v>
      </c>
      <c r="AF69" s="439"/>
    </row>
    <row r="70" spans="1:32" ht="18.75" customHeight="1" x14ac:dyDescent="0.2">
      <c r="A70" s="427">
        <v>57</v>
      </c>
      <c r="B70" s="428" t="s">
        <v>217</v>
      </c>
      <c r="C70" s="427" t="s">
        <v>46</v>
      </c>
      <c r="D70" s="429">
        <v>684.57</v>
      </c>
      <c r="E70" s="427" t="s">
        <v>223</v>
      </c>
      <c r="F70" s="427">
        <v>177.8</v>
      </c>
      <c r="G70" s="427" t="s">
        <v>28</v>
      </c>
      <c r="H70" s="429" t="s">
        <v>219</v>
      </c>
      <c r="I70" s="526">
        <v>553.94000000000005</v>
      </c>
      <c r="J70" s="427" t="s">
        <v>248</v>
      </c>
      <c r="K70" s="427"/>
      <c r="L70" s="427">
        <v>261</v>
      </c>
      <c r="M70" s="427"/>
      <c r="N70" s="427">
        <v>10.3</v>
      </c>
      <c r="O70" s="427"/>
      <c r="P70" s="430">
        <v>41.621215577142394</v>
      </c>
      <c r="Q70" s="431">
        <f t="shared" si="13"/>
        <v>10.199999999999999</v>
      </c>
      <c r="R70" s="432">
        <v>1.1870000000000001</v>
      </c>
      <c r="S70" s="431">
        <v>7.5580000000000007</v>
      </c>
      <c r="T70" s="431">
        <v>0</v>
      </c>
      <c r="U70" s="431">
        <f t="shared" si="1"/>
        <v>0</v>
      </c>
      <c r="V70" s="433">
        <f t="shared" si="9"/>
        <v>84.29478698068273</v>
      </c>
      <c r="W70" s="432">
        <v>3</v>
      </c>
      <c r="X70" s="431">
        <f t="shared" si="17"/>
        <v>0.74098039215686284</v>
      </c>
      <c r="Y70" s="431">
        <f t="shared" si="10"/>
        <v>1.1300239999999999</v>
      </c>
      <c r="Z70" s="431">
        <f t="shared" si="11"/>
        <v>7.1952160000000003</v>
      </c>
      <c r="AA70" s="431">
        <f t="shared" si="12"/>
        <v>0</v>
      </c>
      <c r="AB70" s="431">
        <v>0</v>
      </c>
      <c r="AC70" s="431">
        <f t="shared" si="3"/>
        <v>84.29478698068273</v>
      </c>
      <c r="AD70" s="427">
        <v>30</v>
      </c>
      <c r="AE70" s="431">
        <f t="shared" si="18"/>
        <v>33.90072</v>
      </c>
      <c r="AF70" s="439"/>
    </row>
    <row r="71" spans="1:32" ht="18.75" customHeight="1" x14ac:dyDescent="0.2">
      <c r="A71" s="427">
        <v>58</v>
      </c>
      <c r="B71" s="428" t="s">
        <v>211</v>
      </c>
      <c r="C71" s="427" t="s">
        <v>46</v>
      </c>
      <c r="D71" s="429">
        <v>683.16</v>
      </c>
      <c r="E71" s="427" t="s">
        <v>224</v>
      </c>
      <c r="F71" s="427">
        <v>177.8</v>
      </c>
      <c r="G71" s="427" t="s">
        <v>28</v>
      </c>
      <c r="H71" s="429" t="s">
        <v>52</v>
      </c>
      <c r="I71" s="526">
        <v>560.29</v>
      </c>
      <c r="J71" s="427" t="s">
        <v>324</v>
      </c>
      <c r="K71" s="427"/>
      <c r="L71" s="427">
        <v>427</v>
      </c>
      <c r="M71" s="427"/>
      <c r="N71" s="427">
        <v>1.1000000000000001</v>
      </c>
      <c r="O71" s="427"/>
      <c r="P71" s="430">
        <v>14.789175113543864</v>
      </c>
      <c r="Q71" s="431">
        <f t="shared" si="13"/>
        <v>28.6</v>
      </c>
      <c r="R71" s="432">
        <v>3.6320000000000001</v>
      </c>
      <c r="S71" s="431">
        <v>4.4960000000000004</v>
      </c>
      <c r="T71" s="431">
        <v>40</v>
      </c>
      <c r="U71" s="431">
        <f t="shared" si="1"/>
        <v>11.013215859030836</v>
      </c>
      <c r="V71" s="433">
        <f t="shared" si="9"/>
        <v>19.217081850533813</v>
      </c>
      <c r="W71" s="432">
        <v>2</v>
      </c>
      <c r="X71" s="431">
        <f t="shared" si="17"/>
        <v>0.1572027972027972</v>
      </c>
      <c r="Y71" s="431">
        <f t="shared" si="10"/>
        <v>3.4576639999999998</v>
      </c>
      <c r="Z71" s="431">
        <f t="shared" si="11"/>
        <v>4.2801920000000004</v>
      </c>
      <c r="AA71" s="431">
        <f t="shared" si="12"/>
        <v>38.08</v>
      </c>
      <c r="AB71" s="431">
        <f t="shared" si="7"/>
        <v>11.013215859030836</v>
      </c>
      <c r="AC71" s="431">
        <f t="shared" si="3"/>
        <v>19.217081850533813</v>
      </c>
      <c r="AD71" s="427">
        <v>30</v>
      </c>
      <c r="AE71" s="431">
        <f t="shared" si="18"/>
        <v>103.72991999999999</v>
      </c>
      <c r="AF71" s="439"/>
    </row>
    <row r="72" spans="1:32" ht="18.75" customHeight="1" x14ac:dyDescent="0.2">
      <c r="A72" s="427">
        <v>59</v>
      </c>
      <c r="B72" s="428" t="s">
        <v>213</v>
      </c>
      <c r="C72" s="427" t="s">
        <v>46</v>
      </c>
      <c r="D72" s="429">
        <v>679.2</v>
      </c>
      <c r="E72" s="460" t="s">
        <v>225</v>
      </c>
      <c r="F72" s="427">
        <v>177.8</v>
      </c>
      <c r="G72" s="427" t="s">
        <v>28</v>
      </c>
      <c r="H72" s="429" t="s">
        <v>48</v>
      </c>
      <c r="I72" s="526">
        <v>559.19000000000005</v>
      </c>
      <c r="J72" s="427" t="s">
        <v>239</v>
      </c>
      <c r="K72" s="427"/>
      <c r="L72" s="427">
        <v>470</v>
      </c>
      <c r="M72" s="427"/>
      <c r="N72" s="427">
        <v>3.5</v>
      </c>
      <c r="O72" s="427"/>
      <c r="P72" s="430">
        <v>13.696912906914843</v>
      </c>
      <c r="Q72" s="431">
        <f t="shared" si="13"/>
        <v>13</v>
      </c>
      <c r="R72" s="432">
        <v>2.927</v>
      </c>
      <c r="S72" s="431">
        <v>4.7970000000000006</v>
      </c>
      <c r="T72" s="431">
        <v>9</v>
      </c>
      <c r="U72" s="431">
        <f t="shared" si="1"/>
        <v>3.0748206354629315</v>
      </c>
      <c r="V72" s="433">
        <f t="shared" si="9"/>
        <v>38.982697519282894</v>
      </c>
      <c r="W72" s="432">
        <v>1</v>
      </c>
      <c r="X72" s="431">
        <f t="shared" si="17"/>
        <v>0.36900000000000005</v>
      </c>
      <c r="Y72" s="431">
        <f t="shared" si="10"/>
        <v>2.7865039999999999</v>
      </c>
      <c r="Z72" s="431">
        <f t="shared" si="11"/>
        <v>4.5667440000000008</v>
      </c>
      <c r="AA72" s="431">
        <f t="shared" si="12"/>
        <v>8.5679999999999996</v>
      </c>
      <c r="AB72" s="431">
        <f t="shared" si="7"/>
        <v>3.0748206354629315</v>
      </c>
      <c r="AC72" s="431">
        <f t="shared" si="3"/>
        <v>38.982697519282894</v>
      </c>
      <c r="AD72" s="427">
        <v>30</v>
      </c>
      <c r="AE72" s="431">
        <f t="shared" si="18"/>
        <v>83.595119999999994</v>
      </c>
      <c r="AF72" s="439"/>
    </row>
    <row r="73" spans="1:32" ht="18.75" customHeight="1" x14ac:dyDescent="0.2">
      <c r="A73" s="427">
        <v>60</v>
      </c>
      <c r="B73" s="428" t="s">
        <v>172</v>
      </c>
      <c r="C73" s="427" t="s">
        <v>46</v>
      </c>
      <c r="D73" s="429">
        <v>673</v>
      </c>
      <c r="E73" s="427" t="s">
        <v>173</v>
      </c>
      <c r="F73" s="427">
        <v>177.8</v>
      </c>
      <c r="G73" s="427" t="s">
        <v>28</v>
      </c>
      <c r="H73" s="429" t="s">
        <v>50</v>
      </c>
      <c r="I73" s="526">
        <v>560.79</v>
      </c>
      <c r="J73" s="427" t="s">
        <v>245</v>
      </c>
      <c r="K73" s="427"/>
      <c r="L73" s="427">
        <v>261</v>
      </c>
      <c r="M73" s="427"/>
      <c r="N73" s="427">
        <v>8.6</v>
      </c>
      <c r="O73" s="427"/>
      <c r="P73" s="448">
        <v>39.620019619660077</v>
      </c>
      <c r="Q73" s="431">
        <f>LEFT(H73,(FIND("K",H73,1)-1))*J73/100</f>
        <v>10.8</v>
      </c>
      <c r="R73" s="432">
        <v>1.972</v>
      </c>
      <c r="S73" s="431">
        <v>5.1720000000000006</v>
      </c>
      <c r="T73" s="431">
        <v>5</v>
      </c>
      <c r="U73" s="431">
        <f t="shared" si="1"/>
        <v>2.5354969574036512</v>
      </c>
      <c r="V73" s="433">
        <f t="shared" si="9"/>
        <v>61.871616395978343</v>
      </c>
      <c r="W73" s="432">
        <v>4</v>
      </c>
      <c r="X73" s="431">
        <f t="shared" si="17"/>
        <v>0.47888888888888892</v>
      </c>
      <c r="Y73" s="431">
        <f t="shared" si="10"/>
        <v>1.8773439999999999</v>
      </c>
      <c r="Z73" s="431">
        <f t="shared" si="11"/>
        <v>4.9237440000000001</v>
      </c>
      <c r="AA73" s="431">
        <f t="shared" si="12"/>
        <v>4.76</v>
      </c>
      <c r="AB73" s="431">
        <f t="shared" si="7"/>
        <v>2.5354969574036512</v>
      </c>
      <c r="AC73" s="431">
        <f t="shared" si="3"/>
        <v>61.871616395978343</v>
      </c>
      <c r="AD73" s="427">
        <v>30</v>
      </c>
      <c r="AE73" s="431">
        <f>Y73*AD73</f>
        <v>56.320319999999995</v>
      </c>
      <c r="AF73" s="439"/>
    </row>
    <row r="74" spans="1:32" ht="18.75" customHeight="1" x14ac:dyDescent="0.2">
      <c r="A74" s="427">
        <v>61</v>
      </c>
      <c r="B74" s="461" t="s">
        <v>171</v>
      </c>
      <c r="C74" s="427" t="s">
        <v>46</v>
      </c>
      <c r="D74" s="526">
        <v>646</v>
      </c>
      <c r="E74" s="526" t="s">
        <v>191</v>
      </c>
      <c r="F74" s="427">
        <v>177.8</v>
      </c>
      <c r="G74" s="427" t="s">
        <v>28</v>
      </c>
      <c r="H74" s="429" t="s">
        <v>48</v>
      </c>
      <c r="I74" s="526">
        <v>570.15</v>
      </c>
      <c r="J74" s="526" t="s">
        <v>239</v>
      </c>
      <c r="K74" s="526"/>
      <c r="L74" s="526">
        <v>267</v>
      </c>
      <c r="M74" s="526"/>
      <c r="N74" s="427">
        <v>8.4</v>
      </c>
      <c r="O74" s="526"/>
      <c r="P74" s="430">
        <v>39.322097895218732</v>
      </c>
      <c r="Q74" s="437">
        <f>LEFT(H74,(FIND("K",H74,1)-1))*J74/100</f>
        <v>13</v>
      </c>
      <c r="R74" s="432">
        <v>0.71199999999999997</v>
      </c>
      <c r="S74" s="431">
        <v>2.3479999999999999</v>
      </c>
      <c r="T74" s="437">
        <v>0</v>
      </c>
      <c r="U74" s="431">
        <f t="shared" si="1"/>
        <v>0</v>
      </c>
      <c r="V74" s="433">
        <f t="shared" si="9"/>
        <v>69.676320272572397</v>
      </c>
      <c r="W74" s="432">
        <v>2</v>
      </c>
      <c r="X74" s="431">
        <f t="shared" si="17"/>
        <v>0.18061538461538459</v>
      </c>
      <c r="Y74" s="431">
        <f t="shared" si="10"/>
        <v>0.67782399999999998</v>
      </c>
      <c r="Z74" s="431">
        <f t="shared" si="11"/>
        <v>2.2352959999999999</v>
      </c>
      <c r="AA74" s="431">
        <f t="shared" si="12"/>
        <v>0</v>
      </c>
      <c r="AB74" s="431">
        <f t="shared" si="7"/>
        <v>0</v>
      </c>
      <c r="AC74" s="431">
        <f t="shared" si="3"/>
        <v>69.676320272572397</v>
      </c>
      <c r="AD74" s="427">
        <v>30</v>
      </c>
      <c r="AE74" s="431">
        <f>Y74*AD74</f>
        <v>20.334720000000001</v>
      </c>
      <c r="AF74" s="434"/>
    </row>
    <row r="75" spans="1:32" ht="18.75" customHeight="1" x14ac:dyDescent="0.2">
      <c r="A75" s="427"/>
      <c r="B75" s="522"/>
      <c r="C75" s="464"/>
      <c r="D75" s="518"/>
      <c r="E75" s="519"/>
      <c r="F75" s="427"/>
      <c r="G75" s="427"/>
      <c r="H75" s="429"/>
      <c r="I75" s="526"/>
      <c r="J75" s="526"/>
      <c r="K75" s="526"/>
      <c r="L75" s="526"/>
      <c r="M75" s="526"/>
      <c r="N75" s="427"/>
      <c r="O75" s="526"/>
      <c r="P75" s="430"/>
      <c r="Q75" s="437"/>
      <c r="R75" s="466">
        <f>SUM(R14:R74)</f>
        <v>347.84899999999988</v>
      </c>
      <c r="S75" s="467">
        <f>SUM(S14:S74)</f>
        <v>590.77700000000004</v>
      </c>
      <c r="T75" s="512">
        <f>SUM(T14:T74)</f>
        <v>15939</v>
      </c>
      <c r="U75" s="467">
        <f>T75/R75</f>
        <v>45.821606501671717</v>
      </c>
      <c r="V75" s="468"/>
      <c r="W75" s="466"/>
      <c r="X75" s="467"/>
      <c r="Y75" s="467">
        <f>SUM(Y14:Y74)</f>
        <v>331.15224800000004</v>
      </c>
      <c r="Z75" s="467">
        <f>SUM(Z14:Z74)</f>
        <v>562.41970400000014</v>
      </c>
      <c r="AA75" s="481">
        <f>SUM(AA14:AA74)</f>
        <v>15173.928000000002</v>
      </c>
      <c r="AB75" s="467">
        <f>AA75/Y75</f>
        <v>45.821606501671702</v>
      </c>
      <c r="AC75" s="467"/>
      <c r="AD75" s="438"/>
      <c r="AE75" s="467">
        <f>SUM(AE14:AE74)</f>
        <v>9934.5674399999989</v>
      </c>
      <c r="AF75" s="434"/>
    </row>
    <row r="76" spans="1:32" ht="18.75" customHeight="1" x14ac:dyDescent="0.2">
      <c r="A76" s="427"/>
      <c r="B76" s="1905"/>
      <c r="C76" s="1906"/>
      <c r="D76" s="1906"/>
      <c r="E76" s="1906"/>
      <c r="F76" s="428"/>
      <c r="G76" s="427"/>
      <c r="H76" s="429"/>
      <c r="I76" s="429"/>
      <c r="J76" s="526"/>
      <c r="K76" s="526"/>
      <c r="L76" s="526"/>
      <c r="M76" s="526"/>
      <c r="N76" s="526"/>
      <c r="O76" s="526"/>
      <c r="P76" s="448"/>
      <c r="Q76" s="437"/>
      <c r="R76" s="526"/>
      <c r="S76" s="526"/>
      <c r="T76" s="526"/>
      <c r="U76" s="520"/>
      <c r="V76" s="520"/>
      <c r="W76" s="520"/>
      <c r="X76" s="520"/>
      <c r="Y76" s="473"/>
      <c r="Z76" s="474"/>
      <c r="AA76" s="516"/>
      <c r="AB76" s="520"/>
      <c r="AC76" s="526"/>
      <c r="AD76" s="427"/>
      <c r="AE76" s="431"/>
      <c r="AF76" s="434"/>
    </row>
    <row r="77" spans="1:32" ht="18.75" customHeight="1" x14ac:dyDescent="0.3">
      <c r="A77" s="475"/>
      <c r="B77" s="1900" t="s">
        <v>277</v>
      </c>
      <c r="C77" s="1901"/>
      <c r="D77" s="1901"/>
      <c r="E77" s="1901"/>
      <c r="F77" s="1902"/>
      <c r="G77" s="520"/>
      <c r="H77" s="516"/>
      <c r="I77" s="516"/>
      <c r="J77" s="526"/>
      <c r="K77" s="526"/>
      <c r="L77" s="526"/>
      <c r="M77" s="526"/>
      <c r="N77" s="526"/>
      <c r="O77" s="526"/>
      <c r="P77" s="448"/>
      <c r="Q77" s="437"/>
      <c r="R77" s="526"/>
      <c r="S77" s="437"/>
      <c r="T77" s="526"/>
      <c r="U77" s="520"/>
      <c r="V77" s="520"/>
      <c r="W77" s="520"/>
      <c r="X77" s="421"/>
      <c r="Y77" s="526"/>
      <c r="Z77" s="526"/>
      <c r="AA77" s="526"/>
      <c r="AB77" s="520"/>
      <c r="AC77" s="520"/>
      <c r="AD77" s="526"/>
      <c r="AE77" s="526"/>
      <c r="AF77" s="516"/>
    </row>
    <row r="78" spans="1:32" ht="18.75" customHeight="1" x14ac:dyDescent="0.2">
      <c r="A78" s="476">
        <v>62</v>
      </c>
      <c r="B78" s="427" t="s">
        <v>131</v>
      </c>
      <c r="C78" s="476" t="s">
        <v>313</v>
      </c>
      <c r="D78" s="429">
        <v>389.74</v>
      </c>
      <c r="E78" s="477" t="s">
        <v>136</v>
      </c>
      <c r="F78" s="427">
        <v>177.8</v>
      </c>
      <c r="G78" s="427" t="s">
        <v>28</v>
      </c>
      <c r="H78" s="429" t="s">
        <v>58</v>
      </c>
      <c r="I78" s="526">
        <v>142.80000000000001</v>
      </c>
      <c r="J78" s="528">
        <v>180</v>
      </c>
      <c r="K78" s="427"/>
      <c r="L78" s="427">
        <v>22</v>
      </c>
      <c r="M78" s="427"/>
      <c r="N78" s="427">
        <v>0</v>
      </c>
      <c r="O78" s="427"/>
      <c r="P78" s="430">
        <v>18.991236106709795</v>
      </c>
      <c r="Q78" s="437">
        <f>(3*J78)/100</f>
        <v>5.4</v>
      </c>
      <c r="R78" s="432">
        <v>1.66</v>
      </c>
      <c r="S78" s="431">
        <v>2.04</v>
      </c>
      <c r="T78" s="431">
        <v>0</v>
      </c>
      <c r="U78" s="431">
        <f>T78/R78</f>
        <v>0</v>
      </c>
      <c r="V78" s="432">
        <f t="shared" ref="V78:V81" si="19">(S78-R78)/S78*100</f>
        <v>18.627450980392162</v>
      </c>
      <c r="W78" s="432">
        <v>0.3</v>
      </c>
      <c r="X78" s="431">
        <f t="shared" ref="X78:X79" si="20">S78/Q78</f>
        <v>0.37777777777777777</v>
      </c>
      <c r="Y78" s="431">
        <f>R78*0.9424</f>
        <v>1.564384</v>
      </c>
      <c r="Z78" s="431">
        <f>S78*0.9424</f>
        <v>1.922496</v>
      </c>
      <c r="AA78" s="431">
        <f t="shared" ref="AA78:AA83" si="21">T78*0.9494</f>
        <v>0</v>
      </c>
      <c r="AB78" s="431">
        <f t="shared" ref="AB78:AC83" si="22">U78</f>
        <v>0</v>
      </c>
      <c r="AC78" s="431">
        <f t="shared" si="22"/>
        <v>18.627450980392162</v>
      </c>
      <c r="AD78" s="427">
        <v>30</v>
      </c>
      <c r="AE78" s="431">
        <f>Y78*AD78</f>
        <v>46.931519999999999</v>
      </c>
      <c r="AF78" s="439"/>
    </row>
    <row r="79" spans="1:32" ht="18.75" customHeight="1" x14ac:dyDescent="0.2">
      <c r="A79" s="476">
        <v>63</v>
      </c>
      <c r="B79" s="427" t="s">
        <v>132</v>
      </c>
      <c r="C79" s="476" t="s">
        <v>313</v>
      </c>
      <c r="D79" s="427">
        <v>387.72</v>
      </c>
      <c r="E79" s="477" t="s">
        <v>135</v>
      </c>
      <c r="F79" s="427">
        <v>177.8</v>
      </c>
      <c r="G79" s="427" t="s">
        <v>28</v>
      </c>
      <c r="H79" s="429" t="s">
        <v>58</v>
      </c>
      <c r="I79" s="526">
        <v>136.03</v>
      </c>
      <c r="J79" s="427">
        <v>170</v>
      </c>
      <c r="K79" s="427"/>
      <c r="L79" s="427">
        <v>23</v>
      </c>
      <c r="M79" s="427"/>
      <c r="N79" s="427">
        <v>0</v>
      </c>
      <c r="O79" s="427"/>
      <c r="P79" s="430">
        <v>11.959568637125763</v>
      </c>
      <c r="Q79" s="437">
        <f>(3*J79)/100</f>
        <v>5.0999999999999996</v>
      </c>
      <c r="R79" s="432">
        <v>3.327</v>
      </c>
      <c r="S79" s="431">
        <v>4.556</v>
      </c>
      <c r="T79" s="431">
        <v>0</v>
      </c>
      <c r="U79" s="431">
        <v>0</v>
      </c>
      <c r="V79" s="432">
        <f t="shared" si="19"/>
        <v>26.975417032484639</v>
      </c>
      <c r="W79" s="432">
        <v>1</v>
      </c>
      <c r="X79" s="431">
        <f t="shared" si="20"/>
        <v>0.89333333333333342</v>
      </c>
      <c r="Y79" s="431">
        <f t="shared" ref="Y79:Z83" si="23">R79*0.9424</f>
        <v>3.1353648000000001</v>
      </c>
      <c r="Z79" s="431">
        <f t="shared" si="23"/>
        <v>4.2935743999999998</v>
      </c>
      <c r="AA79" s="431">
        <f t="shared" si="21"/>
        <v>0</v>
      </c>
      <c r="AB79" s="431">
        <v>0</v>
      </c>
      <c r="AC79" s="431">
        <f>V79</f>
        <v>26.975417032484639</v>
      </c>
      <c r="AD79" s="427">
        <v>30</v>
      </c>
      <c r="AE79" s="431">
        <f>Y79*AD79</f>
        <v>94.060944000000006</v>
      </c>
      <c r="AF79" s="449"/>
    </row>
    <row r="80" spans="1:32" ht="18.75" customHeight="1" x14ac:dyDescent="0.2">
      <c r="A80" s="476">
        <v>64</v>
      </c>
      <c r="B80" s="427" t="s">
        <v>121</v>
      </c>
      <c r="C80" s="476" t="s">
        <v>313</v>
      </c>
      <c r="D80" s="427">
        <v>389.57</v>
      </c>
      <c r="E80" s="427" t="s">
        <v>137</v>
      </c>
      <c r="F80" s="427">
        <v>177.8</v>
      </c>
      <c r="G80" s="427" t="s">
        <v>28</v>
      </c>
      <c r="H80" s="429" t="s">
        <v>58</v>
      </c>
      <c r="I80" s="526">
        <v>120.43</v>
      </c>
      <c r="J80" s="427">
        <v>0</v>
      </c>
      <c r="K80" s="427"/>
      <c r="L80" s="427"/>
      <c r="M80" s="427"/>
      <c r="N80" s="427"/>
      <c r="O80" s="427"/>
      <c r="P80" s="430"/>
      <c r="Q80" s="431"/>
      <c r="R80" s="432">
        <v>0</v>
      </c>
      <c r="S80" s="431">
        <v>0</v>
      </c>
      <c r="T80" s="431">
        <v>0</v>
      </c>
      <c r="U80" s="431">
        <v>0</v>
      </c>
      <c r="V80" s="432">
        <v>0</v>
      </c>
      <c r="W80" s="432">
        <v>0</v>
      </c>
      <c r="X80" s="431">
        <v>0</v>
      </c>
      <c r="Y80" s="431">
        <v>1.3</v>
      </c>
      <c r="Z80" s="431">
        <v>1.3</v>
      </c>
      <c r="AA80" s="431">
        <f t="shared" si="21"/>
        <v>0</v>
      </c>
      <c r="AB80" s="431">
        <v>0</v>
      </c>
      <c r="AC80" s="431">
        <f>V80</f>
        <v>0</v>
      </c>
      <c r="AD80" s="427">
        <v>1</v>
      </c>
      <c r="AE80" s="431">
        <f>Y80*AD80</f>
        <v>1.3</v>
      </c>
      <c r="AF80" s="434" t="s">
        <v>335</v>
      </c>
    </row>
    <row r="81" spans="1:32" ht="18.75" customHeight="1" x14ac:dyDescent="0.2">
      <c r="A81" s="476">
        <v>65</v>
      </c>
      <c r="B81" s="427" t="s">
        <v>122</v>
      </c>
      <c r="C81" s="476" t="s">
        <v>313</v>
      </c>
      <c r="D81" s="427">
        <v>391.06</v>
      </c>
      <c r="E81" s="427" t="s">
        <v>138</v>
      </c>
      <c r="F81" s="427">
        <v>177.8</v>
      </c>
      <c r="G81" s="427" t="s">
        <v>28</v>
      </c>
      <c r="H81" s="429" t="s">
        <v>58</v>
      </c>
      <c r="I81" s="431">
        <v>151.72999999999999</v>
      </c>
      <c r="J81" s="427">
        <v>220</v>
      </c>
      <c r="K81" s="438"/>
      <c r="L81" s="427">
        <v>42</v>
      </c>
      <c r="M81" s="438"/>
      <c r="N81" s="427">
        <v>0</v>
      </c>
      <c r="O81" s="438"/>
      <c r="P81" s="430">
        <v>13.839184137138897</v>
      </c>
      <c r="Q81" s="437">
        <f>(3*J81)/100</f>
        <v>6.6</v>
      </c>
      <c r="R81" s="432">
        <v>2.5379999999999998</v>
      </c>
      <c r="S81" s="432">
        <v>3.0709999999999997</v>
      </c>
      <c r="T81" s="431">
        <v>0</v>
      </c>
      <c r="U81" s="431">
        <f>T81/R81</f>
        <v>0</v>
      </c>
      <c r="V81" s="432">
        <f t="shared" si="19"/>
        <v>17.355910126994463</v>
      </c>
      <c r="W81" s="431">
        <v>1</v>
      </c>
      <c r="X81" s="431">
        <f t="shared" ref="X81" si="24">S81/Q81</f>
        <v>0.46530303030303027</v>
      </c>
      <c r="Y81" s="431">
        <f t="shared" si="23"/>
        <v>2.3918111999999998</v>
      </c>
      <c r="Z81" s="431">
        <f t="shared" si="23"/>
        <v>2.8941103999999997</v>
      </c>
      <c r="AA81" s="431">
        <f t="shared" si="21"/>
        <v>0</v>
      </c>
      <c r="AB81" s="431">
        <f t="shared" si="22"/>
        <v>0</v>
      </c>
      <c r="AC81" s="431">
        <f t="shared" si="22"/>
        <v>17.355910126994463</v>
      </c>
      <c r="AD81" s="427">
        <v>30</v>
      </c>
      <c r="AE81" s="431">
        <f>Y81*AD81</f>
        <v>71.754335999999995</v>
      </c>
      <c r="AF81" s="478"/>
    </row>
    <row r="82" spans="1:32" ht="18.75" customHeight="1" x14ac:dyDescent="0.2">
      <c r="A82" s="476">
        <v>66</v>
      </c>
      <c r="B82" s="427" t="s">
        <v>57</v>
      </c>
      <c r="C82" s="476" t="s">
        <v>314</v>
      </c>
      <c r="D82" s="427">
        <v>376.58</v>
      </c>
      <c r="E82" s="428" t="s">
        <v>93</v>
      </c>
      <c r="F82" s="427">
        <v>177.8</v>
      </c>
      <c r="G82" s="427" t="s">
        <v>28</v>
      </c>
      <c r="H82" s="429" t="s">
        <v>58</v>
      </c>
      <c r="I82" s="431">
        <v>157.88</v>
      </c>
      <c r="J82" s="427"/>
      <c r="K82" s="435"/>
      <c r="L82" s="427"/>
      <c r="M82" s="438"/>
      <c r="N82" s="427"/>
      <c r="O82" s="438"/>
      <c r="P82" s="479"/>
      <c r="Q82" s="431"/>
      <c r="R82" s="432">
        <v>0</v>
      </c>
      <c r="S82" s="431">
        <v>0</v>
      </c>
      <c r="T82" s="431">
        <v>0</v>
      </c>
      <c r="U82" s="431">
        <v>0</v>
      </c>
      <c r="V82" s="432">
        <v>0</v>
      </c>
      <c r="W82" s="431">
        <v>0</v>
      </c>
      <c r="X82" s="431">
        <v>0</v>
      </c>
      <c r="Y82" s="431">
        <f t="shared" si="23"/>
        <v>0</v>
      </c>
      <c r="Z82" s="431">
        <f t="shared" si="23"/>
        <v>0</v>
      </c>
      <c r="AA82" s="431">
        <f t="shared" si="21"/>
        <v>0</v>
      </c>
      <c r="AB82" s="431">
        <f t="shared" si="22"/>
        <v>0</v>
      </c>
      <c r="AC82" s="431">
        <f t="shared" si="22"/>
        <v>0</v>
      </c>
      <c r="AD82" s="427">
        <v>0</v>
      </c>
      <c r="AE82" s="431">
        <f>Y82*AD82</f>
        <v>0</v>
      </c>
      <c r="AF82" s="434" t="s">
        <v>302</v>
      </c>
    </row>
    <row r="83" spans="1:32" ht="18.75" customHeight="1" x14ac:dyDescent="0.2">
      <c r="A83" s="476">
        <v>67</v>
      </c>
      <c r="B83" s="427" t="s">
        <v>184</v>
      </c>
      <c r="C83" s="476" t="s">
        <v>314</v>
      </c>
      <c r="D83" s="427">
        <v>422.78</v>
      </c>
      <c r="E83" s="428" t="s">
        <v>185</v>
      </c>
      <c r="F83" s="427">
        <v>177.8</v>
      </c>
      <c r="G83" s="427" t="s">
        <v>28</v>
      </c>
      <c r="H83" s="429" t="s">
        <v>58</v>
      </c>
      <c r="I83" s="431">
        <v>223.87</v>
      </c>
      <c r="J83" s="427"/>
      <c r="K83" s="435"/>
      <c r="L83" s="427"/>
      <c r="M83" s="438"/>
      <c r="N83" s="427"/>
      <c r="O83" s="438"/>
      <c r="P83" s="430"/>
      <c r="Q83" s="431"/>
      <c r="R83" s="432">
        <v>0</v>
      </c>
      <c r="S83" s="431">
        <v>0</v>
      </c>
      <c r="T83" s="431">
        <v>0</v>
      </c>
      <c r="U83" s="431">
        <v>0</v>
      </c>
      <c r="V83" s="432">
        <v>0</v>
      </c>
      <c r="W83" s="431">
        <v>0</v>
      </c>
      <c r="X83" s="431">
        <v>0</v>
      </c>
      <c r="Y83" s="431">
        <f t="shared" si="23"/>
        <v>0</v>
      </c>
      <c r="Z83" s="431">
        <f t="shared" si="23"/>
        <v>0</v>
      </c>
      <c r="AA83" s="431">
        <f t="shared" si="21"/>
        <v>0</v>
      </c>
      <c r="AB83" s="431">
        <f t="shared" si="22"/>
        <v>0</v>
      </c>
      <c r="AC83" s="431">
        <f t="shared" si="22"/>
        <v>0</v>
      </c>
      <c r="AD83" s="427">
        <v>0</v>
      </c>
      <c r="AE83" s="431">
        <f t="shared" ref="AE83" si="25">Y83*AD83</f>
        <v>0</v>
      </c>
      <c r="AF83" s="434" t="s">
        <v>302</v>
      </c>
    </row>
    <row r="84" spans="1:32" ht="18.75" customHeight="1" x14ac:dyDescent="0.3">
      <c r="A84" s="469"/>
      <c r="B84" s="1889"/>
      <c r="C84" s="1889"/>
      <c r="D84" s="1889"/>
      <c r="E84" s="1890"/>
      <c r="F84" s="526"/>
      <c r="G84" s="520"/>
      <c r="H84" s="516"/>
      <c r="I84" s="516"/>
      <c r="J84" s="526"/>
      <c r="K84" s="526"/>
      <c r="L84" s="526"/>
      <c r="M84" s="526"/>
      <c r="N84" s="526"/>
      <c r="O84" s="526"/>
      <c r="P84" s="448"/>
      <c r="Q84" s="437"/>
      <c r="R84" s="467">
        <f>SUM(R78:R82)</f>
        <v>7.5250000000000004</v>
      </c>
      <c r="S84" s="467">
        <f>SUM(S78:S82)</f>
        <v>9.6669999999999998</v>
      </c>
      <c r="T84" s="467">
        <f>SUM(T78:T82)</f>
        <v>0</v>
      </c>
      <c r="U84" s="467">
        <f>SUM(U78:U81)</f>
        <v>0</v>
      </c>
      <c r="V84" s="520"/>
      <c r="W84" s="520"/>
      <c r="X84" s="520"/>
      <c r="Y84" s="467">
        <f>SUM(Y78:Y81)</f>
        <v>8.3915600000000001</v>
      </c>
      <c r="Z84" s="467">
        <f>SUM(Z78:Z81)</f>
        <v>10.410180799999999</v>
      </c>
      <c r="AA84" s="467">
        <f>SUM(AA78:AA82)</f>
        <v>0</v>
      </c>
      <c r="AB84" s="467">
        <v>0</v>
      </c>
      <c r="AC84" s="520"/>
      <c r="AD84" s="526"/>
      <c r="AE84" s="467">
        <f>SUM(AE78:AE81)</f>
        <v>214.04680000000002</v>
      </c>
      <c r="AF84" s="471"/>
    </row>
    <row r="85" spans="1:32" ht="18.75" customHeight="1" x14ac:dyDescent="0.3">
      <c r="A85" s="469"/>
      <c r="B85" s="529"/>
      <c r="C85" s="529"/>
      <c r="D85" s="529"/>
      <c r="E85" s="531" t="s">
        <v>331</v>
      </c>
      <c r="F85" s="427"/>
      <c r="G85" s="427"/>
      <c r="H85" s="528"/>
      <c r="I85" s="528"/>
      <c r="J85" s="528"/>
      <c r="K85" s="528"/>
      <c r="L85" s="528"/>
      <c r="M85" s="528"/>
      <c r="N85" s="528"/>
      <c r="O85" s="528"/>
      <c r="P85" s="448"/>
      <c r="Q85" s="437"/>
      <c r="R85" s="467"/>
      <c r="S85" s="467"/>
      <c r="T85" s="467"/>
      <c r="U85" s="467"/>
      <c r="V85" s="527"/>
      <c r="W85" s="527"/>
      <c r="X85" s="527"/>
      <c r="Y85" s="467"/>
      <c r="Z85" s="467"/>
      <c r="AA85" s="467"/>
      <c r="AB85" s="467"/>
      <c r="AC85" s="527"/>
      <c r="AD85" s="528"/>
      <c r="AE85" s="467"/>
      <c r="AF85" s="471"/>
    </row>
    <row r="86" spans="1:32" ht="18.75" customHeight="1" x14ac:dyDescent="0.3">
      <c r="A86" s="469">
        <v>68</v>
      </c>
      <c r="B86" s="427" t="s">
        <v>330</v>
      </c>
      <c r="C86" s="427" t="s">
        <v>332</v>
      </c>
      <c r="D86" s="532">
        <v>680.25</v>
      </c>
      <c r="E86" s="533" t="s">
        <v>333</v>
      </c>
      <c r="F86" s="427">
        <v>177.8</v>
      </c>
      <c r="G86" s="427" t="s">
        <v>28</v>
      </c>
      <c r="H86" s="528" t="s">
        <v>218</v>
      </c>
      <c r="I86" s="528">
        <v>588.75</v>
      </c>
      <c r="J86" s="528">
        <v>85</v>
      </c>
      <c r="K86" s="528"/>
      <c r="L86" s="528">
        <v>168</v>
      </c>
      <c r="M86" s="528"/>
      <c r="N86" s="528">
        <v>10.7</v>
      </c>
      <c r="O86" s="528"/>
      <c r="P86" s="448">
        <v>0</v>
      </c>
      <c r="Q86" s="431">
        <f t="shared" ref="Q86" si="26">LEFT(H86,(FIND("K",H86,1)-1))*J86/100</f>
        <v>27.2</v>
      </c>
      <c r="R86" s="432">
        <v>2.6</v>
      </c>
      <c r="S86" s="431">
        <v>2.6</v>
      </c>
      <c r="T86" s="431">
        <v>200</v>
      </c>
      <c r="U86" s="530">
        <f t="shared" ref="U86" si="27">T86/R86</f>
        <v>76.92307692307692</v>
      </c>
      <c r="V86" s="433">
        <v>1</v>
      </c>
      <c r="W86" s="432">
        <v>0.2</v>
      </c>
      <c r="X86" s="431">
        <f t="shared" ref="X86" si="28">S86/Q86</f>
        <v>9.5588235294117654E-2</v>
      </c>
      <c r="Y86" s="431">
        <f t="shared" ref="Y86" si="29">R86*0.925</f>
        <v>2.4050000000000002</v>
      </c>
      <c r="Z86" s="431">
        <f t="shared" ref="Z86" si="30">S86*0.925</f>
        <v>2.4050000000000002</v>
      </c>
      <c r="AA86" s="530">
        <f t="shared" ref="AA86" si="31">T86*0.935</f>
        <v>187</v>
      </c>
      <c r="AB86" s="431">
        <f t="shared" ref="AB86" si="32">U86</f>
        <v>76.92307692307692</v>
      </c>
      <c r="AC86" s="431">
        <f t="shared" ref="AC86" si="33">V86</f>
        <v>1</v>
      </c>
      <c r="AD86" s="427">
        <v>30</v>
      </c>
      <c r="AE86" s="431">
        <f t="shared" ref="AE86" si="34">Y86*AD86</f>
        <v>72.150000000000006</v>
      </c>
      <c r="AF86" s="471"/>
    </row>
    <row r="87" spans="1:32" ht="18.75" customHeight="1" x14ac:dyDescent="0.3">
      <c r="A87" s="469"/>
      <c r="B87" s="1889"/>
      <c r="C87" s="1889"/>
      <c r="D87" s="1889"/>
      <c r="E87" s="1890"/>
      <c r="F87" s="438"/>
      <c r="G87" s="427"/>
      <c r="H87" s="429"/>
      <c r="I87" s="431"/>
      <c r="J87" s="427"/>
      <c r="K87" s="438"/>
      <c r="L87" s="427"/>
      <c r="M87" s="438"/>
      <c r="N87" s="430"/>
      <c r="O87" s="438"/>
      <c r="P87" s="480"/>
      <c r="Q87" s="467"/>
      <c r="R87" s="467"/>
      <c r="S87" s="467"/>
      <c r="T87" s="467"/>
      <c r="U87" s="467"/>
      <c r="V87" s="467"/>
      <c r="W87" s="467"/>
      <c r="X87" s="467"/>
      <c r="Y87" s="467"/>
      <c r="Z87" s="481"/>
      <c r="AA87" s="467"/>
      <c r="AB87" s="467"/>
      <c r="AC87" s="467"/>
      <c r="AD87" s="467"/>
      <c r="AE87" s="467"/>
      <c r="AF87" s="478"/>
    </row>
    <row r="88" spans="1:32" ht="18.75" customHeight="1" x14ac:dyDescent="0.3">
      <c r="A88" s="469"/>
      <c r="B88" s="1894" t="s">
        <v>276</v>
      </c>
      <c r="C88" s="1895"/>
      <c r="D88" s="1895"/>
      <c r="E88" s="1895"/>
      <c r="F88" s="1895"/>
      <c r="G88" s="520"/>
      <c r="H88" s="516"/>
      <c r="I88" s="516"/>
      <c r="J88" s="526"/>
      <c r="K88" s="526"/>
      <c r="L88" s="526"/>
      <c r="M88" s="526"/>
      <c r="N88" s="526"/>
      <c r="O88" s="526"/>
      <c r="P88" s="448"/>
      <c r="Q88" s="437"/>
      <c r="R88" s="526"/>
      <c r="S88" s="526"/>
      <c r="T88" s="526"/>
      <c r="U88" s="520"/>
      <c r="V88" s="520"/>
      <c r="W88" s="520"/>
      <c r="X88" s="520"/>
      <c r="Y88" s="526"/>
      <c r="Z88" s="526"/>
      <c r="AA88" s="526"/>
      <c r="AB88" s="521"/>
      <c r="AC88" s="520"/>
      <c r="AD88" s="526"/>
      <c r="AE88" s="526"/>
      <c r="AF88" s="516"/>
    </row>
    <row r="89" spans="1:32" ht="18.75" customHeight="1" x14ac:dyDescent="0.2">
      <c r="A89" s="427">
        <v>69</v>
      </c>
      <c r="B89" s="483" t="s">
        <v>107</v>
      </c>
      <c r="C89" s="517" t="s">
        <v>109</v>
      </c>
      <c r="D89" s="517"/>
      <c r="E89" s="517"/>
      <c r="F89" s="526"/>
      <c r="G89" s="520"/>
      <c r="H89" s="516"/>
      <c r="I89" s="516"/>
      <c r="J89" s="526"/>
      <c r="K89" s="526"/>
      <c r="L89" s="526"/>
      <c r="M89" s="526"/>
      <c r="N89" s="526"/>
      <c r="O89" s="526"/>
      <c r="P89" s="448"/>
      <c r="Q89" s="437"/>
      <c r="R89" s="526"/>
      <c r="S89" s="526"/>
      <c r="T89" s="526"/>
      <c r="U89" s="520"/>
      <c r="V89" s="520"/>
      <c r="W89" s="520"/>
      <c r="X89" s="520"/>
      <c r="Y89" s="516"/>
      <c r="Z89" s="516"/>
      <c r="AA89" s="526"/>
      <c r="AB89" s="521"/>
      <c r="AC89" s="520"/>
      <c r="AD89" s="485"/>
      <c r="AE89" s="526"/>
      <c r="AF89" s="486"/>
    </row>
    <row r="90" spans="1:32" ht="18.75" customHeight="1" x14ac:dyDescent="0.2">
      <c r="A90" s="427">
        <v>70</v>
      </c>
      <c r="B90" s="483" t="s">
        <v>108</v>
      </c>
      <c r="C90" s="517" t="s">
        <v>109</v>
      </c>
      <c r="D90" s="517"/>
      <c r="E90" s="517"/>
      <c r="F90" s="526"/>
      <c r="G90" s="520"/>
      <c r="H90" s="516"/>
      <c r="I90" s="516"/>
      <c r="J90" s="526"/>
      <c r="K90" s="526"/>
      <c r="L90" s="526"/>
      <c r="M90" s="526"/>
      <c r="N90" s="526"/>
      <c r="O90" s="526"/>
      <c r="P90" s="448"/>
      <c r="Q90" s="437"/>
      <c r="R90" s="526"/>
      <c r="S90" s="526"/>
      <c r="T90" s="526"/>
      <c r="U90" s="520"/>
      <c r="V90" s="520"/>
      <c r="W90" s="520"/>
      <c r="X90" s="520"/>
      <c r="Y90" s="516"/>
      <c r="Z90" s="516"/>
      <c r="AA90" s="526"/>
      <c r="AB90" s="521"/>
      <c r="AC90" s="520"/>
      <c r="AD90" s="485"/>
      <c r="AE90" s="526"/>
      <c r="AF90" s="486"/>
    </row>
    <row r="91" spans="1:32" ht="18.75" customHeight="1" x14ac:dyDescent="0.2">
      <c r="A91" s="427">
        <v>71</v>
      </c>
      <c r="B91" s="483" t="s">
        <v>195</v>
      </c>
      <c r="C91" s="476" t="s">
        <v>193</v>
      </c>
      <c r="D91" s="517"/>
      <c r="E91" s="517"/>
      <c r="F91" s="526"/>
      <c r="G91" s="520"/>
      <c r="H91" s="516"/>
      <c r="I91" s="516"/>
      <c r="J91" s="526"/>
      <c r="K91" s="526"/>
      <c r="L91" s="526"/>
      <c r="M91" s="526"/>
      <c r="N91" s="526"/>
      <c r="O91" s="526"/>
      <c r="P91" s="448"/>
      <c r="Q91" s="437"/>
      <c r="R91" s="526"/>
      <c r="S91" s="526"/>
      <c r="T91" s="526"/>
      <c r="U91" s="520"/>
      <c r="V91" s="520"/>
      <c r="W91" s="520"/>
      <c r="X91" s="520"/>
      <c r="Y91" s="516"/>
      <c r="Z91" s="516"/>
      <c r="AA91" s="526"/>
      <c r="AB91" s="521"/>
      <c r="AC91" s="520"/>
      <c r="AD91" s="485"/>
      <c r="AE91" s="526"/>
      <c r="AF91" s="486"/>
    </row>
    <row r="92" spans="1:32" ht="18.75" customHeight="1" x14ac:dyDescent="0.2">
      <c r="A92" s="427">
        <v>72</v>
      </c>
      <c r="B92" s="483" t="s">
        <v>192</v>
      </c>
      <c r="C92" s="476" t="s">
        <v>193</v>
      </c>
      <c r="D92" s="517"/>
      <c r="E92" s="517"/>
      <c r="F92" s="526"/>
      <c r="G92" s="520"/>
      <c r="H92" s="516"/>
      <c r="I92" s="516"/>
      <c r="J92" s="526"/>
      <c r="K92" s="526"/>
      <c r="L92" s="526"/>
      <c r="M92" s="526"/>
      <c r="N92" s="526"/>
      <c r="O92" s="526"/>
      <c r="P92" s="448"/>
      <c r="Q92" s="437"/>
      <c r="R92" s="526"/>
      <c r="S92" s="526"/>
      <c r="T92" s="526"/>
      <c r="U92" s="520"/>
      <c r="V92" s="520"/>
      <c r="W92" s="520"/>
      <c r="X92" s="520"/>
      <c r="Y92" s="516"/>
      <c r="Z92" s="516"/>
      <c r="AA92" s="526"/>
      <c r="AB92" s="521"/>
      <c r="AC92" s="520"/>
      <c r="AD92" s="485"/>
      <c r="AE92" s="526"/>
      <c r="AF92" s="486"/>
    </row>
    <row r="93" spans="1:32" ht="18.75" customHeight="1" x14ac:dyDescent="0.2">
      <c r="A93" s="427"/>
      <c r="B93" s="1894" t="s">
        <v>278</v>
      </c>
      <c r="C93" s="1895"/>
      <c r="D93" s="1895"/>
      <c r="E93" s="1895"/>
      <c r="F93" s="1895"/>
      <c r="G93" s="520"/>
      <c r="H93" s="516"/>
      <c r="I93" s="516"/>
      <c r="J93" s="526"/>
      <c r="K93" s="526"/>
      <c r="L93" s="526"/>
      <c r="M93" s="526"/>
      <c r="N93" s="526"/>
      <c r="O93" s="526"/>
      <c r="P93" s="448"/>
      <c r="Q93" s="437"/>
      <c r="R93" s="526"/>
      <c r="S93" s="526"/>
      <c r="T93" s="526"/>
      <c r="U93" s="520"/>
      <c r="V93" s="520"/>
      <c r="W93" s="520"/>
      <c r="X93" s="520"/>
      <c r="Y93" s="526"/>
      <c r="Z93" s="526"/>
      <c r="AA93" s="526"/>
      <c r="AB93" s="521"/>
      <c r="AC93" s="520"/>
      <c r="AD93" s="526"/>
      <c r="AE93" s="526"/>
      <c r="AF93" s="516"/>
    </row>
    <row r="94" spans="1:32" ht="18.75" customHeight="1" x14ac:dyDescent="0.2">
      <c r="A94" s="427">
        <v>73</v>
      </c>
      <c r="B94" s="487" t="s">
        <v>189</v>
      </c>
      <c r="C94" s="427" t="s">
        <v>46</v>
      </c>
      <c r="D94" s="472">
        <v>673</v>
      </c>
      <c r="E94" s="472" t="s">
        <v>190</v>
      </c>
      <c r="F94" s="427">
        <v>177.8</v>
      </c>
      <c r="G94" s="427"/>
      <c r="H94" s="429"/>
      <c r="I94" s="526"/>
      <c r="J94" s="526"/>
      <c r="K94" s="526"/>
      <c r="L94" s="526"/>
      <c r="M94" s="526"/>
      <c r="N94" s="526"/>
      <c r="O94" s="526"/>
      <c r="P94" s="448"/>
      <c r="Q94" s="437"/>
      <c r="R94" s="526"/>
      <c r="S94" s="526"/>
      <c r="T94" s="526"/>
      <c r="U94" s="520"/>
      <c r="V94" s="520"/>
      <c r="W94" s="520"/>
      <c r="X94" s="520"/>
      <c r="Y94" s="488"/>
      <c r="Z94" s="489"/>
      <c r="AA94" s="516"/>
      <c r="AB94" s="521"/>
      <c r="AC94" s="526"/>
      <c r="AD94" s="427"/>
      <c r="AE94" s="431"/>
      <c r="AF94" s="439"/>
    </row>
    <row r="95" spans="1:32" ht="18.75" customHeight="1" x14ac:dyDescent="0.3">
      <c r="A95" s="427">
        <v>74</v>
      </c>
      <c r="B95" s="428" t="s">
        <v>181</v>
      </c>
      <c r="C95" s="490" t="s">
        <v>183</v>
      </c>
      <c r="D95" s="429">
        <v>374.5</v>
      </c>
      <c r="E95" s="427" t="s">
        <v>182</v>
      </c>
      <c r="F95" s="427">
        <v>177.8</v>
      </c>
      <c r="G95" s="427"/>
      <c r="H95" s="429"/>
      <c r="I95" s="526"/>
      <c r="J95" s="427"/>
      <c r="K95" s="427"/>
      <c r="L95" s="427"/>
      <c r="M95" s="427"/>
      <c r="N95" s="430"/>
      <c r="O95" s="427"/>
      <c r="P95" s="432"/>
      <c r="Q95" s="431"/>
      <c r="R95" s="432"/>
      <c r="S95" s="431"/>
      <c r="T95" s="431"/>
      <c r="U95" s="431"/>
      <c r="V95" s="432"/>
      <c r="W95" s="432"/>
      <c r="X95" s="491"/>
      <c r="Y95" s="431"/>
      <c r="Z95" s="431"/>
      <c r="AA95" s="431"/>
      <c r="AB95" s="431"/>
      <c r="AC95" s="431"/>
      <c r="AD95" s="427"/>
      <c r="AE95" s="431"/>
      <c r="AF95" s="439"/>
    </row>
    <row r="96" spans="1:32" ht="18.75" customHeight="1" x14ac:dyDescent="0.3">
      <c r="A96" s="427">
        <v>75</v>
      </c>
      <c r="B96" s="428" t="s">
        <v>188</v>
      </c>
      <c r="C96" s="490" t="s">
        <v>183</v>
      </c>
      <c r="D96" s="429">
        <v>376.58</v>
      </c>
      <c r="E96" s="427" t="s">
        <v>235</v>
      </c>
      <c r="F96" s="427">
        <v>177.8</v>
      </c>
      <c r="G96" s="427"/>
      <c r="H96" s="429"/>
      <c r="I96" s="526"/>
      <c r="J96" s="427"/>
      <c r="K96" s="427"/>
      <c r="L96" s="427"/>
      <c r="M96" s="427"/>
      <c r="N96" s="430"/>
      <c r="O96" s="427"/>
      <c r="P96" s="432"/>
      <c r="Q96" s="431"/>
      <c r="R96" s="432"/>
      <c r="S96" s="431"/>
      <c r="T96" s="431"/>
      <c r="U96" s="431"/>
      <c r="V96" s="432"/>
      <c r="W96" s="432"/>
      <c r="X96" s="491"/>
      <c r="Y96" s="431"/>
      <c r="Z96" s="431"/>
      <c r="AA96" s="431"/>
      <c r="AB96" s="431"/>
      <c r="AC96" s="431"/>
      <c r="AD96" s="427"/>
      <c r="AE96" s="431"/>
      <c r="AF96" s="439" t="s">
        <v>337</v>
      </c>
    </row>
    <row r="97" spans="1:32" ht="18.75" customHeight="1" x14ac:dyDescent="0.3">
      <c r="A97" s="427">
        <v>76</v>
      </c>
      <c r="B97" s="428" t="s">
        <v>186</v>
      </c>
      <c r="C97" s="490" t="s">
        <v>176</v>
      </c>
      <c r="D97" s="429">
        <v>387.56</v>
      </c>
      <c r="E97" s="427"/>
      <c r="F97" s="427">
        <v>177.8</v>
      </c>
      <c r="G97" s="427"/>
      <c r="H97" s="429"/>
      <c r="I97" s="526"/>
      <c r="J97" s="427"/>
      <c r="K97" s="427"/>
      <c r="L97" s="427"/>
      <c r="M97" s="427"/>
      <c r="N97" s="430"/>
      <c r="O97" s="427"/>
      <c r="P97" s="432"/>
      <c r="Q97" s="431"/>
      <c r="R97" s="432"/>
      <c r="S97" s="431"/>
      <c r="T97" s="431"/>
      <c r="U97" s="431"/>
      <c r="V97" s="432"/>
      <c r="W97" s="432"/>
      <c r="X97" s="491"/>
      <c r="Y97" s="431"/>
      <c r="Z97" s="431"/>
      <c r="AA97" s="431"/>
      <c r="AB97" s="431"/>
      <c r="AC97" s="431"/>
      <c r="AD97" s="427"/>
      <c r="AE97" s="431"/>
      <c r="AF97" s="439" t="s">
        <v>337</v>
      </c>
    </row>
    <row r="98" spans="1:32" ht="18.75" customHeight="1" x14ac:dyDescent="0.2">
      <c r="A98" s="427">
        <v>77</v>
      </c>
      <c r="B98" s="428" t="s">
        <v>174</v>
      </c>
      <c r="C98" s="427" t="s">
        <v>46</v>
      </c>
      <c r="D98" s="429">
        <v>672</v>
      </c>
      <c r="E98" s="427" t="s">
        <v>175</v>
      </c>
      <c r="F98" s="427">
        <v>177.8</v>
      </c>
      <c r="G98" s="427"/>
      <c r="H98" s="429"/>
      <c r="I98" s="526"/>
      <c r="J98" s="427"/>
      <c r="K98" s="427"/>
      <c r="L98" s="427"/>
      <c r="M98" s="427"/>
      <c r="N98" s="430"/>
      <c r="O98" s="427"/>
      <c r="P98" s="430"/>
      <c r="Q98" s="431"/>
      <c r="R98" s="432"/>
      <c r="S98" s="431"/>
      <c r="T98" s="431"/>
      <c r="U98" s="431"/>
      <c r="V98" s="432"/>
      <c r="W98" s="432"/>
      <c r="X98" s="431"/>
      <c r="Y98" s="431"/>
      <c r="Z98" s="431"/>
      <c r="AA98" s="431"/>
      <c r="AB98" s="431"/>
      <c r="AC98" s="431"/>
      <c r="AD98" s="427"/>
      <c r="AE98" s="431"/>
      <c r="AF98" s="439"/>
    </row>
    <row r="99" spans="1:32" ht="18.75" customHeight="1" x14ac:dyDescent="0.2">
      <c r="A99" s="427">
        <v>78</v>
      </c>
      <c r="B99" s="519" t="s">
        <v>103</v>
      </c>
      <c r="C99" s="427" t="s">
        <v>46</v>
      </c>
      <c r="D99" s="526">
        <v>582</v>
      </c>
      <c r="E99" s="526" t="s">
        <v>112</v>
      </c>
      <c r="F99" s="427">
        <v>177.8</v>
      </c>
      <c r="G99" s="427"/>
      <c r="H99" s="429"/>
      <c r="I99" s="526"/>
      <c r="J99" s="526"/>
      <c r="K99" s="424"/>
      <c r="L99" s="526"/>
      <c r="M99" s="424"/>
      <c r="N99" s="526"/>
      <c r="O99" s="526"/>
      <c r="P99" s="448"/>
      <c r="Q99" s="437"/>
      <c r="R99" s="526"/>
      <c r="S99" s="526"/>
      <c r="T99" s="526"/>
      <c r="U99" s="520"/>
      <c r="V99" s="520"/>
      <c r="W99" s="520"/>
      <c r="X99" s="421"/>
      <c r="Y99" s="492"/>
      <c r="Z99" s="526"/>
      <c r="AA99" s="526"/>
      <c r="AB99" s="520"/>
      <c r="AC99" s="526"/>
      <c r="AD99" s="493"/>
      <c r="AE99" s="437"/>
      <c r="AF99" s="439"/>
    </row>
    <row r="100" spans="1:32" ht="18.75" customHeight="1" x14ac:dyDescent="0.2">
      <c r="A100" s="427">
        <v>79</v>
      </c>
      <c r="B100" s="519" t="s">
        <v>220</v>
      </c>
      <c r="C100" s="427" t="s">
        <v>46</v>
      </c>
      <c r="D100" s="526">
        <v>685.69</v>
      </c>
      <c r="E100" s="526" t="s">
        <v>222</v>
      </c>
      <c r="F100" s="427">
        <v>177.8</v>
      </c>
      <c r="G100" s="427"/>
      <c r="H100" s="429"/>
      <c r="I100" s="526"/>
      <c r="J100" s="526"/>
      <c r="K100" s="424"/>
      <c r="L100" s="526"/>
      <c r="M100" s="424"/>
      <c r="N100" s="526"/>
      <c r="O100" s="526"/>
      <c r="P100" s="448"/>
      <c r="Q100" s="437"/>
      <c r="R100" s="526"/>
      <c r="S100" s="526"/>
      <c r="T100" s="526"/>
      <c r="U100" s="520"/>
      <c r="V100" s="520"/>
      <c r="W100" s="520"/>
      <c r="X100" s="421"/>
      <c r="Y100" s="492"/>
      <c r="Z100" s="526"/>
      <c r="AA100" s="526"/>
      <c r="AB100" s="520"/>
      <c r="AC100" s="526"/>
      <c r="AD100" s="493"/>
      <c r="AE100" s="437"/>
      <c r="AF100" s="439"/>
    </row>
    <row r="101" spans="1:32" ht="18.75" customHeight="1" x14ac:dyDescent="0.2">
      <c r="A101" s="427"/>
      <c r="B101" s="1894" t="s">
        <v>279</v>
      </c>
      <c r="C101" s="1895"/>
      <c r="D101" s="1895"/>
      <c r="E101" s="1895"/>
      <c r="F101" s="1895"/>
      <c r="G101" s="427"/>
      <c r="H101" s="429"/>
      <c r="I101" s="526"/>
      <c r="J101" s="427"/>
      <c r="K101" s="427"/>
      <c r="L101" s="427"/>
      <c r="M101" s="427"/>
      <c r="N101" s="430"/>
      <c r="O101" s="427"/>
      <c r="P101" s="430"/>
      <c r="Q101" s="431"/>
      <c r="R101" s="432"/>
      <c r="S101" s="431"/>
      <c r="T101" s="431"/>
      <c r="U101" s="431"/>
      <c r="V101" s="432"/>
      <c r="W101" s="432"/>
      <c r="X101" s="431"/>
      <c r="Y101" s="431"/>
      <c r="Z101" s="431"/>
      <c r="AA101" s="431"/>
      <c r="AB101" s="431"/>
      <c r="AC101" s="431"/>
      <c r="AD101" s="427"/>
      <c r="AE101" s="431"/>
      <c r="AF101" s="439"/>
    </row>
    <row r="102" spans="1:32" ht="18.75" customHeight="1" x14ac:dyDescent="0.2">
      <c r="A102" s="427">
        <v>80</v>
      </c>
      <c r="B102" s="428" t="s">
        <v>148</v>
      </c>
      <c r="C102" s="427" t="s">
        <v>46</v>
      </c>
      <c r="D102" s="427">
        <v>650</v>
      </c>
      <c r="E102" s="427" t="s">
        <v>75</v>
      </c>
      <c r="F102" s="427">
        <v>177.8</v>
      </c>
      <c r="G102" s="427"/>
      <c r="H102" s="429"/>
      <c r="I102" s="424">
        <v>536.14</v>
      </c>
      <c r="J102" s="427"/>
      <c r="K102" s="427"/>
      <c r="L102" s="427"/>
      <c r="M102" s="427"/>
      <c r="N102" s="430"/>
      <c r="O102" s="427"/>
      <c r="P102" s="430"/>
      <c r="Q102" s="431"/>
      <c r="R102" s="432"/>
      <c r="S102" s="431"/>
      <c r="T102" s="431"/>
      <c r="U102" s="431"/>
      <c r="V102" s="432"/>
      <c r="W102" s="432"/>
      <c r="X102" s="431"/>
      <c r="Y102" s="431"/>
      <c r="Z102" s="431"/>
      <c r="AA102" s="431"/>
      <c r="AB102" s="431"/>
      <c r="AC102" s="431"/>
      <c r="AD102" s="427"/>
      <c r="AE102" s="431"/>
      <c r="AF102" s="439"/>
    </row>
    <row r="103" spans="1:32" ht="18.75" customHeight="1" x14ac:dyDescent="0.2">
      <c r="A103" s="427">
        <v>81</v>
      </c>
      <c r="B103" s="428" t="s">
        <v>155</v>
      </c>
      <c r="C103" s="427" t="s">
        <v>46</v>
      </c>
      <c r="D103" s="427">
        <v>674.13</v>
      </c>
      <c r="E103" s="427" t="s">
        <v>83</v>
      </c>
      <c r="F103" s="427">
        <v>177.8</v>
      </c>
      <c r="G103" s="427"/>
      <c r="H103" s="429"/>
      <c r="I103" s="526">
        <v>527.75</v>
      </c>
      <c r="J103" s="427"/>
      <c r="K103" s="427"/>
      <c r="L103" s="427"/>
      <c r="M103" s="427"/>
      <c r="N103" s="430"/>
      <c r="O103" s="427"/>
      <c r="P103" s="430"/>
      <c r="Q103" s="431"/>
      <c r="R103" s="432"/>
      <c r="S103" s="431"/>
      <c r="T103" s="431"/>
      <c r="U103" s="431"/>
      <c r="V103" s="432"/>
      <c r="W103" s="432"/>
      <c r="X103" s="431"/>
      <c r="Y103" s="431"/>
      <c r="Z103" s="431"/>
      <c r="AA103" s="431"/>
      <c r="AB103" s="431"/>
      <c r="AC103" s="431"/>
      <c r="AD103" s="427"/>
      <c r="AE103" s="431"/>
      <c r="AF103" s="439"/>
    </row>
    <row r="104" spans="1:32" ht="18.75" customHeight="1" x14ac:dyDescent="0.2">
      <c r="A104" s="427">
        <v>82</v>
      </c>
      <c r="B104" s="428" t="s">
        <v>56</v>
      </c>
      <c r="C104" s="427" t="s">
        <v>46</v>
      </c>
      <c r="D104" s="429">
        <v>680.52</v>
      </c>
      <c r="E104" s="427" t="s">
        <v>92</v>
      </c>
      <c r="F104" s="427">
        <v>177.8</v>
      </c>
      <c r="G104" s="427"/>
      <c r="H104" s="429"/>
      <c r="I104" s="526">
        <v>555.95000000000005</v>
      </c>
      <c r="J104" s="427"/>
      <c r="K104" s="427"/>
      <c r="L104" s="427"/>
      <c r="M104" s="427"/>
      <c r="N104" s="430"/>
      <c r="O104" s="427"/>
      <c r="P104" s="432"/>
      <c r="Q104" s="431"/>
      <c r="R104" s="432"/>
      <c r="S104" s="431"/>
      <c r="T104" s="431"/>
      <c r="U104" s="431"/>
      <c r="V104" s="432"/>
      <c r="W104" s="432"/>
      <c r="X104" s="491"/>
      <c r="Y104" s="431"/>
      <c r="Z104" s="431"/>
      <c r="AA104" s="431"/>
      <c r="AB104" s="431"/>
      <c r="AC104" s="431"/>
      <c r="AD104" s="427"/>
      <c r="AE104" s="431"/>
      <c r="AF104" s="439"/>
    </row>
    <row r="105" spans="1:32" ht="18.75" x14ac:dyDescent="0.3">
      <c r="A105" s="494"/>
      <c r="B105" s="464"/>
      <c r="C105" s="464"/>
      <c r="D105" s="522"/>
      <c r="E105" s="428"/>
      <c r="F105" s="427"/>
      <c r="G105" s="427"/>
      <c r="H105" s="429"/>
      <c r="I105" s="526"/>
      <c r="J105" s="427"/>
      <c r="K105" s="427"/>
      <c r="L105" s="427"/>
      <c r="M105" s="427"/>
      <c r="N105" s="430"/>
      <c r="O105" s="427"/>
      <c r="P105" s="432"/>
      <c r="Q105" s="431"/>
      <c r="R105" s="432"/>
      <c r="S105" s="431"/>
      <c r="T105" s="431"/>
      <c r="U105" s="431"/>
      <c r="V105" s="432"/>
      <c r="W105" s="432"/>
      <c r="X105" s="491"/>
      <c r="Y105" s="431"/>
      <c r="Z105" s="431"/>
      <c r="AA105" s="431"/>
      <c r="AB105" s="431"/>
      <c r="AC105" s="431"/>
      <c r="AD105" s="427"/>
      <c r="AE105" s="431"/>
      <c r="AF105" s="439"/>
    </row>
    <row r="106" spans="1:32" ht="18.75" x14ac:dyDescent="0.3">
      <c r="A106" s="494"/>
      <c r="B106" s="1889"/>
      <c r="C106" s="1889"/>
      <c r="D106" s="1889"/>
      <c r="E106" s="1890"/>
      <c r="F106" s="438"/>
      <c r="G106" s="427"/>
      <c r="H106" s="429"/>
      <c r="I106" s="431"/>
      <c r="J106" s="427"/>
      <c r="K106" s="438"/>
      <c r="L106" s="427"/>
      <c r="M106" s="438"/>
      <c r="N106" s="430"/>
      <c r="O106" s="438"/>
      <c r="P106" s="480"/>
      <c r="Q106" s="467"/>
      <c r="R106" s="467">
        <f>R75+R84</f>
        <v>355.37399999999985</v>
      </c>
      <c r="S106" s="467">
        <f>S75+S84</f>
        <v>600.44400000000007</v>
      </c>
      <c r="T106" s="481">
        <f>T75+T84</f>
        <v>15939</v>
      </c>
      <c r="U106" s="467">
        <f>T106/R106</f>
        <v>44.851339715342164</v>
      </c>
      <c r="V106" s="467"/>
      <c r="W106" s="467"/>
      <c r="X106" s="467"/>
      <c r="Y106" s="467">
        <f>Y75+Y84+Y86</f>
        <v>341.94880800000004</v>
      </c>
      <c r="Z106" s="467">
        <f>Z75+Z84+Z87</f>
        <v>572.82988480000017</v>
      </c>
      <c r="AA106" s="481">
        <f>AA75+AA84+AA87</f>
        <v>15173.928000000002</v>
      </c>
      <c r="AB106" s="467">
        <f>AB75+AB84+AB87</f>
        <v>45.821606501671702</v>
      </c>
      <c r="AC106" s="467"/>
      <c r="AD106" s="467"/>
      <c r="AE106" s="495">
        <f>AE75+AE84+AE87</f>
        <v>10148.614239999999</v>
      </c>
      <c r="AF106" s="478"/>
    </row>
    <row r="107" spans="1:32" ht="18.75" x14ac:dyDescent="0.3">
      <c r="A107" s="418"/>
      <c r="B107" s="496"/>
      <c r="C107" s="496"/>
      <c r="D107" s="496"/>
      <c r="E107" s="496"/>
      <c r="F107" s="497"/>
      <c r="G107" s="498"/>
      <c r="H107" s="499"/>
      <c r="I107" s="499"/>
      <c r="J107" s="497"/>
      <c r="K107" s="497"/>
      <c r="L107" s="497"/>
      <c r="M107" s="497"/>
      <c r="N107" s="497"/>
      <c r="O107" s="497"/>
      <c r="P107" s="500"/>
      <c r="Q107" s="501"/>
      <c r="R107" s="497"/>
      <c r="S107" s="497"/>
      <c r="T107" s="497"/>
      <c r="U107" s="498"/>
      <c r="V107" s="498"/>
      <c r="W107" s="498"/>
      <c r="X107" s="498"/>
      <c r="Y107" s="497"/>
      <c r="Z107" s="497"/>
      <c r="AA107" s="497"/>
      <c r="AB107" s="502"/>
      <c r="AC107" s="498"/>
      <c r="AD107" s="497"/>
      <c r="AE107" s="497"/>
      <c r="AF107" s="499"/>
    </row>
    <row r="108" spans="1:32" ht="18.75" x14ac:dyDescent="0.3">
      <c r="A108" s="418"/>
      <c r="B108" s="503"/>
      <c r="C108" s="504"/>
      <c r="D108" s="503"/>
      <c r="E108" s="505">
        <v>0.95</v>
      </c>
      <c r="F108" s="503"/>
      <c r="G108" s="503" t="s">
        <v>102</v>
      </c>
      <c r="H108" s="460"/>
      <c r="I108" s="506"/>
      <c r="J108" s="503"/>
      <c r="K108" s="1896">
        <f>AE106*E108</f>
        <v>9641.1835279999978</v>
      </c>
      <c r="L108" s="1897"/>
      <c r="M108" s="1898"/>
      <c r="N108" s="504" t="s">
        <v>27</v>
      </c>
      <c r="O108" s="497"/>
      <c r="P108" s="500"/>
      <c r="Q108" s="501"/>
      <c r="R108" s="497"/>
      <c r="S108" s="497"/>
      <c r="T108" s="497"/>
      <c r="U108" s="498"/>
      <c r="V108" s="498"/>
      <c r="W108" s="498"/>
      <c r="X108" s="498"/>
      <c r="Y108" s="497"/>
      <c r="Z108" s="497"/>
      <c r="AA108" s="497"/>
      <c r="AB108" s="502"/>
      <c r="AC108" s="498"/>
      <c r="AD108" s="497"/>
      <c r="AE108" s="497"/>
      <c r="AF108" s="499"/>
    </row>
    <row r="109" spans="1:32" ht="18.75" x14ac:dyDescent="0.3">
      <c r="A109" s="418"/>
      <c r="B109" s="503"/>
      <c r="C109" s="504"/>
      <c r="D109" s="503"/>
      <c r="E109" s="505"/>
      <c r="F109" s="503"/>
      <c r="G109" s="504"/>
      <c r="H109" s="460"/>
      <c r="I109" s="506"/>
      <c r="J109" s="503"/>
      <c r="K109" s="504"/>
      <c r="L109" s="462"/>
      <c r="M109" s="503"/>
      <c r="N109" s="503"/>
      <c r="O109" s="503"/>
      <c r="P109" s="507"/>
      <c r="Q109" s="508"/>
      <c r="R109" s="503"/>
      <c r="S109" s="503"/>
      <c r="T109" s="503"/>
      <c r="U109" s="503"/>
      <c r="V109" s="503"/>
      <c r="W109" s="503"/>
      <c r="X109" s="509"/>
      <c r="Y109" s="509"/>
      <c r="Z109" s="509"/>
      <c r="AA109" s="509"/>
      <c r="AB109" s="509"/>
      <c r="AC109" s="509"/>
      <c r="AD109" s="509"/>
      <c r="AE109" s="509"/>
      <c r="AF109" s="510"/>
    </row>
    <row r="110" spans="1:32" ht="18.75" x14ac:dyDescent="0.3">
      <c r="A110" s="418"/>
      <c r="B110" s="503"/>
      <c r="C110" s="503"/>
      <c r="D110" s="503"/>
      <c r="E110" s="511" t="s">
        <v>214</v>
      </c>
      <c r="F110" s="1899" t="s">
        <v>268</v>
      </c>
      <c r="G110" s="1899"/>
      <c r="H110" s="1899"/>
      <c r="I110" s="503"/>
      <c r="J110" s="503"/>
      <c r="K110" s="504"/>
      <c r="L110" s="504"/>
      <c r="M110" s="503"/>
      <c r="N110" s="503"/>
      <c r="O110" s="503"/>
      <c r="P110" s="503"/>
      <c r="Q110" s="503"/>
      <c r="R110" s="503"/>
      <c r="S110" s="503"/>
      <c r="T110" s="503"/>
      <c r="U110" s="503"/>
      <c r="V110" s="503"/>
      <c r="W110" s="503"/>
      <c r="X110" s="1892" t="s">
        <v>99</v>
      </c>
      <c r="Y110" s="1893"/>
      <c r="Z110" s="1893"/>
      <c r="AA110" s="1893"/>
      <c r="AB110" s="509" t="s">
        <v>216</v>
      </c>
      <c r="AC110" s="509"/>
      <c r="AD110" s="509"/>
      <c r="AE110" s="509"/>
      <c r="AF110" s="509"/>
    </row>
  </sheetData>
  <mergeCells count="40">
    <mergeCell ref="B9:E9"/>
    <mergeCell ref="I1:X1"/>
    <mergeCell ref="J2:W2"/>
    <mergeCell ref="A3:D3"/>
    <mergeCell ref="A7:E7"/>
    <mergeCell ref="A8:E8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10:AA110"/>
    <mergeCell ref="AF12:AF13"/>
    <mergeCell ref="B76:E76"/>
    <mergeCell ref="B77:F77"/>
    <mergeCell ref="B84:E84"/>
    <mergeCell ref="B87:E87"/>
    <mergeCell ref="B88:F88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3:F93"/>
    <mergeCell ref="B101:F101"/>
    <mergeCell ref="B106:E106"/>
    <mergeCell ref="K108:M108"/>
    <mergeCell ref="F110:H110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111"/>
  <sheetViews>
    <sheetView topLeftCell="E52" zoomScale="60" zoomScaleNormal="60" workbookViewId="0">
      <selection activeCell="R70" sqref="R70"/>
    </sheetView>
  </sheetViews>
  <sheetFormatPr defaultRowHeight="12.75" x14ac:dyDescent="0.2"/>
  <cols>
    <col min="2" max="3" width="14.5703125" customWidth="1"/>
    <col min="5" max="5" width="95.140625" customWidth="1"/>
    <col min="6" max="6" width="11.28515625" customWidth="1"/>
    <col min="8" max="8" width="14.7109375" customWidth="1"/>
    <col min="10" max="10" width="10.140625" customWidth="1"/>
    <col min="17" max="17" width="11.140625" style="396" bestFit="1" customWidth="1"/>
    <col min="20" max="20" width="10.85546875" bestFit="1" customWidth="1"/>
    <col min="24" max="24" width="10.7109375" customWidth="1"/>
    <col min="31" max="31" width="12.5703125" customWidth="1"/>
    <col min="32" max="32" width="67.7109375" customWidth="1"/>
  </cols>
  <sheetData>
    <row r="1" spans="1:32" ht="18.75" x14ac:dyDescent="0.3">
      <c r="A1" s="402"/>
      <c r="B1" s="402"/>
      <c r="C1" s="402"/>
      <c r="D1" s="402"/>
      <c r="E1" s="402"/>
      <c r="F1" s="402"/>
      <c r="G1" s="402"/>
      <c r="H1" s="4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402"/>
      <c r="Z1" s="402"/>
      <c r="AA1" s="402"/>
      <c r="AB1" s="402"/>
      <c r="AC1" s="402"/>
      <c r="AD1" s="402"/>
      <c r="AE1" s="402"/>
      <c r="AF1" s="402"/>
    </row>
    <row r="2" spans="1:32" ht="18.75" x14ac:dyDescent="0.3">
      <c r="A2" s="402"/>
      <c r="B2" s="402"/>
      <c r="C2" s="402"/>
      <c r="D2" s="402"/>
      <c r="E2" s="402"/>
      <c r="F2" s="403"/>
      <c r="G2" s="535"/>
      <c r="H2" s="535"/>
      <c r="I2" s="403"/>
      <c r="J2" s="1909" t="s">
        <v>339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535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ht="18.75" x14ac:dyDescent="0.2">
      <c r="A4" s="536" t="s">
        <v>311</v>
      </c>
      <c r="B4" s="536"/>
      <c r="C4" s="536"/>
      <c r="D4" s="536"/>
      <c r="E4" s="536"/>
      <c r="F4" s="403"/>
      <c r="G4" s="535"/>
      <c r="H4" s="535"/>
      <c r="I4" s="406"/>
      <c r="J4" s="406"/>
      <c r="K4" s="406"/>
      <c r="L4" s="406"/>
      <c r="M4" s="406"/>
      <c r="N4" s="406"/>
      <c r="O4" s="406"/>
      <c r="P4" s="406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338</v>
      </c>
    </row>
    <row r="5" spans="1:32" ht="18.75" x14ac:dyDescent="0.2">
      <c r="A5" s="536" t="s">
        <v>316</v>
      </c>
      <c r="B5" s="412"/>
      <c r="C5" s="412"/>
      <c r="D5" s="412"/>
      <c r="E5" s="403"/>
      <c r="F5" s="403"/>
      <c r="G5" s="535"/>
      <c r="H5" s="535"/>
      <c r="I5" s="403"/>
      <c r="J5" s="403"/>
      <c r="K5" s="535"/>
      <c r="L5" s="535"/>
      <c r="M5" s="403"/>
      <c r="N5" s="403"/>
      <c r="O5" s="403"/>
      <c r="P5" s="413"/>
      <c r="Q5" s="414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ht="18.75" x14ac:dyDescent="0.2">
      <c r="A6" s="403"/>
      <c r="B6" s="536"/>
      <c r="C6" s="536"/>
      <c r="D6" s="536"/>
      <c r="E6" s="403"/>
      <c r="F6" s="403"/>
      <c r="G6" s="535"/>
      <c r="H6" s="535"/>
      <c r="I6" s="405"/>
      <c r="J6" s="403"/>
      <c r="K6" s="535"/>
      <c r="L6" s="535"/>
      <c r="M6" s="403"/>
      <c r="N6" s="403"/>
      <c r="O6" s="403"/>
      <c r="P6" s="413"/>
      <c r="Q6" s="414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535"/>
      <c r="H7" s="535"/>
      <c r="I7" s="405"/>
      <c r="J7" s="403"/>
      <c r="K7" s="535"/>
      <c r="L7" s="535"/>
      <c r="M7" s="403"/>
      <c r="N7" s="403"/>
      <c r="O7" s="403"/>
      <c r="P7" s="413"/>
      <c r="Q7" s="414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403"/>
      <c r="G8" s="535"/>
      <c r="H8" s="535"/>
      <c r="I8" s="405"/>
      <c r="J8" s="403"/>
      <c r="K8" s="535"/>
      <c r="L8" s="535"/>
      <c r="M8" s="403"/>
      <c r="N8" s="403"/>
      <c r="O8" s="403"/>
      <c r="P8" s="413"/>
      <c r="Q8" s="414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ht="18.75" x14ac:dyDescent="0.3">
      <c r="A9" s="418"/>
      <c r="B9" s="1911"/>
      <c r="C9" s="1911"/>
      <c r="D9" s="1911"/>
      <c r="E9" s="1911"/>
      <c r="F9" s="403"/>
      <c r="G9" s="535"/>
      <c r="H9" s="535"/>
      <c r="I9" s="403"/>
      <c r="J9" s="403"/>
      <c r="K9" s="535"/>
      <c r="L9" s="535"/>
      <c r="M9" s="535"/>
      <c r="N9" s="535"/>
      <c r="O9" s="535"/>
      <c r="P9" s="535"/>
      <c r="Q9" s="546"/>
      <c r="R9" s="535"/>
      <c r="S9" s="535"/>
      <c r="T9" s="535"/>
      <c r="U9" s="535"/>
      <c r="V9" s="535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ht="18.75" x14ac:dyDescent="0.3">
      <c r="A10" s="418"/>
      <c r="B10" s="535"/>
      <c r="C10" s="535"/>
      <c r="D10" s="535"/>
      <c r="E10" s="403"/>
      <c r="F10" s="403"/>
      <c r="G10" s="535"/>
      <c r="H10" s="535"/>
      <c r="I10" s="405"/>
      <c r="J10" s="403"/>
      <c r="K10" s="535"/>
      <c r="L10" s="535"/>
      <c r="M10" s="403"/>
      <c r="N10" s="403"/>
      <c r="O10" s="403"/>
      <c r="P10" s="413"/>
      <c r="Q10" s="414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45.9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545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534" t="s">
        <v>18</v>
      </c>
      <c r="AE12" s="534" t="s">
        <v>20</v>
      </c>
      <c r="AF12" s="1891" t="s">
        <v>21</v>
      </c>
    </row>
    <row r="13" spans="1:32" ht="54" customHeight="1" x14ac:dyDescent="0.2">
      <c r="A13" s="1891"/>
      <c r="B13" s="1891"/>
      <c r="C13" s="1903"/>
      <c r="D13" s="538" t="s">
        <v>3</v>
      </c>
      <c r="E13" s="538" t="s">
        <v>3</v>
      </c>
      <c r="F13" s="538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425" t="s">
        <v>13</v>
      </c>
      <c r="Q13" s="437" t="s">
        <v>26</v>
      </c>
      <c r="R13" s="424" t="s">
        <v>14</v>
      </c>
      <c r="S13" s="424" t="s">
        <v>25</v>
      </c>
      <c r="T13" s="424" t="s">
        <v>113</v>
      </c>
      <c r="U13" s="1903"/>
      <c r="V13" s="1907"/>
      <c r="W13" s="1903"/>
      <c r="X13" s="1903"/>
      <c r="Y13" s="538" t="s">
        <v>14</v>
      </c>
      <c r="Z13" s="538" t="s">
        <v>25</v>
      </c>
      <c r="AA13" s="538" t="s">
        <v>113</v>
      </c>
      <c r="AB13" s="1904"/>
      <c r="AC13" s="1903"/>
      <c r="AD13" s="538" t="s">
        <v>19</v>
      </c>
      <c r="AE13" s="538" t="s">
        <v>27</v>
      </c>
      <c r="AF13" s="1891"/>
    </row>
    <row r="14" spans="1:32" ht="18.75" customHeight="1" x14ac:dyDescent="0.2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9" t="s">
        <v>52</v>
      </c>
      <c r="I14" s="538">
        <v>558.05999999999995</v>
      </c>
      <c r="J14" s="427">
        <v>200</v>
      </c>
      <c r="K14" s="427"/>
      <c r="L14" s="427">
        <v>305</v>
      </c>
      <c r="M14" s="427"/>
      <c r="N14" s="427">
        <v>1.9</v>
      </c>
      <c r="O14" s="427"/>
      <c r="P14" s="430">
        <v>25.58</v>
      </c>
      <c r="Q14" s="431">
        <f t="shared" ref="Q14:Q37" si="0">LEFT(H14,(FIND("K",H14,1)-1))*J14/100</f>
        <v>44</v>
      </c>
      <c r="R14" s="432">
        <v>2.9359999999999999</v>
      </c>
      <c r="S14" s="431">
        <v>5.1180000000000003</v>
      </c>
      <c r="T14" s="431">
        <v>2</v>
      </c>
      <c r="U14" s="431">
        <f t="shared" ref="U14:U75" si="1">T14/R14</f>
        <v>0.68119891008174394</v>
      </c>
      <c r="V14" s="433">
        <f>(S14-R14)/S14*100</f>
        <v>42.633841344275112</v>
      </c>
      <c r="W14" s="432">
        <v>0.3</v>
      </c>
      <c r="X14" s="431">
        <f t="shared" ref="X14:X46" si="2">S14/Q14</f>
        <v>0.11631818181818182</v>
      </c>
      <c r="Y14" s="431">
        <f>R14*0.952</f>
        <v>2.7950719999999998</v>
      </c>
      <c r="Z14" s="431">
        <f>S14*0.952</f>
        <v>4.8723359999999998</v>
      </c>
      <c r="AA14" s="431">
        <f>T14*0.952</f>
        <v>1.9039999999999999</v>
      </c>
      <c r="AB14" s="431">
        <f>U14</f>
        <v>0.68119891008174394</v>
      </c>
      <c r="AC14" s="431">
        <f t="shared" ref="AC14:AC75" si="3">V14</f>
        <v>42.633841344275112</v>
      </c>
      <c r="AD14" s="427">
        <v>31</v>
      </c>
      <c r="AE14" s="431">
        <f>Y14*AD14</f>
        <v>86.647231999999988</v>
      </c>
      <c r="AF14" s="434"/>
    </row>
    <row r="15" spans="1:32" ht="18.75" customHeight="1" x14ac:dyDescent="0.2">
      <c r="A15" s="427">
        <v>2</v>
      </c>
      <c r="B15" s="428" t="s">
        <v>140</v>
      </c>
      <c r="C15" s="427" t="s">
        <v>46</v>
      </c>
      <c r="D15" s="427">
        <v>585</v>
      </c>
      <c r="E15" s="427" t="s">
        <v>348</v>
      </c>
      <c r="F15" s="427">
        <v>177.8</v>
      </c>
      <c r="G15" s="427" t="s">
        <v>28</v>
      </c>
      <c r="H15" s="429" t="s">
        <v>50</v>
      </c>
      <c r="I15" s="538">
        <v>579.99</v>
      </c>
      <c r="J15" s="427">
        <v>170</v>
      </c>
      <c r="K15" s="427"/>
      <c r="L15" s="427">
        <v>445</v>
      </c>
      <c r="M15" s="427"/>
      <c r="N15" s="427">
        <v>3.9</v>
      </c>
      <c r="O15" s="427"/>
      <c r="P15" s="430">
        <v>16.18</v>
      </c>
      <c r="Q15" s="431">
        <f t="shared" si="0"/>
        <v>10.199999999999999</v>
      </c>
      <c r="R15" s="431">
        <v>1.8149999999999999</v>
      </c>
      <c r="S15" s="431">
        <v>2.5070000000000001</v>
      </c>
      <c r="T15" s="431">
        <v>6</v>
      </c>
      <c r="U15" s="431">
        <f t="shared" si="1"/>
        <v>3.3057851239669422</v>
      </c>
      <c r="V15" s="433">
        <f>(S15-R15)/S15*100</f>
        <v>27.602712405265262</v>
      </c>
      <c r="W15" s="431">
        <v>0.6</v>
      </c>
      <c r="X15" s="431">
        <f t="shared" si="2"/>
        <v>0.24578431372549023</v>
      </c>
      <c r="Y15" s="431">
        <f t="shared" ref="Y15:AA30" si="4">R15*0.952</f>
        <v>1.7278799999999999</v>
      </c>
      <c r="Z15" s="431">
        <f t="shared" si="4"/>
        <v>2.3866640000000001</v>
      </c>
      <c r="AA15" s="431">
        <f t="shared" si="4"/>
        <v>5.7119999999999997</v>
      </c>
      <c r="AB15" s="431">
        <f t="shared" ref="AB15:AB75" si="5">U15</f>
        <v>3.3057851239669422</v>
      </c>
      <c r="AC15" s="431">
        <f t="shared" si="3"/>
        <v>27.602712405265262</v>
      </c>
      <c r="AD15" s="427">
        <v>31</v>
      </c>
      <c r="AE15" s="431">
        <f t="shared" ref="AE15:AE57" si="6">Y15*AD15</f>
        <v>53.564279999999997</v>
      </c>
      <c r="AF15" s="434"/>
    </row>
    <row r="16" spans="1:32" ht="18.75" customHeight="1" x14ac:dyDescent="0.2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9" t="s">
        <v>218</v>
      </c>
      <c r="I16" s="538">
        <v>565.94000000000005</v>
      </c>
      <c r="J16" s="427">
        <v>180</v>
      </c>
      <c r="K16" s="427"/>
      <c r="L16" s="427">
        <v>494</v>
      </c>
      <c r="M16" s="427"/>
      <c r="N16" s="430">
        <v>9.6999999999999993</v>
      </c>
      <c r="O16" s="427"/>
      <c r="P16" s="430">
        <v>13.78</v>
      </c>
      <c r="Q16" s="431">
        <f>LEFT(H16,(FIND("K",H16,1)-1))*J16/100</f>
        <v>57.6</v>
      </c>
      <c r="R16" s="432">
        <v>12.164</v>
      </c>
      <c r="S16" s="431">
        <v>20.763999999999999</v>
      </c>
      <c r="T16" s="530">
        <v>2260</v>
      </c>
      <c r="U16" s="431">
        <f t="shared" si="1"/>
        <v>185.79414666228215</v>
      </c>
      <c r="V16" s="433">
        <f t="shared" ref="V16:V75" si="7">(S16-R16)/S16*100</f>
        <v>41.417838566750142</v>
      </c>
      <c r="W16" s="432">
        <v>0.3</v>
      </c>
      <c r="X16" s="431">
        <f t="shared" si="2"/>
        <v>0.36048611111111112</v>
      </c>
      <c r="Y16" s="431">
        <f t="shared" si="4"/>
        <v>11.580127999999998</v>
      </c>
      <c r="Z16" s="431">
        <f t="shared" si="4"/>
        <v>19.767327999999999</v>
      </c>
      <c r="AA16" s="530">
        <f t="shared" si="4"/>
        <v>2151.52</v>
      </c>
      <c r="AB16" s="431">
        <f t="shared" si="5"/>
        <v>185.79414666228215</v>
      </c>
      <c r="AC16" s="431">
        <f t="shared" si="3"/>
        <v>41.417838566750142</v>
      </c>
      <c r="AD16" s="427">
        <v>31</v>
      </c>
      <c r="AE16" s="431">
        <f>Y16*AD16</f>
        <v>358.98396799999995</v>
      </c>
      <c r="AF16" s="434"/>
    </row>
    <row r="17" spans="1:32" ht="18.75" customHeight="1" x14ac:dyDescent="0.2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9" t="s">
        <v>53</v>
      </c>
      <c r="I17" s="538">
        <v>538.47</v>
      </c>
      <c r="J17" s="427">
        <v>230</v>
      </c>
      <c r="K17" s="427"/>
      <c r="L17" s="427">
        <v>438</v>
      </c>
      <c r="M17" s="427"/>
      <c r="N17" s="430">
        <v>2.2000000000000002</v>
      </c>
      <c r="O17" s="427"/>
      <c r="P17" s="430">
        <v>13.87</v>
      </c>
      <c r="Q17" s="431">
        <f t="shared" si="0"/>
        <v>29.9</v>
      </c>
      <c r="R17" s="432">
        <v>7.43</v>
      </c>
      <c r="S17" s="431">
        <v>9.4139999999999997</v>
      </c>
      <c r="T17" s="431">
        <v>47</v>
      </c>
      <c r="U17" s="431">
        <f t="shared" si="1"/>
        <v>6.3257065948855988</v>
      </c>
      <c r="V17" s="433">
        <f t="shared" si="7"/>
        <v>21.074994688761421</v>
      </c>
      <c r="W17" s="432">
        <v>0.2</v>
      </c>
      <c r="X17" s="431">
        <f>S17/Q17</f>
        <v>0.31484949832775921</v>
      </c>
      <c r="Y17" s="431">
        <f t="shared" si="4"/>
        <v>7.0733599999999992</v>
      </c>
      <c r="Z17" s="431">
        <f t="shared" si="4"/>
        <v>8.9621279999999999</v>
      </c>
      <c r="AA17" s="431">
        <f t="shared" si="4"/>
        <v>44.744</v>
      </c>
      <c r="AB17" s="431">
        <f t="shared" si="5"/>
        <v>6.3257065948855988</v>
      </c>
      <c r="AC17" s="431">
        <f t="shared" si="3"/>
        <v>21.074994688761421</v>
      </c>
      <c r="AD17" s="427">
        <v>31</v>
      </c>
      <c r="AE17" s="431">
        <f t="shared" si="6"/>
        <v>219.27415999999997</v>
      </c>
      <c r="AF17" s="434"/>
    </row>
    <row r="18" spans="1:32" ht="18.75" customHeight="1" x14ac:dyDescent="0.2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550" t="s">
        <v>349</v>
      </c>
      <c r="I18" s="538">
        <v>546</v>
      </c>
      <c r="J18" s="427">
        <v>120</v>
      </c>
      <c r="K18" s="427"/>
      <c r="L18" s="427">
        <v>433</v>
      </c>
      <c r="M18" s="435"/>
      <c r="N18" s="427">
        <v>6.3</v>
      </c>
      <c r="O18" s="427"/>
      <c r="P18" s="430">
        <v>18.12</v>
      </c>
      <c r="Q18" s="431" t="e">
        <f t="shared" si="0"/>
        <v>#VALUE!</v>
      </c>
      <c r="R18" s="432">
        <v>5.2530000000000001</v>
      </c>
      <c r="S18" s="431">
        <v>5.9909999999999997</v>
      </c>
      <c r="T18" s="431">
        <v>28</v>
      </c>
      <c r="U18" s="431">
        <f t="shared" si="1"/>
        <v>5.3302874547877401</v>
      </c>
      <c r="V18" s="433">
        <f t="shared" si="7"/>
        <v>12.318477716574854</v>
      </c>
      <c r="W18" s="432">
        <v>2</v>
      </c>
      <c r="X18" s="431" t="e">
        <f>S18/Q18</f>
        <v>#VALUE!</v>
      </c>
      <c r="Y18" s="431">
        <f t="shared" si="4"/>
        <v>5.0008559999999997</v>
      </c>
      <c r="Z18" s="431">
        <f t="shared" si="4"/>
        <v>5.7034319999999994</v>
      </c>
      <c r="AA18" s="431">
        <f t="shared" si="4"/>
        <v>26.655999999999999</v>
      </c>
      <c r="AB18" s="431">
        <f t="shared" si="5"/>
        <v>5.3302874547877401</v>
      </c>
      <c r="AC18" s="431">
        <f t="shared" si="3"/>
        <v>12.318477716574854</v>
      </c>
      <c r="AD18" s="427">
        <v>31</v>
      </c>
      <c r="AE18" s="431">
        <f t="shared" si="6"/>
        <v>155.02653599999999</v>
      </c>
      <c r="AF18" s="434"/>
    </row>
    <row r="19" spans="1:32" ht="18.75" customHeight="1" x14ac:dyDescent="0.2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9" t="s">
        <v>50</v>
      </c>
      <c r="I19" s="538">
        <v>584.32000000000005</v>
      </c>
      <c r="J19" s="427">
        <v>290</v>
      </c>
      <c r="K19" s="427"/>
      <c r="L19" s="427">
        <v>426</v>
      </c>
      <c r="M19" s="427"/>
      <c r="N19" s="427">
        <v>1.3</v>
      </c>
      <c r="O19" s="427"/>
      <c r="P19" s="430">
        <v>15.58</v>
      </c>
      <c r="Q19" s="431">
        <f t="shared" si="0"/>
        <v>17.399999999999999</v>
      </c>
      <c r="R19" s="432">
        <v>4.4580000000000002</v>
      </c>
      <c r="S19" s="431">
        <v>5.7089999999999996</v>
      </c>
      <c r="T19" s="431">
        <v>5</v>
      </c>
      <c r="U19" s="431">
        <f t="shared" si="1"/>
        <v>1.1215791834903543</v>
      </c>
      <c r="V19" s="433">
        <f t="shared" si="7"/>
        <v>21.912769311613232</v>
      </c>
      <c r="W19" s="432">
        <v>0.5</v>
      </c>
      <c r="X19" s="431">
        <f>S19/Q19</f>
        <v>0.32810344827586208</v>
      </c>
      <c r="Y19" s="431">
        <f t="shared" si="4"/>
        <v>4.2440160000000002</v>
      </c>
      <c r="Z19" s="431">
        <f t="shared" si="4"/>
        <v>5.4349679999999996</v>
      </c>
      <c r="AA19" s="431">
        <f t="shared" si="4"/>
        <v>4.76</v>
      </c>
      <c r="AB19" s="431">
        <v>14.613</v>
      </c>
      <c r="AC19" s="431">
        <f t="shared" si="3"/>
        <v>21.912769311613232</v>
      </c>
      <c r="AD19" s="427">
        <v>31</v>
      </c>
      <c r="AE19" s="431">
        <f t="shared" si="6"/>
        <v>131.56449600000002</v>
      </c>
      <c r="AF19" s="434"/>
    </row>
    <row r="20" spans="1:32" ht="18.75" customHeight="1" x14ac:dyDescent="0.2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9" t="s">
        <v>52</v>
      </c>
      <c r="I20" s="538">
        <v>560</v>
      </c>
      <c r="J20" s="427">
        <v>140</v>
      </c>
      <c r="K20" s="427"/>
      <c r="L20" s="427">
        <v>452</v>
      </c>
      <c r="M20" s="427"/>
      <c r="N20" s="427">
        <v>9.5</v>
      </c>
      <c r="O20" s="427"/>
      <c r="P20" s="430">
        <v>20.22</v>
      </c>
      <c r="Q20" s="431">
        <f t="shared" si="0"/>
        <v>30.8</v>
      </c>
      <c r="R20" s="432">
        <v>9.6389999999999993</v>
      </c>
      <c r="S20" s="431">
        <v>12.986000000000001</v>
      </c>
      <c r="T20" s="431">
        <v>142</v>
      </c>
      <c r="U20" s="431">
        <f t="shared" si="1"/>
        <v>14.731818653387283</v>
      </c>
      <c r="V20" s="433">
        <f t="shared" si="7"/>
        <v>25.773910365008479</v>
      </c>
      <c r="W20" s="432">
        <v>0.2</v>
      </c>
      <c r="X20" s="431">
        <f t="shared" si="2"/>
        <v>0.42162337662337662</v>
      </c>
      <c r="Y20" s="431">
        <f t="shared" si="4"/>
        <v>9.1763279999999998</v>
      </c>
      <c r="Z20" s="431">
        <f t="shared" si="4"/>
        <v>12.362672</v>
      </c>
      <c r="AA20" s="431">
        <f t="shared" si="4"/>
        <v>135.184</v>
      </c>
      <c r="AB20" s="431">
        <f t="shared" si="5"/>
        <v>14.731818653387283</v>
      </c>
      <c r="AC20" s="431">
        <f t="shared" si="3"/>
        <v>25.773910365008479</v>
      </c>
      <c r="AD20" s="427">
        <v>31</v>
      </c>
      <c r="AE20" s="431">
        <f t="shared" si="6"/>
        <v>284.46616799999998</v>
      </c>
      <c r="AF20" s="434"/>
    </row>
    <row r="21" spans="1:32" ht="18.75" customHeight="1" x14ac:dyDescent="0.2">
      <c r="A21" s="427">
        <v>8</v>
      </c>
      <c r="B21" s="428" t="s">
        <v>146</v>
      </c>
      <c r="C21" s="427" t="s">
        <v>46</v>
      </c>
      <c r="D21" s="427">
        <v>764</v>
      </c>
      <c r="E21" s="436" t="s">
        <v>73</v>
      </c>
      <c r="F21" s="427">
        <v>177.8</v>
      </c>
      <c r="G21" s="427" t="s">
        <v>28</v>
      </c>
      <c r="H21" s="429" t="s">
        <v>52</v>
      </c>
      <c r="I21" s="437">
        <v>550</v>
      </c>
      <c r="J21" s="427" t="s">
        <v>248</v>
      </c>
      <c r="K21" s="438"/>
      <c r="L21" s="427">
        <v>282</v>
      </c>
      <c r="M21" s="438"/>
      <c r="N21" s="427">
        <v>8.5</v>
      </c>
      <c r="O21" s="438"/>
      <c r="P21" s="430">
        <v>36.57</v>
      </c>
      <c r="Q21" s="431">
        <f t="shared" si="0"/>
        <v>18.7</v>
      </c>
      <c r="R21" s="432">
        <v>2.0190000000000001</v>
      </c>
      <c r="S21" s="431">
        <v>12.698</v>
      </c>
      <c r="T21" s="431">
        <v>98</v>
      </c>
      <c r="U21" s="431">
        <f t="shared" si="1"/>
        <v>48.538880633977215</v>
      </c>
      <c r="V21" s="433">
        <f t="shared" si="7"/>
        <v>84.09985824539298</v>
      </c>
      <c r="W21" s="432">
        <v>0.6</v>
      </c>
      <c r="X21" s="431">
        <f t="shared" si="2"/>
        <v>0.67903743315508025</v>
      </c>
      <c r="Y21" s="431">
        <f t="shared" si="4"/>
        <v>1.922088</v>
      </c>
      <c r="Z21" s="431">
        <f t="shared" si="4"/>
        <v>12.088495999999999</v>
      </c>
      <c r="AA21" s="431">
        <f t="shared" si="4"/>
        <v>93.295999999999992</v>
      </c>
      <c r="AB21" s="431">
        <f t="shared" si="5"/>
        <v>48.538880633977215</v>
      </c>
      <c r="AC21" s="431">
        <f t="shared" si="3"/>
        <v>84.09985824539298</v>
      </c>
      <c r="AD21" s="427">
        <v>31</v>
      </c>
      <c r="AE21" s="431">
        <f t="shared" si="6"/>
        <v>59.584727999999998</v>
      </c>
      <c r="AF21" s="434"/>
    </row>
    <row r="22" spans="1:32" ht="18.75" customHeight="1" x14ac:dyDescent="0.2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9" t="s">
        <v>52</v>
      </c>
      <c r="I22" s="538">
        <v>591.98</v>
      </c>
      <c r="J22" s="427" t="s">
        <v>239</v>
      </c>
      <c r="K22" s="427"/>
      <c r="L22" s="427">
        <v>477</v>
      </c>
      <c r="M22" s="427"/>
      <c r="N22" s="427">
        <v>6.9</v>
      </c>
      <c r="O22" s="427"/>
      <c r="P22" s="430">
        <v>15.47</v>
      </c>
      <c r="Q22" s="431">
        <f t="shared" si="0"/>
        <v>22</v>
      </c>
      <c r="R22" s="432">
        <v>5.9429999999999996</v>
      </c>
      <c r="S22" s="431">
        <v>9.5120000000000005</v>
      </c>
      <c r="T22" s="431">
        <v>20</v>
      </c>
      <c r="U22" s="431">
        <f t="shared" si="1"/>
        <v>3.3653037186606092</v>
      </c>
      <c r="V22" s="433">
        <f t="shared" si="7"/>
        <v>37.521026072329697</v>
      </c>
      <c r="W22" s="432">
        <v>0.5</v>
      </c>
      <c r="X22" s="431">
        <v>0.2</v>
      </c>
      <c r="Y22" s="431">
        <f t="shared" si="4"/>
        <v>5.657735999999999</v>
      </c>
      <c r="Z22" s="431">
        <f t="shared" si="4"/>
        <v>9.0554240000000004</v>
      </c>
      <c r="AA22" s="431">
        <f t="shared" si="4"/>
        <v>19.04</v>
      </c>
      <c r="AB22" s="431">
        <f t="shared" si="5"/>
        <v>3.3653037186606092</v>
      </c>
      <c r="AC22" s="431">
        <f t="shared" si="3"/>
        <v>37.521026072329697</v>
      </c>
      <c r="AD22" s="427">
        <v>31</v>
      </c>
      <c r="AE22" s="431">
        <f t="shared" si="6"/>
        <v>175.38981599999997</v>
      </c>
      <c r="AF22" s="434"/>
    </row>
    <row r="23" spans="1:32" ht="18.75" customHeight="1" x14ac:dyDescent="0.2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9" t="s">
        <v>52</v>
      </c>
      <c r="I23" s="538">
        <v>585.29999999999995</v>
      </c>
      <c r="J23" s="427">
        <v>180</v>
      </c>
      <c r="K23" s="427"/>
      <c r="L23" s="427">
        <v>350</v>
      </c>
      <c r="M23" s="427"/>
      <c r="N23" s="427">
        <v>7.6</v>
      </c>
      <c r="O23" s="427"/>
      <c r="P23" s="430">
        <v>27.18</v>
      </c>
      <c r="Q23" s="431">
        <f t="shared" si="0"/>
        <v>39.6</v>
      </c>
      <c r="R23" s="432">
        <v>0.96899999999999997</v>
      </c>
      <c r="S23" s="431">
        <v>1.9930000000000001</v>
      </c>
      <c r="T23" s="431">
        <v>2</v>
      </c>
      <c r="U23" s="431">
        <f t="shared" si="1"/>
        <v>2.0639834881320951</v>
      </c>
      <c r="V23" s="433">
        <f t="shared" si="7"/>
        <v>51.379829402910183</v>
      </c>
      <c r="W23" s="432">
        <v>0.1</v>
      </c>
      <c r="X23" s="431">
        <f t="shared" si="2"/>
        <v>5.0328282828282826E-2</v>
      </c>
      <c r="Y23" s="431">
        <f t="shared" si="4"/>
        <v>0.92248799999999997</v>
      </c>
      <c r="Z23" s="431">
        <f t="shared" si="4"/>
        <v>1.8973359999999999</v>
      </c>
      <c r="AA23" s="431">
        <f t="shared" si="4"/>
        <v>1.9039999999999999</v>
      </c>
      <c r="AB23" s="431">
        <f t="shared" si="5"/>
        <v>2.0639834881320951</v>
      </c>
      <c r="AC23" s="431">
        <f t="shared" si="3"/>
        <v>51.379829402910183</v>
      </c>
      <c r="AD23" s="427">
        <v>0</v>
      </c>
      <c r="AE23" s="431">
        <f t="shared" si="6"/>
        <v>0</v>
      </c>
      <c r="AF23" s="439" t="s">
        <v>340</v>
      </c>
    </row>
    <row r="24" spans="1:32" ht="18.75" customHeight="1" x14ac:dyDescent="0.2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9" t="s">
        <v>53</v>
      </c>
      <c r="I24" s="538">
        <v>554.91</v>
      </c>
      <c r="J24" s="427">
        <v>140</v>
      </c>
      <c r="K24" s="427"/>
      <c r="L24" s="427">
        <v>396</v>
      </c>
      <c r="M24" s="427"/>
      <c r="N24" s="427">
        <v>4.5</v>
      </c>
      <c r="O24" s="427"/>
      <c r="P24" s="430">
        <v>21.42</v>
      </c>
      <c r="Q24" s="431">
        <f t="shared" si="0"/>
        <v>18.2</v>
      </c>
      <c r="R24" s="432">
        <v>4.0620000000000003</v>
      </c>
      <c r="S24" s="431">
        <v>6.2489999999999997</v>
      </c>
      <c r="T24" s="431">
        <v>16</v>
      </c>
      <c r="U24" s="431">
        <f t="shared" si="1"/>
        <v>3.9389463318562283</v>
      </c>
      <c r="V24" s="433">
        <f t="shared" si="7"/>
        <v>34.99759961593854</v>
      </c>
      <c r="W24" s="432">
        <v>0.4</v>
      </c>
      <c r="X24" s="431">
        <f t="shared" si="2"/>
        <v>0.34335164835164833</v>
      </c>
      <c r="Y24" s="431">
        <f t="shared" si="4"/>
        <v>3.8670240000000002</v>
      </c>
      <c r="Z24" s="431">
        <f t="shared" si="4"/>
        <v>5.9490479999999994</v>
      </c>
      <c r="AA24" s="431">
        <f t="shared" si="4"/>
        <v>15.231999999999999</v>
      </c>
      <c r="AB24" s="431">
        <f t="shared" si="5"/>
        <v>3.9389463318562283</v>
      </c>
      <c r="AC24" s="431">
        <f t="shared" si="3"/>
        <v>34.99759961593854</v>
      </c>
      <c r="AD24" s="427">
        <v>31</v>
      </c>
      <c r="AE24" s="431">
        <f t="shared" si="6"/>
        <v>119.87774400000001</v>
      </c>
      <c r="AF24" s="434"/>
    </row>
    <row r="25" spans="1:32" ht="18.75" customHeight="1" x14ac:dyDescent="0.2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9" t="s">
        <v>52</v>
      </c>
      <c r="I25" s="538">
        <v>553.5</v>
      </c>
      <c r="J25" s="427">
        <v>280</v>
      </c>
      <c r="K25" s="427"/>
      <c r="L25" s="427">
        <v>344</v>
      </c>
      <c r="M25" s="427"/>
      <c r="N25" s="427">
        <v>7.4</v>
      </c>
      <c r="O25" s="427"/>
      <c r="P25" s="430">
        <v>28.26</v>
      </c>
      <c r="Q25" s="431">
        <f t="shared" si="0"/>
        <v>61.6</v>
      </c>
      <c r="R25" s="432">
        <v>18.213999999999999</v>
      </c>
      <c r="S25" s="431">
        <v>27.033999999999999</v>
      </c>
      <c r="T25" s="431">
        <v>405</v>
      </c>
      <c r="U25" s="431">
        <f t="shared" si="1"/>
        <v>22.23564291204568</v>
      </c>
      <c r="V25" s="433">
        <f t="shared" si="7"/>
        <v>32.625582599689281</v>
      </c>
      <c r="W25" s="432">
        <v>0.2</v>
      </c>
      <c r="X25" s="431">
        <f t="shared" si="2"/>
        <v>0.43886363636363634</v>
      </c>
      <c r="Y25" s="431">
        <f t="shared" si="4"/>
        <v>17.339727999999997</v>
      </c>
      <c r="Z25" s="431">
        <f t="shared" si="4"/>
        <v>25.736367999999999</v>
      </c>
      <c r="AA25" s="431">
        <f t="shared" si="4"/>
        <v>385.56</v>
      </c>
      <c r="AB25" s="431">
        <f t="shared" si="5"/>
        <v>22.23564291204568</v>
      </c>
      <c r="AC25" s="431">
        <f t="shared" si="3"/>
        <v>32.625582599689281</v>
      </c>
      <c r="AD25" s="427">
        <v>31</v>
      </c>
      <c r="AE25" s="431">
        <f t="shared" si="6"/>
        <v>537.53156799999988</v>
      </c>
      <c r="AF25" s="434"/>
    </row>
    <row r="26" spans="1:32" ht="18.75" customHeight="1" x14ac:dyDescent="0.2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9" t="s">
        <v>49</v>
      </c>
      <c r="I26" s="538">
        <v>525.03</v>
      </c>
      <c r="J26" s="427" t="s">
        <v>322</v>
      </c>
      <c r="K26" s="427"/>
      <c r="L26" s="427">
        <v>333</v>
      </c>
      <c r="M26" s="427"/>
      <c r="N26" s="427">
        <v>7.4</v>
      </c>
      <c r="O26" s="427"/>
      <c r="P26" s="430">
        <v>26.56</v>
      </c>
      <c r="Q26" s="431">
        <f t="shared" si="0"/>
        <v>38.4</v>
      </c>
      <c r="R26" s="432">
        <v>16.64</v>
      </c>
      <c r="S26" s="431">
        <v>26.936</v>
      </c>
      <c r="T26" s="431">
        <v>224</v>
      </c>
      <c r="U26" s="431">
        <f t="shared" si="1"/>
        <v>13.461538461538462</v>
      </c>
      <c r="V26" s="433">
        <f t="shared" si="7"/>
        <v>38.223938223938219</v>
      </c>
      <c r="W26" s="432">
        <v>0.2</v>
      </c>
      <c r="X26" s="431">
        <f t="shared" si="2"/>
        <v>0.70145833333333341</v>
      </c>
      <c r="Y26" s="431">
        <f t="shared" si="4"/>
        <v>15.841279999999999</v>
      </c>
      <c r="Z26" s="431">
        <f t="shared" si="4"/>
        <v>25.643072</v>
      </c>
      <c r="AA26" s="431">
        <f t="shared" si="4"/>
        <v>213.24799999999999</v>
      </c>
      <c r="AB26" s="431">
        <f t="shared" si="5"/>
        <v>13.461538461538462</v>
      </c>
      <c r="AC26" s="431">
        <f t="shared" si="3"/>
        <v>38.223938223938219</v>
      </c>
      <c r="AD26" s="427">
        <v>31</v>
      </c>
      <c r="AE26" s="431">
        <f t="shared" si="6"/>
        <v>491.07968</v>
      </c>
      <c r="AF26" s="434"/>
    </row>
    <row r="27" spans="1:32" ht="18.75" customHeight="1" x14ac:dyDescent="0.2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9" t="s">
        <v>52</v>
      </c>
      <c r="I27" s="437">
        <v>522</v>
      </c>
      <c r="J27" s="427" t="s">
        <v>257</v>
      </c>
      <c r="K27" s="427"/>
      <c r="L27" s="427">
        <v>438</v>
      </c>
      <c r="M27" s="427"/>
      <c r="N27" s="427">
        <v>9.4</v>
      </c>
      <c r="O27" s="427"/>
      <c r="P27" s="430">
        <v>18.52</v>
      </c>
      <c r="Q27" s="431">
        <f t="shared" si="0"/>
        <v>79.2</v>
      </c>
      <c r="R27" s="432">
        <v>11.853999999999999</v>
      </c>
      <c r="S27" s="431">
        <v>19.544</v>
      </c>
      <c r="T27" s="530">
        <v>4822</v>
      </c>
      <c r="U27" s="431">
        <f t="shared" si="1"/>
        <v>406.78252066812894</v>
      </c>
      <c r="V27" s="433">
        <f t="shared" si="7"/>
        <v>39.347114203847731</v>
      </c>
      <c r="W27" s="432">
        <v>0.2</v>
      </c>
      <c r="X27" s="431">
        <f t="shared" si="2"/>
        <v>0.24676767676767677</v>
      </c>
      <c r="Y27" s="431">
        <f t="shared" si="4"/>
        <v>11.285007999999999</v>
      </c>
      <c r="Z27" s="431">
        <f t="shared" si="4"/>
        <v>18.605888</v>
      </c>
      <c r="AA27" s="530">
        <f t="shared" si="4"/>
        <v>4590.5439999999999</v>
      </c>
      <c r="AB27" s="431">
        <f t="shared" si="5"/>
        <v>406.78252066812894</v>
      </c>
      <c r="AC27" s="431">
        <f t="shared" si="3"/>
        <v>39.347114203847731</v>
      </c>
      <c r="AD27" s="427">
        <v>31</v>
      </c>
      <c r="AE27" s="431">
        <f t="shared" si="6"/>
        <v>349.83524799999998</v>
      </c>
      <c r="AF27" s="434"/>
    </row>
    <row r="28" spans="1:32" ht="18.75" customHeight="1" x14ac:dyDescent="0.2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9" t="s">
        <v>48</v>
      </c>
      <c r="I28" s="538">
        <v>570.95000000000005</v>
      </c>
      <c r="J28" s="427" t="s">
        <v>248</v>
      </c>
      <c r="K28" s="427"/>
      <c r="L28" s="427">
        <v>456</v>
      </c>
      <c r="M28" s="427"/>
      <c r="N28" s="427">
        <v>7.8</v>
      </c>
      <c r="O28" s="427"/>
      <c r="P28" s="430">
        <v>19.55</v>
      </c>
      <c r="Q28" s="431">
        <f t="shared" si="0"/>
        <v>11.05</v>
      </c>
      <c r="R28" s="432">
        <v>3.2589999999999999</v>
      </c>
      <c r="S28" s="431">
        <v>5.5540000000000003</v>
      </c>
      <c r="T28" s="431">
        <v>21</v>
      </c>
      <c r="U28" s="431">
        <f t="shared" si="1"/>
        <v>6.4436943847806081</v>
      </c>
      <c r="V28" s="433">
        <f t="shared" si="7"/>
        <v>41.321570039611096</v>
      </c>
      <c r="W28" s="432">
        <v>0.3</v>
      </c>
      <c r="X28" s="431">
        <f t="shared" si="2"/>
        <v>0.50262443438914028</v>
      </c>
      <c r="Y28" s="431">
        <f t="shared" si="4"/>
        <v>3.1025679999999998</v>
      </c>
      <c r="Z28" s="431">
        <f t="shared" si="4"/>
        <v>5.2874080000000001</v>
      </c>
      <c r="AA28" s="431">
        <f t="shared" si="4"/>
        <v>19.991999999999997</v>
      </c>
      <c r="AB28" s="431">
        <f t="shared" si="5"/>
        <v>6.4436943847806081</v>
      </c>
      <c r="AC28" s="431">
        <f t="shared" si="3"/>
        <v>41.321570039611096</v>
      </c>
      <c r="AD28" s="427">
        <v>31</v>
      </c>
      <c r="AE28" s="431">
        <f>Y28*AD28</f>
        <v>96.179607999999988</v>
      </c>
      <c r="AF28" s="439"/>
    </row>
    <row r="29" spans="1:32" ht="18.75" customHeight="1" x14ac:dyDescent="0.2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 t="s">
        <v>250</v>
      </c>
      <c r="K29" s="428"/>
      <c r="L29" s="428">
        <v>508</v>
      </c>
      <c r="M29" s="428"/>
      <c r="N29" s="428">
        <v>10.7</v>
      </c>
      <c r="O29" s="428"/>
      <c r="P29" s="441">
        <v>15.44</v>
      </c>
      <c r="Q29" s="428">
        <f t="shared" si="0"/>
        <v>96</v>
      </c>
      <c r="R29" s="442">
        <v>19.616</v>
      </c>
      <c r="S29" s="431">
        <v>22.190999999999999</v>
      </c>
      <c r="T29" s="428">
        <v>797</v>
      </c>
      <c r="U29" s="442">
        <f t="shared" si="1"/>
        <v>40.630097879282218</v>
      </c>
      <c r="V29" s="433">
        <f t="shared" si="7"/>
        <v>11.603803343697892</v>
      </c>
      <c r="W29" s="428">
        <v>0.3</v>
      </c>
      <c r="X29" s="442">
        <f t="shared" si="2"/>
        <v>0.23115624999999998</v>
      </c>
      <c r="Y29" s="431">
        <f t="shared" si="4"/>
        <v>18.674431999999999</v>
      </c>
      <c r="Z29" s="431">
        <f t="shared" si="4"/>
        <v>21.125831999999999</v>
      </c>
      <c r="AA29" s="431">
        <f t="shared" si="4"/>
        <v>758.74399999999991</v>
      </c>
      <c r="AB29" s="442">
        <f t="shared" si="5"/>
        <v>40.630097879282218</v>
      </c>
      <c r="AC29" s="442">
        <f t="shared" si="3"/>
        <v>11.603803343697892</v>
      </c>
      <c r="AD29" s="427">
        <v>31</v>
      </c>
      <c r="AE29" s="442">
        <f>Y29*AD29</f>
        <v>578.90739199999996</v>
      </c>
      <c r="AF29" s="428"/>
    </row>
    <row r="30" spans="1:32" ht="18.75" customHeight="1" x14ac:dyDescent="0.2">
      <c r="A30" s="427">
        <v>17</v>
      </c>
      <c r="B30" s="428" t="s">
        <v>154</v>
      </c>
      <c r="C30" s="427" t="s">
        <v>46</v>
      </c>
      <c r="D30" s="443">
        <v>615</v>
      </c>
      <c r="E30" s="436" t="s">
        <v>204</v>
      </c>
      <c r="F30" s="427">
        <v>177.8</v>
      </c>
      <c r="G30" s="427" t="s">
        <v>28</v>
      </c>
      <c r="H30" s="429" t="s">
        <v>48</v>
      </c>
      <c r="I30" s="437">
        <v>605.78</v>
      </c>
      <c r="J30" s="427">
        <v>0</v>
      </c>
      <c r="K30" s="435">
        <v>166</v>
      </c>
      <c r="L30" s="427"/>
      <c r="M30" s="427">
        <v>10</v>
      </c>
      <c r="N30" s="427"/>
      <c r="O30" s="427"/>
      <c r="P30" s="444">
        <v>50.234069408163258</v>
      </c>
      <c r="Q30" s="431">
        <v>0</v>
      </c>
      <c r="R30" s="432"/>
      <c r="S30" s="431"/>
      <c r="T30" s="431"/>
      <c r="U30" s="442">
        <v>0</v>
      </c>
      <c r="V30" s="433">
        <v>0</v>
      </c>
      <c r="W30" s="431"/>
      <c r="X30" s="442">
        <v>0</v>
      </c>
      <c r="Y30" s="431">
        <f t="shared" si="4"/>
        <v>0</v>
      </c>
      <c r="Z30" s="431">
        <f t="shared" si="4"/>
        <v>0</v>
      </c>
      <c r="AA30" s="431">
        <f t="shared" si="4"/>
        <v>0</v>
      </c>
      <c r="AB30" s="431">
        <v>0</v>
      </c>
      <c r="AC30" s="442">
        <f t="shared" si="3"/>
        <v>0</v>
      </c>
      <c r="AD30" s="427">
        <v>0</v>
      </c>
      <c r="AE30" s="431">
        <v>0</v>
      </c>
      <c r="AF30" s="434" t="s">
        <v>334</v>
      </c>
    </row>
    <row r="31" spans="1:32" ht="18.75" customHeight="1" x14ac:dyDescent="0.2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9" t="s">
        <v>48</v>
      </c>
      <c r="I31" s="538">
        <v>561.19000000000005</v>
      </c>
      <c r="J31" s="427" t="s">
        <v>240</v>
      </c>
      <c r="K31" s="435">
        <v>112</v>
      </c>
      <c r="L31" s="427"/>
      <c r="M31" s="427">
        <v>0.9</v>
      </c>
      <c r="N31" s="427"/>
      <c r="O31" s="427"/>
      <c r="P31" s="430">
        <v>47.414156906326525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42">
        <v>0</v>
      </c>
      <c r="V31" s="433">
        <v>0</v>
      </c>
      <c r="W31" s="432">
        <v>0</v>
      </c>
      <c r="X31" s="442">
        <v>0</v>
      </c>
      <c r="Y31" s="431">
        <f t="shared" ref="Y31:AA75" si="8">R31*0.952</f>
        <v>0</v>
      </c>
      <c r="Z31" s="431">
        <f t="shared" si="8"/>
        <v>0</v>
      </c>
      <c r="AA31" s="431">
        <f t="shared" si="8"/>
        <v>0</v>
      </c>
      <c r="AB31" s="431">
        <f>U31</f>
        <v>0</v>
      </c>
      <c r="AC31" s="442">
        <f t="shared" si="3"/>
        <v>0</v>
      </c>
      <c r="AD31" s="427">
        <v>0</v>
      </c>
      <c r="AE31" s="431">
        <f t="shared" si="6"/>
        <v>0</v>
      </c>
      <c r="AF31" s="434" t="s">
        <v>335</v>
      </c>
    </row>
    <row r="32" spans="1:32" ht="18.75" customHeight="1" x14ac:dyDescent="0.2">
      <c r="A32" s="427">
        <v>19</v>
      </c>
      <c r="B32" s="428" t="s">
        <v>39</v>
      </c>
      <c r="C32" s="427" t="s">
        <v>46</v>
      </c>
      <c r="D32" s="427">
        <v>575.20000000000005</v>
      </c>
      <c r="E32" s="427" t="s">
        <v>85</v>
      </c>
      <c r="F32" s="427">
        <v>177.8</v>
      </c>
      <c r="G32" s="427" t="s">
        <v>28</v>
      </c>
      <c r="H32" s="429" t="s">
        <v>51</v>
      </c>
      <c r="I32" s="538">
        <v>571.29</v>
      </c>
      <c r="J32" s="427">
        <v>115</v>
      </c>
      <c r="K32" s="427"/>
      <c r="L32" s="427">
        <v>298</v>
      </c>
      <c r="M32" s="435"/>
      <c r="N32" s="427">
        <v>0.9</v>
      </c>
      <c r="O32" s="427"/>
      <c r="P32" s="430">
        <v>25.31</v>
      </c>
      <c r="Q32" s="431">
        <f t="shared" si="0"/>
        <v>25.3</v>
      </c>
      <c r="R32" s="432">
        <v>6.0629999999999997</v>
      </c>
      <c r="S32" s="431">
        <v>16.254000000000001</v>
      </c>
      <c r="T32" s="431">
        <v>84</v>
      </c>
      <c r="U32" s="442">
        <f t="shared" si="1"/>
        <v>13.854527461652648</v>
      </c>
      <c r="V32" s="433">
        <f t="shared" si="7"/>
        <v>62.69841269841271</v>
      </c>
      <c r="W32" s="432">
        <v>0.2</v>
      </c>
      <c r="X32" s="442">
        <f t="shared" si="2"/>
        <v>0.64245059288537554</v>
      </c>
      <c r="Y32" s="431">
        <f t="shared" si="8"/>
        <v>5.7719759999999996</v>
      </c>
      <c r="Z32" s="431">
        <f t="shared" si="8"/>
        <v>15.473808</v>
      </c>
      <c r="AA32" s="431">
        <f t="shared" si="8"/>
        <v>79.967999999999989</v>
      </c>
      <c r="AB32" s="431">
        <f t="shared" si="5"/>
        <v>13.854527461652648</v>
      </c>
      <c r="AC32" s="442">
        <f t="shared" si="3"/>
        <v>62.69841269841271</v>
      </c>
      <c r="AD32" s="427">
        <v>31</v>
      </c>
      <c r="AE32" s="431">
        <f t="shared" si="6"/>
        <v>178.93125599999999</v>
      </c>
      <c r="AF32" s="434"/>
    </row>
    <row r="33" spans="1:32" ht="18.75" customHeight="1" x14ac:dyDescent="0.2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9" t="s">
        <v>48</v>
      </c>
      <c r="I33" s="538">
        <v>588.04999999999995</v>
      </c>
      <c r="J33" s="427" t="s">
        <v>240</v>
      </c>
      <c r="K33" s="435">
        <v>153</v>
      </c>
      <c r="L33" s="427"/>
      <c r="M33" s="427">
        <v>0.3</v>
      </c>
      <c r="N33" s="427"/>
      <c r="O33" s="427"/>
      <c r="P33" s="430">
        <v>42.422771683061214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42">
        <v>0</v>
      </c>
      <c r="Y33" s="431">
        <f t="shared" si="8"/>
        <v>0</v>
      </c>
      <c r="Z33" s="431">
        <f t="shared" si="8"/>
        <v>0</v>
      </c>
      <c r="AA33" s="431">
        <f t="shared" si="8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ht="18.75" customHeight="1" x14ac:dyDescent="0.2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9" t="s">
        <v>52</v>
      </c>
      <c r="I34" s="538">
        <v>554.30999999999995</v>
      </c>
      <c r="J34" s="427">
        <v>310</v>
      </c>
      <c r="K34" s="427"/>
      <c r="L34" s="427">
        <v>477</v>
      </c>
      <c r="M34" s="427"/>
      <c r="N34" s="427">
        <v>7.3</v>
      </c>
      <c r="O34" s="427"/>
      <c r="P34" s="430">
        <v>13.87</v>
      </c>
      <c r="Q34" s="431">
        <f t="shared" si="0"/>
        <v>68.2</v>
      </c>
      <c r="R34" s="432">
        <v>9.0820000000000007</v>
      </c>
      <c r="S34" s="431">
        <v>10.222</v>
      </c>
      <c r="T34" s="431">
        <v>357</v>
      </c>
      <c r="U34" s="431">
        <f t="shared" si="1"/>
        <v>39.308522351904863</v>
      </c>
      <c r="V34" s="433">
        <f t="shared" si="7"/>
        <v>11.152416356877312</v>
      </c>
      <c r="W34" s="432">
        <v>0.18</v>
      </c>
      <c r="X34" s="431">
        <f t="shared" si="2"/>
        <v>0.14988269794721407</v>
      </c>
      <c r="Y34" s="431">
        <f t="shared" si="8"/>
        <v>8.6460640000000009</v>
      </c>
      <c r="Z34" s="431">
        <f t="shared" si="8"/>
        <v>9.731344</v>
      </c>
      <c r="AA34" s="431">
        <f t="shared" si="8"/>
        <v>339.86399999999998</v>
      </c>
      <c r="AB34" s="431">
        <v>89.536086956521729</v>
      </c>
      <c r="AC34" s="431">
        <v>26</v>
      </c>
      <c r="AD34" s="427">
        <v>31</v>
      </c>
      <c r="AE34" s="431">
        <f t="shared" si="6"/>
        <v>268.027984</v>
      </c>
      <c r="AF34" s="445"/>
    </row>
    <row r="35" spans="1:32" ht="18.75" customHeight="1" x14ac:dyDescent="0.2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9" t="s">
        <v>48</v>
      </c>
      <c r="I35" s="538">
        <v>589.66</v>
      </c>
      <c r="J35" s="427" t="s">
        <v>246</v>
      </c>
      <c r="K35" s="427"/>
      <c r="L35" s="427">
        <v>472</v>
      </c>
      <c r="M35" s="427"/>
      <c r="N35" s="427">
        <v>8.6999999999999993</v>
      </c>
      <c r="O35" s="427"/>
      <c r="P35" s="430">
        <v>18.3</v>
      </c>
      <c r="Q35" s="431">
        <f t="shared" si="0"/>
        <v>16.25</v>
      </c>
      <c r="R35" s="432">
        <v>5.1619999999999999</v>
      </c>
      <c r="S35" s="431">
        <v>10.231999999999999</v>
      </c>
      <c r="T35" s="431">
        <v>13</v>
      </c>
      <c r="U35" s="431">
        <f t="shared" si="1"/>
        <v>2.5184037194885702</v>
      </c>
      <c r="V35" s="433">
        <f t="shared" si="7"/>
        <v>49.550430023455824</v>
      </c>
      <c r="W35" s="432">
        <v>0.8</v>
      </c>
      <c r="X35" s="431">
        <f t="shared" si="2"/>
        <v>0.62966153846153838</v>
      </c>
      <c r="Y35" s="431">
        <f t="shared" si="8"/>
        <v>4.9142239999999999</v>
      </c>
      <c r="Z35" s="431">
        <f t="shared" si="8"/>
        <v>9.7408639999999984</v>
      </c>
      <c r="AA35" s="431">
        <f t="shared" si="8"/>
        <v>12.375999999999999</v>
      </c>
      <c r="AB35" s="431">
        <f t="shared" si="5"/>
        <v>2.5184037194885702</v>
      </c>
      <c r="AC35" s="431">
        <f t="shared" si="3"/>
        <v>49.550430023455824</v>
      </c>
      <c r="AD35" s="427">
        <v>31</v>
      </c>
      <c r="AE35" s="431">
        <f t="shared" si="6"/>
        <v>152.34094400000001</v>
      </c>
      <c r="AF35" s="439"/>
    </row>
    <row r="36" spans="1:32" ht="18.75" customHeight="1" x14ac:dyDescent="0.2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9" t="s">
        <v>52</v>
      </c>
      <c r="I36" s="446">
        <v>551.13</v>
      </c>
      <c r="J36" s="427" t="s">
        <v>248</v>
      </c>
      <c r="K36" s="427"/>
      <c r="L36" s="427">
        <v>441</v>
      </c>
      <c r="M36" s="427"/>
      <c r="N36" s="427">
        <v>7.6</v>
      </c>
      <c r="O36" s="427"/>
      <c r="P36" s="430">
        <v>19.920000000000002</v>
      </c>
      <c r="Q36" s="431">
        <f t="shared" si="0"/>
        <v>18.7</v>
      </c>
      <c r="R36" s="432">
        <v>1.7589999999999999</v>
      </c>
      <c r="S36" s="431">
        <v>10.302</v>
      </c>
      <c r="T36" s="431">
        <v>47</v>
      </c>
      <c r="U36" s="431">
        <f t="shared" si="1"/>
        <v>26.719727117680502</v>
      </c>
      <c r="V36" s="433">
        <f t="shared" si="7"/>
        <v>82.925645505727047</v>
      </c>
      <c r="W36" s="432">
        <v>0.3</v>
      </c>
      <c r="X36" s="431">
        <f t="shared" si="2"/>
        <v>0.5509090909090909</v>
      </c>
      <c r="Y36" s="431">
        <f t="shared" si="8"/>
        <v>1.6745679999999998</v>
      </c>
      <c r="Z36" s="431">
        <f t="shared" si="8"/>
        <v>9.8075039999999998</v>
      </c>
      <c r="AA36" s="431">
        <f t="shared" si="8"/>
        <v>44.744</v>
      </c>
      <c r="AB36" s="431">
        <f t="shared" si="5"/>
        <v>26.719727117680502</v>
      </c>
      <c r="AC36" s="431">
        <f t="shared" si="3"/>
        <v>82.925645505727047</v>
      </c>
      <c r="AD36" s="427">
        <v>31</v>
      </c>
      <c r="AE36" s="431">
        <f t="shared" si="6"/>
        <v>51.911607999999994</v>
      </c>
      <c r="AF36" s="434"/>
    </row>
    <row r="37" spans="1:32" ht="18.75" customHeight="1" x14ac:dyDescent="0.2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9" t="s">
        <v>52</v>
      </c>
      <c r="I37" s="446">
        <v>592.85</v>
      </c>
      <c r="J37" s="427">
        <v>260</v>
      </c>
      <c r="K37" s="427"/>
      <c r="L37" s="427">
        <v>252</v>
      </c>
      <c r="M37" s="427"/>
      <c r="N37" s="427">
        <v>9.3000000000000007</v>
      </c>
      <c r="O37" s="427"/>
      <c r="P37" s="430">
        <v>39.76</v>
      </c>
      <c r="Q37" s="431">
        <f t="shared" si="0"/>
        <v>57.2</v>
      </c>
      <c r="R37" s="432">
        <v>17.751999999999999</v>
      </c>
      <c r="S37" s="431">
        <v>41.7</v>
      </c>
      <c r="T37" s="431">
        <v>215</v>
      </c>
      <c r="U37" s="431">
        <f t="shared" si="1"/>
        <v>12.111311401532223</v>
      </c>
      <c r="V37" s="433">
        <f t="shared" si="7"/>
        <v>57.42925659472423</v>
      </c>
      <c r="W37" s="432">
        <v>0.2</v>
      </c>
      <c r="X37" s="431">
        <f t="shared" si="2"/>
        <v>0.72902097902097907</v>
      </c>
      <c r="Y37" s="431">
        <f t="shared" si="8"/>
        <v>16.899903999999999</v>
      </c>
      <c r="Z37" s="431">
        <f t="shared" si="8"/>
        <v>39.698399999999999</v>
      </c>
      <c r="AA37" s="431">
        <f t="shared" si="8"/>
        <v>204.67999999999998</v>
      </c>
      <c r="AB37" s="431">
        <f t="shared" si="5"/>
        <v>12.111311401532223</v>
      </c>
      <c r="AC37" s="431">
        <f t="shared" si="3"/>
        <v>57.42925659472423</v>
      </c>
      <c r="AD37" s="427">
        <v>31</v>
      </c>
      <c r="AE37" s="431">
        <f t="shared" si="6"/>
        <v>523.89702399999999</v>
      </c>
      <c r="AF37" s="434"/>
    </row>
    <row r="38" spans="1:32" ht="18.75" customHeight="1" x14ac:dyDescent="0.2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9" t="s">
        <v>52</v>
      </c>
      <c r="I38" s="538">
        <v>592.95000000000005</v>
      </c>
      <c r="J38" s="427" t="s">
        <v>323</v>
      </c>
      <c r="K38" s="427"/>
      <c r="L38" s="427">
        <v>498</v>
      </c>
      <c r="M38" s="427"/>
      <c r="N38" s="427">
        <v>8.6</v>
      </c>
      <c r="O38" s="427"/>
      <c r="P38" s="430">
        <v>15.08</v>
      </c>
      <c r="Q38" s="431">
        <f>LEFT(H38,(FIND("K",H38,1)-1))*J38/100</f>
        <v>64.900000000000006</v>
      </c>
      <c r="R38" s="432">
        <v>13.125</v>
      </c>
      <c r="S38" s="431">
        <v>25.39</v>
      </c>
      <c r="T38" s="431">
        <v>510</v>
      </c>
      <c r="U38" s="431">
        <f t="shared" si="1"/>
        <v>38.857142857142854</v>
      </c>
      <c r="V38" s="433">
        <f t="shared" si="7"/>
        <v>48.306419850334784</v>
      </c>
      <c r="W38" s="432">
        <v>0.2</v>
      </c>
      <c r="X38" s="431">
        <f t="shared" si="2"/>
        <v>0.39121725731895218</v>
      </c>
      <c r="Y38" s="431">
        <f t="shared" si="8"/>
        <v>12.494999999999999</v>
      </c>
      <c r="Z38" s="431">
        <f t="shared" si="8"/>
        <v>24.171279999999999</v>
      </c>
      <c r="AA38" s="431">
        <f t="shared" si="8"/>
        <v>485.52</v>
      </c>
      <c r="AB38" s="431">
        <f t="shared" si="5"/>
        <v>38.857142857142854</v>
      </c>
      <c r="AC38" s="431">
        <f t="shared" si="3"/>
        <v>48.306419850334784</v>
      </c>
      <c r="AD38" s="427">
        <v>31</v>
      </c>
      <c r="AE38" s="431">
        <f t="shared" si="6"/>
        <v>387.34499999999997</v>
      </c>
      <c r="AF38" s="434"/>
    </row>
    <row r="39" spans="1:32" ht="18.75" customHeight="1" x14ac:dyDescent="0.2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9" t="s">
        <v>212</v>
      </c>
      <c r="I39" s="538">
        <v>547.65</v>
      </c>
      <c r="J39" s="427" t="s">
        <v>322</v>
      </c>
      <c r="K39" s="427"/>
      <c r="L39" s="427">
        <v>416</v>
      </c>
      <c r="M39" s="427"/>
      <c r="N39" s="427">
        <v>8.1</v>
      </c>
      <c r="O39" s="427"/>
      <c r="P39" s="430">
        <v>21.18</v>
      </c>
      <c r="Q39" s="431">
        <f t="shared" ref="Q39:Q73" si="9">LEFT(H39,(FIND("K",H39,1)-1))*J39/100</f>
        <v>9.6</v>
      </c>
      <c r="R39" s="432">
        <v>5.8029999999999999</v>
      </c>
      <c r="S39" s="431">
        <v>6.9720000000000004</v>
      </c>
      <c r="T39" s="431">
        <v>25.2</v>
      </c>
      <c r="U39" s="431">
        <f t="shared" si="1"/>
        <v>4.3425814234016888</v>
      </c>
      <c r="V39" s="433">
        <f t="shared" si="7"/>
        <v>16.767068273092374</v>
      </c>
      <c r="W39" s="432">
        <v>0.9</v>
      </c>
      <c r="X39" s="431">
        <f t="shared" si="2"/>
        <v>0.72625000000000006</v>
      </c>
      <c r="Y39" s="431">
        <f t="shared" si="8"/>
        <v>5.5244559999999998</v>
      </c>
      <c r="Z39" s="431">
        <f t="shared" si="8"/>
        <v>6.6373439999999997</v>
      </c>
      <c r="AA39" s="431">
        <f t="shared" si="8"/>
        <v>23.990399999999998</v>
      </c>
      <c r="AB39" s="431">
        <f t="shared" si="5"/>
        <v>4.3425814234016888</v>
      </c>
      <c r="AC39" s="431">
        <f t="shared" si="3"/>
        <v>16.767068273092374</v>
      </c>
      <c r="AD39" s="427">
        <v>31</v>
      </c>
      <c r="AE39" s="431">
        <f t="shared" si="6"/>
        <v>171.25813600000001</v>
      </c>
      <c r="AF39" s="434"/>
    </row>
    <row r="40" spans="1:32" ht="18.75" customHeight="1" x14ac:dyDescent="0.2">
      <c r="A40" s="427">
        <v>27</v>
      </c>
      <c r="B40" s="540" t="s">
        <v>161</v>
      </c>
      <c r="C40" s="427" t="s">
        <v>46</v>
      </c>
      <c r="D40" s="538">
        <v>677</v>
      </c>
      <c r="E40" s="429" t="s">
        <v>178</v>
      </c>
      <c r="F40" s="427">
        <v>177.8</v>
      </c>
      <c r="G40" s="427" t="s">
        <v>28</v>
      </c>
      <c r="H40" s="429" t="s">
        <v>52</v>
      </c>
      <c r="I40" s="538">
        <v>535.41</v>
      </c>
      <c r="J40" s="538" t="s">
        <v>324</v>
      </c>
      <c r="K40" s="538"/>
      <c r="L40" s="538">
        <v>462</v>
      </c>
      <c r="M40" s="538"/>
      <c r="N40" s="427">
        <v>7.2</v>
      </c>
      <c r="O40" s="538"/>
      <c r="P40" s="448">
        <v>15.29</v>
      </c>
      <c r="Q40" s="431">
        <f t="shared" si="9"/>
        <v>28.6</v>
      </c>
      <c r="R40" s="432">
        <v>5.4729999999999999</v>
      </c>
      <c r="S40" s="431">
        <v>7.6449999999999996</v>
      </c>
      <c r="T40" s="437">
        <v>457</v>
      </c>
      <c r="U40" s="431">
        <f t="shared" si="1"/>
        <v>83.500822218161886</v>
      </c>
      <c r="V40" s="433">
        <f t="shared" si="7"/>
        <v>28.410725964682797</v>
      </c>
      <c r="W40" s="432">
        <v>0.2</v>
      </c>
      <c r="X40" s="431">
        <f t="shared" si="2"/>
        <v>0.2673076923076923</v>
      </c>
      <c r="Y40" s="431">
        <f t="shared" si="8"/>
        <v>5.2102959999999996</v>
      </c>
      <c r="Z40" s="431">
        <f t="shared" si="8"/>
        <v>7.278039999999999</v>
      </c>
      <c r="AA40" s="431">
        <f t="shared" si="8"/>
        <v>435.06399999999996</v>
      </c>
      <c r="AB40" s="431">
        <f t="shared" si="5"/>
        <v>83.500822218161886</v>
      </c>
      <c r="AC40" s="431">
        <f t="shared" si="3"/>
        <v>28.410725964682797</v>
      </c>
      <c r="AD40" s="427">
        <v>31</v>
      </c>
      <c r="AE40" s="431">
        <f t="shared" si="6"/>
        <v>161.51917599999999</v>
      </c>
      <c r="AF40" s="449"/>
    </row>
    <row r="41" spans="1:32" ht="18.75" customHeight="1" x14ac:dyDescent="0.2">
      <c r="A41" s="427">
        <v>28</v>
      </c>
      <c r="B41" s="540" t="s">
        <v>162</v>
      </c>
      <c r="C41" s="427" t="s">
        <v>46</v>
      </c>
      <c r="D41" s="538">
        <v>676</v>
      </c>
      <c r="E41" s="429" t="s">
        <v>180</v>
      </c>
      <c r="F41" s="427">
        <v>177.8</v>
      </c>
      <c r="G41" s="427" t="s">
        <v>28</v>
      </c>
      <c r="H41" s="429" t="s">
        <v>50</v>
      </c>
      <c r="I41" s="538">
        <v>545.42999999999995</v>
      </c>
      <c r="J41" s="538" t="s">
        <v>240</v>
      </c>
      <c r="K41" s="424">
        <v>75</v>
      </c>
      <c r="L41" s="427">
        <v>0</v>
      </c>
      <c r="M41" s="538">
        <v>1</v>
      </c>
      <c r="N41" s="427"/>
      <c r="O41" s="538"/>
      <c r="P41" s="448">
        <v>49.031288666406638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8"/>
        <v>0</v>
      </c>
      <c r="Z41" s="431">
        <f t="shared" si="8"/>
        <v>0</v>
      </c>
      <c r="AA41" s="431">
        <f t="shared" si="8"/>
        <v>0</v>
      </c>
      <c r="AB41" s="431">
        <f t="shared" si="5"/>
        <v>0</v>
      </c>
      <c r="AC41" s="431">
        <f t="shared" si="3"/>
        <v>0</v>
      </c>
      <c r="AD41" s="427">
        <v>0</v>
      </c>
      <c r="AE41" s="431">
        <f t="shared" si="6"/>
        <v>0</v>
      </c>
      <c r="AF41" s="449" t="s">
        <v>335</v>
      </c>
    </row>
    <row r="42" spans="1:32" ht="18.75" customHeight="1" x14ac:dyDescent="0.2">
      <c r="A42" s="427">
        <v>29</v>
      </c>
      <c r="B42" s="540" t="s">
        <v>163</v>
      </c>
      <c r="C42" s="427" t="s">
        <v>46</v>
      </c>
      <c r="D42" s="538">
        <v>677.27</v>
      </c>
      <c r="E42" s="429" t="s">
        <v>194</v>
      </c>
      <c r="F42" s="427">
        <v>177.8</v>
      </c>
      <c r="G42" s="427" t="s">
        <v>28</v>
      </c>
      <c r="H42" s="429" t="s">
        <v>187</v>
      </c>
      <c r="I42" s="538">
        <v>553.82000000000005</v>
      </c>
      <c r="J42" s="538">
        <v>190</v>
      </c>
      <c r="K42" s="538"/>
      <c r="L42" s="538">
        <v>287</v>
      </c>
      <c r="M42" s="538"/>
      <c r="N42" s="427">
        <v>6.5</v>
      </c>
      <c r="O42" s="538"/>
      <c r="P42" s="448">
        <v>36.49</v>
      </c>
      <c r="Q42" s="431">
        <f t="shared" si="9"/>
        <v>11.4</v>
      </c>
      <c r="R42" s="432">
        <v>4.0819999999999999</v>
      </c>
      <c r="S42" s="431">
        <v>7.27</v>
      </c>
      <c r="T42" s="437">
        <v>12</v>
      </c>
      <c r="U42" s="431">
        <f>T42/R42</f>
        <v>2.9397354238118569</v>
      </c>
      <c r="V42" s="433">
        <f t="shared" si="7"/>
        <v>43.851444291609354</v>
      </c>
      <c r="W42" s="432">
        <v>0.3</v>
      </c>
      <c r="X42" s="431">
        <f t="shared" si="2"/>
        <v>0.63771929824561402</v>
      </c>
      <c r="Y42" s="431">
        <f t="shared" si="8"/>
        <v>3.8860639999999997</v>
      </c>
      <c r="Z42" s="431">
        <f t="shared" si="8"/>
        <v>6.9210399999999996</v>
      </c>
      <c r="AA42" s="431">
        <f t="shared" si="8"/>
        <v>11.423999999999999</v>
      </c>
      <c r="AB42" s="431">
        <f t="shared" si="5"/>
        <v>2.9397354238118569</v>
      </c>
      <c r="AC42" s="431">
        <f t="shared" si="3"/>
        <v>43.851444291609354</v>
      </c>
      <c r="AD42" s="427">
        <v>31</v>
      </c>
      <c r="AE42" s="431">
        <f t="shared" si="6"/>
        <v>120.46798399999999</v>
      </c>
      <c r="AF42" s="449"/>
    </row>
    <row r="43" spans="1:32" ht="18.75" customHeight="1" x14ac:dyDescent="0.2">
      <c r="A43" s="427">
        <v>30</v>
      </c>
      <c r="B43" s="428" t="s">
        <v>59</v>
      </c>
      <c r="C43" s="427" t="s">
        <v>46</v>
      </c>
      <c r="D43" s="429">
        <v>643</v>
      </c>
      <c r="E43" s="427" t="s">
        <v>94</v>
      </c>
      <c r="F43" s="427">
        <v>177.8</v>
      </c>
      <c r="G43" s="427" t="s">
        <v>28</v>
      </c>
      <c r="H43" s="429" t="s">
        <v>48</v>
      </c>
      <c r="I43" s="538">
        <v>540.79999999999995</v>
      </c>
      <c r="J43" s="427" t="s">
        <v>239</v>
      </c>
      <c r="K43" s="427"/>
      <c r="L43" s="427">
        <v>429</v>
      </c>
      <c r="M43" s="427"/>
      <c r="N43" s="427">
        <v>2.2000000000000002</v>
      </c>
      <c r="O43" s="427"/>
      <c r="P43" s="430">
        <v>14.45</v>
      </c>
      <c r="Q43" s="431">
        <f t="shared" si="9"/>
        <v>13</v>
      </c>
      <c r="R43" s="432">
        <v>3.8420000000000001</v>
      </c>
      <c r="S43" s="431">
        <v>5.694</v>
      </c>
      <c r="T43" s="431">
        <v>10</v>
      </c>
      <c r="U43" s="431">
        <f t="shared" si="1"/>
        <v>2.6028110359187924</v>
      </c>
      <c r="V43" s="433">
        <f t="shared" si="7"/>
        <v>32.52546540217773</v>
      </c>
      <c r="W43" s="432">
        <v>0.3</v>
      </c>
      <c r="X43" s="431">
        <f t="shared" si="2"/>
        <v>0.438</v>
      </c>
      <c r="Y43" s="431">
        <f t="shared" si="8"/>
        <v>3.6575839999999999</v>
      </c>
      <c r="Z43" s="431">
        <f t="shared" si="8"/>
        <v>5.4206879999999993</v>
      </c>
      <c r="AA43" s="431">
        <f t="shared" si="8"/>
        <v>9.52</v>
      </c>
      <c r="AB43" s="431">
        <f>U43</f>
        <v>2.6028110359187924</v>
      </c>
      <c r="AC43" s="431">
        <f t="shared" si="3"/>
        <v>32.52546540217773</v>
      </c>
      <c r="AD43" s="427">
        <v>31</v>
      </c>
      <c r="AE43" s="431">
        <f t="shared" si="6"/>
        <v>113.385104</v>
      </c>
      <c r="AF43" s="439"/>
    </row>
    <row r="44" spans="1:32" ht="18.75" customHeight="1" x14ac:dyDescent="0.2">
      <c r="A44" s="427">
        <v>31</v>
      </c>
      <c r="B44" s="428" t="s">
        <v>207</v>
      </c>
      <c r="C44" s="427" t="s">
        <v>46</v>
      </c>
      <c r="D44" s="429">
        <v>673</v>
      </c>
      <c r="E44" s="427" t="s">
        <v>230</v>
      </c>
      <c r="F44" s="427">
        <v>177.8</v>
      </c>
      <c r="G44" s="427" t="s">
        <v>28</v>
      </c>
      <c r="H44" s="429" t="s">
        <v>50</v>
      </c>
      <c r="I44" s="538">
        <v>564.41999999999996</v>
      </c>
      <c r="J44" s="427">
        <v>195</v>
      </c>
      <c r="K44" s="427"/>
      <c r="L44" s="427">
        <v>341</v>
      </c>
      <c r="M44" s="427"/>
      <c r="N44" s="430">
        <v>2.2999999999999998</v>
      </c>
      <c r="O44" s="427"/>
      <c r="P44" s="430">
        <v>23.84</v>
      </c>
      <c r="Q44" s="431">
        <f t="shared" si="9"/>
        <v>11.7</v>
      </c>
      <c r="R44" s="432">
        <v>5.5750000000000002</v>
      </c>
      <c r="S44" s="431">
        <v>8.4990000000000006</v>
      </c>
      <c r="T44" s="431">
        <v>0</v>
      </c>
      <c r="U44" s="431">
        <f t="shared" si="1"/>
        <v>0</v>
      </c>
      <c r="V44" s="433">
        <f t="shared" si="7"/>
        <v>34.404047535004125</v>
      </c>
      <c r="W44" s="432">
        <v>0.2</v>
      </c>
      <c r="X44" s="431">
        <f t="shared" si="2"/>
        <v>0.72641025641025647</v>
      </c>
      <c r="Y44" s="431">
        <f t="shared" si="8"/>
        <v>5.3074000000000003</v>
      </c>
      <c r="Z44" s="431">
        <f t="shared" si="8"/>
        <v>8.0910480000000007</v>
      </c>
      <c r="AA44" s="431">
        <f t="shared" si="8"/>
        <v>0</v>
      </c>
      <c r="AB44" s="431">
        <f>U44</f>
        <v>0</v>
      </c>
      <c r="AC44" s="431">
        <f t="shared" si="3"/>
        <v>34.404047535004125</v>
      </c>
      <c r="AD44" s="427">
        <v>31</v>
      </c>
      <c r="AE44" s="431">
        <f t="shared" si="6"/>
        <v>164.52940000000001</v>
      </c>
      <c r="AF44" s="439"/>
    </row>
    <row r="45" spans="1:32" ht="18.75" customHeight="1" x14ac:dyDescent="0.2">
      <c r="A45" s="427">
        <v>32</v>
      </c>
      <c r="B45" s="428" t="s">
        <v>196</v>
      </c>
      <c r="C45" s="427" t="s">
        <v>304</v>
      </c>
      <c r="D45" s="429">
        <v>641</v>
      </c>
      <c r="E45" s="427" t="s">
        <v>296</v>
      </c>
      <c r="F45" s="427">
        <v>177.8</v>
      </c>
      <c r="G45" s="427" t="s">
        <v>28</v>
      </c>
      <c r="H45" s="429" t="s">
        <v>218</v>
      </c>
      <c r="I45" s="538">
        <v>618.66999999999996</v>
      </c>
      <c r="J45" s="427" t="s">
        <v>326</v>
      </c>
      <c r="K45" s="427"/>
      <c r="L45" s="427">
        <v>491</v>
      </c>
      <c r="M45" s="427"/>
      <c r="N45" s="430">
        <v>1.4</v>
      </c>
      <c r="O45" s="427"/>
      <c r="P45" s="430">
        <v>14.09</v>
      </c>
      <c r="Q45" s="431">
        <f t="shared" si="9"/>
        <v>20.8</v>
      </c>
      <c r="R45" s="432">
        <v>0</v>
      </c>
      <c r="S45" s="431">
        <v>2.161</v>
      </c>
      <c r="T45" s="431">
        <v>0</v>
      </c>
      <c r="U45" s="431" t="e">
        <f t="shared" si="1"/>
        <v>#DIV/0!</v>
      </c>
      <c r="V45" s="433">
        <f t="shared" si="7"/>
        <v>100</v>
      </c>
      <c r="W45" s="432">
        <v>0</v>
      </c>
      <c r="X45" s="431">
        <f t="shared" si="2"/>
        <v>0.10389423076923077</v>
      </c>
      <c r="Y45" s="431">
        <f t="shared" si="8"/>
        <v>0</v>
      </c>
      <c r="Z45" s="431">
        <f t="shared" si="8"/>
        <v>2.0572719999999998</v>
      </c>
      <c r="AA45" s="431">
        <f t="shared" si="8"/>
        <v>0</v>
      </c>
      <c r="AB45" s="431" t="e">
        <f>U45</f>
        <v>#DIV/0!</v>
      </c>
      <c r="AC45" s="431">
        <f t="shared" si="3"/>
        <v>100</v>
      </c>
      <c r="AD45" s="427">
        <v>31</v>
      </c>
      <c r="AE45" s="431">
        <f t="shared" si="6"/>
        <v>0</v>
      </c>
      <c r="AF45" s="439"/>
    </row>
    <row r="46" spans="1:32" ht="18.75" customHeight="1" x14ac:dyDescent="0.2">
      <c r="A46" s="427">
        <v>33</v>
      </c>
      <c r="B46" s="428" t="s">
        <v>60</v>
      </c>
      <c r="C46" s="427" t="s">
        <v>46</v>
      </c>
      <c r="D46" s="429">
        <v>638.9</v>
      </c>
      <c r="E46" s="427" t="s">
        <v>95</v>
      </c>
      <c r="F46" s="427">
        <v>177.8</v>
      </c>
      <c r="G46" s="427" t="s">
        <v>28</v>
      </c>
      <c r="H46" s="429" t="s">
        <v>48</v>
      </c>
      <c r="I46" s="538">
        <v>546.64</v>
      </c>
      <c r="J46" s="427" t="s">
        <v>239</v>
      </c>
      <c r="K46" s="427"/>
      <c r="L46" s="427">
        <v>463</v>
      </c>
      <c r="M46" s="427"/>
      <c r="N46" s="427">
        <v>7.5</v>
      </c>
      <c r="O46" s="427"/>
      <c r="P46" s="430">
        <v>16.010000000000002</v>
      </c>
      <c r="Q46" s="431">
        <f t="shared" si="9"/>
        <v>13</v>
      </c>
      <c r="R46" s="432">
        <v>5.1890000000000001</v>
      </c>
      <c r="S46" s="431">
        <v>7.7549999999999999</v>
      </c>
      <c r="T46" s="431">
        <v>65</v>
      </c>
      <c r="U46" s="431">
        <f t="shared" si="1"/>
        <v>12.526498361919446</v>
      </c>
      <c r="V46" s="433">
        <f t="shared" si="7"/>
        <v>33.088330109606709</v>
      </c>
      <c r="W46" s="432">
        <v>0.2</v>
      </c>
      <c r="X46" s="431">
        <f t="shared" si="2"/>
        <v>0.59653846153846157</v>
      </c>
      <c r="Y46" s="431">
        <f t="shared" si="8"/>
        <v>4.9399280000000001</v>
      </c>
      <c r="Z46" s="431">
        <f t="shared" si="8"/>
        <v>7.3827599999999993</v>
      </c>
      <c r="AA46" s="431">
        <f t="shared" si="8"/>
        <v>61.879999999999995</v>
      </c>
      <c r="AB46" s="431">
        <f t="shared" si="5"/>
        <v>12.526498361919446</v>
      </c>
      <c r="AC46" s="431">
        <f t="shared" si="3"/>
        <v>33.088330109606709</v>
      </c>
      <c r="AD46" s="427">
        <v>31</v>
      </c>
      <c r="AE46" s="431">
        <f t="shared" si="6"/>
        <v>153.13776799999999</v>
      </c>
      <c r="AF46" s="439"/>
    </row>
    <row r="47" spans="1:32" ht="18.75" customHeight="1" x14ac:dyDescent="0.2">
      <c r="A47" s="427">
        <v>34</v>
      </c>
      <c r="B47" s="428" t="s">
        <v>119</v>
      </c>
      <c r="C47" s="427" t="s">
        <v>46</v>
      </c>
      <c r="D47" s="429">
        <v>654.07000000000005</v>
      </c>
      <c r="E47" s="427" t="s">
        <v>126</v>
      </c>
      <c r="F47" s="427">
        <v>177.8</v>
      </c>
      <c r="G47" s="427" t="s">
        <v>28</v>
      </c>
      <c r="H47" s="429" t="s">
        <v>48</v>
      </c>
      <c r="I47" s="538">
        <v>526.6</v>
      </c>
      <c r="J47" s="427" t="s">
        <v>240</v>
      </c>
      <c r="K47" s="435">
        <v>498</v>
      </c>
      <c r="L47" s="427">
        <v>0</v>
      </c>
      <c r="M47" s="427">
        <v>22.5</v>
      </c>
      <c r="N47" s="427"/>
      <c r="O47" s="427"/>
      <c r="P47" s="430">
        <v>56.306829634212406</v>
      </c>
      <c r="Q47" s="431">
        <f t="shared" si="9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8"/>
        <v>0</v>
      </c>
      <c r="Z47" s="431">
        <f t="shared" si="8"/>
        <v>0</v>
      </c>
      <c r="AA47" s="431">
        <f t="shared" si="8"/>
        <v>0</v>
      </c>
      <c r="AB47" s="431">
        <f t="shared" si="5"/>
        <v>0</v>
      </c>
      <c r="AC47" s="431">
        <f t="shared" si="3"/>
        <v>0</v>
      </c>
      <c r="AD47" s="427">
        <v>0</v>
      </c>
      <c r="AE47" s="431">
        <f t="shared" si="6"/>
        <v>0</v>
      </c>
      <c r="AF47" s="449" t="s">
        <v>335</v>
      </c>
    </row>
    <row r="48" spans="1:32" ht="18.75" customHeight="1" x14ac:dyDescent="0.2">
      <c r="A48" s="427">
        <v>35</v>
      </c>
      <c r="B48" s="428" t="s">
        <v>118</v>
      </c>
      <c r="C48" s="427" t="s">
        <v>46</v>
      </c>
      <c r="D48" s="429">
        <v>728.77</v>
      </c>
      <c r="E48" s="427" t="s">
        <v>133</v>
      </c>
      <c r="F48" s="427">
        <v>177.8</v>
      </c>
      <c r="G48" s="427" t="s">
        <v>28</v>
      </c>
      <c r="H48" s="429" t="s">
        <v>48</v>
      </c>
      <c r="I48" s="538">
        <v>557.04999999999995</v>
      </c>
      <c r="J48" s="427" t="s">
        <v>239</v>
      </c>
      <c r="K48" s="427"/>
      <c r="L48" s="427">
        <v>424</v>
      </c>
      <c r="M48" s="427"/>
      <c r="N48" s="427">
        <v>8.1999999999999993</v>
      </c>
      <c r="O48" s="427"/>
      <c r="P48" s="430">
        <v>22.11</v>
      </c>
      <c r="Q48" s="431">
        <f t="shared" si="9"/>
        <v>13</v>
      </c>
      <c r="R48" s="432">
        <v>3.0910000000000002</v>
      </c>
      <c r="S48" s="431">
        <v>7.734</v>
      </c>
      <c r="T48" s="431">
        <v>40</v>
      </c>
      <c r="U48" s="431">
        <f>T48/R48</f>
        <v>12.940795858945325</v>
      </c>
      <c r="V48" s="433">
        <f t="shared" si="7"/>
        <v>60.033617791569696</v>
      </c>
      <c r="W48" s="432">
        <v>0.3</v>
      </c>
      <c r="X48" s="431">
        <f t="shared" ref="X48:X55" si="10">S48/Q48</f>
        <v>0.59492307692307689</v>
      </c>
      <c r="Y48" s="431">
        <f t="shared" si="8"/>
        <v>2.9426320000000001</v>
      </c>
      <c r="Z48" s="431">
        <f t="shared" si="8"/>
        <v>7.362768</v>
      </c>
      <c r="AA48" s="431">
        <f t="shared" si="8"/>
        <v>38.08</v>
      </c>
      <c r="AB48" s="431">
        <f t="shared" si="5"/>
        <v>12.940795858945325</v>
      </c>
      <c r="AC48" s="431">
        <f t="shared" si="3"/>
        <v>60.033617791569696</v>
      </c>
      <c r="AD48" s="427">
        <v>31</v>
      </c>
      <c r="AE48" s="431">
        <f t="shared" si="6"/>
        <v>91.221592000000001</v>
      </c>
      <c r="AF48" s="439"/>
    </row>
    <row r="49" spans="1:32" ht="18.75" customHeight="1" x14ac:dyDescent="0.2">
      <c r="A49" s="427">
        <v>36</v>
      </c>
      <c r="B49" s="428" t="s">
        <v>117</v>
      </c>
      <c r="C49" s="427" t="s">
        <v>46</v>
      </c>
      <c r="D49" s="429">
        <v>671.45</v>
      </c>
      <c r="E49" s="427" t="s">
        <v>128</v>
      </c>
      <c r="F49" s="427">
        <v>177.8</v>
      </c>
      <c r="G49" s="427" t="s">
        <v>28</v>
      </c>
      <c r="H49" s="429" t="s">
        <v>187</v>
      </c>
      <c r="I49" s="538">
        <v>559.39</v>
      </c>
      <c r="J49" s="427" t="s">
        <v>327</v>
      </c>
      <c r="K49" s="427"/>
      <c r="L49" s="427">
        <v>298</v>
      </c>
      <c r="M49" s="427"/>
      <c r="N49" s="427">
        <v>1.5</v>
      </c>
      <c r="O49" s="427"/>
      <c r="P49" s="430">
        <v>28.52</v>
      </c>
      <c r="Q49" s="431">
        <f t="shared" si="9"/>
        <v>15.9</v>
      </c>
      <c r="R49" s="432">
        <v>0.54400000000000004</v>
      </c>
      <c r="S49" s="431">
        <v>4.8680000000000003</v>
      </c>
      <c r="T49" s="431">
        <v>1</v>
      </c>
      <c r="U49" s="431">
        <f t="shared" ref="U49:U55" si="11">T49/R49</f>
        <v>1.838235294117647</v>
      </c>
      <c r="V49" s="433">
        <f t="shared" si="7"/>
        <v>88.824979457682815</v>
      </c>
      <c r="W49" s="432">
        <v>0.7</v>
      </c>
      <c r="X49" s="431">
        <f t="shared" si="10"/>
        <v>0.30616352201257863</v>
      </c>
      <c r="Y49" s="431">
        <f t="shared" si="8"/>
        <v>0.51788800000000001</v>
      </c>
      <c r="Z49" s="431">
        <f t="shared" si="8"/>
        <v>4.6343360000000002</v>
      </c>
      <c r="AA49" s="431">
        <f t="shared" si="8"/>
        <v>0.95199999999999996</v>
      </c>
      <c r="AB49" s="431">
        <f t="shared" si="5"/>
        <v>1.838235294117647</v>
      </c>
      <c r="AC49" s="431">
        <f t="shared" si="3"/>
        <v>88.824979457682815</v>
      </c>
      <c r="AD49" s="427">
        <v>31</v>
      </c>
      <c r="AE49" s="431">
        <f t="shared" si="6"/>
        <v>16.054528000000001</v>
      </c>
      <c r="AF49" s="434"/>
    </row>
    <row r="50" spans="1:32" ht="18.75" customHeight="1" x14ac:dyDescent="0.2">
      <c r="A50" s="427">
        <v>37</v>
      </c>
      <c r="B50" s="428" t="s">
        <v>130</v>
      </c>
      <c r="C50" s="427" t="s">
        <v>46</v>
      </c>
      <c r="D50" s="429">
        <v>622.6</v>
      </c>
      <c r="E50" s="427" t="s">
        <v>134</v>
      </c>
      <c r="F50" s="427">
        <v>177.8</v>
      </c>
      <c r="G50" s="427" t="s">
        <v>28</v>
      </c>
      <c r="H50" s="429" t="s">
        <v>48</v>
      </c>
      <c r="I50" s="538">
        <v>551.79999999999995</v>
      </c>
      <c r="J50" s="427" t="s">
        <v>248</v>
      </c>
      <c r="K50" s="427"/>
      <c r="L50" s="427">
        <v>100</v>
      </c>
      <c r="M50" s="427"/>
      <c r="N50" s="427">
        <v>6.3</v>
      </c>
      <c r="O50" s="427"/>
      <c r="P50" s="430">
        <v>52.43</v>
      </c>
      <c r="Q50" s="431">
        <f t="shared" si="9"/>
        <v>11.05</v>
      </c>
      <c r="R50" s="432">
        <v>0.151</v>
      </c>
      <c r="S50" s="431">
        <v>7.758</v>
      </c>
      <c r="T50" s="431">
        <v>0</v>
      </c>
      <c r="U50" s="431">
        <v>0</v>
      </c>
      <c r="V50" s="433">
        <f t="shared" si="7"/>
        <v>98.053622067543188</v>
      </c>
      <c r="W50" s="432">
        <v>0</v>
      </c>
      <c r="X50" s="431">
        <f t="shared" si="10"/>
        <v>0.7020814479638009</v>
      </c>
      <c r="Y50" s="431">
        <f t="shared" si="8"/>
        <v>0.14375199999999999</v>
      </c>
      <c r="Z50" s="431">
        <f t="shared" si="8"/>
        <v>7.3856159999999997</v>
      </c>
      <c r="AA50" s="431">
        <f t="shared" si="8"/>
        <v>0</v>
      </c>
      <c r="AB50" s="431">
        <f t="shared" si="5"/>
        <v>0</v>
      </c>
      <c r="AC50" s="431">
        <f t="shared" si="3"/>
        <v>98.053622067543188</v>
      </c>
      <c r="AD50" s="427">
        <v>31</v>
      </c>
      <c r="AE50" s="431">
        <f t="shared" si="6"/>
        <v>4.4563119999999996</v>
      </c>
      <c r="AF50" s="434"/>
    </row>
    <row r="51" spans="1:32" ht="18.75" customHeight="1" x14ac:dyDescent="0.2">
      <c r="A51" s="427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427">
        <v>177.8</v>
      </c>
      <c r="G51" s="451" t="s">
        <v>28</v>
      </c>
      <c r="H51" s="452" t="s">
        <v>291</v>
      </c>
      <c r="I51" s="453">
        <v>565.80999999999995</v>
      </c>
      <c r="J51" s="451" t="s">
        <v>240</v>
      </c>
      <c r="K51" s="451">
        <v>283</v>
      </c>
      <c r="L51" s="451"/>
      <c r="M51" s="451"/>
      <c r="N51" s="427">
        <v>0</v>
      </c>
      <c r="O51" s="451"/>
      <c r="P51" s="454">
        <v>52.04</v>
      </c>
      <c r="Q51" s="455">
        <f t="shared" si="9"/>
        <v>0</v>
      </c>
      <c r="R51" s="456">
        <v>0</v>
      </c>
      <c r="S51" s="431">
        <v>0</v>
      </c>
      <c r="T51" s="455">
        <v>0</v>
      </c>
      <c r="U51" s="431">
        <v>0</v>
      </c>
      <c r="V51" s="433">
        <v>0</v>
      </c>
      <c r="W51" s="456">
        <v>0</v>
      </c>
      <c r="X51" s="431">
        <v>0</v>
      </c>
      <c r="Y51" s="431">
        <f t="shared" si="8"/>
        <v>0</v>
      </c>
      <c r="Z51" s="431">
        <f t="shared" si="8"/>
        <v>0</v>
      </c>
      <c r="AA51" s="431">
        <f t="shared" si="8"/>
        <v>0</v>
      </c>
      <c r="AB51" s="455">
        <f t="shared" si="5"/>
        <v>0</v>
      </c>
      <c r="AC51" s="431">
        <f t="shared" si="3"/>
        <v>0</v>
      </c>
      <c r="AD51" s="427">
        <v>31</v>
      </c>
      <c r="AE51" s="455">
        <f t="shared" si="6"/>
        <v>0</v>
      </c>
      <c r="AF51" s="449" t="s">
        <v>335</v>
      </c>
    </row>
    <row r="52" spans="1:32" ht="18.75" customHeight="1" x14ac:dyDescent="0.2">
      <c r="A52" s="427">
        <v>39</v>
      </c>
      <c r="B52" s="428" t="s">
        <v>116</v>
      </c>
      <c r="C52" s="427" t="s">
        <v>46</v>
      </c>
      <c r="D52" s="429">
        <v>681.27</v>
      </c>
      <c r="E52" s="427" t="s">
        <v>124</v>
      </c>
      <c r="F52" s="427">
        <v>177.8</v>
      </c>
      <c r="G52" s="427" t="s">
        <v>28</v>
      </c>
      <c r="H52" s="429" t="s">
        <v>53</v>
      </c>
      <c r="I52" s="538">
        <v>558.35</v>
      </c>
      <c r="J52" s="427">
        <v>220</v>
      </c>
      <c r="K52" s="427"/>
      <c r="L52" s="427">
        <v>363</v>
      </c>
      <c r="M52" s="427"/>
      <c r="N52" s="427">
        <v>7.5</v>
      </c>
      <c r="O52" s="427"/>
      <c r="P52" s="430">
        <v>27.34</v>
      </c>
      <c r="Q52" s="455">
        <f t="shared" si="9"/>
        <v>28.6</v>
      </c>
      <c r="R52" s="432">
        <v>2.2789999999999999</v>
      </c>
      <c r="S52" s="431">
        <v>5.9660000000000002</v>
      </c>
      <c r="T52" s="431">
        <v>5.0910000000000002</v>
      </c>
      <c r="U52" s="431">
        <f t="shared" si="11"/>
        <v>2.2338745063624397</v>
      </c>
      <c r="V52" s="433">
        <f t="shared" si="7"/>
        <v>61.800201139792158</v>
      </c>
      <c r="W52" s="432">
        <v>0.5</v>
      </c>
      <c r="X52" s="431">
        <f t="shared" si="10"/>
        <v>0.20860139860139859</v>
      </c>
      <c r="Y52" s="431">
        <f t="shared" si="8"/>
        <v>2.1696079999999998</v>
      </c>
      <c r="Z52" s="431">
        <f t="shared" si="8"/>
        <v>5.6796319999999998</v>
      </c>
      <c r="AA52" s="431">
        <f t="shared" si="8"/>
        <v>4.8466319999999996</v>
      </c>
      <c r="AB52" s="431">
        <f t="shared" si="5"/>
        <v>2.2338745063624397</v>
      </c>
      <c r="AC52" s="431">
        <f t="shared" si="3"/>
        <v>61.800201139792158</v>
      </c>
      <c r="AD52" s="427">
        <v>31</v>
      </c>
      <c r="AE52" s="431">
        <f t="shared" si="6"/>
        <v>67.257847999999996</v>
      </c>
      <c r="AF52" s="449"/>
    </row>
    <row r="53" spans="1:32" ht="18.75" customHeight="1" x14ac:dyDescent="0.2">
      <c r="A53" s="427">
        <v>40</v>
      </c>
      <c r="B53" s="428" t="s">
        <v>120</v>
      </c>
      <c r="C53" s="427" t="s">
        <v>46</v>
      </c>
      <c r="D53" s="429">
        <v>668.57</v>
      </c>
      <c r="E53" s="427" t="s">
        <v>285</v>
      </c>
      <c r="F53" s="427">
        <v>177.8</v>
      </c>
      <c r="G53" s="427" t="s">
        <v>28</v>
      </c>
      <c r="H53" s="429" t="s">
        <v>48</v>
      </c>
      <c r="I53" s="538">
        <v>567.08000000000004</v>
      </c>
      <c r="J53" s="427">
        <v>170</v>
      </c>
      <c r="K53" s="427"/>
      <c r="L53" s="427">
        <v>413</v>
      </c>
      <c r="M53" s="427"/>
      <c r="N53" s="427">
        <v>0.2</v>
      </c>
      <c r="O53" s="427"/>
      <c r="P53" s="430">
        <v>15.77</v>
      </c>
      <c r="Q53" s="431">
        <f t="shared" si="9"/>
        <v>22.1</v>
      </c>
      <c r="R53" s="432">
        <v>2.1320000000000001</v>
      </c>
      <c r="S53" s="431">
        <v>3.371</v>
      </c>
      <c r="T53" s="431">
        <v>3</v>
      </c>
      <c r="U53" s="431">
        <f t="shared" si="11"/>
        <v>1.4071294559099436</v>
      </c>
      <c r="V53" s="433">
        <f t="shared" si="7"/>
        <v>36.754672204093737</v>
      </c>
      <c r="W53" s="432">
        <v>3</v>
      </c>
      <c r="X53" s="431">
        <f t="shared" si="10"/>
        <v>0.15253393665158371</v>
      </c>
      <c r="Y53" s="431">
        <f t="shared" si="8"/>
        <v>2.0296639999999999</v>
      </c>
      <c r="Z53" s="431">
        <f t="shared" si="8"/>
        <v>3.2091919999999998</v>
      </c>
      <c r="AA53" s="431">
        <f t="shared" si="8"/>
        <v>2.8559999999999999</v>
      </c>
      <c r="AB53" s="431">
        <f t="shared" si="5"/>
        <v>1.4071294559099436</v>
      </c>
      <c r="AC53" s="431">
        <f t="shared" si="3"/>
        <v>36.754672204093737</v>
      </c>
      <c r="AD53" s="427">
        <v>31</v>
      </c>
      <c r="AE53" s="431">
        <f t="shared" si="6"/>
        <v>62.919584</v>
      </c>
      <c r="AF53" s="434"/>
    </row>
    <row r="54" spans="1:32" ht="18.75" customHeight="1" x14ac:dyDescent="0.2">
      <c r="A54" s="427">
        <v>41</v>
      </c>
      <c r="B54" s="428" t="s">
        <v>114</v>
      </c>
      <c r="C54" s="427" t="s">
        <v>46</v>
      </c>
      <c r="D54" s="429">
        <v>584.25</v>
      </c>
      <c r="E54" s="427" t="s">
        <v>123</v>
      </c>
      <c r="F54" s="427">
        <v>177.8</v>
      </c>
      <c r="G54" s="427" t="s">
        <v>28</v>
      </c>
      <c r="H54" s="429" t="s">
        <v>125</v>
      </c>
      <c r="I54" s="538">
        <v>565.08000000000004</v>
      </c>
      <c r="J54" s="427" t="s">
        <v>328</v>
      </c>
      <c r="K54" s="427"/>
      <c r="L54" s="427">
        <v>51</v>
      </c>
      <c r="M54" s="427"/>
      <c r="N54" s="427">
        <v>1</v>
      </c>
      <c r="O54" s="427"/>
      <c r="P54" s="430">
        <v>51.96</v>
      </c>
      <c r="Q54" s="431">
        <f t="shared" si="9"/>
        <v>7.2</v>
      </c>
      <c r="R54" s="432">
        <v>9.9000000000000005E-2</v>
      </c>
      <c r="S54" s="431">
        <v>0.36699999999999999</v>
      </c>
      <c r="T54" s="431">
        <v>0</v>
      </c>
      <c r="U54" s="431">
        <f t="shared" si="11"/>
        <v>0</v>
      </c>
      <c r="V54" s="433">
        <f t="shared" si="7"/>
        <v>73.024523160762939</v>
      </c>
      <c r="W54" s="432">
        <v>0.6</v>
      </c>
      <c r="X54" s="431">
        <f t="shared" si="10"/>
        <v>5.0972222222222217E-2</v>
      </c>
      <c r="Y54" s="431">
        <f t="shared" si="8"/>
        <v>9.4247999999999998E-2</v>
      </c>
      <c r="Z54" s="431">
        <f t="shared" si="8"/>
        <v>0.34938399999999997</v>
      </c>
      <c r="AA54" s="431">
        <f t="shared" si="8"/>
        <v>0</v>
      </c>
      <c r="AB54" s="431">
        <f t="shared" si="5"/>
        <v>0</v>
      </c>
      <c r="AC54" s="431">
        <f t="shared" si="3"/>
        <v>73.024523160762939</v>
      </c>
      <c r="AD54" s="427">
        <v>31</v>
      </c>
      <c r="AE54" s="431">
        <f t="shared" si="6"/>
        <v>2.9216880000000001</v>
      </c>
      <c r="AF54" s="457"/>
    </row>
    <row r="55" spans="1:32" ht="18.75" customHeight="1" x14ac:dyDescent="0.2">
      <c r="A55" s="427">
        <v>42</v>
      </c>
      <c r="B55" s="428" t="s">
        <v>106</v>
      </c>
      <c r="C55" s="427" t="s">
        <v>46</v>
      </c>
      <c r="D55" s="429">
        <v>642.52</v>
      </c>
      <c r="E55" s="427" t="s">
        <v>111</v>
      </c>
      <c r="F55" s="427">
        <v>177.8</v>
      </c>
      <c r="G55" s="427" t="s">
        <v>28</v>
      </c>
      <c r="H55" s="429" t="s">
        <v>52</v>
      </c>
      <c r="I55" s="538">
        <v>556.65</v>
      </c>
      <c r="J55" s="427" t="s">
        <v>260</v>
      </c>
      <c r="K55" s="427"/>
      <c r="L55" s="427">
        <v>187</v>
      </c>
      <c r="M55" s="427"/>
      <c r="N55" s="427">
        <v>7.1</v>
      </c>
      <c r="O55" s="427"/>
      <c r="P55" s="430">
        <v>43.95</v>
      </c>
      <c r="Q55" s="431">
        <f t="shared" si="9"/>
        <v>16.5</v>
      </c>
      <c r="R55" s="432">
        <v>0.44700000000000001</v>
      </c>
      <c r="S55" s="431">
        <v>1.2470000000000001</v>
      </c>
      <c r="T55" s="431">
        <v>0.5</v>
      </c>
      <c r="U55" s="431">
        <f t="shared" si="11"/>
        <v>1.1185682326621924</v>
      </c>
      <c r="V55" s="433">
        <f t="shared" si="7"/>
        <v>64.153969526864472</v>
      </c>
      <c r="W55" s="432">
        <v>0.3</v>
      </c>
      <c r="X55" s="431">
        <f t="shared" si="10"/>
        <v>7.5575757575757588E-2</v>
      </c>
      <c r="Y55" s="431">
        <f t="shared" si="8"/>
        <v>0.42554399999999998</v>
      </c>
      <c r="Z55" s="431">
        <f t="shared" si="8"/>
        <v>1.187144</v>
      </c>
      <c r="AA55" s="431">
        <f t="shared" si="8"/>
        <v>0.47599999999999998</v>
      </c>
      <c r="AB55" s="431">
        <f t="shared" si="5"/>
        <v>1.1185682326621924</v>
      </c>
      <c r="AC55" s="431">
        <f t="shared" si="3"/>
        <v>64.153969526864472</v>
      </c>
      <c r="AD55" s="427">
        <v>31</v>
      </c>
      <c r="AE55" s="431">
        <f t="shared" si="6"/>
        <v>13.191863999999999</v>
      </c>
      <c r="AF55" s="449"/>
    </row>
    <row r="56" spans="1:32" ht="18.75" customHeight="1" x14ac:dyDescent="0.2">
      <c r="A56" s="427">
        <v>43</v>
      </c>
      <c r="B56" s="428" t="s">
        <v>105</v>
      </c>
      <c r="C56" s="427" t="s">
        <v>46</v>
      </c>
      <c r="D56" s="429">
        <v>678.58</v>
      </c>
      <c r="E56" s="427" t="s">
        <v>110</v>
      </c>
      <c r="F56" s="427">
        <v>177.8</v>
      </c>
      <c r="G56" s="427" t="s">
        <v>28</v>
      </c>
      <c r="H56" s="429" t="s">
        <v>52</v>
      </c>
      <c r="I56" s="538">
        <v>529.41</v>
      </c>
      <c r="J56" s="427" t="s">
        <v>240</v>
      </c>
      <c r="K56" s="435">
        <v>255</v>
      </c>
      <c r="L56" s="427">
        <v>0</v>
      </c>
      <c r="M56" s="427">
        <v>1</v>
      </c>
      <c r="N56" s="427"/>
      <c r="O56" s="427"/>
      <c r="P56" s="430">
        <v>31.074340127161232</v>
      </c>
      <c r="Q56" s="431">
        <f t="shared" si="9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8"/>
        <v>0</v>
      </c>
      <c r="Z56" s="431">
        <f t="shared" si="8"/>
        <v>0</v>
      </c>
      <c r="AA56" s="431">
        <f t="shared" si="8"/>
        <v>0</v>
      </c>
      <c r="AB56" s="431">
        <f t="shared" si="5"/>
        <v>0</v>
      </c>
      <c r="AC56" s="431">
        <f t="shared" si="3"/>
        <v>0</v>
      </c>
      <c r="AD56" s="427">
        <v>0</v>
      </c>
      <c r="AE56" s="431">
        <f t="shared" si="6"/>
        <v>0</v>
      </c>
      <c r="AF56" s="434" t="s">
        <v>335</v>
      </c>
    </row>
    <row r="57" spans="1:32" ht="18.75" customHeight="1" x14ac:dyDescent="0.2">
      <c r="A57" s="427">
        <v>44</v>
      </c>
      <c r="B57" s="428" t="s">
        <v>104</v>
      </c>
      <c r="C57" s="427" t="s">
        <v>46</v>
      </c>
      <c r="D57" s="429">
        <v>707.14</v>
      </c>
      <c r="E57" s="427" t="s">
        <v>231</v>
      </c>
      <c r="F57" s="427">
        <v>177.8</v>
      </c>
      <c r="G57" s="427" t="s">
        <v>28</v>
      </c>
      <c r="H57" s="429" t="s">
        <v>52</v>
      </c>
      <c r="I57" s="538">
        <v>555</v>
      </c>
      <c r="J57" s="427" t="s">
        <v>240</v>
      </c>
      <c r="K57" s="435">
        <v>402</v>
      </c>
      <c r="L57" s="427">
        <v>0</v>
      </c>
      <c r="M57" s="427">
        <v>19.600000000000001</v>
      </c>
      <c r="N57" s="427"/>
      <c r="O57" s="427"/>
      <c r="P57" s="430">
        <v>36.30391419324004</v>
      </c>
      <c r="Q57" s="431">
        <f t="shared" si="9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3">
        <v>0</v>
      </c>
      <c r="W57" s="432">
        <v>0</v>
      </c>
      <c r="X57" s="431">
        <f>IF(S57=0,0,S57/Q57)</f>
        <v>0</v>
      </c>
      <c r="Y57" s="431">
        <f t="shared" si="8"/>
        <v>0</v>
      </c>
      <c r="Z57" s="431">
        <f t="shared" si="8"/>
        <v>0</v>
      </c>
      <c r="AA57" s="431">
        <f t="shared" si="8"/>
        <v>0</v>
      </c>
      <c r="AB57" s="431">
        <f t="shared" si="5"/>
        <v>0</v>
      </c>
      <c r="AC57" s="431">
        <f t="shared" si="3"/>
        <v>0</v>
      </c>
      <c r="AD57" s="427">
        <v>0</v>
      </c>
      <c r="AE57" s="431">
        <f t="shared" si="6"/>
        <v>0</v>
      </c>
      <c r="AF57" s="434" t="s">
        <v>334</v>
      </c>
    </row>
    <row r="58" spans="1:32" ht="18.75" customHeight="1" x14ac:dyDescent="0.3">
      <c r="A58" s="427">
        <v>45</v>
      </c>
      <c r="B58" s="540" t="s">
        <v>158</v>
      </c>
      <c r="C58" s="427" t="s">
        <v>46</v>
      </c>
      <c r="D58" s="538">
        <v>674.45</v>
      </c>
      <c r="E58" s="538" t="s">
        <v>232</v>
      </c>
      <c r="F58" s="427">
        <v>177.8</v>
      </c>
      <c r="G58" s="427" t="s">
        <v>28</v>
      </c>
      <c r="H58" s="429" t="s">
        <v>52</v>
      </c>
      <c r="I58" s="538">
        <v>543.72</v>
      </c>
      <c r="J58" s="538" t="s">
        <v>319</v>
      </c>
      <c r="K58" s="538"/>
      <c r="L58" s="538">
        <v>456</v>
      </c>
      <c r="M58" s="538"/>
      <c r="N58" s="427">
        <v>8.3000000000000007</v>
      </c>
      <c r="O58" s="538"/>
      <c r="P58" s="448">
        <v>17.600000000000001</v>
      </c>
      <c r="Q58" s="431">
        <f t="shared" si="9"/>
        <v>35.200000000000003</v>
      </c>
      <c r="R58" s="432">
        <v>10.178000000000001</v>
      </c>
      <c r="S58" s="431">
        <v>12.497</v>
      </c>
      <c r="T58" s="437">
        <v>560</v>
      </c>
      <c r="U58" s="431">
        <f t="shared" ref="U58:U64" si="12">T58/R58</f>
        <v>55.020632737276472</v>
      </c>
      <c r="V58" s="433">
        <f t="shared" si="7"/>
        <v>18.556453548851717</v>
      </c>
      <c r="W58" s="432">
        <v>0.3</v>
      </c>
      <c r="X58" s="431">
        <f t="shared" ref="X58:X75" si="13">S58/Q58</f>
        <v>0.35502840909090905</v>
      </c>
      <c r="Y58" s="431">
        <f t="shared" si="8"/>
        <v>9.6894559999999998</v>
      </c>
      <c r="Z58" s="431">
        <f t="shared" si="8"/>
        <v>11.897143999999999</v>
      </c>
      <c r="AA58" s="431">
        <f t="shared" si="8"/>
        <v>533.12</v>
      </c>
      <c r="AB58" s="431">
        <f t="shared" si="5"/>
        <v>55.020632737276472</v>
      </c>
      <c r="AC58" s="431">
        <f t="shared" si="3"/>
        <v>18.556453548851717</v>
      </c>
      <c r="AD58" s="427">
        <v>31</v>
      </c>
      <c r="AE58" s="431">
        <f>Y58*AD58</f>
        <v>300.37313599999999</v>
      </c>
      <c r="AF58" s="458"/>
    </row>
    <row r="59" spans="1:32" ht="18.75" customHeight="1" x14ac:dyDescent="0.2">
      <c r="A59" s="427">
        <v>46</v>
      </c>
      <c r="B59" s="540" t="s">
        <v>160</v>
      </c>
      <c r="C59" s="427" t="s">
        <v>304</v>
      </c>
      <c r="D59" s="538">
        <v>677.33</v>
      </c>
      <c r="E59" s="538" t="s">
        <v>315</v>
      </c>
      <c r="F59" s="427">
        <v>177.8</v>
      </c>
      <c r="G59" s="427" t="s">
        <v>28</v>
      </c>
      <c r="H59" s="429" t="s">
        <v>50</v>
      </c>
      <c r="I59" s="538">
        <v>619</v>
      </c>
      <c r="J59" s="538" t="s">
        <v>250</v>
      </c>
      <c r="K59" s="538"/>
      <c r="L59" s="427">
        <v>264</v>
      </c>
      <c r="M59" s="538"/>
      <c r="N59" s="427">
        <v>8</v>
      </c>
      <c r="O59" s="538"/>
      <c r="P59" s="448">
        <v>41.64</v>
      </c>
      <c r="Q59" s="431">
        <f t="shared" si="9"/>
        <v>18</v>
      </c>
      <c r="R59" s="432">
        <v>0.77100000000000002</v>
      </c>
      <c r="S59" s="431">
        <v>11.186</v>
      </c>
      <c r="T59" s="437">
        <v>9.5</v>
      </c>
      <c r="U59" s="431">
        <f t="shared" si="12"/>
        <v>12.321660181582359</v>
      </c>
      <c r="V59" s="433">
        <f t="shared" si="7"/>
        <v>93.10745574825674</v>
      </c>
      <c r="W59" s="432">
        <v>0.2</v>
      </c>
      <c r="X59" s="431">
        <f t="shared" si="13"/>
        <v>0.62144444444444447</v>
      </c>
      <c r="Y59" s="431">
        <f t="shared" si="8"/>
        <v>0.73399199999999998</v>
      </c>
      <c r="Z59" s="431">
        <f t="shared" si="8"/>
        <v>10.649072</v>
      </c>
      <c r="AA59" s="431">
        <f t="shared" si="8"/>
        <v>9.0440000000000005</v>
      </c>
      <c r="AB59" s="431">
        <f t="shared" si="5"/>
        <v>12.321660181582359</v>
      </c>
      <c r="AC59" s="431">
        <f t="shared" si="3"/>
        <v>93.10745574825674</v>
      </c>
      <c r="AD59" s="427">
        <v>31</v>
      </c>
      <c r="AE59" s="431">
        <f>Y59*AD59</f>
        <v>22.753751999999999</v>
      </c>
      <c r="AF59" s="434"/>
    </row>
    <row r="60" spans="1:32" ht="18.75" customHeight="1" x14ac:dyDescent="0.2">
      <c r="A60" s="427">
        <v>47</v>
      </c>
      <c r="B60" s="428" t="s">
        <v>164</v>
      </c>
      <c r="C60" s="427" t="s">
        <v>46</v>
      </c>
      <c r="D60" s="538">
        <v>678.47</v>
      </c>
      <c r="E60" s="538" t="s">
        <v>233</v>
      </c>
      <c r="F60" s="427">
        <v>177.8</v>
      </c>
      <c r="G60" s="427" t="s">
        <v>28</v>
      </c>
      <c r="H60" s="429" t="s">
        <v>48</v>
      </c>
      <c r="I60" s="538">
        <v>563.11</v>
      </c>
      <c r="J60" s="538">
        <v>160</v>
      </c>
      <c r="K60" s="538"/>
      <c r="L60" s="538">
        <v>422</v>
      </c>
      <c r="M60" s="538"/>
      <c r="N60" s="427">
        <v>1.5</v>
      </c>
      <c r="O60" s="538"/>
      <c r="P60" s="430">
        <v>16.07</v>
      </c>
      <c r="Q60" s="431">
        <f t="shared" si="9"/>
        <v>20.8</v>
      </c>
      <c r="R60" s="432">
        <v>5.0579999999999998</v>
      </c>
      <c r="S60" s="431">
        <v>6.0579999999999998</v>
      </c>
      <c r="T60" s="431">
        <v>9</v>
      </c>
      <c r="U60" s="431">
        <f t="shared" si="12"/>
        <v>1.7793594306049823</v>
      </c>
      <c r="V60" s="433">
        <f t="shared" si="7"/>
        <v>16.50709805216243</v>
      </c>
      <c r="W60" s="432">
        <v>2</v>
      </c>
      <c r="X60" s="431">
        <f t="shared" si="13"/>
        <v>0.29125000000000001</v>
      </c>
      <c r="Y60" s="431">
        <f t="shared" si="8"/>
        <v>4.8152159999999995</v>
      </c>
      <c r="Z60" s="431">
        <f t="shared" si="8"/>
        <v>5.7672159999999995</v>
      </c>
      <c r="AA60" s="431">
        <f t="shared" si="8"/>
        <v>8.5679999999999996</v>
      </c>
      <c r="AB60" s="431">
        <f t="shared" si="5"/>
        <v>1.7793594306049823</v>
      </c>
      <c r="AC60" s="431">
        <f t="shared" si="3"/>
        <v>16.50709805216243</v>
      </c>
      <c r="AD60" s="427">
        <v>31</v>
      </c>
      <c r="AE60" s="431">
        <f t="shared" ref="AE60:AE73" si="14">Y60*AD60</f>
        <v>149.27169599999999</v>
      </c>
      <c r="AF60" s="434"/>
    </row>
    <row r="61" spans="1:32" ht="18.75" customHeight="1" x14ac:dyDescent="0.2">
      <c r="A61" s="427">
        <v>48</v>
      </c>
      <c r="B61" s="428" t="s">
        <v>61</v>
      </c>
      <c r="C61" s="427" t="s">
        <v>46</v>
      </c>
      <c r="D61" s="429">
        <v>667.18</v>
      </c>
      <c r="E61" s="427" t="s">
        <v>96</v>
      </c>
      <c r="F61" s="427">
        <v>177.8</v>
      </c>
      <c r="G61" s="427" t="s">
        <v>28</v>
      </c>
      <c r="H61" s="429" t="s">
        <v>52</v>
      </c>
      <c r="I61" s="538">
        <v>534.21</v>
      </c>
      <c r="J61" s="427" t="s">
        <v>243</v>
      </c>
      <c r="K61" s="427"/>
      <c r="L61" s="427">
        <v>445</v>
      </c>
      <c r="M61" s="427"/>
      <c r="N61" s="427">
        <v>8.1</v>
      </c>
      <c r="O61" s="427"/>
      <c r="P61" s="430">
        <v>18.3</v>
      </c>
      <c r="Q61" s="431">
        <f t="shared" si="9"/>
        <v>33</v>
      </c>
      <c r="R61" s="432">
        <v>10.462999999999999</v>
      </c>
      <c r="S61" s="431">
        <v>13.728999999999999</v>
      </c>
      <c r="T61" s="431">
        <v>127</v>
      </c>
      <c r="U61" s="431">
        <f t="shared" si="12"/>
        <v>12.138010130937591</v>
      </c>
      <c r="V61" s="433">
        <f t="shared" si="7"/>
        <v>23.789059654745433</v>
      </c>
      <c r="W61" s="432">
        <v>0.3</v>
      </c>
      <c r="X61" s="431">
        <f t="shared" si="13"/>
        <v>0.41603030303030303</v>
      </c>
      <c r="Y61" s="431">
        <f t="shared" si="8"/>
        <v>9.9607759999999992</v>
      </c>
      <c r="Z61" s="431">
        <f t="shared" si="8"/>
        <v>13.070007999999998</v>
      </c>
      <c r="AA61" s="431">
        <f t="shared" si="8"/>
        <v>120.904</v>
      </c>
      <c r="AB61" s="431">
        <f t="shared" si="5"/>
        <v>12.138010130937591</v>
      </c>
      <c r="AC61" s="431">
        <v>67</v>
      </c>
      <c r="AD61" s="427">
        <v>31</v>
      </c>
      <c r="AE61" s="431">
        <f t="shared" si="14"/>
        <v>308.78405599999996</v>
      </c>
      <c r="AF61" s="449"/>
    </row>
    <row r="62" spans="1:32" ht="18.600000000000001" customHeight="1" x14ac:dyDescent="0.2">
      <c r="A62" s="427">
        <v>49</v>
      </c>
      <c r="B62" s="428" t="s">
        <v>64</v>
      </c>
      <c r="C62" s="427" t="s">
        <v>46</v>
      </c>
      <c r="D62" s="429">
        <v>672.5</v>
      </c>
      <c r="E62" s="427" t="s">
        <v>234</v>
      </c>
      <c r="F62" s="427">
        <v>177.8</v>
      </c>
      <c r="G62" s="427" t="s">
        <v>28</v>
      </c>
      <c r="H62" s="429" t="s">
        <v>49</v>
      </c>
      <c r="I62" s="538">
        <v>533.70000000000005</v>
      </c>
      <c r="J62" s="427" t="s">
        <v>257</v>
      </c>
      <c r="K62" s="427"/>
      <c r="L62" s="427">
        <v>464</v>
      </c>
      <c r="M62" s="427"/>
      <c r="N62" s="427">
        <v>10.199999999999999</v>
      </c>
      <c r="O62" s="427"/>
      <c r="P62" s="430">
        <v>18.87</v>
      </c>
      <c r="Q62" s="431">
        <f t="shared" si="9"/>
        <v>115.2</v>
      </c>
      <c r="R62" s="432">
        <v>11.6</v>
      </c>
      <c r="S62" s="431">
        <v>15.069000000000001</v>
      </c>
      <c r="T62" s="530">
        <v>1647</v>
      </c>
      <c r="U62" s="431">
        <f t="shared" si="12"/>
        <v>141.98275862068965</v>
      </c>
      <c r="V62" s="433">
        <f t="shared" si="7"/>
        <v>23.020771119516894</v>
      </c>
      <c r="W62" s="432">
        <v>0.3</v>
      </c>
      <c r="X62" s="431">
        <f t="shared" si="13"/>
        <v>0.13080729166666666</v>
      </c>
      <c r="Y62" s="431">
        <f t="shared" si="8"/>
        <v>11.043199999999999</v>
      </c>
      <c r="Z62" s="431">
        <f t="shared" si="8"/>
        <v>14.345688000000001</v>
      </c>
      <c r="AA62" s="530">
        <f t="shared" si="8"/>
        <v>1567.944</v>
      </c>
      <c r="AB62" s="431">
        <f t="shared" si="5"/>
        <v>141.98275862068965</v>
      </c>
      <c r="AC62" s="431">
        <f t="shared" si="3"/>
        <v>23.020771119516894</v>
      </c>
      <c r="AD62" s="427">
        <v>31</v>
      </c>
      <c r="AE62" s="431">
        <f t="shared" si="14"/>
        <v>342.33919999999995</v>
      </c>
      <c r="AF62" s="439"/>
    </row>
    <row r="63" spans="1:32" ht="18.75" customHeight="1" x14ac:dyDescent="0.2">
      <c r="A63" s="427">
        <v>50</v>
      </c>
      <c r="B63" s="428" t="s">
        <v>156</v>
      </c>
      <c r="C63" s="427" t="s">
        <v>46</v>
      </c>
      <c r="D63" s="429">
        <v>679.54</v>
      </c>
      <c r="E63" s="427" t="s">
        <v>166</v>
      </c>
      <c r="F63" s="427">
        <v>177.8</v>
      </c>
      <c r="G63" s="427" t="s">
        <v>28</v>
      </c>
      <c r="H63" s="429" t="s">
        <v>52</v>
      </c>
      <c r="I63" s="538">
        <v>530.98</v>
      </c>
      <c r="J63" s="427" t="s">
        <v>329</v>
      </c>
      <c r="K63" s="427"/>
      <c r="L63" s="427">
        <v>449</v>
      </c>
      <c r="M63" s="427"/>
      <c r="N63" s="427">
        <v>6.5</v>
      </c>
      <c r="O63" s="427"/>
      <c r="P63" s="430">
        <v>16.45</v>
      </c>
      <c r="Q63" s="431">
        <f t="shared" si="9"/>
        <v>36.299999999999997</v>
      </c>
      <c r="R63" s="432">
        <v>8.2560000000000002</v>
      </c>
      <c r="S63" s="431">
        <v>11.728999999999999</v>
      </c>
      <c r="T63" s="431">
        <v>105</v>
      </c>
      <c r="U63" s="431">
        <f t="shared" si="12"/>
        <v>12.718023255813954</v>
      </c>
      <c r="V63" s="433">
        <f t="shared" si="7"/>
        <v>29.610367465257049</v>
      </c>
      <c r="W63" s="432">
        <v>0.2</v>
      </c>
      <c r="X63" s="431">
        <f t="shared" si="13"/>
        <v>0.32311294765840221</v>
      </c>
      <c r="Y63" s="431">
        <f t="shared" si="8"/>
        <v>7.859712</v>
      </c>
      <c r="Z63" s="431">
        <f t="shared" si="8"/>
        <v>11.166007999999998</v>
      </c>
      <c r="AA63" s="431">
        <f t="shared" si="8"/>
        <v>99.96</v>
      </c>
      <c r="AB63" s="431">
        <f t="shared" si="5"/>
        <v>12.718023255813954</v>
      </c>
      <c r="AC63" s="431">
        <f t="shared" si="3"/>
        <v>29.610367465257049</v>
      </c>
      <c r="AD63" s="427">
        <v>31</v>
      </c>
      <c r="AE63" s="431">
        <f t="shared" si="14"/>
        <v>243.651072</v>
      </c>
      <c r="AF63" s="439"/>
    </row>
    <row r="64" spans="1:32" ht="18.75" customHeight="1" x14ac:dyDescent="0.2">
      <c r="A64" s="427">
        <v>51</v>
      </c>
      <c r="B64" s="428" t="s">
        <v>169</v>
      </c>
      <c r="C64" s="427" t="s">
        <v>46</v>
      </c>
      <c r="D64" s="429">
        <v>673</v>
      </c>
      <c r="E64" s="427" t="s">
        <v>170</v>
      </c>
      <c r="F64" s="427">
        <v>177.8</v>
      </c>
      <c r="G64" s="427" t="s">
        <v>28</v>
      </c>
      <c r="H64" s="429" t="s">
        <v>52</v>
      </c>
      <c r="I64" s="538">
        <v>541.48</v>
      </c>
      <c r="J64" s="427">
        <v>145</v>
      </c>
      <c r="K64" s="427"/>
      <c r="L64" s="427">
        <v>406</v>
      </c>
      <c r="M64" s="427"/>
      <c r="N64" s="427">
        <v>1.5</v>
      </c>
      <c r="O64" s="427"/>
      <c r="P64" s="430">
        <v>16.73</v>
      </c>
      <c r="Q64" s="431">
        <f t="shared" si="9"/>
        <v>31.9</v>
      </c>
      <c r="R64" s="432">
        <v>3.51</v>
      </c>
      <c r="S64" s="431">
        <v>4.7160000000000002</v>
      </c>
      <c r="T64" s="431">
        <v>15</v>
      </c>
      <c r="U64" s="431">
        <f t="shared" si="12"/>
        <v>4.2735042735042734</v>
      </c>
      <c r="V64" s="433">
        <f t="shared" si="7"/>
        <v>25.572519083969475</v>
      </c>
      <c r="W64" s="432">
        <v>0.8</v>
      </c>
      <c r="X64" s="431">
        <f t="shared" si="13"/>
        <v>0.14783699059561131</v>
      </c>
      <c r="Y64" s="431">
        <f t="shared" si="8"/>
        <v>3.3415199999999996</v>
      </c>
      <c r="Z64" s="431">
        <f t="shared" si="8"/>
        <v>4.4896320000000003</v>
      </c>
      <c r="AA64" s="431">
        <f t="shared" si="8"/>
        <v>14.28</v>
      </c>
      <c r="AB64" s="431">
        <f t="shared" si="5"/>
        <v>4.2735042735042734</v>
      </c>
      <c r="AC64" s="431">
        <f t="shared" si="3"/>
        <v>25.572519083969475</v>
      </c>
      <c r="AD64" s="427">
        <v>31</v>
      </c>
      <c r="AE64" s="431">
        <f>Y64*AD64</f>
        <v>103.58711999999998</v>
      </c>
      <c r="AF64" s="439"/>
    </row>
    <row r="65" spans="1:32" ht="18.75" customHeight="1" x14ac:dyDescent="0.2">
      <c r="A65" s="427">
        <v>52</v>
      </c>
      <c r="B65" s="428" t="s">
        <v>62</v>
      </c>
      <c r="C65" s="427" t="s">
        <v>46</v>
      </c>
      <c r="D65" s="429">
        <v>673.73</v>
      </c>
      <c r="E65" s="427" t="s">
        <v>97</v>
      </c>
      <c r="F65" s="427">
        <v>177.8</v>
      </c>
      <c r="G65" s="427" t="s">
        <v>28</v>
      </c>
      <c r="H65" s="429" t="s">
        <v>218</v>
      </c>
      <c r="I65" s="538">
        <v>543</v>
      </c>
      <c r="J65" s="427">
        <v>160</v>
      </c>
      <c r="K65" s="427"/>
      <c r="L65" s="427">
        <v>430</v>
      </c>
      <c r="M65" s="427"/>
      <c r="N65" s="427">
        <v>3.9</v>
      </c>
      <c r="O65" s="427"/>
      <c r="P65" s="430">
        <v>16.22</v>
      </c>
      <c r="Q65" s="431">
        <f t="shared" si="9"/>
        <v>51.2</v>
      </c>
      <c r="R65" s="432">
        <v>9.2720000000000002</v>
      </c>
      <c r="S65" s="431">
        <v>11.278</v>
      </c>
      <c r="T65" s="431">
        <v>119</v>
      </c>
      <c r="U65" s="431">
        <f t="shared" si="1"/>
        <v>12.834339948231234</v>
      </c>
      <c r="V65" s="433">
        <f t="shared" si="7"/>
        <v>17.786841638588406</v>
      </c>
      <c r="W65" s="432">
        <v>0.4</v>
      </c>
      <c r="X65" s="431">
        <f t="shared" si="13"/>
        <v>0.2202734375</v>
      </c>
      <c r="Y65" s="431">
        <f t="shared" si="8"/>
        <v>8.8269439999999992</v>
      </c>
      <c r="Z65" s="431">
        <f t="shared" si="8"/>
        <v>10.736656</v>
      </c>
      <c r="AA65" s="431">
        <f t="shared" si="8"/>
        <v>113.288</v>
      </c>
      <c r="AB65" s="431">
        <f t="shared" si="5"/>
        <v>12.834339948231234</v>
      </c>
      <c r="AC65" s="431">
        <f t="shared" si="3"/>
        <v>17.786841638588406</v>
      </c>
      <c r="AD65" s="427">
        <v>31</v>
      </c>
      <c r="AE65" s="431">
        <f t="shared" si="14"/>
        <v>273.63526399999995</v>
      </c>
      <c r="AF65" s="434"/>
    </row>
    <row r="66" spans="1:32" ht="18.75" customHeight="1" x14ac:dyDescent="0.2">
      <c r="A66" s="427">
        <v>53</v>
      </c>
      <c r="B66" s="428" t="s">
        <v>157</v>
      </c>
      <c r="C66" s="427" t="s">
        <v>46</v>
      </c>
      <c r="D66" s="429">
        <v>676.73</v>
      </c>
      <c r="E66" s="427" t="s">
        <v>179</v>
      </c>
      <c r="F66" s="427">
        <v>177.8</v>
      </c>
      <c r="G66" s="427" t="s">
        <v>28</v>
      </c>
      <c r="H66" s="429" t="s">
        <v>218</v>
      </c>
      <c r="I66" s="538">
        <v>579.14</v>
      </c>
      <c r="J66" s="427">
        <v>140</v>
      </c>
      <c r="K66" s="427"/>
      <c r="L66" s="427">
        <v>157</v>
      </c>
      <c r="M66" s="427"/>
      <c r="N66" s="427">
        <v>9.3000000000000007</v>
      </c>
      <c r="O66" s="427"/>
      <c r="P66" s="430">
        <v>47.81</v>
      </c>
      <c r="Q66" s="431">
        <f t="shared" si="9"/>
        <v>44.8</v>
      </c>
      <c r="R66" s="432">
        <v>3.621</v>
      </c>
      <c r="S66" s="431">
        <v>30.609000000000002</v>
      </c>
      <c r="T66" s="431">
        <v>204</v>
      </c>
      <c r="U66" s="431">
        <f t="shared" si="1"/>
        <v>56.338028169014088</v>
      </c>
      <c r="V66" s="433">
        <f t="shared" si="7"/>
        <v>88.170146035479775</v>
      </c>
      <c r="W66" s="432">
        <v>0.6</v>
      </c>
      <c r="X66" s="431">
        <f t="shared" si="13"/>
        <v>0.68323660714285728</v>
      </c>
      <c r="Y66" s="431">
        <f t="shared" si="8"/>
        <v>3.4471919999999998</v>
      </c>
      <c r="Z66" s="431">
        <f t="shared" si="8"/>
        <v>29.139768</v>
      </c>
      <c r="AA66" s="431">
        <f t="shared" si="8"/>
        <v>194.208</v>
      </c>
      <c r="AB66" s="431">
        <f t="shared" si="5"/>
        <v>56.338028169014088</v>
      </c>
      <c r="AC66" s="431">
        <v>30</v>
      </c>
      <c r="AD66" s="427">
        <v>31</v>
      </c>
      <c r="AE66" s="431">
        <f t="shared" si="14"/>
        <v>106.86295199999999</v>
      </c>
      <c r="AF66" s="459"/>
    </row>
    <row r="67" spans="1:32" ht="18.75" customHeight="1" x14ac:dyDescent="0.2">
      <c r="A67" s="427">
        <v>54</v>
      </c>
      <c r="B67" s="428" t="s">
        <v>159</v>
      </c>
      <c r="C67" s="427" t="s">
        <v>46</v>
      </c>
      <c r="D67" s="429">
        <v>676</v>
      </c>
      <c r="E67" s="427" t="s">
        <v>167</v>
      </c>
      <c r="F67" s="427">
        <v>177.8</v>
      </c>
      <c r="G67" s="427" t="s">
        <v>28</v>
      </c>
      <c r="H67" s="429" t="s">
        <v>218</v>
      </c>
      <c r="I67" s="538">
        <v>508.57</v>
      </c>
      <c r="J67" s="427">
        <v>240</v>
      </c>
      <c r="K67" s="427"/>
      <c r="L67" s="427">
        <v>428</v>
      </c>
      <c r="M67" s="427"/>
      <c r="N67" s="427">
        <v>9.6</v>
      </c>
      <c r="O67" s="427"/>
      <c r="P67" s="430">
        <v>17.77</v>
      </c>
      <c r="Q67" s="431">
        <f t="shared" si="9"/>
        <v>76.8</v>
      </c>
      <c r="R67" s="432">
        <v>33.021000000000001</v>
      </c>
      <c r="S67" s="431">
        <v>38.213000000000001</v>
      </c>
      <c r="T67" s="431">
        <v>972</v>
      </c>
      <c r="U67" s="431">
        <f t="shared" si="1"/>
        <v>29.435813573180702</v>
      </c>
      <c r="V67" s="433">
        <f t="shared" si="7"/>
        <v>13.586999188757753</v>
      </c>
      <c r="W67" s="432">
        <v>0.2</v>
      </c>
      <c r="X67" s="431">
        <f t="shared" si="13"/>
        <v>0.49756510416666672</v>
      </c>
      <c r="Y67" s="431">
        <f t="shared" si="8"/>
        <v>31.435991999999999</v>
      </c>
      <c r="Z67" s="431">
        <f t="shared" si="8"/>
        <v>36.378776000000002</v>
      </c>
      <c r="AA67" s="431">
        <f t="shared" si="8"/>
        <v>925.34399999999994</v>
      </c>
      <c r="AB67" s="431">
        <f t="shared" si="5"/>
        <v>29.435813573180702</v>
      </c>
      <c r="AC67" s="431">
        <v>14.18</v>
      </c>
      <c r="AD67" s="427">
        <v>31</v>
      </c>
      <c r="AE67" s="431">
        <f t="shared" si="14"/>
        <v>974.51575200000002</v>
      </c>
      <c r="AF67" s="434"/>
    </row>
    <row r="68" spans="1:32" ht="18.75" customHeight="1" x14ac:dyDescent="0.2">
      <c r="A68" s="427">
        <v>55</v>
      </c>
      <c r="B68" s="428" t="s">
        <v>210</v>
      </c>
      <c r="C68" s="427" t="s">
        <v>46</v>
      </c>
      <c r="D68" s="429">
        <v>728.32</v>
      </c>
      <c r="E68" s="427" t="s">
        <v>226</v>
      </c>
      <c r="F68" s="427">
        <v>177.8</v>
      </c>
      <c r="G68" s="427" t="s">
        <v>28</v>
      </c>
      <c r="H68" s="429" t="s">
        <v>218</v>
      </c>
      <c r="I68" s="538">
        <v>519.38</v>
      </c>
      <c r="J68" s="427">
        <v>200</v>
      </c>
      <c r="K68" s="427"/>
      <c r="L68" s="427">
        <v>441</v>
      </c>
      <c r="M68" s="427"/>
      <c r="N68" s="427">
        <v>10.7</v>
      </c>
      <c r="O68" s="427"/>
      <c r="P68" s="430">
        <v>19.43</v>
      </c>
      <c r="Q68" s="431">
        <f t="shared" si="9"/>
        <v>64</v>
      </c>
      <c r="R68" s="432">
        <v>20.353000000000002</v>
      </c>
      <c r="S68" s="431">
        <v>23.47</v>
      </c>
      <c r="T68" s="431">
        <v>866</v>
      </c>
      <c r="U68" s="431">
        <f t="shared" si="1"/>
        <v>42.549009973959606</v>
      </c>
      <c r="V68" s="433">
        <f t="shared" si="7"/>
        <v>13.28078397954835</v>
      </c>
      <c r="W68" s="432">
        <v>0.3</v>
      </c>
      <c r="X68" s="431">
        <f t="shared" si="13"/>
        <v>0.36671874999999998</v>
      </c>
      <c r="Y68" s="431">
        <f t="shared" si="8"/>
        <v>19.376056000000002</v>
      </c>
      <c r="Z68" s="431">
        <f t="shared" si="8"/>
        <v>22.343439999999998</v>
      </c>
      <c r="AA68" s="431">
        <f t="shared" si="8"/>
        <v>824.43200000000002</v>
      </c>
      <c r="AB68" s="431">
        <f t="shared" si="5"/>
        <v>42.549009973959606</v>
      </c>
      <c r="AC68" s="431">
        <f t="shared" si="3"/>
        <v>13.28078397954835</v>
      </c>
      <c r="AD68" s="427">
        <v>31</v>
      </c>
      <c r="AE68" s="431">
        <f t="shared" si="14"/>
        <v>600.65773600000011</v>
      </c>
      <c r="AF68" s="439"/>
    </row>
    <row r="69" spans="1:32" ht="18.75" customHeight="1" x14ac:dyDescent="0.2">
      <c r="A69" s="427">
        <v>56</v>
      </c>
      <c r="B69" s="428" t="s">
        <v>63</v>
      </c>
      <c r="C69" s="427" t="s">
        <v>46</v>
      </c>
      <c r="D69" s="429">
        <v>672.99</v>
      </c>
      <c r="E69" s="427" t="s">
        <v>98</v>
      </c>
      <c r="F69" s="427">
        <v>177.8</v>
      </c>
      <c r="G69" s="427" t="s">
        <v>28</v>
      </c>
      <c r="H69" s="429" t="s">
        <v>310</v>
      </c>
      <c r="I69" s="538">
        <v>536.32000000000005</v>
      </c>
      <c r="J69" s="427">
        <v>230</v>
      </c>
      <c r="K69" s="427"/>
      <c r="L69" s="427">
        <v>386</v>
      </c>
      <c r="M69" s="427"/>
      <c r="N69" s="427">
        <v>9.6999999999999993</v>
      </c>
      <c r="O69" s="427"/>
      <c r="P69" s="430">
        <v>25.51</v>
      </c>
      <c r="Q69" s="431">
        <f t="shared" si="9"/>
        <v>50.6</v>
      </c>
      <c r="R69" s="432">
        <v>13.336</v>
      </c>
      <c r="S69" s="431">
        <v>16.672999999999998</v>
      </c>
      <c r="T69" s="431">
        <v>859</v>
      </c>
      <c r="U69" s="431">
        <f t="shared" si="1"/>
        <v>64.412117576484704</v>
      </c>
      <c r="V69" s="433">
        <f t="shared" si="7"/>
        <v>20.014394530078562</v>
      </c>
      <c r="W69" s="432">
        <v>0.4</v>
      </c>
      <c r="X69" s="431">
        <f t="shared" si="13"/>
        <v>0.3295059288537549</v>
      </c>
      <c r="Y69" s="431">
        <f t="shared" si="8"/>
        <v>12.695872</v>
      </c>
      <c r="Z69" s="431">
        <f t="shared" si="8"/>
        <v>15.872695999999998</v>
      </c>
      <c r="AA69" s="431">
        <f t="shared" si="8"/>
        <v>817.76799999999992</v>
      </c>
      <c r="AB69" s="431">
        <f t="shared" si="5"/>
        <v>64.412117576484704</v>
      </c>
      <c r="AC69" s="431">
        <f t="shared" si="3"/>
        <v>20.014394530078562</v>
      </c>
      <c r="AD69" s="427">
        <v>31</v>
      </c>
      <c r="AE69" s="431">
        <f t="shared" si="14"/>
        <v>393.57203199999998</v>
      </c>
      <c r="AF69" s="439"/>
    </row>
    <row r="70" spans="1:32" ht="18.75" customHeight="1" x14ac:dyDescent="0.2">
      <c r="A70" s="427">
        <v>57</v>
      </c>
      <c r="B70" s="428" t="s">
        <v>217</v>
      </c>
      <c r="C70" s="427" t="s">
        <v>46</v>
      </c>
      <c r="D70" s="429">
        <v>684.57</v>
      </c>
      <c r="E70" s="427" t="s">
        <v>223</v>
      </c>
      <c r="F70" s="427">
        <v>177.8</v>
      </c>
      <c r="G70" s="427" t="s">
        <v>28</v>
      </c>
      <c r="H70" s="429" t="s">
        <v>219</v>
      </c>
      <c r="I70" s="538">
        <v>553.94000000000005</v>
      </c>
      <c r="J70" s="427" t="s">
        <v>248</v>
      </c>
      <c r="K70" s="427"/>
      <c r="L70" s="427">
        <v>235</v>
      </c>
      <c r="M70" s="427"/>
      <c r="N70" s="427">
        <v>10</v>
      </c>
      <c r="O70" s="427"/>
      <c r="P70" s="430">
        <v>43.16</v>
      </c>
      <c r="Q70" s="431">
        <f t="shared" si="9"/>
        <v>10.199999999999999</v>
      </c>
      <c r="R70" s="432">
        <v>1.2250000000000001</v>
      </c>
      <c r="S70" s="431">
        <v>7.5330000000000004</v>
      </c>
      <c r="T70" s="431">
        <v>0</v>
      </c>
      <c r="U70" s="431">
        <f t="shared" si="1"/>
        <v>0</v>
      </c>
      <c r="V70" s="433">
        <f t="shared" si="7"/>
        <v>83.738218505243594</v>
      </c>
      <c r="W70" s="432">
        <v>0.6</v>
      </c>
      <c r="X70" s="431">
        <f t="shared" si="13"/>
        <v>0.73852941176470599</v>
      </c>
      <c r="Y70" s="431">
        <f t="shared" si="8"/>
        <v>1.1662000000000001</v>
      </c>
      <c r="Z70" s="431">
        <f t="shared" si="8"/>
        <v>7.1714159999999998</v>
      </c>
      <c r="AA70" s="431">
        <f t="shared" si="8"/>
        <v>0</v>
      </c>
      <c r="AB70" s="431">
        <v>0</v>
      </c>
      <c r="AC70" s="431">
        <f t="shared" si="3"/>
        <v>83.738218505243594</v>
      </c>
      <c r="AD70" s="427">
        <v>31</v>
      </c>
      <c r="AE70" s="431">
        <f t="shared" si="14"/>
        <v>36.152200000000001</v>
      </c>
      <c r="AF70" s="439"/>
    </row>
    <row r="71" spans="1:32" ht="18.75" customHeight="1" x14ac:dyDescent="0.2">
      <c r="A71" s="427">
        <v>58</v>
      </c>
      <c r="B71" s="428" t="s">
        <v>211</v>
      </c>
      <c r="C71" s="427" t="s">
        <v>46</v>
      </c>
      <c r="D71" s="429">
        <v>675.29</v>
      </c>
      <c r="E71" s="427" t="s">
        <v>224</v>
      </c>
      <c r="F71" s="427">
        <v>177.8</v>
      </c>
      <c r="G71" s="427" t="s">
        <v>28</v>
      </c>
      <c r="H71" s="429" t="s">
        <v>52</v>
      </c>
      <c r="I71" s="538">
        <v>560.29</v>
      </c>
      <c r="J71" s="427" t="s">
        <v>324</v>
      </c>
      <c r="K71" s="427"/>
      <c r="L71" s="427">
        <v>443</v>
      </c>
      <c r="M71" s="427"/>
      <c r="N71" s="427">
        <v>2.2000000000000002</v>
      </c>
      <c r="O71" s="427"/>
      <c r="P71" s="430">
        <v>14.5</v>
      </c>
      <c r="Q71" s="431">
        <f t="shared" si="9"/>
        <v>28.6</v>
      </c>
      <c r="R71" s="432">
        <v>3.8</v>
      </c>
      <c r="S71" s="431">
        <v>4.7</v>
      </c>
      <c r="T71" s="431">
        <v>48</v>
      </c>
      <c r="U71" s="431">
        <f t="shared" si="1"/>
        <v>12.631578947368421</v>
      </c>
      <c r="V71" s="433">
        <f t="shared" si="7"/>
        <v>19.148936170212774</v>
      </c>
      <c r="W71" s="432">
        <v>0.4</v>
      </c>
      <c r="X71" s="431">
        <f t="shared" si="13"/>
        <v>0.16433566433566432</v>
      </c>
      <c r="Y71" s="431">
        <f t="shared" si="8"/>
        <v>3.6175999999999995</v>
      </c>
      <c r="Z71" s="431">
        <f t="shared" si="8"/>
        <v>4.4744000000000002</v>
      </c>
      <c r="AA71" s="431">
        <f t="shared" si="8"/>
        <v>45.695999999999998</v>
      </c>
      <c r="AB71" s="431">
        <f t="shared" si="5"/>
        <v>12.631578947368421</v>
      </c>
      <c r="AC71" s="431">
        <f t="shared" si="3"/>
        <v>19.148936170212774</v>
      </c>
      <c r="AD71" s="427">
        <v>31</v>
      </c>
      <c r="AE71" s="431">
        <f t="shared" si="14"/>
        <v>112.14559999999999</v>
      </c>
      <c r="AF71" s="439"/>
    </row>
    <row r="72" spans="1:32" ht="18.75" customHeight="1" x14ac:dyDescent="0.2">
      <c r="A72" s="427">
        <v>59</v>
      </c>
      <c r="B72" s="428" t="s">
        <v>341</v>
      </c>
      <c r="C72" s="427" t="s">
        <v>46</v>
      </c>
      <c r="D72" s="429">
        <v>683.16</v>
      </c>
      <c r="E72" s="427" t="s">
        <v>343</v>
      </c>
      <c r="F72" s="427">
        <v>177.8</v>
      </c>
      <c r="G72" s="427" t="s">
        <v>28</v>
      </c>
      <c r="H72" s="548" t="s">
        <v>342</v>
      </c>
      <c r="I72" s="547">
        <v>571.9</v>
      </c>
      <c r="J72" s="427">
        <v>85</v>
      </c>
      <c r="K72" s="427"/>
      <c r="L72" s="427">
        <v>137</v>
      </c>
      <c r="M72" s="427"/>
      <c r="N72" s="427">
        <v>6.3</v>
      </c>
      <c r="O72" s="427"/>
      <c r="P72" s="430">
        <v>43.43</v>
      </c>
      <c r="Q72" s="431" t="e">
        <f t="shared" ref="Q72" si="15">LEFT(H72,(FIND("K",H72,1)-1))*J72/100</f>
        <v>#VALUE!</v>
      </c>
      <c r="R72" s="432">
        <v>11.284000000000001</v>
      </c>
      <c r="S72" s="431">
        <v>15.54</v>
      </c>
      <c r="T72" s="431">
        <v>196</v>
      </c>
      <c r="U72" s="431">
        <f t="shared" ref="U72" si="16">T72/R72</f>
        <v>17.369727047146402</v>
      </c>
      <c r="V72" s="433">
        <f t="shared" ref="V72" si="17">(S72-R72)/S72*100</f>
        <v>27.387387387387381</v>
      </c>
      <c r="W72" s="432">
        <v>0.6</v>
      </c>
      <c r="X72" s="431" t="e">
        <f t="shared" ref="X72" si="18">S72/Q72</f>
        <v>#VALUE!</v>
      </c>
      <c r="Y72" s="431">
        <f t="shared" ref="Y72" si="19">R72*0.952</f>
        <v>10.742368000000001</v>
      </c>
      <c r="Z72" s="431">
        <f t="shared" ref="Z72" si="20">S72*0.952</f>
        <v>14.794079999999999</v>
      </c>
      <c r="AA72" s="431">
        <f t="shared" ref="AA72" si="21">T72*0.952</f>
        <v>186.59199999999998</v>
      </c>
      <c r="AB72" s="431">
        <f t="shared" ref="AB72" si="22">U72</f>
        <v>17.369727047146402</v>
      </c>
      <c r="AC72" s="431">
        <f t="shared" ref="AC72" si="23">V72</f>
        <v>27.387387387387381</v>
      </c>
      <c r="AD72" s="427">
        <v>31</v>
      </c>
      <c r="AE72" s="431">
        <f t="shared" ref="AE72" si="24">Y72*AD72</f>
        <v>333.01340800000003</v>
      </c>
      <c r="AF72" s="439"/>
    </row>
    <row r="73" spans="1:32" ht="18.75" customHeight="1" x14ac:dyDescent="0.2">
      <c r="A73" s="427">
        <v>60</v>
      </c>
      <c r="B73" s="428" t="s">
        <v>213</v>
      </c>
      <c r="C73" s="427" t="s">
        <v>46</v>
      </c>
      <c r="D73" s="429">
        <v>679.2</v>
      </c>
      <c r="E73" s="460" t="s">
        <v>225</v>
      </c>
      <c r="F73" s="427">
        <v>177.8</v>
      </c>
      <c r="G73" s="427" t="s">
        <v>28</v>
      </c>
      <c r="H73" s="429" t="s">
        <v>48</v>
      </c>
      <c r="I73" s="538">
        <v>559.19000000000005</v>
      </c>
      <c r="J73" s="427" t="s">
        <v>239</v>
      </c>
      <c r="K73" s="427"/>
      <c r="L73" s="427">
        <v>475</v>
      </c>
      <c r="M73" s="427"/>
      <c r="N73" s="427">
        <v>3.3</v>
      </c>
      <c r="O73" s="427"/>
      <c r="P73" s="430">
        <v>12.75</v>
      </c>
      <c r="Q73" s="431">
        <f t="shared" si="9"/>
        <v>13</v>
      </c>
      <c r="R73" s="432">
        <v>2.4</v>
      </c>
      <c r="S73" s="431">
        <v>3.9740000000000002</v>
      </c>
      <c r="T73" s="431">
        <v>20</v>
      </c>
      <c r="U73" s="431">
        <f t="shared" si="1"/>
        <v>8.3333333333333339</v>
      </c>
      <c r="V73" s="433">
        <f t="shared" si="7"/>
        <v>39.607448414695526</v>
      </c>
      <c r="W73" s="432">
        <v>0.2</v>
      </c>
      <c r="X73" s="431">
        <f t="shared" si="13"/>
        <v>0.30569230769230771</v>
      </c>
      <c r="Y73" s="431">
        <f t="shared" si="8"/>
        <v>2.2847999999999997</v>
      </c>
      <c r="Z73" s="431">
        <f t="shared" si="8"/>
        <v>3.7832479999999999</v>
      </c>
      <c r="AA73" s="431">
        <f t="shared" si="8"/>
        <v>19.04</v>
      </c>
      <c r="AB73" s="431">
        <f t="shared" si="5"/>
        <v>8.3333333333333339</v>
      </c>
      <c r="AC73" s="431">
        <f t="shared" si="3"/>
        <v>39.607448414695526</v>
      </c>
      <c r="AD73" s="427">
        <v>31</v>
      </c>
      <c r="AE73" s="431">
        <f t="shared" si="14"/>
        <v>70.828799999999987</v>
      </c>
      <c r="AF73" s="439"/>
    </row>
    <row r="74" spans="1:32" ht="18.75" customHeight="1" x14ac:dyDescent="0.2">
      <c r="A74" s="427">
        <v>61</v>
      </c>
      <c r="B74" s="428" t="s">
        <v>172</v>
      </c>
      <c r="C74" s="427" t="s">
        <v>46</v>
      </c>
      <c r="D74" s="429">
        <v>673</v>
      </c>
      <c r="E74" s="427" t="s">
        <v>173</v>
      </c>
      <c r="F74" s="427">
        <v>177.8</v>
      </c>
      <c r="G74" s="427" t="s">
        <v>28</v>
      </c>
      <c r="H74" s="429" t="s">
        <v>50</v>
      </c>
      <c r="I74" s="538">
        <v>560.79</v>
      </c>
      <c r="J74" s="427">
        <v>190</v>
      </c>
      <c r="K74" s="427"/>
      <c r="L74" s="427">
        <v>235</v>
      </c>
      <c r="M74" s="427"/>
      <c r="N74" s="427">
        <v>8.3000000000000007</v>
      </c>
      <c r="O74" s="427"/>
      <c r="P74" s="448">
        <v>40.96</v>
      </c>
      <c r="Q74" s="431">
        <f>LEFT(H74,(FIND("K",H74,1)-1))*J74/100</f>
        <v>11.4</v>
      </c>
      <c r="R74" s="432">
        <v>2.0089999999999999</v>
      </c>
      <c r="S74" s="431">
        <v>5.0149999999999997</v>
      </c>
      <c r="T74" s="431">
        <v>2.1819999999999999</v>
      </c>
      <c r="U74" s="431">
        <f t="shared" si="1"/>
        <v>1.0861124937779991</v>
      </c>
      <c r="V74" s="433">
        <f t="shared" si="7"/>
        <v>59.940179461615152</v>
      </c>
      <c r="W74" s="432">
        <v>0.4</v>
      </c>
      <c r="X74" s="431">
        <f t="shared" si="13"/>
        <v>0.43991228070175437</v>
      </c>
      <c r="Y74" s="431">
        <f t="shared" si="8"/>
        <v>1.9125679999999998</v>
      </c>
      <c r="Z74" s="431">
        <f t="shared" si="8"/>
        <v>4.7742799999999992</v>
      </c>
      <c r="AA74" s="431">
        <f t="shared" si="8"/>
        <v>2.077264</v>
      </c>
      <c r="AB74" s="431">
        <f t="shared" si="5"/>
        <v>1.0861124937779991</v>
      </c>
      <c r="AC74" s="431">
        <f t="shared" si="3"/>
        <v>59.940179461615152</v>
      </c>
      <c r="AD74" s="427">
        <v>31</v>
      </c>
      <c r="AE74" s="431">
        <f>Y74*AD74</f>
        <v>59.289607999999994</v>
      </c>
      <c r="AF74" s="439"/>
    </row>
    <row r="75" spans="1:32" ht="18.75" customHeight="1" x14ac:dyDescent="0.2">
      <c r="A75" s="427">
        <v>62</v>
      </c>
      <c r="B75" s="461" t="s">
        <v>171</v>
      </c>
      <c r="C75" s="427" t="s">
        <v>46</v>
      </c>
      <c r="D75" s="538">
        <v>646</v>
      </c>
      <c r="E75" s="538" t="s">
        <v>191</v>
      </c>
      <c r="F75" s="427">
        <v>177.8</v>
      </c>
      <c r="G75" s="427" t="s">
        <v>28</v>
      </c>
      <c r="H75" s="429" t="s">
        <v>48</v>
      </c>
      <c r="I75" s="538">
        <v>570.15</v>
      </c>
      <c r="J75" s="538">
        <v>200</v>
      </c>
      <c r="K75" s="538"/>
      <c r="L75" s="538">
        <v>288</v>
      </c>
      <c r="M75" s="538"/>
      <c r="N75" s="427">
        <v>4.8</v>
      </c>
      <c r="O75" s="538"/>
      <c r="P75" s="430">
        <v>33.549999999999997</v>
      </c>
      <c r="Q75" s="437">
        <f>LEFT(H75,(FIND("K",H75,1)-1))*J75/100</f>
        <v>26</v>
      </c>
      <c r="R75" s="432">
        <v>0.35499999999999998</v>
      </c>
      <c r="S75" s="431">
        <v>3.01</v>
      </c>
      <c r="T75" s="437">
        <v>1</v>
      </c>
      <c r="U75" s="431">
        <f t="shared" si="1"/>
        <v>2.8169014084507045</v>
      </c>
      <c r="V75" s="433">
        <f t="shared" si="7"/>
        <v>88.205980066445179</v>
      </c>
      <c r="W75" s="432">
        <v>0.2</v>
      </c>
      <c r="X75" s="431">
        <f t="shared" si="13"/>
        <v>0.11576923076923076</v>
      </c>
      <c r="Y75" s="431">
        <f t="shared" si="8"/>
        <v>0.33795999999999998</v>
      </c>
      <c r="Z75" s="431">
        <f t="shared" si="8"/>
        <v>2.8655199999999996</v>
      </c>
      <c r="AA75" s="431">
        <f t="shared" si="8"/>
        <v>0.95199999999999996</v>
      </c>
      <c r="AB75" s="431">
        <f t="shared" si="5"/>
        <v>2.8169014084507045</v>
      </c>
      <c r="AC75" s="431">
        <f t="shared" si="3"/>
        <v>88.205980066445179</v>
      </c>
      <c r="AD75" s="427">
        <v>31</v>
      </c>
      <c r="AE75" s="431">
        <f>Y75*AD75</f>
        <v>10.476759999999999</v>
      </c>
      <c r="AF75" s="434"/>
    </row>
    <row r="76" spans="1:32" ht="18.75" customHeight="1" x14ac:dyDescent="0.2">
      <c r="A76" s="427"/>
      <c r="B76" s="544"/>
      <c r="C76" s="464"/>
      <c r="D76" s="539"/>
      <c r="E76" s="540"/>
      <c r="F76" s="427"/>
      <c r="G76" s="427"/>
      <c r="H76" s="429"/>
      <c r="I76" s="538"/>
      <c r="J76" s="538"/>
      <c r="K76" s="538"/>
      <c r="L76" s="538"/>
      <c r="M76" s="538"/>
      <c r="N76" s="427"/>
      <c r="O76" s="538"/>
      <c r="P76" s="430"/>
      <c r="Q76" s="437"/>
      <c r="R76" s="466">
        <f>SUM(R14:R75)</f>
        <v>368.43299999999999</v>
      </c>
      <c r="S76" s="467">
        <f>SUM(S14:S75)</f>
        <v>620.60599999999999</v>
      </c>
      <c r="T76" s="512">
        <f>SUM(T14:T75)</f>
        <v>16499.473000000002</v>
      </c>
      <c r="U76" s="467">
        <f>T76/R76</f>
        <v>44.782831613889101</v>
      </c>
      <c r="V76" s="468"/>
      <c r="W76" s="466"/>
      <c r="X76" s="467"/>
      <c r="Y76" s="467">
        <f>SUM(Y14:Y75)</f>
        <v>350.74821600000001</v>
      </c>
      <c r="Z76" s="467">
        <f>SUM(Z14:Z75)</f>
        <v>590.81691199999977</v>
      </c>
      <c r="AA76" s="481">
        <f>SUM(AA14:AA75)</f>
        <v>15707.498296000005</v>
      </c>
      <c r="AB76" s="467">
        <f>AA76/Y76</f>
        <v>44.782831613889108</v>
      </c>
      <c r="AC76" s="467"/>
      <c r="AD76" s="438"/>
      <c r="AE76" s="467">
        <f>SUM(AE14:AE75)</f>
        <v>10844.597567999997</v>
      </c>
      <c r="AF76" s="434"/>
    </row>
    <row r="77" spans="1:32" ht="18.75" customHeight="1" x14ac:dyDescent="0.2">
      <c r="A77" s="427"/>
      <c r="B77" s="1905"/>
      <c r="C77" s="1906"/>
      <c r="D77" s="1906"/>
      <c r="E77" s="1906"/>
      <c r="F77" s="428"/>
      <c r="G77" s="427"/>
      <c r="H77" s="429"/>
      <c r="I77" s="429"/>
      <c r="J77" s="538"/>
      <c r="K77" s="538"/>
      <c r="L77" s="538"/>
      <c r="M77" s="538"/>
      <c r="N77" s="538"/>
      <c r="O77" s="538"/>
      <c r="P77" s="448"/>
      <c r="Q77" s="437"/>
      <c r="R77" s="538"/>
      <c r="S77" s="538"/>
      <c r="T77" s="538"/>
      <c r="U77" s="534"/>
      <c r="V77" s="534"/>
      <c r="W77" s="534"/>
      <c r="X77" s="534"/>
      <c r="Y77" s="473"/>
      <c r="Z77" s="474"/>
      <c r="AA77" s="537"/>
      <c r="AB77" s="534"/>
      <c r="AC77" s="538"/>
      <c r="AD77" s="427"/>
      <c r="AE77" s="431"/>
      <c r="AF77" s="434"/>
    </row>
    <row r="78" spans="1:32" ht="18.75" customHeight="1" x14ac:dyDescent="0.3">
      <c r="A78" s="475"/>
      <c r="B78" s="1900" t="s">
        <v>277</v>
      </c>
      <c r="C78" s="1901"/>
      <c r="D78" s="1901"/>
      <c r="E78" s="1901"/>
      <c r="F78" s="1902"/>
      <c r="G78" s="534"/>
      <c r="H78" s="537"/>
      <c r="I78" s="537"/>
      <c r="J78" s="538"/>
      <c r="K78" s="538"/>
      <c r="L78" s="538"/>
      <c r="M78" s="538"/>
      <c r="N78" s="538"/>
      <c r="O78" s="538"/>
      <c r="P78" s="448"/>
      <c r="Q78" s="437"/>
      <c r="R78" s="538"/>
      <c r="S78" s="437"/>
      <c r="T78" s="538"/>
      <c r="U78" s="534"/>
      <c r="V78" s="534"/>
      <c r="W78" s="534"/>
      <c r="X78" s="421"/>
      <c r="Y78" s="538"/>
      <c r="Z78" s="538"/>
      <c r="AA78" s="538"/>
      <c r="AB78" s="534"/>
      <c r="AC78" s="534"/>
      <c r="AD78" s="538"/>
      <c r="AE78" s="538"/>
      <c r="AF78" s="537"/>
    </row>
    <row r="79" spans="1:32" ht="18.75" customHeight="1" x14ac:dyDescent="0.2">
      <c r="A79" s="476">
        <v>63</v>
      </c>
      <c r="B79" s="427" t="s">
        <v>131</v>
      </c>
      <c r="C79" s="476" t="s">
        <v>313</v>
      </c>
      <c r="D79" s="429">
        <v>389.74</v>
      </c>
      <c r="E79" s="477" t="s">
        <v>136</v>
      </c>
      <c r="F79" s="427">
        <v>177.8</v>
      </c>
      <c r="G79" s="427" t="s">
        <v>28</v>
      </c>
      <c r="H79" s="429" t="s">
        <v>58</v>
      </c>
      <c r="I79" s="538">
        <v>142.80000000000001</v>
      </c>
      <c r="J79" s="538">
        <v>180</v>
      </c>
      <c r="K79" s="427"/>
      <c r="L79" s="427">
        <v>25</v>
      </c>
      <c r="M79" s="427"/>
      <c r="N79" s="427">
        <v>0</v>
      </c>
      <c r="O79" s="427"/>
      <c r="P79" s="430">
        <v>18.41</v>
      </c>
      <c r="Q79" s="437">
        <f>(3*J79)/100</f>
        <v>5.4</v>
      </c>
      <c r="R79" s="432">
        <v>1.5169999999999999</v>
      </c>
      <c r="S79" s="431">
        <v>2.149</v>
      </c>
      <c r="T79" s="431">
        <v>0</v>
      </c>
      <c r="U79" s="431">
        <f>T79/R79</f>
        <v>0</v>
      </c>
      <c r="V79" s="432">
        <f t="shared" ref="V79:V82" si="25">(S79-R79)/S79*100</f>
        <v>29.409027454630067</v>
      </c>
      <c r="W79" s="432">
        <v>0.3</v>
      </c>
      <c r="X79" s="431">
        <f t="shared" ref="X79:X80" si="26">S79/Q79</f>
        <v>0.39796296296296296</v>
      </c>
      <c r="Y79" s="431">
        <f>R79*0.9424</f>
        <v>1.4296207999999999</v>
      </c>
      <c r="Z79" s="431">
        <f>S79*0.9424</f>
        <v>2.0252176</v>
      </c>
      <c r="AA79" s="431">
        <f t="shared" ref="AA79:AA83" si="27">T79*0.9494</f>
        <v>0</v>
      </c>
      <c r="AB79" s="431">
        <f t="shared" ref="AB79:AC83" si="28">U79</f>
        <v>0</v>
      </c>
      <c r="AC79" s="431">
        <f t="shared" si="28"/>
        <v>29.409027454630067</v>
      </c>
      <c r="AD79" s="427">
        <v>31</v>
      </c>
      <c r="AE79" s="431">
        <f t="shared" ref="AE79:AE84" si="29">Y79*AD79</f>
        <v>44.318244799999995</v>
      </c>
      <c r="AF79" s="439"/>
    </row>
    <row r="80" spans="1:32" ht="18.75" customHeight="1" x14ac:dyDescent="0.2">
      <c r="A80" s="476">
        <v>64</v>
      </c>
      <c r="B80" s="427" t="s">
        <v>132</v>
      </c>
      <c r="C80" s="476" t="s">
        <v>313</v>
      </c>
      <c r="D80" s="427">
        <v>387.72</v>
      </c>
      <c r="E80" s="477" t="s">
        <v>135</v>
      </c>
      <c r="F80" s="427">
        <v>177.8</v>
      </c>
      <c r="G80" s="427" t="s">
        <v>28</v>
      </c>
      <c r="H80" s="429" t="s">
        <v>58</v>
      </c>
      <c r="I80" s="538">
        <v>136.03</v>
      </c>
      <c r="J80" s="427">
        <v>170</v>
      </c>
      <c r="K80" s="427"/>
      <c r="L80" s="427">
        <v>24</v>
      </c>
      <c r="M80" s="427"/>
      <c r="N80" s="427">
        <v>0</v>
      </c>
      <c r="O80" s="427"/>
      <c r="P80" s="430">
        <v>11.84</v>
      </c>
      <c r="Q80" s="437">
        <f>(3*J80)/100</f>
        <v>5.0999999999999996</v>
      </c>
      <c r="R80" s="432">
        <v>3.1440000000000001</v>
      </c>
      <c r="S80" s="431">
        <v>4.4420000000000002</v>
      </c>
      <c r="T80" s="431">
        <v>0</v>
      </c>
      <c r="U80" s="431">
        <v>0</v>
      </c>
      <c r="V80" s="432">
        <f t="shared" si="25"/>
        <v>29.221071589374155</v>
      </c>
      <c r="W80" s="432">
        <v>0.3</v>
      </c>
      <c r="X80" s="431">
        <f t="shared" si="26"/>
        <v>0.87098039215686285</v>
      </c>
      <c r="Y80" s="431">
        <f t="shared" ref="Y80:Z83" si="30">R80*0.9424</f>
        <v>2.9629056</v>
      </c>
      <c r="Z80" s="431">
        <f t="shared" si="30"/>
        <v>4.1861408000000004</v>
      </c>
      <c r="AA80" s="431">
        <f t="shared" si="27"/>
        <v>0</v>
      </c>
      <c r="AB80" s="431">
        <v>0</v>
      </c>
      <c r="AC80" s="431">
        <f>V80</f>
        <v>29.221071589374155</v>
      </c>
      <c r="AD80" s="427">
        <v>31</v>
      </c>
      <c r="AE80" s="431">
        <f t="shared" si="29"/>
        <v>91.850073600000002</v>
      </c>
      <c r="AF80" s="449"/>
    </row>
    <row r="81" spans="1:32" ht="18.75" customHeight="1" x14ac:dyDescent="0.2">
      <c r="A81" s="476">
        <v>65</v>
      </c>
      <c r="B81" s="427" t="s">
        <v>121</v>
      </c>
      <c r="C81" s="476" t="s">
        <v>313</v>
      </c>
      <c r="D81" s="427">
        <v>389.57</v>
      </c>
      <c r="E81" s="427" t="s">
        <v>137</v>
      </c>
      <c r="F81" s="427">
        <v>177.8</v>
      </c>
      <c r="G81" s="427" t="s">
        <v>28</v>
      </c>
      <c r="H81" s="429" t="s">
        <v>58</v>
      </c>
      <c r="I81" s="538">
        <v>120.43</v>
      </c>
      <c r="J81" s="427">
        <v>0</v>
      </c>
      <c r="K81" s="427"/>
      <c r="L81" s="427"/>
      <c r="M81" s="427"/>
      <c r="N81" s="427"/>
      <c r="O81" s="427"/>
      <c r="P81" s="430"/>
      <c r="Q81" s="431"/>
      <c r="R81" s="432">
        <v>0</v>
      </c>
      <c r="S81" s="431">
        <v>0</v>
      </c>
      <c r="T81" s="431">
        <v>0</v>
      </c>
      <c r="U81" s="431">
        <v>0</v>
      </c>
      <c r="V81" s="432">
        <v>0</v>
      </c>
      <c r="W81" s="432">
        <v>0</v>
      </c>
      <c r="X81" s="431">
        <v>0</v>
      </c>
      <c r="Y81" s="431">
        <v>1.3</v>
      </c>
      <c r="Z81" s="431">
        <v>1.3</v>
      </c>
      <c r="AA81" s="431">
        <f t="shared" si="27"/>
        <v>0</v>
      </c>
      <c r="AB81" s="431">
        <v>0</v>
      </c>
      <c r="AC81" s="431">
        <f>V81</f>
        <v>0</v>
      </c>
      <c r="AD81" s="427">
        <v>31</v>
      </c>
      <c r="AE81" s="431">
        <f t="shared" si="29"/>
        <v>40.300000000000004</v>
      </c>
      <c r="AF81" s="434" t="s">
        <v>335</v>
      </c>
    </row>
    <row r="82" spans="1:32" ht="18.75" customHeight="1" x14ac:dyDescent="0.2">
      <c r="A82" s="476">
        <v>66</v>
      </c>
      <c r="B82" s="427" t="s">
        <v>122</v>
      </c>
      <c r="C82" s="476" t="s">
        <v>313</v>
      </c>
      <c r="D82" s="427">
        <v>391.06</v>
      </c>
      <c r="E82" s="427" t="s">
        <v>138</v>
      </c>
      <c r="F82" s="427">
        <v>177.8</v>
      </c>
      <c r="G82" s="427" t="s">
        <v>28</v>
      </c>
      <c r="H82" s="429" t="s">
        <v>58</v>
      </c>
      <c r="I82" s="431">
        <v>151.72999999999999</v>
      </c>
      <c r="J82" s="427">
        <v>220</v>
      </c>
      <c r="K82" s="438"/>
      <c r="L82" s="427">
        <v>46</v>
      </c>
      <c r="M82" s="438"/>
      <c r="N82" s="427">
        <v>0</v>
      </c>
      <c r="O82" s="438"/>
      <c r="P82" s="430">
        <v>13.11</v>
      </c>
      <c r="Q82" s="437">
        <f>(3*J82)/100</f>
        <v>6.6</v>
      </c>
      <c r="R82" s="432">
        <v>2.9319999999999999</v>
      </c>
      <c r="S82" s="432">
        <v>3.3980000000000001</v>
      </c>
      <c r="T82" s="431">
        <v>0</v>
      </c>
      <c r="U82" s="431">
        <f>T82/R82</f>
        <v>0</v>
      </c>
      <c r="V82" s="432">
        <f t="shared" si="25"/>
        <v>13.71394938198941</v>
      </c>
      <c r="W82" s="431">
        <v>0.3</v>
      </c>
      <c r="X82" s="431">
        <f t="shared" ref="X82" si="31">S82/Q82</f>
        <v>0.51484848484848489</v>
      </c>
      <c r="Y82" s="431">
        <f t="shared" si="30"/>
        <v>2.7631168000000002</v>
      </c>
      <c r="Z82" s="431">
        <f t="shared" si="30"/>
        <v>3.2022752000000003</v>
      </c>
      <c r="AA82" s="431">
        <f t="shared" si="27"/>
        <v>0</v>
      </c>
      <c r="AB82" s="431">
        <f t="shared" si="28"/>
        <v>0</v>
      </c>
      <c r="AC82" s="431">
        <f t="shared" si="28"/>
        <v>13.71394938198941</v>
      </c>
      <c r="AD82" s="427">
        <v>31</v>
      </c>
      <c r="AE82" s="431">
        <f t="shared" si="29"/>
        <v>85.656620799999999</v>
      </c>
      <c r="AF82" s="478"/>
    </row>
    <row r="83" spans="1:32" ht="18.75" customHeight="1" x14ac:dyDescent="0.2">
      <c r="A83" s="476">
        <v>67</v>
      </c>
      <c r="B83" s="427" t="s">
        <v>57</v>
      </c>
      <c r="C83" s="476" t="s">
        <v>314</v>
      </c>
      <c r="D83" s="427">
        <v>376.58</v>
      </c>
      <c r="E83" s="428" t="s">
        <v>93</v>
      </c>
      <c r="F83" s="427">
        <v>177.8</v>
      </c>
      <c r="G83" s="427" t="s">
        <v>28</v>
      </c>
      <c r="H83" s="429"/>
      <c r="I83" s="431">
        <v>157.88</v>
      </c>
      <c r="J83" s="427"/>
      <c r="K83" s="435"/>
      <c r="L83" s="427"/>
      <c r="M83" s="438"/>
      <c r="N83" s="427"/>
      <c r="O83" s="438"/>
      <c r="P83" s="549"/>
      <c r="Q83" s="431"/>
      <c r="R83" s="432">
        <v>0</v>
      </c>
      <c r="S83" s="431">
        <v>0</v>
      </c>
      <c r="T83" s="431">
        <v>0</v>
      </c>
      <c r="U83" s="431">
        <v>0</v>
      </c>
      <c r="V83" s="432">
        <v>0</v>
      </c>
      <c r="W83" s="431">
        <v>0</v>
      </c>
      <c r="X83" s="431">
        <v>0</v>
      </c>
      <c r="Y83" s="431">
        <f t="shared" si="30"/>
        <v>0</v>
      </c>
      <c r="Z83" s="431">
        <f t="shared" si="30"/>
        <v>0</v>
      </c>
      <c r="AA83" s="431">
        <f t="shared" si="27"/>
        <v>0</v>
      </c>
      <c r="AB83" s="431">
        <f t="shared" si="28"/>
        <v>0</v>
      </c>
      <c r="AC83" s="431">
        <f t="shared" si="28"/>
        <v>0</v>
      </c>
      <c r="AD83" s="427">
        <v>0</v>
      </c>
      <c r="AE83" s="431">
        <f t="shared" si="29"/>
        <v>0</v>
      </c>
      <c r="AF83" s="434" t="s">
        <v>302</v>
      </c>
    </row>
    <row r="84" spans="1:32" ht="18.75" customHeight="1" x14ac:dyDescent="0.2">
      <c r="A84" s="476">
        <v>68</v>
      </c>
      <c r="B84" s="427" t="s">
        <v>188</v>
      </c>
      <c r="C84" s="476" t="s">
        <v>344</v>
      </c>
      <c r="D84" s="427">
        <v>400.5</v>
      </c>
      <c r="E84" s="427" t="s">
        <v>345</v>
      </c>
      <c r="F84" s="427">
        <v>177.8</v>
      </c>
      <c r="G84" s="427" t="s">
        <v>28</v>
      </c>
      <c r="H84" s="429" t="s">
        <v>58</v>
      </c>
      <c r="I84" s="431">
        <v>227.27</v>
      </c>
      <c r="J84" s="427">
        <v>110</v>
      </c>
      <c r="K84" s="438"/>
      <c r="L84" s="427">
        <v>109</v>
      </c>
      <c r="M84" s="438"/>
      <c r="N84" s="427">
        <v>0</v>
      </c>
      <c r="O84" s="438"/>
      <c r="P84" s="430">
        <v>12.45</v>
      </c>
      <c r="Q84" s="437">
        <f>(3*J84)/100</f>
        <v>3.3</v>
      </c>
      <c r="R84" s="432">
        <v>2.7730000000000001</v>
      </c>
      <c r="S84" s="432">
        <v>2.903</v>
      </c>
      <c r="T84" s="431">
        <v>0</v>
      </c>
      <c r="U84" s="431">
        <f>T84/R84</f>
        <v>0</v>
      </c>
      <c r="V84" s="432">
        <f t="shared" ref="V84" si="32">(S84-R84)/S84*100</f>
        <v>4.478126076472611</v>
      </c>
      <c r="W84" s="431">
        <v>0.3</v>
      </c>
      <c r="X84" s="431">
        <f t="shared" ref="X84" si="33">S84/Q84</f>
        <v>0.87969696969696975</v>
      </c>
      <c r="Y84" s="431">
        <f t="shared" ref="Y84:Y85" si="34">R84*0.9424</f>
        <v>2.6132752000000004</v>
      </c>
      <c r="Z84" s="431">
        <f t="shared" ref="Z84:Z85" si="35">S84*0.9424</f>
        <v>2.7357871999999999</v>
      </c>
      <c r="AA84" s="431">
        <f t="shared" ref="AA84:AA85" si="36">T84*0.9494</f>
        <v>0</v>
      </c>
      <c r="AB84" s="431">
        <f t="shared" ref="AB84:AB85" si="37">U84</f>
        <v>0</v>
      </c>
      <c r="AC84" s="431">
        <f t="shared" ref="AC84:AC85" si="38">V84</f>
        <v>4.478126076472611</v>
      </c>
      <c r="AD84" s="427">
        <v>31</v>
      </c>
      <c r="AE84" s="431">
        <f t="shared" si="29"/>
        <v>81.011531200000007</v>
      </c>
      <c r="AF84" s="434" t="s">
        <v>350</v>
      </c>
    </row>
    <row r="85" spans="1:32" ht="18.75" customHeight="1" x14ac:dyDescent="0.2">
      <c r="A85" s="476">
        <v>69</v>
      </c>
      <c r="B85" s="427" t="s">
        <v>184</v>
      </c>
      <c r="C85" s="476" t="s">
        <v>314</v>
      </c>
      <c r="D85" s="427">
        <v>422.78</v>
      </c>
      <c r="E85" s="428" t="s">
        <v>185</v>
      </c>
      <c r="F85" s="427">
        <v>177.8</v>
      </c>
      <c r="G85" s="427" t="s">
        <v>28</v>
      </c>
      <c r="H85" s="429"/>
      <c r="I85" s="431">
        <v>223.87</v>
      </c>
      <c r="J85" s="427"/>
      <c r="K85" s="435"/>
      <c r="L85" s="427"/>
      <c r="M85" s="438"/>
      <c r="N85" s="427"/>
      <c r="O85" s="438"/>
      <c r="P85" s="430"/>
      <c r="Q85" s="431"/>
      <c r="R85" s="432">
        <v>0</v>
      </c>
      <c r="S85" s="431">
        <v>0</v>
      </c>
      <c r="T85" s="431">
        <v>0</v>
      </c>
      <c r="U85" s="431">
        <v>0</v>
      </c>
      <c r="V85" s="432">
        <v>0</v>
      </c>
      <c r="W85" s="431">
        <v>0</v>
      </c>
      <c r="X85" s="431">
        <v>0</v>
      </c>
      <c r="Y85" s="431">
        <f t="shared" si="34"/>
        <v>0</v>
      </c>
      <c r="Z85" s="431">
        <f t="shared" si="35"/>
        <v>0</v>
      </c>
      <c r="AA85" s="431">
        <f t="shared" si="36"/>
        <v>0</v>
      </c>
      <c r="AB85" s="431">
        <f t="shared" si="37"/>
        <v>0</v>
      </c>
      <c r="AC85" s="431">
        <f t="shared" si="38"/>
        <v>0</v>
      </c>
      <c r="AD85" s="427">
        <v>0</v>
      </c>
      <c r="AE85" s="431">
        <f t="shared" ref="AE85" si="39">Y85*AD85</f>
        <v>0</v>
      </c>
      <c r="AF85" s="434" t="s">
        <v>302</v>
      </c>
    </row>
    <row r="86" spans="1:32" ht="18.75" customHeight="1" x14ac:dyDescent="0.2">
      <c r="A86" s="476">
        <v>70</v>
      </c>
      <c r="B86" s="427" t="s">
        <v>186</v>
      </c>
      <c r="C86" s="476" t="s">
        <v>346</v>
      </c>
      <c r="D86" s="427">
        <v>349.5</v>
      </c>
      <c r="E86" s="428" t="s">
        <v>347</v>
      </c>
      <c r="F86" s="427">
        <v>177.8</v>
      </c>
      <c r="G86" s="427" t="s">
        <v>28</v>
      </c>
      <c r="H86" s="429" t="s">
        <v>58</v>
      </c>
      <c r="I86" s="431">
        <v>117.18</v>
      </c>
      <c r="J86" s="427">
        <v>85</v>
      </c>
      <c r="K86" s="435"/>
      <c r="L86" s="427">
        <v>108</v>
      </c>
      <c r="M86" s="438"/>
      <c r="N86" s="427">
        <v>0</v>
      </c>
      <c r="O86" s="438"/>
      <c r="P86" s="430">
        <v>7.95</v>
      </c>
      <c r="Q86" s="437">
        <f>(3*J86)/100</f>
        <v>2.5499999999999998</v>
      </c>
      <c r="R86" s="432">
        <v>0</v>
      </c>
      <c r="S86" s="432">
        <v>0.2</v>
      </c>
      <c r="T86" s="431">
        <v>0</v>
      </c>
      <c r="U86" s="431">
        <v>0</v>
      </c>
      <c r="V86" s="432">
        <f t="shared" ref="V86" si="40">(S86-R86)/S86*100</f>
        <v>100</v>
      </c>
      <c r="W86" s="431">
        <v>0</v>
      </c>
      <c r="X86" s="431">
        <f t="shared" ref="X86" si="41">S86/Q86</f>
        <v>7.8431372549019621E-2</v>
      </c>
      <c r="Y86" s="431">
        <f t="shared" ref="Y86" si="42">R86*0.9424</f>
        <v>0</v>
      </c>
      <c r="Z86" s="431">
        <f t="shared" ref="Z86" si="43">S86*0.9424</f>
        <v>0.18848000000000001</v>
      </c>
      <c r="AA86" s="431">
        <f t="shared" ref="AA86" si="44">T86*0.9494</f>
        <v>0</v>
      </c>
      <c r="AB86" s="431">
        <f t="shared" ref="AB86" si="45">U86</f>
        <v>0</v>
      </c>
      <c r="AC86" s="431">
        <f t="shared" ref="AC86" si="46">V86</f>
        <v>100</v>
      </c>
      <c r="AD86" s="427">
        <v>31</v>
      </c>
      <c r="AE86" s="431">
        <f>Y86*AD86</f>
        <v>0</v>
      </c>
      <c r="AF86" s="434" t="s">
        <v>350</v>
      </c>
    </row>
    <row r="87" spans="1:32" ht="18.75" customHeight="1" x14ac:dyDescent="0.3">
      <c r="A87" s="469"/>
      <c r="B87" s="1889"/>
      <c r="C87" s="1889"/>
      <c r="D87" s="1889"/>
      <c r="E87" s="1890"/>
      <c r="F87" s="538"/>
      <c r="G87" s="534"/>
      <c r="H87" s="537"/>
      <c r="I87" s="537"/>
      <c r="J87" s="538"/>
      <c r="K87" s="538"/>
      <c r="L87" s="538"/>
      <c r="M87" s="538"/>
      <c r="N87" s="538"/>
      <c r="O87" s="538"/>
      <c r="P87" s="448"/>
      <c r="Q87" s="437"/>
      <c r="R87" s="467">
        <f>SUM(R79:R83)</f>
        <v>7.593</v>
      </c>
      <c r="S87" s="467">
        <f>SUM(S79:S83)</f>
        <v>9.9890000000000008</v>
      </c>
      <c r="T87" s="467">
        <f>SUM(T79:T83)</f>
        <v>0</v>
      </c>
      <c r="U87" s="467">
        <f>SUM(U79:U82)</f>
        <v>0</v>
      </c>
      <c r="V87" s="534"/>
      <c r="W87" s="534"/>
      <c r="X87" s="534"/>
      <c r="Y87" s="467">
        <f>SUM(Y79:Y82)</f>
        <v>8.455643199999999</v>
      </c>
      <c r="Z87" s="467">
        <f>SUM(Z79:Z82)</f>
        <v>10.7136336</v>
      </c>
      <c r="AA87" s="467">
        <f>SUM(AA79:AA83)</f>
        <v>0</v>
      </c>
      <c r="AB87" s="467">
        <v>0</v>
      </c>
      <c r="AC87" s="534"/>
      <c r="AD87" s="538"/>
      <c r="AE87" s="467">
        <f>SUM(AE79:AE82)</f>
        <v>262.12493920000003</v>
      </c>
      <c r="AF87" s="471"/>
    </row>
    <row r="88" spans="1:32" ht="18.75" customHeight="1" x14ac:dyDescent="0.3">
      <c r="A88" s="469"/>
      <c r="B88" s="541"/>
      <c r="C88" s="541"/>
      <c r="D88" s="541"/>
      <c r="E88" s="531" t="s">
        <v>331</v>
      </c>
      <c r="F88" s="427"/>
      <c r="G88" s="427"/>
      <c r="H88" s="538"/>
      <c r="I88" s="538"/>
      <c r="J88" s="538"/>
      <c r="K88" s="538"/>
      <c r="L88" s="538"/>
      <c r="M88" s="538"/>
      <c r="N88" s="538"/>
      <c r="O88" s="538"/>
      <c r="P88" s="448"/>
      <c r="Q88" s="437"/>
      <c r="R88" s="467"/>
      <c r="S88" s="467"/>
      <c r="T88" s="467"/>
      <c r="U88" s="467"/>
      <c r="V88" s="534"/>
      <c r="W88" s="534"/>
      <c r="X88" s="534"/>
      <c r="Y88" s="467"/>
      <c r="Z88" s="467"/>
      <c r="AA88" s="467"/>
      <c r="AB88" s="467"/>
      <c r="AC88" s="534"/>
      <c r="AD88" s="538"/>
      <c r="AE88" s="467"/>
      <c r="AF88" s="471"/>
    </row>
    <row r="89" spans="1:32" ht="18.75" customHeight="1" x14ac:dyDescent="0.3">
      <c r="A89" s="469">
        <v>71</v>
      </c>
      <c r="B89" s="427" t="s">
        <v>330</v>
      </c>
      <c r="C89" s="427" t="s">
        <v>332</v>
      </c>
      <c r="D89" s="532">
        <v>680.25</v>
      </c>
      <c r="E89" s="428" t="s">
        <v>351</v>
      </c>
      <c r="F89" s="427">
        <v>177.8</v>
      </c>
      <c r="G89" s="427" t="s">
        <v>28</v>
      </c>
      <c r="H89" s="538" t="s">
        <v>218</v>
      </c>
      <c r="I89" s="538">
        <v>588.75</v>
      </c>
      <c r="J89" s="538">
        <v>260</v>
      </c>
      <c r="K89" s="538"/>
      <c r="L89" s="538">
        <v>352</v>
      </c>
      <c r="M89" s="538"/>
      <c r="N89" s="538">
        <v>10.6</v>
      </c>
      <c r="O89" s="538"/>
      <c r="P89" s="448">
        <v>33.28</v>
      </c>
      <c r="Q89" s="431">
        <f t="shared" ref="Q89" si="47">LEFT(H89,(FIND("K",H89,1)-1))*J89/100</f>
        <v>83.2</v>
      </c>
      <c r="R89" s="432">
        <v>25.126000000000001</v>
      </c>
      <c r="S89" s="431">
        <v>25.055</v>
      </c>
      <c r="T89" s="431">
        <v>2187</v>
      </c>
      <c r="U89" s="530">
        <f t="shared" ref="U89" si="48">T89/R89</f>
        <v>87.041311788585531</v>
      </c>
      <c r="V89" s="433">
        <v>1</v>
      </c>
      <c r="W89" s="432">
        <v>0.2</v>
      </c>
      <c r="X89" s="431">
        <f t="shared" ref="X89" si="49">S89/Q89</f>
        <v>0.30114182692307689</v>
      </c>
      <c r="Y89" s="431">
        <f t="shared" ref="Y89:Z89" si="50">R89*0.925</f>
        <v>23.241550000000004</v>
      </c>
      <c r="Z89" s="431">
        <f t="shared" si="50"/>
        <v>23.175875000000001</v>
      </c>
      <c r="AA89" s="530">
        <f t="shared" ref="AA89" si="51">T89*0.935</f>
        <v>2044.845</v>
      </c>
      <c r="AB89" s="431">
        <f t="shared" ref="AB89:AC89" si="52">U89</f>
        <v>87.041311788585531</v>
      </c>
      <c r="AC89" s="431">
        <f t="shared" si="52"/>
        <v>1</v>
      </c>
      <c r="AD89" s="427">
        <v>30</v>
      </c>
      <c r="AE89" s="431">
        <f t="shared" ref="AE89" si="53">Y89*AD89</f>
        <v>697.24650000000008</v>
      </c>
      <c r="AF89" s="471"/>
    </row>
    <row r="90" spans="1:32" ht="18.75" customHeight="1" x14ac:dyDescent="0.3">
      <c r="A90" s="469"/>
      <c r="B90" s="1889"/>
      <c r="C90" s="1889"/>
      <c r="D90" s="1889"/>
      <c r="E90" s="1890"/>
      <c r="F90" s="438"/>
      <c r="G90" s="427"/>
      <c r="H90" s="429"/>
      <c r="I90" s="431"/>
      <c r="J90" s="427"/>
      <c r="K90" s="438"/>
      <c r="L90" s="427"/>
      <c r="M90" s="438"/>
      <c r="N90" s="430"/>
      <c r="O90" s="438"/>
      <c r="P90" s="480"/>
      <c r="Q90" s="467"/>
      <c r="R90" s="467"/>
      <c r="S90" s="467"/>
      <c r="T90" s="467"/>
      <c r="U90" s="467"/>
      <c r="V90" s="467"/>
      <c r="W90" s="467"/>
      <c r="X90" s="467"/>
      <c r="Y90" s="467"/>
      <c r="Z90" s="481"/>
      <c r="AA90" s="467"/>
      <c r="AB90" s="467"/>
      <c r="AC90" s="467"/>
      <c r="AD90" s="467"/>
      <c r="AE90" s="467"/>
      <c r="AF90" s="478"/>
    </row>
    <row r="91" spans="1:32" ht="18.75" customHeight="1" x14ac:dyDescent="0.3">
      <c r="A91" s="469"/>
      <c r="B91" s="1894" t="s">
        <v>276</v>
      </c>
      <c r="C91" s="1895"/>
      <c r="D91" s="1895"/>
      <c r="E91" s="1895"/>
      <c r="F91" s="1895"/>
      <c r="G91" s="534"/>
      <c r="H91" s="537"/>
      <c r="I91" s="537"/>
      <c r="J91" s="538"/>
      <c r="K91" s="538"/>
      <c r="L91" s="538"/>
      <c r="M91" s="538"/>
      <c r="N91" s="538"/>
      <c r="O91" s="538"/>
      <c r="P91" s="448"/>
      <c r="Q91" s="437"/>
      <c r="R91" s="538"/>
      <c r="S91" s="538"/>
      <c r="T91" s="538"/>
      <c r="U91" s="534"/>
      <c r="V91" s="534"/>
      <c r="W91" s="534"/>
      <c r="X91" s="534"/>
      <c r="Y91" s="538"/>
      <c r="Z91" s="538"/>
      <c r="AA91" s="538"/>
      <c r="AB91" s="543"/>
      <c r="AC91" s="534"/>
      <c r="AD91" s="538"/>
      <c r="AE91" s="538"/>
      <c r="AF91" s="537"/>
    </row>
    <row r="92" spans="1:32" ht="18.75" customHeight="1" x14ac:dyDescent="0.2">
      <c r="A92" s="427">
        <v>72</v>
      </c>
      <c r="B92" s="483" t="s">
        <v>107</v>
      </c>
      <c r="C92" s="542" t="s">
        <v>109</v>
      </c>
      <c r="D92" s="542"/>
      <c r="E92" s="542"/>
      <c r="F92" s="538"/>
      <c r="G92" s="534"/>
      <c r="H92" s="537"/>
      <c r="I92" s="537"/>
      <c r="J92" s="538"/>
      <c r="K92" s="538"/>
      <c r="L92" s="538"/>
      <c r="M92" s="538"/>
      <c r="N92" s="538"/>
      <c r="O92" s="538"/>
      <c r="P92" s="448"/>
      <c r="Q92" s="437"/>
      <c r="R92" s="538"/>
      <c r="S92" s="538"/>
      <c r="T92" s="538"/>
      <c r="U92" s="534"/>
      <c r="V92" s="534"/>
      <c r="W92" s="534"/>
      <c r="X92" s="534"/>
      <c r="Y92" s="537"/>
      <c r="Z92" s="537"/>
      <c r="AA92" s="538"/>
      <c r="AB92" s="543"/>
      <c r="AC92" s="534"/>
      <c r="AD92" s="485"/>
      <c r="AE92" s="538"/>
      <c r="AF92" s="486"/>
    </row>
    <row r="93" spans="1:32" ht="18.75" customHeight="1" x14ac:dyDescent="0.2">
      <c r="A93" s="427">
        <v>73</v>
      </c>
      <c r="B93" s="483" t="s">
        <v>108</v>
      </c>
      <c r="C93" s="542" t="s">
        <v>109</v>
      </c>
      <c r="D93" s="542"/>
      <c r="E93" s="542"/>
      <c r="F93" s="538"/>
      <c r="G93" s="534"/>
      <c r="H93" s="537"/>
      <c r="I93" s="537"/>
      <c r="J93" s="538"/>
      <c r="K93" s="538"/>
      <c r="L93" s="538"/>
      <c r="M93" s="538"/>
      <c r="N93" s="538"/>
      <c r="O93" s="538"/>
      <c r="P93" s="448"/>
      <c r="Q93" s="437"/>
      <c r="R93" s="538"/>
      <c r="S93" s="538"/>
      <c r="T93" s="538"/>
      <c r="U93" s="534"/>
      <c r="V93" s="534"/>
      <c r="W93" s="534"/>
      <c r="X93" s="534"/>
      <c r="Y93" s="537"/>
      <c r="Z93" s="537"/>
      <c r="AA93" s="538"/>
      <c r="AB93" s="543"/>
      <c r="AC93" s="534"/>
      <c r="AD93" s="485"/>
      <c r="AE93" s="538"/>
      <c r="AF93" s="486"/>
    </row>
    <row r="94" spans="1:32" ht="18.75" customHeight="1" x14ac:dyDescent="0.2">
      <c r="A94" s="427">
        <v>74</v>
      </c>
      <c r="B94" s="483" t="s">
        <v>195</v>
      </c>
      <c r="C94" s="476" t="s">
        <v>193</v>
      </c>
      <c r="D94" s="542"/>
      <c r="E94" s="542"/>
      <c r="F94" s="538"/>
      <c r="G94" s="534"/>
      <c r="H94" s="537"/>
      <c r="I94" s="537"/>
      <c r="J94" s="538"/>
      <c r="K94" s="538"/>
      <c r="L94" s="538"/>
      <c r="M94" s="538"/>
      <c r="N94" s="538"/>
      <c r="O94" s="538"/>
      <c r="P94" s="448"/>
      <c r="Q94" s="437"/>
      <c r="R94" s="538"/>
      <c r="S94" s="538"/>
      <c r="T94" s="538"/>
      <c r="U94" s="534"/>
      <c r="V94" s="534"/>
      <c r="W94" s="534"/>
      <c r="X94" s="534"/>
      <c r="Y94" s="537"/>
      <c r="Z94" s="537"/>
      <c r="AA94" s="538"/>
      <c r="AB94" s="543"/>
      <c r="AC94" s="534"/>
      <c r="AD94" s="485"/>
      <c r="AE94" s="538"/>
      <c r="AF94" s="486"/>
    </row>
    <row r="95" spans="1:32" ht="18.75" customHeight="1" x14ac:dyDescent="0.2">
      <c r="A95" s="427">
        <v>75</v>
      </c>
      <c r="B95" s="483" t="s">
        <v>192</v>
      </c>
      <c r="C95" s="476" t="s">
        <v>193</v>
      </c>
      <c r="D95" s="542"/>
      <c r="E95" s="542"/>
      <c r="F95" s="538"/>
      <c r="G95" s="534"/>
      <c r="H95" s="537"/>
      <c r="I95" s="537"/>
      <c r="J95" s="538"/>
      <c r="K95" s="538"/>
      <c r="L95" s="538"/>
      <c r="M95" s="538"/>
      <c r="N95" s="538"/>
      <c r="O95" s="538"/>
      <c r="P95" s="448"/>
      <c r="Q95" s="437"/>
      <c r="R95" s="538"/>
      <c r="S95" s="538"/>
      <c r="T95" s="538"/>
      <c r="U95" s="534"/>
      <c r="V95" s="534"/>
      <c r="W95" s="534"/>
      <c r="X95" s="534"/>
      <c r="Y95" s="537"/>
      <c r="Z95" s="537"/>
      <c r="AA95" s="538"/>
      <c r="AB95" s="543"/>
      <c r="AC95" s="534"/>
      <c r="AD95" s="485"/>
      <c r="AE95" s="538"/>
      <c r="AF95" s="486"/>
    </row>
    <row r="96" spans="1:32" ht="18.75" customHeight="1" x14ac:dyDescent="0.2">
      <c r="A96" s="427"/>
      <c r="B96" s="1894" t="s">
        <v>278</v>
      </c>
      <c r="C96" s="1895"/>
      <c r="D96" s="1895"/>
      <c r="E96" s="1895"/>
      <c r="F96" s="1895"/>
      <c r="G96" s="534"/>
      <c r="H96" s="537"/>
      <c r="I96" s="537"/>
      <c r="J96" s="538"/>
      <c r="K96" s="538"/>
      <c r="L96" s="538"/>
      <c r="M96" s="538"/>
      <c r="N96" s="538"/>
      <c r="O96" s="538"/>
      <c r="P96" s="448"/>
      <c r="Q96" s="437"/>
      <c r="R96" s="538"/>
      <c r="S96" s="538"/>
      <c r="T96" s="538"/>
      <c r="U96" s="534"/>
      <c r="V96" s="534"/>
      <c r="W96" s="534"/>
      <c r="X96" s="534"/>
      <c r="Y96" s="538"/>
      <c r="Z96" s="538"/>
      <c r="AA96" s="538"/>
      <c r="AB96" s="543"/>
      <c r="AC96" s="534"/>
      <c r="AD96" s="538"/>
      <c r="AE96" s="538"/>
      <c r="AF96" s="537"/>
    </row>
    <row r="97" spans="1:32" ht="18.75" customHeight="1" x14ac:dyDescent="0.2">
      <c r="A97" s="427">
        <v>76</v>
      </c>
      <c r="B97" s="487" t="s">
        <v>189</v>
      </c>
      <c r="C97" s="427" t="s">
        <v>46</v>
      </c>
      <c r="D97" s="472">
        <v>673</v>
      </c>
      <c r="E97" s="472" t="s">
        <v>190</v>
      </c>
      <c r="F97" s="427">
        <v>177.8</v>
      </c>
      <c r="G97" s="427"/>
      <c r="H97" s="429"/>
      <c r="I97" s="538"/>
      <c r="J97" s="538"/>
      <c r="K97" s="538"/>
      <c r="L97" s="538"/>
      <c r="M97" s="538"/>
      <c r="N97" s="538"/>
      <c r="O97" s="538"/>
      <c r="P97" s="448"/>
      <c r="Q97" s="437"/>
      <c r="R97" s="538"/>
      <c r="S97" s="538"/>
      <c r="T97" s="538"/>
      <c r="U97" s="534"/>
      <c r="V97" s="534"/>
      <c r="W97" s="534"/>
      <c r="X97" s="534"/>
      <c r="Y97" s="488"/>
      <c r="Z97" s="489"/>
      <c r="AA97" s="537"/>
      <c r="AB97" s="543"/>
      <c r="AC97" s="538"/>
      <c r="AD97" s="427"/>
      <c r="AE97" s="431"/>
      <c r="AF97" s="439"/>
    </row>
    <row r="98" spans="1:32" ht="18.75" customHeight="1" x14ac:dyDescent="0.3">
      <c r="A98" s="427">
        <v>77</v>
      </c>
      <c r="B98" s="428" t="s">
        <v>181</v>
      </c>
      <c r="C98" s="490" t="s">
        <v>183</v>
      </c>
      <c r="D98" s="429">
        <v>374.5</v>
      </c>
      <c r="E98" s="427" t="s">
        <v>182</v>
      </c>
      <c r="F98" s="427">
        <v>177.8</v>
      </c>
      <c r="G98" s="427"/>
      <c r="H98" s="429"/>
      <c r="I98" s="538"/>
      <c r="J98" s="427"/>
      <c r="K98" s="427"/>
      <c r="L98" s="427"/>
      <c r="M98" s="427"/>
      <c r="N98" s="430"/>
      <c r="O98" s="427"/>
      <c r="P98" s="432"/>
      <c r="Q98" s="431"/>
      <c r="R98" s="432"/>
      <c r="S98" s="431"/>
      <c r="T98" s="431"/>
      <c r="U98" s="431"/>
      <c r="V98" s="432"/>
      <c r="W98" s="432"/>
      <c r="X98" s="491"/>
      <c r="Y98" s="431"/>
      <c r="Z98" s="431"/>
      <c r="AA98" s="431"/>
      <c r="AB98" s="431"/>
      <c r="AC98" s="431"/>
      <c r="AD98" s="427"/>
      <c r="AE98" s="431"/>
      <c r="AF98" s="439"/>
    </row>
    <row r="99" spans="1:32" ht="18.75" customHeight="1" x14ac:dyDescent="0.2">
      <c r="A99" s="427">
        <v>78</v>
      </c>
      <c r="B99" s="428" t="s">
        <v>174</v>
      </c>
      <c r="C99" s="427" t="s">
        <v>46</v>
      </c>
      <c r="D99" s="429">
        <v>672</v>
      </c>
      <c r="E99" s="427" t="s">
        <v>175</v>
      </c>
      <c r="F99" s="427">
        <v>177.8</v>
      </c>
      <c r="G99" s="427"/>
      <c r="H99" s="429"/>
      <c r="I99" s="538"/>
      <c r="J99" s="427"/>
      <c r="K99" s="427"/>
      <c r="L99" s="427"/>
      <c r="M99" s="427"/>
      <c r="N99" s="430"/>
      <c r="O99" s="427"/>
      <c r="P99" s="430"/>
      <c r="Q99" s="431"/>
      <c r="R99" s="432"/>
      <c r="S99" s="431"/>
      <c r="T99" s="431"/>
      <c r="U99" s="431"/>
      <c r="V99" s="432"/>
      <c r="W99" s="432"/>
      <c r="X99" s="431"/>
      <c r="Y99" s="431"/>
      <c r="Z99" s="431"/>
      <c r="AA99" s="431"/>
      <c r="AB99" s="431"/>
      <c r="AC99" s="431"/>
      <c r="AD99" s="427"/>
      <c r="AE99" s="431"/>
      <c r="AF99" s="439"/>
    </row>
    <row r="100" spans="1:32" ht="18.75" customHeight="1" x14ac:dyDescent="0.2">
      <c r="A100" s="427">
        <v>79</v>
      </c>
      <c r="B100" s="540" t="s">
        <v>103</v>
      </c>
      <c r="C100" s="427" t="s">
        <v>46</v>
      </c>
      <c r="D100" s="538">
        <v>582</v>
      </c>
      <c r="E100" s="538" t="s">
        <v>112</v>
      </c>
      <c r="F100" s="427">
        <v>177.8</v>
      </c>
      <c r="G100" s="427"/>
      <c r="H100" s="429"/>
      <c r="I100" s="538"/>
      <c r="J100" s="538"/>
      <c r="K100" s="424"/>
      <c r="L100" s="538"/>
      <c r="M100" s="424"/>
      <c r="N100" s="538"/>
      <c r="O100" s="538"/>
      <c r="P100" s="448"/>
      <c r="Q100" s="437"/>
      <c r="R100" s="538"/>
      <c r="S100" s="538"/>
      <c r="T100" s="538"/>
      <c r="U100" s="534"/>
      <c r="V100" s="534"/>
      <c r="W100" s="534"/>
      <c r="X100" s="421"/>
      <c r="Y100" s="492"/>
      <c r="Z100" s="538"/>
      <c r="AA100" s="538"/>
      <c r="AB100" s="534"/>
      <c r="AC100" s="538"/>
      <c r="AD100" s="493"/>
      <c r="AE100" s="437"/>
      <c r="AF100" s="439"/>
    </row>
    <row r="101" spans="1:32" ht="18.75" customHeight="1" x14ac:dyDescent="0.2">
      <c r="A101" s="427">
        <v>80</v>
      </c>
      <c r="B101" s="540" t="s">
        <v>220</v>
      </c>
      <c r="C101" s="427" t="s">
        <v>46</v>
      </c>
      <c r="D101" s="538">
        <v>685.69</v>
      </c>
      <c r="E101" s="538" t="s">
        <v>222</v>
      </c>
      <c r="F101" s="427">
        <v>177.8</v>
      </c>
      <c r="G101" s="427"/>
      <c r="H101" s="429"/>
      <c r="I101" s="538"/>
      <c r="J101" s="538"/>
      <c r="K101" s="424"/>
      <c r="L101" s="538"/>
      <c r="M101" s="424"/>
      <c r="N101" s="538"/>
      <c r="O101" s="538"/>
      <c r="P101" s="448"/>
      <c r="Q101" s="437"/>
      <c r="R101" s="538"/>
      <c r="S101" s="538"/>
      <c r="T101" s="538"/>
      <c r="U101" s="534"/>
      <c r="V101" s="534"/>
      <c r="W101" s="534"/>
      <c r="X101" s="421"/>
      <c r="Y101" s="492"/>
      <c r="Z101" s="538"/>
      <c r="AA101" s="538"/>
      <c r="AB101" s="534"/>
      <c r="AC101" s="538"/>
      <c r="AD101" s="493"/>
      <c r="AE101" s="437"/>
      <c r="AF101" s="439"/>
    </row>
    <row r="102" spans="1:32" ht="18.75" customHeight="1" x14ac:dyDescent="0.2">
      <c r="A102" s="427"/>
      <c r="B102" s="1894" t="s">
        <v>279</v>
      </c>
      <c r="C102" s="1895"/>
      <c r="D102" s="1895"/>
      <c r="E102" s="1895"/>
      <c r="F102" s="1895"/>
      <c r="G102" s="427"/>
      <c r="H102" s="429"/>
      <c r="I102" s="538"/>
      <c r="J102" s="427"/>
      <c r="K102" s="427"/>
      <c r="L102" s="427"/>
      <c r="M102" s="427"/>
      <c r="N102" s="430"/>
      <c r="O102" s="427"/>
      <c r="P102" s="430"/>
      <c r="Q102" s="431"/>
      <c r="R102" s="432"/>
      <c r="S102" s="431"/>
      <c r="T102" s="431"/>
      <c r="U102" s="431"/>
      <c r="V102" s="432"/>
      <c r="W102" s="432"/>
      <c r="X102" s="431"/>
      <c r="Y102" s="431"/>
      <c r="Z102" s="431"/>
      <c r="AA102" s="431"/>
      <c r="AB102" s="431"/>
      <c r="AC102" s="431"/>
      <c r="AD102" s="427"/>
      <c r="AE102" s="431"/>
      <c r="AF102" s="439"/>
    </row>
    <row r="103" spans="1:32" ht="18.75" customHeight="1" x14ac:dyDescent="0.2">
      <c r="A103" s="427">
        <v>81</v>
      </c>
      <c r="B103" s="428" t="s">
        <v>148</v>
      </c>
      <c r="C103" s="427" t="s">
        <v>46</v>
      </c>
      <c r="D103" s="427">
        <v>650</v>
      </c>
      <c r="E103" s="427" t="s">
        <v>75</v>
      </c>
      <c r="F103" s="427">
        <v>177.8</v>
      </c>
      <c r="G103" s="427"/>
      <c r="H103" s="429"/>
      <c r="I103" s="424">
        <v>536.14</v>
      </c>
      <c r="J103" s="427"/>
      <c r="K103" s="427"/>
      <c r="L103" s="427"/>
      <c r="M103" s="427"/>
      <c r="N103" s="430"/>
      <c r="O103" s="427"/>
      <c r="P103" s="430"/>
      <c r="Q103" s="431"/>
      <c r="R103" s="432"/>
      <c r="S103" s="431"/>
      <c r="T103" s="431"/>
      <c r="U103" s="431"/>
      <c r="V103" s="432"/>
      <c r="W103" s="432"/>
      <c r="X103" s="431"/>
      <c r="Y103" s="431"/>
      <c r="Z103" s="431"/>
      <c r="AA103" s="431"/>
      <c r="AB103" s="431"/>
      <c r="AC103" s="431"/>
      <c r="AD103" s="427"/>
      <c r="AE103" s="431"/>
      <c r="AF103" s="439"/>
    </row>
    <row r="104" spans="1:32" ht="18.75" customHeight="1" x14ac:dyDescent="0.2">
      <c r="A104" s="427">
        <v>82</v>
      </c>
      <c r="B104" s="428" t="s">
        <v>155</v>
      </c>
      <c r="C104" s="427" t="s">
        <v>46</v>
      </c>
      <c r="D104" s="427">
        <v>674.13</v>
      </c>
      <c r="E104" s="427" t="s">
        <v>83</v>
      </c>
      <c r="F104" s="427">
        <v>177.8</v>
      </c>
      <c r="G104" s="427"/>
      <c r="H104" s="429"/>
      <c r="I104" s="538">
        <v>527.75</v>
      </c>
      <c r="J104" s="427"/>
      <c r="K104" s="427"/>
      <c r="L104" s="427"/>
      <c r="M104" s="427"/>
      <c r="N104" s="430"/>
      <c r="O104" s="427"/>
      <c r="P104" s="430"/>
      <c r="Q104" s="431"/>
      <c r="R104" s="432"/>
      <c r="S104" s="431"/>
      <c r="T104" s="431"/>
      <c r="U104" s="431"/>
      <c r="V104" s="432"/>
      <c r="W104" s="432"/>
      <c r="X104" s="431"/>
      <c r="Y104" s="431"/>
      <c r="Z104" s="431"/>
      <c r="AA104" s="431"/>
      <c r="AB104" s="431"/>
      <c r="AC104" s="431"/>
      <c r="AD104" s="427"/>
      <c r="AE104" s="431"/>
      <c r="AF104" s="439"/>
    </row>
    <row r="105" spans="1:32" ht="18.75" customHeight="1" x14ac:dyDescent="0.2">
      <c r="A105" s="427">
        <v>83</v>
      </c>
      <c r="B105" s="428" t="s">
        <v>56</v>
      </c>
      <c r="C105" s="427" t="s">
        <v>46</v>
      </c>
      <c r="D105" s="429">
        <v>680.52</v>
      </c>
      <c r="E105" s="427" t="s">
        <v>92</v>
      </c>
      <c r="F105" s="427">
        <v>177.8</v>
      </c>
      <c r="G105" s="427"/>
      <c r="H105" s="429"/>
      <c r="I105" s="538">
        <v>555.95000000000005</v>
      </c>
      <c r="J105" s="427"/>
      <c r="K105" s="427"/>
      <c r="L105" s="427"/>
      <c r="M105" s="427"/>
      <c r="N105" s="430"/>
      <c r="O105" s="427"/>
      <c r="P105" s="432"/>
      <c r="Q105" s="431"/>
      <c r="R105" s="432"/>
      <c r="S105" s="431"/>
      <c r="T105" s="431"/>
      <c r="U105" s="431"/>
      <c r="V105" s="432"/>
      <c r="W105" s="432"/>
      <c r="X105" s="491"/>
      <c r="Y105" s="431"/>
      <c r="Z105" s="431"/>
      <c r="AA105" s="431"/>
      <c r="AB105" s="431"/>
      <c r="AC105" s="431"/>
      <c r="AD105" s="427"/>
      <c r="AE105" s="431"/>
      <c r="AF105" s="439"/>
    </row>
    <row r="106" spans="1:32" ht="18.75" x14ac:dyDescent="0.3">
      <c r="A106" s="494"/>
      <c r="B106" s="464"/>
      <c r="C106" s="464"/>
      <c r="D106" s="544"/>
      <c r="E106" s="428"/>
      <c r="F106" s="427"/>
      <c r="G106" s="427"/>
      <c r="H106" s="429"/>
      <c r="I106" s="538"/>
      <c r="J106" s="427"/>
      <c r="K106" s="427"/>
      <c r="L106" s="427"/>
      <c r="M106" s="427"/>
      <c r="N106" s="430"/>
      <c r="O106" s="427"/>
      <c r="P106" s="432"/>
      <c r="Q106" s="431"/>
      <c r="R106" s="432"/>
      <c r="S106" s="431"/>
      <c r="T106" s="431"/>
      <c r="U106" s="431"/>
      <c r="V106" s="432"/>
      <c r="W106" s="432"/>
      <c r="X106" s="491"/>
      <c r="Y106" s="431"/>
      <c r="Z106" s="431"/>
      <c r="AA106" s="431"/>
      <c r="AB106" s="431"/>
      <c r="AC106" s="431"/>
      <c r="AD106" s="427"/>
      <c r="AE106" s="431"/>
      <c r="AF106" s="439"/>
    </row>
    <row r="107" spans="1:32" ht="18.75" x14ac:dyDescent="0.3">
      <c r="A107" s="494"/>
      <c r="B107" s="1889"/>
      <c r="C107" s="1889"/>
      <c r="D107" s="1889"/>
      <c r="E107" s="1890"/>
      <c r="F107" s="438"/>
      <c r="G107" s="427"/>
      <c r="H107" s="429"/>
      <c r="I107" s="431"/>
      <c r="J107" s="427"/>
      <c r="K107" s="438"/>
      <c r="L107" s="427"/>
      <c r="M107" s="438"/>
      <c r="N107" s="430"/>
      <c r="O107" s="438"/>
      <c r="P107" s="480"/>
      <c r="Q107" s="467"/>
      <c r="R107" s="467">
        <f>R76+R87+R89</f>
        <v>401.15199999999999</v>
      </c>
      <c r="S107" s="467">
        <f>S76+S87+S89</f>
        <v>655.65</v>
      </c>
      <c r="T107" s="481">
        <f>T76+T87+T89</f>
        <v>18686.473000000002</v>
      </c>
      <c r="U107" s="467">
        <f>T107/R107</f>
        <v>46.582026264358653</v>
      </c>
      <c r="V107" s="467"/>
      <c r="W107" s="467"/>
      <c r="X107" s="467"/>
      <c r="Y107" s="467">
        <f>Y76+Y87+Y89</f>
        <v>382.44540920000003</v>
      </c>
      <c r="Z107" s="467">
        <f>Z76+Z87+Z89</f>
        <v>624.70642059999977</v>
      </c>
      <c r="AA107" s="481">
        <f>AA76+AA87+AA89</f>
        <v>17752.343296000006</v>
      </c>
      <c r="AB107" s="467">
        <f>AB76+AB87+AB89</f>
        <v>131.82414340247465</v>
      </c>
      <c r="AC107" s="467"/>
      <c r="AD107" s="467"/>
      <c r="AE107" s="495">
        <f>AE76+AE87+AE89</f>
        <v>11803.969007199998</v>
      </c>
      <c r="AF107" s="478"/>
    </row>
    <row r="108" spans="1:32" ht="18.75" x14ac:dyDescent="0.3">
      <c r="A108" s="418"/>
      <c r="B108" s="496"/>
      <c r="C108" s="496"/>
      <c r="D108" s="496"/>
      <c r="E108" s="496"/>
      <c r="F108" s="497"/>
      <c r="G108" s="498"/>
      <c r="H108" s="499"/>
      <c r="I108" s="499"/>
      <c r="J108" s="497"/>
      <c r="K108" s="497"/>
      <c r="L108" s="497"/>
      <c r="M108" s="497"/>
      <c r="N108" s="497"/>
      <c r="O108" s="497"/>
      <c r="P108" s="500"/>
      <c r="Q108" s="501"/>
      <c r="R108" s="497"/>
      <c r="S108" s="497"/>
      <c r="T108" s="497"/>
      <c r="U108" s="498"/>
      <c r="V108" s="498"/>
      <c r="W108" s="498"/>
      <c r="X108" s="498"/>
      <c r="Y108" s="497"/>
      <c r="Z108" s="497"/>
      <c r="AA108" s="497"/>
      <c r="AB108" s="502"/>
      <c r="AC108" s="498"/>
      <c r="AD108" s="497"/>
      <c r="AE108" s="497"/>
      <c r="AF108" s="499"/>
    </row>
    <row r="109" spans="1:32" ht="18.75" x14ac:dyDescent="0.3">
      <c r="A109" s="418"/>
      <c r="B109" s="503"/>
      <c r="C109" s="504"/>
      <c r="D109" s="503"/>
      <c r="E109" s="505">
        <v>0.95</v>
      </c>
      <c r="F109" s="503"/>
      <c r="G109" s="503" t="s">
        <v>102</v>
      </c>
      <c r="H109" s="460"/>
      <c r="I109" s="506"/>
      <c r="J109" s="503"/>
      <c r="K109" s="1896">
        <f>AE107*E109</f>
        <v>11213.770556839998</v>
      </c>
      <c r="L109" s="1897"/>
      <c r="M109" s="1898"/>
      <c r="N109" s="504" t="s">
        <v>27</v>
      </c>
      <c r="O109" s="497"/>
      <c r="P109" s="500"/>
      <c r="Q109" s="501"/>
      <c r="R109" s="497"/>
      <c r="S109" s="497"/>
      <c r="T109" s="497"/>
      <c r="U109" s="498"/>
      <c r="V109" s="498"/>
      <c r="W109" s="498"/>
      <c r="X109" s="498"/>
      <c r="Y109" s="497"/>
      <c r="Z109" s="497"/>
      <c r="AA109" s="497"/>
      <c r="AB109" s="502"/>
      <c r="AC109" s="498"/>
      <c r="AD109" s="497"/>
      <c r="AE109" s="497"/>
      <c r="AF109" s="499"/>
    </row>
    <row r="110" spans="1:32" ht="18.75" x14ac:dyDescent="0.3">
      <c r="A110" s="418"/>
      <c r="B110" s="503"/>
      <c r="C110" s="504"/>
      <c r="D110" s="503"/>
      <c r="E110" s="505"/>
      <c r="F110" s="503"/>
      <c r="G110" s="504"/>
      <c r="H110" s="460"/>
      <c r="I110" s="506"/>
      <c r="J110" s="503"/>
      <c r="K110" s="504"/>
      <c r="L110" s="462"/>
      <c r="M110" s="503"/>
      <c r="N110" s="503"/>
      <c r="O110" s="503"/>
      <c r="P110" s="507"/>
      <c r="Q110" s="508"/>
      <c r="R110" s="503"/>
      <c r="S110" s="503"/>
      <c r="T110" s="503"/>
      <c r="U110" s="503"/>
      <c r="V110" s="503"/>
      <c r="W110" s="503"/>
      <c r="X110" s="509"/>
      <c r="Y110" s="509"/>
      <c r="Z110" s="509"/>
      <c r="AA110" s="509"/>
      <c r="AB110" s="509"/>
      <c r="AC110" s="509"/>
      <c r="AD110" s="509"/>
      <c r="AE110" s="509"/>
      <c r="AF110" s="510"/>
    </row>
    <row r="111" spans="1:32" ht="18.75" x14ac:dyDescent="0.3">
      <c r="A111" s="418"/>
      <c r="B111" s="503"/>
      <c r="C111" s="503"/>
      <c r="D111" s="503"/>
      <c r="E111" s="511" t="s">
        <v>214</v>
      </c>
      <c r="F111" s="1899" t="s">
        <v>268</v>
      </c>
      <c r="G111" s="1899"/>
      <c r="H111" s="1899"/>
      <c r="I111" s="503"/>
      <c r="J111" s="503"/>
      <c r="K111" s="504"/>
      <c r="L111" s="504"/>
      <c r="M111" s="503"/>
      <c r="N111" s="503"/>
      <c r="O111" s="503"/>
      <c r="P111" s="503"/>
      <c r="Q111" s="503"/>
      <c r="R111" s="503"/>
      <c r="S111" s="503"/>
      <c r="T111" s="503"/>
      <c r="U111" s="503"/>
      <c r="V111" s="503"/>
      <c r="W111" s="503"/>
      <c r="X111" s="1892" t="s">
        <v>352</v>
      </c>
      <c r="Y111" s="1893"/>
      <c r="Z111" s="1893"/>
      <c r="AA111" s="1893"/>
      <c r="AB111" s="509" t="s">
        <v>282</v>
      </c>
      <c r="AC111" s="509"/>
      <c r="AD111" s="509"/>
      <c r="AE111" s="509"/>
      <c r="AF111" s="509"/>
    </row>
  </sheetData>
  <mergeCells count="40">
    <mergeCell ref="B96:F96"/>
    <mergeCell ref="B102:F102"/>
    <mergeCell ref="B107:E107"/>
    <mergeCell ref="K109:M109"/>
    <mergeCell ref="F111:H111"/>
    <mergeCell ref="X111:AA111"/>
    <mergeCell ref="AF12:AF13"/>
    <mergeCell ref="B77:E77"/>
    <mergeCell ref="B78:F78"/>
    <mergeCell ref="B87:E87"/>
    <mergeCell ref="B90:E90"/>
    <mergeCell ref="B91:F91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114"/>
  <sheetViews>
    <sheetView zoomScale="55" zoomScaleNormal="55" workbookViewId="0">
      <selection sqref="A1:E9"/>
    </sheetView>
  </sheetViews>
  <sheetFormatPr defaultRowHeight="12.75" x14ac:dyDescent="0.2"/>
  <cols>
    <col min="2" max="2" width="12.28515625" customWidth="1"/>
    <col min="3" max="3" width="12.85546875" customWidth="1"/>
    <col min="5" max="5" width="82.42578125" customWidth="1"/>
    <col min="8" max="8" width="17.85546875" customWidth="1"/>
    <col min="15" max="15" width="7.42578125" customWidth="1"/>
    <col min="16" max="16" width="8.140625" customWidth="1"/>
    <col min="17" max="17" width="9.5703125" customWidth="1"/>
    <col min="20" max="20" width="11.28515625" customWidth="1"/>
    <col min="24" max="24" width="12.140625" customWidth="1"/>
    <col min="28" max="28" width="12.28515625" customWidth="1"/>
    <col min="31" max="31" width="12.85546875" customWidth="1"/>
    <col min="32" max="32" width="64.28515625" customWidth="1"/>
  </cols>
  <sheetData>
    <row r="1" spans="1:32" ht="18.75" x14ac:dyDescent="0.3">
      <c r="A1" s="402"/>
      <c r="B1" s="402"/>
      <c r="C1" s="402"/>
      <c r="D1" s="402"/>
      <c r="E1" s="402"/>
      <c r="F1" s="402"/>
      <c r="G1" s="402"/>
      <c r="H1" s="4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402"/>
      <c r="Z1" s="402"/>
      <c r="AA1" s="402"/>
      <c r="AB1" s="402"/>
      <c r="AC1" s="402"/>
      <c r="AD1" s="402"/>
      <c r="AE1" s="402"/>
      <c r="AF1" s="402"/>
    </row>
    <row r="2" spans="1:32" ht="18.75" x14ac:dyDescent="0.3">
      <c r="A2" s="402"/>
      <c r="B2" s="402"/>
      <c r="C2" s="402"/>
      <c r="D2" s="402"/>
      <c r="E2" s="402"/>
      <c r="F2" s="403"/>
      <c r="G2" s="552"/>
      <c r="H2" s="552"/>
      <c r="I2" s="403"/>
      <c r="J2" s="1909" t="s">
        <v>353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552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ht="18.75" x14ac:dyDescent="0.2">
      <c r="A4" s="553" t="s">
        <v>311</v>
      </c>
      <c r="B4" s="553"/>
      <c r="C4" s="553"/>
      <c r="D4" s="553"/>
      <c r="E4" s="553"/>
      <c r="F4" s="403"/>
      <c r="G4" s="552"/>
      <c r="H4" s="552"/>
      <c r="I4" s="406"/>
      <c r="J4" s="406"/>
      <c r="K4" s="406"/>
      <c r="L4" s="406"/>
      <c r="M4" s="406"/>
      <c r="N4" s="406"/>
      <c r="O4" s="406"/>
      <c r="P4" s="406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338</v>
      </c>
    </row>
    <row r="5" spans="1:32" ht="18.75" x14ac:dyDescent="0.2">
      <c r="A5" s="553" t="s">
        <v>316</v>
      </c>
      <c r="B5" s="412"/>
      <c r="C5" s="412"/>
      <c r="D5" s="412"/>
      <c r="E5" s="403"/>
      <c r="F5" s="403"/>
      <c r="G5" s="552"/>
      <c r="H5" s="552"/>
      <c r="I5" s="403"/>
      <c r="J5" s="403"/>
      <c r="K5" s="552"/>
      <c r="L5" s="552"/>
      <c r="M5" s="403"/>
      <c r="N5" s="403"/>
      <c r="O5" s="403"/>
      <c r="P5" s="413"/>
      <c r="Q5" s="414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ht="18.75" x14ac:dyDescent="0.2">
      <c r="A6" s="403"/>
      <c r="B6" s="553"/>
      <c r="C6" s="553"/>
      <c r="D6" s="553"/>
      <c r="E6" s="403"/>
      <c r="F6" s="403"/>
      <c r="G6" s="552"/>
      <c r="H6" s="552"/>
      <c r="I6" s="405"/>
      <c r="J6" s="403"/>
      <c r="K6" s="552"/>
      <c r="L6" s="552"/>
      <c r="M6" s="403"/>
      <c r="N6" s="403"/>
      <c r="O6" s="403"/>
      <c r="P6" s="413"/>
      <c r="Q6" s="414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552"/>
      <c r="H7" s="552"/>
      <c r="I7" s="405"/>
      <c r="J7" s="403"/>
      <c r="K7" s="552"/>
      <c r="L7" s="552"/>
      <c r="M7" s="403"/>
      <c r="N7" s="403"/>
      <c r="O7" s="403"/>
      <c r="P7" s="413"/>
      <c r="Q7" s="414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403"/>
      <c r="G8" s="552"/>
      <c r="H8" s="552"/>
      <c r="I8" s="405"/>
      <c r="J8" s="403"/>
      <c r="K8" s="552"/>
      <c r="L8" s="552"/>
      <c r="M8" s="403"/>
      <c r="N8" s="403"/>
      <c r="O8" s="403"/>
      <c r="P8" s="413"/>
      <c r="Q8" s="414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ht="18.75" x14ac:dyDescent="0.3">
      <c r="A9" s="418"/>
      <c r="B9" s="1911"/>
      <c r="C9" s="1911"/>
      <c r="D9" s="1911"/>
      <c r="E9" s="1911"/>
      <c r="F9" s="403"/>
      <c r="G9" s="552"/>
      <c r="H9" s="552"/>
      <c r="I9" s="403"/>
      <c r="J9" s="403"/>
      <c r="K9" s="552"/>
      <c r="L9" s="552"/>
      <c r="M9" s="552"/>
      <c r="N9" s="552"/>
      <c r="O9" s="552"/>
      <c r="P9" s="552"/>
      <c r="Q9" s="552"/>
      <c r="R9" s="552"/>
      <c r="S9" s="552"/>
      <c r="T9" s="552"/>
      <c r="U9" s="552"/>
      <c r="V9" s="552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ht="18.75" x14ac:dyDescent="0.3">
      <c r="A10" s="418"/>
      <c r="B10" s="552"/>
      <c r="C10" s="552"/>
      <c r="D10" s="552"/>
      <c r="E10" s="403"/>
      <c r="F10" s="403"/>
      <c r="G10" s="552"/>
      <c r="H10" s="552"/>
      <c r="I10" s="405"/>
      <c r="J10" s="403"/>
      <c r="K10" s="552"/>
      <c r="L10" s="552"/>
      <c r="M10" s="403"/>
      <c r="N10" s="403"/>
      <c r="O10" s="403"/>
      <c r="P10" s="413"/>
      <c r="Q10" s="414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8.75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562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551" t="s">
        <v>18</v>
      </c>
      <c r="AE12" s="551" t="s">
        <v>20</v>
      </c>
      <c r="AF12" s="1891" t="s">
        <v>21</v>
      </c>
    </row>
    <row r="13" spans="1:32" ht="37.5" x14ac:dyDescent="0.2">
      <c r="A13" s="1891"/>
      <c r="B13" s="1891"/>
      <c r="C13" s="1903"/>
      <c r="D13" s="555" t="s">
        <v>3</v>
      </c>
      <c r="E13" s="555" t="s">
        <v>3</v>
      </c>
      <c r="F13" s="555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425" t="s">
        <v>13</v>
      </c>
      <c r="Q13" s="437" t="s">
        <v>26</v>
      </c>
      <c r="R13" s="424" t="s">
        <v>14</v>
      </c>
      <c r="S13" s="424" t="s">
        <v>25</v>
      </c>
      <c r="T13" s="424" t="s">
        <v>113</v>
      </c>
      <c r="U13" s="1903"/>
      <c r="V13" s="1907"/>
      <c r="W13" s="1903"/>
      <c r="X13" s="1903"/>
      <c r="Y13" s="555" t="s">
        <v>14</v>
      </c>
      <c r="Z13" s="555" t="s">
        <v>25</v>
      </c>
      <c r="AA13" s="555" t="s">
        <v>113</v>
      </c>
      <c r="AB13" s="1904"/>
      <c r="AC13" s="1903"/>
      <c r="AD13" s="555" t="s">
        <v>19</v>
      </c>
      <c r="AE13" s="555" t="s">
        <v>27</v>
      </c>
      <c r="AF13" s="1891"/>
    </row>
    <row r="14" spans="1:32" ht="18.75" x14ac:dyDescent="0.2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9" t="s">
        <v>52</v>
      </c>
      <c r="I14" s="555">
        <v>558.05999999999995</v>
      </c>
      <c r="J14" s="427">
        <v>200</v>
      </c>
      <c r="K14" s="427"/>
      <c r="L14" s="427">
        <v>305</v>
      </c>
      <c r="M14" s="427"/>
      <c r="N14" s="427">
        <v>1.8</v>
      </c>
      <c r="O14" s="427"/>
      <c r="P14" s="430">
        <v>25.934032242583616</v>
      </c>
      <c r="Q14" s="431">
        <f t="shared" ref="Q14:Q37" si="0">LEFT(H14,(FIND("K",H14,1)-1))*J14/100</f>
        <v>44</v>
      </c>
      <c r="R14" s="432">
        <v>3.2410000000000001</v>
      </c>
      <c r="S14" s="431">
        <v>5.7080000000000002</v>
      </c>
      <c r="T14" s="431">
        <v>7</v>
      </c>
      <c r="U14" s="431">
        <f t="shared" ref="U14:U76" si="1">T14/R14</f>
        <v>2.159827213822894</v>
      </c>
      <c r="V14" s="433">
        <f>(S14-R14)/S14*100</f>
        <v>43.220042046250882</v>
      </c>
      <c r="W14" s="432">
        <v>0.3</v>
      </c>
      <c r="X14" s="431">
        <f t="shared" ref="X14:X46" si="2">S14/Q14</f>
        <v>0.12972727272727272</v>
      </c>
      <c r="Y14" s="431">
        <f>R14*0.952</f>
        <v>3.085432</v>
      </c>
      <c r="Z14" s="431">
        <f>S14*0.952</f>
        <v>5.4340159999999997</v>
      </c>
      <c r="AA14" s="431">
        <f>T14*0.952</f>
        <v>6.6639999999999997</v>
      </c>
      <c r="AB14" s="431">
        <f>U14</f>
        <v>2.159827213822894</v>
      </c>
      <c r="AC14" s="431">
        <f t="shared" ref="AC14:AC76" si="3">V14</f>
        <v>43.220042046250882</v>
      </c>
      <c r="AD14" s="427">
        <v>30</v>
      </c>
      <c r="AE14" s="431">
        <f>Y14*AD14</f>
        <v>92.562960000000004</v>
      </c>
      <c r="AF14" s="434"/>
    </row>
    <row r="15" spans="1:32" ht="18.75" x14ac:dyDescent="0.2">
      <c r="A15" s="427">
        <v>2</v>
      </c>
      <c r="B15" s="428" t="s">
        <v>140</v>
      </c>
      <c r="C15" s="427" t="s">
        <v>46</v>
      </c>
      <c r="D15" s="427">
        <v>585</v>
      </c>
      <c r="E15" s="427" t="s">
        <v>348</v>
      </c>
      <c r="F15" s="427">
        <v>177.8</v>
      </c>
      <c r="G15" s="427" t="s">
        <v>28</v>
      </c>
      <c r="H15" s="429" t="s">
        <v>50</v>
      </c>
      <c r="I15" s="555">
        <v>579.99</v>
      </c>
      <c r="J15" s="427">
        <v>170</v>
      </c>
      <c r="K15" s="427"/>
      <c r="L15" s="427">
        <v>457</v>
      </c>
      <c r="M15" s="427"/>
      <c r="N15" s="427">
        <v>4</v>
      </c>
      <c r="O15" s="427"/>
      <c r="P15" s="430">
        <v>15.336284770526376</v>
      </c>
      <c r="Q15" s="431">
        <f t="shared" si="0"/>
        <v>10.199999999999999</v>
      </c>
      <c r="R15" s="431">
        <v>1.2869999999999999</v>
      </c>
      <c r="S15" s="431">
        <v>1.653</v>
      </c>
      <c r="T15" s="431">
        <v>0</v>
      </c>
      <c r="U15" s="431">
        <f t="shared" si="1"/>
        <v>0</v>
      </c>
      <c r="V15" s="433">
        <f>(S15-R15)/S15*100</f>
        <v>22.141560798548099</v>
      </c>
      <c r="W15" s="431">
        <v>0.2</v>
      </c>
      <c r="X15" s="431">
        <f t="shared" si="2"/>
        <v>0.16205882352941178</v>
      </c>
      <c r="Y15" s="431">
        <f t="shared" ref="Y15:AA30" si="4">R15*0.952</f>
        <v>1.2252239999999999</v>
      </c>
      <c r="Z15" s="431">
        <f t="shared" si="4"/>
        <v>1.5736559999999999</v>
      </c>
      <c r="AA15" s="431">
        <f t="shared" si="4"/>
        <v>0</v>
      </c>
      <c r="AB15" s="431">
        <f t="shared" ref="AB15:AB76" si="5">U15</f>
        <v>0</v>
      </c>
      <c r="AC15" s="431">
        <f t="shared" si="3"/>
        <v>22.141560798548099</v>
      </c>
      <c r="AD15" s="427">
        <v>30</v>
      </c>
      <c r="AE15" s="431">
        <f t="shared" ref="AE15:AE57" si="6">Y15*AD15</f>
        <v>36.756719999999994</v>
      </c>
      <c r="AF15" s="434"/>
    </row>
    <row r="16" spans="1:32" ht="18.75" x14ac:dyDescent="0.2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9" t="s">
        <v>218</v>
      </c>
      <c r="I16" s="555">
        <v>565.94000000000005</v>
      </c>
      <c r="J16" s="427">
        <v>180</v>
      </c>
      <c r="K16" s="427"/>
      <c r="L16" s="427">
        <v>492</v>
      </c>
      <c r="M16" s="427"/>
      <c r="N16" s="430">
        <v>9.5</v>
      </c>
      <c r="O16" s="427"/>
      <c r="P16" s="430">
        <v>13.928885753958061</v>
      </c>
      <c r="Q16" s="431">
        <f>LEFT(H16,(FIND("K",H16,1)-1))*J16/100</f>
        <v>57.6</v>
      </c>
      <c r="R16" s="432">
        <v>13.731999999999999</v>
      </c>
      <c r="S16" s="431">
        <v>22.03</v>
      </c>
      <c r="T16" s="530">
        <v>2239</v>
      </c>
      <c r="U16" s="431">
        <f t="shared" si="1"/>
        <v>163.04981066122926</v>
      </c>
      <c r="V16" s="433">
        <f t="shared" ref="V16:V76" si="7">(S16-R16)/S16*100</f>
        <v>37.666817975487973</v>
      </c>
      <c r="W16" s="432">
        <v>0.2</v>
      </c>
      <c r="X16" s="431">
        <f t="shared" si="2"/>
        <v>0.38246527777777778</v>
      </c>
      <c r="Y16" s="431">
        <f t="shared" si="4"/>
        <v>13.072863999999999</v>
      </c>
      <c r="Z16" s="431">
        <f t="shared" si="4"/>
        <v>20.972560000000001</v>
      </c>
      <c r="AA16" s="530">
        <f t="shared" si="4"/>
        <v>2131.5279999999998</v>
      </c>
      <c r="AB16" s="431">
        <f t="shared" si="5"/>
        <v>163.04981066122926</v>
      </c>
      <c r="AC16" s="431">
        <f t="shared" si="3"/>
        <v>37.666817975487973</v>
      </c>
      <c r="AD16" s="427">
        <v>30</v>
      </c>
      <c r="AE16" s="431">
        <f>Y16*AD16</f>
        <v>392.18591999999995</v>
      </c>
      <c r="AF16" s="434"/>
    </row>
    <row r="17" spans="1:32" ht="18.75" x14ac:dyDescent="0.2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9" t="s">
        <v>53</v>
      </c>
      <c r="I17" s="555">
        <v>538.47</v>
      </c>
      <c r="J17" s="427">
        <v>230</v>
      </c>
      <c r="K17" s="427"/>
      <c r="L17" s="427">
        <v>449</v>
      </c>
      <c r="M17" s="427"/>
      <c r="N17" s="430">
        <v>2.8</v>
      </c>
      <c r="O17" s="427"/>
      <c r="P17" s="430">
        <v>13.700958971008856</v>
      </c>
      <c r="Q17" s="431">
        <f t="shared" si="0"/>
        <v>29.9</v>
      </c>
      <c r="R17" s="432">
        <v>7.1950000000000003</v>
      </c>
      <c r="S17" s="431">
        <v>9.07</v>
      </c>
      <c r="T17" s="431">
        <v>46</v>
      </c>
      <c r="U17" s="431">
        <f t="shared" si="1"/>
        <v>6.3933287004864487</v>
      </c>
      <c r="V17" s="433">
        <f t="shared" si="7"/>
        <v>20.672546857772879</v>
      </c>
      <c r="W17" s="432">
        <v>0.2</v>
      </c>
      <c r="X17" s="431">
        <f>S17/Q17</f>
        <v>0.30334448160535121</v>
      </c>
      <c r="Y17" s="431">
        <f t="shared" si="4"/>
        <v>6.84964</v>
      </c>
      <c r="Z17" s="431">
        <f t="shared" si="4"/>
        <v>8.6346399999999992</v>
      </c>
      <c r="AA17" s="431">
        <f t="shared" si="4"/>
        <v>43.792000000000002</v>
      </c>
      <c r="AB17" s="431">
        <f t="shared" si="5"/>
        <v>6.3933287004864487</v>
      </c>
      <c r="AC17" s="431">
        <f t="shared" si="3"/>
        <v>20.672546857772879</v>
      </c>
      <c r="AD17" s="427">
        <v>30</v>
      </c>
      <c r="AE17" s="431">
        <f t="shared" si="6"/>
        <v>205.48920000000001</v>
      </c>
      <c r="AF17" s="434"/>
    </row>
    <row r="18" spans="1:32" ht="18.75" x14ac:dyDescent="0.2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550" t="s">
        <v>53</v>
      </c>
      <c r="I18" s="555">
        <v>546</v>
      </c>
      <c r="J18" s="427">
        <v>120</v>
      </c>
      <c r="K18" s="427"/>
      <c r="L18" s="427">
        <v>436</v>
      </c>
      <c r="M18" s="435"/>
      <c r="N18" s="427">
        <v>5.0999999999999996</v>
      </c>
      <c r="O18" s="427"/>
      <c r="P18" s="430">
        <v>16.795734088295202</v>
      </c>
      <c r="Q18" s="431">
        <f t="shared" si="0"/>
        <v>15.6</v>
      </c>
      <c r="R18" s="432">
        <v>5.4349999999999996</v>
      </c>
      <c r="S18" s="431">
        <v>5.734</v>
      </c>
      <c r="T18" s="431">
        <v>25</v>
      </c>
      <c r="U18" s="431">
        <f t="shared" si="1"/>
        <v>4.5998160073597063</v>
      </c>
      <c r="V18" s="433">
        <f t="shared" si="7"/>
        <v>5.2145099407045761</v>
      </c>
      <c r="W18" s="432">
        <v>3</v>
      </c>
      <c r="X18" s="431">
        <f>S18/Q18</f>
        <v>0.36756410256410255</v>
      </c>
      <c r="Y18" s="431">
        <f t="shared" si="4"/>
        <v>5.1741199999999994</v>
      </c>
      <c r="Z18" s="431">
        <f t="shared" si="4"/>
        <v>5.4587680000000001</v>
      </c>
      <c r="AA18" s="431">
        <f t="shared" si="4"/>
        <v>23.799999999999997</v>
      </c>
      <c r="AB18" s="431">
        <f t="shared" si="5"/>
        <v>4.5998160073597063</v>
      </c>
      <c r="AC18" s="431">
        <f t="shared" si="3"/>
        <v>5.2145099407045761</v>
      </c>
      <c r="AD18" s="427">
        <v>30</v>
      </c>
      <c r="AE18" s="431">
        <f t="shared" si="6"/>
        <v>155.22359999999998</v>
      </c>
      <c r="AF18" s="434"/>
    </row>
    <row r="19" spans="1:32" ht="18.75" x14ac:dyDescent="0.2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9" t="s">
        <v>50</v>
      </c>
      <c r="I19" s="555">
        <v>584.32000000000005</v>
      </c>
      <c r="J19" s="427">
        <v>290</v>
      </c>
      <c r="K19" s="427"/>
      <c r="L19" s="427">
        <v>395</v>
      </c>
      <c r="M19" s="427"/>
      <c r="N19" s="427">
        <v>1.2</v>
      </c>
      <c r="O19" s="427"/>
      <c r="P19" s="430">
        <v>18.611100693861058</v>
      </c>
      <c r="Q19" s="431">
        <f t="shared" si="0"/>
        <v>17.399999999999999</v>
      </c>
      <c r="R19" s="432">
        <v>4.4509999999999996</v>
      </c>
      <c r="S19" s="431">
        <v>4.9710000000000001</v>
      </c>
      <c r="T19" s="431">
        <v>5</v>
      </c>
      <c r="U19" s="431">
        <f t="shared" si="1"/>
        <v>1.1233430689732646</v>
      </c>
      <c r="V19" s="433">
        <f t="shared" si="7"/>
        <v>10.460671897002625</v>
      </c>
      <c r="W19" s="432">
        <v>0.3</v>
      </c>
      <c r="X19" s="431">
        <f>S19/Q19</f>
        <v>0.28568965517241385</v>
      </c>
      <c r="Y19" s="431">
        <f t="shared" si="4"/>
        <v>4.2373519999999996</v>
      </c>
      <c r="Z19" s="431">
        <f t="shared" si="4"/>
        <v>4.7323919999999999</v>
      </c>
      <c r="AA19" s="431">
        <f t="shared" si="4"/>
        <v>4.76</v>
      </c>
      <c r="AB19" s="431">
        <v>14.613</v>
      </c>
      <c r="AC19" s="431">
        <f t="shared" si="3"/>
        <v>10.460671897002625</v>
      </c>
      <c r="AD19" s="427">
        <v>30</v>
      </c>
      <c r="AE19" s="431">
        <f t="shared" si="6"/>
        <v>127.12055999999998</v>
      </c>
      <c r="AF19" s="434"/>
    </row>
    <row r="20" spans="1:32" ht="18.75" x14ac:dyDescent="0.2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9" t="s">
        <v>52</v>
      </c>
      <c r="I20" s="555">
        <v>560</v>
      </c>
      <c r="J20" s="427">
        <v>140</v>
      </c>
      <c r="K20" s="427"/>
      <c r="L20" s="427">
        <v>460</v>
      </c>
      <c r="M20" s="427"/>
      <c r="N20" s="427">
        <v>9.8000000000000007</v>
      </c>
      <c r="O20" s="427"/>
      <c r="P20" s="430">
        <v>20.015098984011885</v>
      </c>
      <c r="Q20" s="431">
        <f t="shared" si="0"/>
        <v>30.8</v>
      </c>
      <c r="R20" s="432">
        <v>11.565</v>
      </c>
      <c r="S20" s="431">
        <v>13.109</v>
      </c>
      <c r="T20" s="431">
        <v>139</v>
      </c>
      <c r="U20" s="431">
        <f t="shared" si="1"/>
        <v>12.019022913964548</v>
      </c>
      <c r="V20" s="433">
        <f t="shared" si="7"/>
        <v>11.778167671065685</v>
      </c>
      <c r="W20" s="432">
        <v>0.2</v>
      </c>
      <c r="X20" s="431">
        <f t="shared" si="2"/>
        <v>0.42561688311688312</v>
      </c>
      <c r="Y20" s="431">
        <f t="shared" si="4"/>
        <v>11.009879999999999</v>
      </c>
      <c r="Z20" s="431">
        <f t="shared" si="4"/>
        <v>12.479768</v>
      </c>
      <c r="AA20" s="431">
        <f t="shared" si="4"/>
        <v>132.328</v>
      </c>
      <c r="AB20" s="431">
        <f t="shared" si="5"/>
        <v>12.019022913964548</v>
      </c>
      <c r="AC20" s="431">
        <f t="shared" si="3"/>
        <v>11.778167671065685</v>
      </c>
      <c r="AD20" s="427">
        <v>30</v>
      </c>
      <c r="AE20" s="431">
        <f t="shared" si="6"/>
        <v>330.29639999999995</v>
      </c>
      <c r="AF20" s="434"/>
    </row>
    <row r="21" spans="1:32" ht="17.45" customHeight="1" x14ac:dyDescent="0.2">
      <c r="A21" s="427">
        <v>8</v>
      </c>
      <c r="B21" s="428" t="s">
        <v>146</v>
      </c>
      <c r="C21" s="427" t="s">
        <v>46</v>
      </c>
      <c r="D21" s="427">
        <v>764</v>
      </c>
      <c r="E21" s="436" t="s">
        <v>73</v>
      </c>
      <c r="F21" s="427">
        <v>177.8</v>
      </c>
      <c r="G21" s="427" t="s">
        <v>28</v>
      </c>
      <c r="H21" s="429" t="s">
        <v>52</v>
      </c>
      <c r="I21" s="437">
        <v>550</v>
      </c>
      <c r="J21" s="427">
        <v>85</v>
      </c>
      <c r="K21" s="438"/>
      <c r="L21" s="427">
        <v>287</v>
      </c>
      <c r="M21" s="438"/>
      <c r="N21" s="427">
        <v>8.3000000000000007</v>
      </c>
      <c r="O21" s="438"/>
      <c r="P21" s="430">
        <v>36.513518949949486</v>
      </c>
      <c r="Q21" s="431">
        <f t="shared" si="0"/>
        <v>18.7</v>
      </c>
      <c r="R21" s="432">
        <v>0.622</v>
      </c>
      <c r="S21" s="431">
        <v>14.365</v>
      </c>
      <c r="T21" s="431">
        <v>46</v>
      </c>
      <c r="U21" s="431">
        <f t="shared" si="1"/>
        <v>73.954983922829584</v>
      </c>
      <c r="V21" s="433">
        <f t="shared" si="7"/>
        <v>95.67003132613992</v>
      </c>
      <c r="W21" s="432">
        <v>1</v>
      </c>
      <c r="X21" s="431">
        <f t="shared" si="2"/>
        <v>0.76818181818181819</v>
      </c>
      <c r="Y21" s="431">
        <f t="shared" si="4"/>
        <v>0.592144</v>
      </c>
      <c r="Z21" s="431">
        <f t="shared" si="4"/>
        <v>13.67548</v>
      </c>
      <c r="AA21" s="431">
        <f t="shared" si="4"/>
        <v>43.792000000000002</v>
      </c>
      <c r="AB21" s="431">
        <f t="shared" si="5"/>
        <v>73.954983922829584</v>
      </c>
      <c r="AC21" s="431">
        <f t="shared" si="3"/>
        <v>95.67003132613992</v>
      </c>
      <c r="AD21" s="427">
        <v>30</v>
      </c>
      <c r="AE21" s="431">
        <f t="shared" si="6"/>
        <v>17.764320000000001</v>
      </c>
      <c r="AF21" s="434"/>
    </row>
    <row r="22" spans="1:32" ht="18.75" x14ac:dyDescent="0.2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9" t="s">
        <v>52</v>
      </c>
      <c r="I22" s="555">
        <v>591.98</v>
      </c>
      <c r="J22" s="427">
        <v>100</v>
      </c>
      <c r="K22" s="427"/>
      <c r="L22" s="427">
        <v>472</v>
      </c>
      <c r="M22" s="427"/>
      <c r="N22" s="427">
        <v>7</v>
      </c>
      <c r="O22" s="427"/>
      <c r="P22" s="430">
        <v>16.266473351685811</v>
      </c>
      <c r="Q22" s="431">
        <f t="shared" si="0"/>
        <v>22</v>
      </c>
      <c r="R22" s="432">
        <v>7.9370000000000003</v>
      </c>
      <c r="S22" s="431">
        <v>12.481999999999999</v>
      </c>
      <c r="T22" s="431">
        <v>21</v>
      </c>
      <c r="U22" s="431">
        <f t="shared" si="1"/>
        <v>2.6458359581705935</v>
      </c>
      <c r="V22" s="433">
        <f t="shared" si="7"/>
        <v>36.41243390482294</v>
      </c>
      <c r="W22" s="432">
        <v>0.2</v>
      </c>
      <c r="X22" s="431">
        <v>0.2</v>
      </c>
      <c r="Y22" s="431">
        <f t="shared" si="4"/>
        <v>7.5560239999999999</v>
      </c>
      <c r="Z22" s="431">
        <f t="shared" si="4"/>
        <v>11.882864</v>
      </c>
      <c r="AA22" s="431">
        <f t="shared" si="4"/>
        <v>19.991999999999997</v>
      </c>
      <c r="AB22" s="431">
        <f t="shared" si="5"/>
        <v>2.6458359581705935</v>
      </c>
      <c r="AC22" s="431">
        <f t="shared" si="3"/>
        <v>36.41243390482294</v>
      </c>
      <c r="AD22" s="427">
        <v>30</v>
      </c>
      <c r="AE22" s="431">
        <f t="shared" si="6"/>
        <v>226.68072000000001</v>
      </c>
      <c r="AF22" s="434"/>
    </row>
    <row r="23" spans="1:32" ht="14.45" customHeight="1" x14ac:dyDescent="0.2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9" t="s">
        <v>52</v>
      </c>
      <c r="I23" s="555">
        <v>585.29999999999995</v>
      </c>
      <c r="J23" s="427">
        <v>180</v>
      </c>
      <c r="K23" s="427"/>
      <c r="L23" s="427">
        <v>354</v>
      </c>
      <c r="M23" s="427"/>
      <c r="N23" s="427">
        <v>8.4</v>
      </c>
      <c r="O23" s="427"/>
      <c r="P23" s="430">
        <v>28.072753961850726</v>
      </c>
      <c r="Q23" s="431">
        <f t="shared" si="0"/>
        <v>39.6</v>
      </c>
      <c r="R23" s="432">
        <v>1.119</v>
      </c>
      <c r="S23" s="431">
        <v>2.548</v>
      </c>
      <c r="T23" s="431">
        <v>5</v>
      </c>
      <c r="U23" s="431">
        <f t="shared" si="1"/>
        <v>4.4682752457551382</v>
      </c>
      <c r="V23" s="433">
        <f t="shared" si="7"/>
        <v>56.083202511773948</v>
      </c>
      <c r="W23" s="432">
        <v>0.1</v>
      </c>
      <c r="X23" s="431">
        <f t="shared" si="2"/>
        <v>6.4343434343434341E-2</v>
      </c>
      <c r="Y23" s="431">
        <f t="shared" si="4"/>
        <v>1.065288</v>
      </c>
      <c r="Z23" s="431">
        <f t="shared" si="4"/>
        <v>2.4256959999999999</v>
      </c>
      <c r="AA23" s="431">
        <f t="shared" si="4"/>
        <v>4.76</v>
      </c>
      <c r="AB23" s="431">
        <f t="shared" si="5"/>
        <v>4.4682752457551382</v>
      </c>
      <c r="AC23" s="431">
        <f t="shared" si="3"/>
        <v>56.083202511773948</v>
      </c>
      <c r="AD23" s="427">
        <v>0</v>
      </c>
      <c r="AE23" s="431">
        <f t="shared" si="6"/>
        <v>0</v>
      </c>
      <c r="AF23" s="439" t="s">
        <v>340</v>
      </c>
    </row>
    <row r="24" spans="1:32" ht="18.600000000000001" customHeight="1" x14ac:dyDescent="0.2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9" t="s">
        <v>53</v>
      </c>
      <c r="I24" s="555">
        <v>554.91</v>
      </c>
      <c r="J24" s="427">
        <v>140</v>
      </c>
      <c r="K24" s="427"/>
      <c r="L24" s="427">
        <v>420</v>
      </c>
      <c r="M24" s="427"/>
      <c r="N24" s="427">
        <v>1.8</v>
      </c>
      <c r="O24" s="427"/>
      <c r="P24" s="430">
        <v>16.944503185458284</v>
      </c>
      <c r="Q24" s="431">
        <f t="shared" si="0"/>
        <v>18.2</v>
      </c>
      <c r="R24" s="432">
        <v>1.2689999999999999</v>
      </c>
      <c r="S24" s="431">
        <v>2.3410000000000002</v>
      </c>
      <c r="T24" s="431">
        <v>10</v>
      </c>
      <c r="U24" s="431">
        <f t="shared" si="1"/>
        <v>7.8802206461780937</v>
      </c>
      <c r="V24" s="433">
        <f t="shared" si="7"/>
        <v>45.792396411789845</v>
      </c>
      <c r="W24" s="432">
        <v>0.5</v>
      </c>
      <c r="X24" s="431">
        <f t="shared" si="2"/>
        <v>0.12862637362637364</v>
      </c>
      <c r="Y24" s="431">
        <f t="shared" si="4"/>
        <v>1.2080879999999998</v>
      </c>
      <c r="Z24" s="431">
        <f t="shared" si="4"/>
        <v>2.2286320000000002</v>
      </c>
      <c r="AA24" s="431">
        <f t="shared" si="4"/>
        <v>9.52</v>
      </c>
      <c r="AB24" s="431">
        <f t="shared" si="5"/>
        <v>7.8802206461780937</v>
      </c>
      <c r="AC24" s="431">
        <f t="shared" si="3"/>
        <v>45.792396411789845</v>
      </c>
      <c r="AD24" s="427">
        <v>30</v>
      </c>
      <c r="AE24" s="431">
        <f t="shared" si="6"/>
        <v>36.242639999999994</v>
      </c>
      <c r="AF24" s="434"/>
    </row>
    <row r="25" spans="1:32" ht="21" customHeight="1" x14ac:dyDescent="0.2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9" t="s">
        <v>52</v>
      </c>
      <c r="I25" s="555">
        <v>553.5</v>
      </c>
      <c r="J25" s="427">
        <v>280</v>
      </c>
      <c r="K25" s="427"/>
      <c r="L25" s="427">
        <v>323</v>
      </c>
      <c r="M25" s="427"/>
      <c r="N25" s="427">
        <v>7.8</v>
      </c>
      <c r="O25" s="427"/>
      <c r="P25" s="430">
        <v>31.513492866338773</v>
      </c>
      <c r="Q25" s="431">
        <f t="shared" si="0"/>
        <v>61.6</v>
      </c>
      <c r="R25" s="432">
        <v>17.332999999999998</v>
      </c>
      <c r="S25" s="431">
        <v>23.574999999999999</v>
      </c>
      <c r="T25" s="431">
        <v>309</v>
      </c>
      <c r="U25" s="431">
        <f t="shared" si="1"/>
        <v>17.827265908959788</v>
      </c>
      <c r="V25" s="433">
        <f t="shared" si="7"/>
        <v>26.477200424178161</v>
      </c>
      <c r="W25" s="432">
        <v>0.4</v>
      </c>
      <c r="X25" s="431">
        <f t="shared" si="2"/>
        <v>0.38271103896103892</v>
      </c>
      <c r="Y25" s="431">
        <f t="shared" si="4"/>
        <v>16.501015999999996</v>
      </c>
      <c r="Z25" s="431">
        <f t="shared" si="4"/>
        <v>22.443399999999997</v>
      </c>
      <c r="AA25" s="431">
        <f t="shared" si="4"/>
        <v>294.16800000000001</v>
      </c>
      <c r="AB25" s="431">
        <f t="shared" si="5"/>
        <v>17.827265908959788</v>
      </c>
      <c r="AC25" s="431">
        <f t="shared" si="3"/>
        <v>26.477200424178161</v>
      </c>
      <c r="AD25" s="427">
        <v>30</v>
      </c>
      <c r="AE25" s="431">
        <f t="shared" si="6"/>
        <v>495.0304799999999</v>
      </c>
      <c r="AF25" s="434"/>
    </row>
    <row r="26" spans="1:32" ht="18" customHeight="1" x14ac:dyDescent="0.2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9" t="s">
        <v>49</v>
      </c>
      <c r="I26" s="555">
        <v>525.03</v>
      </c>
      <c r="J26" s="427">
        <v>120</v>
      </c>
      <c r="K26" s="427"/>
      <c r="L26" s="427">
        <v>340</v>
      </c>
      <c r="M26" s="427"/>
      <c r="N26" s="427">
        <v>7.4</v>
      </c>
      <c r="O26" s="427"/>
      <c r="P26" s="430">
        <v>27.057379121247031</v>
      </c>
      <c r="Q26" s="431">
        <f t="shared" si="0"/>
        <v>38.4</v>
      </c>
      <c r="R26" s="432">
        <v>16.256</v>
      </c>
      <c r="S26" s="431">
        <v>26.786999999999999</v>
      </c>
      <c r="T26" s="431">
        <v>190</v>
      </c>
      <c r="U26" s="431">
        <f t="shared" si="1"/>
        <v>11.687992125984252</v>
      </c>
      <c r="V26" s="433">
        <f t="shared" si="7"/>
        <v>39.313846268712432</v>
      </c>
      <c r="W26" s="432">
        <v>0.5</v>
      </c>
      <c r="X26" s="431">
        <f t="shared" si="2"/>
        <v>0.69757812500000005</v>
      </c>
      <c r="Y26" s="431">
        <f t="shared" si="4"/>
        <v>15.475712</v>
      </c>
      <c r="Z26" s="431">
        <f t="shared" si="4"/>
        <v>25.501223999999997</v>
      </c>
      <c r="AA26" s="431">
        <f t="shared" si="4"/>
        <v>180.88</v>
      </c>
      <c r="AB26" s="431">
        <f t="shared" si="5"/>
        <v>11.687992125984252</v>
      </c>
      <c r="AC26" s="431">
        <f t="shared" si="3"/>
        <v>39.313846268712432</v>
      </c>
      <c r="AD26" s="427">
        <v>30</v>
      </c>
      <c r="AE26" s="431">
        <f t="shared" si="6"/>
        <v>464.27136000000002</v>
      </c>
      <c r="AF26" s="434"/>
    </row>
    <row r="27" spans="1:32" ht="20.45" customHeight="1" x14ac:dyDescent="0.2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9" t="s">
        <v>52</v>
      </c>
      <c r="I27" s="437">
        <v>522</v>
      </c>
      <c r="J27" s="427">
        <v>360</v>
      </c>
      <c r="K27" s="427"/>
      <c r="L27" s="427">
        <v>433</v>
      </c>
      <c r="M27" s="427"/>
      <c r="N27" s="427">
        <v>9</v>
      </c>
      <c r="O27" s="427"/>
      <c r="P27" s="430">
        <v>18.885729350636815</v>
      </c>
      <c r="Q27" s="431">
        <f t="shared" si="0"/>
        <v>79.2</v>
      </c>
      <c r="R27" s="432">
        <v>12.238</v>
      </c>
      <c r="S27" s="431">
        <v>21.189999999999998</v>
      </c>
      <c r="T27" s="530">
        <v>4683</v>
      </c>
      <c r="U27" s="431">
        <f t="shared" si="1"/>
        <v>382.66056545187121</v>
      </c>
      <c r="V27" s="433">
        <f t="shared" si="7"/>
        <v>42.246342614440771</v>
      </c>
      <c r="W27" s="432">
        <v>0.5</v>
      </c>
      <c r="X27" s="431">
        <f t="shared" si="2"/>
        <v>0.26755050505050504</v>
      </c>
      <c r="Y27" s="431">
        <f t="shared" si="4"/>
        <v>11.650575999999999</v>
      </c>
      <c r="Z27" s="431">
        <f t="shared" si="4"/>
        <v>20.172879999999996</v>
      </c>
      <c r="AA27" s="530">
        <f t="shared" si="4"/>
        <v>4458.2159999999994</v>
      </c>
      <c r="AB27" s="431">
        <f t="shared" si="5"/>
        <v>382.66056545187121</v>
      </c>
      <c r="AC27" s="431">
        <f t="shared" si="3"/>
        <v>42.246342614440771</v>
      </c>
      <c r="AD27" s="427">
        <v>30</v>
      </c>
      <c r="AE27" s="431">
        <f t="shared" si="6"/>
        <v>349.51727999999997</v>
      </c>
      <c r="AF27" s="434"/>
    </row>
    <row r="28" spans="1:32" ht="18.75" x14ac:dyDescent="0.2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9" t="s">
        <v>48</v>
      </c>
      <c r="I28" s="555">
        <v>570.95000000000005</v>
      </c>
      <c r="J28" s="427">
        <v>85</v>
      </c>
      <c r="K28" s="427"/>
      <c r="L28" s="427">
        <v>453</v>
      </c>
      <c r="M28" s="427"/>
      <c r="N28" s="427">
        <v>7.4</v>
      </c>
      <c r="O28" s="427"/>
      <c r="P28" s="430">
        <v>19.507887906772179</v>
      </c>
      <c r="Q28" s="431">
        <f t="shared" si="0"/>
        <v>11.05</v>
      </c>
      <c r="R28" s="432">
        <v>4.2969999999999997</v>
      </c>
      <c r="S28" s="431">
        <v>6.56</v>
      </c>
      <c r="T28" s="431">
        <v>24</v>
      </c>
      <c r="U28" s="431">
        <f t="shared" si="1"/>
        <v>5.5852920642308588</v>
      </c>
      <c r="V28" s="433">
        <f t="shared" si="7"/>
        <v>34.496951219512198</v>
      </c>
      <c r="W28" s="432">
        <v>0.3</v>
      </c>
      <c r="X28" s="431">
        <f t="shared" si="2"/>
        <v>0.59366515837104061</v>
      </c>
      <c r="Y28" s="431">
        <f t="shared" si="4"/>
        <v>4.0907439999999999</v>
      </c>
      <c r="Z28" s="431">
        <f t="shared" si="4"/>
        <v>6.2451199999999991</v>
      </c>
      <c r="AA28" s="431">
        <f t="shared" si="4"/>
        <v>22.847999999999999</v>
      </c>
      <c r="AB28" s="431">
        <f t="shared" si="5"/>
        <v>5.5852920642308588</v>
      </c>
      <c r="AC28" s="431">
        <f t="shared" si="3"/>
        <v>34.496951219512198</v>
      </c>
      <c r="AD28" s="427">
        <v>30</v>
      </c>
      <c r="AE28" s="431">
        <f>Y28*AD28</f>
        <v>122.72232</v>
      </c>
      <c r="AF28" s="439"/>
    </row>
    <row r="29" spans="1:32" ht="18.75" x14ac:dyDescent="0.2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>
        <v>300</v>
      </c>
      <c r="K29" s="428"/>
      <c r="L29" s="428">
        <v>511</v>
      </c>
      <c r="M29" s="428"/>
      <c r="N29" s="428">
        <v>10.3</v>
      </c>
      <c r="O29" s="428"/>
      <c r="P29" s="441">
        <v>15.020076814121429</v>
      </c>
      <c r="Q29" s="428">
        <f t="shared" si="0"/>
        <v>96</v>
      </c>
      <c r="R29" s="442">
        <v>15.802</v>
      </c>
      <c r="S29" s="431">
        <v>17.358000000000001</v>
      </c>
      <c r="T29" s="428">
        <v>694</v>
      </c>
      <c r="U29" s="442">
        <f t="shared" si="1"/>
        <v>43.918491330211367</v>
      </c>
      <c r="V29" s="433">
        <f t="shared" si="7"/>
        <v>8.9641663786150527</v>
      </c>
      <c r="W29" s="428">
        <v>0.7</v>
      </c>
      <c r="X29" s="442">
        <f t="shared" si="2"/>
        <v>0.18081250000000001</v>
      </c>
      <c r="Y29" s="431">
        <f t="shared" si="4"/>
        <v>15.043503999999999</v>
      </c>
      <c r="Z29" s="431">
        <f t="shared" si="4"/>
        <v>16.524816000000001</v>
      </c>
      <c r="AA29" s="431">
        <f t="shared" si="4"/>
        <v>660.68799999999999</v>
      </c>
      <c r="AB29" s="442">
        <f t="shared" si="5"/>
        <v>43.918491330211367</v>
      </c>
      <c r="AC29" s="442">
        <f t="shared" si="3"/>
        <v>8.9641663786150527</v>
      </c>
      <c r="AD29" s="427">
        <v>30</v>
      </c>
      <c r="AE29" s="442">
        <f>Y29*AD29</f>
        <v>451.30511999999999</v>
      </c>
      <c r="AF29" s="428"/>
    </row>
    <row r="30" spans="1:32" ht="17.45" customHeight="1" x14ac:dyDescent="0.2">
      <c r="A30" s="427">
        <v>17</v>
      </c>
      <c r="B30" s="428" t="s">
        <v>154</v>
      </c>
      <c r="C30" s="427" t="s">
        <v>304</v>
      </c>
      <c r="D30" s="443">
        <v>668.36</v>
      </c>
      <c r="E30" s="436" t="s">
        <v>360</v>
      </c>
      <c r="F30" s="427">
        <v>177.8</v>
      </c>
      <c r="G30" s="427" t="s">
        <v>28</v>
      </c>
      <c r="H30" s="429" t="s">
        <v>52</v>
      </c>
      <c r="I30" s="437">
        <v>639.96</v>
      </c>
      <c r="J30" s="427">
        <v>0</v>
      </c>
      <c r="K30" s="435">
        <v>505</v>
      </c>
      <c r="L30" s="427"/>
      <c r="M30" s="435">
        <v>7</v>
      </c>
      <c r="N30" s="427"/>
      <c r="O30" s="427"/>
      <c r="P30" s="444">
        <v>13.369067077551017</v>
      </c>
      <c r="Q30" s="431">
        <v>0</v>
      </c>
      <c r="R30" s="432">
        <v>0</v>
      </c>
      <c r="S30" s="431">
        <v>0</v>
      </c>
      <c r="T30" s="431">
        <v>0</v>
      </c>
      <c r="U30" s="442">
        <v>0</v>
      </c>
      <c r="V30" s="433">
        <v>0</v>
      </c>
      <c r="W30" s="431">
        <v>0</v>
      </c>
      <c r="X30" s="442">
        <v>0</v>
      </c>
      <c r="Y30" s="431">
        <f t="shared" si="4"/>
        <v>0</v>
      </c>
      <c r="Z30" s="431">
        <f t="shared" si="4"/>
        <v>0</v>
      </c>
      <c r="AA30" s="431">
        <f t="shared" si="4"/>
        <v>0</v>
      </c>
      <c r="AB30" s="431">
        <v>0</v>
      </c>
      <c r="AC30" s="442">
        <f t="shared" si="3"/>
        <v>0</v>
      </c>
      <c r="AD30" s="427">
        <v>0</v>
      </c>
      <c r="AE30" s="431">
        <v>0</v>
      </c>
      <c r="AF30" s="434" t="s">
        <v>334</v>
      </c>
    </row>
    <row r="31" spans="1:32" ht="18.75" x14ac:dyDescent="0.2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9" t="s">
        <v>48</v>
      </c>
      <c r="I31" s="555">
        <v>561.19000000000005</v>
      </c>
      <c r="J31" s="427" t="s">
        <v>240</v>
      </c>
      <c r="K31" s="435">
        <v>108</v>
      </c>
      <c r="L31" s="427"/>
      <c r="M31" s="435">
        <v>1</v>
      </c>
      <c r="N31" s="427"/>
      <c r="O31" s="427"/>
      <c r="P31" s="430">
        <v>47.912494885714281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42">
        <v>0</v>
      </c>
      <c r="V31" s="433">
        <v>0</v>
      </c>
      <c r="W31" s="432">
        <v>0</v>
      </c>
      <c r="X31" s="442">
        <v>0</v>
      </c>
      <c r="Y31" s="431">
        <f t="shared" ref="Y31:AA76" si="8">R31*0.952</f>
        <v>0</v>
      </c>
      <c r="Z31" s="431">
        <f t="shared" si="8"/>
        <v>0</v>
      </c>
      <c r="AA31" s="431">
        <f t="shared" si="8"/>
        <v>0</v>
      </c>
      <c r="AB31" s="431">
        <f>U31</f>
        <v>0</v>
      </c>
      <c r="AC31" s="442">
        <f t="shared" si="3"/>
        <v>0</v>
      </c>
      <c r="AD31" s="427">
        <v>0</v>
      </c>
      <c r="AE31" s="431">
        <f t="shared" si="6"/>
        <v>0</v>
      </c>
      <c r="AF31" s="434" t="s">
        <v>335</v>
      </c>
    </row>
    <row r="32" spans="1:32" ht="18.75" x14ac:dyDescent="0.2">
      <c r="A32" s="427">
        <v>19</v>
      </c>
      <c r="B32" s="428" t="s">
        <v>39</v>
      </c>
      <c r="C32" s="427" t="s">
        <v>46</v>
      </c>
      <c r="D32" s="427">
        <v>562.15</v>
      </c>
      <c r="E32" s="427" t="s">
        <v>357</v>
      </c>
      <c r="F32" s="427">
        <v>177.8</v>
      </c>
      <c r="G32" s="427" t="s">
        <v>28</v>
      </c>
      <c r="H32" s="429" t="s">
        <v>51</v>
      </c>
      <c r="I32" s="555">
        <v>542.45000000000005</v>
      </c>
      <c r="J32" s="427">
        <v>0</v>
      </c>
      <c r="K32" s="435">
        <v>348</v>
      </c>
      <c r="L32" s="427"/>
      <c r="M32" s="435">
        <v>1</v>
      </c>
      <c r="N32" s="427"/>
      <c r="O32" s="427"/>
      <c r="P32" s="430">
        <v>21.794781508163265</v>
      </c>
      <c r="Q32" s="431">
        <f t="shared" si="0"/>
        <v>0</v>
      </c>
      <c r="R32" s="432">
        <v>0</v>
      </c>
      <c r="S32" s="431">
        <v>0</v>
      </c>
      <c r="T32" s="431">
        <v>0</v>
      </c>
      <c r="U32" s="442">
        <v>0</v>
      </c>
      <c r="V32" s="433">
        <v>0</v>
      </c>
      <c r="W32" s="432">
        <v>0</v>
      </c>
      <c r="X32" s="442">
        <v>0</v>
      </c>
      <c r="Y32" s="431">
        <f t="shared" si="8"/>
        <v>0</v>
      </c>
      <c r="Z32" s="431">
        <f t="shared" si="8"/>
        <v>0</v>
      </c>
      <c r="AA32" s="431">
        <f t="shared" si="8"/>
        <v>0</v>
      </c>
      <c r="AB32" s="431">
        <f t="shared" si="5"/>
        <v>0</v>
      </c>
      <c r="AC32" s="442">
        <f t="shared" si="3"/>
        <v>0</v>
      </c>
      <c r="AD32" s="427">
        <v>0</v>
      </c>
      <c r="AE32" s="431">
        <f t="shared" si="6"/>
        <v>0</v>
      </c>
      <c r="AF32" s="434" t="s">
        <v>361</v>
      </c>
    </row>
    <row r="33" spans="1:32" ht="17.45" customHeight="1" x14ac:dyDescent="0.2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9" t="s">
        <v>48</v>
      </c>
      <c r="I33" s="555">
        <v>588.04999999999995</v>
      </c>
      <c r="J33" s="427" t="s">
        <v>240</v>
      </c>
      <c r="K33" s="435">
        <v>151</v>
      </c>
      <c r="L33" s="427"/>
      <c r="M33" s="435">
        <v>0.5</v>
      </c>
      <c r="N33" s="427"/>
      <c r="O33" s="427"/>
      <c r="P33" s="430">
        <v>42.819040437755099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42">
        <v>0</v>
      </c>
      <c r="Y33" s="431">
        <f t="shared" si="8"/>
        <v>0</v>
      </c>
      <c r="Z33" s="431">
        <f t="shared" si="8"/>
        <v>0</v>
      </c>
      <c r="AA33" s="431">
        <f t="shared" si="8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ht="18.75" x14ac:dyDescent="0.2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9" t="s">
        <v>52</v>
      </c>
      <c r="I34" s="555">
        <v>554.30999999999995</v>
      </c>
      <c r="J34" s="427">
        <v>310</v>
      </c>
      <c r="K34" s="427"/>
      <c r="L34" s="427">
        <v>477</v>
      </c>
      <c r="M34" s="427"/>
      <c r="N34" s="427">
        <v>6.9</v>
      </c>
      <c r="O34" s="427"/>
      <c r="P34" s="430">
        <v>13.768056637530913</v>
      </c>
      <c r="Q34" s="431">
        <f t="shared" si="0"/>
        <v>68.2</v>
      </c>
      <c r="R34" s="432">
        <v>7.2380000000000004</v>
      </c>
      <c r="S34" s="431">
        <v>9.3840000000000003</v>
      </c>
      <c r="T34" s="431">
        <v>350</v>
      </c>
      <c r="U34" s="431">
        <f t="shared" si="1"/>
        <v>48.355899419729205</v>
      </c>
      <c r="V34" s="433">
        <f t="shared" si="7"/>
        <v>22.86871270247229</v>
      </c>
      <c r="W34" s="432">
        <v>0.3</v>
      </c>
      <c r="X34" s="431">
        <f t="shared" si="2"/>
        <v>0.13759530791788857</v>
      </c>
      <c r="Y34" s="431">
        <f t="shared" si="8"/>
        <v>6.8905760000000003</v>
      </c>
      <c r="Z34" s="431">
        <f t="shared" si="8"/>
        <v>8.9335679999999993</v>
      </c>
      <c r="AA34" s="431">
        <f t="shared" si="8"/>
        <v>333.2</v>
      </c>
      <c r="AB34" s="431">
        <v>89.536086956521729</v>
      </c>
      <c r="AC34" s="431">
        <v>26</v>
      </c>
      <c r="AD34" s="427">
        <v>30</v>
      </c>
      <c r="AE34" s="431">
        <f t="shared" si="6"/>
        <v>206.71728000000002</v>
      </c>
      <c r="AF34" s="445"/>
    </row>
    <row r="35" spans="1:32" ht="18.75" x14ac:dyDescent="0.2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9" t="s">
        <v>48</v>
      </c>
      <c r="I35" s="555">
        <v>589.66</v>
      </c>
      <c r="J35" s="427">
        <v>125</v>
      </c>
      <c r="K35" s="427"/>
      <c r="L35" s="427">
        <v>474</v>
      </c>
      <c r="M35" s="427"/>
      <c r="N35" s="427">
        <v>8.4</v>
      </c>
      <c r="O35" s="427"/>
      <c r="P35" s="430">
        <v>17.878199650710958</v>
      </c>
      <c r="Q35" s="431">
        <f t="shared" si="0"/>
        <v>16.25</v>
      </c>
      <c r="R35" s="432">
        <v>5.3280000000000003</v>
      </c>
      <c r="S35" s="431">
        <v>11.318999999999999</v>
      </c>
      <c r="T35" s="431">
        <v>20</v>
      </c>
      <c r="U35" s="431">
        <f t="shared" si="1"/>
        <v>3.7537537537537538</v>
      </c>
      <c r="V35" s="433">
        <f t="shared" si="7"/>
        <v>52.928703949112112</v>
      </c>
      <c r="W35" s="432">
        <v>0.3</v>
      </c>
      <c r="X35" s="431">
        <f t="shared" si="2"/>
        <v>0.69655384615384608</v>
      </c>
      <c r="Y35" s="431">
        <f t="shared" si="8"/>
        <v>5.0722560000000003</v>
      </c>
      <c r="Z35" s="431">
        <f t="shared" si="8"/>
        <v>10.775687999999999</v>
      </c>
      <c r="AA35" s="431">
        <f t="shared" si="8"/>
        <v>19.04</v>
      </c>
      <c r="AB35" s="431">
        <f t="shared" si="5"/>
        <v>3.7537537537537538</v>
      </c>
      <c r="AC35" s="431">
        <f t="shared" si="3"/>
        <v>52.928703949112112</v>
      </c>
      <c r="AD35" s="427">
        <v>30</v>
      </c>
      <c r="AE35" s="431">
        <f t="shared" si="6"/>
        <v>152.16768000000002</v>
      </c>
      <c r="AF35" s="439"/>
    </row>
    <row r="36" spans="1:32" ht="18.75" x14ac:dyDescent="0.2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9" t="s">
        <v>52</v>
      </c>
      <c r="I36" s="446">
        <v>551.13</v>
      </c>
      <c r="J36" s="427">
        <v>85</v>
      </c>
      <c r="K36" s="427"/>
      <c r="L36" s="427">
        <v>436</v>
      </c>
      <c r="M36" s="427"/>
      <c r="N36" s="427">
        <v>7.6</v>
      </c>
      <c r="O36" s="427"/>
      <c r="P36" s="430">
        <v>20.663369889887111</v>
      </c>
      <c r="Q36" s="431">
        <f t="shared" si="0"/>
        <v>18.7</v>
      </c>
      <c r="R36" s="432">
        <v>2.5230000000000001</v>
      </c>
      <c r="S36" s="431">
        <v>11.891</v>
      </c>
      <c r="T36" s="431">
        <v>46</v>
      </c>
      <c r="U36" s="431">
        <f t="shared" si="1"/>
        <v>18.232263178755449</v>
      </c>
      <c r="V36" s="433">
        <f t="shared" si="7"/>
        <v>78.782272306786652</v>
      </c>
      <c r="W36" s="432">
        <v>0.3</v>
      </c>
      <c r="X36" s="431">
        <f t="shared" si="2"/>
        <v>0.63588235294117645</v>
      </c>
      <c r="Y36" s="431">
        <f t="shared" si="8"/>
        <v>2.4018959999999998</v>
      </c>
      <c r="Z36" s="431">
        <f t="shared" si="8"/>
        <v>11.320231999999999</v>
      </c>
      <c r="AA36" s="431">
        <f t="shared" si="8"/>
        <v>43.792000000000002</v>
      </c>
      <c r="AB36" s="431">
        <f t="shared" si="5"/>
        <v>18.232263178755449</v>
      </c>
      <c r="AC36" s="431">
        <f t="shared" si="3"/>
        <v>78.782272306786652</v>
      </c>
      <c r="AD36" s="427">
        <v>30</v>
      </c>
      <c r="AE36" s="431">
        <f t="shared" si="6"/>
        <v>72.056879999999992</v>
      </c>
      <c r="AF36" s="434"/>
    </row>
    <row r="37" spans="1:32" ht="18.75" x14ac:dyDescent="0.2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9" t="s">
        <v>52</v>
      </c>
      <c r="I37" s="446">
        <v>592.85</v>
      </c>
      <c r="J37" s="427">
        <v>260</v>
      </c>
      <c r="K37" s="427"/>
      <c r="L37" s="427">
        <v>183</v>
      </c>
      <c r="M37" s="427"/>
      <c r="N37" s="427">
        <v>8.6999999999999993</v>
      </c>
      <c r="O37" s="427"/>
      <c r="P37" s="430">
        <v>47.415295178317592</v>
      </c>
      <c r="Q37" s="431">
        <f t="shared" si="0"/>
        <v>57.2</v>
      </c>
      <c r="R37" s="432">
        <v>17.974</v>
      </c>
      <c r="S37" s="431">
        <v>44.617000000000004</v>
      </c>
      <c r="T37" s="431">
        <v>212</v>
      </c>
      <c r="U37" s="431">
        <f t="shared" si="1"/>
        <v>11.794814732391231</v>
      </c>
      <c r="V37" s="433">
        <f t="shared" si="7"/>
        <v>59.714906874061455</v>
      </c>
      <c r="W37" s="432">
        <v>0.6</v>
      </c>
      <c r="X37" s="431">
        <f t="shared" si="2"/>
        <v>0.7800174825174826</v>
      </c>
      <c r="Y37" s="431">
        <f t="shared" si="8"/>
        <v>17.111248</v>
      </c>
      <c r="Z37" s="431">
        <f t="shared" si="8"/>
        <v>42.475384000000005</v>
      </c>
      <c r="AA37" s="431">
        <f t="shared" si="8"/>
        <v>201.82399999999998</v>
      </c>
      <c r="AB37" s="431">
        <f t="shared" si="5"/>
        <v>11.794814732391231</v>
      </c>
      <c r="AC37" s="431">
        <f t="shared" si="3"/>
        <v>59.714906874061455</v>
      </c>
      <c r="AD37" s="427">
        <v>30</v>
      </c>
      <c r="AE37" s="431">
        <f t="shared" si="6"/>
        <v>513.33744000000002</v>
      </c>
      <c r="AF37" s="434"/>
    </row>
    <row r="38" spans="1:32" ht="18.75" x14ac:dyDescent="0.2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9" t="s">
        <v>52</v>
      </c>
      <c r="I38" s="555">
        <v>592.95000000000005</v>
      </c>
      <c r="J38" s="427">
        <v>295</v>
      </c>
      <c r="K38" s="427"/>
      <c r="L38" s="427">
        <v>500</v>
      </c>
      <c r="M38" s="427"/>
      <c r="N38" s="427">
        <v>8.8000000000000007</v>
      </c>
      <c r="O38" s="427"/>
      <c r="P38" s="430">
        <v>15.357383580017142</v>
      </c>
      <c r="Q38" s="431">
        <f>LEFT(H38,(FIND("K",H38,1)-1))*J38/100</f>
        <v>64.900000000000006</v>
      </c>
      <c r="R38" s="432">
        <v>13.856999999999999</v>
      </c>
      <c r="S38" s="431">
        <v>27.881</v>
      </c>
      <c r="T38" s="431">
        <v>489</v>
      </c>
      <c r="U38" s="431">
        <f t="shared" si="1"/>
        <v>35.289023598181423</v>
      </c>
      <c r="V38" s="433">
        <f t="shared" si="7"/>
        <v>50.299487105914423</v>
      </c>
      <c r="W38" s="432">
        <v>0.4</v>
      </c>
      <c r="X38" s="431">
        <f t="shared" si="2"/>
        <v>0.42959938366718026</v>
      </c>
      <c r="Y38" s="431">
        <f t="shared" si="8"/>
        <v>13.191863999999999</v>
      </c>
      <c r="Z38" s="431">
        <f t="shared" si="8"/>
        <v>26.542711999999998</v>
      </c>
      <c r="AA38" s="431">
        <f t="shared" si="8"/>
        <v>465.52799999999996</v>
      </c>
      <c r="AB38" s="431">
        <f t="shared" si="5"/>
        <v>35.289023598181423</v>
      </c>
      <c r="AC38" s="431">
        <f t="shared" si="3"/>
        <v>50.299487105914423</v>
      </c>
      <c r="AD38" s="427">
        <v>30</v>
      </c>
      <c r="AE38" s="431">
        <f t="shared" si="6"/>
        <v>395.75591999999995</v>
      </c>
      <c r="AF38" s="434"/>
    </row>
    <row r="39" spans="1:32" ht="18.75" x14ac:dyDescent="0.2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9" t="s">
        <v>212</v>
      </c>
      <c r="I39" s="555">
        <v>547.65</v>
      </c>
      <c r="J39" s="427">
        <v>120</v>
      </c>
      <c r="K39" s="427"/>
      <c r="L39" s="427">
        <v>418</v>
      </c>
      <c r="M39" s="427"/>
      <c r="N39" s="427">
        <v>8.1</v>
      </c>
      <c r="O39" s="427"/>
      <c r="P39" s="430">
        <v>21.341338977460712</v>
      </c>
      <c r="Q39" s="431">
        <f t="shared" ref="Q39:Q74" si="9">LEFT(H39,(FIND("K",H39,1)-1))*J39/100</f>
        <v>9.6</v>
      </c>
      <c r="R39" s="432">
        <v>5.359</v>
      </c>
      <c r="S39" s="431">
        <v>6.5670000000000002</v>
      </c>
      <c r="T39" s="431">
        <v>37</v>
      </c>
      <c r="U39" s="431">
        <f t="shared" si="1"/>
        <v>6.9042731852957644</v>
      </c>
      <c r="V39" s="433">
        <f t="shared" si="7"/>
        <v>18.3950053296787</v>
      </c>
      <c r="W39" s="432">
        <v>1</v>
      </c>
      <c r="X39" s="431">
        <f t="shared" si="2"/>
        <v>0.68406250000000002</v>
      </c>
      <c r="Y39" s="431">
        <f t="shared" si="8"/>
        <v>5.1017679999999999</v>
      </c>
      <c r="Z39" s="431">
        <f t="shared" si="8"/>
        <v>6.2517839999999998</v>
      </c>
      <c r="AA39" s="431">
        <f t="shared" si="8"/>
        <v>35.223999999999997</v>
      </c>
      <c r="AB39" s="431">
        <f t="shared" si="5"/>
        <v>6.9042731852957644</v>
      </c>
      <c r="AC39" s="431">
        <f t="shared" si="3"/>
        <v>18.3950053296787</v>
      </c>
      <c r="AD39" s="427">
        <v>30</v>
      </c>
      <c r="AE39" s="431">
        <f t="shared" si="6"/>
        <v>153.05304000000001</v>
      </c>
      <c r="AF39" s="434"/>
    </row>
    <row r="40" spans="1:32" ht="24.6" customHeight="1" x14ac:dyDescent="0.2">
      <c r="A40" s="427">
        <v>27</v>
      </c>
      <c r="B40" s="557" t="s">
        <v>161</v>
      </c>
      <c r="C40" s="427" t="s">
        <v>46</v>
      </c>
      <c r="D40" s="555">
        <v>677</v>
      </c>
      <c r="E40" s="429" t="s">
        <v>178</v>
      </c>
      <c r="F40" s="427">
        <v>177.8</v>
      </c>
      <c r="G40" s="427" t="s">
        <v>28</v>
      </c>
      <c r="H40" s="429" t="s">
        <v>52</v>
      </c>
      <c r="I40" s="555">
        <v>535.41</v>
      </c>
      <c r="J40" s="555">
        <v>130</v>
      </c>
      <c r="K40" s="555"/>
      <c r="L40" s="555">
        <v>465</v>
      </c>
      <c r="M40" s="555"/>
      <c r="N40" s="427">
        <v>7</v>
      </c>
      <c r="O40" s="555"/>
      <c r="P40" s="448">
        <v>14.972984545523994</v>
      </c>
      <c r="Q40" s="431">
        <f t="shared" si="9"/>
        <v>28.6</v>
      </c>
      <c r="R40" s="432">
        <v>5.444</v>
      </c>
      <c r="S40" s="431">
        <v>7.5779999999999994</v>
      </c>
      <c r="T40" s="437">
        <v>468</v>
      </c>
      <c r="U40" s="431">
        <f t="shared" si="1"/>
        <v>85.966201322556941</v>
      </c>
      <c r="V40" s="433">
        <f t="shared" si="7"/>
        <v>28.160464502507253</v>
      </c>
      <c r="W40" s="432">
        <v>0.2</v>
      </c>
      <c r="X40" s="431">
        <f t="shared" si="2"/>
        <v>0.26496503496503493</v>
      </c>
      <c r="Y40" s="431">
        <f t="shared" si="8"/>
        <v>5.1826879999999997</v>
      </c>
      <c r="Z40" s="431">
        <f t="shared" si="8"/>
        <v>7.2142559999999989</v>
      </c>
      <c r="AA40" s="431">
        <f t="shared" si="8"/>
        <v>445.536</v>
      </c>
      <c r="AB40" s="431">
        <f t="shared" si="5"/>
        <v>85.966201322556941</v>
      </c>
      <c r="AC40" s="431">
        <f t="shared" si="3"/>
        <v>28.160464502507253</v>
      </c>
      <c r="AD40" s="427">
        <v>30</v>
      </c>
      <c r="AE40" s="431">
        <f t="shared" si="6"/>
        <v>155.48063999999999</v>
      </c>
      <c r="AF40" s="449"/>
    </row>
    <row r="41" spans="1:32" ht="21.6" customHeight="1" x14ac:dyDescent="0.2">
      <c r="A41" s="427">
        <v>28</v>
      </c>
      <c r="B41" s="557" t="s">
        <v>162</v>
      </c>
      <c r="C41" s="427" t="s">
        <v>46</v>
      </c>
      <c r="D41" s="555">
        <v>676</v>
      </c>
      <c r="E41" s="429" t="s">
        <v>180</v>
      </c>
      <c r="F41" s="427">
        <v>177.8</v>
      </c>
      <c r="G41" s="427" t="s">
        <v>28</v>
      </c>
      <c r="H41" s="429" t="s">
        <v>50</v>
      </c>
      <c r="I41" s="555">
        <v>545.42999999999995</v>
      </c>
      <c r="J41" s="555">
        <v>0</v>
      </c>
      <c r="K41" s="424">
        <v>71</v>
      </c>
      <c r="L41" s="427">
        <v>0</v>
      </c>
      <c r="M41" s="555">
        <v>1.1000000000000001</v>
      </c>
      <c r="N41" s="427"/>
      <c r="O41" s="555"/>
      <c r="P41" s="448">
        <v>38.356013554081628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8"/>
        <v>0</v>
      </c>
      <c r="Z41" s="431">
        <f t="shared" si="8"/>
        <v>0</v>
      </c>
      <c r="AA41" s="431">
        <f t="shared" si="8"/>
        <v>0</v>
      </c>
      <c r="AB41" s="431">
        <f t="shared" si="5"/>
        <v>0</v>
      </c>
      <c r="AC41" s="431">
        <f t="shared" si="3"/>
        <v>0</v>
      </c>
      <c r="AD41" s="427">
        <v>0</v>
      </c>
      <c r="AE41" s="431">
        <f t="shared" si="6"/>
        <v>0</v>
      </c>
      <c r="AF41" s="449" t="s">
        <v>335</v>
      </c>
    </row>
    <row r="42" spans="1:32" ht="22.15" customHeight="1" x14ac:dyDescent="0.2">
      <c r="A42" s="427">
        <v>29</v>
      </c>
      <c r="B42" s="557" t="s">
        <v>163</v>
      </c>
      <c r="C42" s="427" t="s">
        <v>46</v>
      </c>
      <c r="D42" s="555">
        <v>677.27</v>
      </c>
      <c r="E42" s="429" t="s">
        <v>194</v>
      </c>
      <c r="F42" s="427">
        <v>177.8</v>
      </c>
      <c r="G42" s="427" t="s">
        <v>28</v>
      </c>
      <c r="H42" s="429" t="s">
        <v>187</v>
      </c>
      <c r="I42" s="555">
        <v>553.82000000000005</v>
      </c>
      <c r="J42" s="555">
        <v>190</v>
      </c>
      <c r="K42" s="555"/>
      <c r="L42" s="555">
        <v>284</v>
      </c>
      <c r="M42" s="555"/>
      <c r="N42" s="427">
        <v>6.6</v>
      </c>
      <c r="O42" s="555"/>
      <c r="P42" s="448">
        <v>37.966441341070606</v>
      </c>
      <c r="Q42" s="431">
        <f t="shared" si="9"/>
        <v>11.4</v>
      </c>
      <c r="R42" s="432">
        <v>4.82</v>
      </c>
      <c r="S42" s="431">
        <v>7.0220000000000002</v>
      </c>
      <c r="T42" s="437">
        <v>8</v>
      </c>
      <c r="U42" s="431">
        <f>T42/R42</f>
        <v>1.6597510373443982</v>
      </c>
      <c r="V42" s="433">
        <f t="shared" si="7"/>
        <v>31.358587297066361</v>
      </c>
      <c r="W42" s="432">
        <v>0.2</v>
      </c>
      <c r="X42" s="431">
        <f t="shared" si="2"/>
        <v>0.61596491228070172</v>
      </c>
      <c r="Y42" s="431">
        <f t="shared" si="8"/>
        <v>4.5886399999999998</v>
      </c>
      <c r="Z42" s="431">
        <f t="shared" si="8"/>
        <v>6.6849439999999998</v>
      </c>
      <c r="AA42" s="431">
        <f t="shared" si="8"/>
        <v>7.6159999999999997</v>
      </c>
      <c r="AB42" s="431">
        <f t="shared" si="5"/>
        <v>1.6597510373443982</v>
      </c>
      <c r="AC42" s="431">
        <f t="shared" si="3"/>
        <v>31.358587297066361</v>
      </c>
      <c r="AD42" s="427">
        <v>30</v>
      </c>
      <c r="AE42" s="431">
        <f t="shared" si="6"/>
        <v>137.6592</v>
      </c>
      <c r="AF42" s="449"/>
    </row>
    <row r="43" spans="1:32" ht="18.75" x14ac:dyDescent="0.2">
      <c r="A43" s="427">
        <v>30</v>
      </c>
      <c r="B43" s="428" t="s">
        <v>59</v>
      </c>
      <c r="C43" s="427" t="s">
        <v>46</v>
      </c>
      <c r="D43" s="429">
        <v>643</v>
      </c>
      <c r="E43" s="427" t="s">
        <v>94</v>
      </c>
      <c r="F43" s="427">
        <v>177.8</v>
      </c>
      <c r="G43" s="427" t="s">
        <v>28</v>
      </c>
      <c r="H43" s="429" t="s">
        <v>48</v>
      </c>
      <c r="I43" s="555">
        <v>540.79999999999995</v>
      </c>
      <c r="J43" s="427">
        <v>100</v>
      </c>
      <c r="K43" s="427"/>
      <c r="L43" s="427">
        <v>435</v>
      </c>
      <c r="M43" s="427"/>
      <c r="N43" s="427">
        <v>3</v>
      </c>
      <c r="O43" s="427"/>
      <c r="P43" s="430">
        <v>14.825919454040029</v>
      </c>
      <c r="Q43" s="431">
        <f t="shared" si="9"/>
        <v>13</v>
      </c>
      <c r="R43" s="432">
        <v>4.2960000000000003</v>
      </c>
      <c r="S43" s="431">
        <v>6.4830000000000005</v>
      </c>
      <c r="T43" s="431">
        <v>11</v>
      </c>
      <c r="U43" s="431">
        <f t="shared" si="1"/>
        <v>2.5605214152700184</v>
      </c>
      <c r="V43" s="433">
        <f t="shared" si="7"/>
        <v>33.734382230448865</v>
      </c>
      <c r="W43" s="432">
        <v>0.3</v>
      </c>
      <c r="X43" s="431">
        <f t="shared" si="2"/>
        <v>0.49869230769230771</v>
      </c>
      <c r="Y43" s="431">
        <f t="shared" si="8"/>
        <v>4.0897920000000001</v>
      </c>
      <c r="Z43" s="431">
        <f t="shared" si="8"/>
        <v>6.1718160000000006</v>
      </c>
      <c r="AA43" s="431">
        <f t="shared" si="8"/>
        <v>10.472</v>
      </c>
      <c r="AB43" s="431">
        <f>U43</f>
        <v>2.5605214152700184</v>
      </c>
      <c r="AC43" s="431">
        <f t="shared" si="3"/>
        <v>33.734382230448865</v>
      </c>
      <c r="AD43" s="427">
        <v>30</v>
      </c>
      <c r="AE43" s="431">
        <f t="shared" si="6"/>
        <v>122.69376</v>
      </c>
      <c r="AF43" s="439"/>
    </row>
    <row r="44" spans="1:32" ht="18.75" x14ac:dyDescent="0.2">
      <c r="A44" s="427">
        <v>31</v>
      </c>
      <c r="B44" s="428" t="s">
        <v>207</v>
      </c>
      <c r="C44" s="427" t="s">
        <v>46</v>
      </c>
      <c r="D44" s="429">
        <v>673</v>
      </c>
      <c r="E44" s="427" t="s">
        <v>230</v>
      </c>
      <c r="F44" s="427">
        <v>177.8</v>
      </c>
      <c r="G44" s="427" t="s">
        <v>28</v>
      </c>
      <c r="H44" s="429" t="s">
        <v>50</v>
      </c>
      <c r="I44" s="555">
        <v>564.41999999999996</v>
      </c>
      <c r="J44" s="427">
        <v>195</v>
      </c>
      <c r="K44" s="427"/>
      <c r="L44" s="427">
        <v>360</v>
      </c>
      <c r="M44" s="427"/>
      <c r="N44" s="430">
        <v>3.6</v>
      </c>
      <c r="O44" s="427"/>
      <c r="P44" s="430">
        <v>23.794786738078443</v>
      </c>
      <c r="Q44" s="431">
        <f t="shared" si="9"/>
        <v>11.7</v>
      </c>
      <c r="R44" s="432">
        <v>6.5890000000000004</v>
      </c>
      <c r="S44" s="431">
        <v>8.5950000000000006</v>
      </c>
      <c r="T44" s="431">
        <v>0</v>
      </c>
      <c r="U44" s="431">
        <f t="shared" si="1"/>
        <v>0</v>
      </c>
      <c r="V44" s="433">
        <f t="shared" si="7"/>
        <v>23.339150668993604</v>
      </c>
      <c r="W44" s="432">
        <v>0.3</v>
      </c>
      <c r="X44" s="431">
        <f t="shared" si="2"/>
        <v>0.73461538461538467</v>
      </c>
      <c r="Y44" s="431">
        <f t="shared" si="8"/>
        <v>6.2727279999999999</v>
      </c>
      <c r="Z44" s="431">
        <f t="shared" si="8"/>
        <v>8.1824399999999997</v>
      </c>
      <c r="AA44" s="431">
        <f t="shared" si="8"/>
        <v>0</v>
      </c>
      <c r="AB44" s="431">
        <f>U44</f>
        <v>0</v>
      </c>
      <c r="AC44" s="431">
        <f t="shared" si="3"/>
        <v>23.339150668993604</v>
      </c>
      <c r="AD44" s="427">
        <v>30</v>
      </c>
      <c r="AE44" s="431">
        <f t="shared" si="6"/>
        <v>188.18183999999999</v>
      </c>
      <c r="AF44" s="439"/>
    </row>
    <row r="45" spans="1:32" ht="18.75" x14ac:dyDescent="0.2">
      <c r="A45" s="427">
        <v>32</v>
      </c>
      <c r="B45" s="428" t="s">
        <v>196</v>
      </c>
      <c r="C45" s="427" t="s">
        <v>304</v>
      </c>
      <c r="D45" s="429">
        <v>641</v>
      </c>
      <c r="E45" s="427" t="s">
        <v>296</v>
      </c>
      <c r="F45" s="427">
        <v>177.8</v>
      </c>
      <c r="G45" s="427" t="s">
        <v>28</v>
      </c>
      <c r="H45" s="429" t="s">
        <v>218</v>
      </c>
      <c r="I45" s="555">
        <v>618.66999999999996</v>
      </c>
      <c r="J45" s="427">
        <v>65</v>
      </c>
      <c r="K45" s="427"/>
      <c r="L45" s="427">
        <v>509</v>
      </c>
      <c r="M45" s="427"/>
      <c r="N45" s="430">
        <v>1</v>
      </c>
      <c r="O45" s="427"/>
      <c r="P45" s="430">
        <v>12.518282063937958</v>
      </c>
      <c r="Q45" s="431">
        <f t="shared" si="9"/>
        <v>20.8</v>
      </c>
      <c r="R45" s="432">
        <v>2.8650000000000002</v>
      </c>
      <c r="S45" s="431">
        <v>3.5030000000000001</v>
      </c>
      <c r="T45" s="431">
        <v>0</v>
      </c>
      <c r="U45" s="431">
        <f t="shared" si="1"/>
        <v>0</v>
      </c>
      <c r="V45" s="433">
        <f t="shared" si="7"/>
        <v>18.212960319725944</v>
      </c>
      <c r="W45" s="432">
        <v>0.2</v>
      </c>
      <c r="X45" s="431">
        <f t="shared" si="2"/>
        <v>0.16841346153846154</v>
      </c>
      <c r="Y45" s="431">
        <f t="shared" si="8"/>
        <v>2.7274799999999999</v>
      </c>
      <c r="Z45" s="431">
        <f t="shared" si="8"/>
        <v>3.3348559999999998</v>
      </c>
      <c r="AA45" s="431">
        <f t="shared" si="8"/>
        <v>0</v>
      </c>
      <c r="AB45" s="431">
        <f>U45</f>
        <v>0</v>
      </c>
      <c r="AC45" s="431">
        <f t="shared" si="3"/>
        <v>18.212960319725944</v>
      </c>
      <c r="AD45" s="427">
        <v>30</v>
      </c>
      <c r="AE45" s="431">
        <f t="shared" si="6"/>
        <v>81.824399999999997</v>
      </c>
      <c r="AF45" s="439"/>
    </row>
    <row r="46" spans="1:32" ht="18.75" x14ac:dyDescent="0.2">
      <c r="A46" s="427">
        <v>33</v>
      </c>
      <c r="B46" s="428" t="s">
        <v>60</v>
      </c>
      <c r="C46" s="427" t="s">
        <v>46</v>
      </c>
      <c r="D46" s="429">
        <v>638.9</v>
      </c>
      <c r="E46" s="427" t="s">
        <v>95</v>
      </c>
      <c r="F46" s="427">
        <v>177.8</v>
      </c>
      <c r="G46" s="427" t="s">
        <v>28</v>
      </c>
      <c r="H46" s="429" t="s">
        <v>48</v>
      </c>
      <c r="I46" s="555">
        <v>546.64</v>
      </c>
      <c r="J46" s="427">
        <v>100</v>
      </c>
      <c r="K46" s="427"/>
      <c r="L46" s="427">
        <v>476</v>
      </c>
      <c r="M46" s="427"/>
      <c r="N46" s="427">
        <v>7.2</v>
      </c>
      <c r="O46" s="427"/>
      <c r="P46" s="430">
        <v>14.819634481488785</v>
      </c>
      <c r="Q46" s="431">
        <f t="shared" si="9"/>
        <v>13</v>
      </c>
      <c r="R46" s="432">
        <v>4.0439999999999996</v>
      </c>
      <c r="S46" s="431">
        <v>7.1349999999999998</v>
      </c>
      <c r="T46" s="431">
        <v>78</v>
      </c>
      <c r="U46" s="431">
        <f t="shared" si="1"/>
        <v>19.287833827893177</v>
      </c>
      <c r="V46" s="433">
        <f t="shared" si="7"/>
        <v>43.321653819201124</v>
      </c>
      <c r="W46" s="432">
        <v>0.3</v>
      </c>
      <c r="X46" s="431">
        <f t="shared" si="2"/>
        <v>0.54884615384615387</v>
      </c>
      <c r="Y46" s="431">
        <f t="shared" si="8"/>
        <v>3.8498879999999995</v>
      </c>
      <c r="Z46" s="431">
        <f t="shared" si="8"/>
        <v>6.7925199999999997</v>
      </c>
      <c r="AA46" s="431">
        <f t="shared" si="8"/>
        <v>74.256</v>
      </c>
      <c r="AB46" s="431">
        <f t="shared" si="5"/>
        <v>19.287833827893177</v>
      </c>
      <c r="AC46" s="431">
        <f t="shared" si="3"/>
        <v>43.321653819201124</v>
      </c>
      <c r="AD46" s="427">
        <v>30</v>
      </c>
      <c r="AE46" s="431">
        <f t="shared" si="6"/>
        <v>115.49663999999999</v>
      </c>
      <c r="AF46" s="439"/>
    </row>
    <row r="47" spans="1:32" ht="19.899999999999999" customHeight="1" x14ac:dyDescent="0.2">
      <c r="A47" s="427">
        <v>34</v>
      </c>
      <c r="B47" s="428" t="s">
        <v>119</v>
      </c>
      <c r="C47" s="427" t="s">
        <v>46</v>
      </c>
      <c r="D47" s="429">
        <v>654.07000000000005</v>
      </c>
      <c r="E47" s="427" t="s">
        <v>126</v>
      </c>
      <c r="F47" s="427">
        <v>177.8</v>
      </c>
      <c r="G47" s="427" t="s">
        <v>28</v>
      </c>
      <c r="H47" s="429" t="s">
        <v>48</v>
      </c>
      <c r="I47" s="555">
        <v>526.6</v>
      </c>
      <c r="J47" s="427" t="s">
        <v>240</v>
      </c>
      <c r="K47" s="435">
        <v>503</v>
      </c>
      <c r="L47" s="427">
        <v>0</v>
      </c>
      <c r="M47" s="427">
        <v>22.8</v>
      </c>
      <c r="N47" s="427"/>
      <c r="O47" s="427"/>
      <c r="P47" s="430">
        <v>26.076165199028569</v>
      </c>
      <c r="Q47" s="431">
        <f t="shared" si="9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8"/>
        <v>0</v>
      </c>
      <c r="Z47" s="431">
        <f t="shared" si="8"/>
        <v>0</v>
      </c>
      <c r="AA47" s="431">
        <f t="shared" si="8"/>
        <v>0</v>
      </c>
      <c r="AB47" s="431">
        <f t="shared" si="5"/>
        <v>0</v>
      </c>
      <c r="AC47" s="431">
        <f t="shared" si="3"/>
        <v>0</v>
      </c>
      <c r="AD47" s="427">
        <v>0</v>
      </c>
      <c r="AE47" s="431">
        <f t="shared" si="6"/>
        <v>0</v>
      </c>
      <c r="AF47" s="449" t="s">
        <v>335</v>
      </c>
    </row>
    <row r="48" spans="1:32" ht="18.75" x14ac:dyDescent="0.2">
      <c r="A48" s="427">
        <v>35</v>
      </c>
      <c r="B48" s="428" t="s">
        <v>118</v>
      </c>
      <c r="C48" s="427" t="s">
        <v>46</v>
      </c>
      <c r="D48" s="429">
        <v>728.77</v>
      </c>
      <c r="E48" s="427" t="s">
        <v>133</v>
      </c>
      <c r="F48" s="427">
        <v>177.8</v>
      </c>
      <c r="G48" s="427" t="s">
        <v>28</v>
      </c>
      <c r="H48" s="429" t="s">
        <v>48</v>
      </c>
      <c r="I48" s="555">
        <v>557.04999999999995</v>
      </c>
      <c r="J48" s="427">
        <v>100</v>
      </c>
      <c r="K48" s="427"/>
      <c r="L48" s="427">
        <v>431</v>
      </c>
      <c r="M48" s="427"/>
      <c r="N48" s="427">
        <v>8.3000000000000007</v>
      </c>
      <c r="O48" s="427"/>
      <c r="P48" s="430">
        <v>22.284613058378604</v>
      </c>
      <c r="Q48" s="431">
        <f t="shared" si="9"/>
        <v>13</v>
      </c>
      <c r="R48" s="432">
        <v>0.29699999999999999</v>
      </c>
      <c r="S48" s="431">
        <v>5.1859999999999999</v>
      </c>
      <c r="T48" s="431">
        <v>25</v>
      </c>
      <c r="U48" s="431">
        <f>T48/R48</f>
        <v>84.17508417508418</v>
      </c>
      <c r="V48" s="433">
        <f t="shared" si="7"/>
        <v>94.273042807558809</v>
      </c>
      <c r="W48" s="432">
        <v>0.3</v>
      </c>
      <c r="X48" s="431">
        <f t="shared" ref="X48:X55" si="10">S48/Q48</f>
        <v>0.39892307692307694</v>
      </c>
      <c r="Y48" s="431">
        <f t="shared" si="8"/>
        <v>0.282744</v>
      </c>
      <c r="Z48" s="431">
        <f t="shared" si="8"/>
        <v>4.9370719999999997</v>
      </c>
      <c r="AA48" s="431">
        <f t="shared" si="8"/>
        <v>23.799999999999997</v>
      </c>
      <c r="AB48" s="431">
        <f t="shared" si="5"/>
        <v>84.17508417508418</v>
      </c>
      <c r="AC48" s="431">
        <f t="shared" si="3"/>
        <v>94.273042807558809</v>
      </c>
      <c r="AD48" s="427">
        <v>30</v>
      </c>
      <c r="AE48" s="431">
        <f t="shared" si="6"/>
        <v>8.4823199999999996</v>
      </c>
      <c r="AF48" s="439"/>
    </row>
    <row r="49" spans="1:32" ht="18.75" x14ac:dyDescent="0.2">
      <c r="A49" s="427">
        <v>36</v>
      </c>
      <c r="B49" s="428" t="s">
        <v>117</v>
      </c>
      <c r="C49" s="427" t="s">
        <v>46</v>
      </c>
      <c r="D49" s="429">
        <v>671.45</v>
      </c>
      <c r="E49" s="427" t="s">
        <v>128</v>
      </c>
      <c r="F49" s="427">
        <v>177.8</v>
      </c>
      <c r="G49" s="427" t="s">
        <v>28</v>
      </c>
      <c r="H49" s="429" t="s">
        <v>187</v>
      </c>
      <c r="I49" s="555">
        <v>559.39</v>
      </c>
      <c r="J49" s="427">
        <v>265</v>
      </c>
      <c r="K49" s="427"/>
      <c r="L49" s="427">
        <v>292</v>
      </c>
      <c r="M49" s="427"/>
      <c r="N49" s="427">
        <v>1.3</v>
      </c>
      <c r="O49" s="427"/>
      <c r="P49" s="430">
        <v>29.398940428997314</v>
      </c>
      <c r="Q49" s="431">
        <f t="shared" si="9"/>
        <v>15.9</v>
      </c>
      <c r="R49" s="432">
        <v>0.45600000000000002</v>
      </c>
      <c r="S49" s="431">
        <v>5.44</v>
      </c>
      <c r="T49" s="431">
        <v>0</v>
      </c>
      <c r="U49" s="431">
        <f t="shared" ref="U49:U55" si="11">T49/R49</f>
        <v>0</v>
      </c>
      <c r="V49" s="433">
        <f t="shared" si="7"/>
        <v>91.617647058823522</v>
      </c>
      <c r="W49" s="432">
        <v>0.5</v>
      </c>
      <c r="X49" s="431">
        <f t="shared" si="10"/>
        <v>0.34213836477987425</v>
      </c>
      <c r="Y49" s="431">
        <f t="shared" si="8"/>
        <v>0.434112</v>
      </c>
      <c r="Z49" s="431">
        <f t="shared" si="8"/>
        <v>5.1788800000000004</v>
      </c>
      <c r="AA49" s="431">
        <f t="shared" si="8"/>
        <v>0</v>
      </c>
      <c r="AB49" s="431">
        <f t="shared" si="5"/>
        <v>0</v>
      </c>
      <c r="AC49" s="431">
        <f t="shared" si="3"/>
        <v>91.617647058823522</v>
      </c>
      <c r="AD49" s="427">
        <v>30</v>
      </c>
      <c r="AE49" s="431">
        <f t="shared" si="6"/>
        <v>13.02336</v>
      </c>
      <c r="AF49" s="434"/>
    </row>
    <row r="50" spans="1:32" ht="18.75" x14ac:dyDescent="0.2">
      <c r="A50" s="427">
        <v>37</v>
      </c>
      <c r="B50" s="428" t="s">
        <v>130</v>
      </c>
      <c r="C50" s="427" t="s">
        <v>46</v>
      </c>
      <c r="D50" s="429">
        <v>622.6</v>
      </c>
      <c r="E50" s="427" t="s">
        <v>134</v>
      </c>
      <c r="F50" s="427">
        <v>177.8</v>
      </c>
      <c r="G50" s="427" t="s">
        <v>28</v>
      </c>
      <c r="H50" s="429" t="s">
        <v>48</v>
      </c>
      <c r="I50" s="555">
        <v>551.79999999999995</v>
      </c>
      <c r="J50" s="427">
        <v>85</v>
      </c>
      <c r="K50" s="427"/>
      <c r="L50" s="427">
        <v>101</v>
      </c>
      <c r="M50" s="427"/>
      <c r="N50" s="427">
        <v>6.4</v>
      </c>
      <c r="O50" s="427"/>
      <c r="P50" s="430">
        <v>53.174295508268564</v>
      </c>
      <c r="Q50" s="431">
        <f t="shared" si="9"/>
        <v>11.05</v>
      </c>
      <c r="R50" s="432">
        <v>6.6000000000000003E-2</v>
      </c>
      <c r="S50" s="431">
        <v>6.992</v>
      </c>
      <c r="T50" s="431">
        <v>0</v>
      </c>
      <c r="U50" s="431">
        <v>0</v>
      </c>
      <c r="V50" s="433">
        <f t="shared" si="7"/>
        <v>99.056064073226551</v>
      </c>
      <c r="W50" s="432">
        <v>0</v>
      </c>
      <c r="X50" s="431">
        <f t="shared" si="10"/>
        <v>0.63276018099547504</v>
      </c>
      <c r="Y50" s="431">
        <f t="shared" si="8"/>
        <v>6.2831999999999999E-2</v>
      </c>
      <c r="Z50" s="431">
        <f t="shared" si="8"/>
        <v>6.6563840000000001</v>
      </c>
      <c r="AA50" s="431">
        <f t="shared" si="8"/>
        <v>0</v>
      </c>
      <c r="AB50" s="431">
        <f t="shared" si="5"/>
        <v>0</v>
      </c>
      <c r="AC50" s="431">
        <f t="shared" si="3"/>
        <v>99.056064073226551</v>
      </c>
      <c r="AD50" s="427">
        <v>30</v>
      </c>
      <c r="AE50" s="431">
        <f t="shared" si="6"/>
        <v>1.88496</v>
      </c>
      <c r="AF50" s="434"/>
    </row>
    <row r="51" spans="1:32" ht="18" customHeight="1" x14ac:dyDescent="0.2">
      <c r="A51" s="427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427">
        <v>177.8</v>
      </c>
      <c r="G51" s="451" t="s">
        <v>28</v>
      </c>
      <c r="H51" s="452" t="s">
        <v>291</v>
      </c>
      <c r="I51" s="453">
        <v>565.80999999999995</v>
      </c>
      <c r="J51" s="451">
        <v>0</v>
      </c>
      <c r="K51" s="451">
        <v>252</v>
      </c>
      <c r="L51" s="451"/>
      <c r="M51" s="451">
        <v>0</v>
      </c>
      <c r="N51" s="427"/>
      <c r="O51" s="451"/>
      <c r="P51" s="454">
        <v>29.87121515194092</v>
      </c>
      <c r="Q51" s="455">
        <f t="shared" si="9"/>
        <v>0</v>
      </c>
      <c r="R51" s="456">
        <v>0</v>
      </c>
      <c r="S51" s="431">
        <v>0</v>
      </c>
      <c r="T51" s="455">
        <v>0</v>
      </c>
      <c r="U51" s="431">
        <v>0</v>
      </c>
      <c r="V51" s="433">
        <v>0</v>
      </c>
      <c r="W51" s="456">
        <v>0.8</v>
      </c>
      <c r="X51" s="431">
        <v>0</v>
      </c>
      <c r="Y51" s="431">
        <f t="shared" si="8"/>
        <v>0</v>
      </c>
      <c r="Z51" s="431">
        <f t="shared" si="8"/>
        <v>0</v>
      </c>
      <c r="AA51" s="431">
        <f t="shared" si="8"/>
        <v>0</v>
      </c>
      <c r="AB51" s="455">
        <f t="shared" si="5"/>
        <v>0</v>
      </c>
      <c r="AC51" s="431">
        <f t="shared" si="3"/>
        <v>0</v>
      </c>
      <c r="AD51" s="427">
        <v>0</v>
      </c>
      <c r="AE51" s="455">
        <f t="shared" si="6"/>
        <v>0</v>
      </c>
      <c r="AF51" s="449" t="s">
        <v>335</v>
      </c>
    </row>
    <row r="52" spans="1:32" ht="18.75" x14ac:dyDescent="0.2">
      <c r="A52" s="427">
        <v>39</v>
      </c>
      <c r="B52" s="428" t="s">
        <v>116</v>
      </c>
      <c r="C52" s="427" t="s">
        <v>46</v>
      </c>
      <c r="D52" s="429">
        <v>681.27</v>
      </c>
      <c r="E52" s="427" t="s">
        <v>124</v>
      </c>
      <c r="F52" s="427">
        <v>177.8</v>
      </c>
      <c r="G52" s="427" t="s">
        <v>28</v>
      </c>
      <c r="H52" s="429" t="s">
        <v>53</v>
      </c>
      <c r="I52" s="555">
        <v>558.35</v>
      </c>
      <c r="J52" s="427">
        <v>220</v>
      </c>
      <c r="K52" s="427"/>
      <c r="L52" s="427">
        <v>363</v>
      </c>
      <c r="M52" s="427"/>
      <c r="N52" s="427">
        <v>7.5</v>
      </c>
      <c r="O52" s="427"/>
      <c r="P52" s="430">
        <v>27.56036820507514</v>
      </c>
      <c r="Q52" s="455">
        <f t="shared" si="9"/>
        <v>28.6</v>
      </c>
      <c r="R52" s="432">
        <v>3.5819999999999999</v>
      </c>
      <c r="S52" s="431">
        <v>7.0649999999999995</v>
      </c>
      <c r="T52" s="431">
        <v>6</v>
      </c>
      <c r="U52" s="431">
        <f t="shared" si="11"/>
        <v>1.6750418760469012</v>
      </c>
      <c r="V52" s="433">
        <f t="shared" si="7"/>
        <v>49.29936305732484</v>
      </c>
      <c r="W52" s="432">
        <v>0.4</v>
      </c>
      <c r="X52" s="431">
        <f t="shared" si="10"/>
        <v>0.247027972027972</v>
      </c>
      <c r="Y52" s="431">
        <f t="shared" si="8"/>
        <v>3.4100639999999998</v>
      </c>
      <c r="Z52" s="431">
        <f t="shared" si="8"/>
        <v>6.7258799999999992</v>
      </c>
      <c r="AA52" s="431">
        <f t="shared" si="8"/>
        <v>5.7119999999999997</v>
      </c>
      <c r="AB52" s="431">
        <f t="shared" si="5"/>
        <v>1.6750418760469012</v>
      </c>
      <c r="AC52" s="431">
        <f t="shared" si="3"/>
        <v>49.29936305732484</v>
      </c>
      <c r="AD52" s="427">
        <v>30</v>
      </c>
      <c r="AE52" s="431">
        <f t="shared" si="6"/>
        <v>102.30192</v>
      </c>
      <c r="AF52" s="449"/>
    </row>
    <row r="53" spans="1:32" ht="18.75" x14ac:dyDescent="0.2">
      <c r="A53" s="427">
        <v>40</v>
      </c>
      <c r="B53" s="428" t="s">
        <v>120</v>
      </c>
      <c r="C53" s="427" t="s">
        <v>46</v>
      </c>
      <c r="D53" s="429">
        <v>668.57</v>
      </c>
      <c r="E53" s="427" t="s">
        <v>285</v>
      </c>
      <c r="F53" s="427">
        <v>177.8</v>
      </c>
      <c r="G53" s="427" t="s">
        <v>28</v>
      </c>
      <c r="H53" s="429" t="s">
        <v>48</v>
      </c>
      <c r="I53" s="555">
        <v>567.08000000000004</v>
      </c>
      <c r="J53" s="427">
        <v>170</v>
      </c>
      <c r="K53" s="427"/>
      <c r="L53" s="427">
        <v>413</v>
      </c>
      <c r="M53" s="427"/>
      <c r="N53" s="427">
        <v>0.2</v>
      </c>
      <c r="O53" s="427"/>
      <c r="P53" s="430">
        <v>16.087214240793436</v>
      </c>
      <c r="Q53" s="431">
        <f t="shared" si="9"/>
        <v>22.1</v>
      </c>
      <c r="R53" s="432">
        <v>2.1509999999999998</v>
      </c>
      <c r="S53" s="431">
        <v>3.6259999999999999</v>
      </c>
      <c r="T53" s="431">
        <v>4</v>
      </c>
      <c r="U53" s="431">
        <f t="shared" si="11"/>
        <v>1.8596001859600189</v>
      </c>
      <c r="V53" s="433">
        <f t="shared" si="7"/>
        <v>40.678433535576396</v>
      </c>
      <c r="W53" s="432">
        <v>3</v>
      </c>
      <c r="X53" s="431">
        <f t="shared" si="10"/>
        <v>0.16407239819004524</v>
      </c>
      <c r="Y53" s="431">
        <f t="shared" si="8"/>
        <v>2.0477519999999996</v>
      </c>
      <c r="Z53" s="431">
        <f t="shared" si="8"/>
        <v>3.4519519999999999</v>
      </c>
      <c r="AA53" s="431">
        <f t="shared" si="8"/>
        <v>3.8079999999999998</v>
      </c>
      <c r="AB53" s="431">
        <f t="shared" si="5"/>
        <v>1.8596001859600189</v>
      </c>
      <c r="AC53" s="431">
        <f t="shared" si="3"/>
        <v>40.678433535576396</v>
      </c>
      <c r="AD53" s="427">
        <v>30</v>
      </c>
      <c r="AE53" s="431">
        <f t="shared" si="6"/>
        <v>61.432559999999988</v>
      </c>
      <c r="AF53" s="434"/>
    </row>
    <row r="54" spans="1:32" ht="18.75" x14ac:dyDescent="0.2">
      <c r="A54" s="427">
        <v>41</v>
      </c>
      <c r="B54" s="428" t="s">
        <v>114</v>
      </c>
      <c r="C54" s="427" t="s">
        <v>46</v>
      </c>
      <c r="D54" s="429">
        <v>584.25</v>
      </c>
      <c r="E54" s="427" t="s">
        <v>123</v>
      </c>
      <c r="F54" s="427">
        <v>177.8</v>
      </c>
      <c r="G54" s="427" t="s">
        <v>28</v>
      </c>
      <c r="H54" s="429" t="s">
        <v>125</v>
      </c>
      <c r="I54" s="555">
        <v>565.08000000000004</v>
      </c>
      <c r="J54" s="427">
        <v>240</v>
      </c>
      <c r="K54" s="427"/>
      <c r="L54" s="427">
        <v>23</v>
      </c>
      <c r="M54" s="427"/>
      <c r="N54" s="427">
        <v>0.6</v>
      </c>
      <c r="O54" s="427"/>
      <c r="P54" s="430">
        <v>56.12606543755102</v>
      </c>
      <c r="Q54" s="431">
        <f t="shared" si="9"/>
        <v>7.2</v>
      </c>
      <c r="R54" s="432">
        <v>0.307</v>
      </c>
      <c r="S54" s="431">
        <v>2.6549999999999998</v>
      </c>
      <c r="T54" s="431">
        <v>0</v>
      </c>
      <c r="U54" s="431">
        <f t="shared" si="11"/>
        <v>0</v>
      </c>
      <c r="V54" s="433">
        <f t="shared" si="7"/>
        <v>88.436911487758948</v>
      </c>
      <c r="W54" s="432">
        <v>0.3</v>
      </c>
      <c r="X54" s="431">
        <f t="shared" si="10"/>
        <v>0.36874999999999997</v>
      </c>
      <c r="Y54" s="431">
        <f t="shared" si="8"/>
        <v>0.29226399999999997</v>
      </c>
      <c r="Z54" s="431">
        <f t="shared" si="8"/>
        <v>2.5275599999999998</v>
      </c>
      <c r="AA54" s="431">
        <f t="shared" si="8"/>
        <v>0</v>
      </c>
      <c r="AB54" s="431">
        <f t="shared" si="5"/>
        <v>0</v>
      </c>
      <c r="AC54" s="431">
        <f t="shared" si="3"/>
        <v>88.436911487758948</v>
      </c>
      <c r="AD54" s="427">
        <v>30</v>
      </c>
      <c r="AE54" s="431">
        <f t="shared" si="6"/>
        <v>8.7679199999999984</v>
      </c>
      <c r="AF54" s="457"/>
    </row>
    <row r="55" spans="1:32" ht="18.75" x14ac:dyDescent="0.2">
      <c r="A55" s="427">
        <v>42</v>
      </c>
      <c r="B55" s="428" t="s">
        <v>106</v>
      </c>
      <c r="C55" s="427" t="s">
        <v>46</v>
      </c>
      <c r="D55" s="429">
        <v>642.52</v>
      </c>
      <c r="E55" s="427" t="s">
        <v>111</v>
      </c>
      <c r="F55" s="427">
        <v>177.8</v>
      </c>
      <c r="G55" s="427" t="s">
        <v>28</v>
      </c>
      <c r="H55" s="429" t="s">
        <v>52</v>
      </c>
      <c r="I55" s="555">
        <v>556.65</v>
      </c>
      <c r="J55" s="427">
        <v>175</v>
      </c>
      <c r="K55" s="427"/>
      <c r="L55" s="427">
        <v>235</v>
      </c>
      <c r="M55" s="427"/>
      <c r="N55" s="427">
        <v>7.8</v>
      </c>
      <c r="O55" s="427"/>
      <c r="P55" s="430">
        <v>41.672262677959175</v>
      </c>
      <c r="Q55" s="431">
        <f t="shared" si="9"/>
        <v>38.5</v>
      </c>
      <c r="R55" s="432">
        <v>0.16800000000000001</v>
      </c>
      <c r="S55" s="431">
        <v>17.824999999999999</v>
      </c>
      <c r="T55" s="431">
        <v>0</v>
      </c>
      <c r="U55" s="431">
        <f t="shared" si="11"/>
        <v>0</v>
      </c>
      <c r="V55" s="433">
        <f t="shared" si="7"/>
        <v>99.057503506311363</v>
      </c>
      <c r="W55" s="432">
        <v>0</v>
      </c>
      <c r="X55" s="431">
        <f t="shared" si="10"/>
        <v>0.46298701298701295</v>
      </c>
      <c r="Y55" s="431">
        <f t="shared" si="8"/>
        <v>0.15993599999999999</v>
      </c>
      <c r="Z55" s="431">
        <f t="shared" si="8"/>
        <v>16.9694</v>
      </c>
      <c r="AA55" s="431">
        <f t="shared" si="8"/>
        <v>0</v>
      </c>
      <c r="AB55" s="431">
        <f t="shared" si="5"/>
        <v>0</v>
      </c>
      <c r="AC55" s="431">
        <f t="shared" si="3"/>
        <v>99.057503506311363</v>
      </c>
      <c r="AD55" s="427">
        <v>30</v>
      </c>
      <c r="AE55" s="431">
        <f t="shared" si="6"/>
        <v>4.7980799999999997</v>
      </c>
      <c r="AF55" s="449"/>
    </row>
    <row r="56" spans="1:32" ht="18.75" x14ac:dyDescent="0.2">
      <c r="A56" s="427">
        <v>43</v>
      </c>
      <c r="B56" s="428" t="s">
        <v>105</v>
      </c>
      <c r="C56" s="427" t="s">
        <v>46</v>
      </c>
      <c r="D56" s="429">
        <v>678.58</v>
      </c>
      <c r="E56" s="427" t="s">
        <v>110</v>
      </c>
      <c r="F56" s="427">
        <v>177.8</v>
      </c>
      <c r="G56" s="427" t="s">
        <v>28</v>
      </c>
      <c r="H56" s="429" t="s">
        <v>52</v>
      </c>
      <c r="I56" s="555">
        <v>529.41</v>
      </c>
      <c r="J56" s="427" t="s">
        <v>240</v>
      </c>
      <c r="K56" s="435">
        <v>261</v>
      </c>
      <c r="L56" s="427">
        <v>0</v>
      </c>
      <c r="M56" s="427">
        <v>1.1000000000000001</v>
      </c>
      <c r="N56" s="427"/>
      <c r="O56" s="427"/>
      <c r="P56" s="430">
        <v>30.478425770187741</v>
      </c>
      <c r="Q56" s="431">
        <f t="shared" si="9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8"/>
        <v>0</v>
      </c>
      <c r="Z56" s="431">
        <f t="shared" si="8"/>
        <v>0</v>
      </c>
      <c r="AA56" s="431">
        <f t="shared" si="8"/>
        <v>0</v>
      </c>
      <c r="AB56" s="431">
        <f t="shared" si="5"/>
        <v>0</v>
      </c>
      <c r="AC56" s="431">
        <f t="shared" si="3"/>
        <v>0</v>
      </c>
      <c r="AD56" s="427">
        <v>0</v>
      </c>
      <c r="AE56" s="431">
        <f t="shared" si="6"/>
        <v>0</v>
      </c>
      <c r="AF56" s="434" t="s">
        <v>335</v>
      </c>
    </row>
    <row r="57" spans="1:32" ht="18.75" x14ac:dyDescent="0.2">
      <c r="A57" s="427">
        <v>44</v>
      </c>
      <c r="B57" s="428" t="s">
        <v>104</v>
      </c>
      <c r="C57" s="427" t="s">
        <v>46</v>
      </c>
      <c r="D57" s="429">
        <v>707.14</v>
      </c>
      <c r="E57" s="427" t="s">
        <v>231</v>
      </c>
      <c r="F57" s="427">
        <v>177.8</v>
      </c>
      <c r="G57" s="427" t="s">
        <v>28</v>
      </c>
      <c r="H57" s="429" t="s">
        <v>52</v>
      </c>
      <c r="I57" s="555">
        <v>555</v>
      </c>
      <c r="J57" s="427" t="s">
        <v>240</v>
      </c>
      <c r="K57" s="435">
        <v>400</v>
      </c>
      <c r="L57" s="427">
        <v>0</v>
      </c>
      <c r="M57" s="427">
        <v>20</v>
      </c>
      <c r="N57" s="427"/>
      <c r="O57" s="427"/>
      <c r="P57" s="430">
        <v>36.502552312231202</v>
      </c>
      <c r="Q57" s="431">
        <f t="shared" si="9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3">
        <v>0</v>
      </c>
      <c r="W57" s="432">
        <v>0</v>
      </c>
      <c r="X57" s="431">
        <f>IF(S57=0,0,S57/Q57)</f>
        <v>0</v>
      </c>
      <c r="Y57" s="431">
        <f t="shared" si="8"/>
        <v>0</v>
      </c>
      <c r="Z57" s="431">
        <f t="shared" si="8"/>
        <v>0</v>
      </c>
      <c r="AA57" s="431">
        <f t="shared" si="8"/>
        <v>0</v>
      </c>
      <c r="AB57" s="431">
        <f t="shared" si="5"/>
        <v>0</v>
      </c>
      <c r="AC57" s="431">
        <f t="shared" si="3"/>
        <v>0</v>
      </c>
      <c r="AD57" s="427">
        <v>0</v>
      </c>
      <c r="AE57" s="431">
        <f t="shared" si="6"/>
        <v>0</v>
      </c>
      <c r="AF57" s="434" t="s">
        <v>334</v>
      </c>
    </row>
    <row r="58" spans="1:32" ht="24" customHeight="1" x14ac:dyDescent="0.3">
      <c r="A58" s="427">
        <v>45</v>
      </c>
      <c r="B58" s="557" t="s">
        <v>158</v>
      </c>
      <c r="C58" s="427" t="s">
        <v>46</v>
      </c>
      <c r="D58" s="555">
        <v>674.45</v>
      </c>
      <c r="E58" s="555" t="s">
        <v>232</v>
      </c>
      <c r="F58" s="427">
        <v>177.8</v>
      </c>
      <c r="G58" s="427" t="s">
        <v>28</v>
      </c>
      <c r="H58" s="429" t="s">
        <v>52</v>
      </c>
      <c r="I58" s="555">
        <v>543.72</v>
      </c>
      <c r="J58" s="555">
        <v>160</v>
      </c>
      <c r="K58" s="555"/>
      <c r="L58" s="555">
        <v>459</v>
      </c>
      <c r="M58" s="555"/>
      <c r="N58" s="427">
        <v>8</v>
      </c>
      <c r="O58" s="555"/>
      <c r="P58" s="448">
        <v>17.389217596635099</v>
      </c>
      <c r="Q58" s="431">
        <f t="shared" si="9"/>
        <v>35.200000000000003</v>
      </c>
      <c r="R58" s="432">
        <v>9.3230000000000004</v>
      </c>
      <c r="S58" s="431">
        <v>12.308</v>
      </c>
      <c r="T58" s="437">
        <v>428</v>
      </c>
      <c r="U58" s="431">
        <f t="shared" ref="U58:U64" si="12">T58/R58</f>
        <v>45.907969537702456</v>
      </c>
      <c r="V58" s="433">
        <f t="shared" si="7"/>
        <v>24.252518687032818</v>
      </c>
      <c r="W58" s="432">
        <v>0.5</v>
      </c>
      <c r="X58" s="431">
        <f t="shared" ref="X58:X76" si="13">S58/Q58</f>
        <v>0.34965909090909086</v>
      </c>
      <c r="Y58" s="431">
        <f t="shared" si="8"/>
        <v>8.8754960000000001</v>
      </c>
      <c r="Z58" s="431">
        <f t="shared" si="8"/>
        <v>11.717215999999999</v>
      </c>
      <c r="AA58" s="431">
        <f t="shared" si="8"/>
        <v>407.45599999999996</v>
      </c>
      <c r="AB58" s="431">
        <f t="shared" si="5"/>
        <v>45.907969537702456</v>
      </c>
      <c r="AC58" s="431">
        <f t="shared" si="3"/>
        <v>24.252518687032818</v>
      </c>
      <c r="AD58" s="427">
        <v>30</v>
      </c>
      <c r="AE58" s="431">
        <f>Y58*AD58</f>
        <v>266.26488000000001</v>
      </c>
      <c r="AF58" s="458"/>
    </row>
    <row r="59" spans="1:32" ht="19.149999999999999" customHeight="1" x14ac:dyDescent="0.2">
      <c r="A59" s="427">
        <v>46</v>
      </c>
      <c r="B59" s="557" t="s">
        <v>160</v>
      </c>
      <c r="C59" s="427" t="s">
        <v>304</v>
      </c>
      <c r="D59" s="555">
        <v>677.33</v>
      </c>
      <c r="E59" s="555" t="s">
        <v>315</v>
      </c>
      <c r="F59" s="427">
        <v>177.8</v>
      </c>
      <c r="G59" s="427" t="s">
        <v>28</v>
      </c>
      <c r="H59" s="429" t="s">
        <v>50</v>
      </c>
      <c r="I59" s="555">
        <v>619</v>
      </c>
      <c r="J59" s="555">
        <v>0</v>
      </c>
      <c r="K59" s="424">
        <v>255</v>
      </c>
      <c r="L59" s="427"/>
      <c r="M59" s="555">
        <v>0</v>
      </c>
      <c r="N59" s="427"/>
      <c r="O59" s="555"/>
      <c r="P59" s="448">
        <v>42.908982387571264</v>
      </c>
      <c r="Q59" s="431">
        <f t="shared" si="9"/>
        <v>0</v>
      </c>
      <c r="R59" s="432">
        <v>0</v>
      </c>
      <c r="S59" s="431">
        <v>0</v>
      </c>
      <c r="T59" s="437">
        <v>0</v>
      </c>
      <c r="U59" s="431">
        <v>0</v>
      </c>
      <c r="V59" s="433">
        <v>0</v>
      </c>
      <c r="W59" s="432">
        <v>0</v>
      </c>
      <c r="X59" s="431" t="e">
        <f t="shared" si="13"/>
        <v>#DIV/0!</v>
      </c>
      <c r="Y59" s="431">
        <f t="shared" si="8"/>
        <v>0</v>
      </c>
      <c r="Z59" s="431">
        <f t="shared" si="8"/>
        <v>0</v>
      </c>
      <c r="AA59" s="431">
        <f t="shared" si="8"/>
        <v>0</v>
      </c>
      <c r="AB59" s="431">
        <f t="shared" si="5"/>
        <v>0</v>
      </c>
      <c r="AC59" s="431">
        <f t="shared" si="3"/>
        <v>0</v>
      </c>
      <c r="AD59" s="427">
        <v>0</v>
      </c>
      <c r="AE59" s="431">
        <f>Y59*AD59</f>
        <v>0</v>
      </c>
      <c r="AF59" s="434" t="s">
        <v>334</v>
      </c>
    </row>
    <row r="60" spans="1:32" ht="24" customHeight="1" x14ac:dyDescent="0.2">
      <c r="A60" s="427">
        <v>47</v>
      </c>
      <c r="B60" s="428" t="s">
        <v>164</v>
      </c>
      <c r="C60" s="427" t="s">
        <v>46</v>
      </c>
      <c r="D60" s="555">
        <v>678.47</v>
      </c>
      <c r="E60" s="555" t="s">
        <v>233</v>
      </c>
      <c r="F60" s="427">
        <v>177.8</v>
      </c>
      <c r="G60" s="427" t="s">
        <v>28</v>
      </c>
      <c r="H60" s="429" t="s">
        <v>48</v>
      </c>
      <c r="I60" s="555">
        <v>563.11</v>
      </c>
      <c r="J60" s="555">
        <v>160</v>
      </c>
      <c r="K60" s="555"/>
      <c r="L60" s="555">
        <v>427</v>
      </c>
      <c r="M60" s="555"/>
      <c r="N60" s="427">
        <v>1.6</v>
      </c>
      <c r="O60" s="555"/>
      <c r="P60" s="430">
        <v>15.84186316045602</v>
      </c>
      <c r="Q60" s="431">
        <f t="shared" si="9"/>
        <v>20.8</v>
      </c>
      <c r="R60" s="432">
        <v>5.3929999999999998</v>
      </c>
      <c r="S60" s="431">
        <v>5.9580000000000002</v>
      </c>
      <c r="T60" s="431">
        <v>17</v>
      </c>
      <c r="U60" s="431">
        <f t="shared" si="12"/>
        <v>3.1522343778972743</v>
      </c>
      <c r="V60" s="433">
        <f t="shared" si="7"/>
        <v>9.4830480026854715</v>
      </c>
      <c r="W60" s="432">
        <v>0.7</v>
      </c>
      <c r="X60" s="431">
        <f t="shared" si="13"/>
        <v>0.28644230769230772</v>
      </c>
      <c r="Y60" s="431">
        <f t="shared" si="8"/>
        <v>5.1341359999999998</v>
      </c>
      <c r="Z60" s="431">
        <f t="shared" si="8"/>
        <v>5.6720160000000002</v>
      </c>
      <c r="AA60" s="431">
        <f t="shared" si="8"/>
        <v>16.183999999999997</v>
      </c>
      <c r="AB60" s="431">
        <f t="shared" si="5"/>
        <v>3.1522343778972743</v>
      </c>
      <c r="AC60" s="431">
        <f t="shared" si="3"/>
        <v>9.4830480026854715</v>
      </c>
      <c r="AD60" s="427">
        <v>30</v>
      </c>
      <c r="AE60" s="431">
        <f t="shared" ref="AE60:AE74" si="14">Y60*AD60</f>
        <v>154.02408</v>
      </c>
      <c r="AF60" s="434"/>
    </row>
    <row r="61" spans="1:32" ht="18.75" x14ac:dyDescent="0.2">
      <c r="A61" s="427">
        <v>48</v>
      </c>
      <c r="B61" s="428" t="s">
        <v>61</v>
      </c>
      <c r="C61" s="427" t="s">
        <v>46</v>
      </c>
      <c r="D61" s="429">
        <v>667.18</v>
      </c>
      <c r="E61" s="427" t="s">
        <v>96</v>
      </c>
      <c r="F61" s="427">
        <v>177.8</v>
      </c>
      <c r="G61" s="427" t="s">
        <v>28</v>
      </c>
      <c r="H61" s="429" t="s">
        <v>52</v>
      </c>
      <c r="I61" s="555">
        <v>534.21</v>
      </c>
      <c r="J61" s="427">
        <v>150</v>
      </c>
      <c r="K61" s="427"/>
      <c r="L61" s="427">
        <v>449</v>
      </c>
      <c r="M61" s="427"/>
      <c r="N61" s="427">
        <v>8.1999999999999993</v>
      </c>
      <c r="O61" s="427"/>
      <c r="P61" s="430">
        <v>18.348914235548342</v>
      </c>
      <c r="Q61" s="431">
        <f t="shared" si="9"/>
        <v>33</v>
      </c>
      <c r="R61" s="432">
        <v>7.0410000000000004</v>
      </c>
      <c r="S61" s="431">
        <v>10.812000000000001</v>
      </c>
      <c r="T61" s="431">
        <v>116</v>
      </c>
      <c r="U61" s="431">
        <f t="shared" si="12"/>
        <v>16.474932537991762</v>
      </c>
      <c r="V61" s="433">
        <f t="shared" si="7"/>
        <v>34.877913429522756</v>
      </c>
      <c r="W61" s="432">
        <v>0.4</v>
      </c>
      <c r="X61" s="431">
        <f t="shared" si="13"/>
        <v>0.32763636363636367</v>
      </c>
      <c r="Y61" s="431">
        <f t="shared" si="8"/>
        <v>6.7030320000000003</v>
      </c>
      <c r="Z61" s="431">
        <f t="shared" si="8"/>
        <v>10.293024000000001</v>
      </c>
      <c r="AA61" s="431">
        <f t="shared" si="8"/>
        <v>110.43199999999999</v>
      </c>
      <c r="AB61" s="431">
        <f t="shared" si="5"/>
        <v>16.474932537991762</v>
      </c>
      <c r="AC61" s="431">
        <v>67</v>
      </c>
      <c r="AD61" s="427">
        <v>30</v>
      </c>
      <c r="AE61" s="431">
        <f t="shared" si="14"/>
        <v>201.09096</v>
      </c>
      <c r="AF61" s="449"/>
    </row>
    <row r="62" spans="1:32" ht="18.75" x14ac:dyDescent="0.2">
      <c r="A62" s="427">
        <v>49</v>
      </c>
      <c r="B62" s="428" t="s">
        <v>64</v>
      </c>
      <c r="C62" s="427" t="s">
        <v>46</v>
      </c>
      <c r="D62" s="429">
        <v>672.5</v>
      </c>
      <c r="E62" s="427" t="s">
        <v>234</v>
      </c>
      <c r="F62" s="427">
        <v>177.8</v>
      </c>
      <c r="G62" s="427" t="s">
        <v>28</v>
      </c>
      <c r="H62" s="429" t="s">
        <v>49</v>
      </c>
      <c r="I62" s="555">
        <v>533.70000000000005</v>
      </c>
      <c r="J62" s="427">
        <v>360</v>
      </c>
      <c r="K62" s="427"/>
      <c r="L62" s="427">
        <v>400</v>
      </c>
      <c r="M62" s="427"/>
      <c r="N62" s="427">
        <v>9.5</v>
      </c>
      <c r="O62" s="427"/>
      <c r="P62" s="430">
        <v>24.287735062130896</v>
      </c>
      <c r="Q62" s="431">
        <f t="shared" si="9"/>
        <v>115.2</v>
      </c>
      <c r="R62" s="432">
        <v>10.223000000000001</v>
      </c>
      <c r="S62" s="431">
        <v>12.829000000000001</v>
      </c>
      <c r="T62" s="530">
        <v>1680</v>
      </c>
      <c r="U62" s="431">
        <f t="shared" si="12"/>
        <v>164.33532231243274</v>
      </c>
      <c r="V62" s="433">
        <f t="shared" si="7"/>
        <v>20.313352560604876</v>
      </c>
      <c r="W62" s="432">
        <v>0.2</v>
      </c>
      <c r="X62" s="431">
        <f t="shared" si="13"/>
        <v>0.11136284722222223</v>
      </c>
      <c r="Y62" s="431">
        <f t="shared" si="8"/>
        <v>9.7322959999999998</v>
      </c>
      <c r="Z62" s="431">
        <f t="shared" si="8"/>
        <v>12.213208</v>
      </c>
      <c r="AA62" s="530">
        <f t="shared" si="8"/>
        <v>1599.36</v>
      </c>
      <c r="AB62" s="431">
        <f t="shared" si="5"/>
        <v>164.33532231243274</v>
      </c>
      <c r="AC62" s="431">
        <f t="shared" si="3"/>
        <v>20.313352560604876</v>
      </c>
      <c r="AD62" s="427">
        <v>30</v>
      </c>
      <c r="AE62" s="431">
        <f t="shared" si="14"/>
        <v>291.96888000000001</v>
      </c>
      <c r="AF62" s="439"/>
    </row>
    <row r="63" spans="1:32" ht="18.75" x14ac:dyDescent="0.2">
      <c r="A63" s="427">
        <v>50</v>
      </c>
      <c r="B63" s="428" t="s">
        <v>156</v>
      </c>
      <c r="C63" s="427" t="s">
        <v>46</v>
      </c>
      <c r="D63" s="429">
        <v>679.54</v>
      </c>
      <c r="E63" s="427" t="s">
        <v>166</v>
      </c>
      <c r="F63" s="427">
        <v>177.8</v>
      </c>
      <c r="G63" s="427" t="s">
        <v>28</v>
      </c>
      <c r="H63" s="429" t="s">
        <v>52</v>
      </c>
      <c r="I63" s="555">
        <v>530.98</v>
      </c>
      <c r="J63" s="427">
        <v>165</v>
      </c>
      <c r="K63" s="427"/>
      <c r="L63" s="427">
        <v>447</v>
      </c>
      <c r="M63" s="427"/>
      <c r="N63" s="427">
        <v>5.7</v>
      </c>
      <c r="O63" s="427"/>
      <c r="P63" s="430">
        <v>16.046720457375649</v>
      </c>
      <c r="Q63" s="431">
        <f t="shared" si="9"/>
        <v>36.299999999999997</v>
      </c>
      <c r="R63" s="432">
        <v>11.316000000000001</v>
      </c>
      <c r="S63" s="431">
        <v>16.216999999999999</v>
      </c>
      <c r="T63" s="431">
        <v>0</v>
      </c>
      <c r="U63" s="431">
        <f t="shared" si="12"/>
        <v>0</v>
      </c>
      <c r="V63" s="433">
        <f t="shared" si="7"/>
        <v>30.221372633656031</v>
      </c>
      <c r="W63" s="432">
        <v>0.2</v>
      </c>
      <c r="X63" s="431">
        <f t="shared" si="13"/>
        <v>0.44674931129476586</v>
      </c>
      <c r="Y63" s="431">
        <f t="shared" si="8"/>
        <v>10.772832000000001</v>
      </c>
      <c r="Z63" s="431">
        <f t="shared" si="8"/>
        <v>15.438583999999999</v>
      </c>
      <c r="AA63" s="431">
        <f t="shared" si="8"/>
        <v>0</v>
      </c>
      <c r="AB63" s="431">
        <f t="shared" si="5"/>
        <v>0</v>
      </c>
      <c r="AC63" s="431">
        <f t="shared" si="3"/>
        <v>30.221372633656031</v>
      </c>
      <c r="AD63" s="427">
        <v>30</v>
      </c>
      <c r="AE63" s="431">
        <f t="shared" si="14"/>
        <v>323.18496000000005</v>
      </c>
      <c r="AF63" s="439"/>
    </row>
    <row r="64" spans="1:32" ht="18.75" x14ac:dyDescent="0.2">
      <c r="A64" s="427">
        <v>51</v>
      </c>
      <c r="B64" s="428" t="s">
        <v>169</v>
      </c>
      <c r="C64" s="427" t="s">
        <v>46</v>
      </c>
      <c r="D64" s="429">
        <v>673</v>
      </c>
      <c r="E64" s="427" t="s">
        <v>170</v>
      </c>
      <c r="F64" s="427">
        <v>177.8</v>
      </c>
      <c r="G64" s="427" t="s">
        <v>28</v>
      </c>
      <c r="H64" s="429" t="s">
        <v>52</v>
      </c>
      <c r="I64" s="555">
        <v>541.48</v>
      </c>
      <c r="J64" s="427">
        <v>145</v>
      </c>
      <c r="K64" s="427"/>
      <c r="L64" s="427">
        <v>424</v>
      </c>
      <c r="M64" s="427"/>
      <c r="N64" s="427">
        <v>1.7</v>
      </c>
      <c r="O64" s="427"/>
      <c r="P64" s="430">
        <v>15.631062092392433</v>
      </c>
      <c r="Q64" s="431">
        <f t="shared" si="9"/>
        <v>31.9</v>
      </c>
      <c r="R64" s="432">
        <v>8.1280000000000001</v>
      </c>
      <c r="S64" s="431">
        <v>10.823</v>
      </c>
      <c r="T64" s="431">
        <v>90</v>
      </c>
      <c r="U64" s="431">
        <f t="shared" si="12"/>
        <v>11.072834645669291</v>
      </c>
      <c r="V64" s="433">
        <f t="shared" si="7"/>
        <v>24.900674489513076</v>
      </c>
      <c r="W64" s="432">
        <v>0.4</v>
      </c>
      <c r="X64" s="431">
        <f t="shared" si="13"/>
        <v>0.3392789968652038</v>
      </c>
      <c r="Y64" s="431">
        <f t="shared" si="8"/>
        <v>7.7378559999999998</v>
      </c>
      <c r="Z64" s="431">
        <f t="shared" si="8"/>
        <v>10.303495999999999</v>
      </c>
      <c r="AA64" s="431">
        <f t="shared" si="8"/>
        <v>85.679999999999993</v>
      </c>
      <c r="AB64" s="431">
        <f t="shared" si="5"/>
        <v>11.072834645669291</v>
      </c>
      <c r="AC64" s="431">
        <f t="shared" si="3"/>
        <v>24.900674489513076</v>
      </c>
      <c r="AD64" s="427">
        <v>30</v>
      </c>
      <c r="AE64" s="431">
        <f>Y64*AD64</f>
        <v>232.13568000000001</v>
      </c>
      <c r="AF64" s="439"/>
    </row>
    <row r="65" spans="1:32" ht="18.75" x14ac:dyDescent="0.2">
      <c r="A65" s="427">
        <v>52</v>
      </c>
      <c r="B65" s="428" t="s">
        <v>62</v>
      </c>
      <c r="C65" s="427" t="s">
        <v>46</v>
      </c>
      <c r="D65" s="429">
        <v>673.73</v>
      </c>
      <c r="E65" s="427" t="s">
        <v>97</v>
      </c>
      <c r="F65" s="427">
        <v>177.8</v>
      </c>
      <c r="G65" s="427" t="s">
        <v>28</v>
      </c>
      <c r="H65" s="429" t="s">
        <v>218</v>
      </c>
      <c r="I65" s="555">
        <v>543</v>
      </c>
      <c r="J65" s="427">
        <v>160</v>
      </c>
      <c r="K65" s="427"/>
      <c r="L65" s="427">
        <v>440</v>
      </c>
      <c r="M65" s="427"/>
      <c r="N65" s="427">
        <v>3.5</v>
      </c>
      <c r="O65" s="427"/>
      <c r="P65" s="430">
        <v>15.086952169869386</v>
      </c>
      <c r="Q65" s="431">
        <f t="shared" si="9"/>
        <v>51.2</v>
      </c>
      <c r="R65" s="432">
        <v>9.4779999999999998</v>
      </c>
      <c r="S65" s="431">
        <v>10.873999999999999</v>
      </c>
      <c r="T65" s="431">
        <v>88</v>
      </c>
      <c r="U65" s="431">
        <f t="shared" si="1"/>
        <v>9.2846592108039676</v>
      </c>
      <c r="V65" s="433">
        <f t="shared" si="7"/>
        <v>12.837962111458518</v>
      </c>
      <c r="W65" s="432">
        <v>0.4</v>
      </c>
      <c r="X65" s="431">
        <f t="shared" si="13"/>
        <v>0.21238281249999996</v>
      </c>
      <c r="Y65" s="431">
        <f t="shared" si="8"/>
        <v>9.0230559999999986</v>
      </c>
      <c r="Z65" s="431">
        <f t="shared" si="8"/>
        <v>10.352047999999998</v>
      </c>
      <c r="AA65" s="431">
        <f t="shared" si="8"/>
        <v>83.775999999999996</v>
      </c>
      <c r="AB65" s="431">
        <f t="shared" si="5"/>
        <v>9.2846592108039676</v>
      </c>
      <c r="AC65" s="431">
        <f t="shared" si="3"/>
        <v>12.837962111458518</v>
      </c>
      <c r="AD65" s="427">
        <v>30</v>
      </c>
      <c r="AE65" s="431">
        <f t="shared" si="14"/>
        <v>270.69167999999996</v>
      </c>
      <c r="AF65" s="434"/>
    </row>
    <row r="66" spans="1:32" ht="18.75" x14ac:dyDescent="0.2">
      <c r="A66" s="427">
        <v>53</v>
      </c>
      <c r="B66" s="428" t="s">
        <v>157</v>
      </c>
      <c r="C66" s="427" t="s">
        <v>46</v>
      </c>
      <c r="D66" s="429">
        <v>676.73</v>
      </c>
      <c r="E66" s="427" t="s">
        <v>179</v>
      </c>
      <c r="F66" s="427">
        <v>177.8</v>
      </c>
      <c r="G66" s="427" t="s">
        <v>28</v>
      </c>
      <c r="H66" s="429" t="s">
        <v>218</v>
      </c>
      <c r="I66" s="555">
        <v>579.14</v>
      </c>
      <c r="J66" s="427">
        <v>140</v>
      </c>
      <c r="K66" s="427"/>
      <c r="L66" s="427">
        <v>157</v>
      </c>
      <c r="M66" s="427"/>
      <c r="N66" s="427">
        <v>9.3000000000000007</v>
      </c>
      <c r="O66" s="427"/>
      <c r="P66" s="430">
        <v>48.575339795871351</v>
      </c>
      <c r="Q66" s="431">
        <f t="shared" si="9"/>
        <v>44.8</v>
      </c>
      <c r="R66" s="432">
        <v>2.9590000000000001</v>
      </c>
      <c r="S66" s="431">
        <v>31.446999999999999</v>
      </c>
      <c r="T66" s="431">
        <v>234</v>
      </c>
      <c r="U66" s="431">
        <f t="shared" si="1"/>
        <v>79.080770530584658</v>
      </c>
      <c r="V66" s="433">
        <f t="shared" si="7"/>
        <v>90.590517378446279</v>
      </c>
      <c r="W66" s="432">
        <v>0.5</v>
      </c>
      <c r="X66" s="431">
        <f t="shared" si="13"/>
        <v>0.70194196428571431</v>
      </c>
      <c r="Y66" s="431">
        <f t="shared" si="8"/>
        <v>2.8169680000000001</v>
      </c>
      <c r="Z66" s="431">
        <f t="shared" si="8"/>
        <v>29.937543999999999</v>
      </c>
      <c r="AA66" s="431">
        <f t="shared" si="8"/>
        <v>222.768</v>
      </c>
      <c r="AB66" s="431">
        <f t="shared" si="5"/>
        <v>79.080770530584658</v>
      </c>
      <c r="AC66" s="431">
        <v>30</v>
      </c>
      <c r="AD66" s="427">
        <v>30</v>
      </c>
      <c r="AE66" s="431">
        <f t="shared" si="14"/>
        <v>84.509039999999999</v>
      </c>
      <c r="AF66" s="459"/>
    </row>
    <row r="67" spans="1:32" ht="18.75" x14ac:dyDescent="0.2">
      <c r="A67" s="427">
        <v>54</v>
      </c>
      <c r="B67" s="428" t="s">
        <v>159</v>
      </c>
      <c r="C67" s="427" t="s">
        <v>46</v>
      </c>
      <c r="D67" s="429">
        <v>676</v>
      </c>
      <c r="E67" s="427" t="s">
        <v>167</v>
      </c>
      <c r="F67" s="427">
        <v>177.8</v>
      </c>
      <c r="G67" s="427" t="s">
        <v>28</v>
      </c>
      <c r="H67" s="429" t="s">
        <v>218</v>
      </c>
      <c r="I67" s="555">
        <v>508.57</v>
      </c>
      <c r="J67" s="427">
        <v>250</v>
      </c>
      <c r="K67" s="427"/>
      <c r="L67" s="427">
        <v>444</v>
      </c>
      <c r="M67" s="427"/>
      <c r="N67" s="427">
        <v>9.1999999999999993</v>
      </c>
      <c r="O67" s="427"/>
      <c r="P67" s="430">
        <v>16.182876700334717</v>
      </c>
      <c r="Q67" s="431">
        <f t="shared" si="9"/>
        <v>80</v>
      </c>
      <c r="R67" s="432">
        <v>34.186999999999998</v>
      </c>
      <c r="S67" s="431">
        <v>38.713999999999999</v>
      </c>
      <c r="T67" s="431">
        <v>1059</v>
      </c>
      <c r="U67" s="431">
        <f t="shared" si="1"/>
        <v>30.976687044783105</v>
      </c>
      <c r="V67" s="433">
        <f t="shared" si="7"/>
        <v>11.693444232060756</v>
      </c>
      <c r="W67" s="432">
        <v>0.3</v>
      </c>
      <c r="X67" s="431">
        <f t="shared" si="13"/>
        <v>0.48392499999999999</v>
      </c>
      <c r="Y67" s="431">
        <f t="shared" si="8"/>
        <v>32.546023999999996</v>
      </c>
      <c r="Z67" s="431">
        <f t="shared" si="8"/>
        <v>36.855727999999999</v>
      </c>
      <c r="AA67" s="431">
        <f t="shared" si="8"/>
        <v>1008.168</v>
      </c>
      <c r="AB67" s="431">
        <f t="shared" si="5"/>
        <v>30.976687044783105</v>
      </c>
      <c r="AC67" s="431">
        <v>14.18</v>
      </c>
      <c r="AD67" s="427">
        <v>30</v>
      </c>
      <c r="AE67" s="431">
        <f t="shared" si="14"/>
        <v>976.38071999999988</v>
      </c>
      <c r="AF67" s="434"/>
    </row>
    <row r="68" spans="1:32" ht="18.75" x14ac:dyDescent="0.2">
      <c r="A68" s="427">
        <v>55</v>
      </c>
      <c r="B68" s="428" t="s">
        <v>210</v>
      </c>
      <c r="C68" s="427" t="s">
        <v>46</v>
      </c>
      <c r="D68" s="429">
        <v>728.32</v>
      </c>
      <c r="E68" s="427" t="s">
        <v>226</v>
      </c>
      <c r="F68" s="427">
        <v>177.8</v>
      </c>
      <c r="G68" s="427" t="s">
        <v>28</v>
      </c>
      <c r="H68" s="429" t="s">
        <v>218</v>
      </c>
      <c r="I68" s="555">
        <v>519.38</v>
      </c>
      <c r="J68" s="427">
        <v>200</v>
      </c>
      <c r="K68" s="427"/>
      <c r="L68" s="427">
        <v>452</v>
      </c>
      <c r="M68" s="427"/>
      <c r="N68" s="427">
        <v>10.199999999999999</v>
      </c>
      <c r="O68" s="427"/>
      <c r="P68" s="430">
        <v>18.27407852098008</v>
      </c>
      <c r="Q68" s="431">
        <f t="shared" si="9"/>
        <v>64</v>
      </c>
      <c r="R68" s="432">
        <v>21.173999999999999</v>
      </c>
      <c r="S68" s="431">
        <v>23.236000000000001</v>
      </c>
      <c r="T68" s="431">
        <v>815</v>
      </c>
      <c r="U68" s="431">
        <f t="shared" si="1"/>
        <v>38.490601681307261</v>
      </c>
      <c r="V68" s="433">
        <f t="shared" si="7"/>
        <v>8.8741607849888151</v>
      </c>
      <c r="W68" s="432">
        <v>0.3</v>
      </c>
      <c r="X68" s="431">
        <f t="shared" si="13"/>
        <v>0.36306250000000001</v>
      </c>
      <c r="Y68" s="431">
        <f t="shared" si="8"/>
        <v>20.157647999999998</v>
      </c>
      <c r="Z68" s="431">
        <f t="shared" si="8"/>
        <v>22.120671999999999</v>
      </c>
      <c r="AA68" s="431">
        <f t="shared" si="8"/>
        <v>775.88</v>
      </c>
      <c r="AB68" s="431">
        <f t="shared" si="5"/>
        <v>38.490601681307261</v>
      </c>
      <c r="AC68" s="431">
        <f t="shared" si="3"/>
        <v>8.8741607849888151</v>
      </c>
      <c r="AD68" s="427">
        <v>30</v>
      </c>
      <c r="AE68" s="431">
        <f t="shared" si="14"/>
        <v>604.72943999999995</v>
      </c>
      <c r="AF68" s="439"/>
    </row>
    <row r="69" spans="1:32" ht="18.75" x14ac:dyDescent="0.2">
      <c r="A69" s="427">
        <v>56</v>
      </c>
      <c r="B69" s="428" t="s">
        <v>63</v>
      </c>
      <c r="C69" s="427" t="s">
        <v>46</v>
      </c>
      <c r="D69" s="429">
        <v>672.99</v>
      </c>
      <c r="E69" s="427" t="s">
        <v>98</v>
      </c>
      <c r="F69" s="427">
        <v>177.8</v>
      </c>
      <c r="G69" s="427" t="s">
        <v>28</v>
      </c>
      <c r="H69" s="429" t="s">
        <v>310</v>
      </c>
      <c r="I69" s="555">
        <v>536.32000000000005</v>
      </c>
      <c r="J69" s="427">
        <v>230</v>
      </c>
      <c r="K69" s="427"/>
      <c r="L69" s="427">
        <v>378</v>
      </c>
      <c r="M69" s="427"/>
      <c r="N69" s="427">
        <v>9.1999999999999993</v>
      </c>
      <c r="O69" s="427"/>
      <c r="P69" s="430">
        <v>26.338653642151368</v>
      </c>
      <c r="Q69" s="431">
        <f t="shared" si="9"/>
        <v>50.6</v>
      </c>
      <c r="R69" s="432">
        <v>13.981999999999999</v>
      </c>
      <c r="S69" s="431">
        <v>17.465</v>
      </c>
      <c r="T69" s="431">
        <v>762</v>
      </c>
      <c r="U69" s="431">
        <f t="shared" si="1"/>
        <v>54.498641109998573</v>
      </c>
      <c r="V69" s="433">
        <f t="shared" si="7"/>
        <v>19.942742628113372</v>
      </c>
      <c r="W69" s="432">
        <v>0.5</v>
      </c>
      <c r="X69" s="431">
        <f t="shared" si="13"/>
        <v>0.34515810276679842</v>
      </c>
      <c r="Y69" s="431">
        <f t="shared" si="8"/>
        <v>13.310863999999999</v>
      </c>
      <c r="Z69" s="431">
        <f t="shared" si="8"/>
        <v>16.62668</v>
      </c>
      <c r="AA69" s="431">
        <f t="shared" si="8"/>
        <v>725.42399999999998</v>
      </c>
      <c r="AB69" s="431">
        <f t="shared" si="5"/>
        <v>54.498641109998573</v>
      </c>
      <c r="AC69" s="431">
        <f t="shared" si="3"/>
        <v>19.942742628113372</v>
      </c>
      <c r="AD69" s="427">
        <v>30</v>
      </c>
      <c r="AE69" s="431">
        <f t="shared" si="14"/>
        <v>399.32591999999994</v>
      </c>
      <c r="AF69" s="439"/>
    </row>
    <row r="70" spans="1:32" ht="18.75" x14ac:dyDescent="0.2">
      <c r="A70" s="427">
        <v>57</v>
      </c>
      <c r="B70" s="428" t="s">
        <v>217</v>
      </c>
      <c r="C70" s="427" t="s">
        <v>46</v>
      </c>
      <c r="D70" s="429">
        <v>684.57</v>
      </c>
      <c r="E70" s="427" t="s">
        <v>359</v>
      </c>
      <c r="F70" s="427">
        <v>177.8</v>
      </c>
      <c r="G70" s="427" t="s">
        <v>28</v>
      </c>
      <c r="H70" s="429" t="s">
        <v>219</v>
      </c>
      <c r="I70" s="555">
        <v>555.95000000000005</v>
      </c>
      <c r="J70" s="427" t="s">
        <v>248</v>
      </c>
      <c r="K70" s="427"/>
      <c r="L70" s="427">
        <v>235</v>
      </c>
      <c r="M70" s="427"/>
      <c r="N70" s="427">
        <v>10</v>
      </c>
      <c r="O70" s="427"/>
      <c r="P70" s="430">
        <v>43.60906211086953</v>
      </c>
      <c r="Q70" s="431">
        <f t="shared" si="9"/>
        <v>10.199999999999999</v>
      </c>
      <c r="R70" s="432">
        <v>1.23</v>
      </c>
      <c r="S70" s="431">
        <v>7.53</v>
      </c>
      <c r="T70" s="431">
        <v>0</v>
      </c>
      <c r="U70" s="431">
        <f t="shared" si="1"/>
        <v>0</v>
      </c>
      <c r="V70" s="433">
        <f t="shared" si="7"/>
        <v>83.665338645418331</v>
      </c>
      <c r="W70" s="432">
        <v>0.3</v>
      </c>
      <c r="X70" s="431">
        <f t="shared" si="13"/>
        <v>0.7382352941176471</v>
      </c>
      <c r="Y70" s="431">
        <f t="shared" si="8"/>
        <v>1.17096</v>
      </c>
      <c r="Z70" s="431">
        <f t="shared" si="8"/>
        <v>7.1685600000000003</v>
      </c>
      <c r="AA70" s="431">
        <f t="shared" si="8"/>
        <v>0</v>
      </c>
      <c r="AB70" s="431">
        <v>0</v>
      </c>
      <c r="AC70" s="431">
        <f t="shared" si="3"/>
        <v>83.665338645418331</v>
      </c>
      <c r="AD70" s="427">
        <v>30</v>
      </c>
      <c r="AE70" s="431">
        <f t="shared" si="14"/>
        <v>35.128799999999998</v>
      </c>
      <c r="AF70" s="439"/>
    </row>
    <row r="71" spans="1:32" ht="18.75" x14ac:dyDescent="0.2">
      <c r="A71" s="427">
        <v>58</v>
      </c>
      <c r="B71" s="428" t="s">
        <v>211</v>
      </c>
      <c r="C71" s="427" t="s">
        <v>46</v>
      </c>
      <c r="D71" s="429">
        <v>675.29</v>
      </c>
      <c r="E71" s="427" t="s">
        <v>224</v>
      </c>
      <c r="F71" s="427">
        <v>177.8</v>
      </c>
      <c r="G71" s="427" t="s">
        <v>28</v>
      </c>
      <c r="H71" s="429" t="s">
        <v>52</v>
      </c>
      <c r="I71" s="555">
        <v>560.29</v>
      </c>
      <c r="J71" s="427">
        <v>130</v>
      </c>
      <c r="K71" s="427"/>
      <c r="L71" s="427">
        <v>436</v>
      </c>
      <c r="M71" s="427"/>
      <c r="N71" s="427">
        <v>1.1000000000000001</v>
      </c>
      <c r="O71" s="427"/>
      <c r="P71" s="430">
        <v>14.091822259644388</v>
      </c>
      <c r="Q71" s="431">
        <f t="shared" si="9"/>
        <v>28.6</v>
      </c>
      <c r="R71" s="432">
        <v>3.5539999999999998</v>
      </c>
      <c r="S71" s="431">
        <v>4.298</v>
      </c>
      <c r="T71" s="431">
        <v>26</v>
      </c>
      <c r="U71" s="431">
        <f t="shared" si="1"/>
        <v>7.3157006190208218</v>
      </c>
      <c r="V71" s="433">
        <f t="shared" si="7"/>
        <v>17.310376919497443</v>
      </c>
      <c r="W71" s="432">
        <v>0.9</v>
      </c>
      <c r="X71" s="431">
        <f t="shared" si="13"/>
        <v>0.15027972027972028</v>
      </c>
      <c r="Y71" s="431">
        <f t="shared" si="8"/>
        <v>3.3834079999999997</v>
      </c>
      <c r="Z71" s="431">
        <f t="shared" si="8"/>
        <v>4.0916959999999998</v>
      </c>
      <c r="AA71" s="431">
        <f t="shared" si="8"/>
        <v>24.751999999999999</v>
      </c>
      <c r="AB71" s="431">
        <f t="shared" si="5"/>
        <v>7.3157006190208218</v>
      </c>
      <c r="AC71" s="431">
        <f t="shared" si="3"/>
        <v>17.310376919497443</v>
      </c>
      <c r="AD71" s="427">
        <v>30</v>
      </c>
      <c r="AE71" s="431">
        <f t="shared" si="14"/>
        <v>101.50223999999999</v>
      </c>
      <c r="AF71" s="439"/>
    </row>
    <row r="72" spans="1:32" ht="18.75" x14ac:dyDescent="0.2">
      <c r="A72" s="427">
        <v>59</v>
      </c>
      <c r="B72" s="428" t="s">
        <v>341</v>
      </c>
      <c r="C72" s="427" t="s">
        <v>46</v>
      </c>
      <c r="D72" s="429">
        <v>683.16</v>
      </c>
      <c r="E72" s="427" t="s">
        <v>343</v>
      </c>
      <c r="F72" s="427">
        <v>177.8</v>
      </c>
      <c r="G72" s="427" t="s">
        <v>28</v>
      </c>
      <c r="H72" s="564" t="s">
        <v>342</v>
      </c>
      <c r="I72" s="555">
        <v>571.9</v>
      </c>
      <c r="J72" s="427">
        <v>105</v>
      </c>
      <c r="K72" s="427"/>
      <c r="L72" s="427">
        <v>114</v>
      </c>
      <c r="M72" s="427"/>
      <c r="N72" s="427">
        <v>4.7</v>
      </c>
      <c r="O72" s="427"/>
      <c r="P72" s="430">
        <v>44.785969635068888</v>
      </c>
      <c r="Q72" s="431" t="e">
        <f t="shared" si="9"/>
        <v>#VALUE!</v>
      </c>
      <c r="R72" s="432">
        <v>15.836</v>
      </c>
      <c r="S72" s="431">
        <v>20.125</v>
      </c>
      <c r="T72" s="431">
        <v>196</v>
      </c>
      <c r="U72" s="431">
        <f t="shared" si="1"/>
        <v>12.376862844152564</v>
      </c>
      <c r="V72" s="433">
        <f t="shared" si="7"/>
        <v>21.311801242236022</v>
      </c>
      <c r="W72" s="432">
        <v>0.4</v>
      </c>
      <c r="X72" s="431" t="e">
        <f t="shared" si="13"/>
        <v>#VALUE!</v>
      </c>
      <c r="Y72" s="431">
        <f t="shared" si="8"/>
        <v>15.075872</v>
      </c>
      <c r="Z72" s="431">
        <f t="shared" si="8"/>
        <v>19.158999999999999</v>
      </c>
      <c r="AA72" s="431">
        <f t="shared" si="8"/>
        <v>186.59199999999998</v>
      </c>
      <c r="AB72" s="431">
        <f t="shared" si="5"/>
        <v>12.376862844152564</v>
      </c>
      <c r="AC72" s="431">
        <f t="shared" si="3"/>
        <v>21.311801242236022</v>
      </c>
      <c r="AD72" s="427">
        <v>30</v>
      </c>
      <c r="AE72" s="431">
        <f t="shared" si="14"/>
        <v>452.27616</v>
      </c>
      <c r="AF72" s="439"/>
    </row>
    <row r="73" spans="1:32" ht="18.75" x14ac:dyDescent="0.3">
      <c r="A73" s="427">
        <v>60</v>
      </c>
      <c r="B73" s="428" t="s">
        <v>354</v>
      </c>
      <c r="C73" s="427" t="s">
        <v>46</v>
      </c>
      <c r="D73" s="429">
        <v>634.29</v>
      </c>
      <c r="E73" s="402" t="s">
        <v>356</v>
      </c>
      <c r="F73" s="427">
        <v>178.8</v>
      </c>
      <c r="G73" s="427" t="s">
        <v>28</v>
      </c>
      <c r="H73" s="563" t="s">
        <v>355</v>
      </c>
      <c r="I73" s="555">
        <v>542.57000000000005</v>
      </c>
      <c r="J73" s="427">
        <v>85</v>
      </c>
      <c r="K73" s="427"/>
      <c r="L73" s="427">
        <v>290</v>
      </c>
      <c r="M73" s="427"/>
      <c r="N73" s="427">
        <v>10.8</v>
      </c>
      <c r="O73" s="427"/>
      <c r="P73" s="430">
        <v>35.144106256206129</v>
      </c>
      <c r="Q73" s="431" t="e">
        <f t="shared" ref="Q73" si="15">LEFT(H73,(FIND("K",H73,1)-1))*J73/100</f>
        <v>#VALUE!</v>
      </c>
      <c r="R73" s="432">
        <v>9.1809999999999992</v>
      </c>
      <c r="S73" s="431">
        <v>10.523</v>
      </c>
      <c r="T73" s="431">
        <v>263</v>
      </c>
      <c r="U73" s="431">
        <f t="shared" ref="U73" si="16">T73/R73</f>
        <v>28.646116980721057</v>
      </c>
      <c r="V73" s="433">
        <f t="shared" ref="V73" si="17">(S73-R73)/S73*100</f>
        <v>12.753017200418137</v>
      </c>
      <c r="W73" s="432">
        <v>0.4</v>
      </c>
      <c r="X73" s="431" t="e">
        <f t="shared" ref="X73" si="18">S73/Q73</f>
        <v>#VALUE!</v>
      </c>
      <c r="Y73" s="431">
        <f t="shared" ref="Y73" si="19">R73*0.952</f>
        <v>8.7403119999999994</v>
      </c>
      <c r="Z73" s="431">
        <f t="shared" ref="Z73" si="20">S73*0.952</f>
        <v>10.017895999999999</v>
      </c>
      <c r="AA73" s="431">
        <f t="shared" ref="AA73" si="21">T73*0.952</f>
        <v>250.37599999999998</v>
      </c>
      <c r="AB73" s="431">
        <f t="shared" ref="AB73" si="22">U73</f>
        <v>28.646116980721057</v>
      </c>
      <c r="AC73" s="431">
        <f t="shared" ref="AC73" si="23">V73</f>
        <v>12.753017200418137</v>
      </c>
      <c r="AD73" s="427">
        <v>30</v>
      </c>
      <c r="AE73" s="431">
        <f t="shared" ref="AE73" si="24">Y73*AD73</f>
        <v>262.20936</v>
      </c>
      <c r="AF73" s="439"/>
    </row>
    <row r="74" spans="1:32" ht="18.75" x14ac:dyDescent="0.2">
      <c r="A74" s="427">
        <v>61</v>
      </c>
      <c r="B74" s="428" t="s">
        <v>213</v>
      </c>
      <c r="C74" s="427" t="s">
        <v>46</v>
      </c>
      <c r="D74" s="429">
        <v>679.2</v>
      </c>
      <c r="E74" s="429" t="s">
        <v>225</v>
      </c>
      <c r="F74" s="427">
        <v>177.8</v>
      </c>
      <c r="G74" s="427" t="s">
        <v>28</v>
      </c>
      <c r="H74" s="429" t="s">
        <v>48</v>
      </c>
      <c r="I74" s="555">
        <v>559.19000000000005</v>
      </c>
      <c r="J74" s="427">
        <v>100</v>
      </c>
      <c r="K74" s="427"/>
      <c r="L74" s="427">
        <v>480</v>
      </c>
      <c r="M74" s="427"/>
      <c r="N74" s="427">
        <v>3.2</v>
      </c>
      <c r="O74" s="427"/>
      <c r="P74" s="430">
        <v>12.514350807708155</v>
      </c>
      <c r="Q74" s="431">
        <f t="shared" si="9"/>
        <v>13</v>
      </c>
      <c r="R74" s="432">
        <v>1.8280000000000001</v>
      </c>
      <c r="S74" s="431">
        <v>3.577</v>
      </c>
      <c r="T74" s="431">
        <v>9</v>
      </c>
      <c r="U74" s="431">
        <f t="shared" si="1"/>
        <v>4.9234135667396055</v>
      </c>
      <c r="V74" s="433">
        <f t="shared" si="7"/>
        <v>48.89572267263069</v>
      </c>
      <c r="W74" s="432">
        <v>0.2</v>
      </c>
      <c r="X74" s="431">
        <f t="shared" si="13"/>
        <v>0.27515384615384614</v>
      </c>
      <c r="Y74" s="431">
        <f t="shared" si="8"/>
        <v>1.740256</v>
      </c>
      <c r="Z74" s="431">
        <f t="shared" si="8"/>
        <v>3.4053039999999997</v>
      </c>
      <c r="AA74" s="431">
        <f t="shared" si="8"/>
        <v>8.5679999999999996</v>
      </c>
      <c r="AB74" s="431">
        <f t="shared" si="5"/>
        <v>4.9234135667396055</v>
      </c>
      <c r="AC74" s="431">
        <f t="shared" si="3"/>
        <v>48.89572267263069</v>
      </c>
      <c r="AD74" s="427">
        <v>30</v>
      </c>
      <c r="AE74" s="431">
        <f t="shared" si="14"/>
        <v>52.207680000000003</v>
      </c>
      <c r="AF74" s="439"/>
    </row>
    <row r="75" spans="1:32" ht="18.75" x14ac:dyDescent="0.2">
      <c r="A75" s="427">
        <v>62</v>
      </c>
      <c r="B75" s="428" t="s">
        <v>172</v>
      </c>
      <c r="C75" s="427" t="s">
        <v>46</v>
      </c>
      <c r="D75" s="429">
        <v>673</v>
      </c>
      <c r="E75" s="427" t="s">
        <v>173</v>
      </c>
      <c r="F75" s="427">
        <v>177.8</v>
      </c>
      <c r="G75" s="427" t="s">
        <v>28</v>
      </c>
      <c r="H75" s="429" t="s">
        <v>50</v>
      </c>
      <c r="I75" s="555">
        <v>560.79</v>
      </c>
      <c r="J75" s="427">
        <v>190</v>
      </c>
      <c r="K75" s="427"/>
      <c r="L75" s="427">
        <v>263</v>
      </c>
      <c r="M75" s="427"/>
      <c r="N75" s="427">
        <v>8</v>
      </c>
      <c r="O75" s="427"/>
      <c r="P75" s="448">
        <v>38.225384960046938</v>
      </c>
      <c r="Q75" s="431">
        <f>LEFT(H75,(FIND("K",H75,1)-1))*J75/100</f>
        <v>11.4</v>
      </c>
      <c r="R75" s="432">
        <v>2.3199999999999998</v>
      </c>
      <c r="S75" s="431">
        <v>3.7279999999999998</v>
      </c>
      <c r="T75" s="431">
        <v>7</v>
      </c>
      <c r="U75" s="431">
        <f t="shared" si="1"/>
        <v>3.0172413793103452</v>
      </c>
      <c r="V75" s="433">
        <f t="shared" si="7"/>
        <v>37.768240343347642</v>
      </c>
      <c r="W75" s="432">
        <v>0.4</v>
      </c>
      <c r="X75" s="431">
        <f t="shared" si="13"/>
        <v>0.3270175438596491</v>
      </c>
      <c r="Y75" s="431">
        <f t="shared" si="8"/>
        <v>2.2086399999999999</v>
      </c>
      <c r="Z75" s="431">
        <f t="shared" si="8"/>
        <v>3.5490559999999998</v>
      </c>
      <c r="AA75" s="431">
        <f t="shared" si="8"/>
        <v>6.6639999999999997</v>
      </c>
      <c r="AB75" s="431">
        <f t="shared" si="5"/>
        <v>3.0172413793103452</v>
      </c>
      <c r="AC75" s="431">
        <f t="shared" si="3"/>
        <v>37.768240343347642</v>
      </c>
      <c r="AD75" s="427">
        <v>30</v>
      </c>
      <c r="AE75" s="431">
        <f>Y75*AD75</f>
        <v>66.259199999999993</v>
      </c>
      <c r="AF75" s="439"/>
    </row>
    <row r="76" spans="1:32" ht="22.15" customHeight="1" x14ac:dyDescent="0.2">
      <c r="A76" s="427">
        <v>63</v>
      </c>
      <c r="B76" s="461" t="s">
        <v>171</v>
      </c>
      <c r="C76" s="427" t="s">
        <v>46</v>
      </c>
      <c r="D76" s="555">
        <v>646</v>
      </c>
      <c r="E76" s="555" t="s">
        <v>191</v>
      </c>
      <c r="F76" s="427">
        <v>177.8</v>
      </c>
      <c r="G76" s="427" t="s">
        <v>28</v>
      </c>
      <c r="H76" s="429" t="s">
        <v>48</v>
      </c>
      <c r="I76" s="555">
        <v>570.15</v>
      </c>
      <c r="J76" s="555">
        <v>200</v>
      </c>
      <c r="K76" s="555"/>
      <c r="L76" s="555">
        <v>357</v>
      </c>
      <c r="M76" s="555"/>
      <c r="N76" s="427">
        <v>1.8</v>
      </c>
      <c r="O76" s="555"/>
      <c r="P76" s="430">
        <v>23.785709271621016</v>
      </c>
      <c r="Q76" s="437">
        <f>LEFT(H76,(FIND("K",H76,1)-1))*J76/100</f>
        <v>26</v>
      </c>
      <c r="R76" s="432">
        <v>0.48699999999999999</v>
      </c>
      <c r="S76" s="431">
        <v>0.68799999999999994</v>
      </c>
      <c r="T76" s="437">
        <v>0</v>
      </c>
      <c r="U76" s="431">
        <f t="shared" si="1"/>
        <v>0</v>
      </c>
      <c r="V76" s="433">
        <f t="shared" si="7"/>
        <v>29.215116279069765</v>
      </c>
      <c r="W76" s="432">
        <v>0.6</v>
      </c>
      <c r="X76" s="431">
        <f t="shared" si="13"/>
        <v>2.646153846153846E-2</v>
      </c>
      <c r="Y76" s="431">
        <f t="shared" si="8"/>
        <v>0.46362399999999998</v>
      </c>
      <c r="Z76" s="431">
        <f t="shared" si="8"/>
        <v>0.65497599999999989</v>
      </c>
      <c r="AA76" s="431">
        <f t="shared" si="8"/>
        <v>0</v>
      </c>
      <c r="AB76" s="431">
        <f t="shared" si="5"/>
        <v>0</v>
      </c>
      <c r="AC76" s="431">
        <f t="shared" si="3"/>
        <v>29.215116279069765</v>
      </c>
      <c r="AD76" s="427">
        <v>30</v>
      </c>
      <c r="AE76" s="431">
        <f>Y76*AD76</f>
        <v>13.908719999999999</v>
      </c>
      <c r="AF76" s="434"/>
    </row>
    <row r="77" spans="1:32" ht="18.75" x14ac:dyDescent="0.2">
      <c r="A77" s="427"/>
      <c r="B77" s="561"/>
      <c r="C77" s="464"/>
      <c r="D77" s="556"/>
      <c r="E77" s="557"/>
      <c r="F77" s="427"/>
      <c r="G77" s="427"/>
      <c r="H77" s="429"/>
      <c r="I77" s="555"/>
      <c r="J77" s="555"/>
      <c r="K77" s="555"/>
      <c r="L77" s="555"/>
      <c r="M77" s="555"/>
      <c r="N77" s="427"/>
      <c r="O77" s="555"/>
      <c r="P77" s="430"/>
      <c r="Q77" s="437"/>
      <c r="R77" s="466">
        <f>SUM(R14:R76)</f>
        <v>378.78299999999996</v>
      </c>
      <c r="S77" s="467">
        <f>SUM(S14:S76)</f>
        <v>631.39699999999982</v>
      </c>
      <c r="T77" s="512">
        <f>SUM(T14:T76)</f>
        <v>15987</v>
      </c>
      <c r="U77" s="467">
        <f>T77/R77</f>
        <v>42.20622361616018</v>
      </c>
      <c r="V77" s="468"/>
      <c r="W77" s="466"/>
      <c r="X77" s="467"/>
      <c r="Y77" s="467">
        <f>SUM(Y14:Y76)</f>
        <v>360.6014159999998</v>
      </c>
      <c r="Z77" s="467">
        <f>SUM(Z14:Z76)</f>
        <v>601.08994399999983</v>
      </c>
      <c r="AA77" s="481">
        <f>SUM(AA14:AA76)</f>
        <v>15219.624000000003</v>
      </c>
      <c r="AB77" s="467">
        <f>AA77/Y77</f>
        <v>42.206223616160209</v>
      </c>
      <c r="AC77" s="467"/>
      <c r="AD77" s="438"/>
      <c r="AE77" s="467">
        <f>SUM(AE14:AE76)</f>
        <v>10786.083839999999</v>
      </c>
      <c r="AF77" s="434"/>
    </row>
    <row r="78" spans="1:32" ht="18.75" x14ac:dyDescent="0.2">
      <c r="A78" s="427"/>
      <c r="B78" s="1905"/>
      <c r="C78" s="1906"/>
      <c r="D78" s="1906"/>
      <c r="E78" s="1906"/>
      <c r="F78" s="428"/>
      <c r="G78" s="427"/>
      <c r="H78" s="429"/>
      <c r="I78" s="429"/>
      <c r="J78" s="555"/>
      <c r="K78" s="555"/>
      <c r="L78" s="555"/>
      <c r="M78" s="555"/>
      <c r="N78" s="555"/>
      <c r="O78" s="555"/>
      <c r="P78" s="448"/>
      <c r="Q78" s="437"/>
      <c r="R78" s="555"/>
      <c r="S78" s="555"/>
      <c r="T78" s="555"/>
      <c r="U78" s="551"/>
      <c r="V78" s="551"/>
      <c r="W78" s="551"/>
      <c r="X78" s="551"/>
      <c r="Y78" s="473"/>
      <c r="Z78" s="474"/>
      <c r="AA78" s="554"/>
      <c r="AB78" s="551"/>
      <c r="AC78" s="555"/>
      <c r="AD78" s="427"/>
      <c r="AE78" s="431"/>
      <c r="AF78" s="434"/>
    </row>
    <row r="79" spans="1:32" ht="18.75" x14ac:dyDescent="0.3">
      <c r="A79" s="475"/>
      <c r="B79" s="1900" t="s">
        <v>277</v>
      </c>
      <c r="C79" s="1901"/>
      <c r="D79" s="1901"/>
      <c r="E79" s="1901"/>
      <c r="F79" s="1902"/>
      <c r="G79" s="551"/>
      <c r="H79" s="554"/>
      <c r="I79" s="554"/>
      <c r="J79" s="555"/>
      <c r="K79" s="555"/>
      <c r="L79" s="555"/>
      <c r="M79" s="555"/>
      <c r="N79" s="555"/>
      <c r="O79" s="555"/>
      <c r="P79" s="448"/>
      <c r="Q79" s="437"/>
      <c r="R79" s="555"/>
      <c r="S79" s="437"/>
      <c r="T79" s="555"/>
      <c r="U79" s="551"/>
      <c r="V79" s="551"/>
      <c r="W79" s="551"/>
      <c r="X79" s="421"/>
      <c r="Y79" s="555"/>
      <c r="Z79" s="555"/>
      <c r="AA79" s="555"/>
      <c r="AB79" s="551"/>
      <c r="AC79" s="551"/>
      <c r="AD79" s="555"/>
      <c r="AE79" s="555"/>
      <c r="AF79" s="554"/>
    </row>
    <row r="80" spans="1:32" ht="22.15" customHeight="1" x14ac:dyDescent="0.2">
      <c r="A80" s="476">
        <v>64</v>
      </c>
      <c r="B80" s="427" t="s">
        <v>131</v>
      </c>
      <c r="C80" s="476" t="s">
        <v>313</v>
      </c>
      <c r="D80" s="429">
        <v>389.74</v>
      </c>
      <c r="E80" s="477" t="s">
        <v>136</v>
      </c>
      <c r="F80" s="427">
        <v>177.8</v>
      </c>
      <c r="G80" s="427" t="s">
        <v>28</v>
      </c>
      <c r="H80" s="429" t="s">
        <v>58</v>
      </c>
      <c r="I80" s="555">
        <v>142.80000000000001</v>
      </c>
      <c r="J80" s="555">
        <v>180</v>
      </c>
      <c r="K80" s="427"/>
      <c r="L80" s="427">
        <v>29</v>
      </c>
      <c r="M80" s="427"/>
      <c r="N80" s="427">
        <v>0</v>
      </c>
      <c r="O80" s="427"/>
      <c r="P80" s="430">
        <v>18.493398776869164</v>
      </c>
      <c r="Q80" s="437">
        <f>(3*J80)/100</f>
        <v>5.4</v>
      </c>
      <c r="R80" s="432">
        <v>1.3260000000000001</v>
      </c>
      <c r="S80" s="431">
        <v>2.149</v>
      </c>
      <c r="T80" s="431">
        <v>0</v>
      </c>
      <c r="U80" s="431">
        <f>T80/R80</f>
        <v>0</v>
      </c>
      <c r="V80" s="432">
        <f t="shared" ref="V80:V83" si="25">(S80-R80)/S80*100</f>
        <v>38.296882270823637</v>
      </c>
      <c r="W80" s="432">
        <v>0.6</v>
      </c>
      <c r="X80" s="431">
        <f t="shared" ref="X80:X81" si="26">S80/Q80</f>
        <v>0.39796296296296296</v>
      </c>
      <c r="Y80" s="431">
        <f>R80*0.9424</f>
        <v>1.2496224</v>
      </c>
      <c r="Z80" s="431">
        <f>S80*0.9424</f>
        <v>2.0252176</v>
      </c>
      <c r="AA80" s="431">
        <f t="shared" ref="AA80:AA87" si="27">T80*0.9494</f>
        <v>0</v>
      </c>
      <c r="AB80" s="431">
        <f t="shared" ref="AB80:AC87" si="28">U80</f>
        <v>0</v>
      </c>
      <c r="AC80" s="431">
        <f t="shared" si="28"/>
        <v>38.296882270823637</v>
      </c>
      <c r="AD80" s="427">
        <v>30</v>
      </c>
      <c r="AE80" s="431">
        <f t="shared" ref="AE80:AE86" si="29">Y80*AD80</f>
        <v>37.488672000000001</v>
      </c>
      <c r="AF80" s="439"/>
    </row>
    <row r="81" spans="1:32" ht="21.6" customHeight="1" x14ac:dyDescent="0.2">
      <c r="A81" s="476">
        <v>65</v>
      </c>
      <c r="B81" s="427" t="s">
        <v>132</v>
      </c>
      <c r="C81" s="476" t="s">
        <v>313</v>
      </c>
      <c r="D81" s="427">
        <v>387.72</v>
      </c>
      <c r="E81" s="477" t="s">
        <v>135</v>
      </c>
      <c r="F81" s="427">
        <v>177.8</v>
      </c>
      <c r="G81" s="427" t="s">
        <v>28</v>
      </c>
      <c r="H81" s="429" t="s">
        <v>58</v>
      </c>
      <c r="I81" s="555">
        <v>136.03</v>
      </c>
      <c r="J81" s="427">
        <v>170</v>
      </c>
      <c r="K81" s="427"/>
      <c r="L81" s="427">
        <v>29</v>
      </c>
      <c r="M81" s="427"/>
      <c r="N81" s="427">
        <v>0</v>
      </c>
      <c r="O81" s="427"/>
      <c r="P81" s="430">
        <v>11.643014445899794</v>
      </c>
      <c r="Q81" s="437">
        <f>(3*J81)/100</f>
        <v>5.0999999999999996</v>
      </c>
      <c r="R81" s="432">
        <v>3.1880000000000002</v>
      </c>
      <c r="S81" s="431">
        <v>4.4420000000000002</v>
      </c>
      <c r="T81" s="431">
        <v>0</v>
      </c>
      <c r="U81" s="431">
        <v>0</v>
      </c>
      <c r="V81" s="432">
        <f t="shared" si="25"/>
        <v>28.230526789734352</v>
      </c>
      <c r="W81" s="432">
        <v>0.5</v>
      </c>
      <c r="X81" s="431">
        <f t="shared" si="26"/>
        <v>0.87098039215686285</v>
      </c>
      <c r="Y81" s="431">
        <f t="shared" ref="Y81:Z87" si="30">R81*0.9424</f>
        <v>3.0043712</v>
      </c>
      <c r="Z81" s="431">
        <f t="shared" si="30"/>
        <v>4.1861408000000004</v>
      </c>
      <c r="AA81" s="431">
        <f t="shared" si="27"/>
        <v>0</v>
      </c>
      <c r="AB81" s="431">
        <v>0</v>
      </c>
      <c r="AC81" s="431">
        <f>V81</f>
        <v>28.230526789734352</v>
      </c>
      <c r="AD81" s="427">
        <v>30</v>
      </c>
      <c r="AE81" s="431">
        <f t="shared" si="29"/>
        <v>90.131135999999998</v>
      </c>
      <c r="AF81" s="449"/>
    </row>
    <row r="82" spans="1:32" ht="18.75" x14ac:dyDescent="0.2">
      <c r="A82" s="476">
        <v>66</v>
      </c>
      <c r="B82" s="427" t="s">
        <v>121</v>
      </c>
      <c r="C82" s="476" t="s">
        <v>313</v>
      </c>
      <c r="D82" s="427">
        <v>389.57</v>
      </c>
      <c r="E82" s="427" t="s">
        <v>137</v>
      </c>
      <c r="F82" s="427">
        <v>177.8</v>
      </c>
      <c r="G82" s="427" t="s">
        <v>28</v>
      </c>
      <c r="H82" s="429" t="s">
        <v>58</v>
      </c>
      <c r="I82" s="555">
        <v>120.43</v>
      </c>
      <c r="J82" s="427">
        <v>85</v>
      </c>
      <c r="K82" s="427"/>
      <c r="L82" s="427">
        <v>29</v>
      </c>
      <c r="M82" s="427"/>
      <c r="N82" s="427"/>
      <c r="O82" s="427"/>
      <c r="P82" s="430">
        <v>19.052087596992777</v>
      </c>
      <c r="Q82" s="431"/>
      <c r="R82" s="432">
        <v>5.2469999999999999</v>
      </c>
      <c r="S82" s="431">
        <v>0</v>
      </c>
      <c r="T82" s="431">
        <v>0</v>
      </c>
      <c r="U82" s="431">
        <v>0</v>
      </c>
      <c r="V82" s="432">
        <v>0</v>
      </c>
      <c r="W82" s="432">
        <v>0.6</v>
      </c>
      <c r="X82" s="431">
        <v>0</v>
      </c>
      <c r="Y82" s="431">
        <v>1.3</v>
      </c>
      <c r="Z82" s="431">
        <v>1.3</v>
      </c>
      <c r="AA82" s="431">
        <f t="shared" si="27"/>
        <v>0</v>
      </c>
      <c r="AB82" s="431">
        <v>0</v>
      </c>
      <c r="AC82" s="431">
        <f>V82</f>
        <v>0</v>
      </c>
      <c r="AD82" s="427">
        <v>30</v>
      </c>
      <c r="AE82" s="431">
        <f t="shared" si="29"/>
        <v>39</v>
      </c>
      <c r="AF82" s="434"/>
    </row>
    <row r="83" spans="1:32" ht="18.75" x14ac:dyDescent="0.2">
      <c r="A83" s="476">
        <v>67</v>
      </c>
      <c r="B83" s="427" t="s">
        <v>122</v>
      </c>
      <c r="C83" s="476" t="s">
        <v>313</v>
      </c>
      <c r="D83" s="427">
        <v>391.06</v>
      </c>
      <c r="E83" s="427" t="s">
        <v>138</v>
      </c>
      <c r="F83" s="427">
        <v>177.8</v>
      </c>
      <c r="G83" s="427" t="s">
        <v>28</v>
      </c>
      <c r="H83" s="429" t="s">
        <v>58</v>
      </c>
      <c r="I83" s="431">
        <v>151.72999999999999</v>
      </c>
      <c r="J83" s="427">
        <v>220</v>
      </c>
      <c r="K83" s="438"/>
      <c r="L83" s="427">
        <v>52</v>
      </c>
      <c r="M83" s="438"/>
      <c r="N83" s="427">
        <v>0</v>
      </c>
      <c r="O83" s="438"/>
      <c r="P83" s="430">
        <v>12.718973375431348</v>
      </c>
      <c r="Q83" s="437">
        <f>(3*J83)/100</f>
        <v>6.6</v>
      </c>
      <c r="R83" s="432">
        <v>2.4630000000000001</v>
      </c>
      <c r="S83" s="432">
        <v>3.3980000000000001</v>
      </c>
      <c r="T83" s="431">
        <v>0</v>
      </c>
      <c r="U83" s="431">
        <f>T83/R83</f>
        <v>0</v>
      </c>
      <c r="V83" s="432">
        <f t="shared" si="25"/>
        <v>27.516185991759862</v>
      </c>
      <c r="W83" s="431">
        <v>0.5</v>
      </c>
      <c r="X83" s="431">
        <f t="shared" ref="X83" si="31">S83/Q83</f>
        <v>0.51484848484848489</v>
      </c>
      <c r="Y83" s="431">
        <f t="shared" si="30"/>
        <v>2.3211312</v>
      </c>
      <c r="Z83" s="431">
        <f t="shared" si="30"/>
        <v>3.2022752000000003</v>
      </c>
      <c r="AA83" s="431">
        <f t="shared" si="27"/>
        <v>0</v>
      </c>
      <c r="AB83" s="431">
        <f t="shared" si="28"/>
        <v>0</v>
      </c>
      <c r="AC83" s="431">
        <f t="shared" si="28"/>
        <v>27.516185991759862</v>
      </c>
      <c r="AD83" s="427">
        <v>30</v>
      </c>
      <c r="AE83" s="431">
        <f t="shared" si="29"/>
        <v>69.633936000000006</v>
      </c>
      <c r="AF83" s="478"/>
    </row>
    <row r="84" spans="1:32" ht="18.75" x14ac:dyDescent="0.2">
      <c r="A84" s="476">
        <v>68</v>
      </c>
      <c r="B84" s="427" t="s">
        <v>57</v>
      </c>
      <c r="C84" s="476" t="s">
        <v>314</v>
      </c>
      <c r="D84" s="427">
        <v>376.58</v>
      </c>
      <c r="E84" s="428" t="s">
        <v>93</v>
      </c>
      <c r="F84" s="427">
        <v>177.8</v>
      </c>
      <c r="G84" s="427" t="s">
        <v>28</v>
      </c>
      <c r="H84" s="429"/>
      <c r="I84" s="431">
        <v>157.88</v>
      </c>
      <c r="J84" s="427"/>
      <c r="K84" s="435"/>
      <c r="L84" s="427"/>
      <c r="M84" s="438"/>
      <c r="N84" s="427"/>
      <c r="O84" s="438"/>
      <c r="P84" s="549"/>
      <c r="Q84" s="431"/>
      <c r="R84" s="432">
        <v>0</v>
      </c>
      <c r="S84" s="431">
        <v>0</v>
      </c>
      <c r="T84" s="431">
        <v>0</v>
      </c>
      <c r="U84" s="431">
        <v>0</v>
      </c>
      <c r="V84" s="432">
        <v>0</v>
      </c>
      <c r="W84" s="431">
        <v>0</v>
      </c>
      <c r="X84" s="431">
        <v>0</v>
      </c>
      <c r="Y84" s="431">
        <f t="shared" si="30"/>
        <v>0</v>
      </c>
      <c r="Z84" s="431">
        <f t="shared" si="30"/>
        <v>0</v>
      </c>
      <c r="AA84" s="431">
        <f t="shared" si="27"/>
        <v>0</v>
      </c>
      <c r="AB84" s="431">
        <f t="shared" si="28"/>
        <v>0</v>
      </c>
      <c r="AC84" s="431">
        <f t="shared" si="28"/>
        <v>0</v>
      </c>
      <c r="AD84" s="427">
        <v>0</v>
      </c>
      <c r="AE84" s="431">
        <f t="shared" si="29"/>
        <v>0</v>
      </c>
      <c r="AF84" s="434" t="s">
        <v>302</v>
      </c>
    </row>
    <row r="85" spans="1:32" ht="18.75" x14ac:dyDescent="0.2">
      <c r="A85" s="476">
        <v>69</v>
      </c>
      <c r="B85" s="427" t="s">
        <v>188</v>
      </c>
      <c r="C85" s="476" t="s">
        <v>344</v>
      </c>
      <c r="D85" s="427">
        <v>400.5</v>
      </c>
      <c r="E85" s="427" t="s">
        <v>345</v>
      </c>
      <c r="F85" s="427">
        <v>177.8</v>
      </c>
      <c r="G85" s="427" t="s">
        <v>28</v>
      </c>
      <c r="H85" s="429" t="s">
        <v>58</v>
      </c>
      <c r="I85" s="431">
        <v>227.27</v>
      </c>
      <c r="J85" s="427">
        <v>140</v>
      </c>
      <c r="K85" s="438"/>
      <c r="L85" s="427">
        <v>109</v>
      </c>
      <c r="M85" s="438"/>
      <c r="N85" s="427">
        <v>0</v>
      </c>
      <c r="O85" s="438"/>
      <c r="P85" s="430">
        <v>12.57</v>
      </c>
      <c r="Q85" s="437">
        <f>(3*J85)/100</f>
        <v>4.2</v>
      </c>
      <c r="R85" s="432">
        <v>3.3319999999999999</v>
      </c>
      <c r="S85" s="432">
        <v>3.3419999999999996</v>
      </c>
      <c r="T85" s="431">
        <v>0</v>
      </c>
      <c r="U85" s="431">
        <f>T85/R85</f>
        <v>0</v>
      </c>
      <c r="V85" s="432">
        <f t="shared" ref="V85" si="32">(S85-R85)/S85*100</f>
        <v>0.2992220227408674</v>
      </c>
      <c r="W85" s="431">
        <v>0.2</v>
      </c>
      <c r="X85" s="431">
        <f t="shared" ref="X85" si="33">S85/Q85</f>
        <v>0.7957142857142856</v>
      </c>
      <c r="Y85" s="431">
        <f t="shared" si="30"/>
        <v>3.1400768000000001</v>
      </c>
      <c r="Z85" s="431">
        <f t="shared" si="30"/>
        <v>3.1495007999999998</v>
      </c>
      <c r="AA85" s="431">
        <f t="shared" si="27"/>
        <v>0</v>
      </c>
      <c r="AB85" s="431">
        <f t="shared" si="28"/>
        <v>0</v>
      </c>
      <c r="AC85" s="431">
        <f t="shared" si="28"/>
        <v>0.2992220227408674</v>
      </c>
      <c r="AD85" s="427">
        <v>30</v>
      </c>
      <c r="AE85" s="431">
        <f t="shared" si="29"/>
        <v>94.202303999999998</v>
      </c>
      <c r="AF85" s="434" t="s">
        <v>350</v>
      </c>
    </row>
    <row r="86" spans="1:32" ht="18.75" x14ac:dyDescent="0.2">
      <c r="A86" s="476">
        <v>70</v>
      </c>
      <c r="B86" s="427" t="s">
        <v>184</v>
      </c>
      <c r="C86" s="476" t="s">
        <v>314</v>
      </c>
      <c r="D86" s="427">
        <v>422.78</v>
      </c>
      <c r="E86" s="428" t="s">
        <v>185</v>
      </c>
      <c r="F86" s="427">
        <v>177.8</v>
      </c>
      <c r="G86" s="427" t="s">
        <v>28</v>
      </c>
      <c r="H86" s="429"/>
      <c r="I86" s="431">
        <v>223.87</v>
      </c>
      <c r="J86" s="427"/>
      <c r="K86" s="435"/>
      <c r="L86" s="427"/>
      <c r="M86" s="438"/>
      <c r="N86" s="427"/>
      <c r="O86" s="438"/>
      <c r="P86" s="430"/>
      <c r="Q86" s="431"/>
      <c r="R86" s="432">
        <v>0</v>
      </c>
      <c r="S86" s="431">
        <v>0</v>
      </c>
      <c r="T86" s="431">
        <v>0</v>
      </c>
      <c r="U86" s="431">
        <v>0</v>
      </c>
      <c r="V86" s="432">
        <v>0</v>
      </c>
      <c r="W86" s="431">
        <v>0</v>
      </c>
      <c r="X86" s="431">
        <v>0</v>
      </c>
      <c r="Y86" s="431">
        <f t="shared" si="30"/>
        <v>0</v>
      </c>
      <c r="Z86" s="431">
        <f t="shared" si="30"/>
        <v>0</v>
      </c>
      <c r="AA86" s="431">
        <f t="shared" si="27"/>
        <v>0</v>
      </c>
      <c r="AB86" s="431">
        <f t="shared" si="28"/>
        <v>0</v>
      </c>
      <c r="AC86" s="431">
        <f t="shared" si="28"/>
        <v>0</v>
      </c>
      <c r="AD86" s="427">
        <v>0</v>
      </c>
      <c r="AE86" s="431">
        <f t="shared" si="29"/>
        <v>0</v>
      </c>
      <c r="AF86" s="434" t="s">
        <v>302</v>
      </c>
    </row>
    <row r="87" spans="1:32" ht="18.75" x14ac:dyDescent="0.2">
      <c r="A87" s="476">
        <v>71</v>
      </c>
      <c r="B87" s="427" t="s">
        <v>186</v>
      </c>
      <c r="C87" s="476" t="s">
        <v>346</v>
      </c>
      <c r="D87" s="427">
        <v>349.5</v>
      </c>
      <c r="E87" s="428" t="s">
        <v>347</v>
      </c>
      <c r="F87" s="427">
        <v>177.8</v>
      </c>
      <c r="G87" s="427" t="s">
        <v>28</v>
      </c>
      <c r="H87" s="429" t="s">
        <v>58</v>
      </c>
      <c r="I87" s="431">
        <v>117.18</v>
      </c>
      <c r="J87" s="427">
        <v>0</v>
      </c>
      <c r="K87" s="435"/>
      <c r="L87" s="427">
        <v>63</v>
      </c>
      <c r="M87" s="438"/>
      <c r="N87" s="427">
        <v>0</v>
      </c>
      <c r="O87" s="438"/>
      <c r="P87" s="430">
        <v>6.3</v>
      </c>
      <c r="Q87" s="437">
        <f>(3*J87)/100</f>
        <v>0</v>
      </c>
      <c r="R87" s="432">
        <v>0</v>
      </c>
      <c r="S87" s="432">
        <v>0.2</v>
      </c>
      <c r="T87" s="431">
        <v>0</v>
      </c>
      <c r="U87" s="431">
        <v>0</v>
      </c>
      <c r="V87" s="432">
        <f t="shared" ref="V87" si="34">(S87-R87)/S87*100</f>
        <v>100</v>
      </c>
      <c r="W87" s="431">
        <v>0</v>
      </c>
      <c r="X87" s="431" t="e">
        <f t="shared" ref="X87" si="35">S87/Q87</f>
        <v>#DIV/0!</v>
      </c>
      <c r="Y87" s="431">
        <f t="shared" si="30"/>
        <v>0</v>
      </c>
      <c r="Z87" s="431">
        <f t="shared" si="30"/>
        <v>0.18848000000000001</v>
      </c>
      <c r="AA87" s="431">
        <f t="shared" si="27"/>
        <v>0</v>
      </c>
      <c r="AB87" s="431">
        <f t="shared" si="28"/>
        <v>0</v>
      </c>
      <c r="AC87" s="431">
        <f t="shared" si="28"/>
        <v>100</v>
      </c>
      <c r="AD87" s="427">
        <v>30</v>
      </c>
      <c r="AE87" s="431">
        <f>Y87*AD87</f>
        <v>0</v>
      </c>
      <c r="AF87" s="434" t="s">
        <v>350</v>
      </c>
    </row>
    <row r="88" spans="1:32" ht="18.75" x14ac:dyDescent="0.3">
      <c r="A88" s="469"/>
      <c r="B88" s="1889"/>
      <c r="C88" s="1889"/>
      <c r="D88" s="1889"/>
      <c r="E88" s="1890"/>
      <c r="F88" s="555"/>
      <c r="G88" s="551"/>
      <c r="H88" s="554"/>
      <c r="I88" s="554"/>
      <c r="J88" s="555"/>
      <c r="K88" s="555"/>
      <c r="L88" s="555"/>
      <c r="M88" s="555"/>
      <c r="N88" s="555"/>
      <c r="O88" s="555"/>
      <c r="P88" s="448"/>
      <c r="Q88" s="437"/>
      <c r="R88" s="467">
        <f>SUM(R80:R87)</f>
        <v>15.556000000000001</v>
      </c>
      <c r="S88" s="467">
        <f>SUM(S80:S87)</f>
        <v>13.530999999999999</v>
      </c>
      <c r="T88" s="467">
        <f>SUM(T80:T84)</f>
        <v>0</v>
      </c>
      <c r="U88" s="467">
        <f>SUM(U80:U83)</f>
        <v>0</v>
      </c>
      <c r="V88" s="551"/>
      <c r="W88" s="551"/>
      <c r="X88" s="551"/>
      <c r="Y88" s="467">
        <f>SUM(Y80:Y87)</f>
        <v>11.015201600000001</v>
      </c>
      <c r="Z88" s="467">
        <f>SUM(Z80:Z87)</f>
        <v>14.0516144</v>
      </c>
      <c r="AA88" s="467">
        <f>SUM(AA80:AA84)</f>
        <v>0</v>
      </c>
      <c r="AB88" s="467">
        <v>0</v>
      </c>
      <c r="AC88" s="551"/>
      <c r="AD88" s="555"/>
      <c r="AE88" s="467">
        <f>SUM(AE80:AE83)</f>
        <v>236.25374400000001</v>
      </c>
      <c r="AF88" s="471"/>
    </row>
    <row r="89" spans="1:32" ht="18.75" x14ac:dyDescent="0.3">
      <c r="A89" s="469"/>
      <c r="B89" s="558"/>
      <c r="C89" s="558"/>
      <c r="D89" s="558"/>
      <c r="E89" s="531" t="s">
        <v>331</v>
      </c>
      <c r="F89" s="427"/>
      <c r="G89" s="427"/>
      <c r="H89" s="555"/>
      <c r="I89" s="555"/>
      <c r="J89" s="555"/>
      <c r="K89" s="555"/>
      <c r="L89" s="555"/>
      <c r="M89" s="555"/>
      <c r="N89" s="555"/>
      <c r="O89" s="555"/>
      <c r="P89" s="448"/>
      <c r="Q89" s="437"/>
      <c r="R89" s="467"/>
      <c r="S89" s="467"/>
      <c r="T89" s="467"/>
      <c r="U89" s="467"/>
      <c r="V89" s="551"/>
      <c r="W89" s="551"/>
      <c r="X89" s="551"/>
      <c r="Y89" s="467"/>
      <c r="Z89" s="467"/>
      <c r="AA89" s="467"/>
      <c r="AB89" s="467"/>
      <c r="AC89" s="551"/>
      <c r="AD89" s="555"/>
      <c r="AE89" s="467"/>
      <c r="AF89" s="471"/>
    </row>
    <row r="90" spans="1:32" ht="18.75" x14ac:dyDescent="0.3">
      <c r="A90" s="469">
        <v>72</v>
      </c>
      <c r="B90" s="427" t="s">
        <v>330</v>
      </c>
      <c r="C90" s="427" t="s">
        <v>358</v>
      </c>
      <c r="D90" s="532">
        <v>680.25</v>
      </c>
      <c r="E90" s="533" t="s">
        <v>351</v>
      </c>
      <c r="F90" s="427">
        <v>177.8</v>
      </c>
      <c r="G90" s="427" t="s">
        <v>28</v>
      </c>
      <c r="H90" s="555" t="s">
        <v>218</v>
      </c>
      <c r="I90" s="555">
        <v>588.75</v>
      </c>
      <c r="J90" s="555">
        <v>280</v>
      </c>
      <c r="K90" s="555"/>
      <c r="L90" s="555">
        <v>377</v>
      </c>
      <c r="M90" s="555"/>
      <c r="N90" s="555">
        <v>10</v>
      </c>
      <c r="O90" s="555"/>
      <c r="P90" s="448">
        <v>31.6</v>
      </c>
      <c r="Q90" s="431">
        <f t="shared" ref="Q90" si="36">LEFT(H90,(FIND("K",H90,1)-1))*J90/100</f>
        <v>89.6</v>
      </c>
      <c r="R90" s="432">
        <v>21.82</v>
      </c>
      <c r="S90" s="431">
        <v>25.055</v>
      </c>
      <c r="T90" s="431">
        <v>1234</v>
      </c>
      <c r="U90" s="530">
        <f t="shared" ref="U90" si="37">T90/R90</f>
        <v>56.553620531622364</v>
      </c>
      <c r="V90" s="433">
        <v>1</v>
      </c>
      <c r="W90" s="432">
        <v>0.3</v>
      </c>
      <c r="X90" s="431">
        <f t="shared" ref="X90" si="38">S90/Q90</f>
        <v>0.27963169642857144</v>
      </c>
      <c r="Y90" s="431">
        <f t="shared" ref="Y90:Z90" si="39">R90*0.925</f>
        <v>20.183500000000002</v>
      </c>
      <c r="Z90" s="431">
        <f t="shared" si="39"/>
        <v>23.175875000000001</v>
      </c>
      <c r="AA90" s="530">
        <f t="shared" ref="AA90" si="40">T90*0.935</f>
        <v>1153.79</v>
      </c>
      <c r="AB90" s="431">
        <f t="shared" ref="AB90:AC90" si="41">U90</f>
        <v>56.553620531622364</v>
      </c>
      <c r="AC90" s="431">
        <f t="shared" si="41"/>
        <v>1</v>
      </c>
      <c r="AD90" s="427">
        <v>30</v>
      </c>
      <c r="AE90" s="431">
        <f t="shared" ref="AE90" si="42">Y90*AD90</f>
        <v>605.50500000000011</v>
      </c>
      <c r="AF90" s="471"/>
    </row>
    <row r="91" spans="1:32" ht="18.75" x14ac:dyDescent="0.3">
      <c r="A91" s="469"/>
      <c r="B91" s="1889"/>
      <c r="C91" s="1889"/>
      <c r="D91" s="1889"/>
      <c r="E91" s="1890"/>
      <c r="F91" s="438"/>
      <c r="G91" s="427"/>
      <c r="H91" s="429"/>
      <c r="I91" s="431"/>
      <c r="J91" s="427"/>
      <c r="K91" s="438"/>
      <c r="L91" s="427"/>
      <c r="M91" s="438"/>
      <c r="N91" s="430"/>
      <c r="O91" s="438"/>
      <c r="P91" s="480"/>
      <c r="Q91" s="467"/>
      <c r="R91" s="467"/>
      <c r="S91" s="467"/>
      <c r="T91" s="467"/>
      <c r="U91" s="467"/>
      <c r="V91" s="467"/>
      <c r="W91" s="467"/>
      <c r="X91" s="467"/>
      <c r="Y91" s="467"/>
      <c r="Z91" s="481"/>
      <c r="AA91" s="467"/>
      <c r="AB91" s="467"/>
      <c r="AC91" s="467"/>
      <c r="AD91" s="467"/>
      <c r="AE91" s="467"/>
      <c r="AF91" s="478"/>
    </row>
    <row r="92" spans="1:32" ht="18.75" x14ac:dyDescent="0.3">
      <c r="A92" s="469"/>
      <c r="B92" s="1894" t="s">
        <v>276</v>
      </c>
      <c r="C92" s="1895"/>
      <c r="D92" s="1895"/>
      <c r="E92" s="1895"/>
      <c r="F92" s="1895"/>
      <c r="G92" s="551"/>
      <c r="H92" s="554"/>
      <c r="I92" s="554"/>
      <c r="J92" s="555"/>
      <c r="K92" s="555"/>
      <c r="L92" s="555"/>
      <c r="M92" s="555"/>
      <c r="N92" s="555"/>
      <c r="O92" s="555"/>
      <c r="P92" s="448"/>
      <c r="Q92" s="437"/>
      <c r="R92" s="555"/>
      <c r="S92" s="555"/>
      <c r="T92" s="555"/>
      <c r="U92" s="551"/>
      <c r="V92" s="551"/>
      <c r="W92" s="551"/>
      <c r="X92" s="551"/>
      <c r="Y92" s="555"/>
      <c r="Z92" s="555"/>
      <c r="AA92" s="555"/>
      <c r="AB92" s="560"/>
      <c r="AC92" s="551"/>
      <c r="AD92" s="555"/>
      <c r="AE92" s="555"/>
      <c r="AF92" s="554"/>
    </row>
    <row r="93" spans="1:32" ht="18.75" x14ac:dyDescent="0.2">
      <c r="A93" s="427">
        <v>73</v>
      </c>
      <c r="B93" s="483" t="s">
        <v>107</v>
      </c>
      <c r="C93" s="559" t="s">
        <v>109</v>
      </c>
      <c r="D93" s="559"/>
      <c r="E93" s="559"/>
      <c r="F93" s="555"/>
      <c r="G93" s="551"/>
      <c r="H93" s="554"/>
      <c r="I93" s="554"/>
      <c r="J93" s="555"/>
      <c r="K93" s="555"/>
      <c r="L93" s="555"/>
      <c r="M93" s="555"/>
      <c r="N93" s="555"/>
      <c r="O93" s="555"/>
      <c r="P93" s="448"/>
      <c r="Q93" s="437"/>
      <c r="R93" s="555"/>
      <c r="S93" s="555"/>
      <c r="T93" s="555"/>
      <c r="U93" s="551"/>
      <c r="V93" s="551"/>
      <c r="W93" s="551"/>
      <c r="X93" s="551"/>
      <c r="Y93" s="554"/>
      <c r="Z93" s="554"/>
      <c r="AA93" s="555"/>
      <c r="AB93" s="560"/>
      <c r="AC93" s="551"/>
      <c r="AD93" s="485"/>
      <c r="AE93" s="555"/>
      <c r="AF93" s="486"/>
    </row>
    <row r="94" spans="1:32" ht="18.75" x14ac:dyDescent="0.2">
      <c r="A94" s="427">
        <v>74</v>
      </c>
      <c r="B94" s="483" t="s">
        <v>108</v>
      </c>
      <c r="C94" s="559" t="s">
        <v>109</v>
      </c>
      <c r="D94" s="559"/>
      <c r="E94" s="559"/>
      <c r="F94" s="555"/>
      <c r="G94" s="551"/>
      <c r="H94" s="554"/>
      <c r="I94" s="554"/>
      <c r="J94" s="555"/>
      <c r="K94" s="555"/>
      <c r="L94" s="555"/>
      <c r="M94" s="555"/>
      <c r="N94" s="555"/>
      <c r="O94" s="555"/>
      <c r="P94" s="448"/>
      <c r="Q94" s="437"/>
      <c r="R94" s="555"/>
      <c r="S94" s="555"/>
      <c r="T94" s="555"/>
      <c r="U94" s="551"/>
      <c r="V94" s="551"/>
      <c r="W94" s="551"/>
      <c r="X94" s="551"/>
      <c r="Y94" s="554"/>
      <c r="Z94" s="554"/>
      <c r="AA94" s="555"/>
      <c r="AB94" s="560"/>
      <c r="AC94" s="551"/>
      <c r="AD94" s="485"/>
      <c r="AE94" s="555"/>
      <c r="AF94" s="486"/>
    </row>
    <row r="95" spans="1:32" ht="18.75" x14ac:dyDescent="0.2">
      <c r="A95" s="427">
        <v>75</v>
      </c>
      <c r="B95" s="483" t="s">
        <v>195</v>
      </c>
      <c r="C95" s="476" t="s">
        <v>193</v>
      </c>
      <c r="D95" s="559"/>
      <c r="E95" s="559"/>
      <c r="F95" s="555"/>
      <c r="G95" s="551"/>
      <c r="H95" s="554"/>
      <c r="I95" s="554"/>
      <c r="J95" s="555"/>
      <c r="K95" s="555"/>
      <c r="L95" s="555"/>
      <c r="M95" s="555"/>
      <c r="N95" s="555"/>
      <c r="O95" s="555"/>
      <c r="P95" s="448"/>
      <c r="Q95" s="437"/>
      <c r="R95" s="555"/>
      <c r="S95" s="555"/>
      <c r="T95" s="555"/>
      <c r="U95" s="551"/>
      <c r="V95" s="551"/>
      <c r="W95" s="551"/>
      <c r="X95" s="551"/>
      <c r="Y95" s="554"/>
      <c r="Z95" s="554"/>
      <c r="AA95" s="555"/>
      <c r="AB95" s="560"/>
      <c r="AC95" s="551"/>
      <c r="AD95" s="485"/>
      <c r="AE95" s="555"/>
      <c r="AF95" s="486"/>
    </row>
    <row r="96" spans="1:32" ht="18.75" x14ac:dyDescent="0.2">
      <c r="A96" s="427">
        <v>76</v>
      </c>
      <c r="B96" s="483" t="s">
        <v>192</v>
      </c>
      <c r="C96" s="476" t="s">
        <v>193</v>
      </c>
      <c r="D96" s="559"/>
      <c r="E96" s="559"/>
      <c r="F96" s="555"/>
      <c r="G96" s="551"/>
      <c r="H96" s="554"/>
      <c r="I96" s="554"/>
      <c r="J96" s="555"/>
      <c r="K96" s="555"/>
      <c r="L96" s="555"/>
      <c r="M96" s="555"/>
      <c r="N96" s="555"/>
      <c r="O96" s="555"/>
      <c r="P96" s="448"/>
      <c r="Q96" s="437"/>
      <c r="R96" s="555"/>
      <c r="S96" s="555"/>
      <c r="T96" s="555"/>
      <c r="U96" s="551"/>
      <c r="V96" s="551"/>
      <c r="W96" s="551"/>
      <c r="X96" s="551"/>
      <c r="Y96" s="554"/>
      <c r="Z96" s="554"/>
      <c r="AA96" s="555"/>
      <c r="AB96" s="560"/>
      <c r="AC96" s="551"/>
      <c r="AD96" s="485"/>
      <c r="AE96" s="555"/>
      <c r="AF96" s="486"/>
    </row>
    <row r="97" spans="1:32" ht="18.75" x14ac:dyDescent="0.2">
      <c r="A97" s="427"/>
      <c r="B97" s="1894" t="s">
        <v>278</v>
      </c>
      <c r="C97" s="1895"/>
      <c r="D97" s="1895"/>
      <c r="E97" s="1895"/>
      <c r="F97" s="1895"/>
      <c r="G97" s="551"/>
      <c r="H97" s="554"/>
      <c r="I97" s="554"/>
      <c r="J97" s="555"/>
      <c r="K97" s="555"/>
      <c r="L97" s="555"/>
      <c r="M97" s="555"/>
      <c r="N97" s="555"/>
      <c r="O97" s="555"/>
      <c r="P97" s="448"/>
      <c r="Q97" s="437"/>
      <c r="R97" s="555"/>
      <c r="S97" s="555"/>
      <c r="T97" s="555"/>
      <c r="U97" s="551"/>
      <c r="V97" s="551"/>
      <c r="W97" s="551"/>
      <c r="X97" s="551"/>
      <c r="Y97" s="555"/>
      <c r="Z97" s="555"/>
      <c r="AA97" s="555"/>
      <c r="AB97" s="560"/>
      <c r="AC97" s="551"/>
      <c r="AD97" s="555"/>
      <c r="AE97" s="555"/>
      <c r="AF97" s="554"/>
    </row>
    <row r="98" spans="1:32" ht="18.75" x14ac:dyDescent="0.2">
      <c r="A98" s="427">
        <v>77</v>
      </c>
      <c r="B98" s="487" t="s">
        <v>189</v>
      </c>
      <c r="C98" s="427" t="s">
        <v>46</v>
      </c>
      <c r="D98" s="472">
        <v>673</v>
      </c>
      <c r="E98" s="472" t="s">
        <v>190</v>
      </c>
      <c r="F98" s="427">
        <v>177.8</v>
      </c>
      <c r="G98" s="427"/>
      <c r="H98" s="429"/>
      <c r="I98" s="555"/>
      <c r="J98" s="555"/>
      <c r="K98" s="555"/>
      <c r="L98" s="555"/>
      <c r="M98" s="555"/>
      <c r="N98" s="555"/>
      <c r="O98" s="555"/>
      <c r="P98" s="448"/>
      <c r="Q98" s="437"/>
      <c r="R98" s="555"/>
      <c r="S98" s="555"/>
      <c r="T98" s="555"/>
      <c r="U98" s="551"/>
      <c r="V98" s="551"/>
      <c r="W98" s="551"/>
      <c r="X98" s="551"/>
      <c r="Y98" s="488"/>
      <c r="Z98" s="489"/>
      <c r="AA98" s="554"/>
      <c r="AB98" s="560"/>
      <c r="AC98" s="555"/>
      <c r="AD98" s="427"/>
      <c r="AE98" s="431"/>
      <c r="AF98" s="439"/>
    </row>
    <row r="99" spans="1:32" ht="18.75" x14ac:dyDescent="0.3">
      <c r="A99" s="427">
        <v>78</v>
      </c>
      <c r="B99" s="428" t="s">
        <v>181</v>
      </c>
      <c r="C99" s="490" t="s">
        <v>183</v>
      </c>
      <c r="D99" s="429">
        <v>374.5</v>
      </c>
      <c r="E99" s="427" t="s">
        <v>182</v>
      </c>
      <c r="F99" s="427">
        <v>177.8</v>
      </c>
      <c r="G99" s="427"/>
      <c r="H99" s="429"/>
      <c r="I99" s="555"/>
      <c r="J99" s="427"/>
      <c r="K99" s="427"/>
      <c r="L99" s="427"/>
      <c r="M99" s="427"/>
      <c r="N99" s="430"/>
      <c r="O99" s="427"/>
      <c r="P99" s="432"/>
      <c r="Q99" s="431"/>
      <c r="R99" s="432"/>
      <c r="S99" s="431"/>
      <c r="T99" s="431"/>
      <c r="U99" s="431"/>
      <c r="V99" s="432"/>
      <c r="W99" s="432"/>
      <c r="X99" s="491"/>
      <c r="Y99" s="431"/>
      <c r="Z99" s="431"/>
      <c r="AA99" s="431"/>
      <c r="AB99" s="431"/>
      <c r="AC99" s="431"/>
      <c r="AD99" s="427"/>
      <c r="AE99" s="431"/>
      <c r="AF99" s="439"/>
    </row>
    <row r="100" spans="1:32" ht="18.75" x14ac:dyDescent="0.2">
      <c r="A100" s="427">
        <v>79</v>
      </c>
      <c r="B100" s="428" t="s">
        <v>174</v>
      </c>
      <c r="C100" s="427" t="s">
        <v>46</v>
      </c>
      <c r="D100" s="429">
        <v>672</v>
      </c>
      <c r="E100" s="427" t="s">
        <v>175</v>
      </c>
      <c r="F100" s="427">
        <v>177.8</v>
      </c>
      <c r="G100" s="427"/>
      <c r="H100" s="429"/>
      <c r="I100" s="555"/>
      <c r="J100" s="427"/>
      <c r="K100" s="427"/>
      <c r="L100" s="427"/>
      <c r="M100" s="427"/>
      <c r="N100" s="430"/>
      <c r="O100" s="427"/>
      <c r="P100" s="430"/>
      <c r="Q100" s="431"/>
      <c r="R100" s="432"/>
      <c r="S100" s="431"/>
      <c r="T100" s="431"/>
      <c r="U100" s="431"/>
      <c r="V100" s="432"/>
      <c r="W100" s="432"/>
      <c r="X100" s="431"/>
      <c r="Y100" s="431"/>
      <c r="Z100" s="431"/>
      <c r="AA100" s="431"/>
      <c r="AB100" s="431"/>
      <c r="AC100" s="431"/>
      <c r="AD100" s="427"/>
      <c r="AE100" s="431"/>
      <c r="AF100" s="439"/>
    </row>
    <row r="101" spans="1:32" ht="19.899999999999999" customHeight="1" x14ac:dyDescent="0.2">
      <c r="A101" s="427">
        <v>80</v>
      </c>
      <c r="B101" s="557" t="s">
        <v>103</v>
      </c>
      <c r="C101" s="427" t="s">
        <v>46</v>
      </c>
      <c r="D101" s="555">
        <v>582</v>
      </c>
      <c r="E101" s="555" t="s">
        <v>112</v>
      </c>
      <c r="F101" s="427">
        <v>177.8</v>
      </c>
      <c r="G101" s="427"/>
      <c r="H101" s="429"/>
      <c r="I101" s="555"/>
      <c r="J101" s="555"/>
      <c r="K101" s="424"/>
      <c r="L101" s="555"/>
      <c r="M101" s="424"/>
      <c r="N101" s="555"/>
      <c r="O101" s="555"/>
      <c r="P101" s="448"/>
      <c r="Q101" s="437"/>
      <c r="R101" s="555"/>
      <c r="S101" s="555"/>
      <c r="T101" s="555"/>
      <c r="U101" s="551"/>
      <c r="V101" s="551"/>
      <c r="W101" s="551"/>
      <c r="X101" s="421"/>
      <c r="Y101" s="492"/>
      <c r="Z101" s="555"/>
      <c r="AA101" s="555"/>
      <c r="AB101" s="551"/>
      <c r="AC101" s="555"/>
      <c r="AD101" s="493"/>
      <c r="AE101" s="437"/>
      <c r="AF101" s="439"/>
    </row>
    <row r="102" spans="1:32" ht="19.899999999999999" customHeight="1" x14ac:dyDescent="0.2">
      <c r="A102" s="427">
        <v>81</v>
      </c>
      <c r="B102" s="557" t="s">
        <v>220</v>
      </c>
      <c r="C102" s="427" t="s">
        <v>46</v>
      </c>
      <c r="D102" s="555">
        <v>685.69</v>
      </c>
      <c r="E102" s="555" t="s">
        <v>222</v>
      </c>
      <c r="F102" s="427">
        <v>177.8</v>
      </c>
      <c r="G102" s="427"/>
      <c r="H102" s="429"/>
      <c r="I102" s="555"/>
      <c r="J102" s="555"/>
      <c r="K102" s="424"/>
      <c r="L102" s="555"/>
      <c r="M102" s="424"/>
      <c r="N102" s="555"/>
      <c r="O102" s="555"/>
      <c r="P102" s="448"/>
      <c r="Q102" s="437"/>
      <c r="R102" s="555"/>
      <c r="S102" s="555"/>
      <c r="T102" s="555"/>
      <c r="U102" s="551"/>
      <c r="V102" s="551"/>
      <c r="W102" s="551"/>
      <c r="X102" s="421"/>
      <c r="Y102" s="492"/>
      <c r="Z102" s="555"/>
      <c r="AA102" s="555"/>
      <c r="AB102" s="551"/>
      <c r="AC102" s="555"/>
      <c r="AD102" s="493"/>
      <c r="AE102" s="437"/>
      <c r="AF102" s="439"/>
    </row>
    <row r="103" spans="1:32" ht="18.75" x14ac:dyDescent="0.2">
      <c r="A103" s="427"/>
      <c r="B103" s="1894" t="s">
        <v>279</v>
      </c>
      <c r="C103" s="1895"/>
      <c r="D103" s="1895"/>
      <c r="E103" s="1895"/>
      <c r="F103" s="1895"/>
      <c r="G103" s="427"/>
      <c r="H103" s="429"/>
      <c r="I103" s="555"/>
      <c r="J103" s="427"/>
      <c r="K103" s="427"/>
      <c r="L103" s="427"/>
      <c r="M103" s="427"/>
      <c r="N103" s="430"/>
      <c r="O103" s="427"/>
      <c r="P103" s="430"/>
      <c r="Q103" s="431"/>
      <c r="R103" s="432"/>
      <c r="S103" s="431"/>
      <c r="T103" s="431"/>
      <c r="U103" s="431"/>
      <c r="V103" s="432"/>
      <c r="W103" s="432"/>
      <c r="X103" s="431"/>
      <c r="Y103" s="431"/>
      <c r="Z103" s="431"/>
      <c r="AA103" s="431"/>
      <c r="AB103" s="431"/>
      <c r="AC103" s="431"/>
      <c r="AD103" s="427"/>
      <c r="AE103" s="431"/>
      <c r="AF103" s="439"/>
    </row>
    <row r="104" spans="1:32" ht="18.75" x14ac:dyDescent="0.2">
      <c r="A104" s="427">
        <v>82</v>
      </c>
      <c r="B104" s="428" t="s">
        <v>148</v>
      </c>
      <c r="C104" s="427" t="s">
        <v>46</v>
      </c>
      <c r="D104" s="427">
        <v>650</v>
      </c>
      <c r="E104" s="427" t="s">
        <v>75</v>
      </c>
      <c r="F104" s="427">
        <v>177.8</v>
      </c>
      <c r="G104" s="427"/>
      <c r="H104" s="429"/>
      <c r="I104" s="424">
        <v>536.14</v>
      </c>
      <c r="J104" s="427"/>
      <c r="K104" s="427"/>
      <c r="L104" s="427"/>
      <c r="M104" s="427"/>
      <c r="N104" s="430"/>
      <c r="O104" s="427"/>
      <c r="P104" s="430"/>
      <c r="Q104" s="431"/>
      <c r="R104" s="432"/>
      <c r="S104" s="431"/>
      <c r="T104" s="431"/>
      <c r="U104" s="431"/>
      <c r="V104" s="432"/>
      <c r="W104" s="432"/>
      <c r="X104" s="431"/>
      <c r="Y104" s="431"/>
      <c r="Z104" s="431"/>
      <c r="AA104" s="431"/>
      <c r="AB104" s="431"/>
      <c r="AC104" s="431"/>
      <c r="AD104" s="427"/>
      <c r="AE104" s="431"/>
      <c r="AF104" s="439"/>
    </row>
    <row r="105" spans="1:32" ht="18.75" x14ac:dyDescent="0.2">
      <c r="A105" s="427">
        <v>83</v>
      </c>
      <c r="B105" s="428" t="s">
        <v>155</v>
      </c>
      <c r="C105" s="427" t="s">
        <v>46</v>
      </c>
      <c r="D105" s="427">
        <v>674.13</v>
      </c>
      <c r="E105" s="427" t="s">
        <v>83</v>
      </c>
      <c r="F105" s="427">
        <v>177.8</v>
      </c>
      <c r="G105" s="427"/>
      <c r="H105" s="429"/>
      <c r="I105" s="555">
        <v>527.75</v>
      </c>
      <c r="J105" s="427"/>
      <c r="K105" s="427"/>
      <c r="L105" s="427"/>
      <c r="M105" s="427"/>
      <c r="N105" s="430"/>
      <c r="O105" s="427"/>
      <c r="P105" s="430"/>
      <c r="Q105" s="431"/>
      <c r="R105" s="432"/>
      <c r="S105" s="431"/>
      <c r="T105" s="431"/>
      <c r="U105" s="431"/>
      <c r="V105" s="432"/>
      <c r="W105" s="432"/>
      <c r="X105" s="431"/>
      <c r="Y105" s="431"/>
      <c r="Z105" s="431"/>
      <c r="AA105" s="431"/>
      <c r="AB105" s="431"/>
      <c r="AC105" s="431"/>
      <c r="AD105" s="427"/>
      <c r="AE105" s="431"/>
      <c r="AF105" s="439"/>
    </row>
    <row r="106" spans="1:32" ht="18.75" x14ac:dyDescent="0.2">
      <c r="A106" s="427">
        <v>84</v>
      </c>
      <c r="B106" s="428" t="s">
        <v>56</v>
      </c>
      <c r="C106" s="427" t="s">
        <v>46</v>
      </c>
      <c r="D106" s="429">
        <v>680.52</v>
      </c>
      <c r="E106" s="427" t="s">
        <v>92</v>
      </c>
      <c r="F106" s="427">
        <v>177.8</v>
      </c>
      <c r="G106" s="427"/>
      <c r="H106" s="429"/>
      <c r="I106" s="555">
        <v>555.95000000000005</v>
      </c>
      <c r="J106" s="427"/>
      <c r="K106" s="427"/>
      <c r="L106" s="427"/>
      <c r="M106" s="427"/>
      <c r="N106" s="430"/>
      <c r="O106" s="427"/>
      <c r="P106" s="432"/>
      <c r="Q106" s="431"/>
      <c r="R106" s="432"/>
      <c r="S106" s="431"/>
      <c r="T106" s="431"/>
      <c r="U106" s="431"/>
      <c r="V106" s="432"/>
      <c r="W106" s="432"/>
      <c r="X106" s="491"/>
      <c r="Y106" s="431"/>
      <c r="Z106" s="431"/>
      <c r="AA106" s="431"/>
      <c r="AB106" s="431"/>
      <c r="AC106" s="431"/>
      <c r="AD106" s="427"/>
      <c r="AE106" s="431"/>
      <c r="AF106" s="439"/>
    </row>
    <row r="107" spans="1:32" ht="18.75" x14ac:dyDescent="0.3">
      <c r="A107" s="494"/>
      <c r="B107" s="464"/>
      <c r="C107" s="464"/>
      <c r="D107" s="561"/>
      <c r="E107" s="428"/>
      <c r="F107" s="427"/>
      <c r="G107" s="427"/>
      <c r="H107" s="429"/>
      <c r="I107" s="555"/>
      <c r="J107" s="427"/>
      <c r="K107" s="427"/>
      <c r="L107" s="427"/>
      <c r="M107" s="427"/>
      <c r="N107" s="430"/>
      <c r="O107" s="427"/>
      <c r="P107" s="432"/>
      <c r="Q107" s="431"/>
      <c r="R107" s="432"/>
      <c r="S107" s="431"/>
      <c r="T107" s="431"/>
      <c r="U107" s="431"/>
      <c r="V107" s="432"/>
      <c r="W107" s="432"/>
      <c r="X107" s="491"/>
      <c r="Y107" s="431"/>
      <c r="Z107" s="431"/>
      <c r="AA107" s="431"/>
      <c r="AB107" s="431"/>
      <c r="AC107" s="431"/>
      <c r="AD107" s="427"/>
      <c r="AE107" s="431"/>
      <c r="AF107" s="439"/>
    </row>
    <row r="108" spans="1:32" ht="18.75" x14ac:dyDescent="0.3">
      <c r="A108" s="494"/>
      <c r="B108" s="1889"/>
      <c r="C108" s="1889"/>
      <c r="D108" s="1889"/>
      <c r="E108" s="1890"/>
      <c r="F108" s="438"/>
      <c r="G108" s="427"/>
      <c r="H108" s="429"/>
      <c r="I108" s="431"/>
      <c r="J108" s="427"/>
      <c r="K108" s="438"/>
      <c r="L108" s="427"/>
      <c r="M108" s="438"/>
      <c r="N108" s="430"/>
      <c r="O108" s="438"/>
      <c r="P108" s="480"/>
      <c r="Q108" s="467"/>
      <c r="R108" s="467">
        <f>R77+R88+R90</f>
        <v>416.15899999999993</v>
      </c>
      <c r="S108" s="467">
        <f>S77+S88+S90</f>
        <v>669.98299999999972</v>
      </c>
      <c r="T108" s="481">
        <f>T77+T88+T90</f>
        <v>17221</v>
      </c>
      <c r="U108" s="467">
        <f>T108/R108</f>
        <v>41.380818389125317</v>
      </c>
      <c r="V108" s="467"/>
      <c r="W108" s="467"/>
      <c r="X108" s="467"/>
      <c r="Y108" s="467">
        <f>Y77+Y88+Y90</f>
        <v>391.80011759999979</v>
      </c>
      <c r="Z108" s="467">
        <f>Z77+Z88+Z90</f>
        <v>638.3174333999998</v>
      </c>
      <c r="AA108" s="481">
        <f>AA77+AA88+AA90</f>
        <v>16373.414000000004</v>
      </c>
      <c r="AB108" s="467">
        <f>AB77+AB88+AB90</f>
        <v>98.759844147782573</v>
      </c>
      <c r="AC108" s="467"/>
      <c r="AD108" s="467"/>
      <c r="AE108" s="495">
        <f>AE77+AE88+AE90</f>
        <v>11627.842583999998</v>
      </c>
      <c r="AF108" s="478"/>
    </row>
    <row r="109" spans="1:32" ht="18.75" x14ac:dyDescent="0.3">
      <c r="A109" s="418"/>
      <c r="B109" s="496"/>
      <c r="C109" s="496"/>
      <c r="D109" s="496"/>
      <c r="E109" s="496"/>
      <c r="F109" s="497"/>
      <c r="G109" s="498"/>
      <c r="H109" s="499"/>
      <c r="I109" s="499"/>
      <c r="J109" s="497"/>
      <c r="K109" s="497"/>
      <c r="L109" s="497"/>
      <c r="M109" s="497"/>
      <c r="N109" s="497"/>
      <c r="O109" s="497"/>
      <c r="P109" s="500"/>
      <c r="Q109" s="501"/>
      <c r="R109" s="497"/>
      <c r="S109" s="497"/>
      <c r="T109" s="497"/>
      <c r="U109" s="498"/>
      <c r="V109" s="498"/>
      <c r="W109" s="498"/>
      <c r="X109" s="498"/>
      <c r="Y109" s="497"/>
      <c r="Z109" s="497"/>
      <c r="AA109" s="497"/>
      <c r="AB109" s="502"/>
      <c r="AC109" s="498"/>
      <c r="AD109" s="497"/>
      <c r="AE109" s="497"/>
      <c r="AF109" s="499"/>
    </row>
    <row r="110" spans="1:32" ht="18.75" x14ac:dyDescent="0.3">
      <c r="A110" s="418"/>
      <c r="B110" s="503"/>
      <c r="C110" s="504"/>
      <c r="D110" s="503"/>
      <c r="E110" s="505">
        <v>0.95</v>
      </c>
      <c r="F110" s="503"/>
      <c r="G110" s="503" t="s">
        <v>102</v>
      </c>
      <c r="H110" s="460"/>
      <c r="I110" s="506"/>
      <c r="J110" s="503"/>
      <c r="K110" s="1896">
        <f>AE108*E110</f>
        <v>11046.450454799999</v>
      </c>
      <c r="L110" s="1897"/>
      <c r="M110" s="1898"/>
      <c r="N110" s="504" t="s">
        <v>27</v>
      </c>
      <c r="O110" s="497"/>
      <c r="P110" s="500"/>
      <c r="Q110" s="501"/>
      <c r="R110" s="497"/>
      <c r="S110" s="497"/>
      <c r="T110" s="497"/>
      <c r="U110" s="498"/>
      <c r="V110" s="498"/>
      <c r="W110" s="498"/>
      <c r="X110" s="498"/>
      <c r="Y110" s="497"/>
      <c r="Z110" s="497"/>
      <c r="AA110" s="497"/>
      <c r="AB110" s="502"/>
      <c r="AC110" s="498"/>
      <c r="AD110" s="497"/>
      <c r="AE110" s="497"/>
      <c r="AF110" s="499"/>
    </row>
    <row r="111" spans="1:32" ht="18.75" x14ac:dyDescent="0.3">
      <c r="A111" s="418"/>
      <c r="B111" s="503"/>
      <c r="C111" s="504"/>
      <c r="D111" s="503"/>
      <c r="E111" s="505"/>
      <c r="F111" s="503"/>
      <c r="G111" s="504"/>
      <c r="H111" s="460"/>
      <c r="I111" s="506"/>
      <c r="J111" s="503"/>
      <c r="K111" s="504"/>
      <c r="L111" s="462"/>
      <c r="M111" s="503"/>
      <c r="N111" s="503"/>
      <c r="O111" s="503"/>
      <c r="P111" s="507"/>
      <c r="Q111" s="508"/>
      <c r="R111" s="503"/>
      <c r="S111" s="503"/>
      <c r="T111" s="503"/>
      <c r="U111" s="503"/>
      <c r="V111" s="503"/>
      <c r="W111" s="503"/>
      <c r="X111" s="509"/>
      <c r="Y111" s="509"/>
      <c r="Z111" s="509"/>
      <c r="AA111" s="509"/>
      <c r="AB111" s="509"/>
      <c r="AC111" s="509"/>
      <c r="AD111" s="509"/>
      <c r="AE111" s="509"/>
      <c r="AF111" s="510"/>
    </row>
    <row r="112" spans="1:32" ht="18.75" x14ac:dyDescent="0.3">
      <c r="A112" s="418"/>
      <c r="B112" s="503"/>
      <c r="C112" s="503"/>
      <c r="D112" s="503"/>
      <c r="E112" s="511" t="s">
        <v>214</v>
      </c>
      <c r="F112" s="1899" t="s">
        <v>268</v>
      </c>
      <c r="G112" s="1899"/>
      <c r="H112" s="1899"/>
      <c r="I112" s="503"/>
      <c r="J112" s="503"/>
      <c r="K112" s="504"/>
      <c r="L112" s="504"/>
      <c r="M112" s="503"/>
      <c r="N112" s="503"/>
      <c r="O112" s="503"/>
      <c r="P112" s="503"/>
      <c r="Q112" s="503"/>
      <c r="R112" s="503"/>
      <c r="S112" s="503"/>
      <c r="T112" s="503"/>
      <c r="U112" s="503"/>
      <c r="V112" s="503"/>
      <c r="W112" s="503"/>
      <c r="X112" s="1892" t="s">
        <v>352</v>
      </c>
      <c r="Y112" s="1893"/>
      <c r="Z112" s="1893"/>
      <c r="AA112" s="1893"/>
      <c r="AB112" s="509" t="s">
        <v>216</v>
      </c>
      <c r="AC112" s="509"/>
      <c r="AD112" s="509"/>
      <c r="AE112" s="509"/>
      <c r="AF112" s="509"/>
    </row>
    <row r="113" spans="17:17" x14ac:dyDescent="0.2">
      <c r="Q113" s="396"/>
    </row>
    <row r="114" spans="17:17" x14ac:dyDescent="0.2">
      <c r="Q114" s="396"/>
    </row>
  </sheetData>
  <mergeCells count="40">
    <mergeCell ref="B97:F97"/>
    <mergeCell ref="B103:F103"/>
    <mergeCell ref="B108:E108"/>
    <mergeCell ref="K110:M110"/>
    <mergeCell ref="F112:H112"/>
    <mergeCell ref="X112:AA112"/>
    <mergeCell ref="AF12:AF13"/>
    <mergeCell ref="B78:E78"/>
    <mergeCell ref="B79:F79"/>
    <mergeCell ref="B88:E88"/>
    <mergeCell ref="B91:E91"/>
    <mergeCell ref="B92:F92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F114"/>
  <sheetViews>
    <sheetView zoomScale="55" zoomScaleNormal="55" workbookViewId="0">
      <pane xSplit="2" topLeftCell="D1" activePane="topRight" state="frozen"/>
      <selection pane="topRight" activeCell="A8" sqref="A8:E8"/>
    </sheetView>
  </sheetViews>
  <sheetFormatPr defaultRowHeight="12.75" x14ac:dyDescent="0.2"/>
  <cols>
    <col min="2" max="2" width="15.140625" customWidth="1"/>
    <col min="3" max="3" width="16" customWidth="1"/>
    <col min="5" max="5" width="81.7109375" customWidth="1"/>
    <col min="8" max="8" width="16.5703125" customWidth="1"/>
    <col min="9" max="9" width="14.7109375" customWidth="1"/>
    <col min="31" max="31" width="14.28515625" customWidth="1"/>
    <col min="32" max="32" width="60.7109375" customWidth="1"/>
  </cols>
  <sheetData>
    <row r="1" spans="1:32" ht="18.75" x14ac:dyDescent="0.3">
      <c r="A1" s="402"/>
      <c r="B1" s="402"/>
      <c r="C1" s="402"/>
      <c r="D1" s="402"/>
      <c r="E1" s="402"/>
      <c r="F1" s="402"/>
      <c r="G1" s="402"/>
      <c r="H1" s="4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402"/>
      <c r="Z1" s="402"/>
      <c r="AA1" s="402"/>
      <c r="AB1" s="402"/>
      <c r="AC1" s="402"/>
      <c r="AD1" s="402"/>
      <c r="AE1" s="402"/>
      <c r="AF1" s="402"/>
    </row>
    <row r="2" spans="1:32" ht="18.75" x14ac:dyDescent="0.3">
      <c r="A2" s="402"/>
      <c r="B2" s="402"/>
      <c r="C2" s="402"/>
      <c r="D2" s="402"/>
      <c r="E2" s="402"/>
      <c r="F2" s="403"/>
      <c r="G2" s="573"/>
      <c r="H2" s="573"/>
      <c r="I2" s="403"/>
      <c r="J2" s="1909" t="s">
        <v>362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573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ht="18.75" x14ac:dyDescent="0.2">
      <c r="A4" s="575" t="s">
        <v>311</v>
      </c>
      <c r="B4" s="575"/>
      <c r="C4" s="575"/>
      <c r="D4" s="575"/>
      <c r="E4" s="575"/>
      <c r="F4" s="403"/>
      <c r="G4" s="573"/>
      <c r="H4" s="573"/>
      <c r="I4" s="406"/>
      <c r="J4" s="406"/>
      <c r="K4" s="406"/>
      <c r="L4" s="406"/>
      <c r="M4" s="406"/>
      <c r="N4" s="406"/>
      <c r="O4" s="406"/>
      <c r="P4" s="406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338</v>
      </c>
    </row>
    <row r="5" spans="1:32" ht="18.75" x14ac:dyDescent="0.2">
      <c r="A5" s="575" t="s">
        <v>316</v>
      </c>
      <c r="B5" s="412"/>
      <c r="C5" s="412"/>
      <c r="D5" s="412"/>
      <c r="E5" s="403"/>
      <c r="F5" s="403"/>
      <c r="G5" s="573"/>
      <c r="H5" s="573"/>
      <c r="I5" s="403"/>
      <c r="J5" s="403"/>
      <c r="K5" s="573"/>
      <c r="L5" s="573"/>
      <c r="M5" s="403"/>
      <c r="N5" s="403"/>
      <c r="O5" s="403"/>
      <c r="P5" s="413"/>
      <c r="Q5" s="414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ht="18.75" x14ac:dyDescent="0.2">
      <c r="A6" s="403"/>
      <c r="B6" s="575"/>
      <c r="C6" s="575"/>
      <c r="D6" s="575"/>
      <c r="E6" s="403"/>
      <c r="F6" s="403"/>
      <c r="G6" s="573"/>
      <c r="H6" s="573"/>
      <c r="I6" s="405"/>
      <c r="J6" s="403"/>
      <c r="K6" s="573"/>
      <c r="L6" s="573"/>
      <c r="M6" s="403"/>
      <c r="N6" s="403"/>
      <c r="O6" s="403"/>
      <c r="P6" s="413"/>
      <c r="Q6" s="414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573"/>
      <c r="H7" s="573"/>
      <c r="I7" s="405"/>
      <c r="J7" s="403"/>
      <c r="K7" s="573"/>
      <c r="L7" s="573"/>
      <c r="M7" s="403"/>
      <c r="N7" s="403"/>
      <c r="O7" s="403"/>
      <c r="P7" s="413"/>
      <c r="Q7" s="414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403"/>
      <c r="G8" s="573"/>
      <c r="H8" s="573"/>
      <c r="I8" s="405"/>
      <c r="J8" s="403"/>
      <c r="K8" s="573"/>
      <c r="L8" s="573"/>
      <c r="M8" s="403"/>
      <c r="N8" s="403"/>
      <c r="O8" s="403"/>
      <c r="P8" s="413"/>
      <c r="Q8" s="414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ht="18.75" x14ac:dyDescent="0.3">
      <c r="A9" s="418"/>
      <c r="B9" s="1911"/>
      <c r="C9" s="1911"/>
      <c r="D9" s="1911"/>
      <c r="E9" s="1911"/>
      <c r="F9" s="403"/>
      <c r="G9" s="573"/>
      <c r="H9" s="573"/>
      <c r="I9" s="403"/>
      <c r="J9" s="403"/>
      <c r="K9" s="573"/>
      <c r="L9" s="573"/>
      <c r="M9" s="573"/>
      <c r="N9" s="573"/>
      <c r="O9" s="573"/>
      <c r="P9" s="573"/>
      <c r="Q9" s="573"/>
      <c r="R9" s="573"/>
      <c r="S9" s="573"/>
      <c r="T9" s="573"/>
      <c r="U9" s="573"/>
      <c r="V9" s="573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ht="18.75" x14ac:dyDescent="0.2">
      <c r="B10" s="573"/>
      <c r="C10" s="573"/>
      <c r="D10" s="573"/>
      <c r="E10" s="403"/>
      <c r="F10" s="403"/>
      <c r="G10" s="573"/>
      <c r="H10" s="573"/>
      <c r="I10" s="405"/>
      <c r="J10" s="403"/>
      <c r="K10" s="573"/>
      <c r="L10" s="573"/>
      <c r="M10" s="403"/>
      <c r="N10" s="403"/>
      <c r="O10" s="403"/>
      <c r="P10" s="413"/>
      <c r="Q10" s="414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572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569" t="s">
        <v>18</v>
      </c>
      <c r="AE12" s="569" t="s">
        <v>20</v>
      </c>
      <c r="AF12" s="1891" t="s">
        <v>21</v>
      </c>
    </row>
    <row r="13" spans="1:32" ht="37.5" x14ac:dyDescent="0.2">
      <c r="A13" s="1891"/>
      <c r="B13" s="1891"/>
      <c r="C13" s="1903"/>
      <c r="D13" s="574" t="s">
        <v>3</v>
      </c>
      <c r="E13" s="574" t="s">
        <v>3</v>
      </c>
      <c r="F13" s="574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425" t="s">
        <v>13</v>
      </c>
      <c r="Q13" s="437" t="s">
        <v>26</v>
      </c>
      <c r="R13" s="424" t="s">
        <v>14</v>
      </c>
      <c r="S13" s="424" t="s">
        <v>25</v>
      </c>
      <c r="T13" s="424" t="s">
        <v>113</v>
      </c>
      <c r="U13" s="1903"/>
      <c r="V13" s="1907"/>
      <c r="W13" s="1903"/>
      <c r="X13" s="1903"/>
      <c r="Y13" s="574" t="s">
        <v>14</v>
      </c>
      <c r="Z13" s="574" t="s">
        <v>25</v>
      </c>
      <c r="AA13" s="574" t="s">
        <v>113</v>
      </c>
      <c r="AB13" s="1904"/>
      <c r="AC13" s="1903"/>
      <c r="AD13" s="574" t="s">
        <v>19</v>
      </c>
      <c r="AE13" s="574" t="s">
        <v>27</v>
      </c>
      <c r="AF13" s="1891"/>
    </row>
    <row r="14" spans="1:32" ht="18.75" x14ac:dyDescent="0.2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9" t="s">
        <v>52</v>
      </c>
      <c r="I14" s="574">
        <v>558.05999999999995</v>
      </c>
      <c r="J14" s="427">
        <v>205</v>
      </c>
      <c r="K14" s="427"/>
      <c r="L14" s="427">
        <v>279</v>
      </c>
      <c r="M14" s="427"/>
      <c r="N14" s="427">
        <v>1.3</v>
      </c>
      <c r="O14" s="427"/>
      <c r="P14" s="430">
        <v>27.917674935210282</v>
      </c>
      <c r="Q14" s="431">
        <f t="shared" ref="Q14:Q37" si="0">LEFT(H14,(FIND("K",H14,1)-1))*J14/100</f>
        <v>45.1</v>
      </c>
      <c r="R14" s="432">
        <v>3.1920000000000002</v>
      </c>
      <c r="S14" s="431">
        <v>5.5739999999999998</v>
      </c>
      <c r="T14" s="431">
        <v>7</v>
      </c>
      <c r="U14" s="431">
        <f t="shared" ref="U14:U77" si="1">T14/R14</f>
        <v>2.1929824561403506</v>
      </c>
      <c r="V14" s="433">
        <f>(S14-R14)/S14*100</f>
        <v>42.734122712594178</v>
      </c>
      <c r="W14" s="432">
        <v>0.3</v>
      </c>
      <c r="X14" s="431">
        <f t="shared" ref="X14:X46" si="2">S14/Q14</f>
        <v>0.12359201773835919</v>
      </c>
      <c r="Y14" s="431">
        <f>R14*0.952</f>
        <v>3.0387840000000002</v>
      </c>
      <c r="Z14" s="431">
        <f>S14*0.952</f>
        <v>5.3064479999999996</v>
      </c>
      <c r="AA14" s="431">
        <f>T14*0.952</f>
        <v>6.6639999999999997</v>
      </c>
      <c r="AB14" s="431">
        <f>U14</f>
        <v>2.1929824561403506</v>
      </c>
      <c r="AC14" s="431">
        <f t="shared" ref="AC14:AC77" si="3">V14</f>
        <v>42.734122712594178</v>
      </c>
      <c r="AD14" s="427">
        <v>31</v>
      </c>
      <c r="AE14" s="431">
        <f>Y14*AD14</f>
        <v>94.202303999999998</v>
      </c>
      <c r="AF14" s="434"/>
    </row>
    <row r="15" spans="1:32" ht="18.75" x14ac:dyDescent="0.2">
      <c r="A15" s="427">
        <v>2</v>
      </c>
      <c r="B15" s="428" t="s">
        <v>140</v>
      </c>
      <c r="C15" s="427" t="s">
        <v>46</v>
      </c>
      <c r="D15" s="427">
        <v>585</v>
      </c>
      <c r="E15" s="427" t="s">
        <v>348</v>
      </c>
      <c r="F15" s="427">
        <v>177.8</v>
      </c>
      <c r="G15" s="427" t="s">
        <v>28</v>
      </c>
      <c r="H15" s="429" t="s">
        <v>50</v>
      </c>
      <c r="I15" s="574">
        <v>579.99</v>
      </c>
      <c r="J15" s="427">
        <v>200</v>
      </c>
      <c r="K15" s="427"/>
      <c r="L15" s="427">
        <v>441</v>
      </c>
      <c r="M15" s="427"/>
      <c r="N15" s="427">
        <v>3.4</v>
      </c>
      <c r="O15" s="427"/>
      <c r="P15" s="430">
        <v>16.250777891817997</v>
      </c>
      <c r="Q15" s="431">
        <f t="shared" si="0"/>
        <v>12</v>
      </c>
      <c r="R15" s="431">
        <v>1.1080000000000001</v>
      </c>
      <c r="S15" s="431">
        <v>1.4460000000000002</v>
      </c>
      <c r="T15" s="431">
        <v>0</v>
      </c>
      <c r="U15" s="431">
        <f t="shared" si="1"/>
        <v>0</v>
      </c>
      <c r="V15" s="433">
        <f>(S15-R15)/S15*100</f>
        <v>23.374827109266946</v>
      </c>
      <c r="W15" s="431">
        <v>0.5</v>
      </c>
      <c r="X15" s="431">
        <f t="shared" si="2"/>
        <v>0.12050000000000001</v>
      </c>
      <c r="Y15" s="431">
        <f t="shared" ref="Y15:AA30" si="4">R15*0.952</f>
        <v>1.054816</v>
      </c>
      <c r="Z15" s="431">
        <f t="shared" si="4"/>
        <v>1.376592</v>
      </c>
      <c r="AA15" s="431">
        <f t="shared" si="4"/>
        <v>0</v>
      </c>
      <c r="AB15" s="431">
        <f t="shared" ref="AB15:AB77" si="5">U15</f>
        <v>0</v>
      </c>
      <c r="AC15" s="431">
        <f t="shared" si="3"/>
        <v>23.374827109266946</v>
      </c>
      <c r="AD15" s="427">
        <v>31</v>
      </c>
      <c r="AE15" s="431">
        <f t="shared" ref="AE15:AE57" si="6">Y15*AD15</f>
        <v>32.699295999999997</v>
      </c>
      <c r="AF15" s="434"/>
    </row>
    <row r="16" spans="1:32" ht="18.75" x14ac:dyDescent="0.2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9" t="s">
        <v>218</v>
      </c>
      <c r="I16" s="574">
        <v>565.94000000000005</v>
      </c>
      <c r="J16" s="427">
        <v>180</v>
      </c>
      <c r="K16" s="427"/>
      <c r="L16" s="427">
        <v>496</v>
      </c>
      <c r="M16" s="427"/>
      <c r="N16" s="430">
        <v>9</v>
      </c>
      <c r="O16" s="427"/>
      <c r="P16" s="430">
        <v>13.094296964837984</v>
      </c>
      <c r="Q16" s="431">
        <f>LEFT(H16,(FIND("K",H16,1)-1))*J16/100</f>
        <v>57.6</v>
      </c>
      <c r="R16" s="432">
        <v>15.137</v>
      </c>
      <c r="S16" s="431">
        <v>23.957000000000001</v>
      </c>
      <c r="T16" s="530">
        <v>2083</v>
      </c>
      <c r="U16" s="431">
        <f t="shared" si="1"/>
        <v>137.60983021734822</v>
      </c>
      <c r="V16" s="433">
        <f t="shared" ref="V16:V77" si="7">(S16-R16)/S16*100</f>
        <v>36.815961931794469</v>
      </c>
      <c r="W16" s="432">
        <v>0.1</v>
      </c>
      <c r="X16" s="431">
        <f t="shared" si="2"/>
        <v>0.4159201388888889</v>
      </c>
      <c r="Y16" s="431">
        <f t="shared" si="4"/>
        <v>14.410423999999999</v>
      </c>
      <c r="Z16" s="431">
        <f t="shared" si="4"/>
        <v>22.807064</v>
      </c>
      <c r="AA16" s="530">
        <f t="shared" si="4"/>
        <v>1983.0159999999998</v>
      </c>
      <c r="AB16" s="431">
        <f t="shared" si="5"/>
        <v>137.60983021734822</v>
      </c>
      <c r="AC16" s="431">
        <f t="shared" si="3"/>
        <v>36.815961931794469</v>
      </c>
      <c r="AD16" s="427">
        <v>31</v>
      </c>
      <c r="AE16" s="431">
        <f>Y16*AD16</f>
        <v>446.72314399999999</v>
      </c>
      <c r="AF16" s="434"/>
    </row>
    <row r="17" spans="1:32" ht="18.75" x14ac:dyDescent="0.2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9" t="s">
        <v>53</v>
      </c>
      <c r="I17" s="574">
        <v>538.47</v>
      </c>
      <c r="J17" s="427">
        <v>245</v>
      </c>
      <c r="K17" s="427"/>
      <c r="L17" s="427">
        <v>451</v>
      </c>
      <c r="M17" s="427"/>
      <c r="N17" s="430">
        <v>3.3</v>
      </c>
      <c r="O17" s="427"/>
      <c r="P17" s="430">
        <v>14.057785675584336</v>
      </c>
      <c r="Q17" s="431">
        <f t="shared" si="0"/>
        <v>31.85</v>
      </c>
      <c r="R17" s="432">
        <v>6.6189999999999998</v>
      </c>
      <c r="S17" s="431">
        <v>8.7489999999999988</v>
      </c>
      <c r="T17" s="431">
        <v>59</v>
      </c>
      <c r="U17" s="431">
        <f t="shared" si="1"/>
        <v>8.9137331923251253</v>
      </c>
      <c r="V17" s="433">
        <f t="shared" si="7"/>
        <v>24.345639501657324</v>
      </c>
      <c r="W17" s="432">
        <v>0.1</v>
      </c>
      <c r="X17" s="431">
        <f>S17/Q17</f>
        <v>0.27469387755102037</v>
      </c>
      <c r="Y17" s="431">
        <f t="shared" si="4"/>
        <v>6.3012879999999996</v>
      </c>
      <c r="Z17" s="431">
        <f t="shared" si="4"/>
        <v>8.3290479999999985</v>
      </c>
      <c r="AA17" s="431">
        <f t="shared" si="4"/>
        <v>56.167999999999999</v>
      </c>
      <c r="AB17" s="431">
        <f t="shared" si="5"/>
        <v>8.9137331923251253</v>
      </c>
      <c r="AC17" s="431">
        <f t="shared" si="3"/>
        <v>24.345639501657324</v>
      </c>
      <c r="AD17" s="427">
        <v>31</v>
      </c>
      <c r="AE17" s="431">
        <f t="shared" si="6"/>
        <v>195.33992799999999</v>
      </c>
      <c r="AF17" s="434"/>
    </row>
    <row r="18" spans="1:32" ht="18.75" x14ac:dyDescent="0.2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550" t="s">
        <v>53</v>
      </c>
      <c r="I18" s="574">
        <v>546</v>
      </c>
      <c r="J18" s="427">
        <v>130</v>
      </c>
      <c r="K18" s="427"/>
      <c r="L18" s="427">
        <v>435</v>
      </c>
      <c r="M18" s="435"/>
      <c r="N18" s="427">
        <v>5.4</v>
      </c>
      <c r="O18" s="427"/>
      <c r="P18" s="430">
        <v>17.253251982963324</v>
      </c>
      <c r="Q18" s="431">
        <f t="shared" si="0"/>
        <v>16.899999999999999</v>
      </c>
      <c r="R18" s="432">
        <v>5.3710000000000004</v>
      </c>
      <c r="S18" s="431">
        <v>6.1780000000000008</v>
      </c>
      <c r="T18" s="431">
        <v>28</v>
      </c>
      <c r="U18" s="431">
        <f t="shared" si="1"/>
        <v>5.2131819028113942</v>
      </c>
      <c r="V18" s="433">
        <f t="shared" si="7"/>
        <v>13.062479766914864</v>
      </c>
      <c r="W18" s="432">
        <v>0.4</v>
      </c>
      <c r="X18" s="431">
        <f>S18/Q18</f>
        <v>0.36556213017751488</v>
      </c>
      <c r="Y18" s="431">
        <f t="shared" si="4"/>
        <v>5.1131920000000006</v>
      </c>
      <c r="Z18" s="431">
        <f t="shared" si="4"/>
        <v>5.8814560000000009</v>
      </c>
      <c r="AA18" s="431">
        <f t="shared" si="4"/>
        <v>26.655999999999999</v>
      </c>
      <c r="AB18" s="431">
        <f t="shared" si="5"/>
        <v>5.2131819028113942</v>
      </c>
      <c r="AC18" s="431">
        <f t="shared" si="3"/>
        <v>13.062479766914864</v>
      </c>
      <c r="AD18" s="427">
        <v>31</v>
      </c>
      <c r="AE18" s="431">
        <f t="shared" si="6"/>
        <v>158.50895200000002</v>
      </c>
      <c r="AF18" s="434"/>
    </row>
    <row r="19" spans="1:32" ht="18.75" x14ac:dyDescent="0.2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9" t="s">
        <v>50</v>
      </c>
      <c r="I19" s="574">
        <v>584.32000000000005</v>
      </c>
      <c r="J19" s="427">
        <v>315</v>
      </c>
      <c r="K19" s="427"/>
      <c r="L19" s="427">
        <v>417</v>
      </c>
      <c r="M19" s="427"/>
      <c r="N19" s="427">
        <v>1.3</v>
      </c>
      <c r="O19" s="427"/>
      <c r="P19" s="430">
        <v>16.473887047388796</v>
      </c>
      <c r="Q19" s="431">
        <f t="shared" si="0"/>
        <v>18.899999999999999</v>
      </c>
      <c r="R19" s="432">
        <v>2.69</v>
      </c>
      <c r="S19" s="431">
        <v>3.3650000000000002</v>
      </c>
      <c r="T19" s="431">
        <v>0</v>
      </c>
      <c r="U19" s="431">
        <f t="shared" si="1"/>
        <v>0</v>
      </c>
      <c r="V19" s="433">
        <f t="shared" si="7"/>
        <v>20.059435364041612</v>
      </c>
      <c r="W19" s="432">
        <v>0.2</v>
      </c>
      <c r="X19" s="431">
        <f>S19/Q19</f>
        <v>0.17804232804232806</v>
      </c>
      <c r="Y19" s="431">
        <f t="shared" si="4"/>
        <v>2.56088</v>
      </c>
      <c r="Z19" s="431">
        <f t="shared" si="4"/>
        <v>3.2034799999999999</v>
      </c>
      <c r="AA19" s="431">
        <f t="shared" si="4"/>
        <v>0</v>
      </c>
      <c r="AB19" s="431">
        <v>14.613</v>
      </c>
      <c r="AC19" s="431">
        <f t="shared" si="3"/>
        <v>20.059435364041612</v>
      </c>
      <c r="AD19" s="427">
        <v>31</v>
      </c>
      <c r="AE19" s="431">
        <f t="shared" si="6"/>
        <v>79.387280000000004</v>
      </c>
      <c r="AF19" s="434"/>
    </row>
    <row r="20" spans="1:32" ht="18.75" x14ac:dyDescent="0.2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9" t="s">
        <v>52</v>
      </c>
      <c r="I20" s="574">
        <v>560</v>
      </c>
      <c r="J20" s="427">
        <v>180</v>
      </c>
      <c r="K20" s="427"/>
      <c r="L20" s="427">
        <v>457</v>
      </c>
      <c r="M20" s="427"/>
      <c r="N20" s="427">
        <v>9.3000000000000007</v>
      </c>
      <c r="O20" s="427"/>
      <c r="P20" s="430">
        <v>19.811182305031746</v>
      </c>
      <c r="Q20" s="431">
        <f t="shared" si="0"/>
        <v>39.6</v>
      </c>
      <c r="R20" s="432">
        <v>11.896000000000001</v>
      </c>
      <c r="S20" s="431">
        <v>13.809000000000001</v>
      </c>
      <c r="T20" s="431">
        <v>169</v>
      </c>
      <c r="U20" s="431">
        <f t="shared" si="1"/>
        <v>14.206455951580363</v>
      </c>
      <c r="V20" s="433">
        <f t="shared" si="7"/>
        <v>13.853284090086177</v>
      </c>
      <c r="W20" s="432">
        <v>0.1</v>
      </c>
      <c r="X20" s="431">
        <f t="shared" si="2"/>
        <v>0.34871212121212125</v>
      </c>
      <c r="Y20" s="431">
        <f t="shared" si="4"/>
        <v>11.324992</v>
      </c>
      <c r="Z20" s="431">
        <f t="shared" si="4"/>
        <v>13.146168000000001</v>
      </c>
      <c r="AA20" s="431">
        <f t="shared" si="4"/>
        <v>160.88800000000001</v>
      </c>
      <c r="AB20" s="431">
        <f t="shared" si="5"/>
        <v>14.206455951580363</v>
      </c>
      <c r="AC20" s="431">
        <f t="shared" si="3"/>
        <v>13.853284090086177</v>
      </c>
      <c r="AD20" s="427">
        <v>31</v>
      </c>
      <c r="AE20" s="431">
        <f t="shared" si="6"/>
        <v>351.07475199999999</v>
      </c>
      <c r="AF20" s="434"/>
    </row>
    <row r="21" spans="1:32" ht="30.6" customHeight="1" x14ac:dyDescent="0.2">
      <c r="A21" s="427">
        <v>8</v>
      </c>
      <c r="B21" s="428" t="s">
        <v>146</v>
      </c>
      <c r="C21" s="427" t="s">
        <v>46</v>
      </c>
      <c r="D21" s="427">
        <v>764</v>
      </c>
      <c r="E21" s="436" t="s">
        <v>73</v>
      </c>
      <c r="F21" s="427">
        <v>177.8</v>
      </c>
      <c r="G21" s="427" t="s">
        <v>28</v>
      </c>
      <c r="H21" s="429" t="s">
        <v>52</v>
      </c>
      <c r="I21" s="437">
        <v>550</v>
      </c>
      <c r="J21" s="427">
        <v>95</v>
      </c>
      <c r="K21" s="438"/>
      <c r="L21" s="427">
        <v>236</v>
      </c>
      <c r="M21" s="438"/>
      <c r="N21" s="427">
        <v>6.4</v>
      </c>
      <c r="O21" s="438"/>
      <c r="P21" s="430">
        <v>39.497500225391576</v>
      </c>
      <c r="Q21" s="431">
        <f t="shared" si="0"/>
        <v>20.9</v>
      </c>
      <c r="R21" s="432">
        <v>1.1279999999999999</v>
      </c>
      <c r="S21" s="431">
        <v>16.088000000000001</v>
      </c>
      <c r="T21" s="431">
        <v>20</v>
      </c>
      <c r="U21" s="431">
        <f t="shared" si="1"/>
        <v>17.730496453900709</v>
      </c>
      <c r="V21" s="433">
        <f t="shared" si="7"/>
        <v>92.988562904027845</v>
      </c>
      <c r="W21" s="432"/>
      <c r="X21" s="431">
        <f t="shared" si="2"/>
        <v>0.76976076555023931</v>
      </c>
      <c r="Y21" s="431">
        <f t="shared" si="4"/>
        <v>1.0738559999999999</v>
      </c>
      <c r="Z21" s="431">
        <f t="shared" si="4"/>
        <v>15.315776</v>
      </c>
      <c r="AA21" s="431">
        <f t="shared" si="4"/>
        <v>19.04</v>
      </c>
      <c r="AB21" s="431">
        <f t="shared" si="5"/>
        <v>17.730496453900709</v>
      </c>
      <c r="AC21" s="431">
        <f t="shared" si="3"/>
        <v>92.988562904027845</v>
      </c>
      <c r="AD21" s="427">
        <v>31</v>
      </c>
      <c r="AE21" s="431">
        <f t="shared" si="6"/>
        <v>33.289535999999998</v>
      </c>
      <c r="AF21" s="434"/>
    </row>
    <row r="22" spans="1:32" ht="18.75" x14ac:dyDescent="0.2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9" t="s">
        <v>52</v>
      </c>
      <c r="I22" s="574">
        <v>591.98</v>
      </c>
      <c r="J22" s="427">
        <v>120</v>
      </c>
      <c r="K22" s="427"/>
      <c r="L22" s="427">
        <v>472</v>
      </c>
      <c r="M22" s="427"/>
      <c r="N22" s="427">
        <v>7</v>
      </c>
      <c r="O22" s="427"/>
      <c r="P22" s="430">
        <v>16.266473351685811</v>
      </c>
      <c r="Q22" s="431">
        <f t="shared" si="0"/>
        <v>26.4</v>
      </c>
      <c r="R22" s="432">
        <v>7.4020000000000001</v>
      </c>
      <c r="S22" s="431">
        <v>11.557</v>
      </c>
      <c r="T22" s="431">
        <v>27</v>
      </c>
      <c r="U22" s="431">
        <f t="shared" si="1"/>
        <v>3.647662793839503</v>
      </c>
      <c r="V22" s="433">
        <f t="shared" si="7"/>
        <v>35.952236739638316</v>
      </c>
      <c r="W22" s="432">
        <v>0.2</v>
      </c>
      <c r="X22" s="431">
        <v>0.2</v>
      </c>
      <c r="Y22" s="431">
        <f t="shared" si="4"/>
        <v>7.0467040000000001</v>
      </c>
      <c r="Z22" s="431">
        <f t="shared" si="4"/>
        <v>11.002264</v>
      </c>
      <c r="AA22" s="431">
        <f t="shared" si="4"/>
        <v>25.704000000000001</v>
      </c>
      <c r="AB22" s="431">
        <f t="shared" si="5"/>
        <v>3.647662793839503</v>
      </c>
      <c r="AC22" s="431">
        <f t="shared" si="3"/>
        <v>35.952236739638316</v>
      </c>
      <c r="AD22" s="427">
        <v>31</v>
      </c>
      <c r="AE22" s="431">
        <f t="shared" si="6"/>
        <v>218.447824</v>
      </c>
      <c r="AF22" s="434"/>
    </row>
    <row r="23" spans="1:32" ht="27" customHeight="1" x14ac:dyDescent="0.2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9" t="s">
        <v>52</v>
      </c>
      <c r="I23" s="574">
        <v>585.29999999999995</v>
      </c>
      <c r="J23" s="427">
        <v>200</v>
      </c>
      <c r="K23" s="427"/>
      <c r="L23" s="427">
        <v>273</v>
      </c>
      <c r="M23" s="427"/>
      <c r="N23" s="427">
        <v>8</v>
      </c>
      <c r="O23" s="427"/>
      <c r="P23" s="430">
        <v>35.483689526056835</v>
      </c>
      <c r="Q23" s="431">
        <f t="shared" si="0"/>
        <v>44</v>
      </c>
      <c r="R23" s="432">
        <v>1.216</v>
      </c>
      <c r="S23" s="431">
        <v>2.1719999999999997</v>
      </c>
      <c r="T23" s="431">
        <v>0</v>
      </c>
      <c r="U23" s="431">
        <f t="shared" si="1"/>
        <v>0</v>
      </c>
      <c r="V23" s="433">
        <f t="shared" si="7"/>
        <v>44.014732965009202</v>
      </c>
      <c r="W23" s="432">
        <v>0.2</v>
      </c>
      <c r="X23" s="431">
        <f t="shared" si="2"/>
        <v>4.936363636363636E-2</v>
      </c>
      <c r="Y23" s="431">
        <f t="shared" si="4"/>
        <v>1.157632</v>
      </c>
      <c r="Z23" s="431">
        <f t="shared" si="4"/>
        <v>2.0677439999999998</v>
      </c>
      <c r="AA23" s="431">
        <f t="shared" si="4"/>
        <v>0</v>
      </c>
      <c r="AB23" s="431">
        <f t="shared" si="5"/>
        <v>0</v>
      </c>
      <c r="AC23" s="431">
        <f t="shared" si="3"/>
        <v>44.014732965009202</v>
      </c>
      <c r="AD23" s="427">
        <v>31</v>
      </c>
      <c r="AE23" s="431">
        <f t="shared" si="6"/>
        <v>35.886592</v>
      </c>
      <c r="AF23" s="439"/>
    </row>
    <row r="24" spans="1:32" ht="31.9" customHeight="1" x14ac:dyDescent="0.2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9" t="s">
        <v>53</v>
      </c>
      <c r="I24" s="574">
        <v>554.91</v>
      </c>
      <c r="J24" s="427">
        <v>145</v>
      </c>
      <c r="K24" s="427"/>
      <c r="L24" s="427">
        <v>413</v>
      </c>
      <c r="M24" s="427"/>
      <c r="N24" s="427">
        <v>1.3</v>
      </c>
      <c r="O24" s="427"/>
      <c r="P24" s="430">
        <v>17.084013202991489</v>
      </c>
      <c r="Q24" s="431">
        <f t="shared" si="0"/>
        <v>18.850000000000001</v>
      </c>
      <c r="R24" s="432">
        <v>0.67300000000000004</v>
      </c>
      <c r="S24" s="431">
        <v>1.2150000000000001</v>
      </c>
      <c r="T24" s="431">
        <v>16</v>
      </c>
      <c r="U24" s="431">
        <f t="shared" si="1"/>
        <v>23.774145616641899</v>
      </c>
      <c r="V24" s="433">
        <f t="shared" si="7"/>
        <v>44.609053497942384</v>
      </c>
      <c r="W24" s="432">
        <v>0.2</v>
      </c>
      <c r="X24" s="431">
        <f t="shared" si="2"/>
        <v>6.4456233421750664E-2</v>
      </c>
      <c r="Y24" s="431">
        <f t="shared" si="4"/>
        <v>0.64069600000000004</v>
      </c>
      <c r="Z24" s="431">
        <f t="shared" si="4"/>
        <v>1.1566799999999999</v>
      </c>
      <c r="AA24" s="431">
        <f t="shared" si="4"/>
        <v>15.231999999999999</v>
      </c>
      <c r="AB24" s="431">
        <f t="shared" si="5"/>
        <v>23.774145616641899</v>
      </c>
      <c r="AC24" s="431">
        <f t="shared" si="3"/>
        <v>44.609053497942384</v>
      </c>
      <c r="AD24" s="427">
        <v>31</v>
      </c>
      <c r="AE24" s="431">
        <f t="shared" si="6"/>
        <v>19.861576000000003</v>
      </c>
      <c r="AF24" s="434"/>
    </row>
    <row r="25" spans="1:32" ht="25.15" customHeight="1" x14ac:dyDescent="0.2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9" t="s">
        <v>52</v>
      </c>
      <c r="I25" s="574">
        <v>553.5</v>
      </c>
      <c r="J25" s="427">
        <v>250</v>
      </c>
      <c r="K25" s="427"/>
      <c r="L25" s="427">
        <v>334</v>
      </c>
      <c r="M25" s="427"/>
      <c r="N25" s="427">
        <v>7.4</v>
      </c>
      <c r="O25" s="427"/>
      <c r="P25" s="430">
        <v>29.843400187465299</v>
      </c>
      <c r="Q25" s="431">
        <f t="shared" si="0"/>
        <v>55</v>
      </c>
      <c r="R25" s="432">
        <v>10.103</v>
      </c>
      <c r="S25" s="431">
        <v>16.812999999999999</v>
      </c>
      <c r="T25" s="431">
        <v>161</v>
      </c>
      <c r="U25" s="431">
        <f t="shared" si="1"/>
        <v>15.935860635454816</v>
      </c>
      <c r="V25" s="433">
        <f t="shared" si="7"/>
        <v>39.909593766728122</v>
      </c>
      <c r="W25" s="432">
        <v>0.2</v>
      </c>
      <c r="X25" s="431">
        <f t="shared" si="2"/>
        <v>0.30569090909090907</v>
      </c>
      <c r="Y25" s="431">
        <f t="shared" si="4"/>
        <v>9.6180559999999993</v>
      </c>
      <c r="Z25" s="431">
        <f t="shared" si="4"/>
        <v>16.005975999999997</v>
      </c>
      <c r="AA25" s="431">
        <f t="shared" si="4"/>
        <v>153.27199999999999</v>
      </c>
      <c r="AB25" s="431">
        <f t="shared" si="5"/>
        <v>15.935860635454816</v>
      </c>
      <c r="AC25" s="431">
        <f t="shared" si="3"/>
        <v>39.909593766728122</v>
      </c>
      <c r="AD25" s="427">
        <v>31</v>
      </c>
      <c r="AE25" s="431">
        <f t="shared" si="6"/>
        <v>298.15973599999995</v>
      </c>
      <c r="AF25" s="434"/>
    </row>
    <row r="26" spans="1:32" ht="30.6" customHeight="1" x14ac:dyDescent="0.2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9" t="s">
        <v>49</v>
      </c>
      <c r="I26" s="574">
        <v>525.03</v>
      </c>
      <c r="J26" s="427">
        <v>110</v>
      </c>
      <c r="K26" s="427"/>
      <c r="L26" s="427">
        <v>330</v>
      </c>
      <c r="M26" s="427"/>
      <c r="N26" s="427">
        <v>7.3</v>
      </c>
      <c r="O26" s="427"/>
      <c r="P26" s="430">
        <v>27.34190003708331</v>
      </c>
      <c r="Q26" s="431">
        <f t="shared" si="0"/>
        <v>35.200000000000003</v>
      </c>
      <c r="R26" s="432">
        <v>15.872</v>
      </c>
      <c r="S26" s="431">
        <v>27.070999999999998</v>
      </c>
      <c r="T26" s="431">
        <v>177</v>
      </c>
      <c r="U26" s="431">
        <f t="shared" si="1"/>
        <v>11.15171370967742</v>
      </c>
      <c r="V26" s="433">
        <f t="shared" si="7"/>
        <v>41.368992648960138</v>
      </c>
      <c r="W26" s="432">
        <v>0.1</v>
      </c>
      <c r="X26" s="431">
        <f t="shared" si="2"/>
        <v>0.76906249999999987</v>
      </c>
      <c r="Y26" s="431">
        <f t="shared" si="4"/>
        <v>15.110144</v>
      </c>
      <c r="Z26" s="431">
        <f t="shared" si="4"/>
        <v>25.771591999999998</v>
      </c>
      <c r="AA26" s="431">
        <f t="shared" si="4"/>
        <v>168.50399999999999</v>
      </c>
      <c r="AB26" s="431">
        <f t="shared" si="5"/>
        <v>11.15171370967742</v>
      </c>
      <c r="AC26" s="431">
        <f t="shared" si="3"/>
        <v>41.368992648960138</v>
      </c>
      <c r="AD26" s="427">
        <v>31</v>
      </c>
      <c r="AE26" s="431">
        <f t="shared" si="6"/>
        <v>468.41446400000001</v>
      </c>
      <c r="AF26" s="434"/>
    </row>
    <row r="27" spans="1:32" ht="25.15" customHeight="1" x14ac:dyDescent="0.2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9" t="s">
        <v>52</v>
      </c>
      <c r="I27" s="437">
        <v>522</v>
      </c>
      <c r="J27" s="427">
        <v>360</v>
      </c>
      <c r="K27" s="427"/>
      <c r="L27" s="427">
        <v>432</v>
      </c>
      <c r="M27" s="427"/>
      <c r="N27" s="427">
        <v>8.9</v>
      </c>
      <c r="O27" s="427"/>
      <c r="P27" s="430">
        <v>18.904761258327529</v>
      </c>
      <c r="Q27" s="431">
        <f t="shared" si="0"/>
        <v>79.2</v>
      </c>
      <c r="R27" s="432">
        <v>15.24</v>
      </c>
      <c r="S27" s="431">
        <v>24.84</v>
      </c>
      <c r="T27" s="530">
        <v>4504</v>
      </c>
      <c r="U27" s="431">
        <f t="shared" si="1"/>
        <v>295.53805774278214</v>
      </c>
      <c r="V27" s="433">
        <f t="shared" si="7"/>
        <v>38.647342995169083</v>
      </c>
      <c r="W27" s="432">
        <v>0.1</v>
      </c>
      <c r="X27" s="431">
        <f t="shared" si="2"/>
        <v>0.3136363636363636</v>
      </c>
      <c r="Y27" s="431">
        <f t="shared" si="4"/>
        <v>14.508479999999999</v>
      </c>
      <c r="Z27" s="431">
        <f t="shared" si="4"/>
        <v>23.647679999999998</v>
      </c>
      <c r="AA27" s="530">
        <f t="shared" si="4"/>
        <v>4287.808</v>
      </c>
      <c r="AB27" s="431">
        <f t="shared" si="5"/>
        <v>295.53805774278214</v>
      </c>
      <c r="AC27" s="431">
        <f t="shared" si="3"/>
        <v>38.647342995169083</v>
      </c>
      <c r="AD27" s="427">
        <v>31</v>
      </c>
      <c r="AE27" s="431">
        <f t="shared" si="6"/>
        <v>449.76287999999994</v>
      </c>
      <c r="AF27" s="434"/>
    </row>
    <row r="28" spans="1:32" ht="18.75" x14ac:dyDescent="0.2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9" t="s">
        <v>48</v>
      </c>
      <c r="I28" s="574">
        <v>570.95000000000005</v>
      </c>
      <c r="J28" s="427">
        <v>85</v>
      </c>
      <c r="K28" s="427"/>
      <c r="L28" s="427">
        <v>455</v>
      </c>
      <c r="M28" s="427"/>
      <c r="N28" s="427">
        <v>7.4</v>
      </c>
      <c r="O28" s="427"/>
      <c r="P28" s="430">
        <v>19.744644678336076</v>
      </c>
      <c r="Q28" s="431">
        <f t="shared" si="0"/>
        <v>11.05</v>
      </c>
      <c r="R28" s="432">
        <v>3.117</v>
      </c>
      <c r="S28" s="431">
        <v>5.3250000000000002</v>
      </c>
      <c r="T28" s="431">
        <v>12</v>
      </c>
      <c r="U28" s="431">
        <f t="shared" si="1"/>
        <v>3.8498556304138596</v>
      </c>
      <c r="V28" s="433">
        <f t="shared" si="7"/>
        <v>41.464788732394368</v>
      </c>
      <c r="W28" s="432">
        <v>0.3</v>
      </c>
      <c r="X28" s="431">
        <f t="shared" si="2"/>
        <v>0.48190045248868779</v>
      </c>
      <c r="Y28" s="431">
        <f t="shared" si="4"/>
        <v>2.967384</v>
      </c>
      <c r="Z28" s="431">
        <f t="shared" si="4"/>
        <v>5.0693999999999999</v>
      </c>
      <c r="AA28" s="431">
        <f t="shared" si="4"/>
        <v>11.423999999999999</v>
      </c>
      <c r="AB28" s="431">
        <f t="shared" si="5"/>
        <v>3.8498556304138596</v>
      </c>
      <c r="AC28" s="431">
        <f t="shared" si="3"/>
        <v>41.464788732394368</v>
      </c>
      <c r="AD28" s="427">
        <v>31</v>
      </c>
      <c r="AE28" s="431">
        <f>Y28*AD28</f>
        <v>91.988904000000005</v>
      </c>
      <c r="AF28" s="439"/>
    </row>
    <row r="29" spans="1:32" ht="18.75" x14ac:dyDescent="0.2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>
        <v>300</v>
      </c>
      <c r="K29" s="428"/>
      <c r="L29" s="428">
        <v>509</v>
      </c>
      <c r="M29" s="428"/>
      <c r="N29" s="428">
        <v>10.5</v>
      </c>
      <c r="O29" s="428"/>
      <c r="P29" s="441">
        <v>15.407613246439142</v>
      </c>
      <c r="Q29" s="428">
        <f t="shared" si="0"/>
        <v>96</v>
      </c>
      <c r="R29" s="442">
        <v>19.260999999999999</v>
      </c>
      <c r="S29" s="431">
        <v>23.390999999999998</v>
      </c>
      <c r="T29" s="428">
        <v>789</v>
      </c>
      <c r="U29" s="442">
        <f t="shared" si="1"/>
        <v>40.963605212605785</v>
      </c>
      <c r="V29" s="433">
        <f t="shared" si="7"/>
        <v>17.656363558633657</v>
      </c>
      <c r="W29" s="428">
        <v>0.2</v>
      </c>
      <c r="X29" s="442">
        <f t="shared" si="2"/>
        <v>0.24365624999999999</v>
      </c>
      <c r="Y29" s="431">
        <f t="shared" si="4"/>
        <v>18.336471999999997</v>
      </c>
      <c r="Z29" s="431">
        <f t="shared" si="4"/>
        <v>22.268231999999998</v>
      </c>
      <c r="AA29" s="431">
        <f t="shared" si="4"/>
        <v>751.12799999999993</v>
      </c>
      <c r="AB29" s="442">
        <f t="shared" si="5"/>
        <v>40.963605212605785</v>
      </c>
      <c r="AC29" s="442">
        <f t="shared" si="3"/>
        <v>17.656363558633657</v>
      </c>
      <c r="AD29" s="427">
        <v>31</v>
      </c>
      <c r="AE29" s="442">
        <f>Y29*AD29</f>
        <v>568.43063199999995</v>
      </c>
      <c r="AF29" s="428"/>
    </row>
    <row r="30" spans="1:32" ht="21.6" customHeight="1" x14ac:dyDescent="0.2">
      <c r="A30" s="427">
        <v>17</v>
      </c>
      <c r="B30" s="428" t="s">
        <v>154</v>
      </c>
      <c r="C30" s="427" t="s">
        <v>304</v>
      </c>
      <c r="D30" s="443">
        <v>668.36</v>
      </c>
      <c r="E30" s="436" t="s">
        <v>360</v>
      </c>
      <c r="F30" s="427">
        <v>177.8</v>
      </c>
      <c r="G30" s="427" t="s">
        <v>28</v>
      </c>
      <c r="H30" s="241" t="s">
        <v>364</v>
      </c>
      <c r="I30" s="437">
        <v>639.67999999999995</v>
      </c>
      <c r="J30" s="427">
        <v>100</v>
      </c>
      <c r="K30" s="435"/>
      <c r="L30" s="427">
        <v>160</v>
      </c>
      <c r="M30" s="435"/>
      <c r="N30" s="427">
        <v>3.2</v>
      </c>
      <c r="O30" s="427"/>
      <c r="P30" s="444">
        <v>18.751996251085551</v>
      </c>
      <c r="Q30" s="431">
        <v>0</v>
      </c>
      <c r="R30" s="432">
        <v>4.4359999999999999</v>
      </c>
      <c r="S30" s="431">
        <v>4.9969999999999999</v>
      </c>
      <c r="T30" s="431">
        <v>82</v>
      </c>
      <c r="U30" s="442">
        <v>0</v>
      </c>
      <c r="V30" s="433">
        <v>0</v>
      </c>
      <c r="W30" s="431">
        <v>0.2</v>
      </c>
      <c r="X30" s="442">
        <v>0</v>
      </c>
      <c r="Y30" s="431">
        <f t="shared" si="4"/>
        <v>4.2230720000000002</v>
      </c>
      <c r="Z30" s="431">
        <f t="shared" si="4"/>
        <v>4.7571439999999994</v>
      </c>
      <c r="AA30" s="431">
        <f t="shared" si="4"/>
        <v>78.063999999999993</v>
      </c>
      <c r="AB30" s="431">
        <v>0</v>
      </c>
      <c r="AC30" s="442">
        <f t="shared" si="3"/>
        <v>0</v>
      </c>
      <c r="AD30" s="427">
        <v>31</v>
      </c>
      <c r="AE30" s="431">
        <v>0</v>
      </c>
      <c r="AF30" s="434"/>
    </row>
    <row r="31" spans="1:32" ht="18.75" x14ac:dyDescent="0.2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9" t="s">
        <v>48</v>
      </c>
      <c r="I31" s="574">
        <v>561.19000000000005</v>
      </c>
      <c r="J31" s="427" t="s">
        <v>240</v>
      </c>
      <c r="K31" s="435">
        <v>110</v>
      </c>
      <c r="L31" s="435"/>
      <c r="M31" s="435">
        <v>1.1000000000000001</v>
      </c>
      <c r="N31" s="427"/>
      <c r="O31" s="427"/>
      <c r="P31" s="430">
        <v>47.810425661020403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42">
        <v>0</v>
      </c>
      <c r="V31" s="433">
        <v>0</v>
      </c>
      <c r="W31" s="432">
        <v>0</v>
      </c>
      <c r="X31" s="442">
        <v>0</v>
      </c>
      <c r="Y31" s="431">
        <f t="shared" ref="Y31:AA77" si="8">R31*0.952</f>
        <v>0</v>
      </c>
      <c r="Z31" s="431">
        <f t="shared" si="8"/>
        <v>0</v>
      </c>
      <c r="AA31" s="431">
        <f t="shared" si="8"/>
        <v>0</v>
      </c>
      <c r="AB31" s="431">
        <f>U31</f>
        <v>0</v>
      </c>
      <c r="AC31" s="442">
        <f t="shared" si="3"/>
        <v>0</v>
      </c>
      <c r="AD31" s="427">
        <v>0</v>
      </c>
      <c r="AE31" s="431">
        <f t="shared" si="6"/>
        <v>0</v>
      </c>
      <c r="AF31" s="434" t="s">
        <v>335</v>
      </c>
    </row>
    <row r="32" spans="1:32" ht="18.75" x14ac:dyDescent="0.2">
      <c r="A32" s="427">
        <v>19</v>
      </c>
      <c r="B32" s="428" t="s">
        <v>39</v>
      </c>
      <c r="C32" s="427" t="s">
        <v>46</v>
      </c>
      <c r="D32" s="427">
        <v>562.15</v>
      </c>
      <c r="E32" s="427" t="s">
        <v>357</v>
      </c>
      <c r="F32" s="427">
        <v>177.8</v>
      </c>
      <c r="G32" s="427" t="s">
        <v>28</v>
      </c>
      <c r="H32" s="429" t="s">
        <v>51</v>
      </c>
      <c r="I32" s="574">
        <v>542.45000000000005</v>
      </c>
      <c r="J32" s="427">
        <v>0</v>
      </c>
      <c r="K32" s="435">
        <v>314</v>
      </c>
      <c r="L32" s="435"/>
      <c r="M32" s="435">
        <v>2.2999999999999998</v>
      </c>
      <c r="N32" s="427"/>
      <c r="O32" s="427"/>
      <c r="P32" s="430">
        <v>26.471953627959181</v>
      </c>
      <c r="Q32" s="431">
        <f t="shared" si="0"/>
        <v>0</v>
      </c>
      <c r="R32" s="432">
        <v>0</v>
      </c>
      <c r="S32" s="431">
        <v>0</v>
      </c>
      <c r="T32" s="431">
        <v>0</v>
      </c>
      <c r="U32" s="442">
        <v>0</v>
      </c>
      <c r="V32" s="433">
        <v>0</v>
      </c>
      <c r="W32" s="432">
        <v>0</v>
      </c>
      <c r="X32" s="442">
        <v>0</v>
      </c>
      <c r="Y32" s="431">
        <f t="shared" si="8"/>
        <v>0</v>
      </c>
      <c r="Z32" s="431">
        <f t="shared" si="8"/>
        <v>0</v>
      </c>
      <c r="AA32" s="431">
        <f t="shared" si="8"/>
        <v>0</v>
      </c>
      <c r="AB32" s="431">
        <f t="shared" si="5"/>
        <v>0</v>
      </c>
      <c r="AC32" s="442">
        <f t="shared" si="3"/>
        <v>0</v>
      </c>
      <c r="AD32" s="427">
        <v>0</v>
      </c>
      <c r="AE32" s="431">
        <f t="shared" si="6"/>
        <v>0</v>
      </c>
      <c r="AF32" s="434" t="s">
        <v>361</v>
      </c>
    </row>
    <row r="33" spans="1:32" ht="30.6" customHeight="1" x14ac:dyDescent="0.2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9" t="s">
        <v>48</v>
      </c>
      <c r="I33" s="574">
        <v>588.04999999999995</v>
      </c>
      <c r="J33" s="427" t="s">
        <v>240</v>
      </c>
      <c r="K33" s="435">
        <v>151</v>
      </c>
      <c r="L33" s="435"/>
      <c r="M33" s="435">
        <v>0.5</v>
      </c>
      <c r="N33" s="427"/>
      <c r="O33" s="427"/>
      <c r="P33" s="430">
        <v>42.819040437755099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42">
        <v>0</v>
      </c>
      <c r="Y33" s="431">
        <f t="shared" si="8"/>
        <v>0</v>
      </c>
      <c r="Z33" s="431">
        <f t="shared" si="8"/>
        <v>0</v>
      </c>
      <c r="AA33" s="431">
        <f t="shared" si="8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ht="18.75" x14ac:dyDescent="0.2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9" t="s">
        <v>52</v>
      </c>
      <c r="I34" s="574">
        <v>554.30999999999995</v>
      </c>
      <c r="J34" s="427">
        <v>310</v>
      </c>
      <c r="K34" s="435"/>
      <c r="L34" s="435">
        <v>477</v>
      </c>
      <c r="M34" s="435"/>
      <c r="N34" s="427">
        <v>7</v>
      </c>
      <c r="O34" s="427"/>
      <c r="P34" s="430">
        <v>13.825344010582599</v>
      </c>
      <c r="Q34" s="431">
        <f t="shared" si="0"/>
        <v>68.2</v>
      </c>
      <c r="R34" s="432">
        <v>9.7170000000000005</v>
      </c>
      <c r="S34" s="431">
        <v>11.396000000000001</v>
      </c>
      <c r="T34" s="431">
        <v>390</v>
      </c>
      <c r="U34" s="431">
        <f t="shared" si="1"/>
        <v>40.135844396418648</v>
      </c>
      <c r="V34" s="433">
        <f t="shared" si="7"/>
        <v>14.733239733239733</v>
      </c>
      <c r="W34" s="432">
        <v>0.2</v>
      </c>
      <c r="X34" s="431">
        <f t="shared" si="2"/>
        <v>0.1670967741935484</v>
      </c>
      <c r="Y34" s="431">
        <f t="shared" si="8"/>
        <v>9.2505839999999999</v>
      </c>
      <c r="Z34" s="431">
        <f t="shared" si="8"/>
        <v>10.848992000000001</v>
      </c>
      <c r="AA34" s="431">
        <f t="shared" si="8"/>
        <v>371.28</v>
      </c>
      <c r="AB34" s="431">
        <v>89.536086956521729</v>
      </c>
      <c r="AC34" s="431">
        <v>26</v>
      </c>
      <c r="AD34" s="427">
        <v>31</v>
      </c>
      <c r="AE34" s="431">
        <f t="shared" si="6"/>
        <v>286.76810399999999</v>
      </c>
      <c r="AF34" s="445"/>
    </row>
    <row r="35" spans="1:32" ht="18.75" x14ac:dyDescent="0.2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9" t="s">
        <v>48</v>
      </c>
      <c r="I35" s="574">
        <v>589.66</v>
      </c>
      <c r="J35" s="427">
        <v>115</v>
      </c>
      <c r="K35" s="435"/>
      <c r="L35" s="435">
        <v>475</v>
      </c>
      <c r="M35" s="435"/>
      <c r="N35" s="427">
        <v>8.1999999999999993</v>
      </c>
      <c r="O35" s="427"/>
      <c r="P35" s="430">
        <v>18.084271391282282</v>
      </c>
      <c r="Q35" s="431">
        <f t="shared" si="0"/>
        <v>14.95</v>
      </c>
      <c r="R35" s="432">
        <v>6.4320000000000004</v>
      </c>
      <c r="S35" s="431">
        <v>10.134</v>
      </c>
      <c r="T35" s="431">
        <v>8</v>
      </c>
      <c r="U35" s="431">
        <f t="shared" si="1"/>
        <v>1.2437810945273631</v>
      </c>
      <c r="V35" s="433">
        <f t="shared" si="7"/>
        <v>36.530491415038483</v>
      </c>
      <c r="W35" s="432">
        <v>0.5</v>
      </c>
      <c r="X35" s="431">
        <f t="shared" si="2"/>
        <v>0.6778595317725753</v>
      </c>
      <c r="Y35" s="431">
        <f t="shared" si="8"/>
        <v>6.1232639999999998</v>
      </c>
      <c r="Z35" s="431">
        <f t="shared" si="8"/>
        <v>9.6475679999999997</v>
      </c>
      <c r="AA35" s="431">
        <f t="shared" si="8"/>
        <v>7.6159999999999997</v>
      </c>
      <c r="AB35" s="431">
        <f t="shared" si="5"/>
        <v>1.2437810945273631</v>
      </c>
      <c r="AC35" s="431">
        <f t="shared" si="3"/>
        <v>36.530491415038483</v>
      </c>
      <c r="AD35" s="427">
        <v>31</v>
      </c>
      <c r="AE35" s="431">
        <f t="shared" si="6"/>
        <v>189.82118399999999</v>
      </c>
      <c r="AF35" s="439"/>
    </row>
    <row r="36" spans="1:32" ht="18.75" x14ac:dyDescent="0.2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9" t="s">
        <v>52</v>
      </c>
      <c r="I36" s="446">
        <v>551.13</v>
      </c>
      <c r="J36" s="427">
        <v>85</v>
      </c>
      <c r="K36" s="435"/>
      <c r="L36" s="435">
        <v>436</v>
      </c>
      <c r="M36" s="435"/>
      <c r="N36" s="427">
        <v>7.6</v>
      </c>
      <c r="O36" s="427"/>
      <c r="P36" s="430">
        <v>20.663369889887111</v>
      </c>
      <c r="Q36" s="431">
        <f t="shared" si="0"/>
        <v>18.7</v>
      </c>
      <c r="R36" s="432">
        <v>2.7280000000000002</v>
      </c>
      <c r="S36" s="431">
        <v>12.657999999999999</v>
      </c>
      <c r="T36" s="431">
        <v>37</v>
      </c>
      <c r="U36" s="431">
        <f t="shared" si="1"/>
        <v>13.563049853372434</v>
      </c>
      <c r="V36" s="433">
        <f t="shared" si="7"/>
        <v>78.44841207141728</v>
      </c>
      <c r="W36" s="432">
        <v>0.3</v>
      </c>
      <c r="X36" s="431">
        <f t="shared" si="2"/>
        <v>0.67689839572192512</v>
      </c>
      <c r="Y36" s="431">
        <f t="shared" si="8"/>
        <v>2.5970560000000003</v>
      </c>
      <c r="Z36" s="431">
        <f t="shared" si="8"/>
        <v>12.050415999999998</v>
      </c>
      <c r="AA36" s="431">
        <f t="shared" si="8"/>
        <v>35.223999999999997</v>
      </c>
      <c r="AB36" s="431">
        <f t="shared" si="5"/>
        <v>13.563049853372434</v>
      </c>
      <c r="AC36" s="431">
        <f t="shared" si="3"/>
        <v>78.44841207141728</v>
      </c>
      <c r="AD36" s="427">
        <v>31</v>
      </c>
      <c r="AE36" s="431">
        <f t="shared" si="6"/>
        <v>80.508736000000013</v>
      </c>
      <c r="AF36" s="434"/>
    </row>
    <row r="37" spans="1:32" ht="18.75" x14ac:dyDescent="0.2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9" t="s">
        <v>52</v>
      </c>
      <c r="I37" s="446">
        <v>592.85</v>
      </c>
      <c r="J37" s="427">
        <v>100</v>
      </c>
      <c r="K37" s="435"/>
      <c r="L37" s="435">
        <v>175</v>
      </c>
      <c r="M37" s="435"/>
      <c r="N37" s="427">
        <v>6.9</v>
      </c>
      <c r="O37" s="427"/>
      <c r="P37" s="430">
        <v>47.326830180189532</v>
      </c>
      <c r="Q37" s="431">
        <f t="shared" si="0"/>
        <v>22</v>
      </c>
      <c r="R37" s="432">
        <v>0</v>
      </c>
      <c r="S37" s="431">
        <v>15.348000000000001</v>
      </c>
      <c r="T37" s="431">
        <v>0</v>
      </c>
      <c r="U37" s="431" t="e">
        <f t="shared" si="1"/>
        <v>#DIV/0!</v>
      </c>
      <c r="V37" s="433">
        <f t="shared" si="7"/>
        <v>100</v>
      </c>
      <c r="W37" s="432">
        <v>0</v>
      </c>
      <c r="X37" s="431">
        <f t="shared" si="2"/>
        <v>0.69763636363636372</v>
      </c>
      <c r="Y37" s="431">
        <f t="shared" si="8"/>
        <v>0</v>
      </c>
      <c r="Z37" s="431">
        <f t="shared" si="8"/>
        <v>14.611295999999999</v>
      </c>
      <c r="AA37" s="431">
        <f t="shared" si="8"/>
        <v>0</v>
      </c>
      <c r="AB37" s="431" t="e">
        <f t="shared" si="5"/>
        <v>#DIV/0!</v>
      </c>
      <c r="AC37" s="431">
        <f t="shared" si="3"/>
        <v>100</v>
      </c>
      <c r="AD37" s="427">
        <v>31</v>
      </c>
      <c r="AE37" s="431">
        <f t="shared" si="6"/>
        <v>0</v>
      </c>
      <c r="AF37" s="434"/>
    </row>
    <row r="38" spans="1:32" ht="18.75" x14ac:dyDescent="0.2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9" t="s">
        <v>52</v>
      </c>
      <c r="I38" s="574">
        <v>592.95000000000005</v>
      </c>
      <c r="J38" s="427">
        <v>295</v>
      </c>
      <c r="K38" s="435"/>
      <c r="L38" s="435">
        <v>499</v>
      </c>
      <c r="M38" s="435"/>
      <c r="N38" s="427">
        <v>8.6</v>
      </c>
      <c r="O38" s="427"/>
      <c r="P38" s="430">
        <v>15.217279859826967</v>
      </c>
      <c r="Q38" s="431">
        <f>LEFT(H38,(FIND("K",H38,1)-1))*J38/100</f>
        <v>64.900000000000006</v>
      </c>
      <c r="R38" s="432">
        <v>11.743</v>
      </c>
      <c r="S38" s="431">
        <v>27.950000000000003</v>
      </c>
      <c r="T38" s="431">
        <v>513</v>
      </c>
      <c r="U38" s="431">
        <f t="shared" si="1"/>
        <v>43.685599931874307</v>
      </c>
      <c r="V38" s="433">
        <f t="shared" si="7"/>
        <v>57.985688729874774</v>
      </c>
      <c r="W38" s="432">
        <v>0.1</v>
      </c>
      <c r="X38" s="431">
        <f t="shared" si="2"/>
        <v>0.43066255778120188</v>
      </c>
      <c r="Y38" s="431">
        <f t="shared" si="8"/>
        <v>11.179335999999999</v>
      </c>
      <c r="Z38" s="431">
        <f t="shared" si="8"/>
        <v>26.608400000000003</v>
      </c>
      <c r="AA38" s="431">
        <f t="shared" si="8"/>
        <v>488.37599999999998</v>
      </c>
      <c r="AB38" s="431">
        <f t="shared" si="5"/>
        <v>43.685599931874307</v>
      </c>
      <c r="AC38" s="431">
        <f t="shared" si="3"/>
        <v>57.985688729874774</v>
      </c>
      <c r="AD38" s="427">
        <v>31</v>
      </c>
      <c r="AE38" s="431">
        <f t="shared" si="6"/>
        <v>346.559416</v>
      </c>
      <c r="AF38" s="434"/>
    </row>
    <row r="39" spans="1:32" ht="18.75" x14ac:dyDescent="0.2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9" t="s">
        <v>212</v>
      </c>
      <c r="I39" s="574">
        <v>547.65</v>
      </c>
      <c r="J39" s="427">
        <v>130</v>
      </c>
      <c r="K39" s="435"/>
      <c r="L39" s="435">
        <v>418</v>
      </c>
      <c r="M39" s="435"/>
      <c r="N39" s="427">
        <v>8.1</v>
      </c>
      <c r="O39" s="427"/>
      <c r="P39" s="430">
        <v>21.341338977460712</v>
      </c>
      <c r="Q39" s="431">
        <f t="shared" ref="Q39:Q75" si="9">LEFT(H39,(FIND("K",H39,1)-1))*J39/100</f>
        <v>10.4</v>
      </c>
      <c r="R39" s="432">
        <v>5.9809999999999999</v>
      </c>
      <c r="S39" s="431">
        <v>7.3029999999999999</v>
      </c>
      <c r="T39" s="431">
        <v>38</v>
      </c>
      <c r="U39" s="431">
        <f t="shared" si="1"/>
        <v>6.3534525998996827</v>
      </c>
      <c r="V39" s="433">
        <f t="shared" si="7"/>
        <v>18.102149801451457</v>
      </c>
      <c r="W39" s="432">
        <v>1</v>
      </c>
      <c r="X39" s="431">
        <f t="shared" si="2"/>
        <v>0.70221153846153839</v>
      </c>
      <c r="Y39" s="431">
        <f t="shared" si="8"/>
        <v>5.6939119999999992</v>
      </c>
      <c r="Z39" s="431">
        <f t="shared" si="8"/>
        <v>6.9524559999999997</v>
      </c>
      <c r="AA39" s="431">
        <f t="shared" si="8"/>
        <v>36.176000000000002</v>
      </c>
      <c r="AB39" s="431">
        <f t="shared" si="5"/>
        <v>6.3534525998996827</v>
      </c>
      <c r="AC39" s="431">
        <f t="shared" si="3"/>
        <v>18.102149801451457</v>
      </c>
      <c r="AD39" s="427">
        <v>31</v>
      </c>
      <c r="AE39" s="431">
        <f t="shared" si="6"/>
        <v>176.51127199999996</v>
      </c>
      <c r="AF39" s="434"/>
    </row>
    <row r="40" spans="1:32" ht="18.75" x14ac:dyDescent="0.2">
      <c r="A40" s="427">
        <v>27</v>
      </c>
      <c r="B40" s="568" t="s">
        <v>161</v>
      </c>
      <c r="C40" s="427" t="s">
        <v>46</v>
      </c>
      <c r="D40" s="574">
        <v>677</v>
      </c>
      <c r="E40" s="429" t="s">
        <v>178</v>
      </c>
      <c r="F40" s="427">
        <v>177.8</v>
      </c>
      <c r="G40" s="427" t="s">
        <v>28</v>
      </c>
      <c r="H40" s="429" t="s">
        <v>52</v>
      </c>
      <c r="I40" s="574">
        <v>535.41</v>
      </c>
      <c r="J40" s="574">
        <v>130</v>
      </c>
      <c r="K40" s="424"/>
      <c r="L40" s="424">
        <v>464</v>
      </c>
      <c r="M40" s="424"/>
      <c r="N40" s="427">
        <v>7</v>
      </c>
      <c r="O40" s="574"/>
      <c r="P40" s="448">
        <v>15.115308901778825</v>
      </c>
      <c r="Q40" s="431">
        <f t="shared" si="9"/>
        <v>28.6</v>
      </c>
      <c r="R40" s="432">
        <v>3.98</v>
      </c>
      <c r="S40" s="431">
        <v>5.2349999999999994</v>
      </c>
      <c r="T40" s="437">
        <v>500</v>
      </c>
      <c r="U40" s="431">
        <f t="shared" si="1"/>
        <v>125.62814070351759</v>
      </c>
      <c r="V40" s="433">
        <f t="shared" si="7"/>
        <v>23.973256924546316</v>
      </c>
      <c r="W40" s="432">
        <v>0.3</v>
      </c>
      <c r="X40" s="431">
        <f t="shared" si="2"/>
        <v>0.18304195804195802</v>
      </c>
      <c r="Y40" s="431">
        <f t="shared" si="8"/>
        <v>3.7889599999999999</v>
      </c>
      <c r="Z40" s="431">
        <f t="shared" si="8"/>
        <v>4.983719999999999</v>
      </c>
      <c r="AA40" s="431">
        <f t="shared" si="8"/>
        <v>476</v>
      </c>
      <c r="AB40" s="431">
        <f t="shared" si="5"/>
        <v>125.62814070351759</v>
      </c>
      <c r="AC40" s="431">
        <f t="shared" si="3"/>
        <v>23.973256924546316</v>
      </c>
      <c r="AD40" s="427">
        <v>31</v>
      </c>
      <c r="AE40" s="431">
        <f t="shared" si="6"/>
        <v>117.45775999999999</v>
      </c>
      <c r="AF40" s="449"/>
    </row>
    <row r="41" spans="1:32" ht="27" customHeight="1" x14ac:dyDescent="0.2">
      <c r="A41" s="427">
        <v>28</v>
      </c>
      <c r="B41" s="568" t="s">
        <v>162</v>
      </c>
      <c r="C41" s="427" t="s">
        <v>46</v>
      </c>
      <c r="D41" s="574">
        <v>676</v>
      </c>
      <c r="E41" s="429" t="s">
        <v>180</v>
      </c>
      <c r="F41" s="427">
        <v>177.8</v>
      </c>
      <c r="G41" s="427" t="s">
        <v>28</v>
      </c>
      <c r="H41" s="429" t="s">
        <v>50</v>
      </c>
      <c r="I41" s="574">
        <v>545.42999999999995</v>
      </c>
      <c r="J41" s="574">
        <v>0</v>
      </c>
      <c r="K41" s="424">
        <v>70</v>
      </c>
      <c r="L41" s="435"/>
      <c r="M41" s="424">
        <v>1.4</v>
      </c>
      <c r="N41" s="427"/>
      <c r="O41" s="574"/>
      <c r="P41" s="448">
        <v>38.823330494591829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8"/>
        <v>0</v>
      </c>
      <c r="Z41" s="431">
        <f t="shared" si="8"/>
        <v>0</v>
      </c>
      <c r="AA41" s="431">
        <f t="shared" si="8"/>
        <v>0</v>
      </c>
      <c r="AB41" s="431">
        <f t="shared" si="5"/>
        <v>0</v>
      </c>
      <c r="AC41" s="431">
        <f t="shared" si="3"/>
        <v>0</v>
      </c>
      <c r="AD41" s="427">
        <v>0</v>
      </c>
      <c r="AE41" s="431">
        <f t="shared" si="6"/>
        <v>0</v>
      </c>
      <c r="AF41" s="449" t="s">
        <v>335</v>
      </c>
    </row>
    <row r="42" spans="1:32" ht="18.75" x14ac:dyDescent="0.2">
      <c r="A42" s="427">
        <v>29</v>
      </c>
      <c r="B42" s="568" t="s">
        <v>163</v>
      </c>
      <c r="C42" s="427" t="s">
        <v>46</v>
      </c>
      <c r="D42" s="574">
        <v>677.27</v>
      </c>
      <c r="E42" s="429" t="s">
        <v>194</v>
      </c>
      <c r="F42" s="427">
        <v>177.8</v>
      </c>
      <c r="G42" s="427" t="s">
        <v>28</v>
      </c>
      <c r="H42" s="429" t="s">
        <v>187</v>
      </c>
      <c r="I42" s="574">
        <v>553.82000000000005</v>
      </c>
      <c r="J42" s="574">
        <v>180</v>
      </c>
      <c r="K42" s="424"/>
      <c r="L42" s="424">
        <v>273</v>
      </c>
      <c r="M42" s="424"/>
      <c r="N42" s="427">
        <v>6.8</v>
      </c>
      <c r="O42" s="574"/>
      <c r="P42" s="448">
        <v>38.971728540102788</v>
      </c>
      <c r="Q42" s="431">
        <f t="shared" si="9"/>
        <v>10.8</v>
      </c>
      <c r="R42" s="432">
        <v>2.0129999999999999</v>
      </c>
      <c r="S42" s="431">
        <v>4.1959999999999997</v>
      </c>
      <c r="T42" s="437">
        <v>3</v>
      </c>
      <c r="U42" s="431">
        <f>T42/R42</f>
        <v>1.4903129657228018</v>
      </c>
      <c r="V42" s="433">
        <f t="shared" si="7"/>
        <v>52.025738798856047</v>
      </c>
      <c r="W42" s="432">
        <v>0.5</v>
      </c>
      <c r="X42" s="431">
        <f t="shared" si="2"/>
        <v>0.38851851851851849</v>
      </c>
      <c r="Y42" s="431">
        <f t="shared" si="8"/>
        <v>1.9163759999999999</v>
      </c>
      <c r="Z42" s="431">
        <f t="shared" si="8"/>
        <v>3.9945919999999995</v>
      </c>
      <c r="AA42" s="431">
        <f t="shared" si="8"/>
        <v>2.8559999999999999</v>
      </c>
      <c r="AB42" s="431">
        <f t="shared" si="5"/>
        <v>1.4903129657228018</v>
      </c>
      <c r="AC42" s="431">
        <f t="shared" si="3"/>
        <v>52.025738798856047</v>
      </c>
      <c r="AD42" s="427">
        <v>31</v>
      </c>
      <c r="AE42" s="431">
        <f t="shared" si="6"/>
        <v>59.407655999999996</v>
      </c>
      <c r="AF42" s="449"/>
    </row>
    <row r="43" spans="1:32" ht="18.75" x14ac:dyDescent="0.2">
      <c r="A43" s="427">
        <v>30</v>
      </c>
      <c r="B43" s="428" t="s">
        <v>59</v>
      </c>
      <c r="C43" s="427" t="s">
        <v>46</v>
      </c>
      <c r="D43" s="429">
        <v>643</v>
      </c>
      <c r="E43" s="427" t="s">
        <v>94</v>
      </c>
      <c r="F43" s="427">
        <v>177.8</v>
      </c>
      <c r="G43" s="427" t="s">
        <v>28</v>
      </c>
      <c r="H43" s="429" t="s">
        <v>48</v>
      </c>
      <c r="I43" s="574">
        <v>540.79999999999995</v>
      </c>
      <c r="J43" s="427">
        <v>105</v>
      </c>
      <c r="K43" s="435"/>
      <c r="L43" s="435">
        <v>438</v>
      </c>
      <c r="M43" s="435"/>
      <c r="N43" s="427">
        <v>3.2</v>
      </c>
      <c r="O43" s="427"/>
      <c r="P43" s="430">
        <v>14.936352531208927</v>
      </c>
      <c r="Q43" s="431">
        <f t="shared" si="9"/>
        <v>13.65</v>
      </c>
      <c r="R43" s="432">
        <v>3.383</v>
      </c>
      <c r="S43" s="431">
        <v>5.2130000000000001</v>
      </c>
      <c r="T43" s="431">
        <v>11</v>
      </c>
      <c r="U43" s="431">
        <f t="shared" si="1"/>
        <v>3.2515518770322198</v>
      </c>
      <c r="V43" s="433">
        <f t="shared" si="7"/>
        <v>35.104546326491466</v>
      </c>
      <c r="W43" s="432">
        <v>0.1</v>
      </c>
      <c r="X43" s="431">
        <f t="shared" si="2"/>
        <v>0.38190476190476191</v>
      </c>
      <c r="Y43" s="431">
        <f t="shared" si="8"/>
        <v>3.2206159999999997</v>
      </c>
      <c r="Z43" s="431">
        <f t="shared" si="8"/>
        <v>4.9627759999999999</v>
      </c>
      <c r="AA43" s="431">
        <f t="shared" si="8"/>
        <v>10.472</v>
      </c>
      <c r="AB43" s="431">
        <f>U43</f>
        <v>3.2515518770322198</v>
      </c>
      <c r="AC43" s="431">
        <f t="shared" si="3"/>
        <v>35.104546326491466</v>
      </c>
      <c r="AD43" s="427">
        <v>31</v>
      </c>
      <c r="AE43" s="431">
        <f t="shared" si="6"/>
        <v>99.839095999999984</v>
      </c>
      <c r="AF43" s="439"/>
    </row>
    <row r="44" spans="1:32" ht="18.75" x14ac:dyDescent="0.2">
      <c r="A44" s="427">
        <v>31</v>
      </c>
      <c r="B44" s="428" t="s">
        <v>207</v>
      </c>
      <c r="C44" s="427" t="s">
        <v>46</v>
      </c>
      <c r="D44" s="429">
        <v>673</v>
      </c>
      <c r="E44" s="427" t="s">
        <v>230</v>
      </c>
      <c r="F44" s="427">
        <v>177.8</v>
      </c>
      <c r="G44" s="427" t="s">
        <v>28</v>
      </c>
      <c r="H44" s="429" t="s">
        <v>50</v>
      </c>
      <c r="I44" s="574">
        <v>564.41999999999996</v>
      </c>
      <c r="J44" s="427">
        <v>195</v>
      </c>
      <c r="K44" s="435"/>
      <c r="L44" s="435">
        <v>363</v>
      </c>
      <c r="M44" s="435"/>
      <c r="N44" s="430">
        <v>4.3</v>
      </c>
      <c r="O44" s="427"/>
      <c r="P44" s="430">
        <v>23.899565700552216</v>
      </c>
      <c r="Q44" s="431">
        <f t="shared" si="9"/>
        <v>11.7</v>
      </c>
      <c r="R44" s="432">
        <v>6.9459999999999997</v>
      </c>
      <c r="S44" s="431">
        <v>9.4339999999999993</v>
      </c>
      <c r="T44" s="431">
        <v>3</v>
      </c>
      <c r="U44" s="431">
        <f t="shared" si="1"/>
        <v>0.43190325367117766</v>
      </c>
      <c r="V44" s="433">
        <f t="shared" si="7"/>
        <v>26.372694509221962</v>
      </c>
      <c r="W44" s="432">
        <v>0.2</v>
      </c>
      <c r="X44" s="431">
        <f t="shared" si="2"/>
        <v>0.80632478632478632</v>
      </c>
      <c r="Y44" s="431">
        <f t="shared" si="8"/>
        <v>6.6125919999999994</v>
      </c>
      <c r="Z44" s="431">
        <f t="shared" si="8"/>
        <v>8.9811679999999985</v>
      </c>
      <c r="AA44" s="431">
        <f t="shared" si="8"/>
        <v>2.8559999999999999</v>
      </c>
      <c r="AB44" s="431">
        <f>U44</f>
        <v>0.43190325367117766</v>
      </c>
      <c r="AC44" s="431">
        <f t="shared" si="3"/>
        <v>26.372694509221962</v>
      </c>
      <c r="AD44" s="427">
        <v>31</v>
      </c>
      <c r="AE44" s="431">
        <f t="shared" si="6"/>
        <v>204.99035199999997</v>
      </c>
      <c r="AF44" s="439"/>
    </row>
    <row r="45" spans="1:32" ht="18.75" x14ac:dyDescent="0.2">
      <c r="A45" s="427">
        <v>32</v>
      </c>
      <c r="B45" s="428" t="s">
        <v>196</v>
      </c>
      <c r="C45" s="427" t="s">
        <v>304</v>
      </c>
      <c r="D45" s="429">
        <v>641</v>
      </c>
      <c r="E45" s="427" t="s">
        <v>296</v>
      </c>
      <c r="F45" s="427">
        <v>177.8</v>
      </c>
      <c r="G45" s="427" t="s">
        <v>28</v>
      </c>
      <c r="H45" s="429" t="s">
        <v>218</v>
      </c>
      <c r="I45" s="574">
        <v>618.66999999999996</v>
      </c>
      <c r="J45" s="427">
        <v>75</v>
      </c>
      <c r="K45" s="435"/>
      <c r="L45" s="435">
        <v>505</v>
      </c>
      <c r="M45" s="435"/>
      <c r="N45" s="430">
        <v>0.5</v>
      </c>
      <c r="O45" s="427"/>
      <c r="P45" s="430">
        <v>11.192081167004902</v>
      </c>
      <c r="Q45" s="431">
        <f t="shared" si="9"/>
        <v>24</v>
      </c>
      <c r="R45" s="432">
        <v>1.6459999999999999</v>
      </c>
      <c r="S45" s="431">
        <v>2.3239999999999998</v>
      </c>
      <c r="T45" s="431">
        <v>0</v>
      </c>
      <c r="U45" s="431">
        <f t="shared" si="1"/>
        <v>0</v>
      </c>
      <c r="V45" s="433">
        <f t="shared" si="7"/>
        <v>29.17383820998279</v>
      </c>
      <c r="W45" s="432">
        <v>4</v>
      </c>
      <c r="X45" s="431">
        <f t="shared" si="2"/>
        <v>9.6833333333333327E-2</v>
      </c>
      <c r="Y45" s="431">
        <f t="shared" si="8"/>
        <v>1.5669919999999999</v>
      </c>
      <c r="Z45" s="431">
        <f t="shared" si="8"/>
        <v>2.2124479999999997</v>
      </c>
      <c r="AA45" s="431">
        <f t="shared" si="8"/>
        <v>0</v>
      </c>
      <c r="AB45" s="431">
        <f>U45</f>
        <v>0</v>
      </c>
      <c r="AC45" s="431">
        <f t="shared" si="3"/>
        <v>29.17383820998279</v>
      </c>
      <c r="AD45" s="427">
        <v>31</v>
      </c>
      <c r="AE45" s="431">
        <f t="shared" si="6"/>
        <v>48.576751999999999</v>
      </c>
      <c r="AF45" s="439"/>
    </row>
    <row r="46" spans="1:32" ht="18.75" x14ac:dyDescent="0.2">
      <c r="A46" s="427">
        <v>33</v>
      </c>
      <c r="B46" s="428" t="s">
        <v>60</v>
      </c>
      <c r="C46" s="427" t="s">
        <v>46</v>
      </c>
      <c r="D46" s="429">
        <v>638.9</v>
      </c>
      <c r="E46" s="427" t="s">
        <v>95</v>
      </c>
      <c r="F46" s="427">
        <v>177.8</v>
      </c>
      <c r="G46" s="427" t="s">
        <v>28</v>
      </c>
      <c r="H46" s="429" t="s">
        <v>48</v>
      </c>
      <c r="I46" s="574">
        <v>546.64</v>
      </c>
      <c r="J46" s="427">
        <v>100</v>
      </c>
      <c r="K46" s="435"/>
      <c r="L46" s="435">
        <v>468</v>
      </c>
      <c r="M46" s="435"/>
      <c r="N46" s="427">
        <v>7.3</v>
      </c>
      <c r="O46" s="427"/>
      <c r="P46" s="430">
        <v>15.728422423452571</v>
      </c>
      <c r="Q46" s="431">
        <f t="shared" si="9"/>
        <v>13</v>
      </c>
      <c r="R46" s="432">
        <v>4.5670000000000002</v>
      </c>
      <c r="S46" s="431">
        <v>8.2460000000000004</v>
      </c>
      <c r="T46" s="431">
        <v>75</v>
      </c>
      <c r="U46" s="431">
        <f t="shared" si="1"/>
        <v>16.422158966498795</v>
      </c>
      <c r="V46" s="433">
        <f t="shared" si="7"/>
        <v>44.615571186029591</v>
      </c>
      <c r="W46" s="432">
        <v>0.2</v>
      </c>
      <c r="X46" s="431">
        <f t="shared" si="2"/>
        <v>0.63430769230769235</v>
      </c>
      <c r="Y46" s="431">
        <f t="shared" si="8"/>
        <v>4.3477839999999999</v>
      </c>
      <c r="Z46" s="431">
        <f t="shared" si="8"/>
        <v>7.8501919999999998</v>
      </c>
      <c r="AA46" s="431">
        <f t="shared" si="8"/>
        <v>71.399999999999991</v>
      </c>
      <c r="AB46" s="431">
        <f t="shared" si="5"/>
        <v>16.422158966498795</v>
      </c>
      <c r="AC46" s="431">
        <f t="shared" si="3"/>
        <v>44.615571186029591</v>
      </c>
      <c r="AD46" s="427">
        <v>31</v>
      </c>
      <c r="AE46" s="431">
        <f t="shared" si="6"/>
        <v>134.78130400000001</v>
      </c>
      <c r="AF46" s="439"/>
    </row>
    <row r="47" spans="1:32" ht="24.6" customHeight="1" x14ac:dyDescent="0.2">
      <c r="A47" s="427">
        <v>34</v>
      </c>
      <c r="B47" s="428" t="s">
        <v>119</v>
      </c>
      <c r="C47" s="427" t="s">
        <v>46</v>
      </c>
      <c r="D47" s="429">
        <v>654.07000000000005</v>
      </c>
      <c r="E47" s="427" t="s">
        <v>126</v>
      </c>
      <c r="F47" s="427">
        <v>177.8</v>
      </c>
      <c r="G47" s="427" t="s">
        <v>28</v>
      </c>
      <c r="H47" s="429" t="s">
        <v>48</v>
      </c>
      <c r="I47" s="574">
        <v>526.6</v>
      </c>
      <c r="J47" s="427" t="s">
        <v>240</v>
      </c>
      <c r="K47" s="435">
        <v>508</v>
      </c>
      <c r="L47" s="435">
        <v>0</v>
      </c>
      <c r="M47" s="435">
        <v>23.5</v>
      </c>
      <c r="N47" s="427"/>
      <c r="O47" s="427"/>
      <c r="P47" s="430">
        <v>26.320130659620407</v>
      </c>
      <c r="Q47" s="431">
        <f t="shared" si="9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8"/>
        <v>0</v>
      </c>
      <c r="Z47" s="431">
        <f t="shared" si="8"/>
        <v>0</v>
      </c>
      <c r="AA47" s="431">
        <f t="shared" si="8"/>
        <v>0</v>
      </c>
      <c r="AB47" s="431">
        <f t="shared" si="5"/>
        <v>0</v>
      </c>
      <c r="AC47" s="431">
        <f t="shared" si="3"/>
        <v>0</v>
      </c>
      <c r="AD47" s="427">
        <v>0</v>
      </c>
      <c r="AE47" s="431">
        <f t="shared" si="6"/>
        <v>0</v>
      </c>
      <c r="AF47" s="449" t="s">
        <v>335</v>
      </c>
    </row>
    <row r="48" spans="1:32" ht="18.75" x14ac:dyDescent="0.2">
      <c r="A48" s="427">
        <v>35</v>
      </c>
      <c r="B48" s="428" t="s">
        <v>118</v>
      </c>
      <c r="C48" s="427" t="s">
        <v>46</v>
      </c>
      <c r="D48" s="429">
        <v>728.77</v>
      </c>
      <c r="E48" s="427" t="s">
        <v>133</v>
      </c>
      <c r="F48" s="427">
        <v>177.8</v>
      </c>
      <c r="G48" s="427" t="s">
        <v>28</v>
      </c>
      <c r="H48" s="429" t="s">
        <v>48</v>
      </c>
      <c r="I48" s="574">
        <v>557.04999999999995</v>
      </c>
      <c r="J48" s="427">
        <v>100</v>
      </c>
      <c r="K48" s="435"/>
      <c r="L48" s="435">
        <v>426</v>
      </c>
      <c r="M48" s="435"/>
      <c r="N48" s="427">
        <v>7.4</v>
      </c>
      <c r="O48" s="427"/>
      <c r="P48" s="430">
        <v>21.721397558200898</v>
      </c>
      <c r="Q48" s="431">
        <f t="shared" si="9"/>
        <v>13</v>
      </c>
      <c r="R48" s="432">
        <v>1.6020000000000001</v>
      </c>
      <c r="S48" s="431">
        <v>7.5890000000000004</v>
      </c>
      <c r="T48" s="431">
        <v>42</v>
      </c>
      <c r="U48" s="431">
        <f>T48/R48</f>
        <v>26.217228464419474</v>
      </c>
      <c r="V48" s="433">
        <f t="shared" si="7"/>
        <v>78.890499407036501</v>
      </c>
      <c r="W48" s="432">
        <v>0.6</v>
      </c>
      <c r="X48" s="431">
        <f t="shared" ref="X48:X55" si="10">S48/Q48</f>
        <v>0.58376923076923082</v>
      </c>
      <c r="Y48" s="431">
        <f t="shared" si="8"/>
        <v>1.525104</v>
      </c>
      <c r="Z48" s="431">
        <f t="shared" si="8"/>
        <v>7.2247279999999998</v>
      </c>
      <c r="AA48" s="431">
        <f t="shared" si="8"/>
        <v>39.983999999999995</v>
      </c>
      <c r="AB48" s="431">
        <f t="shared" si="5"/>
        <v>26.217228464419474</v>
      </c>
      <c r="AC48" s="431">
        <f t="shared" si="3"/>
        <v>78.890499407036501</v>
      </c>
      <c r="AD48" s="427">
        <v>31</v>
      </c>
      <c r="AE48" s="431">
        <f t="shared" si="6"/>
        <v>47.278224000000002</v>
      </c>
      <c r="AF48" s="439"/>
    </row>
    <row r="49" spans="1:32" ht="18.75" x14ac:dyDescent="0.2">
      <c r="A49" s="427">
        <v>36</v>
      </c>
      <c r="B49" s="428" t="s">
        <v>117</v>
      </c>
      <c r="C49" s="427" t="s">
        <v>46</v>
      </c>
      <c r="D49" s="429">
        <v>671.45</v>
      </c>
      <c r="E49" s="427" t="s">
        <v>128</v>
      </c>
      <c r="F49" s="427">
        <v>177.8</v>
      </c>
      <c r="G49" s="427" t="s">
        <v>28</v>
      </c>
      <c r="H49" s="429" t="s">
        <v>187</v>
      </c>
      <c r="I49" s="574">
        <v>559.39</v>
      </c>
      <c r="J49" s="427">
        <v>265</v>
      </c>
      <c r="K49" s="435"/>
      <c r="L49" s="435">
        <v>273</v>
      </c>
      <c r="M49" s="435"/>
      <c r="N49" s="427">
        <v>2.4</v>
      </c>
      <c r="O49" s="427"/>
      <c r="P49" s="430">
        <v>31.692001233066559</v>
      </c>
      <c r="Q49" s="431">
        <f t="shared" si="9"/>
        <v>15.9</v>
      </c>
      <c r="R49" s="432">
        <v>2.1360000000000001</v>
      </c>
      <c r="S49" s="431">
        <v>6.1840000000000002</v>
      </c>
      <c r="T49" s="431">
        <v>4</v>
      </c>
      <c r="U49" s="431">
        <f t="shared" ref="U49:U55" si="11">T49/R49</f>
        <v>1.8726591760299625</v>
      </c>
      <c r="V49" s="433">
        <f t="shared" si="7"/>
        <v>65.459249676584733</v>
      </c>
      <c r="W49" s="432">
        <v>0.8</v>
      </c>
      <c r="X49" s="431">
        <f t="shared" si="10"/>
        <v>0.38893081761006287</v>
      </c>
      <c r="Y49" s="431">
        <f t="shared" si="8"/>
        <v>2.0334720000000002</v>
      </c>
      <c r="Z49" s="431">
        <f t="shared" si="8"/>
        <v>5.887168</v>
      </c>
      <c r="AA49" s="431">
        <f t="shared" si="8"/>
        <v>3.8079999999999998</v>
      </c>
      <c r="AB49" s="431">
        <f t="shared" si="5"/>
        <v>1.8726591760299625</v>
      </c>
      <c r="AC49" s="431">
        <f t="shared" si="3"/>
        <v>65.459249676584733</v>
      </c>
      <c r="AD49" s="427">
        <v>31</v>
      </c>
      <c r="AE49" s="431">
        <f t="shared" si="6"/>
        <v>63.037632000000002</v>
      </c>
      <c r="AF49" s="434"/>
    </row>
    <row r="50" spans="1:32" ht="18.75" x14ac:dyDescent="0.2">
      <c r="A50" s="427">
        <v>37</v>
      </c>
      <c r="B50" s="428" t="s">
        <v>130</v>
      </c>
      <c r="C50" s="427" t="s">
        <v>46</v>
      </c>
      <c r="D50" s="429">
        <v>622.6</v>
      </c>
      <c r="E50" s="427" t="s">
        <v>134</v>
      </c>
      <c r="F50" s="427">
        <v>177.8</v>
      </c>
      <c r="G50" s="427" t="s">
        <v>28</v>
      </c>
      <c r="H50" s="429" t="s">
        <v>48</v>
      </c>
      <c r="I50" s="574">
        <v>551.79999999999995</v>
      </c>
      <c r="J50" s="427">
        <v>85</v>
      </c>
      <c r="K50" s="435"/>
      <c r="L50" s="435">
        <v>101</v>
      </c>
      <c r="M50" s="435"/>
      <c r="N50" s="427">
        <v>6.4</v>
      </c>
      <c r="O50" s="427"/>
      <c r="P50" s="430">
        <v>53.174295508268564</v>
      </c>
      <c r="Q50" s="431">
        <f t="shared" si="9"/>
        <v>11.05</v>
      </c>
      <c r="R50" s="432">
        <v>6.2E-2</v>
      </c>
      <c r="S50" s="431">
        <v>6.4640000000000004</v>
      </c>
      <c r="T50" s="431">
        <v>0</v>
      </c>
      <c r="U50" s="431">
        <v>0</v>
      </c>
      <c r="V50" s="433">
        <f t="shared" si="7"/>
        <v>99.040841584158414</v>
      </c>
      <c r="W50" s="432">
        <v>0</v>
      </c>
      <c r="X50" s="431">
        <f t="shared" si="10"/>
        <v>0.58497737556561091</v>
      </c>
      <c r="Y50" s="431">
        <f t="shared" si="8"/>
        <v>5.9024E-2</v>
      </c>
      <c r="Z50" s="431">
        <f t="shared" si="8"/>
        <v>6.1537280000000001</v>
      </c>
      <c r="AA50" s="431">
        <f t="shared" si="8"/>
        <v>0</v>
      </c>
      <c r="AB50" s="431">
        <f t="shared" si="5"/>
        <v>0</v>
      </c>
      <c r="AC50" s="431">
        <f t="shared" si="3"/>
        <v>99.040841584158414</v>
      </c>
      <c r="AD50" s="427">
        <v>31</v>
      </c>
      <c r="AE50" s="431">
        <f t="shared" si="6"/>
        <v>1.829744</v>
      </c>
      <c r="AF50" s="434"/>
    </row>
    <row r="51" spans="1:32" ht="30" customHeight="1" x14ac:dyDescent="0.2">
      <c r="A51" s="427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427">
        <v>177.8</v>
      </c>
      <c r="G51" s="451" t="s">
        <v>28</v>
      </c>
      <c r="H51" s="452" t="s">
        <v>291</v>
      </c>
      <c r="I51" s="453">
        <v>565.80999999999995</v>
      </c>
      <c r="J51" s="451">
        <v>0</v>
      </c>
      <c r="K51" s="579">
        <v>255</v>
      </c>
      <c r="L51" s="579"/>
      <c r="M51" s="579">
        <v>0</v>
      </c>
      <c r="N51" s="427"/>
      <c r="O51" s="451"/>
      <c r="P51" s="454">
        <v>29.596326668947601</v>
      </c>
      <c r="Q51" s="455">
        <f t="shared" si="9"/>
        <v>0</v>
      </c>
      <c r="R51" s="456">
        <v>0</v>
      </c>
      <c r="S51" s="431">
        <v>0</v>
      </c>
      <c r="T51" s="455">
        <v>0</v>
      </c>
      <c r="U51" s="431">
        <v>0</v>
      </c>
      <c r="V51" s="433">
        <v>0</v>
      </c>
      <c r="W51" s="456">
        <v>0.8</v>
      </c>
      <c r="X51" s="431">
        <v>0</v>
      </c>
      <c r="Y51" s="431">
        <f t="shared" si="8"/>
        <v>0</v>
      </c>
      <c r="Z51" s="431">
        <f t="shared" si="8"/>
        <v>0</v>
      </c>
      <c r="AA51" s="431">
        <f t="shared" si="8"/>
        <v>0</v>
      </c>
      <c r="AB51" s="455">
        <f t="shared" si="5"/>
        <v>0</v>
      </c>
      <c r="AC51" s="431">
        <f t="shared" si="3"/>
        <v>0</v>
      </c>
      <c r="AD51" s="427">
        <v>0</v>
      </c>
      <c r="AE51" s="455">
        <f t="shared" si="6"/>
        <v>0</v>
      </c>
      <c r="AF51" s="449" t="s">
        <v>335</v>
      </c>
    </row>
    <row r="52" spans="1:32" ht="18.75" x14ac:dyDescent="0.2">
      <c r="A52" s="427">
        <v>39</v>
      </c>
      <c r="B52" s="428" t="s">
        <v>116</v>
      </c>
      <c r="C52" s="427" t="s">
        <v>46</v>
      </c>
      <c r="D52" s="429">
        <v>681.27</v>
      </c>
      <c r="E52" s="427" t="s">
        <v>124</v>
      </c>
      <c r="F52" s="427">
        <v>177.8</v>
      </c>
      <c r="G52" s="427" t="s">
        <v>28</v>
      </c>
      <c r="H52" s="429" t="s">
        <v>53</v>
      </c>
      <c r="I52" s="574">
        <v>558.35</v>
      </c>
      <c r="J52" s="427">
        <v>240</v>
      </c>
      <c r="K52" s="435"/>
      <c r="L52" s="435">
        <v>363</v>
      </c>
      <c r="M52" s="435"/>
      <c r="N52" s="427">
        <v>7.5</v>
      </c>
      <c r="O52" s="427"/>
      <c r="P52" s="430">
        <v>27.56036820507514</v>
      </c>
      <c r="Q52" s="455">
        <f t="shared" si="9"/>
        <v>31.2</v>
      </c>
      <c r="R52" s="432">
        <v>4.3220000000000001</v>
      </c>
      <c r="S52" s="431">
        <v>8.4409999999999989</v>
      </c>
      <c r="T52" s="431">
        <v>6</v>
      </c>
      <c r="U52" s="431">
        <f t="shared" si="11"/>
        <v>1.3882461823229986</v>
      </c>
      <c r="V52" s="433">
        <f t="shared" si="7"/>
        <v>48.797535836986135</v>
      </c>
      <c r="W52" s="432">
        <v>0.4</v>
      </c>
      <c r="X52" s="431">
        <f t="shared" si="10"/>
        <v>0.27054487179487174</v>
      </c>
      <c r="Y52" s="431">
        <f t="shared" si="8"/>
        <v>4.1145439999999995</v>
      </c>
      <c r="Z52" s="431">
        <f t="shared" si="8"/>
        <v>8.0358319999999992</v>
      </c>
      <c r="AA52" s="431">
        <f t="shared" si="8"/>
        <v>5.7119999999999997</v>
      </c>
      <c r="AB52" s="431">
        <f t="shared" si="5"/>
        <v>1.3882461823229986</v>
      </c>
      <c r="AC52" s="431">
        <f t="shared" si="3"/>
        <v>48.797535836986135</v>
      </c>
      <c r="AD52" s="427">
        <v>31</v>
      </c>
      <c r="AE52" s="431">
        <f t="shared" si="6"/>
        <v>127.55086399999999</v>
      </c>
      <c r="AF52" s="449"/>
    </row>
    <row r="53" spans="1:32" ht="18.75" x14ac:dyDescent="0.2">
      <c r="A53" s="427">
        <v>40</v>
      </c>
      <c r="B53" s="428" t="s">
        <v>120</v>
      </c>
      <c r="C53" s="427" t="s">
        <v>46</v>
      </c>
      <c r="D53" s="429">
        <v>668.57</v>
      </c>
      <c r="E53" s="427" t="s">
        <v>285</v>
      </c>
      <c r="F53" s="427">
        <v>177.8</v>
      </c>
      <c r="G53" s="427" t="s">
        <v>28</v>
      </c>
      <c r="H53" s="429" t="s">
        <v>48</v>
      </c>
      <c r="I53" s="574">
        <v>567.08000000000004</v>
      </c>
      <c r="J53" s="427">
        <v>170</v>
      </c>
      <c r="K53" s="435"/>
      <c r="L53" s="435">
        <v>417</v>
      </c>
      <c r="M53" s="435"/>
      <c r="N53" s="427">
        <v>0.8</v>
      </c>
      <c r="O53" s="427"/>
      <c r="P53" s="430">
        <v>16.292695681015282</v>
      </c>
      <c r="Q53" s="431">
        <f t="shared" si="9"/>
        <v>22.1</v>
      </c>
      <c r="R53" s="432">
        <v>2.774</v>
      </c>
      <c r="S53" s="431">
        <v>4.6390000000000002</v>
      </c>
      <c r="T53" s="431">
        <v>5</v>
      </c>
      <c r="U53" s="431">
        <f t="shared" si="11"/>
        <v>1.8024513338139869</v>
      </c>
      <c r="V53" s="433">
        <f t="shared" si="7"/>
        <v>40.202629877128693</v>
      </c>
      <c r="W53" s="432">
        <v>3</v>
      </c>
      <c r="X53" s="431">
        <f t="shared" si="10"/>
        <v>0.20990950226244343</v>
      </c>
      <c r="Y53" s="431">
        <f t="shared" si="8"/>
        <v>2.6408480000000001</v>
      </c>
      <c r="Z53" s="431">
        <f t="shared" si="8"/>
        <v>4.416328</v>
      </c>
      <c r="AA53" s="431">
        <f t="shared" si="8"/>
        <v>4.76</v>
      </c>
      <c r="AB53" s="431">
        <f t="shared" si="5"/>
        <v>1.8024513338139869</v>
      </c>
      <c r="AC53" s="431">
        <f t="shared" si="3"/>
        <v>40.202629877128693</v>
      </c>
      <c r="AD53" s="427">
        <v>31</v>
      </c>
      <c r="AE53" s="431">
        <f t="shared" si="6"/>
        <v>81.866287999999997</v>
      </c>
      <c r="AF53" s="434"/>
    </row>
    <row r="54" spans="1:32" ht="18.75" x14ac:dyDescent="0.2">
      <c r="A54" s="427">
        <v>41</v>
      </c>
      <c r="B54" s="428" t="s">
        <v>114</v>
      </c>
      <c r="C54" s="427" t="s">
        <v>46</v>
      </c>
      <c r="D54" s="429">
        <v>584.25</v>
      </c>
      <c r="E54" s="427" t="s">
        <v>123</v>
      </c>
      <c r="F54" s="427">
        <v>177.8</v>
      </c>
      <c r="G54" s="427" t="s">
        <v>28</v>
      </c>
      <c r="H54" s="429" t="s">
        <v>125</v>
      </c>
      <c r="I54" s="574">
        <v>565.08000000000004</v>
      </c>
      <c r="J54" s="427">
        <v>240</v>
      </c>
      <c r="K54" s="435"/>
      <c r="L54" s="435">
        <v>23</v>
      </c>
      <c r="M54" s="435"/>
      <c r="N54" s="427">
        <v>0.6</v>
      </c>
      <c r="O54" s="427"/>
      <c r="P54" s="430">
        <v>55.746254444728223</v>
      </c>
      <c r="Q54" s="431">
        <f t="shared" si="9"/>
        <v>7.2</v>
      </c>
      <c r="R54" s="432">
        <v>0.11600000000000001</v>
      </c>
      <c r="S54" s="431">
        <v>1.2000000000000002</v>
      </c>
      <c r="T54" s="431">
        <v>0</v>
      </c>
      <c r="U54" s="431">
        <f t="shared" si="11"/>
        <v>0</v>
      </c>
      <c r="V54" s="433">
        <f t="shared" si="7"/>
        <v>90.333333333333314</v>
      </c>
      <c r="W54" s="432">
        <v>0.2</v>
      </c>
      <c r="X54" s="431">
        <f t="shared" si="10"/>
        <v>0.16666666666666669</v>
      </c>
      <c r="Y54" s="431">
        <f t="shared" si="8"/>
        <v>0.110432</v>
      </c>
      <c r="Z54" s="431">
        <f t="shared" si="8"/>
        <v>1.1424000000000001</v>
      </c>
      <c r="AA54" s="431">
        <f t="shared" si="8"/>
        <v>0</v>
      </c>
      <c r="AB54" s="431">
        <f t="shared" si="5"/>
        <v>0</v>
      </c>
      <c r="AC54" s="431">
        <f t="shared" si="3"/>
        <v>90.333333333333314</v>
      </c>
      <c r="AD54" s="427">
        <v>31</v>
      </c>
      <c r="AE54" s="431">
        <f t="shared" si="6"/>
        <v>3.4233920000000002</v>
      </c>
      <c r="AF54" s="457"/>
    </row>
    <row r="55" spans="1:32" ht="18.75" x14ac:dyDescent="0.2">
      <c r="A55" s="427">
        <v>42</v>
      </c>
      <c r="B55" s="428" t="s">
        <v>106</v>
      </c>
      <c r="C55" s="427" t="s">
        <v>46</v>
      </c>
      <c r="D55" s="429">
        <v>642.52</v>
      </c>
      <c r="E55" s="427" t="s">
        <v>111</v>
      </c>
      <c r="F55" s="427">
        <v>177.8</v>
      </c>
      <c r="G55" s="427" t="s">
        <v>28</v>
      </c>
      <c r="H55" s="429" t="s">
        <v>52</v>
      </c>
      <c r="I55" s="574">
        <v>556.65</v>
      </c>
      <c r="J55" s="427">
        <v>175</v>
      </c>
      <c r="K55" s="435"/>
      <c r="L55" s="435">
        <v>215</v>
      </c>
      <c r="M55" s="435"/>
      <c r="N55" s="427">
        <v>7.3</v>
      </c>
      <c r="O55" s="427"/>
      <c r="P55" s="430">
        <v>43.137089742987101</v>
      </c>
      <c r="Q55" s="431">
        <f t="shared" si="9"/>
        <v>38.5</v>
      </c>
      <c r="R55" s="432">
        <v>0.16600000000000001</v>
      </c>
      <c r="S55" s="431">
        <v>9.8659999999999997</v>
      </c>
      <c r="T55" s="431">
        <v>0</v>
      </c>
      <c r="U55" s="431">
        <f t="shared" si="11"/>
        <v>0</v>
      </c>
      <c r="V55" s="433">
        <f t="shared" si="7"/>
        <v>98.317453882019052</v>
      </c>
      <c r="W55" s="432">
        <v>0</v>
      </c>
      <c r="X55" s="431">
        <f t="shared" si="10"/>
        <v>0.25625974025974024</v>
      </c>
      <c r="Y55" s="431">
        <f t="shared" si="8"/>
        <v>0.15803200000000001</v>
      </c>
      <c r="Z55" s="431">
        <f t="shared" si="8"/>
        <v>9.3924319999999994</v>
      </c>
      <c r="AA55" s="431">
        <f t="shared" si="8"/>
        <v>0</v>
      </c>
      <c r="AB55" s="431">
        <f t="shared" si="5"/>
        <v>0</v>
      </c>
      <c r="AC55" s="431">
        <f t="shared" si="3"/>
        <v>98.317453882019052</v>
      </c>
      <c r="AD55" s="427">
        <v>31</v>
      </c>
      <c r="AE55" s="431">
        <f t="shared" si="6"/>
        <v>4.8989919999999998</v>
      </c>
      <c r="AF55" s="449"/>
    </row>
    <row r="56" spans="1:32" ht="18.75" x14ac:dyDescent="0.2">
      <c r="A56" s="427">
        <v>43</v>
      </c>
      <c r="B56" s="428" t="s">
        <v>105</v>
      </c>
      <c r="C56" s="427" t="s">
        <v>46</v>
      </c>
      <c r="D56" s="429">
        <v>678.58</v>
      </c>
      <c r="E56" s="427" t="s">
        <v>110</v>
      </c>
      <c r="F56" s="427">
        <v>177.8</v>
      </c>
      <c r="G56" s="427" t="s">
        <v>28</v>
      </c>
      <c r="H56" s="429" t="s">
        <v>52</v>
      </c>
      <c r="I56" s="574">
        <v>529.41</v>
      </c>
      <c r="J56" s="427" t="s">
        <v>240</v>
      </c>
      <c r="K56" s="435">
        <v>268</v>
      </c>
      <c r="L56" s="435">
        <v>0</v>
      </c>
      <c r="M56" s="435">
        <v>1.3</v>
      </c>
      <c r="N56" s="427"/>
      <c r="O56" s="427"/>
      <c r="P56" s="430">
        <v>30.077391883718668</v>
      </c>
      <c r="Q56" s="431">
        <f t="shared" si="9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8"/>
        <v>0</v>
      </c>
      <c r="Z56" s="431">
        <f t="shared" si="8"/>
        <v>0</v>
      </c>
      <c r="AA56" s="431">
        <f t="shared" si="8"/>
        <v>0</v>
      </c>
      <c r="AB56" s="431">
        <f t="shared" si="5"/>
        <v>0</v>
      </c>
      <c r="AC56" s="431">
        <f t="shared" si="3"/>
        <v>0</v>
      </c>
      <c r="AD56" s="427">
        <v>0</v>
      </c>
      <c r="AE56" s="431">
        <f t="shared" si="6"/>
        <v>0</v>
      </c>
      <c r="AF56" s="434" t="s">
        <v>335</v>
      </c>
    </row>
    <row r="57" spans="1:32" ht="18.75" x14ac:dyDescent="0.2">
      <c r="A57" s="427">
        <v>44</v>
      </c>
      <c r="B57" s="428" t="s">
        <v>104</v>
      </c>
      <c r="C57" s="427" t="s">
        <v>46</v>
      </c>
      <c r="D57" s="429">
        <v>707.14</v>
      </c>
      <c r="E57" s="427" t="s">
        <v>231</v>
      </c>
      <c r="F57" s="427">
        <v>177.8</v>
      </c>
      <c r="G57" s="427" t="s">
        <v>28</v>
      </c>
      <c r="H57" s="429" t="s">
        <v>52</v>
      </c>
      <c r="I57" s="574">
        <v>555</v>
      </c>
      <c r="J57" s="427" t="s">
        <v>240</v>
      </c>
      <c r="K57" s="435">
        <v>479</v>
      </c>
      <c r="L57" s="435">
        <v>0</v>
      </c>
      <c r="M57" s="435">
        <v>27.8</v>
      </c>
      <c r="N57" s="427"/>
      <c r="O57" s="427"/>
      <c r="P57" s="430">
        <v>36.69780043208025</v>
      </c>
      <c r="Q57" s="431">
        <f t="shared" si="9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3">
        <v>0</v>
      </c>
      <c r="W57" s="432">
        <v>0</v>
      </c>
      <c r="X57" s="431">
        <f>IF(S57=0,0,S57/Q57)</f>
        <v>0</v>
      </c>
      <c r="Y57" s="431">
        <f t="shared" si="8"/>
        <v>0</v>
      </c>
      <c r="Z57" s="431">
        <f t="shared" si="8"/>
        <v>0</v>
      </c>
      <c r="AA57" s="431">
        <f t="shared" si="8"/>
        <v>0</v>
      </c>
      <c r="AB57" s="431">
        <f t="shared" si="5"/>
        <v>0</v>
      </c>
      <c r="AC57" s="431">
        <f t="shared" si="3"/>
        <v>0</v>
      </c>
      <c r="AD57" s="427">
        <v>0</v>
      </c>
      <c r="AE57" s="431">
        <f t="shared" si="6"/>
        <v>0</v>
      </c>
      <c r="AF57" s="434" t="s">
        <v>334</v>
      </c>
    </row>
    <row r="58" spans="1:32" ht="26.45" customHeight="1" x14ac:dyDescent="0.3">
      <c r="A58" s="427">
        <v>45</v>
      </c>
      <c r="B58" s="568" t="s">
        <v>158</v>
      </c>
      <c r="C58" s="427" t="s">
        <v>46</v>
      </c>
      <c r="D58" s="574">
        <v>674.45</v>
      </c>
      <c r="E58" s="574" t="s">
        <v>232</v>
      </c>
      <c r="F58" s="427">
        <v>177.8</v>
      </c>
      <c r="G58" s="427" t="s">
        <v>28</v>
      </c>
      <c r="H58" s="429" t="s">
        <v>52</v>
      </c>
      <c r="I58" s="574">
        <v>543.72</v>
      </c>
      <c r="J58" s="574">
        <v>190</v>
      </c>
      <c r="K58" s="424"/>
      <c r="L58" s="424">
        <v>455</v>
      </c>
      <c r="M58" s="424"/>
      <c r="N58" s="427">
        <v>7.9</v>
      </c>
      <c r="O58" s="574"/>
      <c r="P58" s="448">
        <v>17.699594498341877</v>
      </c>
      <c r="Q58" s="431">
        <f t="shared" si="9"/>
        <v>41.8</v>
      </c>
      <c r="R58" s="432">
        <v>6.7770000000000001</v>
      </c>
      <c r="S58" s="431">
        <v>9.4050000000000011</v>
      </c>
      <c r="T58" s="437">
        <v>521</v>
      </c>
      <c r="U58" s="431">
        <f t="shared" ref="U58:U64" si="12">T58/R58</f>
        <v>76.877674487236234</v>
      </c>
      <c r="V58" s="433">
        <f t="shared" si="7"/>
        <v>27.942583732057425</v>
      </c>
      <c r="W58" s="432">
        <v>0.2</v>
      </c>
      <c r="X58" s="431">
        <f t="shared" ref="X58:X77" si="13">S58/Q58</f>
        <v>0.22500000000000003</v>
      </c>
      <c r="Y58" s="431">
        <f t="shared" si="8"/>
        <v>6.4517039999999994</v>
      </c>
      <c r="Z58" s="431">
        <f t="shared" si="8"/>
        <v>8.9535600000000013</v>
      </c>
      <c r="AA58" s="431">
        <f t="shared" si="8"/>
        <v>495.99199999999996</v>
      </c>
      <c r="AB58" s="431">
        <f t="shared" si="5"/>
        <v>76.877674487236234</v>
      </c>
      <c r="AC58" s="431">
        <f t="shared" si="3"/>
        <v>27.942583732057425</v>
      </c>
      <c r="AD58" s="427">
        <v>31</v>
      </c>
      <c r="AE58" s="431">
        <f>Y58*AD58</f>
        <v>200.00282399999998</v>
      </c>
      <c r="AF58" s="458"/>
    </row>
    <row r="59" spans="1:32" ht="19.899999999999999" customHeight="1" x14ac:dyDescent="0.2">
      <c r="A59" s="427">
        <v>46</v>
      </c>
      <c r="B59" s="568" t="s">
        <v>160</v>
      </c>
      <c r="C59" s="427" t="s">
        <v>304</v>
      </c>
      <c r="D59" s="574">
        <v>677.33</v>
      </c>
      <c r="E59" s="574" t="s">
        <v>315</v>
      </c>
      <c r="F59" s="427">
        <v>177.8</v>
      </c>
      <c r="G59" s="427" t="s">
        <v>28</v>
      </c>
      <c r="H59" s="429" t="s">
        <v>50</v>
      </c>
      <c r="I59" s="574">
        <v>619</v>
      </c>
      <c r="J59" s="574">
        <v>0</v>
      </c>
      <c r="K59" s="424">
        <v>255</v>
      </c>
      <c r="L59" s="435"/>
      <c r="M59" s="424">
        <v>0</v>
      </c>
      <c r="N59" s="427"/>
      <c r="O59" s="574"/>
      <c r="P59" s="448">
        <v>35.063661587571268</v>
      </c>
      <c r="Q59" s="431">
        <f t="shared" si="9"/>
        <v>0</v>
      </c>
      <c r="R59" s="432">
        <v>0</v>
      </c>
      <c r="S59" s="431">
        <v>0</v>
      </c>
      <c r="T59" s="437">
        <v>0</v>
      </c>
      <c r="U59" s="431">
        <v>0</v>
      </c>
      <c r="V59" s="433">
        <v>0</v>
      </c>
      <c r="W59" s="432">
        <v>0</v>
      </c>
      <c r="X59" s="431" t="e">
        <f t="shared" si="13"/>
        <v>#DIV/0!</v>
      </c>
      <c r="Y59" s="431">
        <f t="shared" si="8"/>
        <v>0</v>
      </c>
      <c r="Z59" s="431">
        <f t="shared" si="8"/>
        <v>0</v>
      </c>
      <c r="AA59" s="431">
        <f t="shared" si="8"/>
        <v>0</v>
      </c>
      <c r="AB59" s="431">
        <f t="shared" si="5"/>
        <v>0</v>
      </c>
      <c r="AC59" s="431">
        <f t="shared" si="3"/>
        <v>0</v>
      </c>
      <c r="AD59" s="427">
        <v>0</v>
      </c>
      <c r="AE59" s="431">
        <f>Y59*AD59</f>
        <v>0</v>
      </c>
      <c r="AF59" s="434" t="s">
        <v>334</v>
      </c>
    </row>
    <row r="60" spans="1:32" ht="23.45" customHeight="1" x14ac:dyDescent="0.2">
      <c r="A60" s="427">
        <v>47</v>
      </c>
      <c r="B60" s="428" t="s">
        <v>164</v>
      </c>
      <c r="C60" s="427" t="s">
        <v>46</v>
      </c>
      <c r="D60" s="574">
        <v>678.47</v>
      </c>
      <c r="E60" s="574" t="s">
        <v>233</v>
      </c>
      <c r="F60" s="427">
        <v>177.8</v>
      </c>
      <c r="G60" s="427" t="s">
        <v>28</v>
      </c>
      <c r="H60" s="429" t="s">
        <v>48</v>
      </c>
      <c r="I60" s="574">
        <v>563.11</v>
      </c>
      <c r="J60" s="574">
        <v>160</v>
      </c>
      <c r="K60" s="424"/>
      <c r="L60" s="424">
        <v>450</v>
      </c>
      <c r="M60" s="424"/>
      <c r="N60" s="427">
        <v>1.9</v>
      </c>
      <c r="O60" s="574"/>
      <c r="P60" s="430">
        <v>14.220339221542325</v>
      </c>
      <c r="Q60" s="431">
        <f t="shared" si="9"/>
        <v>20.8</v>
      </c>
      <c r="R60" s="432">
        <v>3.996</v>
      </c>
      <c r="S60" s="431">
        <v>4.766</v>
      </c>
      <c r="T60" s="431">
        <v>14</v>
      </c>
      <c r="U60" s="431">
        <f t="shared" si="12"/>
        <v>3.5035035035035036</v>
      </c>
      <c r="V60" s="433">
        <f t="shared" si="7"/>
        <v>16.156105749055811</v>
      </c>
      <c r="W60" s="432">
        <v>0.3</v>
      </c>
      <c r="X60" s="431">
        <f t="shared" si="13"/>
        <v>0.22913461538461538</v>
      </c>
      <c r="Y60" s="431">
        <f t="shared" si="8"/>
        <v>3.804192</v>
      </c>
      <c r="Z60" s="431">
        <f t="shared" si="8"/>
        <v>4.5372319999999995</v>
      </c>
      <c r="AA60" s="431">
        <f t="shared" si="8"/>
        <v>13.327999999999999</v>
      </c>
      <c r="AB60" s="431">
        <f t="shared" si="5"/>
        <v>3.5035035035035036</v>
      </c>
      <c r="AC60" s="431">
        <f t="shared" si="3"/>
        <v>16.156105749055811</v>
      </c>
      <c r="AD60" s="427">
        <v>31</v>
      </c>
      <c r="AE60" s="431">
        <f t="shared" ref="AE60:AE75" si="14">Y60*AD60</f>
        <v>117.929952</v>
      </c>
      <c r="AF60" s="434"/>
    </row>
    <row r="61" spans="1:32" ht="18.75" x14ac:dyDescent="0.2">
      <c r="A61" s="427">
        <v>48</v>
      </c>
      <c r="B61" s="428" t="s">
        <v>61</v>
      </c>
      <c r="C61" s="427" t="s">
        <v>46</v>
      </c>
      <c r="D61" s="429">
        <v>667.18</v>
      </c>
      <c r="E61" s="427" t="s">
        <v>96</v>
      </c>
      <c r="F61" s="427">
        <v>177.8</v>
      </c>
      <c r="G61" s="427" t="s">
        <v>28</v>
      </c>
      <c r="H61" s="429" t="s">
        <v>52</v>
      </c>
      <c r="I61" s="574">
        <v>534.21</v>
      </c>
      <c r="J61" s="427">
        <v>150</v>
      </c>
      <c r="K61" s="435"/>
      <c r="L61" s="435">
        <v>447</v>
      </c>
      <c r="M61" s="435"/>
      <c r="N61" s="427">
        <v>8.5</v>
      </c>
      <c r="O61" s="427"/>
      <c r="P61" s="430">
        <v>18.901114805254981</v>
      </c>
      <c r="Q61" s="431">
        <f t="shared" si="9"/>
        <v>33</v>
      </c>
      <c r="R61" s="432">
        <v>7.9889999999999999</v>
      </c>
      <c r="S61" s="431">
        <v>11.262</v>
      </c>
      <c r="T61" s="431">
        <v>125</v>
      </c>
      <c r="U61" s="431">
        <f t="shared" si="12"/>
        <v>15.64651395669045</v>
      </c>
      <c r="V61" s="433">
        <f t="shared" si="7"/>
        <v>29.06233351092169</v>
      </c>
      <c r="W61" s="432">
        <v>0.1</v>
      </c>
      <c r="X61" s="431">
        <f t="shared" si="13"/>
        <v>0.34127272727272728</v>
      </c>
      <c r="Y61" s="431">
        <f t="shared" si="8"/>
        <v>7.6055279999999996</v>
      </c>
      <c r="Z61" s="431">
        <f t="shared" si="8"/>
        <v>10.721424000000001</v>
      </c>
      <c r="AA61" s="431">
        <f t="shared" si="8"/>
        <v>119</v>
      </c>
      <c r="AB61" s="431">
        <f t="shared" si="5"/>
        <v>15.64651395669045</v>
      </c>
      <c r="AC61" s="431">
        <f t="shared" si="3"/>
        <v>29.06233351092169</v>
      </c>
      <c r="AD61" s="427">
        <v>31</v>
      </c>
      <c r="AE61" s="431">
        <f t="shared" si="14"/>
        <v>235.771368</v>
      </c>
      <c r="AF61" s="449"/>
    </row>
    <row r="62" spans="1:32" ht="18.75" x14ac:dyDescent="0.2">
      <c r="A62" s="427">
        <v>49</v>
      </c>
      <c r="B62" s="428" t="s">
        <v>64</v>
      </c>
      <c r="C62" s="427" t="s">
        <v>46</v>
      </c>
      <c r="D62" s="429">
        <v>672.5</v>
      </c>
      <c r="E62" s="427" t="s">
        <v>234</v>
      </c>
      <c r="F62" s="427">
        <v>177.8</v>
      </c>
      <c r="G62" s="427" t="s">
        <v>28</v>
      </c>
      <c r="H62" s="429" t="s">
        <v>49</v>
      </c>
      <c r="I62" s="574">
        <v>533.70000000000005</v>
      </c>
      <c r="J62" s="427">
        <v>105</v>
      </c>
      <c r="K62" s="427"/>
      <c r="L62" s="427">
        <v>422</v>
      </c>
      <c r="M62" s="427"/>
      <c r="N62" s="427">
        <v>8.5</v>
      </c>
      <c r="O62" s="427"/>
      <c r="P62" s="430">
        <v>21.553200194531328</v>
      </c>
      <c r="Q62" s="431">
        <f t="shared" si="9"/>
        <v>33.6</v>
      </c>
      <c r="R62" s="432">
        <v>10.541</v>
      </c>
      <c r="S62" s="431">
        <v>14.053000000000001</v>
      </c>
      <c r="T62" s="530">
        <v>533</v>
      </c>
      <c r="U62" s="431">
        <f t="shared" si="12"/>
        <v>50.56446257470828</v>
      </c>
      <c r="V62" s="433">
        <f t="shared" si="7"/>
        <v>24.99110510211343</v>
      </c>
      <c r="W62" s="432">
        <v>0.1</v>
      </c>
      <c r="X62" s="431">
        <f t="shared" si="13"/>
        <v>0.4182440476190476</v>
      </c>
      <c r="Y62" s="431">
        <f t="shared" si="8"/>
        <v>10.035031999999999</v>
      </c>
      <c r="Z62" s="431">
        <f t="shared" si="8"/>
        <v>13.378456</v>
      </c>
      <c r="AA62" s="530">
        <f t="shared" si="8"/>
        <v>507.416</v>
      </c>
      <c r="AB62" s="431">
        <f t="shared" si="5"/>
        <v>50.56446257470828</v>
      </c>
      <c r="AC62" s="431">
        <f t="shared" si="3"/>
        <v>24.99110510211343</v>
      </c>
      <c r="AD62" s="427">
        <v>31</v>
      </c>
      <c r="AE62" s="431">
        <f t="shared" si="14"/>
        <v>311.08599199999998</v>
      </c>
      <c r="AF62" s="439"/>
    </row>
    <row r="63" spans="1:32" ht="18.75" x14ac:dyDescent="0.2">
      <c r="A63" s="427">
        <v>50</v>
      </c>
      <c r="B63" s="428" t="s">
        <v>156</v>
      </c>
      <c r="C63" s="427" t="s">
        <v>46</v>
      </c>
      <c r="D63" s="429">
        <v>679.54</v>
      </c>
      <c r="E63" s="427" t="s">
        <v>166</v>
      </c>
      <c r="F63" s="427">
        <v>177.8</v>
      </c>
      <c r="G63" s="427" t="s">
        <v>28</v>
      </c>
      <c r="H63" s="429" t="s">
        <v>52</v>
      </c>
      <c r="I63" s="574">
        <v>530.98</v>
      </c>
      <c r="J63" s="427">
        <v>185</v>
      </c>
      <c r="K63" s="427"/>
      <c r="L63" s="427">
        <v>451</v>
      </c>
      <c r="M63" s="427"/>
      <c r="N63" s="427">
        <v>6.9</v>
      </c>
      <c r="O63" s="427"/>
      <c r="P63" s="430">
        <v>16.955002306100326</v>
      </c>
      <c r="Q63" s="431">
        <f t="shared" si="9"/>
        <v>40.700000000000003</v>
      </c>
      <c r="R63" s="432">
        <v>6.7030000000000003</v>
      </c>
      <c r="S63" s="431">
        <v>9.5500000000000007</v>
      </c>
      <c r="T63" s="431">
        <v>108</v>
      </c>
      <c r="U63" s="431">
        <f t="shared" si="12"/>
        <v>16.112188572281067</v>
      </c>
      <c r="V63" s="433">
        <f t="shared" si="7"/>
        <v>29.811518324607334</v>
      </c>
      <c r="W63" s="432">
        <v>0.4</v>
      </c>
      <c r="X63" s="431">
        <f t="shared" si="13"/>
        <v>0.23464373464373464</v>
      </c>
      <c r="Y63" s="431">
        <f t="shared" si="8"/>
        <v>6.3812559999999996</v>
      </c>
      <c r="Z63" s="431">
        <f t="shared" si="8"/>
        <v>9.0915999999999997</v>
      </c>
      <c r="AA63" s="431">
        <f t="shared" si="8"/>
        <v>102.816</v>
      </c>
      <c r="AB63" s="431">
        <f t="shared" si="5"/>
        <v>16.112188572281067</v>
      </c>
      <c r="AC63" s="431">
        <f t="shared" si="3"/>
        <v>29.811518324607334</v>
      </c>
      <c r="AD63" s="427">
        <v>31</v>
      </c>
      <c r="AE63" s="431">
        <f t="shared" si="14"/>
        <v>197.81893599999998</v>
      </c>
      <c r="AF63" s="439"/>
    </row>
    <row r="64" spans="1:32" ht="18.75" x14ac:dyDescent="0.2">
      <c r="A64" s="427">
        <v>51</v>
      </c>
      <c r="B64" s="428" t="s">
        <v>169</v>
      </c>
      <c r="C64" s="427" t="s">
        <v>46</v>
      </c>
      <c r="D64" s="429">
        <v>673</v>
      </c>
      <c r="E64" s="427" t="s">
        <v>170</v>
      </c>
      <c r="F64" s="427">
        <v>177.8</v>
      </c>
      <c r="G64" s="427" t="s">
        <v>28</v>
      </c>
      <c r="H64" s="429" t="s">
        <v>52</v>
      </c>
      <c r="I64" s="574">
        <v>541.48</v>
      </c>
      <c r="J64" s="427">
        <v>340</v>
      </c>
      <c r="K64" s="427"/>
      <c r="L64" s="427">
        <v>411</v>
      </c>
      <c r="M64" s="427"/>
      <c r="N64" s="427">
        <v>1.3</v>
      </c>
      <c r="O64" s="427"/>
      <c r="P64" s="430">
        <v>16.424768494538675</v>
      </c>
      <c r="Q64" s="431">
        <f t="shared" si="9"/>
        <v>74.8</v>
      </c>
      <c r="R64" s="432">
        <v>4.76</v>
      </c>
      <c r="S64" s="431">
        <v>6.5469999999999997</v>
      </c>
      <c r="T64" s="431">
        <v>67</v>
      </c>
      <c r="U64" s="431">
        <f t="shared" si="12"/>
        <v>14.075630252100842</v>
      </c>
      <c r="V64" s="433">
        <f t="shared" si="7"/>
        <v>27.294944249274479</v>
      </c>
      <c r="W64" s="432">
        <v>0.4</v>
      </c>
      <c r="X64" s="431">
        <f t="shared" si="13"/>
        <v>8.7526737967914436E-2</v>
      </c>
      <c r="Y64" s="431">
        <f t="shared" si="8"/>
        <v>4.5315199999999995</v>
      </c>
      <c r="Z64" s="431">
        <f t="shared" si="8"/>
        <v>6.2327439999999994</v>
      </c>
      <c r="AA64" s="431">
        <f t="shared" si="8"/>
        <v>63.783999999999999</v>
      </c>
      <c r="AB64" s="431">
        <f t="shared" si="5"/>
        <v>14.075630252100842</v>
      </c>
      <c r="AC64" s="431">
        <f t="shared" si="3"/>
        <v>27.294944249274479</v>
      </c>
      <c r="AD64" s="427">
        <v>31</v>
      </c>
      <c r="AE64" s="431">
        <f>Y64*AD64</f>
        <v>140.47711999999999</v>
      </c>
      <c r="AF64" s="439"/>
    </row>
    <row r="65" spans="1:32" ht="18.75" x14ac:dyDescent="0.2">
      <c r="A65" s="427">
        <v>52</v>
      </c>
      <c r="B65" s="428" t="s">
        <v>62</v>
      </c>
      <c r="C65" s="427" t="s">
        <v>46</v>
      </c>
      <c r="D65" s="429">
        <v>673.73</v>
      </c>
      <c r="E65" s="427" t="s">
        <v>97</v>
      </c>
      <c r="F65" s="427">
        <v>177.8</v>
      </c>
      <c r="G65" s="427" t="s">
        <v>28</v>
      </c>
      <c r="H65" s="429" t="s">
        <v>218</v>
      </c>
      <c r="I65" s="574">
        <v>543</v>
      </c>
      <c r="J65" s="427">
        <v>175</v>
      </c>
      <c r="K65" s="427"/>
      <c r="L65" s="427">
        <v>443</v>
      </c>
      <c r="M65" s="427"/>
      <c r="N65" s="427">
        <v>4</v>
      </c>
      <c r="O65" s="427"/>
      <c r="P65" s="430">
        <v>15.334359965097956</v>
      </c>
      <c r="Q65" s="431">
        <f t="shared" si="9"/>
        <v>56</v>
      </c>
      <c r="R65" s="432">
        <v>10.112</v>
      </c>
      <c r="S65" s="431">
        <v>11.619</v>
      </c>
      <c r="T65" s="431">
        <v>141</v>
      </c>
      <c r="U65" s="431">
        <f t="shared" si="1"/>
        <v>13.94382911392405</v>
      </c>
      <c r="V65" s="433">
        <f t="shared" si="7"/>
        <v>12.970135123504603</v>
      </c>
      <c r="W65" s="432">
        <v>0.3</v>
      </c>
      <c r="X65" s="431">
        <f t="shared" si="13"/>
        <v>0.20748214285714286</v>
      </c>
      <c r="Y65" s="431">
        <f t="shared" si="8"/>
        <v>9.6266239999999996</v>
      </c>
      <c r="Z65" s="431">
        <f t="shared" si="8"/>
        <v>11.061287999999999</v>
      </c>
      <c r="AA65" s="431">
        <f t="shared" si="8"/>
        <v>134.232</v>
      </c>
      <c r="AB65" s="431">
        <f t="shared" si="5"/>
        <v>13.94382911392405</v>
      </c>
      <c r="AC65" s="431">
        <f t="shared" si="3"/>
        <v>12.970135123504603</v>
      </c>
      <c r="AD65" s="427">
        <v>31</v>
      </c>
      <c r="AE65" s="431">
        <f t="shared" si="14"/>
        <v>298.425344</v>
      </c>
      <c r="AF65" s="434"/>
    </row>
    <row r="66" spans="1:32" ht="18.75" x14ac:dyDescent="0.2">
      <c r="A66" s="427">
        <v>53</v>
      </c>
      <c r="B66" s="428" t="s">
        <v>157</v>
      </c>
      <c r="C66" s="427" t="s">
        <v>46</v>
      </c>
      <c r="D66" s="429">
        <v>676.73</v>
      </c>
      <c r="E66" s="427" t="s">
        <v>179</v>
      </c>
      <c r="F66" s="427">
        <v>177.8</v>
      </c>
      <c r="G66" s="427" t="s">
        <v>28</v>
      </c>
      <c r="H66" s="429" t="s">
        <v>218</v>
      </c>
      <c r="I66" s="574">
        <v>579.14</v>
      </c>
      <c r="J66" s="427">
        <v>100</v>
      </c>
      <c r="K66" s="427"/>
      <c r="L66" s="427">
        <v>109</v>
      </c>
      <c r="M66" s="427"/>
      <c r="N66" s="427">
        <v>6.1</v>
      </c>
      <c r="O66" s="427"/>
      <c r="P66" s="430">
        <v>49.383493976691568</v>
      </c>
      <c r="Q66" s="431">
        <f t="shared" si="9"/>
        <v>32</v>
      </c>
      <c r="R66" s="432">
        <v>7.0679999999999996</v>
      </c>
      <c r="S66" s="431">
        <v>24.329000000000001</v>
      </c>
      <c r="T66" s="431">
        <v>86</v>
      </c>
      <c r="U66" s="431">
        <f t="shared" si="1"/>
        <v>12.167515563101302</v>
      </c>
      <c r="V66" s="433">
        <f t="shared" si="7"/>
        <v>70.948251058407678</v>
      </c>
      <c r="W66" s="432">
        <v>0.5</v>
      </c>
      <c r="X66" s="431">
        <f t="shared" si="13"/>
        <v>0.76028125000000002</v>
      </c>
      <c r="Y66" s="431">
        <f t="shared" si="8"/>
        <v>6.7287359999999996</v>
      </c>
      <c r="Z66" s="431">
        <f t="shared" si="8"/>
        <v>23.161207999999998</v>
      </c>
      <c r="AA66" s="431">
        <f t="shared" si="8"/>
        <v>81.872</v>
      </c>
      <c r="AB66" s="431">
        <f t="shared" si="5"/>
        <v>12.167515563101302</v>
      </c>
      <c r="AC66" s="431">
        <f t="shared" si="3"/>
        <v>70.948251058407678</v>
      </c>
      <c r="AD66" s="427">
        <v>31</v>
      </c>
      <c r="AE66" s="431">
        <f t="shared" si="14"/>
        <v>208.59081599999999</v>
      </c>
      <c r="AF66" s="459"/>
    </row>
    <row r="67" spans="1:32" ht="18.75" x14ac:dyDescent="0.2">
      <c r="A67" s="427">
        <v>54</v>
      </c>
      <c r="B67" s="428" t="s">
        <v>159</v>
      </c>
      <c r="C67" s="427" t="s">
        <v>46</v>
      </c>
      <c r="D67" s="429">
        <v>676</v>
      </c>
      <c r="E67" s="427" t="s">
        <v>167</v>
      </c>
      <c r="F67" s="427">
        <v>177.8</v>
      </c>
      <c r="G67" s="427" t="s">
        <v>28</v>
      </c>
      <c r="H67" s="429" t="s">
        <v>218</v>
      </c>
      <c r="I67" s="574">
        <v>508.57</v>
      </c>
      <c r="J67" s="427">
        <v>260</v>
      </c>
      <c r="K67" s="427"/>
      <c r="L67" s="427">
        <v>465</v>
      </c>
      <c r="M67" s="427"/>
      <c r="N67" s="427">
        <v>9</v>
      </c>
      <c r="O67" s="427"/>
      <c r="P67" s="430">
        <v>14.272399729665304</v>
      </c>
      <c r="Q67" s="431">
        <f t="shared" si="9"/>
        <v>83.2</v>
      </c>
      <c r="R67" s="432">
        <v>27.12</v>
      </c>
      <c r="S67" s="431">
        <v>35.891000000000005</v>
      </c>
      <c r="T67" s="431">
        <v>764</v>
      </c>
      <c r="U67" s="431">
        <f t="shared" si="1"/>
        <v>28.171091445427727</v>
      </c>
      <c r="V67" s="433">
        <f t="shared" si="7"/>
        <v>24.437881363015805</v>
      </c>
      <c r="W67" s="432">
        <v>0.1</v>
      </c>
      <c r="X67" s="431">
        <f t="shared" si="13"/>
        <v>0.43138221153846157</v>
      </c>
      <c r="Y67" s="431">
        <f t="shared" si="8"/>
        <v>25.818239999999999</v>
      </c>
      <c r="Z67" s="431">
        <f t="shared" si="8"/>
        <v>34.168232000000003</v>
      </c>
      <c r="AA67" s="431">
        <f t="shared" si="8"/>
        <v>727.32799999999997</v>
      </c>
      <c r="AB67" s="431">
        <f t="shared" si="5"/>
        <v>28.171091445427727</v>
      </c>
      <c r="AC67" s="431">
        <f t="shared" si="3"/>
        <v>24.437881363015805</v>
      </c>
      <c r="AD67" s="427">
        <v>31</v>
      </c>
      <c r="AE67" s="431">
        <f t="shared" si="14"/>
        <v>800.36544000000004</v>
      </c>
      <c r="AF67" s="434"/>
    </row>
    <row r="68" spans="1:32" ht="18.75" x14ac:dyDescent="0.2">
      <c r="A68" s="427">
        <v>55</v>
      </c>
      <c r="B68" s="428" t="s">
        <v>330</v>
      </c>
      <c r="C68" s="427" t="s">
        <v>46</v>
      </c>
      <c r="D68" s="429">
        <v>595</v>
      </c>
      <c r="E68" s="427" t="s">
        <v>367</v>
      </c>
      <c r="F68" s="427">
        <v>178.8</v>
      </c>
      <c r="G68" s="427" t="s">
        <v>28</v>
      </c>
      <c r="H68" s="241" t="s">
        <v>366</v>
      </c>
      <c r="I68" s="576">
        <v>505</v>
      </c>
      <c r="J68" s="427">
        <v>100</v>
      </c>
      <c r="K68" s="427"/>
      <c r="L68" s="427">
        <v>370</v>
      </c>
      <c r="M68" s="427"/>
      <c r="N68" s="427">
        <v>9</v>
      </c>
      <c r="O68" s="427"/>
      <c r="P68" s="430">
        <v>21.438195166605151</v>
      </c>
      <c r="Q68" s="431" t="e">
        <f t="shared" si="9"/>
        <v>#VALUE!</v>
      </c>
      <c r="R68" s="432"/>
      <c r="S68" s="431"/>
      <c r="T68" s="431"/>
      <c r="U68" s="431"/>
      <c r="V68" s="433" t="e">
        <f t="shared" si="7"/>
        <v>#DIV/0!</v>
      </c>
      <c r="W68" s="432">
        <v>0.1</v>
      </c>
      <c r="X68" s="431" t="e">
        <f t="shared" si="13"/>
        <v>#VALUE!</v>
      </c>
      <c r="Y68" s="431">
        <v>25</v>
      </c>
      <c r="Z68" s="431">
        <v>30</v>
      </c>
      <c r="AA68" s="431">
        <v>500</v>
      </c>
      <c r="AB68" s="431">
        <v>20</v>
      </c>
      <c r="AC68" s="431">
        <v>17</v>
      </c>
      <c r="AD68" s="427">
        <v>31</v>
      </c>
      <c r="AE68" s="431">
        <f t="shared" si="14"/>
        <v>775</v>
      </c>
      <c r="AF68" s="434" t="s">
        <v>368</v>
      </c>
    </row>
    <row r="69" spans="1:32" ht="18.75" x14ac:dyDescent="0.2">
      <c r="A69" s="427">
        <v>56</v>
      </c>
      <c r="B69" s="428" t="s">
        <v>210</v>
      </c>
      <c r="C69" s="427" t="s">
        <v>46</v>
      </c>
      <c r="D69" s="429">
        <v>728.32</v>
      </c>
      <c r="E69" s="427" t="s">
        <v>226</v>
      </c>
      <c r="F69" s="427">
        <v>177.8</v>
      </c>
      <c r="G69" s="427" t="s">
        <v>28</v>
      </c>
      <c r="H69" s="429" t="s">
        <v>218</v>
      </c>
      <c r="I69" s="574">
        <v>519.38</v>
      </c>
      <c r="J69" s="427">
        <v>200</v>
      </c>
      <c r="K69" s="427"/>
      <c r="L69" s="427">
        <v>457</v>
      </c>
      <c r="M69" s="427"/>
      <c r="N69" s="427">
        <v>10.1</v>
      </c>
      <c r="O69" s="427"/>
      <c r="P69" s="430">
        <v>17.814802183713002</v>
      </c>
      <c r="Q69" s="431">
        <f t="shared" si="9"/>
        <v>64</v>
      </c>
      <c r="R69" s="432">
        <v>20.838000000000001</v>
      </c>
      <c r="S69" s="431">
        <v>24.286999999999999</v>
      </c>
      <c r="T69" s="431">
        <v>717</v>
      </c>
      <c r="U69" s="431">
        <f t="shared" si="1"/>
        <v>34.408292542470484</v>
      </c>
      <c r="V69" s="433">
        <f t="shared" si="7"/>
        <v>14.201012887553006</v>
      </c>
      <c r="W69" s="432">
        <v>0.2</v>
      </c>
      <c r="X69" s="431">
        <f t="shared" si="13"/>
        <v>0.37948437499999998</v>
      </c>
      <c r="Y69" s="431">
        <f t="shared" si="8"/>
        <v>19.837776000000002</v>
      </c>
      <c r="Z69" s="431">
        <f t="shared" si="8"/>
        <v>23.121223999999998</v>
      </c>
      <c r="AA69" s="431">
        <f t="shared" si="8"/>
        <v>682.58399999999995</v>
      </c>
      <c r="AB69" s="431">
        <f t="shared" si="5"/>
        <v>34.408292542470484</v>
      </c>
      <c r="AC69" s="431">
        <f t="shared" si="3"/>
        <v>14.201012887553006</v>
      </c>
      <c r="AD69" s="427">
        <v>31</v>
      </c>
      <c r="AE69" s="431">
        <f t="shared" si="14"/>
        <v>614.97105600000009</v>
      </c>
      <c r="AF69" s="439"/>
    </row>
    <row r="70" spans="1:32" ht="18.75" x14ac:dyDescent="0.2">
      <c r="A70" s="427">
        <v>57</v>
      </c>
      <c r="B70" s="428" t="s">
        <v>63</v>
      </c>
      <c r="C70" s="427" t="s">
        <v>46</v>
      </c>
      <c r="D70" s="429">
        <v>672.99</v>
      </c>
      <c r="E70" s="427" t="s">
        <v>98</v>
      </c>
      <c r="F70" s="427">
        <v>177.8</v>
      </c>
      <c r="G70" s="427" t="s">
        <v>28</v>
      </c>
      <c r="H70" s="429" t="s">
        <v>310</v>
      </c>
      <c r="I70" s="574">
        <v>536.32000000000005</v>
      </c>
      <c r="J70" s="427">
        <v>230</v>
      </c>
      <c r="K70" s="427"/>
      <c r="L70" s="427">
        <v>372</v>
      </c>
      <c r="M70" s="427"/>
      <c r="N70" s="427">
        <v>9.1999999999999993</v>
      </c>
      <c r="O70" s="427"/>
      <c r="P70" s="430">
        <v>26.80531771988143</v>
      </c>
      <c r="Q70" s="431">
        <f t="shared" si="9"/>
        <v>50.6</v>
      </c>
      <c r="R70" s="432">
        <v>14.582000000000001</v>
      </c>
      <c r="S70" s="431">
        <v>19.298000000000002</v>
      </c>
      <c r="T70" s="431">
        <v>909</v>
      </c>
      <c r="U70" s="431">
        <f t="shared" si="1"/>
        <v>62.337127965985459</v>
      </c>
      <c r="V70" s="433">
        <f t="shared" si="7"/>
        <v>24.437765571561822</v>
      </c>
      <c r="W70" s="432">
        <v>0.3</v>
      </c>
      <c r="X70" s="431">
        <f t="shared" si="13"/>
        <v>0.38138339920948622</v>
      </c>
      <c r="Y70" s="431">
        <f t="shared" si="8"/>
        <v>13.882064</v>
      </c>
      <c r="Z70" s="431">
        <f t="shared" si="8"/>
        <v>18.371696</v>
      </c>
      <c r="AA70" s="431">
        <f t="shared" si="8"/>
        <v>865.36799999999994</v>
      </c>
      <c r="AB70" s="431">
        <f t="shared" si="5"/>
        <v>62.337127965985459</v>
      </c>
      <c r="AC70" s="431">
        <f t="shared" si="3"/>
        <v>24.437765571561822</v>
      </c>
      <c r="AD70" s="427">
        <v>31</v>
      </c>
      <c r="AE70" s="431">
        <f t="shared" si="14"/>
        <v>430.34398399999998</v>
      </c>
      <c r="AF70" s="439"/>
    </row>
    <row r="71" spans="1:32" ht="18.75" x14ac:dyDescent="0.2">
      <c r="A71" s="427">
        <v>58</v>
      </c>
      <c r="B71" s="428" t="s">
        <v>217</v>
      </c>
      <c r="C71" s="427" t="s">
        <v>46</v>
      </c>
      <c r="D71" s="429">
        <v>684.57</v>
      </c>
      <c r="E71" s="427" t="s">
        <v>359</v>
      </c>
      <c r="F71" s="427">
        <v>177.8</v>
      </c>
      <c r="G71" s="427" t="s">
        <v>28</v>
      </c>
      <c r="H71" s="429" t="s">
        <v>219</v>
      </c>
      <c r="I71" s="574">
        <v>555.95000000000005</v>
      </c>
      <c r="J71" s="427">
        <v>205</v>
      </c>
      <c r="K71" s="427"/>
      <c r="L71" s="427">
        <v>329</v>
      </c>
      <c r="M71" s="427"/>
      <c r="N71" s="427">
        <v>9.8000000000000007</v>
      </c>
      <c r="O71" s="427"/>
      <c r="P71" s="430">
        <v>34.567554831428531</v>
      </c>
      <c r="Q71" s="431">
        <f t="shared" si="9"/>
        <v>24.6</v>
      </c>
      <c r="R71" s="432">
        <v>0.91200000000000003</v>
      </c>
      <c r="S71" s="431">
        <v>12.589</v>
      </c>
      <c r="T71" s="431">
        <v>100</v>
      </c>
      <c r="U71" s="431">
        <f t="shared" si="1"/>
        <v>109.64912280701753</v>
      </c>
      <c r="V71" s="433">
        <f t="shared" si="7"/>
        <v>92.755580268488359</v>
      </c>
      <c r="W71" s="432">
        <v>0</v>
      </c>
      <c r="X71" s="431">
        <f t="shared" si="13"/>
        <v>0.51174796747967477</v>
      </c>
      <c r="Y71" s="431">
        <f t="shared" si="8"/>
        <v>0.868224</v>
      </c>
      <c r="Z71" s="431">
        <f t="shared" si="8"/>
        <v>11.984728</v>
      </c>
      <c r="AA71" s="431">
        <f t="shared" si="8"/>
        <v>95.199999999999989</v>
      </c>
      <c r="AB71" s="431">
        <v>0</v>
      </c>
      <c r="AC71" s="431">
        <f t="shared" si="3"/>
        <v>92.755580268488359</v>
      </c>
      <c r="AD71" s="427">
        <v>31</v>
      </c>
      <c r="AE71" s="431">
        <f t="shared" si="14"/>
        <v>26.914943999999998</v>
      </c>
      <c r="AF71" s="439"/>
    </row>
    <row r="72" spans="1:32" ht="18.75" x14ac:dyDescent="0.2">
      <c r="A72" s="427">
        <v>59</v>
      </c>
      <c r="B72" s="428" t="s">
        <v>211</v>
      </c>
      <c r="C72" s="427" t="s">
        <v>46</v>
      </c>
      <c r="D72" s="429">
        <v>675.29</v>
      </c>
      <c r="E72" s="427" t="s">
        <v>224</v>
      </c>
      <c r="F72" s="427">
        <v>177.8</v>
      </c>
      <c r="G72" s="427" t="s">
        <v>28</v>
      </c>
      <c r="H72" s="429" t="s">
        <v>52</v>
      </c>
      <c r="I72" s="574">
        <v>560.29</v>
      </c>
      <c r="J72" s="427">
        <v>140</v>
      </c>
      <c r="K72" s="427"/>
      <c r="L72" s="427">
        <v>444</v>
      </c>
      <c r="M72" s="427"/>
      <c r="N72" s="427">
        <v>2.2000000000000002</v>
      </c>
      <c r="O72" s="427"/>
      <c r="P72" s="430">
        <v>14.667500767398145</v>
      </c>
      <c r="Q72" s="431">
        <f t="shared" si="9"/>
        <v>30.8</v>
      </c>
      <c r="R72" s="432">
        <v>2.9340000000000002</v>
      </c>
      <c r="S72" s="431">
        <v>3.5640000000000001</v>
      </c>
      <c r="T72" s="431">
        <v>17</v>
      </c>
      <c r="U72" s="431">
        <f t="shared" si="1"/>
        <v>5.7941376959781863</v>
      </c>
      <c r="V72" s="433">
        <f t="shared" si="7"/>
        <v>17.676767676767675</v>
      </c>
      <c r="W72" s="432">
        <v>0.3</v>
      </c>
      <c r="X72" s="431">
        <f t="shared" si="13"/>
        <v>0.11571428571428571</v>
      </c>
      <c r="Y72" s="431">
        <f t="shared" si="8"/>
        <v>2.7931680000000001</v>
      </c>
      <c r="Z72" s="431">
        <f t="shared" si="8"/>
        <v>3.3929279999999999</v>
      </c>
      <c r="AA72" s="431">
        <f t="shared" si="8"/>
        <v>16.183999999999997</v>
      </c>
      <c r="AB72" s="431">
        <f t="shared" si="5"/>
        <v>5.7941376959781863</v>
      </c>
      <c r="AC72" s="431">
        <f t="shared" si="3"/>
        <v>17.676767676767675</v>
      </c>
      <c r="AD72" s="427">
        <v>31</v>
      </c>
      <c r="AE72" s="431">
        <f t="shared" si="14"/>
        <v>86.588208000000009</v>
      </c>
      <c r="AF72" s="439"/>
    </row>
    <row r="73" spans="1:32" ht="18.75" x14ac:dyDescent="0.2">
      <c r="A73" s="427">
        <v>60</v>
      </c>
      <c r="B73" s="428" t="s">
        <v>341</v>
      </c>
      <c r="C73" s="427" t="s">
        <v>46</v>
      </c>
      <c r="D73" s="429">
        <v>683.16</v>
      </c>
      <c r="E73" s="427" t="s">
        <v>343</v>
      </c>
      <c r="F73" s="427">
        <v>177.8</v>
      </c>
      <c r="G73" s="427" t="s">
        <v>28</v>
      </c>
      <c r="H73" s="564" t="s">
        <v>342</v>
      </c>
      <c r="I73" s="574">
        <v>571.9</v>
      </c>
      <c r="J73" s="427">
        <v>115</v>
      </c>
      <c r="K73" s="427"/>
      <c r="L73" s="427">
        <v>119</v>
      </c>
      <c r="M73" s="427"/>
      <c r="N73" s="427">
        <v>6</v>
      </c>
      <c r="O73" s="427"/>
      <c r="P73" s="430">
        <v>45.492009280464899</v>
      </c>
      <c r="Q73" s="431" t="e">
        <f t="shared" si="9"/>
        <v>#VALUE!</v>
      </c>
      <c r="R73" s="432">
        <v>21.004000000000001</v>
      </c>
      <c r="S73" s="431">
        <v>25.101000000000003</v>
      </c>
      <c r="T73" s="431">
        <v>263</v>
      </c>
      <c r="U73" s="431">
        <f t="shared" si="1"/>
        <v>12.521424490573223</v>
      </c>
      <c r="V73" s="433">
        <f t="shared" si="7"/>
        <v>16.322058882116252</v>
      </c>
      <c r="W73" s="432">
        <v>0.2</v>
      </c>
      <c r="X73" s="431" t="e">
        <f t="shared" si="13"/>
        <v>#VALUE!</v>
      </c>
      <c r="Y73" s="431">
        <f t="shared" si="8"/>
        <v>19.995808</v>
      </c>
      <c r="Z73" s="431">
        <f t="shared" si="8"/>
        <v>23.896152000000001</v>
      </c>
      <c r="AA73" s="431">
        <f t="shared" si="8"/>
        <v>250.37599999999998</v>
      </c>
      <c r="AB73" s="431">
        <f t="shared" si="5"/>
        <v>12.521424490573223</v>
      </c>
      <c r="AC73" s="431">
        <f t="shared" si="3"/>
        <v>16.322058882116252</v>
      </c>
      <c r="AD73" s="427">
        <v>31</v>
      </c>
      <c r="AE73" s="431">
        <f t="shared" si="14"/>
        <v>619.870048</v>
      </c>
      <c r="AF73" s="439"/>
    </row>
    <row r="74" spans="1:32" ht="18.75" x14ac:dyDescent="0.3">
      <c r="A74" s="427">
        <v>61</v>
      </c>
      <c r="B74" s="428" t="s">
        <v>354</v>
      </c>
      <c r="C74" s="427" t="s">
        <v>46</v>
      </c>
      <c r="D74" s="429">
        <v>634.29</v>
      </c>
      <c r="E74" s="402" t="s">
        <v>356</v>
      </c>
      <c r="F74" s="427">
        <v>178.8</v>
      </c>
      <c r="G74" s="427" t="s">
        <v>28</v>
      </c>
      <c r="H74" s="241" t="s">
        <v>365</v>
      </c>
      <c r="I74" s="574">
        <v>541.75</v>
      </c>
      <c r="J74" s="427">
        <v>85</v>
      </c>
      <c r="K74" s="427"/>
      <c r="L74" s="427">
        <v>389</v>
      </c>
      <c r="M74" s="427"/>
      <c r="N74" s="427">
        <v>0.4</v>
      </c>
      <c r="O74" s="427"/>
      <c r="P74" s="430">
        <v>16.375874423935365</v>
      </c>
      <c r="Q74" s="431" t="e">
        <f t="shared" si="9"/>
        <v>#VALUE!</v>
      </c>
      <c r="R74" s="432">
        <v>0</v>
      </c>
      <c r="S74" s="431">
        <v>0</v>
      </c>
      <c r="T74" s="431">
        <v>0</v>
      </c>
      <c r="U74" s="431" t="e">
        <f t="shared" si="1"/>
        <v>#DIV/0!</v>
      </c>
      <c r="V74" s="433" t="e">
        <f t="shared" si="7"/>
        <v>#DIV/0!</v>
      </c>
      <c r="W74" s="432">
        <v>0.2</v>
      </c>
      <c r="X74" s="431" t="e">
        <f t="shared" si="13"/>
        <v>#VALUE!</v>
      </c>
      <c r="Y74" s="431">
        <f t="shared" si="8"/>
        <v>0</v>
      </c>
      <c r="Z74" s="431">
        <f t="shared" si="8"/>
        <v>0</v>
      </c>
      <c r="AA74" s="431">
        <f t="shared" si="8"/>
        <v>0</v>
      </c>
      <c r="AB74" s="431" t="e">
        <f t="shared" si="5"/>
        <v>#DIV/0!</v>
      </c>
      <c r="AC74" s="431" t="e">
        <f t="shared" si="3"/>
        <v>#DIV/0!</v>
      </c>
      <c r="AD74" s="427">
        <v>0</v>
      </c>
      <c r="AE74" s="431">
        <f t="shared" si="14"/>
        <v>0</v>
      </c>
      <c r="AF74" s="439"/>
    </row>
    <row r="75" spans="1:32" ht="18.75" x14ac:dyDescent="0.2">
      <c r="A75" s="427">
        <v>62</v>
      </c>
      <c r="B75" s="428" t="s">
        <v>213</v>
      </c>
      <c r="C75" s="427" t="s">
        <v>46</v>
      </c>
      <c r="D75" s="429">
        <v>679.2</v>
      </c>
      <c r="E75" s="429" t="s">
        <v>225</v>
      </c>
      <c r="F75" s="427">
        <v>177.8</v>
      </c>
      <c r="G75" s="427" t="s">
        <v>28</v>
      </c>
      <c r="H75" s="429" t="s">
        <v>48</v>
      </c>
      <c r="I75" s="574">
        <v>559.19000000000005</v>
      </c>
      <c r="J75" s="427">
        <v>100</v>
      </c>
      <c r="K75" s="427"/>
      <c r="L75" s="427">
        <v>479</v>
      </c>
      <c r="M75" s="427"/>
      <c r="N75" s="427">
        <v>3.7</v>
      </c>
      <c r="O75" s="427"/>
      <c r="P75" s="430">
        <v>13.080189557008001</v>
      </c>
      <c r="Q75" s="431">
        <f t="shared" si="9"/>
        <v>13</v>
      </c>
      <c r="R75" s="432">
        <v>1.9350000000000001</v>
      </c>
      <c r="S75" s="431">
        <v>4.3390000000000004</v>
      </c>
      <c r="T75" s="431">
        <v>17</v>
      </c>
      <c r="U75" s="431">
        <f t="shared" si="1"/>
        <v>8.7855297157622729</v>
      </c>
      <c r="V75" s="433">
        <f t="shared" si="7"/>
        <v>55.404471076284857</v>
      </c>
      <c r="W75" s="432">
        <v>0.2</v>
      </c>
      <c r="X75" s="431">
        <f t="shared" si="13"/>
        <v>0.33376923076923082</v>
      </c>
      <c r="Y75" s="431">
        <f t="shared" si="8"/>
        <v>1.84212</v>
      </c>
      <c r="Z75" s="431">
        <f t="shared" si="8"/>
        <v>4.1307280000000004</v>
      </c>
      <c r="AA75" s="431">
        <f t="shared" si="8"/>
        <v>16.183999999999997</v>
      </c>
      <c r="AB75" s="431">
        <f t="shared" si="5"/>
        <v>8.7855297157622729</v>
      </c>
      <c r="AC75" s="431">
        <f t="shared" si="3"/>
        <v>55.404471076284857</v>
      </c>
      <c r="AD75" s="427">
        <v>31</v>
      </c>
      <c r="AE75" s="431">
        <f t="shared" si="14"/>
        <v>57.105719999999998</v>
      </c>
      <c r="AF75" s="439"/>
    </row>
    <row r="76" spans="1:32" ht="18.75" x14ac:dyDescent="0.2">
      <c r="A76" s="427">
        <v>63</v>
      </c>
      <c r="B76" s="428" t="s">
        <v>172</v>
      </c>
      <c r="C76" s="427" t="s">
        <v>46</v>
      </c>
      <c r="D76" s="429">
        <v>673</v>
      </c>
      <c r="E76" s="427" t="s">
        <v>173</v>
      </c>
      <c r="F76" s="427">
        <v>177.8</v>
      </c>
      <c r="G76" s="427" t="s">
        <v>28</v>
      </c>
      <c r="H76" s="429" t="s">
        <v>50</v>
      </c>
      <c r="I76" s="574">
        <v>560.79</v>
      </c>
      <c r="J76" s="427">
        <v>190</v>
      </c>
      <c r="K76" s="427"/>
      <c r="L76" s="427">
        <v>266</v>
      </c>
      <c r="M76" s="427"/>
      <c r="N76" s="427">
        <v>8</v>
      </c>
      <c r="O76" s="427"/>
      <c r="P76" s="448">
        <v>37.759581546030354</v>
      </c>
      <c r="Q76" s="431">
        <f>LEFT(H76,(FIND("K",H76,1)-1))*J76/100</f>
        <v>11.4</v>
      </c>
      <c r="R76" s="432">
        <v>0.57299999999999995</v>
      </c>
      <c r="S76" s="431">
        <v>0.96299999999999997</v>
      </c>
      <c r="T76" s="431">
        <v>0</v>
      </c>
      <c r="U76" s="431">
        <f t="shared" si="1"/>
        <v>0</v>
      </c>
      <c r="V76" s="433">
        <f t="shared" si="7"/>
        <v>40.49844236760125</v>
      </c>
      <c r="W76" s="432">
        <v>0.1</v>
      </c>
      <c r="X76" s="431">
        <f t="shared" si="13"/>
        <v>8.4473684210526312E-2</v>
      </c>
      <c r="Y76" s="431">
        <f t="shared" si="8"/>
        <v>0.54549599999999998</v>
      </c>
      <c r="Z76" s="431">
        <f t="shared" si="8"/>
        <v>0.91677599999999992</v>
      </c>
      <c r="AA76" s="431">
        <f t="shared" si="8"/>
        <v>0</v>
      </c>
      <c r="AB76" s="431">
        <f t="shared" si="5"/>
        <v>0</v>
      </c>
      <c r="AC76" s="431">
        <f t="shared" si="3"/>
        <v>40.49844236760125</v>
      </c>
      <c r="AD76" s="427">
        <v>31</v>
      </c>
      <c r="AE76" s="431">
        <f>Y76*AD76</f>
        <v>16.910375999999999</v>
      </c>
      <c r="AF76" s="439"/>
    </row>
    <row r="77" spans="1:32" ht="25.15" customHeight="1" x14ac:dyDescent="0.2">
      <c r="A77" s="427">
        <v>64</v>
      </c>
      <c r="B77" s="461" t="s">
        <v>171</v>
      </c>
      <c r="C77" s="427" t="s">
        <v>46</v>
      </c>
      <c r="D77" s="574">
        <v>646</v>
      </c>
      <c r="E77" s="574" t="s">
        <v>191</v>
      </c>
      <c r="F77" s="427">
        <v>177.8</v>
      </c>
      <c r="G77" s="427" t="s">
        <v>28</v>
      </c>
      <c r="H77" s="429" t="s">
        <v>48</v>
      </c>
      <c r="I77" s="574">
        <v>570.15</v>
      </c>
      <c r="J77" s="574">
        <v>200</v>
      </c>
      <c r="K77" s="574"/>
      <c r="L77" s="574">
        <v>163</v>
      </c>
      <c r="M77" s="574"/>
      <c r="N77" s="427">
        <v>3.1</v>
      </c>
      <c r="O77" s="574"/>
      <c r="P77" s="430">
        <v>45.083947107319133</v>
      </c>
      <c r="Q77" s="437">
        <f>LEFT(H77,(FIND("K",H77,1)-1))*J77/100</f>
        <v>26</v>
      </c>
      <c r="R77" s="432">
        <v>5.0000000000000001E-3</v>
      </c>
      <c r="S77" s="431">
        <v>0.158</v>
      </c>
      <c r="T77" s="437">
        <v>0</v>
      </c>
      <c r="U77" s="431">
        <f t="shared" si="1"/>
        <v>0</v>
      </c>
      <c r="V77" s="433">
        <f t="shared" si="7"/>
        <v>96.835443037974684</v>
      </c>
      <c r="W77" s="432">
        <v>0.5</v>
      </c>
      <c r="X77" s="431">
        <f t="shared" si="13"/>
        <v>6.076923076923077E-3</v>
      </c>
      <c r="Y77" s="431">
        <f t="shared" si="8"/>
        <v>4.7599999999999995E-3</v>
      </c>
      <c r="Z77" s="431">
        <f t="shared" si="8"/>
        <v>0.15041599999999999</v>
      </c>
      <c r="AA77" s="431">
        <f t="shared" si="8"/>
        <v>0</v>
      </c>
      <c r="AB77" s="431">
        <f t="shared" si="5"/>
        <v>0</v>
      </c>
      <c r="AC77" s="431">
        <f t="shared" si="3"/>
        <v>96.835443037974684</v>
      </c>
      <c r="AD77" s="427">
        <v>31</v>
      </c>
      <c r="AE77" s="431">
        <f>Y77*AD77</f>
        <v>0.14756</v>
      </c>
      <c r="AF77" s="434"/>
    </row>
    <row r="78" spans="1:32" ht="18.75" x14ac:dyDescent="0.2">
      <c r="A78" s="580"/>
      <c r="B78" s="429"/>
      <c r="C78" s="427"/>
      <c r="D78" s="576"/>
      <c r="E78" s="576"/>
      <c r="F78" s="428"/>
      <c r="G78" s="427"/>
      <c r="H78" s="429"/>
      <c r="I78" s="574"/>
      <c r="J78" s="574"/>
      <c r="K78" s="574"/>
      <c r="L78" s="574"/>
      <c r="M78" s="574"/>
      <c r="N78" s="427"/>
      <c r="O78" s="574"/>
      <c r="P78" s="430"/>
      <c r="Q78" s="437"/>
      <c r="R78" s="466">
        <f>SUM(R14:R77)</f>
        <v>342.62400000000002</v>
      </c>
      <c r="S78" s="467">
        <f>SUM(S14:S77)</f>
        <v>578.08800000000019</v>
      </c>
      <c r="T78" s="512">
        <f>SUM(T14:T77)</f>
        <v>14151</v>
      </c>
      <c r="U78" s="467">
        <f>T78/R78</f>
        <v>41.301835247968619</v>
      </c>
      <c r="V78" s="468"/>
      <c r="W78" s="466"/>
      <c r="X78" s="467"/>
      <c r="Y78" s="467">
        <f>SUM(Y14:Y77)</f>
        <v>351.17804800000005</v>
      </c>
      <c r="Z78" s="467">
        <f>SUM(Z14:Z77)</f>
        <v>580.33977600000003</v>
      </c>
      <c r="AA78" s="481">
        <f>SUM(AA14:AA77)</f>
        <v>13971.751999999997</v>
      </c>
      <c r="AB78" s="467">
        <f>AA78/Y78</f>
        <v>39.785379751299246</v>
      </c>
      <c r="AC78" s="467"/>
      <c r="AD78" s="438"/>
      <c r="AE78" s="467">
        <f>SUM(AE14:AE77)</f>
        <v>10755.604255999997</v>
      </c>
      <c r="AF78" s="434"/>
    </row>
    <row r="79" spans="1:32" ht="18.75" x14ac:dyDescent="0.2">
      <c r="A79" s="580"/>
      <c r="B79" s="1913"/>
      <c r="C79" s="1913"/>
      <c r="D79" s="1913"/>
      <c r="E79" s="1913"/>
      <c r="F79" s="428"/>
      <c r="G79" s="427"/>
      <c r="H79" s="429"/>
      <c r="I79" s="429"/>
      <c r="J79" s="574"/>
      <c r="K79" s="574"/>
      <c r="L79" s="574"/>
      <c r="M79" s="574"/>
      <c r="N79" s="574"/>
      <c r="O79" s="574"/>
      <c r="P79" s="448"/>
      <c r="Q79" s="437"/>
      <c r="R79" s="574"/>
      <c r="S79" s="574"/>
      <c r="T79" s="574"/>
      <c r="U79" s="569"/>
      <c r="V79" s="569"/>
      <c r="W79" s="569"/>
      <c r="X79" s="569"/>
      <c r="Y79" s="473"/>
      <c r="Z79" s="474"/>
      <c r="AA79" s="566"/>
      <c r="AB79" s="569"/>
      <c r="AC79" s="574"/>
      <c r="AD79" s="427"/>
      <c r="AE79" s="431"/>
      <c r="AF79" s="434"/>
    </row>
    <row r="80" spans="1:32" ht="18.75" x14ac:dyDescent="0.2">
      <c r="B80" s="1914" t="s">
        <v>277</v>
      </c>
      <c r="C80" s="1915"/>
      <c r="D80" s="1915"/>
      <c r="E80" s="1915"/>
      <c r="F80" s="1902"/>
      <c r="G80" s="569"/>
      <c r="H80" s="566"/>
      <c r="I80" s="566"/>
      <c r="J80" s="574"/>
      <c r="K80" s="574"/>
      <c r="L80" s="574"/>
      <c r="M80" s="574"/>
      <c r="N80" s="574"/>
      <c r="O80" s="574"/>
      <c r="P80" s="448"/>
      <c r="Q80" s="437"/>
      <c r="R80" s="574"/>
      <c r="S80" s="437"/>
      <c r="T80" s="574"/>
      <c r="U80" s="569"/>
      <c r="V80" s="569"/>
      <c r="W80" s="569"/>
      <c r="X80" s="421"/>
      <c r="Y80" s="574"/>
      <c r="Z80" s="574"/>
      <c r="AA80" s="574"/>
      <c r="AB80" s="569"/>
      <c r="AC80" s="569"/>
      <c r="AD80" s="574"/>
      <c r="AE80" s="574"/>
      <c r="AF80" s="566"/>
    </row>
    <row r="81" spans="1:32" ht="31.9" customHeight="1" x14ac:dyDescent="0.2">
      <c r="A81" s="476">
        <v>65</v>
      </c>
      <c r="B81" s="427" t="s">
        <v>131</v>
      </c>
      <c r="C81" s="476" t="s">
        <v>313</v>
      </c>
      <c r="D81" s="429">
        <v>389.74</v>
      </c>
      <c r="E81" s="477" t="s">
        <v>136</v>
      </c>
      <c r="F81" s="427">
        <v>177.8</v>
      </c>
      <c r="G81" s="427" t="s">
        <v>28</v>
      </c>
      <c r="H81" s="429" t="s">
        <v>58</v>
      </c>
      <c r="I81" s="574">
        <v>142.80000000000001</v>
      </c>
      <c r="J81" s="574">
        <v>180</v>
      </c>
      <c r="K81" s="427"/>
      <c r="L81" s="427">
        <v>23</v>
      </c>
      <c r="M81" s="427"/>
      <c r="N81" s="427">
        <v>0</v>
      </c>
      <c r="O81" s="427"/>
      <c r="P81" s="430">
        <v>18.879376041738954</v>
      </c>
      <c r="Q81" s="437">
        <f>(3*J81)/100</f>
        <v>5.4</v>
      </c>
      <c r="R81" s="432">
        <v>1.456</v>
      </c>
      <c r="S81" s="431">
        <v>2.1339999999999999</v>
      </c>
      <c r="T81" s="431">
        <v>0</v>
      </c>
      <c r="U81" s="431">
        <f>T81/R81</f>
        <v>0</v>
      </c>
      <c r="V81" s="432">
        <f t="shared" ref="V81:V84" si="15">(S81-R81)/S81*100</f>
        <v>31.771321462043112</v>
      </c>
      <c r="W81" s="432">
        <v>0.2</v>
      </c>
      <c r="X81" s="431">
        <f t="shared" ref="X81:X82" si="16">S81/Q81</f>
        <v>0.39518518518518514</v>
      </c>
      <c r="Y81" s="431">
        <f>R81*0.9424</f>
        <v>1.3721344</v>
      </c>
      <c r="Z81" s="431">
        <f>S81*0.9424</f>
        <v>2.0110815999999998</v>
      </c>
      <c r="AA81" s="431">
        <f t="shared" ref="AA81:AA88" si="17">T81*0.9494</f>
        <v>0</v>
      </c>
      <c r="AB81" s="431">
        <f t="shared" ref="AB81:AC88" si="18">U81</f>
        <v>0</v>
      </c>
      <c r="AC81" s="431">
        <f t="shared" si="18"/>
        <v>31.771321462043112</v>
      </c>
      <c r="AD81" s="427">
        <v>31</v>
      </c>
      <c r="AE81" s="431">
        <f t="shared" ref="AE81:AE87" si="19">Y81*AD81</f>
        <v>42.536166399999999</v>
      </c>
      <c r="AF81" s="439"/>
    </row>
    <row r="82" spans="1:32" ht="27" customHeight="1" x14ac:dyDescent="0.2">
      <c r="A82" s="476">
        <v>66</v>
      </c>
      <c r="B82" s="427" t="s">
        <v>132</v>
      </c>
      <c r="C82" s="476" t="s">
        <v>313</v>
      </c>
      <c r="D82" s="427">
        <v>387.72</v>
      </c>
      <c r="E82" s="477" t="s">
        <v>135</v>
      </c>
      <c r="F82" s="427">
        <v>177.8</v>
      </c>
      <c r="G82" s="427" t="s">
        <v>28</v>
      </c>
      <c r="H82" s="429" t="s">
        <v>58</v>
      </c>
      <c r="I82" s="574">
        <v>136.03</v>
      </c>
      <c r="J82" s="427">
        <v>170</v>
      </c>
      <c r="K82" s="427"/>
      <c r="L82" s="427">
        <v>28</v>
      </c>
      <c r="M82" s="427"/>
      <c r="N82" s="427">
        <v>0</v>
      </c>
      <c r="O82" s="427"/>
      <c r="P82" s="430">
        <v>11.643779945071426</v>
      </c>
      <c r="Q82" s="437">
        <f>(3*J82)/100</f>
        <v>5.0999999999999996</v>
      </c>
      <c r="R82" s="432">
        <v>3.2320000000000002</v>
      </c>
      <c r="S82" s="431">
        <v>4.4790000000000001</v>
      </c>
      <c r="T82" s="431">
        <v>0</v>
      </c>
      <c r="U82" s="431">
        <v>0</v>
      </c>
      <c r="V82" s="432">
        <f t="shared" si="15"/>
        <v>27.841035945523551</v>
      </c>
      <c r="W82" s="432">
        <v>0.3</v>
      </c>
      <c r="X82" s="431">
        <f t="shared" si="16"/>
        <v>0.87823529411764711</v>
      </c>
      <c r="Y82" s="431">
        <f t="shared" ref="Y82:Z88" si="20">R82*0.9424</f>
        <v>3.0458368000000005</v>
      </c>
      <c r="Z82" s="431">
        <f t="shared" si="20"/>
        <v>4.2210096000000004</v>
      </c>
      <c r="AA82" s="431">
        <f t="shared" si="17"/>
        <v>0</v>
      </c>
      <c r="AB82" s="431">
        <v>0</v>
      </c>
      <c r="AC82" s="431">
        <f>V82</f>
        <v>27.841035945523551</v>
      </c>
      <c r="AD82" s="427">
        <v>31</v>
      </c>
      <c r="AE82" s="431">
        <f t="shared" si="19"/>
        <v>94.420940800000011</v>
      </c>
      <c r="AF82" s="449"/>
    </row>
    <row r="83" spans="1:32" ht="18.75" x14ac:dyDescent="0.2">
      <c r="A83" s="476">
        <v>67</v>
      </c>
      <c r="B83" s="427" t="s">
        <v>121</v>
      </c>
      <c r="C83" s="476" t="s">
        <v>313</v>
      </c>
      <c r="D83" s="427">
        <v>389.57</v>
      </c>
      <c r="E83" s="427" t="s">
        <v>137</v>
      </c>
      <c r="F83" s="427">
        <v>177.8</v>
      </c>
      <c r="G83" s="427" t="s">
        <v>28</v>
      </c>
      <c r="H83" s="563" t="s">
        <v>363</v>
      </c>
      <c r="I83" s="574">
        <v>137.58000000000001</v>
      </c>
      <c r="J83" s="427">
        <v>85</v>
      </c>
      <c r="K83" s="427"/>
      <c r="L83" s="427">
        <v>25</v>
      </c>
      <c r="M83" s="427"/>
      <c r="N83" s="427"/>
      <c r="O83" s="427"/>
      <c r="P83" s="430">
        <v>19.373011031497143</v>
      </c>
      <c r="Q83" s="431"/>
      <c r="R83" s="432">
        <v>3.8</v>
      </c>
      <c r="S83" s="431">
        <v>5.5</v>
      </c>
      <c r="T83" s="431">
        <v>0</v>
      </c>
      <c r="U83" s="431">
        <v>0</v>
      </c>
      <c r="V83" s="432">
        <v>0</v>
      </c>
      <c r="W83" s="432">
        <v>0.4</v>
      </c>
      <c r="X83" s="431">
        <v>0</v>
      </c>
      <c r="Y83" s="431">
        <v>1.3</v>
      </c>
      <c r="Z83" s="431">
        <v>1.3</v>
      </c>
      <c r="AA83" s="431">
        <f t="shared" si="17"/>
        <v>0</v>
      </c>
      <c r="AB83" s="431">
        <v>0</v>
      </c>
      <c r="AC83" s="431">
        <f>V83</f>
        <v>0</v>
      </c>
      <c r="AD83" s="427">
        <v>31</v>
      </c>
      <c r="AE83" s="431">
        <f t="shared" si="19"/>
        <v>40.300000000000004</v>
      </c>
      <c r="AF83" s="434"/>
    </row>
    <row r="84" spans="1:32" ht="18.75" x14ac:dyDescent="0.2">
      <c r="A84" s="476">
        <v>68</v>
      </c>
      <c r="B84" s="427" t="s">
        <v>122</v>
      </c>
      <c r="C84" s="476" t="s">
        <v>313</v>
      </c>
      <c r="D84" s="427">
        <v>391.06</v>
      </c>
      <c r="E84" s="427" t="s">
        <v>138</v>
      </c>
      <c r="F84" s="427">
        <v>177.8</v>
      </c>
      <c r="G84" s="427" t="s">
        <v>28</v>
      </c>
      <c r="H84" s="429" t="s">
        <v>58</v>
      </c>
      <c r="I84" s="431">
        <v>151.72999999999999</v>
      </c>
      <c r="J84" s="427">
        <v>220</v>
      </c>
      <c r="K84" s="438"/>
      <c r="L84" s="427">
        <v>49</v>
      </c>
      <c r="M84" s="438"/>
      <c r="N84" s="427">
        <v>0</v>
      </c>
      <c r="O84" s="438"/>
      <c r="P84" s="430">
        <v>13.133289530109833</v>
      </c>
      <c r="Q84" s="437">
        <f>(3*J84)/100</f>
        <v>6.6</v>
      </c>
      <c r="R84" s="432">
        <v>2.71</v>
      </c>
      <c r="S84" s="432">
        <v>3.5259999999999998</v>
      </c>
      <c r="T84" s="431">
        <v>0</v>
      </c>
      <c r="U84" s="431">
        <f>T84/R84</f>
        <v>0</v>
      </c>
      <c r="V84" s="432">
        <f t="shared" si="15"/>
        <v>23.142370958593304</v>
      </c>
      <c r="W84" s="431">
        <v>0.2</v>
      </c>
      <c r="X84" s="431">
        <f t="shared" ref="X84" si="21">S84/Q84</f>
        <v>0.5342424242424243</v>
      </c>
      <c r="Y84" s="431">
        <f t="shared" si="20"/>
        <v>2.5539040000000002</v>
      </c>
      <c r="Z84" s="431">
        <f t="shared" si="20"/>
        <v>3.3229023999999998</v>
      </c>
      <c r="AA84" s="431">
        <f t="shared" si="17"/>
        <v>0</v>
      </c>
      <c r="AB84" s="431">
        <f t="shared" si="18"/>
        <v>0</v>
      </c>
      <c r="AC84" s="431">
        <f t="shared" si="18"/>
        <v>23.142370958593304</v>
      </c>
      <c r="AD84" s="427">
        <v>31</v>
      </c>
      <c r="AE84" s="431">
        <f t="shared" si="19"/>
        <v>79.171024000000003</v>
      </c>
      <c r="AF84" s="478"/>
    </row>
    <row r="85" spans="1:32" ht="18.75" x14ac:dyDescent="0.2">
      <c r="A85" s="476">
        <v>69</v>
      </c>
      <c r="B85" s="427" t="s">
        <v>57</v>
      </c>
      <c r="C85" s="476" t="s">
        <v>314</v>
      </c>
      <c r="D85" s="427">
        <v>376.58</v>
      </c>
      <c r="E85" s="428" t="s">
        <v>93</v>
      </c>
      <c r="F85" s="427">
        <v>177.8</v>
      </c>
      <c r="G85" s="427" t="s">
        <v>28</v>
      </c>
      <c r="H85" s="429"/>
      <c r="I85" s="431">
        <v>157.88</v>
      </c>
      <c r="J85" s="427"/>
      <c r="K85" s="435"/>
      <c r="L85" s="427"/>
      <c r="M85" s="438"/>
      <c r="N85" s="427"/>
      <c r="O85" s="438"/>
      <c r="P85" s="549"/>
      <c r="Q85" s="431"/>
      <c r="R85" s="432">
        <v>0</v>
      </c>
      <c r="S85" s="431">
        <v>0</v>
      </c>
      <c r="T85" s="431">
        <v>0</v>
      </c>
      <c r="U85" s="431">
        <v>0</v>
      </c>
      <c r="V85" s="432">
        <v>0</v>
      </c>
      <c r="W85" s="431">
        <v>0</v>
      </c>
      <c r="X85" s="431">
        <v>0</v>
      </c>
      <c r="Y85" s="431">
        <f t="shared" si="20"/>
        <v>0</v>
      </c>
      <c r="Z85" s="431">
        <f t="shared" si="20"/>
        <v>0</v>
      </c>
      <c r="AA85" s="431">
        <f t="shared" si="17"/>
        <v>0</v>
      </c>
      <c r="AB85" s="431">
        <f t="shared" si="18"/>
        <v>0</v>
      </c>
      <c r="AC85" s="431">
        <f t="shared" si="18"/>
        <v>0</v>
      </c>
      <c r="AD85" s="427">
        <v>0</v>
      </c>
      <c r="AE85" s="431">
        <f t="shared" si="19"/>
        <v>0</v>
      </c>
      <c r="AF85" s="434" t="s">
        <v>302</v>
      </c>
    </row>
    <row r="86" spans="1:32" ht="18.75" x14ac:dyDescent="0.2">
      <c r="A86" s="476">
        <v>70</v>
      </c>
      <c r="B86" s="427" t="s">
        <v>188</v>
      </c>
      <c r="C86" s="476" t="s">
        <v>344</v>
      </c>
      <c r="D86" s="427">
        <v>400.5</v>
      </c>
      <c r="E86" s="427" t="s">
        <v>345</v>
      </c>
      <c r="F86" s="427">
        <v>177.8</v>
      </c>
      <c r="G86" s="427" t="s">
        <v>28</v>
      </c>
      <c r="H86" s="429" t="s">
        <v>58</v>
      </c>
      <c r="I86" s="431">
        <v>227.27</v>
      </c>
      <c r="J86" s="427">
        <v>220</v>
      </c>
      <c r="K86" s="438"/>
      <c r="L86" s="427">
        <v>183</v>
      </c>
      <c r="M86" s="438"/>
      <c r="N86" s="427">
        <v>0</v>
      </c>
      <c r="O86" s="438"/>
      <c r="P86" s="430">
        <v>5.4960841267156226</v>
      </c>
      <c r="Q86" s="437">
        <f>(3*J86)/100</f>
        <v>6.6</v>
      </c>
      <c r="R86" s="432">
        <v>4.5179999999999998</v>
      </c>
      <c r="S86" s="432">
        <v>4.532</v>
      </c>
      <c r="T86" s="431">
        <v>0</v>
      </c>
      <c r="U86" s="431">
        <f>T86/R86</f>
        <v>0</v>
      </c>
      <c r="V86" s="432">
        <f t="shared" ref="V86" si="22">(S86-R86)/S86*100</f>
        <v>0.30891438658429465</v>
      </c>
      <c r="W86" s="431">
        <v>0.1</v>
      </c>
      <c r="X86" s="431">
        <f t="shared" ref="X86" si="23">S86/Q86</f>
        <v>0.68666666666666676</v>
      </c>
      <c r="Y86" s="431">
        <f t="shared" si="20"/>
        <v>4.2577632000000003</v>
      </c>
      <c r="Z86" s="431">
        <f t="shared" si="20"/>
        <v>4.2709568000000004</v>
      </c>
      <c r="AA86" s="431">
        <f t="shared" si="17"/>
        <v>0</v>
      </c>
      <c r="AB86" s="431">
        <f t="shared" si="18"/>
        <v>0</v>
      </c>
      <c r="AC86" s="431">
        <f t="shared" si="18"/>
        <v>0.30891438658429465</v>
      </c>
      <c r="AD86" s="427">
        <v>20</v>
      </c>
      <c r="AE86" s="431">
        <f t="shared" si="19"/>
        <v>85.155264000000003</v>
      </c>
      <c r="AF86" s="434" t="s">
        <v>350</v>
      </c>
    </row>
    <row r="87" spans="1:32" ht="18.75" x14ac:dyDescent="0.2">
      <c r="A87" s="476">
        <v>71</v>
      </c>
      <c r="B87" s="427" t="s">
        <v>184</v>
      </c>
      <c r="C87" s="476" t="s">
        <v>314</v>
      </c>
      <c r="D87" s="427">
        <v>422.78</v>
      </c>
      <c r="E87" s="428" t="s">
        <v>185</v>
      </c>
      <c r="F87" s="427">
        <v>177.8</v>
      </c>
      <c r="G87" s="427" t="s">
        <v>28</v>
      </c>
      <c r="H87" s="429"/>
      <c r="I87" s="431">
        <v>223.87</v>
      </c>
      <c r="J87" s="427"/>
      <c r="K87" s="435"/>
      <c r="L87" s="427"/>
      <c r="M87" s="438"/>
      <c r="N87" s="427"/>
      <c r="O87" s="438"/>
      <c r="P87" s="430"/>
      <c r="Q87" s="431"/>
      <c r="R87" s="432">
        <v>0</v>
      </c>
      <c r="S87" s="431">
        <v>0</v>
      </c>
      <c r="T87" s="431">
        <v>0</v>
      </c>
      <c r="U87" s="431">
        <v>0</v>
      </c>
      <c r="V87" s="432">
        <v>0</v>
      </c>
      <c r="W87" s="431">
        <v>0</v>
      </c>
      <c r="X87" s="431">
        <v>0</v>
      </c>
      <c r="Y87" s="431">
        <f t="shared" si="20"/>
        <v>0</v>
      </c>
      <c r="Z87" s="431">
        <f t="shared" si="20"/>
        <v>0</v>
      </c>
      <c r="AA87" s="431">
        <f t="shared" si="17"/>
        <v>0</v>
      </c>
      <c r="AB87" s="431">
        <f t="shared" si="18"/>
        <v>0</v>
      </c>
      <c r="AC87" s="431">
        <f t="shared" si="18"/>
        <v>0</v>
      </c>
      <c r="AD87" s="427">
        <v>0</v>
      </c>
      <c r="AE87" s="431">
        <f t="shared" si="19"/>
        <v>0</v>
      </c>
      <c r="AF87" s="434" t="s">
        <v>302</v>
      </c>
    </row>
    <row r="88" spans="1:32" ht="18.75" x14ac:dyDescent="0.2">
      <c r="A88" s="476">
        <v>72</v>
      </c>
      <c r="B88" s="427" t="s">
        <v>186</v>
      </c>
      <c r="C88" s="476" t="s">
        <v>346</v>
      </c>
      <c r="D88" s="427">
        <v>349.5</v>
      </c>
      <c r="E88" s="428" t="s">
        <v>347</v>
      </c>
      <c r="F88" s="427">
        <v>177.8</v>
      </c>
      <c r="G88" s="427" t="s">
        <v>28</v>
      </c>
      <c r="H88" s="429" t="s">
        <v>58</v>
      </c>
      <c r="I88" s="431">
        <v>117.18</v>
      </c>
      <c r="J88" s="427">
        <v>0</v>
      </c>
      <c r="K88" s="435"/>
      <c r="L88" s="427">
        <v>63</v>
      </c>
      <c r="M88" s="438"/>
      <c r="N88" s="427">
        <v>0</v>
      </c>
      <c r="O88" s="438"/>
      <c r="P88" s="430">
        <v>6.3</v>
      </c>
      <c r="Q88" s="437">
        <f>(3*J88)/100</f>
        <v>0</v>
      </c>
      <c r="R88" s="432">
        <v>0</v>
      </c>
      <c r="S88" s="432">
        <v>0.2</v>
      </c>
      <c r="T88" s="431">
        <v>0</v>
      </c>
      <c r="U88" s="431">
        <v>0</v>
      </c>
      <c r="V88" s="432">
        <f t="shared" ref="V88" si="24">(S88-R88)/S88*100</f>
        <v>100</v>
      </c>
      <c r="W88" s="431">
        <v>0</v>
      </c>
      <c r="X88" s="431" t="e">
        <f t="shared" ref="X88" si="25">S88/Q88</f>
        <v>#DIV/0!</v>
      </c>
      <c r="Y88" s="431">
        <f t="shared" si="20"/>
        <v>0</v>
      </c>
      <c r="Z88" s="431">
        <f t="shared" si="20"/>
        <v>0.18848000000000001</v>
      </c>
      <c r="AA88" s="431">
        <f t="shared" si="17"/>
        <v>0</v>
      </c>
      <c r="AB88" s="431">
        <f t="shared" si="18"/>
        <v>0</v>
      </c>
      <c r="AC88" s="431">
        <f t="shared" si="18"/>
        <v>100</v>
      </c>
      <c r="AD88" s="427">
        <v>22</v>
      </c>
      <c r="AE88" s="431">
        <f>Y88*AD88</f>
        <v>0</v>
      </c>
      <c r="AF88" s="434" t="s">
        <v>350</v>
      </c>
    </row>
    <row r="89" spans="1:32" ht="18.75" x14ac:dyDescent="0.2">
      <c r="A89" s="580"/>
      <c r="B89" s="1889"/>
      <c r="C89" s="1889"/>
      <c r="D89" s="1889"/>
      <c r="E89" s="1890"/>
      <c r="F89" s="574"/>
      <c r="G89" s="569"/>
      <c r="H89" s="566"/>
      <c r="I89" s="566"/>
      <c r="J89" s="574"/>
      <c r="K89" s="574"/>
      <c r="L89" s="574"/>
      <c r="M89" s="574"/>
      <c r="N89" s="574"/>
      <c r="O89" s="574"/>
      <c r="P89" s="448"/>
      <c r="Q89" s="437"/>
      <c r="R89" s="467">
        <f>SUM(R81:R88)</f>
        <v>15.716000000000001</v>
      </c>
      <c r="S89" s="467">
        <f>SUM(S81:S88)</f>
        <v>20.370999999999999</v>
      </c>
      <c r="T89" s="467">
        <f>SUM(T81:T85)</f>
        <v>0</v>
      </c>
      <c r="U89" s="467">
        <f>SUM(U81:U84)</f>
        <v>0</v>
      </c>
      <c r="V89" s="569"/>
      <c r="W89" s="569"/>
      <c r="X89" s="569"/>
      <c r="Y89" s="467">
        <f>SUM(Y81:Y88)</f>
        <v>12.5296384</v>
      </c>
      <c r="Z89" s="467">
        <f>SUM(Z81:Z88)</f>
        <v>15.314430400000001</v>
      </c>
      <c r="AA89" s="467">
        <f>SUM(AA81:AA85)</f>
        <v>0</v>
      </c>
      <c r="AB89" s="467">
        <v>0</v>
      </c>
      <c r="AC89" s="569"/>
      <c r="AD89" s="574"/>
      <c r="AE89" s="467">
        <f>SUM(AE81:AE88)</f>
        <v>341.58339519999998</v>
      </c>
      <c r="AF89" s="471"/>
    </row>
    <row r="90" spans="1:32" ht="18.75" x14ac:dyDescent="0.2">
      <c r="A90" s="580"/>
      <c r="B90" s="565"/>
      <c r="C90" s="565"/>
      <c r="D90" s="565"/>
      <c r="E90" s="531" t="s">
        <v>331</v>
      </c>
      <c r="F90" s="427"/>
      <c r="G90" s="427"/>
      <c r="H90" s="574"/>
      <c r="I90" s="574"/>
      <c r="J90" s="574"/>
      <c r="K90" s="574"/>
      <c r="L90" s="574"/>
      <c r="M90" s="574"/>
      <c r="N90" s="574"/>
      <c r="O90" s="574"/>
      <c r="P90" s="448"/>
      <c r="Q90" s="437"/>
      <c r="R90" s="467"/>
      <c r="S90" s="467"/>
      <c r="T90" s="467"/>
      <c r="U90" s="467"/>
      <c r="V90" s="569"/>
      <c r="W90" s="569"/>
      <c r="X90" s="569"/>
      <c r="Y90" s="467"/>
      <c r="Z90" s="467"/>
      <c r="AA90" s="467"/>
      <c r="AB90" s="467"/>
      <c r="AC90" s="569"/>
      <c r="AD90" s="574"/>
      <c r="AE90" s="467"/>
      <c r="AF90" s="471"/>
    </row>
    <row r="91" spans="1:32" ht="27" customHeight="1" x14ac:dyDescent="0.2">
      <c r="A91" s="580"/>
      <c r="B91" s="428" t="s">
        <v>330</v>
      </c>
      <c r="C91" s="427" t="s">
        <v>358</v>
      </c>
      <c r="D91" s="532">
        <v>680.25</v>
      </c>
      <c r="E91" s="533" t="s">
        <v>351</v>
      </c>
      <c r="F91" s="427">
        <v>177.8</v>
      </c>
      <c r="G91" s="427" t="s">
        <v>28</v>
      </c>
      <c r="H91" s="574" t="s">
        <v>218</v>
      </c>
      <c r="I91" s="574">
        <v>588.75</v>
      </c>
      <c r="J91" s="574">
        <v>320</v>
      </c>
      <c r="K91" s="574"/>
      <c r="L91" s="574">
        <v>478</v>
      </c>
      <c r="M91" s="574"/>
      <c r="N91" s="574">
        <v>10</v>
      </c>
      <c r="O91" s="574"/>
      <c r="P91" s="448">
        <v>24.268650959040571</v>
      </c>
      <c r="Q91" s="431">
        <f t="shared" ref="Q91" si="26">LEFT(H91,(FIND("K",H91,1)-1))*J91/100</f>
        <v>102.4</v>
      </c>
      <c r="R91" s="432">
        <v>21.82</v>
      </c>
      <c r="S91" s="431">
        <v>25.055</v>
      </c>
      <c r="T91" s="431">
        <v>1234</v>
      </c>
      <c r="U91" s="530">
        <f t="shared" ref="U91" si="27">T91/R91</f>
        <v>56.553620531622364</v>
      </c>
      <c r="V91" s="433">
        <v>1</v>
      </c>
      <c r="W91" s="432">
        <v>0.3</v>
      </c>
      <c r="X91" s="431">
        <f t="shared" ref="X91" si="28">S91/Q91</f>
        <v>0.24467773437499998</v>
      </c>
      <c r="Y91" s="431">
        <v>0</v>
      </c>
      <c r="Z91" s="431">
        <v>0</v>
      </c>
      <c r="AA91" s="530">
        <v>0</v>
      </c>
      <c r="AB91" s="431">
        <v>0</v>
      </c>
      <c r="AC91" s="431">
        <v>0</v>
      </c>
      <c r="AD91" s="427">
        <v>0</v>
      </c>
      <c r="AE91" s="431">
        <f t="shared" ref="AE91" si="29">Y91*AD91</f>
        <v>0</v>
      </c>
      <c r="AF91" s="471" t="s">
        <v>369</v>
      </c>
    </row>
    <row r="92" spans="1:32" ht="18.75" x14ac:dyDescent="0.2">
      <c r="A92" s="580"/>
      <c r="B92" s="1889"/>
      <c r="C92" s="1889"/>
      <c r="D92" s="1889"/>
      <c r="E92" s="1890"/>
      <c r="F92" s="438"/>
      <c r="G92" s="427"/>
      <c r="H92" s="429"/>
      <c r="I92" s="431"/>
      <c r="J92" s="427"/>
      <c r="K92" s="438"/>
      <c r="L92" s="427"/>
      <c r="M92" s="438"/>
      <c r="N92" s="430"/>
      <c r="O92" s="438"/>
      <c r="P92" s="480"/>
      <c r="Q92" s="467"/>
      <c r="R92" s="467"/>
      <c r="S92" s="467"/>
      <c r="T92" s="467"/>
      <c r="U92" s="467"/>
      <c r="V92" s="467"/>
      <c r="W92" s="467"/>
      <c r="X92" s="467"/>
      <c r="Y92" s="467"/>
      <c r="Z92" s="481"/>
      <c r="AA92" s="467"/>
      <c r="AB92" s="467"/>
      <c r="AC92" s="467"/>
      <c r="AD92" s="467"/>
      <c r="AE92" s="467"/>
      <c r="AF92" s="478"/>
    </row>
    <row r="93" spans="1:32" ht="18.75" x14ac:dyDescent="0.2">
      <c r="A93" s="580"/>
      <c r="B93" s="1894" t="s">
        <v>276</v>
      </c>
      <c r="C93" s="1895"/>
      <c r="D93" s="1895"/>
      <c r="E93" s="1895"/>
      <c r="F93" s="1895"/>
      <c r="G93" s="569"/>
      <c r="H93" s="566"/>
      <c r="I93" s="566"/>
      <c r="J93" s="574"/>
      <c r="K93" s="574"/>
      <c r="L93" s="574"/>
      <c r="M93" s="574"/>
      <c r="N93" s="574"/>
      <c r="O93" s="574"/>
      <c r="P93" s="448"/>
      <c r="Q93" s="437"/>
      <c r="R93" s="574"/>
      <c r="S93" s="574"/>
      <c r="T93" s="574"/>
      <c r="U93" s="569"/>
      <c r="V93" s="569"/>
      <c r="W93" s="569"/>
      <c r="X93" s="569"/>
      <c r="Y93" s="574"/>
      <c r="Z93" s="574"/>
      <c r="AA93" s="574"/>
      <c r="AB93" s="570"/>
      <c r="AC93" s="569"/>
      <c r="AD93" s="574"/>
      <c r="AE93" s="574"/>
      <c r="AF93" s="566"/>
    </row>
    <row r="94" spans="1:32" ht="18.75" x14ac:dyDescent="0.2">
      <c r="A94" s="427">
        <v>73</v>
      </c>
      <c r="B94" s="483" t="s">
        <v>107</v>
      </c>
      <c r="C94" s="567" t="s">
        <v>109</v>
      </c>
      <c r="D94" s="567"/>
      <c r="E94" s="567"/>
      <c r="F94" s="574"/>
      <c r="G94" s="569"/>
      <c r="H94" s="566"/>
      <c r="I94" s="566"/>
      <c r="J94" s="574"/>
      <c r="K94" s="574"/>
      <c r="L94" s="574"/>
      <c r="M94" s="574"/>
      <c r="N94" s="574"/>
      <c r="O94" s="574"/>
      <c r="P94" s="448"/>
      <c r="Q94" s="437"/>
      <c r="R94" s="574"/>
      <c r="S94" s="574"/>
      <c r="T94" s="574"/>
      <c r="U94" s="569"/>
      <c r="V94" s="569"/>
      <c r="W94" s="569"/>
      <c r="X94" s="569"/>
      <c r="Y94" s="566"/>
      <c r="Z94" s="566"/>
      <c r="AA94" s="574"/>
      <c r="AB94" s="570"/>
      <c r="AC94" s="569"/>
      <c r="AD94" s="485"/>
      <c r="AE94" s="574"/>
      <c r="AF94" s="486"/>
    </row>
    <row r="95" spans="1:32" ht="18.75" x14ac:dyDescent="0.2">
      <c r="A95" s="427">
        <v>74</v>
      </c>
      <c r="B95" s="483" t="s">
        <v>108</v>
      </c>
      <c r="C95" s="567" t="s">
        <v>109</v>
      </c>
      <c r="D95" s="567"/>
      <c r="E95" s="567"/>
      <c r="F95" s="574"/>
      <c r="G95" s="569"/>
      <c r="H95" s="566"/>
      <c r="I95" s="566"/>
      <c r="J95" s="574"/>
      <c r="K95" s="574"/>
      <c r="L95" s="574"/>
      <c r="M95" s="574"/>
      <c r="N95" s="574"/>
      <c r="O95" s="574"/>
      <c r="P95" s="448"/>
      <c r="Q95" s="437"/>
      <c r="R95" s="574"/>
      <c r="S95" s="574"/>
      <c r="T95" s="574"/>
      <c r="U95" s="569"/>
      <c r="V95" s="569"/>
      <c r="W95" s="569"/>
      <c r="X95" s="569"/>
      <c r="Y95" s="566"/>
      <c r="Z95" s="566"/>
      <c r="AA95" s="574"/>
      <c r="AB95" s="570"/>
      <c r="AC95" s="569"/>
      <c r="AD95" s="485"/>
      <c r="AE95" s="574"/>
      <c r="AF95" s="486"/>
    </row>
    <row r="96" spans="1:32" ht="18.75" x14ac:dyDescent="0.2">
      <c r="A96" s="427">
        <v>75</v>
      </c>
      <c r="B96" s="483" t="s">
        <v>195</v>
      </c>
      <c r="C96" s="476" t="s">
        <v>193</v>
      </c>
      <c r="D96" s="567"/>
      <c r="E96" s="567"/>
      <c r="F96" s="574"/>
      <c r="G96" s="569"/>
      <c r="H96" s="566"/>
      <c r="I96" s="566"/>
      <c r="J96" s="574"/>
      <c r="K96" s="574"/>
      <c r="L96" s="574"/>
      <c r="M96" s="574"/>
      <c r="N96" s="574"/>
      <c r="O96" s="574"/>
      <c r="P96" s="448"/>
      <c r="Q96" s="437"/>
      <c r="R96" s="574"/>
      <c r="S96" s="574"/>
      <c r="T96" s="574"/>
      <c r="U96" s="569"/>
      <c r="V96" s="569"/>
      <c r="W96" s="569"/>
      <c r="X96" s="569"/>
      <c r="Y96" s="566"/>
      <c r="Z96" s="566"/>
      <c r="AA96" s="574"/>
      <c r="AB96" s="570"/>
      <c r="AC96" s="569"/>
      <c r="AD96" s="485"/>
      <c r="AE96" s="574"/>
      <c r="AF96" s="486"/>
    </row>
    <row r="97" spans="1:32" ht="18.75" x14ac:dyDescent="0.2">
      <c r="A97" s="427">
        <v>76</v>
      </c>
      <c r="B97" s="483" t="s">
        <v>192</v>
      </c>
      <c r="C97" s="476" t="s">
        <v>193</v>
      </c>
      <c r="D97" s="567"/>
      <c r="E97" s="567"/>
      <c r="F97" s="574"/>
      <c r="G97" s="569"/>
      <c r="H97" s="566"/>
      <c r="I97" s="566"/>
      <c r="J97" s="574"/>
      <c r="K97" s="574"/>
      <c r="L97" s="574"/>
      <c r="M97" s="574"/>
      <c r="N97" s="574"/>
      <c r="O97" s="574"/>
      <c r="P97" s="448"/>
      <c r="Q97" s="437"/>
      <c r="R97" s="574"/>
      <c r="S97" s="574"/>
      <c r="T97" s="574"/>
      <c r="U97" s="569"/>
      <c r="V97" s="569"/>
      <c r="W97" s="569"/>
      <c r="X97" s="569"/>
      <c r="Y97" s="566"/>
      <c r="Z97" s="566"/>
      <c r="AA97" s="574"/>
      <c r="AB97" s="570"/>
      <c r="AC97" s="569"/>
      <c r="AD97" s="485"/>
      <c r="AE97" s="574"/>
      <c r="AF97" s="486"/>
    </row>
    <row r="98" spans="1:32" ht="18.75" x14ac:dyDescent="0.2">
      <c r="A98" s="427"/>
      <c r="B98" s="1894" t="s">
        <v>278</v>
      </c>
      <c r="C98" s="1895"/>
      <c r="D98" s="1895"/>
      <c r="E98" s="1895"/>
      <c r="F98" s="1895"/>
      <c r="G98" s="569"/>
      <c r="H98" s="566"/>
      <c r="I98" s="566"/>
      <c r="J98" s="574"/>
      <c r="K98" s="574"/>
      <c r="L98" s="574"/>
      <c r="M98" s="574"/>
      <c r="N98" s="574"/>
      <c r="O98" s="574"/>
      <c r="P98" s="448"/>
      <c r="Q98" s="437"/>
      <c r="R98" s="574"/>
      <c r="S98" s="574"/>
      <c r="T98" s="574"/>
      <c r="U98" s="569"/>
      <c r="V98" s="569"/>
      <c r="W98" s="569"/>
      <c r="X98" s="569"/>
      <c r="Y98" s="574"/>
      <c r="Z98" s="574"/>
      <c r="AA98" s="574"/>
      <c r="AB98" s="570"/>
      <c r="AC98" s="569"/>
      <c r="AD98" s="574"/>
      <c r="AE98" s="574"/>
      <c r="AF98" s="566"/>
    </row>
    <row r="99" spans="1:32" ht="18.75" x14ac:dyDescent="0.2">
      <c r="A99" s="427">
        <v>77</v>
      </c>
      <c r="B99" s="487" t="s">
        <v>189</v>
      </c>
      <c r="C99" s="427" t="s">
        <v>46</v>
      </c>
      <c r="D99" s="472">
        <v>673</v>
      </c>
      <c r="E99" s="472" t="s">
        <v>190</v>
      </c>
      <c r="F99" s="427">
        <v>177.8</v>
      </c>
      <c r="G99" s="427"/>
      <c r="H99" s="429"/>
      <c r="I99" s="574"/>
      <c r="J99" s="574"/>
      <c r="K99" s="574"/>
      <c r="L99" s="574"/>
      <c r="M99" s="574"/>
      <c r="N99" s="574"/>
      <c r="O99" s="574"/>
      <c r="P99" s="448"/>
      <c r="Q99" s="437"/>
      <c r="R99" s="574"/>
      <c r="S99" s="574"/>
      <c r="T99" s="574"/>
      <c r="U99" s="569"/>
      <c r="V99" s="569"/>
      <c r="W99" s="569"/>
      <c r="X99" s="569"/>
      <c r="Y99" s="488"/>
      <c r="Z99" s="489"/>
      <c r="AA99" s="566"/>
      <c r="AB99" s="570"/>
      <c r="AC99" s="574"/>
      <c r="AD99" s="427"/>
      <c r="AE99" s="431"/>
      <c r="AF99" s="439"/>
    </row>
    <row r="100" spans="1:32" ht="18.75" x14ac:dyDescent="0.3">
      <c r="A100" s="427">
        <v>78</v>
      </c>
      <c r="B100" s="428" t="s">
        <v>181</v>
      </c>
      <c r="C100" s="490" t="s">
        <v>183</v>
      </c>
      <c r="D100" s="429">
        <v>374.5</v>
      </c>
      <c r="E100" s="427" t="s">
        <v>182</v>
      </c>
      <c r="F100" s="427">
        <v>177.8</v>
      </c>
      <c r="G100" s="427"/>
      <c r="H100" s="429"/>
      <c r="I100" s="574"/>
      <c r="J100" s="427"/>
      <c r="K100" s="427"/>
      <c r="L100" s="427"/>
      <c r="M100" s="427"/>
      <c r="N100" s="430"/>
      <c r="O100" s="427"/>
      <c r="P100" s="432"/>
      <c r="Q100" s="431"/>
      <c r="R100" s="432"/>
      <c r="S100" s="431"/>
      <c r="T100" s="431"/>
      <c r="U100" s="431"/>
      <c r="V100" s="432"/>
      <c r="W100" s="432"/>
      <c r="X100" s="491"/>
      <c r="Y100" s="431"/>
      <c r="Z100" s="431"/>
      <c r="AA100" s="431"/>
      <c r="AB100" s="431"/>
      <c r="AC100" s="431"/>
      <c r="AD100" s="427"/>
      <c r="AE100" s="431"/>
      <c r="AF100" s="439"/>
    </row>
    <row r="101" spans="1:32" ht="18.75" x14ac:dyDescent="0.2">
      <c r="A101" s="427">
        <v>79</v>
      </c>
      <c r="B101" s="428" t="s">
        <v>174</v>
      </c>
      <c r="C101" s="427" t="s">
        <v>46</v>
      </c>
      <c r="D101" s="429">
        <v>672</v>
      </c>
      <c r="E101" s="427" t="s">
        <v>175</v>
      </c>
      <c r="F101" s="427">
        <v>177.8</v>
      </c>
      <c r="G101" s="427"/>
      <c r="H101" s="429"/>
      <c r="I101" s="574"/>
      <c r="J101" s="427"/>
      <c r="K101" s="427"/>
      <c r="L101" s="427"/>
      <c r="M101" s="427"/>
      <c r="N101" s="430"/>
      <c r="O101" s="427"/>
      <c r="P101" s="430"/>
      <c r="Q101" s="431"/>
      <c r="R101" s="432"/>
      <c r="S101" s="431"/>
      <c r="T101" s="431"/>
      <c r="U101" s="431"/>
      <c r="V101" s="432"/>
      <c r="W101" s="432"/>
      <c r="X101" s="431"/>
      <c r="Y101" s="431"/>
      <c r="Z101" s="431"/>
      <c r="AA101" s="431"/>
      <c r="AB101" s="431"/>
      <c r="AC101" s="431"/>
      <c r="AD101" s="427"/>
      <c r="AE101" s="431"/>
      <c r="AF101" s="439"/>
    </row>
    <row r="102" spans="1:32" ht="25.15" customHeight="1" x14ac:dyDescent="0.2">
      <c r="A102" s="427">
        <v>80</v>
      </c>
      <c r="B102" s="568" t="s">
        <v>103</v>
      </c>
      <c r="C102" s="427" t="s">
        <v>46</v>
      </c>
      <c r="D102" s="574">
        <v>582</v>
      </c>
      <c r="E102" s="574" t="s">
        <v>112</v>
      </c>
      <c r="F102" s="427">
        <v>177.8</v>
      </c>
      <c r="G102" s="427"/>
      <c r="H102" s="429"/>
      <c r="I102" s="574"/>
      <c r="J102" s="574"/>
      <c r="K102" s="424"/>
      <c r="L102" s="574"/>
      <c r="M102" s="424"/>
      <c r="N102" s="574"/>
      <c r="O102" s="574"/>
      <c r="P102" s="448"/>
      <c r="Q102" s="437"/>
      <c r="R102" s="574"/>
      <c r="S102" s="574"/>
      <c r="T102" s="574"/>
      <c r="U102" s="569"/>
      <c r="V102" s="569"/>
      <c r="W102" s="569"/>
      <c r="X102" s="421"/>
      <c r="Y102" s="492"/>
      <c r="Z102" s="574"/>
      <c r="AA102" s="574"/>
      <c r="AB102" s="569"/>
      <c r="AC102" s="574"/>
      <c r="AD102" s="493"/>
      <c r="AE102" s="437"/>
      <c r="AF102" s="439"/>
    </row>
    <row r="103" spans="1:32" ht="26.45" customHeight="1" x14ac:dyDescent="0.2">
      <c r="A103" s="427">
        <v>81</v>
      </c>
      <c r="B103" s="568" t="s">
        <v>220</v>
      </c>
      <c r="C103" s="427" t="s">
        <v>46</v>
      </c>
      <c r="D103" s="574">
        <v>685.69</v>
      </c>
      <c r="E103" s="574" t="s">
        <v>222</v>
      </c>
      <c r="F103" s="427">
        <v>177.8</v>
      </c>
      <c r="G103" s="427"/>
      <c r="H103" s="429"/>
      <c r="I103" s="574"/>
      <c r="J103" s="574"/>
      <c r="K103" s="424"/>
      <c r="L103" s="574"/>
      <c r="M103" s="424"/>
      <c r="N103" s="574"/>
      <c r="O103" s="574"/>
      <c r="P103" s="448"/>
      <c r="Q103" s="437"/>
      <c r="R103" s="574"/>
      <c r="S103" s="574"/>
      <c r="T103" s="574"/>
      <c r="U103" s="569"/>
      <c r="V103" s="569"/>
      <c r="W103" s="569"/>
      <c r="X103" s="421"/>
      <c r="Y103" s="492"/>
      <c r="Z103" s="574"/>
      <c r="AA103" s="574"/>
      <c r="AB103" s="569"/>
      <c r="AC103" s="574"/>
      <c r="AD103" s="493"/>
      <c r="AE103" s="437"/>
      <c r="AF103" s="439"/>
    </row>
    <row r="104" spans="1:32" ht="18.75" x14ac:dyDescent="0.2">
      <c r="A104" s="427"/>
      <c r="B104" s="1894" t="s">
        <v>279</v>
      </c>
      <c r="C104" s="1895"/>
      <c r="D104" s="1895"/>
      <c r="E104" s="1895"/>
      <c r="F104" s="1895"/>
      <c r="G104" s="427"/>
      <c r="H104" s="429"/>
      <c r="I104" s="574"/>
      <c r="J104" s="427"/>
      <c r="K104" s="427"/>
      <c r="L104" s="427"/>
      <c r="M104" s="427"/>
      <c r="N104" s="430"/>
      <c r="O104" s="427"/>
      <c r="P104" s="430"/>
      <c r="Q104" s="431"/>
      <c r="R104" s="432"/>
      <c r="S104" s="431"/>
      <c r="T104" s="431"/>
      <c r="U104" s="431"/>
      <c r="V104" s="432"/>
      <c r="W104" s="432"/>
      <c r="X104" s="431"/>
      <c r="Y104" s="431"/>
      <c r="Z104" s="431"/>
      <c r="AA104" s="431"/>
      <c r="AB104" s="431"/>
      <c r="AC104" s="431"/>
      <c r="AD104" s="427"/>
      <c r="AE104" s="431"/>
      <c r="AF104" s="439"/>
    </row>
    <row r="105" spans="1:32" ht="18.75" x14ac:dyDescent="0.2">
      <c r="A105" s="427">
        <v>82</v>
      </c>
      <c r="B105" s="428" t="s">
        <v>148</v>
      </c>
      <c r="C105" s="427" t="s">
        <v>46</v>
      </c>
      <c r="D105" s="427">
        <v>650</v>
      </c>
      <c r="E105" s="427" t="s">
        <v>75</v>
      </c>
      <c r="F105" s="427">
        <v>177.8</v>
      </c>
      <c r="G105" s="427"/>
      <c r="H105" s="429"/>
      <c r="I105" s="424">
        <v>536.14</v>
      </c>
      <c r="J105" s="427"/>
      <c r="K105" s="427"/>
      <c r="L105" s="427"/>
      <c r="M105" s="427"/>
      <c r="N105" s="430"/>
      <c r="O105" s="427"/>
      <c r="P105" s="430"/>
      <c r="Q105" s="431"/>
      <c r="R105" s="432"/>
      <c r="S105" s="431"/>
      <c r="T105" s="431"/>
      <c r="U105" s="431"/>
      <c r="V105" s="432"/>
      <c r="W105" s="432"/>
      <c r="X105" s="431"/>
      <c r="Y105" s="431"/>
      <c r="Z105" s="431"/>
      <c r="AA105" s="431"/>
      <c r="AB105" s="431"/>
      <c r="AC105" s="431"/>
      <c r="AD105" s="427"/>
      <c r="AE105" s="431"/>
      <c r="AF105" s="439"/>
    </row>
    <row r="106" spans="1:32" ht="18.75" x14ac:dyDescent="0.2">
      <c r="A106" s="427">
        <v>83</v>
      </c>
      <c r="B106" s="428" t="s">
        <v>155</v>
      </c>
      <c r="C106" s="427" t="s">
        <v>46</v>
      </c>
      <c r="D106" s="427">
        <v>674.13</v>
      </c>
      <c r="E106" s="427" t="s">
        <v>83</v>
      </c>
      <c r="F106" s="427">
        <v>177.8</v>
      </c>
      <c r="G106" s="427"/>
      <c r="H106" s="429"/>
      <c r="I106" s="574">
        <v>527.75</v>
      </c>
      <c r="J106" s="427"/>
      <c r="K106" s="427"/>
      <c r="L106" s="427"/>
      <c r="M106" s="427"/>
      <c r="N106" s="430"/>
      <c r="O106" s="427"/>
      <c r="P106" s="430"/>
      <c r="Q106" s="431"/>
      <c r="R106" s="432"/>
      <c r="S106" s="431"/>
      <c r="T106" s="431"/>
      <c r="U106" s="431"/>
      <c r="V106" s="432"/>
      <c r="W106" s="432"/>
      <c r="X106" s="431"/>
      <c r="Y106" s="431"/>
      <c r="Z106" s="431"/>
      <c r="AA106" s="431"/>
      <c r="AB106" s="431"/>
      <c r="AC106" s="431"/>
      <c r="AD106" s="427"/>
      <c r="AE106" s="431"/>
      <c r="AF106" s="439"/>
    </row>
    <row r="107" spans="1:32" ht="18.75" x14ac:dyDescent="0.2">
      <c r="A107" s="427">
        <v>84</v>
      </c>
      <c r="B107" s="428" t="s">
        <v>56</v>
      </c>
      <c r="C107" s="427" t="s">
        <v>46</v>
      </c>
      <c r="D107" s="429">
        <v>680.52</v>
      </c>
      <c r="E107" s="427" t="s">
        <v>92</v>
      </c>
      <c r="F107" s="427">
        <v>177.8</v>
      </c>
      <c r="G107" s="427"/>
      <c r="H107" s="429"/>
      <c r="I107" s="574">
        <v>555.95000000000005</v>
      </c>
      <c r="J107" s="427"/>
      <c r="K107" s="427"/>
      <c r="L107" s="427"/>
      <c r="M107" s="427"/>
      <c r="N107" s="430"/>
      <c r="O107" s="427"/>
      <c r="P107" s="432"/>
      <c r="Q107" s="431"/>
      <c r="R107" s="432"/>
      <c r="S107" s="431"/>
      <c r="T107" s="431"/>
      <c r="U107" s="431"/>
      <c r="V107" s="432"/>
      <c r="W107" s="432"/>
      <c r="X107" s="491"/>
      <c r="Y107" s="431"/>
      <c r="Z107" s="431"/>
      <c r="AA107" s="431"/>
      <c r="AB107" s="431"/>
      <c r="AC107" s="431"/>
      <c r="AD107" s="427"/>
      <c r="AE107" s="431"/>
      <c r="AF107" s="439"/>
    </row>
    <row r="108" spans="1:32" ht="18.75" x14ac:dyDescent="0.2">
      <c r="B108" s="464"/>
      <c r="C108" s="464"/>
      <c r="D108" s="571"/>
      <c r="E108" s="428"/>
      <c r="F108" s="427"/>
      <c r="G108" s="427"/>
      <c r="H108" s="429"/>
      <c r="I108" s="574"/>
      <c r="J108" s="427"/>
      <c r="K108" s="427"/>
      <c r="L108" s="427"/>
      <c r="M108" s="427"/>
      <c r="N108" s="430"/>
      <c r="O108" s="427"/>
      <c r="P108" s="432"/>
      <c r="Q108" s="431"/>
      <c r="R108" s="432"/>
      <c r="S108" s="431"/>
      <c r="T108" s="431"/>
      <c r="U108" s="431"/>
      <c r="V108" s="432"/>
      <c r="W108" s="432"/>
      <c r="X108" s="491"/>
      <c r="Y108" s="431"/>
      <c r="Z108" s="431"/>
      <c r="AA108" s="431"/>
      <c r="AB108" s="431"/>
      <c r="AC108" s="431"/>
      <c r="AD108" s="427"/>
      <c r="AE108" s="431"/>
      <c r="AF108" s="439"/>
    </row>
    <row r="109" spans="1:32" ht="18.75" x14ac:dyDescent="0.2">
      <c r="B109" s="1889"/>
      <c r="C109" s="1889"/>
      <c r="D109" s="1889"/>
      <c r="E109" s="1890"/>
      <c r="F109" s="438"/>
      <c r="G109" s="427"/>
      <c r="H109" s="429"/>
      <c r="I109" s="431"/>
      <c r="J109" s="427"/>
      <c r="K109" s="438"/>
      <c r="L109" s="427"/>
      <c r="M109" s="438"/>
      <c r="N109" s="430"/>
      <c r="O109" s="438"/>
      <c r="P109" s="480"/>
      <c r="Q109" s="467"/>
      <c r="R109" s="467">
        <f>R78+R89+R91</f>
        <v>380.16</v>
      </c>
      <c r="S109" s="467">
        <f>S78+S89+S91</f>
        <v>623.51400000000012</v>
      </c>
      <c r="T109" s="481">
        <f>T78+T89+T91</f>
        <v>15385</v>
      </c>
      <c r="U109" s="467">
        <f>T109/R109</f>
        <v>40.469802188552187</v>
      </c>
      <c r="V109" s="467"/>
      <c r="W109" s="467"/>
      <c r="X109" s="467"/>
      <c r="Y109" s="467">
        <f>Y78+Y89+Y91</f>
        <v>363.70768640000006</v>
      </c>
      <c r="Z109" s="467">
        <f>Z78+Z89+Z91</f>
        <v>595.65420640000002</v>
      </c>
      <c r="AA109" s="481">
        <f>AA78+AA89+AA91</f>
        <v>13971.751999999997</v>
      </c>
      <c r="AB109" s="467">
        <f>AB78+AB89+AB91</f>
        <v>39.785379751299246</v>
      </c>
      <c r="AC109" s="467"/>
      <c r="AD109" s="467"/>
      <c r="AE109" s="495">
        <f>AE78+AE89+AE91</f>
        <v>11097.187651199996</v>
      </c>
      <c r="AF109" s="478"/>
    </row>
    <row r="110" spans="1:32" ht="18.75" x14ac:dyDescent="0.2">
      <c r="B110" s="496"/>
      <c r="C110" s="496"/>
      <c r="D110" s="496"/>
      <c r="E110" s="496"/>
      <c r="F110" s="497"/>
      <c r="G110" s="498"/>
      <c r="H110" s="499"/>
      <c r="I110" s="499"/>
      <c r="J110" s="497"/>
      <c r="K110" s="497"/>
      <c r="L110" s="497"/>
      <c r="M110" s="497"/>
      <c r="N110" s="497"/>
      <c r="O110" s="497"/>
      <c r="P110" s="500"/>
      <c r="Q110" s="501"/>
      <c r="R110" s="497"/>
      <c r="S110" s="497"/>
      <c r="T110" s="497"/>
      <c r="U110" s="498"/>
      <c r="V110" s="498"/>
      <c r="W110" s="498"/>
      <c r="X110" s="498"/>
      <c r="Y110" s="497"/>
      <c r="Z110" s="497"/>
      <c r="AA110" s="497"/>
      <c r="AB110" s="502"/>
      <c r="AC110" s="498"/>
      <c r="AD110" s="497"/>
      <c r="AE110" s="497"/>
      <c r="AF110" s="499"/>
    </row>
    <row r="111" spans="1:32" ht="18.75" x14ac:dyDescent="0.2">
      <c r="B111" s="503"/>
      <c r="C111" s="504"/>
      <c r="D111" s="503"/>
      <c r="E111" s="505">
        <v>0.95</v>
      </c>
      <c r="F111" s="503"/>
      <c r="G111" s="503" t="s">
        <v>102</v>
      </c>
      <c r="H111" s="460"/>
      <c r="I111" s="506"/>
      <c r="J111" s="503"/>
      <c r="K111" s="1896">
        <f>AE109*E111</f>
        <v>10542.328268639996</v>
      </c>
      <c r="L111" s="1897"/>
      <c r="M111" s="1898"/>
      <c r="N111" s="504" t="s">
        <v>27</v>
      </c>
      <c r="O111" s="497"/>
      <c r="P111" s="500"/>
      <c r="Q111" s="501"/>
      <c r="R111" s="497"/>
      <c r="S111" s="497"/>
      <c r="T111" s="497"/>
      <c r="U111" s="498"/>
      <c r="V111" s="498"/>
      <c r="W111" s="498"/>
      <c r="X111" s="498"/>
      <c r="Y111" s="497"/>
      <c r="Z111" s="497"/>
      <c r="AA111" s="497"/>
      <c r="AB111" s="502"/>
      <c r="AC111" s="498"/>
      <c r="AD111" s="497"/>
      <c r="AE111" s="497"/>
      <c r="AF111" s="499"/>
    </row>
    <row r="112" spans="1:32" ht="18.75" x14ac:dyDescent="0.2">
      <c r="B112" s="503"/>
      <c r="C112" s="504"/>
      <c r="D112" s="503"/>
      <c r="E112" s="505"/>
      <c r="F112" s="503"/>
      <c r="G112" s="504"/>
      <c r="H112" s="460"/>
      <c r="I112" s="506"/>
      <c r="J112" s="503"/>
      <c r="K112" s="504"/>
      <c r="L112" s="462"/>
      <c r="M112" s="503"/>
      <c r="N112" s="503"/>
      <c r="O112" s="503"/>
      <c r="P112" s="507"/>
      <c r="Q112" s="508"/>
      <c r="R112" s="503"/>
      <c r="S112" s="503"/>
      <c r="T112" s="503"/>
      <c r="U112" s="503"/>
      <c r="V112" s="503"/>
      <c r="W112" s="503"/>
      <c r="X112" s="509"/>
      <c r="Y112" s="509"/>
      <c r="Z112" s="509"/>
      <c r="AA112" s="509"/>
      <c r="AB112" s="509"/>
      <c r="AC112" s="509"/>
      <c r="AD112" s="509"/>
      <c r="AE112" s="509"/>
      <c r="AF112" s="510"/>
    </row>
    <row r="113" spans="2:32" ht="18.75" x14ac:dyDescent="0.2">
      <c r="B113" s="503"/>
      <c r="C113" s="503"/>
      <c r="D113" s="503"/>
      <c r="E113" s="511" t="s">
        <v>214</v>
      </c>
      <c r="F113" s="1899" t="s">
        <v>264</v>
      </c>
      <c r="G113" s="1899"/>
      <c r="H113" s="1899"/>
      <c r="I113" s="503"/>
      <c r="J113" s="503"/>
      <c r="K113" s="504"/>
      <c r="L113" s="504"/>
      <c r="M113" s="503"/>
      <c r="N113" s="503"/>
      <c r="O113" s="503"/>
      <c r="P113" s="503"/>
      <c r="Q113" s="503"/>
      <c r="R113" s="503"/>
      <c r="S113" s="503"/>
      <c r="T113" s="503"/>
      <c r="U113" s="503"/>
      <c r="V113" s="503"/>
      <c r="W113" s="503"/>
      <c r="X113" s="1892" t="s">
        <v>352</v>
      </c>
      <c r="Y113" s="1893"/>
      <c r="Z113" s="1893"/>
      <c r="AA113" s="1893"/>
      <c r="AB113" s="509" t="s">
        <v>216</v>
      </c>
      <c r="AC113" s="509"/>
      <c r="AD113" s="509"/>
      <c r="AE113" s="509"/>
      <c r="AF113" s="509"/>
    </row>
    <row r="114" spans="2:32" x14ac:dyDescent="0.2">
      <c r="Q114" s="396"/>
    </row>
  </sheetData>
  <mergeCells count="40">
    <mergeCell ref="A11:A13"/>
    <mergeCell ref="A3:D3"/>
    <mergeCell ref="A7:E7"/>
    <mergeCell ref="A8:E8"/>
    <mergeCell ref="I1:X1"/>
    <mergeCell ref="J2:W2"/>
    <mergeCell ref="R12:T12"/>
    <mergeCell ref="U12:U13"/>
    <mergeCell ref="B11:B13"/>
    <mergeCell ref="C11:C13"/>
    <mergeCell ref="D11:D12"/>
    <mergeCell ref="E11:E12"/>
    <mergeCell ref="F11:F12"/>
    <mergeCell ref="H12:H13"/>
    <mergeCell ref="I12:I13"/>
    <mergeCell ref="K12:L12"/>
    <mergeCell ref="B9:E9"/>
    <mergeCell ref="X113:AA113"/>
    <mergeCell ref="AF12:AF13"/>
    <mergeCell ref="B79:E79"/>
    <mergeCell ref="B80:F80"/>
    <mergeCell ref="B89:E89"/>
    <mergeCell ref="B92:E92"/>
    <mergeCell ref="B93:F93"/>
    <mergeCell ref="V12:V13"/>
    <mergeCell ref="W12:W13"/>
    <mergeCell ref="X12:X13"/>
    <mergeCell ref="Y12:AA12"/>
    <mergeCell ref="AB12:AB13"/>
    <mergeCell ref="AC12:AC13"/>
    <mergeCell ref="X11:AF11"/>
    <mergeCell ref="B98:F98"/>
    <mergeCell ref="F113:H113"/>
    <mergeCell ref="G11:G13"/>
    <mergeCell ref="H11:W11"/>
    <mergeCell ref="B104:F104"/>
    <mergeCell ref="M12:N12"/>
    <mergeCell ref="O12:P12"/>
    <mergeCell ref="B109:E109"/>
    <mergeCell ref="K111:M11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F112"/>
  <sheetViews>
    <sheetView topLeftCell="K91" zoomScale="71" zoomScaleNormal="71" workbookViewId="0">
      <selection activeCell="U5" sqref="U5"/>
    </sheetView>
  </sheetViews>
  <sheetFormatPr defaultColWidth="8.85546875" defaultRowHeight="12.75" x14ac:dyDescent="0.2"/>
  <cols>
    <col min="1" max="1" width="9.140625" style="594" bestFit="1" customWidth="1"/>
    <col min="2" max="2" width="15.140625" style="594" customWidth="1"/>
    <col min="3" max="3" width="16" style="594" customWidth="1"/>
    <col min="4" max="4" width="9.140625" style="594" bestFit="1" customWidth="1"/>
    <col min="5" max="5" width="81.7109375" style="594" customWidth="1"/>
    <col min="6" max="6" width="9.140625" style="594" bestFit="1" customWidth="1"/>
    <col min="7" max="7" width="8.85546875" style="594"/>
    <col min="8" max="8" width="16.5703125" style="594" customWidth="1"/>
    <col min="9" max="9" width="14.7109375" style="594" customWidth="1"/>
    <col min="10" max="11" width="9.140625" style="594" bestFit="1" customWidth="1"/>
    <col min="12" max="12" width="9" style="594" bestFit="1" customWidth="1"/>
    <col min="13" max="13" width="9.140625" style="594" bestFit="1" customWidth="1"/>
    <col min="14" max="14" width="9" style="594" bestFit="1" customWidth="1"/>
    <col min="15" max="15" width="8.85546875" style="594"/>
    <col min="16" max="16" width="9.140625" style="594" bestFit="1" customWidth="1"/>
    <col min="17" max="17" width="10.85546875" style="594" customWidth="1"/>
    <col min="18" max="19" width="9.140625" style="594" bestFit="1" customWidth="1"/>
    <col min="20" max="20" width="9.5703125" style="594" customWidth="1"/>
    <col min="21" max="21" width="10.7109375" style="594" customWidth="1"/>
    <col min="22" max="23" width="9.140625" style="594" bestFit="1" customWidth="1"/>
    <col min="24" max="24" width="10.28515625" style="594" bestFit="1" customWidth="1"/>
    <col min="25" max="26" width="9.140625" style="594" bestFit="1" customWidth="1"/>
    <col min="27" max="27" width="9.28515625" style="594" bestFit="1" customWidth="1"/>
    <col min="28" max="28" width="10.140625" style="594" bestFit="1" customWidth="1"/>
    <col min="29" max="30" width="9.140625" style="594" bestFit="1" customWidth="1"/>
    <col min="31" max="31" width="14.28515625" style="594" customWidth="1"/>
    <col min="32" max="32" width="60.7109375" style="594" customWidth="1"/>
    <col min="33" max="16384" width="8.85546875" style="594"/>
  </cols>
  <sheetData>
    <row r="1" spans="1:32" ht="18.75" x14ac:dyDescent="0.3">
      <c r="A1" s="593"/>
      <c r="B1" s="593"/>
      <c r="C1" s="593"/>
      <c r="D1" s="593"/>
      <c r="E1" s="593"/>
      <c r="F1" s="593"/>
      <c r="G1" s="593"/>
      <c r="H1" s="593"/>
      <c r="I1" s="1933" t="s">
        <v>65</v>
      </c>
      <c r="J1" s="1934"/>
      <c r="K1" s="1934"/>
      <c r="L1" s="1934"/>
      <c r="M1" s="1934"/>
      <c r="N1" s="1934"/>
      <c r="O1" s="1934"/>
      <c r="P1" s="1934"/>
      <c r="Q1" s="1934"/>
      <c r="R1" s="1934"/>
      <c r="S1" s="1934"/>
      <c r="T1" s="1934"/>
      <c r="U1" s="1934"/>
      <c r="V1" s="1934"/>
      <c r="W1" s="1934"/>
      <c r="X1" s="1934"/>
      <c r="Y1" s="593"/>
      <c r="Z1" s="593"/>
      <c r="AA1" s="593"/>
      <c r="AB1" s="593"/>
      <c r="AC1" s="593"/>
      <c r="AD1" s="593"/>
      <c r="AE1" s="593"/>
      <c r="AF1" s="593"/>
    </row>
    <row r="2" spans="1:32" ht="18.75" x14ac:dyDescent="0.3">
      <c r="A2" s="593"/>
      <c r="B2" s="593"/>
      <c r="C2" s="593"/>
      <c r="D2" s="593"/>
      <c r="E2" s="593"/>
      <c r="F2" s="509"/>
      <c r="G2" s="595"/>
      <c r="H2" s="595"/>
      <c r="I2" s="509"/>
      <c r="J2" s="1935" t="s">
        <v>372</v>
      </c>
      <c r="K2" s="1922"/>
      <c r="L2" s="1922"/>
      <c r="M2" s="1922"/>
      <c r="N2" s="1922"/>
      <c r="O2" s="1922"/>
      <c r="P2" s="1922"/>
      <c r="Q2" s="1922"/>
      <c r="R2" s="1922"/>
      <c r="S2" s="1922"/>
      <c r="T2" s="1922"/>
      <c r="U2" s="1922"/>
      <c r="V2" s="1922"/>
      <c r="W2" s="1922"/>
      <c r="X2" s="509"/>
      <c r="Y2" s="509"/>
      <c r="Z2" s="509"/>
      <c r="AA2" s="509"/>
      <c r="AB2" s="509"/>
      <c r="AC2" s="509"/>
      <c r="AD2" s="509"/>
      <c r="AE2" s="509"/>
      <c r="AF2" s="597"/>
    </row>
    <row r="3" spans="1:32" ht="18.75" x14ac:dyDescent="0.2">
      <c r="A3" s="1936" t="s">
        <v>54</v>
      </c>
      <c r="B3" s="1936"/>
      <c r="C3" s="1936"/>
      <c r="D3" s="1936"/>
      <c r="E3" s="509"/>
      <c r="F3" s="509"/>
      <c r="G3" s="595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98" t="s">
        <v>55</v>
      </c>
    </row>
    <row r="4" spans="1:32" ht="18.75" x14ac:dyDescent="0.2">
      <c r="A4" s="578" t="s">
        <v>311</v>
      </c>
      <c r="B4" s="578"/>
      <c r="C4" s="578"/>
      <c r="D4" s="578"/>
      <c r="E4" s="578"/>
      <c r="F4" s="509"/>
      <c r="G4" s="595"/>
      <c r="H4" s="595"/>
      <c r="I4" s="577"/>
      <c r="J4" s="577"/>
      <c r="K4" s="577"/>
      <c r="L4" s="577"/>
      <c r="M4" s="577"/>
      <c r="N4" s="577"/>
      <c r="O4" s="577"/>
      <c r="P4" s="577"/>
      <c r="Q4" s="577"/>
      <c r="R4" s="599"/>
      <c r="S4" s="599"/>
      <c r="T4" s="599"/>
      <c r="U4" s="599"/>
      <c r="V4" s="599"/>
      <c r="W4" s="599"/>
      <c r="X4" s="509"/>
      <c r="Y4" s="509"/>
      <c r="Z4" s="509"/>
      <c r="AA4" s="509"/>
      <c r="AB4" s="509"/>
      <c r="AC4" s="509"/>
      <c r="AD4" s="509"/>
      <c r="AE4" s="509"/>
      <c r="AF4" s="600" t="s">
        <v>338</v>
      </c>
    </row>
    <row r="5" spans="1:32" ht="18.75" x14ac:dyDescent="0.2">
      <c r="A5" s="578" t="s">
        <v>316</v>
      </c>
      <c r="B5" s="503"/>
      <c r="C5" s="503"/>
      <c r="D5" s="503"/>
      <c r="E5" s="509"/>
      <c r="F5" s="509"/>
      <c r="G5" s="595"/>
      <c r="H5" s="595"/>
      <c r="I5" s="509"/>
      <c r="J5" s="509"/>
      <c r="K5" s="595"/>
      <c r="L5" s="595"/>
      <c r="M5" s="509"/>
      <c r="N5" s="509"/>
      <c r="O5" s="509"/>
      <c r="P5" s="601"/>
      <c r="Q5" s="602"/>
      <c r="R5" s="509"/>
      <c r="S5" s="509"/>
      <c r="T5" s="509"/>
      <c r="U5" s="509"/>
      <c r="V5" s="509"/>
      <c r="W5" s="509"/>
      <c r="X5" s="509"/>
      <c r="Y5" s="509"/>
      <c r="Z5" s="509"/>
      <c r="AA5" s="509"/>
      <c r="AB5" s="509"/>
      <c r="AC5" s="509"/>
      <c r="AD5" s="509"/>
      <c r="AE5" s="509"/>
      <c r="AF5" s="603" t="s">
        <v>308</v>
      </c>
    </row>
    <row r="6" spans="1:32" ht="18.75" x14ac:dyDescent="0.2">
      <c r="A6" s="509"/>
      <c r="B6" s="578"/>
      <c r="C6" s="578"/>
      <c r="D6" s="578"/>
      <c r="E6" s="509"/>
      <c r="F6" s="509"/>
      <c r="G6" s="595"/>
      <c r="H6" s="595"/>
      <c r="I6" s="597"/>
      <c r="J6" s="509"/>
      <c r="K6" s="595"/>
      <c r="L6" s="595"/>
      <c r="M6" s="509"/>
      <c r="N6" s="509"/>
      <c r="O6" s="509"/>
      <c r="P6" s="601"/>
      <c r="Q6" s="602"/>
      <c r="R6" s="509"/>
      <c r="S6" s="509"/>
      <c r="T6" s="509"/>
      <c r="U6" s="509"/>
      <c r="V6" s="509"/>
      <c r="W6" s="600"/>
      <c r="X6" s="509"/>
      <c r="Y6" s="503"/>
      <c r="Z6" s="503"/>
      <c r="AA6" s="503"/>
      <c r="AB6" s="503"/>
      <c r="AC6" s="503"/>
      <c r="AD6" s="503"/>
      <c r="AE6" s="503"/>
      <c r="AF6" s="604"/>
    </row>
    <row r="7" spans="1:32" ht="18.75" x14ac:dyDescent="0.2">
      <c r="A7" s="1899" t="s">
        <v>261</v>
      </c>
      <c r="B7" s="1899"/>
      <c r="C7" s="1899"/>
      <c r="D7" s="1899"/>
      <c r="E7" s="1899"/>
      <c r="F7" s="509"/>
      <c r="G7" s="595"/>
      <c r="H7" s="595"/>
      <c r="I7" s="597"/>
      <c r="J7" s="509"/>
      <c r="K7" s="595"/>
      <c r="L7" s="595"/>
      <c r="M7" s="509"/>
      <c r="N7" s="509"/>
      <c r="O7" s="509"/>
      <c r="P7" s="601"/>
      <c r="Q7" s="602"/>
      <c r="R7" s="509"/>
      <c r="S7" s="509"/>
      <c r="T7" s="509"/>
      <c r="U7" s="509"/>
      <c r="V7" s="509"/>
      <c r="W7" s="600"/>
      <c r="X7" s="509"/>
      <c r="Y7" s="503"/>
      <c r="Z7" s="503"/>
      <c r="AA7" s="503"/>
      <c r="AB7" s="503"/>
      <c r="AC7" s="503"/>
      <c r="AD7" s="503"/>
      <c r="AE7" s="503"/>
      <c r="AF7" s="600"/>
    </row>
    <row r="8" spans="1:32" ht="18.75" x14ac:dyDescent="0.2">
      <c r="A8" s="1899" t="s">
        <v>316</v>
      </c>
      <c r="B8" s="1899"/>
      <c r="C8" s="1899"/>
      <c r="D8" s="1899"/>
      <c r="E8" s="1899"/>
      <c r="F8" s="509"/>
      <c r="G8" s="595"/>
      <c r="H8" s="595"/>
      <c r="I8" s="597"/>
      <c r="J8" s="509"/>
      <c r="K8" s="595"/>
      <c r="L8" s="595"/>
      <c r="M8" s="509"/>
      <c r="N8" s="509"/>
      <c r="O8" s="509"/>
      <c r="P8" s="601"/>
      <c r="Q8" s="602"/>
      <c r="R8" s="509"/>
      <c r="S8" s="509"/>
      <c r="T8" s="509"/>
      <c r="U8" s="509"/>
      <c r="V8" s="509"/>
      <c r="W8" s="600"/>
      <c r="X8" s="509"/>
      <c r="Y8" s="503"/>
      <c r="Z8" s="503"/>
      <c r="AA8" s="503"/>
      <c r="AB8" s="503"/>
      <c r="AC8" s="503"/>
      <c r="AD8" s="503"/>
      <c r="AE8" s="503"/>
      <c r="AF8" s="603"/>
    </row>
    <row r="9" spans="1:32" ht="18.75" x14ac:dyDescent="0.3">
      <c r="A9" s="605"/>
      <c r="B9" s="1899"/>
      <c r="C9" s="1899"/>
      <c r="D9" s="1899"/>
      <c r="E9" s="1899"/>
      <c r="F9" s="509"/>
      <c r="G9" s="595"/>
      <c r="H9" s="595"/>
      <c r="I9" s="509"/>
      <c r="J9" s="509"/>
      <c r="K9" s="595"/>
      <c r="L9" s="595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09"/>
      <c r="X9" s="509"/>
      <c r="Y9" s="503"/>
      <c r="Z9" s="503"/>
      <c r="AA9" s="503"/>
      <c r="AB9" s="503"/>
      <c r="AC9" s="503"/>
      <c r="AD9" s="503"/>
      <c r="AE9" s="503"/>
      <c r="AF9" s="604"/>
    </row>
    <row r="10" spans="1:32" ht="18.75" x14ac:dyDescent="0.2">
      <c r="B10" s="595"/>
      <c r="C10" s="595"/>
      <c r="D10" s="595"/>
      <c r="E10" s="509"/>
      <c r="F10" s="509"/>
      <c r="G10" s="595"/>
      <c r="H10" s="595"/>
      <c r="I10" s="597"/>
      <c r="J10" s="509"/>
      <c r="K10" s="595"/>
      <c r="L10" s="595"/>
      <c r="M10" s="509"/>
      <c r="N10" s="509"/>
      <c r="O10" s="509"/>
      <c r="P10" s="601"/>
      <c r="Q10" s="602"/>
      <c r="R10" s="509"/>
      <c r="S10" s="509"/>
      <c r="T10" s="509"/>
      <c r="U10" s="509"/>
      <c r="V10" s="509"/>
      <c r="W10" s="600"/>
      <c r="X10" s="509"/>
      <c r="Y10" s="503"/>
      <c r="Z10" s="503"/>
      <c r="AA10" s="503"/>
      <c r="AB10" s="503"/>
      <c r="AC10" s="503"/>
      <c r="AD10" s="503"/>
      <c r="AE10" s="503"/>
      <c r="AF10" s="603"/>
    </row>
    <row r="11" spans="1:32" ht="18.75" x14ac:dyDescent="0.2">
      <c r="A11" s="1923" t="s">
        <v>1</v>
      </c>
      <c r="B11" s="1923" t="s">
        <v>2</v>
      </c>
      <c r="C11" s="1929" t="s">
        <v>8</v>
      </c>
      <c r="D11" s="1929" t="s">
        <v>33</v>
      </c>
      <c r="E11" s="1923" t="s">
        <v>0</v>
      </c>
      <c r="F11" s="1929" t="s">
        <v>34</v>
      </c>
      <c r="G11" s="1929" t="s">
        <v>5</v>
      </c>
      <c r="H11" s="1931" t="s">
        <v>23</v>
      </c>
      <c r="I11" s="1931"/>
      <c r="J11" s="1931"/>
      <c r="K11" s="1931"/>
      <c r="L11" s="1931"/>
      <c r="M11" s="1931"/>
      <c r="N11" s="1931"/>
      <c r="O11" s="1931"/>
      <c r="P11" s="1931"/>
      <c r="Q11" s="1931"/>
      <c r="R11" s="1931"/>
      <c r="S11" s="1931"/>
      <c r="T11" s="1931"/>
      <c r="U11" s="1931"/>
      <c r="V11" s="1931"/>
      <c r="W11" s="1931"/>
      <c r="X11" s="1931" t="s">
        <v>22</v>
      </c>
      <c r="Y11" s="1931"/>
      <c r="Z11" s="1931"/>
      <c r="AA11" s="1931"/>
      <c r="AB11" s="1931"/>
      <c r="AC11" s="1931"/>
      <c r="AD11" s="1931"/>
      <c r="AE11" s="1931"/>
      <c r="AF11" s="1931"/>
    </row>
    <row r="12" spans="1:32" ht="196.15" customHeight="1" x14ac:dyDescent="0.2">
      <c r="A12" s="1923"/>
      <c r="B12" s="1923"/>
      <c r="C12" s="1929"/>
      <c r="D12" s="1929"/>
      <c r="E12" s="1923"/>
      <c r="F12" s="1929"/>
      <c r="G12" s="1929"/>
      <c r="H12" s="1929" t="s">
        <v>66</v>
      </c>
      <c r="I12" s="1923" t="s">
        <v>35</v>
      </c>
      <c r="J12" s="607" t="s">
        <v>6</v>
      </c>
      <c r="K12" s="1923" t="s">
        <v>9</v>
      </c>
      <c r="L12" s="1923"/>
      <c r="M12" s="1923" t="s">
        <v>10</v>
      </c>
      <c r="N12" s="1923"/>
      <c r="O12" s="1923" t="s">
        <v>11</v>
      </c>
      <c r="P12" s="1923"/>
      <c r="Q12" s="608" t="s">
        <v>67</v>
      </c>
      <c r="R12" s="1923" t="s">
        <v>15</v>
      </c>
      <c r="S12" s="1932"/>
      <c r="T12" s="1932"/>
      <c r="U12" s="1929" t="s">
        <v>100</v>
      </c>
      <c r="V12" s="1928" t="s">
        <v>16</v>
      </c>
      <c r="W12" s="1929" t="s">
        <v>17</v>
      </c>
      <c r="X12" s="1929" t="s">
        <v>24</v>
      </c>
      <c r="Y12" s="1923" t="s">
        <v>15</v>
      </c>
      <c r="Z12" s="1917"/>
      <c r="AA12" s="1917"/>
      <c r="AB12" s="1929" t="s">
        <v>100</v>
      </c>
      <c r="AC12" s="1929" t="s">
        <v>16</v>
      </c>
      <c r="AD12" s="610" t="s">
        <v>18</v>
      </c>
      <c r="AE12" s="610" t="s">
        <v>20</v>
      </c>
      <c r="AF12" s="1923" t="s">
        <v>21</v>
      </c>
    </row>
    <row r="13" spans="1:32" ht="37.5" x14ac:dyDescent="0.2">
      <c r="A13" s="1923"/>
      <c r="B13" s="1923"/>
      <c r="C13" s="1929"/>
      <c r="D13" s="440" t="s">
        <v>3</v>
      </c>
      <c r="E13" s="440" t="s">
        <v>3</v>
      </c>
      <c r="F13" s="440" t="s">
        <v>4</v>
      </c>
      <c r="G13" s="1929"/>
      <c r="H13" s="1929"/>
      <c r="I13" s="1923"/>
      <c r="J13" s="611" t="s">
        <v>7</v>
      </c>
      <c r="K13" s="611" t="s">
        <v>30</v>
      </c>
      <c r="L13" s="611" t="s">
        <v>29</v>
      </c>
      <c r="M13" s="611" t="s">
        <v>31</v>
      </c>
      <c r="N13" s="611" t="s">
        <v>32</v>
      </c>
      <c r="O13" s="611" t="s">
        <v>12</v>
      </c>
      <c r="P13" s="612" t="s">
        <v>13</v>
      </c>
      <c r="Q13" s="613" t="s">
        <v>26</v>
      </c>
      <c r="R13" s="611" t="s">
        <v>14</v>
      </c>
      <c r="S13" s="611" t="s">
        <v>25</v>
      </c>
      <c r="T13" s="611" t="s">
        <v>113</v>
      </c>
      <c r="U13" s="1929"/>
      <c r="V13" s="1928"/>
      <c r="W13" s="1929"/>
      <c r="X13" s="1929"/>
      <c r="Y13" s="440" t="s">
        <v>14</v>
      </c>
      <c r="Z13" s="440" t="s">
        <v>25</v>
      </c>
      <c r="AA13" s="440" t="s">
        <v>113</v>
      </c>
      <c r="AB13" s="1930"/>
      <c r="AC13" s="1929"/>
      <c r="AD13" s="440" t="s">
        <v>19</v>
      </c>
      <c r="AE13" s="440" t="s">
        <v>27</v>
      </c>
      <c r="AF13" s="1923"/>
    </row>
    <row r="14" spans="1:32" ht="18.95" customHeight="1" x14ac:dyDescent="0.2">
      <c r="A14" s="427">
        <v>1</v>
      </c>
      <c r="B14" s="428" t="s">
        <v>139</v>
      </c>
      <c r="C14" s="427" t="s">
        <v>46</v>
      </c>
      <c r="D14" s="427">
        <v>610.5</v>
      </c>
      <c r="E14" s="427" t="s">
        <v>203</v>
      </c>
      <c r="F14" s="427">
        <v>177.8</v>
      </c>
      <c r="G14" s="427" t="s">
        <v>28</v>
      </c>
      <c r="H14" s="427" t="s">
        <v>52</v>
      </c>
      <c r="I14" s="440">
        <v>558.05999999999995</v>
      </c>
      <c r="J14" s="427">
        <v>205</v>
      </c>
      <c r="K14" s="427"/>
      <c r="L14" s="427">
        <v>281</v>
      </c>
      <c r="M14" s="427"/>
      <c r="N14" s="430">
        <v>7.2833333333333341</v>
      </c>
      <c r="O14" s="427"/>
      <c r="P14" s="430">
        <v>27.917674935210282</v>
      </c>
      <c r="Q14" s="431">
        <f t="shared" ref="Q14:Q37" si="0">LEFT(H14,(FIND("K",H14,1)-1))*J14/100</f>
        <v>45.1</v>
      </c>
      <c r="R14" s="431">
        <v>3.06</v>
      </c>
      <c r="S14" s="431">
        <v>6.1</v>
      </c>
      <c r="T14" s="431">
        <v>5</v>
      </c>
      <c r="U14" s="431">
        <f t="shared" ref="U14:U77" si="1">T14/R14</f>
        <v>1.6339869281045751</v>
      </c>
      <c r="V14" s="614">
        <v>50.01</v>
      </c>
      <c r="W14" s="431">
        <v>0.6</v>
      </c>
      <c r="X14" s="431">
        <f t="shared" ref="X14:X46" si="2">S14/Q14</f>
        <v>0.1352549889135255</v>
      </c>
      <c r="Y14" s="431">
        <f>R14*0.952</f>
        <v>2.9131199999999997</v>
      </c>
      <c r="Z14" s="431">
        <f>S14*0.952</f>
        <v>5.807199999999999</v>
      </c>
      <c r="AA14" s="431">
        <f>T14*0.952</f>
        <v>4.76</v>
      </c>
      <c r="AB14" s="431">
        <f>U14</f>
        <v>1.6339869281045751</v>
      </c>
      <c r="AC14" s="431">
        <f t="shared" ref="AC14:AC77" si="3">V14</f>
        <v>50.01</v>
      </c>
      <c r="AD14" s="427">
        <v>31</v>
      </c>
      <c r="AE14" s="431">
        <f>Y14*AD14</f>
        <v>90.306719999999984</v>
      </c>
      <c r="AF14" s="434"/>
    </row>
    <row r="15" spans="1:32" ht="18.95" customHeight="1" x14ac:dyDescent="0.2">
      <c r="A15" s="427">
        <v>2</v>
      </c>
      <c r="B15" s="428" t="s">
        <v>140</v>
      </c>
      <c r="C15" s="427" t="s">
        <v>46</v>
      </c>
      <c r="D15" s="427">
        <v>585</v>
      </c>
      <c r="E15" s="427" t="s">
        <v>348</v>
      </c>
      <c r="F15" s="427">
        <v>177.8</v>
      </c>
      <c r="G15" s="427" t="s">
        <v>28</v>
      </c>
      <c r="H15" s="427" t="s">
        <v>50</v>
      </c>
      <c r="I15" s="440">
        <v>579.99</v>
      </c>
      <c r="J15" s="427">
        <v>250</v>
      </c>
      <c r="K15" s="427"/>
      <c r="L15" s="427">
        <v>444</v>
      </c>
      <c r="M15" s="427"/>
      <c r="N15" s="427">
        <v>2.9</v>
      </c>
      <c r="O15" s="427"/>
      <c r="P15" s="430">
        <v>16.250777891817997</v>
      </c>
      <c r="Q15" s="431">
        <f t="shared" si="0"/>
        <v>15</v>
      </c>
      <c r="R15" s="431">
        <v>1.6</v>
      </c>
      <c r="S15" s="431">
        <v>2.1</v>
      </c>
      <c r="T15" s="431">
        <v>4.5999999999999996</v>
      </c>
      <c r="U15" s="431">
        <f t="shared" si="1"/>
        <v>2.8749999999999996</v>
      </c>
      <c r="V15" s="614">
        <f>(S15-R15)/S15*100</f>
        <v>23.809523809523807</v>
      </c>
      <c r="W15" s="431">
        <v>1</v>
      </c>
      <c r="X15" s="431">
        <f t="shared" si="2"/>
        <v>0.14000000000000001</v>
      </c>
      <c r="Y15" s="431">
        <f t="shared" ref="Y15:AA30" si="4">R15*0.952</f>
        <v>1.5232000000000001</v>
      </c>
      <c r="Z15" s="431">
        <f t="shared" si="4"/>
        <v>1.9992000000000001</v>
      </c>
      <c r="AA15" s="431">
        <f t="shared" si="4"/>
        <v>4.3791999999999991</v>
      </c>
      <c r="AB15" s="431">
        <f t="shared" ref="AB15:AB77" si="5">U15</f>
        <v>2.8749999999999996</v>
      </c>
      <c r="AC15" s="431">
        <f t="shared" si="3"/>
        <v>23.809523809523807</v>
      </c>
      <c r="AD15" s="427">
        <v>31</v>
      </c>
      <c r="AE15" s="431">
        <f t="shared" ref="AE15:AE57" si="6">Y15*AD15</f>
        <v>47.219200000000001</v>
      </c>
      <c r="AF15" s="434"/>
    </row>
    <row r="16" spans="1:32" ht="18.95" customHeight="1" x14ac:dyDescent="0.2">
      <c r="A16" s="427">
        <v>3</v>
      </c>
      <c r="B16" s="428" t="s">
        <v>141</v>
      </c>
      <c r="C16" s="427" t="s">
        <v>46</v>
      </c>
      <c r="D16" s="427">
        <v>670</v>
      </c>
      <c r="E16" s="427" t="s">
        <v>68</v>
      </c>
      <c r="F16" s="427">
        <v>177.8</v>
      </c>
      <c r="G16" s="427" t="s">
        <v>28</v>
      </c>
      <c r="H16" s="427" t="s">
        <v>218</v>
      </c>
      <c r="I16" s="440">
        <v>565.94000000000005</v>
      </c>
      <c r="J16" s="427">
        <v>180</v>
      </c>
      <c r="K16" s="427"/>
      <c r="L16" s="427">
        <v>495</v>
      </c>
      <c r="M16" s="427"/>
      <c r="N16" s="430">
        <v>9.4</v>
      </c>
      <c r="O16" s="427"/>
      <c r="P16" s="430">
        <v>13.094296964837984</v>
      </c>
      <c r="Q16" s="431">
        <f>LEFT(H16,(FIND("K",H16,1)-1))*J16/100</f>
        <v>57.6</v>
      </c>
      <c r="R16" s="431">
        <v>16</v>
      </c>
      <c r="S16" s="431">
        <v>26.6</v>
      </c>
      <c r="T16" s="530">
        <v>2056</v>
      </c>
      <c r="U16" s="431">
        <f t="shared" si="1"/>
        <v>128.5</v>
      </c>
      <c r="V16" s="614">
        <f t="shared" ref="V16:V77" si="7">(S16-R16)/S16*100</f>
        <v>39.849624060150376</v>
      </c>
      <c r="W16" s="431">
        <v>0.2</v>
      </c>
      <c r="X16" s="431">
        <f t="shared" si="2"/>
        <v>0.46180555555555558</v>
      </c>
      <c r="Y16" s="431">
        <f t="shared" si="4"/>
        <v>15.231999999999999</v>
      </c>
      <c r="Z16" s="431">
        <f t="shared" si="4"/>
        <v>25.3232</v>
      </c>
      <c r="AA16" s="530">
        <f t="shared" si="4"/>
        <v>1957.3119999999999</v>
      </c>
      <c r="AB16" s="431">
        <f t="shared" si="5"/>
        <v>128.5</v>
      </c>
      <c r="AC16" s="431">
        <f t="shared" si="3"/>
        <v>39.849624060150376</v>
      </c>
      <c r="AD16" s="427">
        <v>31</v>
      </c>
      <c r="AE16" s="431">
        <f>Y16*AD16</f>
        <v>472.19200000000001</v>
      </c>
      <c r="AF16" s="434"/>
    </row>
    <row r="17" spans="1:32" ht="18.95" customHeight="1" x14ac:dyDescent="0.2">
      <c r="A17" s="427">
        <v>4</v>
      </c>
      <c r="B17" s="428" t="s">
        <v>142</v>
      </c>
      <c r="C17" s="427" t="s">
        <v>46</v>
      </c>
      <c r="D17" s="427">
        <v>628</v>
      </c>
      <c r="E17" s="427" t="s">
        <v>297</v>
      </c>
      <c r="F17" s="427">
        <v>177.8</v>
      </c>
      <c r="G17" s="427" t="s">
        <v>28</v>
      </c>
      <c r="H17" s="427" t="s">
        <v>53</v>
      </c>
      <c r="I17" s="440">
        <v>538.47</v>
      </c>
      <c r="J17" s="427">
        <v>245</v>
      </c>
      <c r="K17" s="427"/>
      <c r="L17" s="427">
        <v>443</v>
      </c>
      <c r="M17" s="427"/>
      <c r="N17" s="430">
        <v>4</v>
      </c>
      <c r="O17" s="427"/>
      <c r="P17" s="430">
        <v>14.057785675584336</v>
      </c>
      <c r="Q17" s="431">
        <f t="shared" si="0"/>
        <v>31.85</v>
      </c>
      <c r="R17" s="431">
        <v>6.2</v>
      </c>
      <c r="S17" s="431">
        <v>8.5</v>
      </c>
      <c r="T17" s="431">
        <v>61.08</v>
      </c>
      <c r="U17" s="431">
        <f t="shared" si="1"/>
        <v>9.8516129032258064</v>
      </c>
      <c r="V17" s="614">
        <f t="shared" si="7"/>
        <v>27.058823529411764</v>
      </c>
      <c r="W17" s="431">
        <v>0.2</v>
      </c>
      <c r="X17" s="431">
        <f>S17/Q17</f>
        <v>0.26687598116169542</v>
      </c>
      <c r="Y17" s="431">
        <f t="shared" si="4"/>
        <v>5.9024000000000001</v>
      </c>
      <c r="Z17" s="431">
        <f t="shared" si="4"/>
        <v>8.0919999999999987</v>
      </c>
      <c r="AA17" s="431">
        <f t="shared" si="4"/>
        <v>58.148159999999997</v>
      </c>
      <c r="AB17" s="431">
        <f t="shared" si="5"/>
        <v>9.8516129032258064</v>
      </c>
      <c r="AC17" s="431">
        <f t="shared" si="3"/>
        <v>27.058823529411764</v>
      </c>
      <c r="AD17" s="427">
        <v>31</v>
      </c>
      <c r="AE17" s="431">
        <f t="shared" si="6"/>
        <v>182.9744</v>
      </c>
      <c r="AF17" s="434"/>
    </row>
    <row r="18" spans="1:32" ht="18.95" customHeight="1" x14ac:dyDescent="0.2">
      <c r="A18" s="427">
        <v>5</v>
      </c>
      <c r="B18" s="428" t="s">
        <v>143</v>
      </c>
      <c r="C18" s="427" t="s">
        <v>46</v>
      </c>
      <c r="D18" s="427">
        <v>576.6</v>
      </c>
      <c r="E18" s="427" t="s">
        <v>70</v>
      </c>
      <c r="F18" s="427">
        <v>177.8</v>
      </c>
      <c r="G18" s="427" t="s">
        <v>28</v>
      </c>
      <c r="H18" s="615" t="s">
        <v>53</v>
      </c>
      <c r="I18" s="440">
        <v>546</v>
      </c>
      <c r="J18" s="427">
        <v>140</v>
      </c>
      <c r="K18" s="427"/>
      <c r="L18" s="427">
        <v>435</v>
      </c>
      <c r="M18" s="435"/>
      <c r="N18" s="427">
        <v>5.4</v>
      </c>
      <c r="O18" s="427"/>
      <c r="P18" s="430">
        <v>17.253251982963324</v>
      </c>
      <c r="Q18" s="431">
        <f t="shared" si="0"/>
        <v>18.2</v>
      </c>
      <c r="R18" s="431">
        <v>6.2</v>
      </c>
      <c r="S18" s="431">
        <v>8.4</v>
      </c>
      <c r="T18" s="431">
        <v>26</v>
      </c>
      <c r="U18" s="431">
        <f t="shared" si="1"/>
        <v>4.193548387096774</v>
      </c>
      <c r="V18" s="614">
        <f t="shared" si="7"/>
        <v>26.190476190476193</v>
      </c>
      <c r="W18" s="431">
        <v>1</v>
      </c>
      <c r="X18" s="431">
        <f>S18/Q18</f>
        <v>0.46153846153846156</v>
      </c>
      <c r="Y18" s="431">
        <f t="shared" si="4"/>
        <v>5.9024000000000001</v>
      </c>
      <c r="Z18" s="431">
        <f t="shared" si="4"/>
        <v>7.9968000000000004</v>
      </c>
      <c r="AA18" s="431">
        <f t="shared" si="4"/>
        <v>24.751999999999999</v>
      </c>
      <c r="AB18" s="431">
        <f t="shared" si="5"/>
        <v>4.193548387096774</v>
      </c>
      <c r="AC18" s="431">
        <f t="shared" si="3"/>
        <v>26.190476190476193</v>
      </c>
      <c r="AD18" s="427">
        <v>31</v>
      </c>
      <c r="AE18" s="431">
        <f t="shared" si="6"/>
        <v>182.9744</v>
      </c>
      <c r="AF18" s="434"/>
    </row>
    <row r="19" spans="1:32" ht="18.95" customHeight="1" x14ac:dyDescent="0.2">
      <c r="A19" s="427">
        <v>6</v>
      </c>
      <c r="B19" s="428" t="s">
        <v>144</v>
      </c>
      <c r="C19" s="427" t="s">
        <v>46</v>
      </c>
      <c r="D19" s="427">
        <v>676.6</v>
      </c>
      <c r="E19" s="427" t="s">
        <v>71</v>
      </c>
      <c r="F19" s="427">
        <v>177.8</v>
      </c>
      <c r="G19" s="427" t="s">
        <v>28</v>
      </c>
      <c r="H19" s="427" t="s">
        <v>50</v>
      </c>
      <c r="I19" s="440">
        <v>584.32000000000005</v>
      </c>
      <c r="J19" s="427">
        <v>315</v>
      </c>
      <c r="K19" s="427"/>
      <c r="L19" s="427">
        <v>429</v>
      </c>
      <c r="M19" s="427"/>
      <c r="N19" s="427">
        <v>1.4</v>
      </c>
      <c r="O19" s="427"/>
      <c r="P19" s="430">
        <v>16.473887047388796</v>
      </c>
      <c r="Q19" s="431">
        <f t="shared" si="0"/>
        <v>18.899999999999999</v>
      </c>
      <c r="R19" s="431">
        <v>3.55</v>
      </c>
      <c r="S19" s="431">
        <v>4.4000000000000004</v>
      </c>
      <c r="T19" s="431">
        <v>3</v>
      </c>
      <c r="U19" s="431">
        <f t="shared" si="1"/>
        <v>0.84507042253521136</v>
      </c>
      <c r="V19" s="614">
        <f t="shared" si="7"/>
        <v>19.318181818181827</v>
      </c>
      <c r="W19" s="431">
        <v>1</v>
      </c>
      <c r="X19" s="431">
        <f>S19/Q19</f>
        <v>0.23280423280423285</v>
      </c>
      <c r="Y19" s="431">
        <f t="shared" si="4"/>
        <v>3.3795999999999995</v>
      </c>
      <c r="Z19" s="431">
        <f t="shared" si="4"/>
        <v>4.1888000000000005</v>
      </c>
      <c r="AA19" s="431">
        <f t="shared" si="4"/>
        <v>2.8559999999999999</v>
      </c>
      <c r="AB19" s="431">
        <v>14.613</v>
      </c>
      <c r="AC19" s="431">
        <f t="shared" si="3"/>
        <v>19.318181818181827</v>
      </c>
      <c r="AD19" s="427">
        <v>31</v>
      </c>
      <c r="AE19" s="431">
        <f t="shared" si="6"/>
        <v>104.76759999999999</v>
      </c>
      <c r="AF19" s="434"/>
    </row>
    <row r="20" spans="1:32" ht="18.95" customHeight="1" x14ac:dyDescent="0.2">
      <c r="A20" s="427">
        <v>7</v>
      </c>
      <c r="B20" s="428" t="s">
        <v>145</v>
      </c>
      <c r="C20" s="427" t="s">
        <v>46</v>
      </c>
      <c r="D20" s="427" t="s">
        <v>47</v>
      </c>
      <c r="E20" s="427" t="s">
        <v>72</v>
      </c>
      <c r="F20" s="427">
        <v>177.8</v>
      </c>
      <c r="G20" s="427" t="s">
        <v>28</v>
      </c>
      <c r="H20" s="427" t="s">
        <v>52</v>
      </c>
      <c r="I20" s="440">
        <v>560</v>
      </c>
      <c r="J20" s="427">
        <v>180</v>
      </c>
      <c r="K20" s="427"/>
      <c r="L20" s="427">
        <v>460</v>
      </c>
      <c r="M20" s="427"/>
      <c r="N20" s="427">
        <v>8.1999999999999993</v>
      </c>
      <c r="O20" s="427"/>
      <c r="P20" s="430">
        <v>19.811182305031746</v>
      </c>
      <c r="Q20" s="431">
        <f t="shared" si="0"/>
        <v>39.6</v>
      </c>
      <c r="R20" s="431">
        <v>12.32</v>
      </c>
      <c r="S20" s="431">
        <v>15.1</v>
      </c>
      <c r="T20" s="431">
        <v>180</v>
      </c>
      <c r="U20" s="431">
        <f t="shared" si="1"/>
        <v>14.61038961038961</v>
      </c>
      <c r="V20" s="614">
        <f t="shared" si="7"/>
        <v>18.410596026490062</v>
      </c>
      <c r="W20" s="431">
        <v>0.3</v>
      </c>
      <c r="X20" s="431">
        <f t="shared" si="2"/>
        <v>0.38131313131313127</v>
      </c>
      <c r="Y20" s="431">
        <f t="shared" si="4"/>
        <v>11.72864</v>
      </c>
      <c r="Z20" s="431">
        <f t="shared" si="4"/>
        <v>14.3752</v>
      </c>
      <c r="AA20" s="431">
        <f t="shared" si="4"/>
        <v>171.35999999999999</v>
      </c>
      <c r="AB20" s="431">
        <f t="shared" si="5"/>
        <v>14.61038961038961</v>
      </c>
      <c r="AC20" s="431">
        <f t="shared" si="3"/>
        <v>18.410596026490062</v>
      </c>
      <c r="AD20" s="427">
        <v>31</v>
      </c>
      <c r="AE20" s="431">
        <f t="shared" si="6"/>
        <v>363.58784000000003</v>
      </c>
      <c r="AF20" s="434"/>
    </row>
    <row r="21" spans="1:32" ht="18.95" customHeight="1" x14ac:dyDescent="0.2">
      <c r="A21" s="427">
        <v>8</v>
      </c>
      <c r="B21" s="428" t="s">
        <v>146</v>
      </c>
      <c r="C21" s="427" t="s">
        <v>46</v>
      </c>
      <c r="D21" s="427">
        <v>764</v>
      </c>
      <c r="E21" s="616" t="s">
        <v>73</v>
      </c>
      <c r="F21" s="427">
        <v>177.8</v>
      </c>
      <c r="G21" s="427" t="s">
        <v>28</v>
      </c>
      <c r="H21" s="427" t="s">
        <v>52</v>
      </c>
      <c r="I21" s="613">
        <v>550</v>
      </c>
      <c r="J21" s="427">
        <v>95</v>
      </c>
      <c r="K21" s="438"/>
      <c r="L21" s="427">
        <v>266</v>
      </c>
      <c r="M21" s="438"/>
      <c r="N21" s="427">
        <v>8</v>
      </c>
      <c r="O21" s="438"/>
      <c r="P21" s="430">
        <v>39.497500225391576</v>
      </c>
      <c r="Q21" s="431">
        <f t="shared" si="0"/>
        <v>20.9</v>
      </c>
      <c r="R21" s="431">
        <v>1.86</v>
      </c>
      <c r="S21" s="431">
        <v>20.399999999999999</v>
      </c>
      <c r="T21" s="431">
        <v>20</v>
      </c>
      <c r="U21" s="431">
        <f t="shared" si="1"/>
        <v>10.75268817204301</v>
      </c>
      <c r="V21" s="614">
        <f t="shared" si="7"/>
        <v>90.882352941176464</v>
      </c>
      <c r="W21" s="431">
        <v>0.2</v>
      </c>
      <c r="X21" s="431">
        <f t="shared" si="2"/>
        <v>0.97607655502392343</v>
      </c>
      <c r="Y21" s="431">
        <f t="shared" si="4"/>
        <v>1.7707200000000001</v>
      </c>
      <c r="Z21" s="431">
        <f t="shared" si="4"/>
        <v>19.420799999999996</v>
      </c>
      <c r="AA21" s="431">
        <f t="shared" si="4"/>
        <v>19.04</v>
      </c>
      <c r="AB21" s="431">
        <f t="shared" si="5"/>
        <v>10.75268817204301</v>
      </c>
      <c r="AC21" s="431">
        <f t="shared" si="3"/>
        <v>90.882352941176464</v>
      </c>
      <c r="AD21" s="427">
        <v>31</v>
      </c>
      <c r="AE21" s="431">
        <f t="shared" si="6"/>
        <v>54.892320000000005</v>
      </c>
      <c r="AF21" s="434"/>
    </row>
    <row r="22" spans="1:32" ht="18.95" customHeight="1" x14ac:dyDescent="0.2">
      <c r="A22" s="427">
        <v>9</v>
      </c>
      <c r="B22" s="428" t="s">
        <v>147</v>
      </c>
      <c r="C22" s="427" t="s">
        <v>46</v>
      </c>
      <c r="D22" s="427">
        <v>650.1</v>
      </c>
      <c r="E22" s="427" t="s">
        <v>74</v>
      </c>
      <c r="F22" s="427">
        <v>177.8</v>
      </c>
      <c r="G22" s="427" t="s">
        <v>28</v>
      </c>
      <c r="H22" s="427" t="s">
        <v>52</v>
      </c>
      <c r="I22" s="440">
        <v>591.98</v>
      </c>
      <c r="J22" s="427">
        <v>120</v>
      </c>
      <c r="K22" s="427"/>
      <c r="L22" s="427">
        <v>473</v>
      </c>
      <c r="M22" s="427"/>
      <c r="N22" s="427">
        <v>7.1</v>
      </c>
      <c r="O22" s="427"/>
      <c r="P22" s="430">
        <v>16.266473351685811</v>
      </c>
      <c r="Q22" s="431">
        <f t="shared" si="0"/>
        <v>26.4</v>
      </c>
      <c r="R22" s="431">
        <v>7.55</v>
      </c>
      <c r="S22" s="431">
        <v>11.9</v>
      </c>
      <c r="T22" s="431">
        <v>20.75</v>
      </c>
      <c r="U22" s="431">
        <f t="shared" si="1"/>
        <v>2.7483443708609272</v>
      </c>
      <c r="V22" s="614">
        <f t="shared" si="7"/>
        <v>36.554621848739501</v>
      </c>
      <c r="W22" s="431">
        <v>0.5</v>
      </c>
      <c r="X22" s="431">
        <v>0.2</v>
      </c>
      <c r="Y22" s="431">
        <f t="shared" si="4"/>
        <v>7.1875999999999998</v>
      </c>
      <c r="Z22" s="431">
        <f t="shared" si="4"/>
        <v>11.328799999999999</v>
      </c>
      <c r="AA22" s="431">
        <f t="shared" si="4"/>
        <v>19.753999999999998</v>
      </c>
      <c r="AB22" s="431">
        <f t="shared" si="5"/>
        <v>2.7483443708609272</v>
      </c>
      <c r="AC22" s="431">
        <f t="shared" si="3"/>
        <v>36.554621848739501</v>
      </c>
      <c r="AD22" s="427">
        <v>31</v>
      </c>
      <c r="AE22" s="431">
        <f t="shared" si="6"/>
        <v>222.81559999999999</v>
      </c>
      <c r="AF22" s="434"/>
    </row>
    <row r="23" spans="1:32" ht="18.95" customHeight="1" x14ac:dyDescent="0.2">
      <c r="A23" s="427">
        <v>10</v>
      </c>
      <c r="B23" s="428" t="s">
        <v>149</v>
      </c>
      <c r="C23" s="427" t="s">
        <v>46</v>
      </c>
      <c r="D23" s="427">
        <v>606.29999999999995</v>
      </c>
      <c r="E23" s="427" t="s">
        <v>76</v>
      </c>
      <c r="F23" s="427">
        <v>177.8</v>
      </c>
      <c r="G23" s="427" t="s">
        <v>28</v>
      </c>
      <c r="H23" s="427" t="s">
        <v>52</v>
      </c>
      <c r="I23" s="440">
        <v>585.29999999999995</v>
      </c>
      <c r="J23" s="427">
        <v>240</v>
      </c>
      <c r="K23" s="427"/>
      <c r="L23" s="427">
        <v>315</v>
      </c>
      <c r="M23" s="427"/>
      <c r="N23" s="427">
        <v>7.5</v>
      </c>
      <c r="O23" s="427"/>
      <c r="P23" s="430">
        <v>35.483689526056835</v>
      </c>
      <c r="Q23" s="431">
        <f t="shared" si="0"/>
        <v>52.8</v>
      </c>
      <c r="R23" s="431">
        <v>1.1299999999999999</v>
      </c>
      <c r="S23" s="431">
        <v>2.2000000000000002</v>
      </c>
      <c r="T23" s="431">
        <v>0</v>
      </c>
      <c r="U23" s="431">
        <f t="shared" si="1"/>
        <v>0</v>
      </c>
      <c r="V23" s="614">
        <f t="shared" si="7"/>
        <v>48.636363636363647</v>
      </c>
      <c r="W23" s="431">
        <v>0.6</v>
      </c>
      <c r="X23" s="431">
        <f t="shared" si="2"/>
        <v>4.1666666666666671E-2</v>
      </c>
      <c r="Y23" s="431">
        <f t="shared" si="4"/>
        <v>1.0757599999999998</v>
      </c>
      <c r="Z23" s="431">
        <f t="shared" si="4"/>
        <v>2.0944000000000003</v>
      </c>
      <c r="AA23" s="431">
        <f t="shared" si="4"/>
        <v>0</v>
      </c>
      <c r="AB23" s="431">
        <f t="shared" si="5"/>
        <v>0</v>
      </c>
      <c r="AC23" s="431">
        <f t="shared" si="3"/>
        <v>48.636363636363647</v>
      </c>
      <c r="AD23" s="427">
        <v>31</v>
      </c>
      <c r="AE23" s="431">
        <f t="shared" si="6"/>
        <v>33.348559999999992</v>
      </c>
      <c r="AF23" s="439"/>
    </row>
    <row r="24" spans="1:32" ht="18.95" customHeight="1" x14ac:dyDescent="0.2">
      <c r="A24" s="427">
        <v>11</v>
      </c>
      <c r="B24" s="428" t="s">
        <v>150</v>
      </c>
      <c r="C24" s="427" t="s">
        <v>46</v>
      </c>
      <c r="D24" s="427">
        <v>661</v>
      </c>
      <c r="E24" s="440" t="s">
        <v>77</v>
      </c>
      <c r="F24" s="427">
        <v>177.8</v>
      </c>
      <c r="G24" s="427" t="s">
        <v>28</v>
      </c>
      <c r="H24" s="427" t="s">
        <v>53</v>
      </c>
      <c r="I24" s="440">
        <v>554.91</v>
      </c>
      <c r="J24" s="427">
        <v>185</v>
      </c>
      <c r="K24" s="427"/>
      <c r="L24" s="427">
        <v>399</v>
      </c>
      <c r="M24" s="427"/>
      <c r="N24" s="427">
        <v>0.8</v>
      </c>
      <c r="O24" s="427"/>
      <c r="P24" s="430">
        <v>17.084013202991489</v>
      </c>
      <c r="Q24" s="431">
        <f t="shared" si="0"/>
        <v>24.05</v>
      </c>
      <c r="R24" s="431">
        <v>1.21</v>
      </c>
      <c r="S24" s="431">
        <v>2.44</v>
      </c>
      <c r="T24" s="431">
        <v>12</v>
      </c>
      <c r="U24" s="431">
        <f t="shared" si="1"/>
        <v>9.9173553719008272</v>
      </c>
      <c r="V24" s="614">
        <f t="shared" si="7"/>
        <v>50.409836065573764</v>
      </c>
      <c r="W24" s="431">
        <v>0.3</v>
      </c>
      <c r="X24" s="431">
        <f t="shared" si="2"/>
        <v>0.10145530145530145</v>
      </c>
      <c r="Y24" s="431">
        <f t="shared" si="4"/>
        <v>1.1519199999999998</v>
      </c>
      <c r="Z24" s="431">
        <f t="shared" si="4"/>
        <v>2.3228800000000001</v>
      </c>
      <c r="AA24" s="431">
        <f t="shared" si="4"/>
        <v>11.423999999999999</v>
      </c>
      <c r="AB24" s="431">
        <f t="shared" si="5"/>
        <v>9.9173553719008272</v>
      </c>
      <c r="AC24" s="431">
        <f t="shared" si="3"/>
        <v>50.409836065573764</v>
      </c>
      <c r="AD24" s="427">
        <v>31</v>
      </c>
      <c r="AE24" s="431">
        <f t="shared" si="6"/>
        <v>35.709519999999998</v>
      </c>
      <c r="AF24" s="434"/>
    </row>
    <row r="25" spans="1:32" ht="18.95" customHeight="1" x14ac:dyDescent="0.2">
      <c r="A25" s="427">
        <v>12</v>
      </c>
      <c r="B25" s="428" t="s">
        <v>151</v>
      </c>
      <c r="C25" s="427" t="s">
        <v>46</v>
      </c>
      <c r="D25" s="427">
        <v>675.4</v>
      </c>
      <c r="E25" s="440" t="s">
        <v>298</v>
      </c>
      <c r="F25" s="427">
        <v>177.8</v>
      </c>
      <c r="G25" s="427" t="s">
        <v>28</v>
      </c>
      <c r="H25" s="427" t="s">
        <v>52</v>
      </c>
      <c r="I25" s="440">
        <v>553.5</v>
      </c>
      <c r="J25" s="427">
        <v>260</v>
      </c>
      <c r="K25" s="427"/>
      <c r="L25" s="427">
        <v>345</v>
      </c>
      <c r="M25" s="427"/>
      <c r="N25" s="427">
        <v>7.4</v>
      </c>
      <c r="O25" s="427"/>
      <c r="P25" s="430">
        <v>29.843400187465299</v>
      </c>
      <c r="Q25" s="431">
        <f t="shared" si="0"/>
        <v>57.2</v>
      </c>
      <c r="R25" s="431">
        <v>12.3</v>
      </c>
      <c r="S25" s="431">
        <v>21.5</v>
      </c>
      <c r="T25" s="431">
        <v>185</v>
      </c>
      <c r="U25" s="431">
        <f t="shared" si="1"/>
        <v>15.040650406504064</v>
      </c>
      <c r="V25" s="614">
        <f t="shared" si="7"/>
        <v>42.790697674418603</v>
      </c>
      <c r="W25" s="431">
        <v>0.3</v>
      </c>
      <c r="X25" s="431">
        <f t="shared" si="2"/>
        <v>0.37587412587412583</v>
      </c>
      <c r="Y25" s="431">
        <f t="shared" si="4"/>
        <v>11.7096</v>
      </c>
      <c r="Z25" s="431">
        <f t="shared" si="4"/>
        <v>20.468</v>
      </c>
      <c r="AA25" s="431">
        <f t="shared" si="4"/>
        <v>176.12</v>
      </c>
      <c r="AB25" s="431">
        <f t="shared" si="5"/>
        <v>15.040650406504064</v>
      </c>
      <c r="AC25" s="431">
        <f t="shared" si="3"/>
        <v>42.790697674418603</v>
      </c>
      <c r="AD25" s="427">
        <v>31</v>
      </c>
      <c r="AE25" s="431">
        <f t="shared" si="6"/>
        <v>362.99759999999998</v>
      </c>
      <c r="AF25" s="434"/>
    </row>
    <row r="26" spans="1:32" ht="18.95" customHeight="1" x14ac:dyDescent="0.2">
      <c r="A26" s="427">
        <v>13</v>
      </c>
      <c r="B26" s="428" t="s">
        <v>36</v>
      </c>
      <c r="C26" s="427" t="s">
        <v>46</v>
      </c>
      <c r="D26" s="427">
        <v>584.5</v>
      </c>
      <c r="E26" s="440" t="s">
        <v>79</v>
      </c>
      <c r="F26" s="427">
        <v>177.8</v>
      </c>
      <c r="G26" s="427" t="s">
        <v>28</v>
      </c>
      <c r="H26" s="427" t="s">
        <v>49</v>
      </c>
      <c r="I26" s="440">
        <v>525.03</v>
      </c>
      <c r="J26" s="427">
        <v>110</v>
      </c>
      <c r="K26" s="427"/>
      <c r="L26" s="427">
        <v>329</v>
      </c>
      <c r="M26" s="427"/>
      <c r="N26" s="427">
        <v>7.2</v>
      </c>
      <c r="O26" s="427"/>
      <c r="P26" s="430">
        <v>27.34190003708331</v>
      </c>
      <c r="Q26" s="431">
        <f t="shared" si="0"/>
        <v>35.200000000000003</v>
      </c>
      <c r="R26" s="431">
        <v>15.3</v>
      </c>
      <c r="S26" s="431">
        <v>32.200000000000003</v>
      </c>
      <c r="T26" s="431">
        <v>184</v>
      </c>
      <c r="U26" s="431">
        <f t="shared" si="1"/>
        <v>12.026143790849673</v>
      </c>
      <c r="V26" s="614">
        <f t="shared" si="7"/>
        <v>52.484472049689444</v>
      </c>
      <c r="W26" s="431">
        <v>0.3</v>
      </c>
      <c r="X26" s="431">
        <f t="shared" si="2"/>
        <v>0.91477272727272729</v>
      </c>
      <c r="Y26" s="431">
        <f t="shared" si="4"/>
        <v>14.5656</v>
      </c>
      <c r="Z26" s="431">
        <f t="shared" si="4"/>
        <v>30.654400000000003</v>
      </c>
      <c r="AA26" s="431">
        <f t="shared" si="4"/>
        <v>175.16800000000001</v>
      </c>
      <c r="AB26" s="431">
        <f t="shared" si="5"/>
        <v>12.026143790849673</v>
      </c>
      <c r="AC26" s="431">
        <f t="shared" si="3"/>
        <v>52.484472049689444</v>
      </c>
      <c r="AD26" s="427">
        <v>31</v>
      </c>
      <c r="AE26" s="431">
        <f t="shared" si="6"/>
        <v>451.53359999999998</v>
      </c>
      <c r="AF26" s="434"/>
    </row>
    <row r="27" spans="1:32" ht="18.95" customHeight="1" x14ac:dyDescent="0.2">
      <c r="A27" s="427">
        <v>14</v>
      </c>
      <c r="B27" s="428" t="s">
        <v>152</v>
      </c>
      <c r="C27" s="427" t="s">
        <v>46</v>
      </c>
      <c r="D27" s="427">
        <v>565</v>
      </c>
      <c r="E27" s="440" t="s">
        <v>80</v>
      </c>
      <c r="F27" s="427">
        <v>177.8</v>
      </c>
      <c r="G27" s="427" t="s">
        <v>28</v>
      </c>
      <c r="H27" s="427" t="s">
        <v>52</v>
      </c>
      <c r="I27" s="613">
        <v>522</v>
      </c>
      <c r="J27" s="427">
        <v>360</v>
      </c>
      <c r="K27" s="427"/>
      <c r="L27" s="427">
        <v>435</v>
      </c>
      <c r="M27" s="427"/>
      <c r="N27" s="427">
        <v>9.1999999999999993</v>
      </c>
      <c r="O27" s="427"/>
      <c r="P27" s="430">
        <v>18.904761258327529</v>
      </c>
      <c r="Q27" s="431">
        <f t="shared" si="0"/>
        <v>79.2</v>
      </c>
      <c r="R27" s="431">
        <v>14.95</v>
      </c>
      <c r="S27" s="431">
        <v>26.9</v>
      </c>
      <c r="T27" s="530">
        <v>4496</v>
      </c>
      <c r="U27" s="431">
        <f t="shared" si="1"/>
        <v>300.7357859531773</v>
      </c>
      <c r="V27" s="614">
        <f t="shared" si="7"/>
        <v>44.423791821561338</v>
      </c>
      <c r="W27" s="431">
        <v>0.2</v>
      </c>
      <c r="X27" s="431">
        <f t="shared" si="2"/>
        <v>0.33964646464646464</v>
      </c>
      <c r="Y27" s="431">
        <f t="shared" si="4"/>
        <v>14.232399999999998</v>
      </c>
      <c r="Z27" s="431">
        <f t="shared" si="4"/>
        <v>25.608799999999999</v>
      </c>
      <c r="AA27" s="530">
        <f t="shared" si="4"/>
        <v>4280.192</v>
      </c>
      <c r="AB27" s="431">
        <f t="shared" si="5"/>
        <v>300.7357859531773</v>
      </c>
      <c r="AC27" s="431">
        <f t="shared" si="3"/>
        <v>44.423791821561338</v>
      </c>
      <c r="AD27" s="427">
        <v>31</v>
      </c>
      <c r="AE27" s="431">
        <f t="shared" si="6"/>
        <v>441.20439999999996</v>
      </c>
      <c r="AF27" s="434"/>
    </row>
    <row r="28" spans="1:32" ht="18.95" customHeight="1" x14ac:dyDescent="0.2">
      <c r="A28" s="427">
        <v>15</v>
      </c>
      <c r="B28" s="428" t="s">
        <v>37</v>
      </c>
      <c r="C28" s="427" t="s">
        <v>46</v>
      </c>
      <c r="D28" s="427">
        <v>670</v>
      </c>
      <c r="E28" s="427" t="s">
        <v>81</v>
      </c>
      <c r="F28" s="427">
        <v>177.8</v>
      </c>
      <c r="G28" s="427" t="s">
        <v>28</v>
      </c>
      <c r="H28" s="427" t="s">
        <v>48</v>
      </c>
      <c r="I28" s="440">
        <v>570.95000000000005</v>
      </c>
      <c r="J28" s="427">
        <v>85</v>
      </c>
      <c r="K28" s="427"/>
      <c r="L28" s="427">
        <v>453</v>
      </c>
      <c r="M28" s="427"/>
      <c r="N28" s="427">
        <v>7.3</v>
      </c>
      <c r="O28" s="427"/>
      <c r="P28" s="430">
        <v>19.744644678336076</v>
      </c>
      <c r="Q28" s="431">
        <f t="shared" si="0"/>
        <v>11.05</v>
      </c>
      <c r="R28" s="431">
        <v>3.45</v>
      </c>
      <c r="S28" s="431">
        <v>6</v>
      </c>
      <c r="T28" s="431">
        <v>14</v>
      </c>
      <c r="U28" s="431">
        <f t="shared" si="1"/>
        <v>4.057971014492753</v>
      </c>
      <c r="V28" s="614">
        <f t="shared" si="7"/>
        <v>42.5</v>
      </c>
      <c r="W28" s="431">
        <v>0.5</v>
      </c>
      <c r="X28" s="431">
        <f t="shared" si="2"/>
        <v>0.54298642533936647</v>
      </c>
      <c r="Y28" s="431">
        <f t="shared" si="4"/>
        <v>3.2844000000000002</v>
      </c>
      <c r="Z28" s="431">
        <f t="shared" si="4"/>
        <v>5.7119999999999997</v>
      </c>
      <c r="AA28" s="431">
        <f t="shared" si="4"/>
        <v>13.327999999999999</v>
      </c>
      <c r="AB28" s="431">
        <f t="shared" si="5"/>
        <v>4.057971014492753</v>
      </c>
      <c r="AC28" s="431">
        <f t="shared" si="3"/>
        <v>42.5</v>
      </c>
      <c r="AD28" s="427">
        <v>31</v>
      </c>
      <c r="AE28" s="431">
        <f>Y28*AD28</f>
        <v>101.8164</v>
      </c>
      <c r="AF28" s="439"/>
    </row>
    <row r="29" spans="1:32" ht="18.95" customHeight="1" x14ac:dyDescent="0.2">
      <c r="A29" s="427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586.15</v>
      </c>
      <c r="J29" s="428">
        <v>105</v>
      </c>
      <c r="K29" s="428"/>
      <c r="L29" s="428">
        <v>495</v>
      </c>
      <c r="M29" s="428"/>
      <c r="N29" s="428">
        <v>9.9</v>
      </c>
      <c r="O29" s="428"/>
      <c r="P29" s="441">
        <v>15.407613246439142</v>
      </c>
      <c r="Q29" s="431">
        <f t="shared" si="0"/>
        <v>33.6</v>
      </c>
      <c r="R29" s="442">
        <v>17</v>
      </c>
      <c r="S29" s="431">
        <v>22.85</v>
      </c>
      <c r="T29" s="428">
        <v>672</v>
      </c>
      <c r="U29" s="442">
        <f t="shared" si="1"/>
        <v>39.529411764705884</v>
      </c>
      <c r="V29" s="614">
        <f t="shared" si="7"/>
        <v>25.601750547045953</v>
      </c>
      <c r="W29" s="428">
        <v>0.4</v>
      </c>
      <c r="X29" s="442">
        <f t="shared" si="2"/>
        <v>0.68005952380952384</v>
      </c>
      <c r="Y29" s="431">
        <f t="shared" si="4"/>
        <v>16.183999999999997</v>
      </c>
      <c r="Z29" s="431">
        <f t="shared" si="4"/>
        <v>21.7532</v>
      </c>
      <c r="AA29" s="431">
        <f t="shared" si="4"/>
        <v>639.74399999999991</v>
      </c>
      <c r="AB29" s="442">
        <f t="shared" si="5"/>
        <v>39.529411764705884</v>
      </c>
      <c r="AC29" s="442">
        <f t="shared" si="3"/>
        <v>25.601750547045953</v>
      </c>
      <c r="AD29" s="427">
        <v>31</v>
      </c>
      <c r="AE29" s="442">
        <f>Y29*AD29</f>
        <v>501.70399999999995</v>
      </c>
      <c r="AF29" s="428"/>
    </row>
    <row r="30" spans="1:32" ht="18.95" customHeight="1" x14ac:dyDescent="0.2">
      <c r="A30" s="427">
        <v>17</v>
      </c>
      <c r="B30" s="428" t="s">
        <v>154</v>
      </c>
      <c r="C30" s="427" t="s">
        <v>304</v>
      </c>
      <c r="D30" s="617">
        <v>668.36</v>
      </c>
      <c r="E30" s="616" t="s">
        <v>360</v>
      </c>
      <c r="F30" s="427">
        <v>177.8</v>
      </c>
      <c r="G30" s="427" t="s">
        <v>28</v>
      </c>
      <c r="H30" s="240" t="s">
        <v>364</v>
      </c>
      <c r="I30" s="613">
        <v>639.67999999999995</v>
      </c>
      <c r="J30" s="427">
        <v>100</v>
      </c>
      <c r="K30" s="435"/>
      <c r="L30" s="427">
        <v>166</v>
      </c>
      <c r="M30" s="435"/>
      <c r="N30" s="427">
        <v>4.2</v>
      </c>
      <c r="O30" s="427"/>
      <c r="P30" s="430">
        <v>18.751996251085551</v>
      </c>
      <c r="Q30" s="431">
        <f>13*J30/100</f>
        <v>13</v>
      </c>
      <c r="R30" s="431">
        <v>2.59</v>
      </c>
      <c r="S30" s="431">
        <v>4.2</v>
      </c>
      <c r="T30" s="431">
        <v>112</v>
      </c>
      <c r="U30" s="442">
        <f t="shared" si="1"/>
        <v>43.243243243243242</v>
      </c>
      <c r="V30" s="614">
        <f t="shared" si="7"/>
        <v>38.333333333333343</v>
      </c>
      <c r="W30" s="431">
        <v>0.3</v>
      </c>
      <c r="X30" s="442">
        <f t="shared" si="2"/>
        <v>0.32307692307692309</v>
      </c>
      <c r="Y30" s="431">
        <f t="shared" si="4"/>
        <v>2.4656799999999999</v>
      </c>
      <c r="Z30" s="431">
        <f t="shared" si="4"/>
        <v>3.9984000000000002</v>
      </c>
      <c r="AA30" s="431">
        <f t="shared" si="4"/>
        <v>106.624</v>
      </c>
      <c r="AB30" s="431">
        <v>0</v>
      </c>
      <c r="AC30" s="442">
        <f t="shared" si="3"/>
        <v>38.333333333333343</v>
      </c>
      <c r="AD30" s="427">
        <v>31</v>
      </c>
      <c r="AE30" s="431">
        <v>0</v>
      </c>
      <c r="AF30" s="434"/>
    </row>
    <row r="31" spans="1:32" ht="18.95" customHeight="1" x14ac:dyDescent="0.2">
      <c r="A31" s="427">
        <v>18</v>
      </c>
      <c r="B31" s="428" t="s">
        <v>38</v>
      </c>
      <c r="C31" s="427" t="s">
        <v>46</v>
      </c>
      <c r="D31" s="430">
        <v>580</v>
      </c>
      <c r="E31" s="427" t="s">
        <v>84</v>
      </c>
      <c r="F31" s="427">
        <v>177.8</v>
      </c>
      <c r="G31" s="427" t="s">
        <v>28</v>
      </c>
      <c r="H31" s="427" t="s">
        <v>48</v>
      </c>
      <c r="I31" s="440">
        <v>561.19000000000005</v>
      </c>
      <c r="J31" s="427" t="s">
        <v>240</v>
      </c>
      <c r="K31" s="435"/>
      <c r="M31" s="435"/>
      <c r="O31" s="427"/>
      <c r="P31" s="430">
        <v>47.810425661020403</v>
      </c>
      <c r="Q31" s="431">
        <f t="shared" si="0"/>
        <v>0</v>
      </c>
      <c r="R31" s="431">
        <v>0</v>
      </c>
      <c r="S31" s="431">
        <v>0</v>
      </c>
      <c r="T31" s="431">
        <v>0</v>
      </c>
      <c r="U31" s="442">
        <v>0</v>
      </c>
      <c r="V31" s="614">
        <v>0</v>
      </c>
      <c r="W31" s="431">
        <v>0</v>
      </c>
      <c r="X31" s="442">
        <v>0</v>
      </c>
      <c r="Y31" s="431">
        <f t="shared" ref="Y31:AA77" si="8">R31*0.952</f>
        <v>0</v>
      </c>
      <c r="Z31" s="431">
        <f t="shared" si="8"/>
        <v>0</v>
      </c>
      <c r="AA31" s="431">
        <f t="shared" si="8"/>
        <v>0</v>
      </c>
      <c r="AB31" s="431">
        <f>U31</f>
        <v>0</v>
      </c>
      <c r="AC31" s="442">
        <f t="shared" si="3"/>
        <v>0</v>
      </c>
      <c r="AD31" s="427">
        <v>0</v>
      </c>
      <c r="AE31" s="431">
        <f t="shared" si="6"/>
        <v>0</v>
      </c>
      <c r="AF31" s="434" t="s">
        <v>335</v>
      </c>
    </row>
    <row r="32" spans="1:32" ht="18.95" customHeight="1" x14ac:dyDescent="0.2">
      <c r="A32" s="427">
        <v>19</v>
      </c>
      <c r="B32" s="428" t="s">
        <v>39</v>
      </c>
      <c r="C32" s="427" t="s">
        <v>46</v>
      </c>
      <c r="D32" s="427">
        <v>562.15</v>
      </c>
      <c r="E32" s="427" t="s">
        <v>357</v>
      </c>
      <c r="F32" s="427">
        <v>177.8</v>
      </c>
      <c r="G32" s="427" t="s">
        <v>28</v>
      </c>
      <c r="H32" s="427" t="s">
        <v>51</v>
      </c>
      <c r="I32" s="440">
        <v>542.45000000000005</v>
      </c>
      <c r="J32" s="427">
        <v>210</v>
      </c>
      <c r="K32" s="435"/>
      <c r="L32" s="435">
        <v>281</v>
      </c>
      <c r="M32" s="435"/>
      <c r="N32" s="427">
        <v>4</v>
      </c>
      <c r="O32" s="427"/>
      <c r="P32" s="430">
        <v>26.471953627959181</v>
      </c>
      <c r="Q32" s="431">
        <f t="shared" si="0"/>
        <v>46.2</v>
      </c>
      <c r="R32" s="431">
        <v>10.73</v>
      </c>
      <c r="S32" s="431">
        <v>13.6</v>
      </c>
      <c r="T32" s="431">
        <v>1157</v>
      </c>
      <c r="U32" s="442">
        <f t="shared" si="1"/>
        <v>107.82851817334576</v>
      </c>
      <c r="V32" s="614">
        <f t="shared" si="7"/>
        <v>21.102941176470583</v>
      </c>
      <c r="W32" s="431">
        <v>0.2</v>
      </c>
      <c r="X32" s="442">
        <f t="shared" si="2"/>
        <v>0.29437229437229434</v>
      </c>
      <c r="Y32" s="431">
        <f t="shared" si="8"/>
        <v>10.21496</v>
      </c>
      <c r="Z32" s="431">
        <f t="shared" si="8"/>
        <v>12.947199999999999</v>
      </c>
      <c r="AA32" s="431">
        <f t="shared" si="8"/>
        <v>1101.4639999999999</v>
      </c>
      <c r="AB32" s="431">
        <f t="shared" si="5"/>
        <v>107.82851817334576</v>
      </c>
      <c r="AC32" s="442">
        <f t="shared" si="3"/>
        <v>21.102941176470583</v>
      </c>
      <c r="AD32" s="427">
        <v>0</v>
      </c>
      <c r="AE32" s="431">
        <f t="shared" si="6"/>
        <v>0</v>
      </c>
      <c r="AF32" s="434" t="s">
        <v>361</v>
      </c>
    </row>
    <row r="33" spans="1:32" ht="18.95" customHeight="1" x14ac:dyDescent="0.2">
      <c r="A33" s="427">
        <v>20</v>
      </c>
      <c r="B33" s="428" t="s">
        <v>40</v>
      </c>
      <c r="C33" s="427" t="s">
        <v>46</v>
      </c>
      <c r="D33" s="427">
        <v>679.7</v>
      </c>
      <c r="E33" s="427" t="s">
        <v>86</v>
      </c>
      <c r="F33" s="427">
        <v>177.8</v>
      </c>
      <c r="G33" s="427" t="s">
        <v>28</v>
      </c>
      <c r="H33" s="427" t="s">
        <v>48</v>
      </c>
      <c r="I33" s="440">
        <v>588.04999999999995</v>
      </c>
      <c r="J33" s="427" t="s">
        <v>240</v>
      </c>
      <c r="K33" s="435">
        <v>151</v>
      </c>
      <c r="L33" s="435"/>
      <c r="M33" s="435">
        <v>0.5</v>
      </c>
      <c r="N33" s="427"/>
      <c r="O33" s="427"/>
      <c r="P33" s="430">
        <v>42.819040437755099</v>
      </c>
      <c r="Q33" s="431">
        <f>LEFT(H33,(FIND("K",H33,1)-1))*J33/100</f>
        <v>0</v>
      </c>
      <c r="R33" s="431">
        <v>0</v>
      </c>
      <c r="S33" s="431">
        <v>0</v>
      </c>
      <c r="T33" s="431">
        <v>0</v>
      </c>
      <c r="U33" s="431">
        <f>IF(R33=0,0,T33/R33)</f>
        <v>0</v>
      </c>
      <c r="V33" s="614">
        <v>0</v>
      </c>
      <c r="W33" s="431">
        <v>0</v>
      </c>
      <c r="X33" s="442">
        <v>0</v>
      </c>
      <c r="Y33" s="431">
        <f t="shared" si="8"/>
        <v>0</v>
      </c>
      <c r="Z33" s="431">
        <f t="shared" si="8"/>
        <v>0</v>
      </c>
      <c r="AA33" s="431">
        <f t="shared" si="8"/>
        <v>0</v>
      </c>
      <c r="AB33" s="431">
        <v>0</v>
      </c>
      <c r="AC33" s="431">
        <v>0</v>
      </c>
      <c r="AD33" s="427">
        <v>0</v>
      </c>
      <c r="AE33" s="431">
        <f>Y33*AD33</f>
        <v>0</v>
      </c>
      <c r="AF33" s="439" t="s">
        <v>215</v>
      </c>
    </row>
    <row r="34" spans="1:32" ht="18.95" customHeight="1" x14ac:dyDescent="0.2">
      <c r="A34" s="427">
        <v>21</v>
      </c>
      <c r="B34" s="428" t="s">
        <v>41</v>
      </c>
      <c r="C34" s="427" t="s">
        <v>46</v>
      </c>
      <c r="D34" s="427">
        <v>573.70000000000005</v>
      </c>
      <c r="E34" s="427" t="s">
        <v>87</v>
      </c>
      <c r="F34" s="427">
        <v>177.8</v>
      </c>
      <c r="G34" s="427" t="s">
        <v>28</v>
      </c>
      <c r="H34" s="427" t="s">
        <v>52</v>
      </c>
      <c r="I34" s="440">
        <v>554.30999999999995</v>
      </c>
      <c r="J34" s="427">
        <v>310</v>
      </c>
      <c r="K34" s="435"/>
      <c r="L34" s="435">
        <v>477</v>
      </c>
      <c r="M34" s="435"/>
      <c r="N34" s="427">
        <v>7</v>
      </c>
      <c r="O34" s="427"/>
      <c r="P34" s="430">
        <v>13.825344010582599</v>
      </c>
      <c r="Q34" s="431">
        <f t="shared" si="0"/>
        <v>68.2</v>
      </c>
      <c r="R34" s="431">
        <v>10.27</v>
      </c>
      <c r="S34" s="431">
        <v>11.9</v>
      </c>
      <c r="T34" s="431">
        <v>276</v>
      </c>
      <c r="U34" s="431">
        <f t="shared" si="1"/>
        <v>26.874391431353459</v>
      </c>
      <c r="V34" s="614">
        <f t="shared" si="7"/>
        <v>13.697478991596645</v>
      </c>
      <c r="W34" s="431">
        <v>0.2</v>
      </c>
      <c r="X34" s="431">
        <f t="shared" si="2"/>
        <v>0.1744868035190616</v>
      </c>
      <c r="Y34" s="431">
        <f t="shared" si="8"/>
        <v>9.7770399999999995</v>
      </c>
      <c r="Z34" s="431">
        <f t="shared" si="8"/>
        <v>11.328799999999999</v>
      </c>
      <c r="AA34" s="431">
        <f t="shared" si="8"/>
        <v>262.75200000000001</v>
      </c>
      <c r="AB34" s="431">
        <v>89.536086956521729</v>
      </c>
      <c r="AC34" s="431">
        <v>26</v>
      </c>
      <c r="AD34" s="427">
        <v>31</v>
      </c>
      <c r="AE34" s="431">
        <f t="shared" si="6"/>
        <v>303.08823999999998</v>
      </c>
      <c r="AF34" s="445"/>
    </row>
    <row r="35" spans="1:32" ht="18.95" customHeight="1" x14ac:dyDescent="0.2">
      <c r="A35" s="427">
        <v>22</v>
      </c>
      <c r="B35" s="428" t="s">
        <v>42</v>
      </c>
      <c r="C35" s="427" t="s">
        <v>46</v>
      </c>
      <c r="D35" s="427">
        <v>681.1</v>
      </c>
      <c r="E35" s="427" t="s">
        <v>88</v>
      </c>
      <c r="F35" s="427">
        <v>177.8</v>
      </c>
      <c r="G35" s="427" t="s">
        <v>28</v>
      </c>
      <c r="H35" s="427" t="s">
        <v>48</v>
      </c>
      <c r="I35" s="440">
        <v>589.66</v>
      </c>
      <c r="J35" s="427">
        <v>115</v>
      </c>
      <c r="K35" s="435"/>
      <c r="L35" s="435">
        <v>467</v>
      </c>
      <c r="M35" s="435"/>
      <c r="N35" s="427">
        <v>8.4</v>
      </c>
      <c r="O35" s="427"/>
      <c r="P35" s="430">
        <v>18.084271391282282</v>
      </c>
      <c r="Q35" s="431">
        <f t="shared" si="0"/>
        <v>14.95</v>
      </c>
      <c r="R35" s="431">
        <v>5.38</v>
      </c>
      <c r="S35" s="431">
        <v>13.2</v>
      </c>
      <c r="T35" s="431">
        <v>4</v>
      </c>
      <c r="U35" s="431">
        <f t="shared" si="1"/>
        <v>0.74349442379182162</v>
      </c>
      <c r="V35" s="614">
        <f t="shared" si="7"/>
        <v>59.242424242424242</v>
      </c>
      <c r="W35" s="431">
        <v>0.6</v>
      </c>
      <c r="X35" s="431">
        <f t="shared" si="2"/>
        <v>0.882943143812709</v>
      </c>
      <c r="Y35" s="431">
        <f t="shared" si="8"/>
        <v>5.1217600000000001</v>
      </c>
      <c r="Z35" s="431">
        <f t="shared" si="8"/>
        <v>12.566399999999998</v>
      </c>
      <c r="AA35" s="431">
        <f t="shared" si="8"/>
        <v>3.8079999999999998</v>
      </c>
      <c r="AB35" s="431">
        <f t="shared" si="5"/>
        <v>0.74349442379182162</v>
      </c>
      <c r="AC35" s="431">
        <f t="shared" si="3"/>
        <v>59.242424242424242</v>
      </c>
      <c r="AD35" s="427">
        <v>31</v>
      </c>
      <c r="AE35" s="431">
        <f t="shared" si="6"/>
        <v>158.77456000000001</v>
      </c>
      <c r="AF35" s="439"/>
    </row>
    <row r="36" spans="1:32" ht="18.95" customHeight="1" x14ac:dyDescent="0.2">
      <c r="A36" s="427">
        <v>23</v>
      </c>
      <c r="B36" s="428" t="s">
        <v>43</v>
      </c>
      <c r="C36" s="427" t="s">
        <v>46</v>
      </c>
      <c r="D36" s="427">
        <v>682.7</v>
      </c>
      <c r="E36" s="427" t="s">
        <v>89</v>
      </c>
      <c r="F36" s="427">
        <v>177.8</v>
      </c>
      <c r="G36" s="427" t="s">
        <v>28</v>
      </c>
      <c r="H36" s="427" t="s">
        <v>52</v>
      </c>
      <c r="I36" s="618">
        <v>551.13</v>
      </c>
      <c r="J36" s="427">
        <v>85</v>
      </c>
      <c r="K36" s="435"/>
      <c r="L36" s="435">
        <v>443</v>
      </c>
      <c r="M36" s="435"/>
      <c r="N36" s="427">
        <v>7.2</v>
      </c>
      <c r="O36" s="427"/>
      <c r="P36" s="430">
        <v>20.663369889887111</v>
      </c>
      <c r="Q36" s="431">
        <f t="shared" si="0"/>
        <v>18.7</v>
      </c>
      <c r="R36" s="431">
        <v>3.28</v>
      </c>
      <c r="S36" s="431">
        <v>15.2</v>
      </c>
      <c r="T36" s="431">
        <v>43</v>
      </c>
      <c r="U36" s="431">
        <f t="shared" si="1"/>
        <v>13.109756097560977</v>
      </c>
      <c r="V36" s="614">
        <f t="shared" si="7"/>
        <v>78.421052631578945</v>
      </c>
      <c r="W36" s="431">
        <v>0.8</v>
      </c>
      <c r="X36" s="431">
        <f t="shared" si="2"/>
        <v>0.81283422459893051</v>
      </c>
      <c r="Y36" s="431">
        <f t="shared" si="8"/>
        <v>3.1225599999999996</v>
      </c>
      <c r="Z36" s="431">
        <f t="shared" si="8"/>
        <v>14.470399999999998</v>
      </c>
      <c r="AA36" s="431">
        <f t="shared" si="8"/>
        <v>40.936</v>
      </c>
      <c r="AB36" s="431">
        <f t="shared" si="5"/>
        <v>13.109756097560977</v>
      </c>
      <c r="AC36" s="431">
        <f t="shared" si="3"/>
        <v>78.421052631578945</v>
      </c>
      <c r="AD36" s="427">
        <v>31</v>
      </c>
      <c r="AE36" s="431">
        <f t="shared" si="6"/>
        <v>96.799359999999993</v>
      </c>
      <c r="AF36" s="434"/>
    </row>
    <row r="37" spans="1:32" ht="18.95" customHeight="1" x14ac:dyDescent="0.2">
      <c r="A37" s="427">
        <v>24</v>
      </c>
      <c r="B37" s="428" t="s">
        <v>44</v>
      </c>
      <c r="C37" s="427" t="s">
        <v>46</v>
      </c>
      <c r="D37" s="427">
        <v>614.20000000000005</v>
      </c>
      <c r="E37" s="427" t="s">
        <v>90</v>
      </c>
      <c r="F37" s="427">
        <v>177.8</v>
      </c>
      <c r="G37" s="427" t="s">
        <v>28</v>
      </c>
      <c r="H37" s="427" t="s">
        <v>52</v>
      </c>
      <c r="I37" s="618">
        <v>592.85</v>
      </c>
      <c r="J37" s="427">
        <v>100</v>
      </c>
      <c r="K37" s="435"/>
      <c r="L37" s="435">
        <v>165</v>
      </c>
      <c r="M37" s="435"/>
      <c r="N37" s="427">
        <v>7.9</v>
      </c>
      <c r="O37" s="427"/>
      <c r="P37" s="430">
        <v>47.326830180189532</v>
      </c>
      <c r="Q37" s="431">
        <f t="shared" si="0"/>
        <v>22</v>
      </c>
      <c r="R37" s="431">
        <v>4.1399999999999997</v>
      </c>
      <c r="S37" s="431">
        <v>20</v>
      </c>
      <c r="T37" s="431">
        <v>36</v>
      </c>
      <c r="U37" s="431">
        <f t="shared" si="1"/>
        <v>8.6956521739130448</v>
      </c>
      <c r="V37" s="614">
        <f t="shared" si="7"/>
        <v>79.3</v>
      </c>
      <c r="W37" s="431">
        <v>0.4</v>
      </c>
      <c r="X37" s="431">
        <f t="shared" si="2"/>
        <v>0.90909090909090906</v>
      </c>
      <c r="Y37" s="431">
        <f t="shared" si="8"/>
        <v>3.9412799999999995</v>
      </c>
      <c r="Z37" s="431">
        <f t="shared" si="8"/>
        <v>19.04</v>
      </c>
      <c r="AA37" s="431">
        <f t="shared" si="8"/>
        <v>34.271999999999998</v>
      </c>
      <c r="AB37" s="431">
        <f t="shared" si="5"/>
        <v>8.6956521739130448</v>
      </c>
      <c r="AC37" s="431">
        <f t="shared" si="3"/>
        <v>79.3</v>
      </c>
      <c r="AD37" s="427">
        <v>31</v>
      </c>
      <c r="AE37" s="431">
        <f t="shared" si="6"/>
        <v>122.17967999999998</v>
      </c>
      <c r="AF37" s="434"/>
    </row>
    <row r="38" spans="1:32" ht="18.95" customHeight="1" x14ac:dyDescent="0.2">
      <c r="A38" s="427">
        <v>25</v>
      </c>
      <c r="B38" s="428" t="s">
        <v>45</v>
      </c>
      <c r="C38" s="427" t="s">
        <v>46</v>
      </c>
      <c r="D38" s="427">
        <v>636.4</v>
      </c>
      <c r="E38" s="427" t="s">
        <v>91</v>
      </c>
      <c r="F38" s="427">
        <v>177.8</v>
      </c>
      <c r="G38" s="427" t="s">
        <v>28</v>
      </c>
      <c r="H38" s="427" t="s">
        <v>52</v>
      </c>
      <c r="I38" s="440">
        <v>592.95000000000005</v>
      </c>
      <c r="J38" s="427">
        <v>295</v>
      </c>
      <c r="K38" s="435"/>
      <c r="L38" s="435">
        <v>495</v>
      </c>
      <c r="M38" s="435"/>
      <c r="N38" s="427">
        <v>8.9</v>
      </c>
      <c r="O38" s="427"/>
      <c r="P38" s="430">
        <v>15.217279859826967</v>
      </c>
      <c r="Q38" s="431">
        <f>LEFT(H38,(FIND("K",H38,1)-1))*J38/100</f>
        <v>64.900000000000006</v>
      </c>
      <c r="R38" s="431">
        <v>11.743</v>
      </c>
      <c r="S38" s="431">
        <v>33.799999999999997</v>
      </c>
      <c r="T38" s="431">
        <v>517</v>
      </c>
      <c r="U38" s="431">
        <f t="shared" si="1"/>
        <v>44.026228391382098</v>
      </c>
      <c r="V38" s="614">
        <f t="shared" si="7"/>
        <v>65.257396449704132</v>
      </c>
      <c r="W38" s="431">
        <v>0.4</v>
      </c>
      <c r="X38" s="431">
        <f t="shared" si="2"/>
        <v>0.52080123266563938</v>
      </c>
      <c r="Y38" s="431">
        <f t="shared" si="8"/>
        <v>11.179335999999999</v>
      </c>
      <c r="Z38" s="431">
        <f t="shared" si="8"/>
        <v>32.177599999999998</v>
      </c>
      <c r="AA38" s="431">
        <f t="shared" si="8"/>
        <v>492.18399999999997</v>
      </c>
      <c r="AB38" s="431">
        <f t="shared" si="5"/>
        <v>44.026228391382098</v>
      </c>
      <c r="AC38" s="431">
        <f t="shared" si="3"/>
        <v>65.257396449704132</v>
      </c>
      <c r="AD38" s="427">
        <v>31</v>
      </c>
      <c r="AE38" s="431">
        <f t="shared" si="6"/>
        <v>346.559416</v>
      </c>
      <c r="AF38" s="434"/>
    </row>
    <row r="39" spans="1:32" ht="18.95" customHeight="1" x14ac:dyDescent="0.2">
      <c r="A39" s="427">
        <v>26</v>
      </c>
      <c r="B39" s="428" t="s">
        <v>206</v>
      </c>
      <c r="C39" s="427" t="s">
        <v>46</v>
      </c>
      <c r="D39" s="427">
        <v>660.2</v>
      </c>
      <c r="E39" s="427" t="s">
        <v>227</v>
      </c>
      <c r="F39" s="427">
        <v>177.8</v>
      </c>
      <c r="G39" s="427" t="s">
        <v>28</v>
      </c>
      <c r="H39" s="427" t="s">
        <v>212</v>
      </c>
      <c r="I39" s="440">
        <v>547.65</v>
      </c>
      <c r="J39" s="427">
        <v>130</v>
      </c>
      <c r="K39" s="435"/>
      <c r="L39" s="435">
        <v>417</v>
      </c>
      <c r="M39" s="435"/>
      <c r="N39" s="427">
        <v>8</v>
      </c>
      <c r="O39" s="427"/>
      <c r="P39" s="430">
        <v>21.341338977460712</v>
      </c>
      <c r="Q39" s="431">
        <f t="shared" ref="Q39:Q75" si="9">LEFT(H39,(FIND("K",H39,1)-1))*J39/100</f>
        <v>10.4</v>
      </c>
      <c r="R39" s="431">
        <v>5.86</v>
      </c>
      <c r="S39" s="431">
        <v>7.18</v>
      </c>
      <c r="T39" s="431">
        <v>29</v>
      </c>
      <c r="U39" s="431">
        <f t="shared" si="1"/>
        <v>4.9488054607508527</v>
      </c>
      <c r="V39" s="614">
        <f t="shared" si="7"/>
        <v>18.384401114206121</v>
      </c>
      <c r="W39" s="431">
        <v>0.9</v>
      </c>
      <c r="X39" s="431">
        <f t="shared" si="2"/>
        <v>0.69038461538461537</v>
      </c>
      <c r="Y39" s="431">
        <f t="shared" si="8"/>
        <v>5.5787199999999997</v>
      </c>
      <c r="Z39" s="431">
        <f t="shared" si="8"/>
        <v>6.8353599999999997</v>
      </c>
      <c r="AA39" s="431">
        <f t="shared" si="8"/>
        <v>27.607999999999997</v>
      </c>
      <c r="AB39" s="431">
        <f t="shared" si="5"/>
        <v>4.9488054607508527</v>
      </c>
      <c r="AC39" s="431">
        <f t="shared" si="3"/>
        <v>18.384401114206121</v>
      </c>
      <c r="AD39" s="427">
        <v>31</v>
      </c>
      <c r="AE39" s="431">
        <f t="shared" si="6"/>
        <v>172.94031999999999</v>
      </c>
      <c r="AF39" s="434"/>
    </row>
    <row r="40" spans="1:32" ht="18.95" customHeight="1" x14ac:dyDescent="0.2">
      <c r="A40" s="427">
        <v>27</v>
      </c>
      <c r="B40" s="619" t="s">
        <v>161</v>
      </c>
      <c r="C40" s="427" t="s">
        <v>46</v>
      </c>
      <c r="D40" s="440">
        <v>677</v>
      </c>
      <c r="E40" s="427" t="s">
        <v>178</v>
      </c>
      <c r="F40" s="427">
        <v>177.8</v>
      </c>
      <c r="G40" s="427" t="s">
        <v>28</v>
      </c>
      <c r="H40" s="427" t="s">
        <v>52</v>
      </c>
      <c r="I40" s="440">
        <v>535.41</v>
      </c>
      <c r="J40" s="440">
        <v>130</v>
      </c>
      <c r="K40" s="611"/>
      <c r="L40" s="611">
        <v>462</v>
      </c>
      <c r="M40" s="611"/>
      <c r="N40" s="427">
        <v>6.9</v>
      </c>
      <c r="O40" s="440"/>
      <c r="P40" s="620">
        <v>15.115308901778825</v>
      </c>
      <c r="Q40" s="431">
        <f t="shared" si="9"/>
        <v>28.6</v>
      </c>
      <c r="R40" s="431">
        <v>5.12</v>
      </c>
      <c r="S40" s="431">
        <v>7.3</v>
      </c>
      <c r="T40" s="613">
        <v>478</v>
      </c>
      <c r="U40" s="431">
        <f t="shared" si="1"/>
        <v>93.359375</v>
      </c>
      <c r="V40" s="614">
        <f t="shared" si="7"/>
        <v>29.863013698630137</v>
      </c>
      <c r="W40" s="431">
        <v>0.4</v>
      </c>
      <c r="X40" s="431">
        <f t="shared" si="2"/>
        <v>0.25524475524475521</v>
      </c>
      <c r="Y40" s="431">
        <f t="shared" si="8"/>
        <v>4.8742399999999995</v>
      </c>
      <c r="Z40" s="431">
        <f t="shared" si="8"/>
        <v>6.9495999999999993</v>
      </c>
      <c r="AA40" s="431">
        <f t="shared" si="8"/>
        <v>455.05599999999998</v>
      </c>
      <c r="AB40" s="431">
        <f t="shared" si="5"/>
        <v>93.359375</v>
      </c>
      <c r="AC40" s="431">
        <f t="shared" si="3"/>
        <v>29.863013698630137</v>
      </c>
      <c r="AD40" s="427">
        <v>31</v>
      </c>
      <c r="AE40" s="431">
        <f t="shared" si="6"/>
        <v>151.10144</v>
      </c>
      <c r="AF40" s="439"/>
    </row>
    <row r="41" spans="1:32" ht="18.95" customHeight="1" x14ac:dyDescent="0.2">
      <c r="A41" s="427">
        <v>28</v>
      </c>
      <c r="B41" s="619" t="s">
        <v>162</v>
      </c>
      <c r="C41" s="427" t="s">
        <v>46</v>
      </c>
      <c r="D41" s="440">
        <v>676</v>
      </c>
      <c r="E41" s="427" t="s">
        <v>180</v>
      </c>
      <c r="F41" s="427">
        <v>177.8</v>
      </c>
      <c r="G41" s="427" t="s">
        <v>28</v>
      </c>
      <c r="H41" s="427" t="s">
        <v>50</v>
      </c>
      <c r="I41" s="440">
        <v>545.42999999999995</v>
      </c>
      <c r="J41" s="440">
        <v>0</v>
      </c>
      <c r="K41" s="611">
        <v>70</v>
      </c>
      <c r="L41" s="435"/>
      <c r="M41" s="611">
        <v>1.4</v>
      </c>
      <c r="N41" s="427"/>
      <c r="O41" s="440"/>
      <c r="P41" s="620">
        <v>38.823330494591829</v>
      </c>
      <c r="Q41" s="431">
        <v>0</v>
      </c>
      <c r="R41" s="431">
        <v>0</v>
      </c>
      <c r="S41" s="431">
        <v>0</v>
      </c>
      <c r="T41" s="613">
        <v>0</v>
      </c>
      <c r="U41" s="431">
        <v>0</v>
      </c>
      <c r="V41" s="614">
        <v>0</v>
      </c>
      <c r="W41" s="431">
        <v>0</v>
      </c>
      <c r="X41" s="431">
        <v>0</v>
      </c>
      <c r="Y41" s="431">
        <f t="shared" si="8"/>
        <v>0</v>
      </c>
      <c r="Z41" s="431">
        <f t="shared" si="8"/>
        <v>0</v>
      </c>
      <c r="AA41" s="431">
        <f t="shared" si="8"/>
        <v>0</v>
      </c>
      <c r="AB41" s="431">
        <f t="shared" si="5"/>
        <v>0</v>
      </c>
      <c r="AC41" s="431">
        <f t="shared" si="3"/>
        <v>0</v>
      </c>
      <c r="AD41" s="427">
        <v>0</v>
      </c>
      <c r="AE41" s="431">
        <f t="shared" si="6"/>
        <v>0</v>
      </c>
      <c r="AF41" s="439" t="s">
        <v>335</v>
      </c>
    </row>
    <row r="42" spans="1:32" ht="18.95" customHeight="1" x14ac:dyDescent="0.2">
      <c r="A42" s="427">
        <v>29</v>
      </c>
      <c r="B42" s="619" t="s">
        <v>163</v>
      </c>
      <c r="C42" s="427" t="s">
        <v>46</v>
      </c>
      <c r="D42" s="440">
        <v>677.27</v>
      </c>
      <c r="E42" s="427" t="s">
        <v>194</v>
      </c>
      <c r="F42" s="427">
        <v>177.8</v>
      </c>
      <c r="G42" s="427" t="s">
        <v>28</v>
      </c>
      <c r="H42" s="427" t="s">
        <v>187</v>
      </c>
      <c r="I42" s="440">
        <v>553.82000000000005</v>
      </c>
      <c r="J42" s="440">
        <v>180</v>
      </c>
      <c r="K42" s="611"/>
      <c r="L42" s="611">
        <v>267</v>
      </c>
      <c r="M42" s="611"/>
      <c r="N42" s="427">
        <v>6.2</v>
      </c>
      <c r="O42" s="440"/>
      <c r="P42" s="620">
        <v>38.971728540102788</v>
      </c>
      <c r="Q42" s="431">
        <f t="shared" si="9"/>
        <v>10.8</v>
      </c>
      <c r="R42" s="431">
        <v>2.0129999999999999</v>
      </c>
      <c r="S42" s="431">
        <v>5</v>
      </c>
      <c r="T42" s="613">
        <v>3</v>
      </c>
      <c r="U42" s="431">
        <f>T42/R42</f>
        <v>1.4903129657228018</v>
      </c>
      <c r="V42" s="614">
        <f t="shared" si="7"/>
        <v>59.74</v>
      </c>
      <c r="W42" s="431">
        <v>0.6</v>
      </c>
      <c r="X42" s="431">
        <f t="shared" si="2"/>
        <v>0.46296296296296291</v>
      </c>
      <c r="Y42" s="431">
        <f t="shared" si="8"/>
        <v>1.9163759999999999</v>
      </c>
      <c r="Z42" s="431">
        <f t="shared" si="8"/>
        <v>4.76</v>
      </c>
      <c r="AA42" s="431">
        <f t="shared" si="8"/>
        <v>2.8559999999999999</v>
      </c>
      <c r="AB42" s="431">
        <f t="shared" si="5"/>
        <v>1.4903129657228018</v>
      </c>
      <c r="AC42" s="431">
        <f t="shared" si="3"/>
        <v>59.74</v>
      </c>
      <c r="AD42" s="427">
        <v>31</v>
      </c>
      <c r="AE42" s="431">
        <f t="shared" si="6"/>
        <v>59.407655999999996</v>
      </c>
      <c r="AF42" s="439"/>
    </row>
    <row r="43" spans="1:32" ht="18.95" customHeight="1" x14ac:dyDescent="0.2">
      <c r="A43" s="427">
        <v>30</v>
      </c>
      <c r="B43" s="428" t="s">
        <v>59</v>
      </c>
      <c r="C43" s="427" t="s">
        <v>46</v>
      </c>
      <c r="D43" s="427">
        <v>643</v>
      </c>
      <c r="E43" s="427" t="s">
        <v>94</v>
      </c>
      <c r="F43" s="427">
        <v>177.8</v>
      </c>
      <c r="G43" s="427" t="s">
        <v>28</v>
      </c>
      <c r="H43" s="427" t="s">
        <v>48</v>
      </c>
      <c r="I43" s="440">
        <v>540.79999999999995</v>
      </c>
      <c r="J43" s="427">
        <v>105</v>
      </c>
      <c r="K43" s="435"/>
      <c r="L43" s="435">
        <v>435</v>
      </c>
      <c r="M43" s="435"/>
      <c r="N43" s="427">
        <v>3.1</v>
      </c>
      <c r="O43" s="427"/>
      <c r="P43" s="430">
        <v>14.936352531208927</v>
      </c>
      <c r="Q43" s="431">
        <f t="shared" si="9"/>
        <v>13.65</v>
      </c>
      <c r="R43" s="431">
        <v>3.31</v>
      </c>
      <c r="S43" s="431">
        <v>5.2</v>
      </c>
      <c r="T43" s="431">
        <v>10</v>
      </c>
      <c r="U43" s="431">
        <f t="shared" si="1"/>
        <v>3.0211480362537766</v>
      </c>
      <c r="V43" s="614">
        <f t="shared" si="7"/>
        <v>36.346153846153847</v>
      </c>
      <c r="W43" s="431">
        <v>0.2</v>
      </c>
      <c r="X43" s="431">
        <f t="shared" si="2"/>
        <v>0.38095238095238093</v>
      </c>
      <c r="Y43" s="431">
        <f t="shared" si="8"/>
        <v>3.1511199999999997</v>
      </c>
      <c r="Z43" s="431">
        <f t="shared" si="8"/>
        <v>4.9504000000000001</v>
      </c>
      <c r="AA43" s="431">
        <f t="shared" si="8"/>
        <v>9.52</v>
      </c>
      <c r="AB43" s="431">
        <f>U43</f>
        <v>3.0211480362537766</v>
      </c>
      <c r="AC43" s="431">
        <f t="shared" si="3"/>
        <v>36.346153846153847</v>
      </c>
      <c r="AD43" s="427">
        <v>31</v>
      </c>
      <c r="AE43" s="431">
        <f t="shared" si="6"/>
        <v>97.684719999999984</v>
      </c>
      <c r="AF43" s="439"/>
    </row>
    <row r="44" spans="1:32" ht="18.95" customHeight="1" x14ac:dyDescent="0.2">
      <c r="A44" s="427">
        <v>31</v>
      </c>
      <c r="B44" s="428" t="s">
        <v>207</v>
      </c>
      <c r="C44" s="427" t="s">
        <v>46</v>
      </c>
      <c r="D44" s="427">
        <v>673</v>
      </c>
      <c r="E44" s="427" t="s">
        <v>230</v>
      </c>
      <c r="F44" s="427">
        <v>177.8</v>
      </c>
      <c r="G44" s="427" t="s">
        <v>28</v>
      </c>
      <c r="H44" s="427" t="s">
        <v>50</v>
      </c>
      <c r="I44" s="440">
        <v>564.41999999999996</v>
      </c>
      <c r="J44" s="427">
        <v>195</v>
      </c>
      <c r="K44" s="435"/>
      <c r="L44" s="435">
        <v>362</v>
      </c>
      <c r="M44" s="435"/>
      <c r="N44" s="430">
        <v>4.3</v>
      </c>
      <c r="O44" s="427"/>
      <c r="P44" s="430">
        <v>23.899565700552216</v>
      </c>
      <c r="Q44" s="431">
        <f t="shared" si="9"/>
        <v>11.7</v>
      </c>
      <c r="R44" s="431">
        <v>5.19</v>
      </c>
      <c r="S44" s="431">
        <v>10.4</v>
      </c>
      <c r="T44" s="431">
        <v>3</v>
      </c>
      <c r="U44" s="431">
        <f t="shared" si="1"/>
        <v>0.57803468208092479</v>
      </c>
      <c r="V44" s="614">
        <f t="shared" si="7"/>
        <v>50.096153846153847</v>
      </c>
      <c r="W44" s="431">
        <v>0.9</v>
      </c>
      <c r="X44" s="431">
        <f t="shared" si="2"/>
        <v>0.88888888888888895</v>
      </c>
      <c r="Y44" s="431">
        <f t="shared" si="8"/>
        <v>4.9408799999999999</v>
      </c>
      <c r="Z44" s="431">
        <f t="shared" si="8"/>
        <v>9.9008000000000003</v>
      </c>
      <c r="AA44" s="431">
        <f t="shared" si="8"/>
        <v>2.8559999999999999</v>
      </c>
      <c r="AB44" s="431">
        <f>U44</f>
        <v>0.57803468208092479</v>
      </c>
      <c r="AC44" s="431">
        <f t="shared" si="3"/>
        <v>50.096153846153847</v>
      </c>
      <c r="AD44" s="427">
        <v>31</v>
      </c>
      <c r="AE44" s="431">
        <f t="shared" si="6"/>
        <v>153.16728000000001</v>
      </c>
      <c r="AF44" s="439"/>
    </row>
    <row r="45" spans="1:32" ht="18.95" customHeight="1" x14ac:dyDescent="0.2">
      <c r="A45" s="427">
        <v>32</v>
      </c>
      <c r="B45" s="428" t="s">
        <v>196</v>
      </c>
      <c r="C45" s="427" t="s">
        <v>304</v>
      </c>
      <c r="D45" s="427">
        <v>641</v>
      </c>
      <c r="E45" s="427" t="s">
        <v>296</v>
      </c>
      <c r="F45" s="427">
        <v>177.8</v>
      </c>
      <c r="G45" s="427" t="s">
        <v>28</v>
      </c>
      <c r="H45" s="427" t="s">
        <v>218</v>
      </c>
      <c r="I45" s="440">
        <v>618.66999999999996</v>
      </c>
      <c r="J45" s="427">
        <v>75</v>
      </c>
      <c r="K45" s="435"/>
      <c r="L45" s="435">
        <v>505</v>
      </c>
      <c r="M45" s="435"/>
      <c r="N45" s="430">
        <v>0.5</v>
      </c>
      <c r="O45" s="427"/>
      <c r="P45" s="430">
        <v>11.192081167004902</v>
      </c>
      <c r="Q45" s="431">
        <f t="shared" si="9"/>
        <v>24</v>
      </c>
      <c r="R45" s="431">
        <v>0</v>
      </c>
      <c r="S45" s="431">
        <v>3.1</v>
      </c>
      <c r="T45" s="431">
        <v>0</v>
      </c>
      <c r="U45" s="431">
        <v>0</v>
      </c>
      <c r="V45" s="614">
        <f t="shared" si="7"/>
        <v>100</v>
      </c>
      <c r="W45" s="431">
        <v>0</v>
      </c>
      <c r="X45" s="431">
        <f t="shared" si="2"/>
        <v>0.12916666666666668</v>
      </c>
      <c r="Y45" s="431">
        <f t="shared" si="8"/>
        <v>0</v>
      </c>
      <c r="Z45" s="431">
        <f t="shared" si="8"/>
        <v>2.9512</v>
      </c>
      <c r="AA45" s="431">
        <f t="shared" si="8"/>
        <v>0</v>
      </c>
      <c r="AB45" s="431">
        <f>U45</f>
        <v>0</v>
      </c>
      <c r="AC45" s="431">
        <f t="shared" si="3"/>
        <v>100</v>
      </c>
      <c r="AD45" s="427">
        <v>31</v>
      </c>
      <c r="AE45" s="431">
        <f t="shared" si="6"/>
        <v>0</v>
      </c>
      <c r="AF45" s="439"/>
    </row>
    <row r="46" spans="1:32" ht="18.95" customHeight="1" x14ac:dyDescent="0.2">
      <c r="A46" s="427">
        <v>33</v>
      </c>
      <c r="B46" s="428" t="s">
        <v>60</v>
      </c>
      <c r="C46" s="427" t="s">
        <v>46</v>
      </c>
      <c r="D46" s="427">
        <v>638.9</v>
      </c>
      <c r="E46" s="427" t="s">
        <v>95</v>
      </c>
      <c r="F46" s="427">
        <v>177.8</v>
      </c>
      <c r="G46" s="427" t="s">
        <v>28</v>
      </c>
      <c r="H46" s="427" t="s">
        <v>48</v>
      </c>
      <c r="I46" s="440">
        <v>546.64</v>
      </c>
      <c r="J46" s="427">
        <v>100</v>
      </c>
      <c r="K46" s="435"/>
      <c r="L46" s="435">
        <v>466</v>
      </c>
      <c r="M46" s="435"/>
      <c r="N46" s="427">
        <v>7.2</v>
      </c>
      <c r="O46" s="427"/>
      <c r="P46" s="430">
        <v>15.728422423452571</v>
      </c>
      <c r="Q46" s="431">
        <f t="shared" si="9"/>
        <v>13</v>
      </c>
      <c r="R46" s="431">
        <v>5.58</v>
      </c>
      <c r="S46" s="431">
        <v>9.5</v>
      </c>
      <c r="T46" s="431">
        <v>90</v>
      </c>
      <c r="U46" s="431">
        <f t="shared" si="1"/>
        <v>16.129032258064516</v>
      </c>
      <c r="V46" s="614">
        <f>(S46-R46)/S46*100</f>
        <v>41.263157894736842</v>
      </c>
      <c r="W46" s="431">
        <v>0.2</v>
      </c>
      <c r="X46" s="431">
        <f t="shared" si="2"/>
        <v>0.73076923076923073</v>
      </c>
      <c r="Y46" s="431">
        <f t="shared" si="8"/>
        <v>5.3121599999999995</v>
      </c>
      <c r="Z46" s="431">
        <f t="shared" si="8"/>
        <v>9.0440000000000005</v>
      </c>
      <c r="AA46" s="431">
        <f t="shared" si="8"/>
        <v>85.679999999999993</v>
      </c>
      <c r="AB46" s="431">
        <f t="shared" si="5"/>
        <v>16.129032258064516</v>
      </c>
      <c r="AC46" s="431">
        <f t="shared" si="3"/>
        <v>41.263157894736842</v>
      </c>
      <c r="AD46" s="427">
        <v>31</v>
      </c>
      <c r="AE46" s="431">
        <f t="shared" si="6"/>
        <v>164.67695999999998</v>
      </c>
      <c r="AF46" s="439"/>
    </row>
    <row r="47" spans="1:32" ht="18.95" customHeight="1" x14ac:dyDescent="0.2">
      <c r="A47" s="427">
        <v>34</v>
      </c>
      <c r="B47" s="428" t="s">
        <v>119</v>
      </c>
      <c r="C47" s="427" t="s">
        <v>46</v>
      </c>
      <c r="D47" s="427">
        <v>654.07000000000005</v>
      </c>
      <c r="E47" s="427" t="s">
        <v>126</v>
      </c>
      <c r="F47" s="427">
        <v>177.8</v>
      </c>
      <c r="G47" s="427" t="s">
        <v>28</v>
      </c>
      <c r="H47" s="427" t="s">
        <v>48</v>
      </c>
      <c r="I47" s="440">
        <v>526.6</v>
      </c>
      <c r="J47" s="427" t="s">
        <v>240</v>
      </c>
      <c r="K47" s="435">
        <v>508</v>
      </c>
      <c r="L47" s="435">
        <v>0</v>
      </c>
      <c r="M47" s="435">
        <v>23.5</v>
      </c>
      <c r="N47" s="427"/>
      <c r="O47" s="427"/>
      <c r="P47" s="430">
        <v>26.3201306596204</v>
      </c>
      <c r="Q47" s="431">
        <f t="shared" si="9"/>
        <v>0</v>
      </c>
      <c r="R47" s="431">
        <v>0</v>
      </c>
      <c r="S47" s="431">
        <v>0</v>
      </c>
      <c r="T47" s="431">
        <v>0</v>
      </c>
      <c r="U47" s="431">
        <v>0</v>
      </c>
      <c r="V47" s="614">
        <v>0</v>
      </c>
      <c r="W47" s="431">
        <v>0</v>
      </c>
      <c r="X47" s="431">
        <v>0</v>
      </c>
      <c r="Y47" s="431">
        <f t="shared" si="8"/>
        <v>0</v>
      </c>
      <c r="Z47" s="431">
        <f t="shared" si="8"/>
        <v>0</v>
      </c>
      <c r="AA47" s="431">
        <f t="shared" si="8"/>
        <v>0</v>
      </c>
      <c r="AB47" s="431">
        <f t="shared" si="5"/>
        <v>0</v>
      </c>
      <c r="AC47" s="431">
        <f t="shared" si="3"/>
        <v>0</v>
      </c>
      <c r="AD47" s="427">
        <v>0</v>
      </c>
      <c r="AE47" s="431">
        <f t="shared" si="6"/>
        <v>0</v>
      </c>
      <c r="AF47" s="439" t="s">
        <v>335</v>
      </c>
    </row>
    <row r="48" spans="1:32" ht="18.95" customHeight="1" x14ac:dyDescent="0.2">
      <c r="A48" s="427">
        <v>35</v>
      </c>
      <c r="B48" s="428" t="s">
        <v>118</v>
      </c>
      <c r="C48" s="427" t="s">
        <v>46</v>
      </c>
      <c r="D48" s="427">
        <v>728.77</v>
      </c>
      <c r="E48" s="427" t="s">
        <v>133</v>
      </c>
      <c r="F48" s="427">
        <v>177.8</v>
      </c>
      <c r="G48" s="427" t="s">
        <v>28</v>
      </c>
      <c r="H48" s="427" t="s">
        <v>48</v>
      </c>
      <c r="I48" s="440">
        <v>557.04999999999995</v>
      </c>
      <c r="J48" s="427">
        <v>100</v>
      </c>
      <c r="K48" s="435"/>
      <c r="L48" s="435">
        <v>418</v>
      </c>
      <c r="M48" s="435"/>
      <c r="N48" s="427">
        <v>7.3</v>
      </c>
      <c r="O48" s="427"/>
      <c r="P48" s="430">
        <v>21.721397558200898</v>
      </c>
      <c r="Q48" s="431">
        <f>LEFT(H48,(FIND("K",H48,1)-1))*J48/100</f>
        <v>13</v>
      </c>
      <c r="R48" s="431">
        <v>1.41</v>
      </c>
      <c r="S48" s="431">
        <v>8</v>
      </c>
      <c r="T48" s="431">
        <v>36</v>
      </c>
      <c r="U48" s="431">
        <f>T48/R48</f>
        <v>25.531914893617024</v>
      </c>
      <c r="V48" s="614">
        <f t="shared" si="7"/>
        <v>82.375</v>
      </c>
      <c r="W48" s="431">
        <v>1.1000000000000001</v>
      </c>
      <c r="X48" s="431">
        <f t="shared" ref="X48:X55" si="10">S48/Q48</f>
        <v>0.61538461538461542</v>
      </c>
      <c r="Y48" s="431">
        <f t="shared" si="8"/>
        <v>1.34232</v>
      </c>
      <c r="Z48" s="431">
        <f t="shared" si="8"/>
        <v>7.6159999999999997</v>
      </c>
      <c r="AA48" s="431">
        <f t="shared" si="8"/>
        <v>34.271999999999998</v>
      </c>
      <c r="AB48" s="431">
        <f t="shared" si="5"/>
        <v>25.531914893617024</v>
      </c>
      <c r="AC48" s="431">
        <f t="shared" si="3"/>
        <v>82.375</v>
      </c>
      <c r="AD48" s="427">
        <v>31</v>
      </c>
      <c r="AE48" s="431">
        <f t="shared" si="6"/>
        <v>41.611919999999998</v>
      </c>
      <c r="AF48" s="439"/>
    </row>
    <row r="49" spans="1:32" ht="18.95" customHeight="1" x14ac:dyDescent="0.2">
      <c r="A49" s="427">
        <v>36</v>
      </c>
      <c r="B49" s="428" t="s">
        <v>117</v>
      </c>
      <c r="C49" s="427" t="s">
        <v>46</v>
      </c>
      <c r="D49" s="427">
        <v>671.45</v>
      </c>
      <c r="E49" s="427" t="s">
        <v>128</v>
      </c>
      <c r="F49" s="427">
        <v>177.8</v>
      </c>
      <c r="G49" s="427" t="s">
        <v>28</v>
      </c>
      <c r="H49" s="427" t="s">
        <v>187</v>
      </c>
      <c r="I49" s="440">
        <v>559.39</v>
      </c>
      <c r="J49" s="427">
        <v>265</v>
      </c>
      <c r="K49" s="435"/>
      <c r="L49" s="435">
        <v>252</v>
      </c>
      <c r="M49" s="435"/>
      <c r="N49" s="427">
        <v>2.5</v>
      </c>
      <c r="O49" s="427"/>
      <c r="P49" s="430">
        <v>31.692001233066598</v>
      </c>
      <c r="Q49" s="431">
        <f t="shared" si="9"/>
        <v>15.9</v>
      </c>
      <c r="R49" s="431">
        <v>1.5</v>
      </c>
      <c r="S49" s="431">
        <v>7</v>
      </c>
      <c r="T49" s="431">
        <v>3</v>
      </c>
      <c r="U49" s="431">
        <f>T49/R49</f>
        <v>2</v>
      </c>
      <c r="V49" s="614">
        <f t="shared" si="7"/>
        <v>78.571428571428569</v>
      </c>
      <c r="W49" s="431">
        <v>0.5</v>
      </c>
      <c r="X49" s="431">
        <f t="shared" si="10"/>
        <v>0.44025157232704404</v>
      </c>
      <c r="Y49" s="431">
        <f t="shared" si="8"/>
        <v>1.4279999999999999</v>
      </c>
      <c r="Z49" s="431">
        <f t="shared" si="8"/>
        <v>6.6639999999999997</v>
      </c>
      <c r="AA49" s="431">
        <f t="shared" si="8"/>
        <v>2.8559999999999999</v>
      </c>
      <c r="AB49" s="431">
        <f t="shared" si="5"/>
        <v>2</v>
      </c>
      <c r="AC49" s="431">
        <f t="shared" si="3"/>
        <v>78.571428571428569</v>
      </c>
      <c r="AD49" s="427">
        <v>31</v>
      </c>
      <c r="AE49" s="431">
        <f t="shared" si="6"/>
        <v>44.268000000000001</v>
      </c>
      <c r="AF49" s="434"/>
    </row>
    <row r="50" spans="1:32" ht="18.95" customHeight="1" x14ac:dyDescent="0.2">
      <c r="A50" s="427">
        <v>37</v>
      </c>
      <c r="B50" s="428" t="s">
        <v>130</v>
      </c>
      <c r="C50" s="427" t="s">
        <v>46</v>
      </c>
      <c r="D50" s="427">
        <v>622.6</v>
      </c>
      <c r="E50" s="427" t="s">
        <v>134</v>
      </c>
      <c r="F50" s="427">
        <v>177.8</v>
      </c>
      <c r="G50" s="427" t="s">
        <v>28</v>
      </c>
      <c r="H50" s="427" t="s">
        <v>48</v>
      </c>
      <c r="I50" s="440">
        <v>551.79999999999995</v>
      </c>
      <c r="J50" s="427">
        <v>85</v>
      </c>
      <c r="K50" s="435"/>
      <c r="L50" s="435">
        <v>101</v>
      </c>
      <c r="M50" s="435"/>
      <c r="N50" s="427">
        <v>6.4</v>
      </c>
      <c r="O50" s="427"/>
      <c r="P50" s="430">
        <v>53.174295508268564</v>
      </c>
      <c r="Q50" s="431">
        <f>LEFT(H50,(FIND("K",H50,1)-1))*J50/100</f>
        <v>11.05</v>
      </c>
      <c r="R50" s="431">
        <v>6.2E-2</v>
      </c>
      <c r="S50" s="431">
        <v>81</v>
      </c>
      <c r="T50" s="431">
        <v>0</v>
      </c>
      <c r="U50" s="431">
        <v>0</v>
      </c>
      <c r="V50" s="614">
        <f t="shared" si="7"/>
        <v>99.923456790123453</v>
      </c>
      <c r="W50" s="431">
        <v>0</v>
      </c>
      <c r="X50" s="431">
        <f t="shared" si="10"/>
        <v>7.3303167420814477</v>
      </c>
      <c r="Y50" s="431">
        <f t="shared" si="8"/>
        <v>5.9024E-2</v>
      </c>
      <c r="Z50" s="431">
        <f t="shared" si="8"/>
        <v>77.111999999999995</v>
      </c>
      <c r="AA50" s="431">
        <f t="shared" si="8"/>
        <v>0</v>
      </c>
      <c r="AB50" s="431">
        <f t="shared" si="5"/>
        <v>0</v>
      </c>
      <c r="AC50" s="431">
        <f t="shared" si="3"/>
        <v>99.923456790123453</v>
      </c>
      <c r="AD50" s="427">
        <v>31</v>
      </c>
      <c r="AE50" s="431">
        <f t="shared" si="6"/>
        <v>1.829744</v>
      </c>
      <c r="AF50" s="434"/>
    </row>
    <row r="51" spans="1:32" ht="18.95" customHeight="1" x14ac:dyDescent="0.2">
      <c r="A51" s="427">
        <v>38</v>
      </c>
      <c r="B51" s="450" t="s">
        <v>115</v>
      </c>
      <c r="C51" s="451" t="s">
        <v>46</v>
      </c>
      <c r="D51" s="451">
        <v>671.43</v>
      </c>
      <c r="E51" s="451" t="s">
        <v>286</v>
      </c>
      <c r="F51" s="427">
        <v>177.8</v>
      </c>
      <c r="G51" s="451" t="s">
        <v>28</v>
      </c>
      <c r="H51" s="451" t="s">
        <v>291</v>
      </c>
      <c r="I51" s="621">
        <v>565.80999999999995</v>
      </c>
      <c r="J51" s="451">
        <v>0</v>
      </c>
      <c r="K51" s="579">
        <v>255</v>
      </c>
      <c r="L51" s="579"/>
      <c r="M51" s="579">
        <v>0</v>
      </c>
      <c r="N51" s="427"/>
      <c r="O51" s="451"/>
      <c r="P51" s="454">
        <v>29.596326668947601</v>
      </c>
      <c r="Q51" s="455">
        <f t="shared" si="9"/>
        <v>0</v>
      </c>
      <c r="R51" s="455">
        <v>0</v>
      </c>
      <c r="S51" s="431">
        <v>0</v>
      </c>
      <c r="T51" s="455">
        <v>0</v>
      </c>
      <c r="U51" s="431">
        <v>0</v>
      </c>
      <c r="V51" s="614">
        <v>0</v>
      </c>
      <c r="W51" s="455">
        <v>0.8</v>
      </c>
      <c r="X51" s="431">
        <v>0</v>
      </c>
      <c r="Y51" s="431">
        <f t="shared" si="8"/>
        <v>0</v>
      </c>
      <c r="Z51" s="431">
        <f t="shared" si="8"/>
        <v>0</v>
      </c>
      <c r="AA51" s="431">
        <f t="shared" si="8"/>
        <v>0</v>
      </c>
      <c r="AB51" s="455">
        <f t="shared" si="5"/>
        <v>0</v>
      </c>
      <c r="AC51" s="431">
        <f t="shared" si="3"/>
        <v>0</v>
      </c>
      <c r="AD51" s="427">
        <v>0</v>
      </c>
      <c r="AE51" s="455">
        <f t="shared" si="6"/>
        <v>0</v>
      </c>
      <c r="AF51" s="439" t="s">
        <v>335</v>
      </c>
    </row>
    <row r="52" spans="1:32" ht="18.95" customHeight="1" x14ac:dyDescent="0.2">
      <c r="A52" s="427">
        <v>39</v>
      </c>
      <c r="B52" s="428" t="s">
        <v>116</v>
      </c>
      <c r="C52" s="427" t="s">
        <v>46</v>
      </c>
      <c r="D52" s="427">
        <v>681.27</v>
      </c>
      <c r="E52" s="427" t="s">
        <v>124</v>
      </c>
      <c r="F52" s="427">
        <v>177.8</v>
      </c>
      <c r="G52" s="427" t="s">
        <v>28</v>
      </c>
      <c r="H52" s="427" t="s">
        <v>53</v>
      </c>
      <c r="I52" s="440">
        <v>558.35</v>
      </c>
      <c r="J52" s="427">
        <v>240</v>
      </c>
      <c r="K52" s="435"/>
      <c r="L52" s="435">
        <v>381</v>
      </c>
      <c r="M52" s="435"/>
      <c r="N52" s="427">
        <v>7.3</v>
      </c>
      <c r="O52" s="427"/>
      <c r="P52" s="430">
        <v>27.56036820507514</v>
      </c>
      <c r="Q52" s="455">
        <f t="shared" si="9"/>
        <v>31.2</v>
      </c>
      <c r="R52" s="431">
        <v>2.95</v>
      </c>
      <c r="S52" s="431">
        <v>7.8</v>
      </c>
      <c r="T52" s="431">
        <v>6</v>
      </c>
      <c r="U52" s="431">
        <f t="shared" ref="U52:U55" si="11">T52/R52</f>
        <v>2.0338983050847457</v>
      </c>
      <c r="V52" s="614">
        <f t="shared" si="7"/>
        <v>62.179487179487182</v>
      </c>
      <c r="W52" s="431">
        <v>1.4</v>
      </c>
      <c r="X52" s="431">
        <f t="shared" si="10"/>
        <v>0.25</v>
      </c>
      <c r="Y52" s="431">
        <f t="shared" si="8"/>
        <v>2.8084000000000002</v>
      </c>
      <c r="Z52" s="431">
        <f t="shared" si="8"/>
        <v>7.4255999999999993</v>
      </c>
      <c r="AA52" s="431">
        <f t="shared" si="8"/>
        <v>5.7119999999999997</v>
      </c>
      <c r="AB52" s="431">
        <f t="shared" si="5"/>
        <v>2.0338983050847457</v>
      </c>
      <c r="AC52" s="431">
        <f t="shared" si="3"/>
        <v>62.179487179487182</v>
      </c>
      <c r="AD52" s="427">
        <v>31</v>
      </c>
      <c r="AE52" s="431">
        <f t="shared" si="6"/>
        <v>87.060400000000001</v>
      </c>
      <c r="AF52" s="439"/>
    </row>
    <row r="53" spans="1:32" ht="18.95" customHeight="1" x14ac:dyDescent="0.2">
      <c r="A53" s="427">
        <v>40</v>
      </c>
      <c r="B53" s="428" t="s">
        <v>120</v>
      </c>
      <c r="C53" s="427" t="s">
        <v>46</v>
      </c>
      <c r="D53" s="427">
        <v>668.57</v>
      </c>
      <c r="E53" s="427" t="s">
        <v>285</v>
      </c>
      <c r="F53" s="427">
        <v>177.8</v>
      </c>
      <c r="G53" s="427" t="s">
        <v>28</v>
      </c>
      <c r="H53" s="427" t="s">
        <v>48</v>
      </c>
      <c r="I53" s="440">
        <v>567.08000000000004</v>
      </c>
      <c r="J53" s="427">
        <v>170</v>
      </c>
      <c r="K53" s="435"/>
      <c r="L53" s="435">
        <v>414</v>
      </c>
      <c r="M53" s="435"/>
      <c r="N53" s="427">
        <v>0.5</v>
      </c>
      <c r="O53" s="427"/>
      <c r="P53" s="430">
        <v>16.292695681015282</v>
      </c>
      <c r="Q53" s="431">
        <f>LEFT(H53,(FIND("K",H53,1)-1))*J53/100</f>
        <v>22.1</v>
      </c>
      <c r="R53" s="431">
        <v>3.21</v>
      </c>
      <c r="S53" s="431">
        <v>4.3</v>
      </c>
      <c r="T53" s="431">
        <v>5</v>
      </c>
      <c r="U53" s="431">
        <f t="shared" si="11"/>
        <v>1.557632398753894</v>
      </c>
      <c r="V53" s="614">
        <f t="shared" si="7"/>
        <v>25.348837209302321</v>
      </c>
      <c r="W53" s="431">
        <v>1.2</v>
      </c>
      <c r="X53" s="431">
        <f t="shared" si="10"/>
        <v>0.19457013574660631</v>
      </c>
      <c r="Y53" s="431">
        <f t="shared" si="8"/>
        <v>3.05592</v>
      </c>
      <c r="Z53" s="431">
        <f t="shared" si="8"/>
        <v>4.0935999999999995</v>
      </c>
      <c r="AA53" s="431">
        <f t="shared" si="8"/>
        <v>4.76</v>
      </c>
      <c r="AB53" s="431">
        <f t="shared" si="5"/>
        <v>1.557632398753894</v>
      </c>
      <c r="AC53" s="431">
        <f t="shared" si="3"/>
        <v>25.348837209302321</v>
      </c>
      <c r="AD53" s="427">
        <v>31</v>
      </c>
      <c r="AE53" s="431">
        <f t="shared" si="6"/>
        <v>94.733519999999999</v>
      </c>
      <c r="AF53" s="434"/>
    </row>
    <row r="54" spans="1:32" ht="18.95" customHeight="1" x14ac:dyDescent="0.2">
      <c r="A54" s="427">
        <v>41</v>
      </c>
      <c r="B54" s="428" t="s">
        <v>114</v>
      </c>
      <c r="C54" s="427" t="s">
        <v>46</v>
      </c>
      <c r="D54" s="427">
        <v>584.25</v>
      </c>
      <c r="E54" s="427" t="s">
        <v>123</v>
      </c>
      <c r="F54" s="427">
        <v>177.8</v>
      </c>
      <c r="G54" s="427" t="s">
        <v>28</v>
      </c>
      <c r="H54" s="427" t="s">
        <v>125</v>
      </c>
      <c r="I54" s="440">
        <v>565.08000000000004</v>
      </c>
      <c r="J54" s="427">
        <v>240</v>
      </c>
      <c r="K54" s="435"/>
      <c r="L54" s="435">
        <v>30</v>
      </c>
      <c r="M54" s="435"/>
      <c r="N54" s="427">
        <v>0.4</v>
      </c>
      <c r="O54" s="427"/>
      <c r="P54" s="430">
        <v>55.746254444728223</v>
      </c>
      <c r="Q54" s="431">
        <f t="shared" si="9"/>
        <v>7.2</v>
      </c>
      <c r="R54" s="431">
        <v>0.34</v>
      </c>
      <c r="S54" s="431">
        <v>1.3</v>
      </c>
      <c r="T54" s="431">
        <v>0</v>
      </c>
      <c r="U54" s="431">
        <f t="shared" si="11"/>
        <v>0</v>
      </c>
      <c r="V54" s="614">
        <f t="shared" si="7"/>
        <v>73.84615384615384</v>
      </c>
      <c r="W54" s="431">
        <v>0.5</v>
      </c>
      <c r="X54" s="431">
        <f t="shared" si="10"/>
        <v>0.18055555555555555</v>
      </c>
      <c r="Y54" s="431">
        <v>0.34</v>
      </c>
      <c r="Z54" s="431">
        <v>1.3</v>
      </c>
      <c r="AA54" s="431">
        <f t="shared" si="8"/>
        <v>0</v>
      </c>
      <c r="AB54" s="431">
        <f t="shared" si="5"/>
        <v>0</v>
      </c>
      <c r="AC54" s="431">
        <f t="shared" si="3"/>
        <v>73.84615384615384</v>
      </c>
      <c r="AD54" s="427">
        <v>31</v>
      </c>
      <c r="AE54" s="431">
        <f t="shared" si="6"/>
        <v>10.540000000000001</v>
      </c>
      <c r="AF54" s="622"/>
    </row>
    <row r="55" spans="1:32" ht="18.95" customHeight="1" x14ac:dyDescent="0.2">
      <c r="A55" s="427">
        <v>42</v>
      </c>
      <c r="B55" s="428" t="s">
        <v>106</v>
      </c>
      <c r="C55" s="427" t="s">
        <v>46</v>
      </c>
      <c r="D55" s="427">
        <v>642.52</v>
      </c>
      <c r="E55" s="427" t="s">
        <v>111</v>
      </c>
      <c r="F55" s="427">
        <v>177.8</v>
      </c>
      <c r="G55" s="427" t="s">
        <v>28</v>
      </c>
      <c r="H55" s="427" t="s">
        <v>52</v>
      </c>
      <c r="I55" s="440">
        <v>556.65</v>
      </c>
      <c r="J55" s="427">
        <v>230</v>
      </c>
      <c r="K55" s="435"/>
      <c r="L55" s="435">
        <v>261</v>
      </c>
      <c r="M55" s="435"/>
      <c r="N55" s="427">
        <v>7.4</v>
      </c>
      <c r="O55" s="427"/>
      <c r="P55" s="430">
        <v>43.137089742987101</v>
      </c>
      <c r="Q55" s="431">
        <f t="shared" si="9"/>
        <v>50.6</v>
      </c>
      <c r="R55" s="431">
        <v>0.36</v>
      </c>
      <c r="S55" s="431">
        <v>11.6</v>
      </c>
      <c r="T55" s="431">
        <v>17</v>
      </c>
      <c r="U55" s="431">
        <f t="shared" si="11"/>
        <v>47.222222222222221</v>
      </c>
      <c r="V55" s="614">
        <f t="shared" si="7"/>
        <v>96.896551724137936</v>
      </c>
      <c r="W55" s="431">
        <v>0</v>
      </c>
      <c r="X55" s="431">
        <f t="shared" si="10"/>
        <v>0.22924901185770749</v>
      </c>
      <c r="Y55" s="431">
        <f t="shared" si="8"/>
        <v>0.34271999999999997</v>
      </c>
      <c r="Z55" s="431">
        <f t="shared" si="8"/>
        <v>11.043199999999999</v>
      </c>
      <c r="AA55" s="431">
        <f t="shared" si="8"/>
        <v>16.183999999999997</v>
      </c>
      <c r="AB55" s="431">
        <f t="shared" si="5"/>
        <v>47.222222222222221</v>
      </c>
      <c r="AC55" s="431">
        <f t="shared" si="3"/>
        <v>96.896551724137936</v>
      </c>
      <c r="AD55" s="427">
        <v>31</v>
      </c>
      <c r="AE55" s="431">
        <f t="shared" si="6"/>
        <v>10.624319999999999</v>
      </c>
      <c r="AF55" s="439"/>
    </row>
    <row r="56" spans="1:32" ht="18.95" customHeight="1" x14ac:dyDescent="0.2">
      <c r="A56" s="427">
        <v>43</v>
      </c>
      <c r="B56" s="428" t="s">
        <v>105</v>
      </c>
      <c r="C56" s="427" t="s">
        <v>46</v>
      </c>
      <c r="D56" s="427">
        <v>678.58</v>
      </c>
      <c r="E56" s="427" t="s">
        <v>110</v>
      </c>
      <c r="F56" s="427">
        <v>177.8</v>
      </c>
      <c r="G56" s="427" t="s">
        <v>28</v>
      </c>
      <c r="H56" s="427" t="s">
        <v>52</v>
      </c>
      <c r="I56" s="440">
        <v>529.41</v>
      </c>
      <c r="J56" s="427" t="s">
        <v>240</v>
      </c>
      <c r="K56" s="435">
        <v>268</v>
      </c>
      <c r="L56" s="435">
        <v>0</v>
      </c>
      <c r="M56" s="435">
        <v>1.3</v>
      </c>
      <c r="N56" s="427"/>
      <c r="O56" s="427"/>
      <c r="P56" s="430">
        <v>30.077391883718668</v>
      </c>
      <c r="Q56" s="431">
        <f t="shared" si="9"/>
        <v>0</v>
      </c>
      <c r="R56" s="431">
        <v>0</v>
      </c>
      <c r="S56" s="431">
        <v>0</v>
      </c>
      <c r="T56" s="431">
        <v>0</v>
      </c>
      <c r="U56" s="431">
        <f>IF(R56=0,0,T56/R56)</f>
        <v>0</v>
      </c>
      <c r="V56" s="614">
        <v>0</v>
      </c>
      <c r="W56" s="431">
        <v>0</v>
      </c>
      <c r="X56" s="431">
        <v>0</v>
      </c>
      <c r="Y56" s="431">
        <f t="shared" si="8"/>
        <v>0</v>
      </c>
      <c r="Z56" s="431">
        <f t="shared" si="8"/>
        <v>0</v>
      </c>
      <c r="AA56" s="431">
        <f t="shared" si="8"/>
        <v>0</v>
      </c>
      <c r="AB56" s="431">
        <f t="shared" si="5"/>
        <v>0</v>
      </c>
      <c r="AC56" s="431">
        <f t="shared" si="3"/>
        <v>0</v>
      </c>
      <c r="AD56" s="427">
        <v>0</v>
      </c>
      <c r="AE56" s="431">
        <f t="shared" si="6"/>
        <v>0</v>
      </c>
      <c r="AF56" s="434" t="s">
        <v>335</v>
      </c>
    </row>
    <row r="57" spans="1:32" s="623" customFormat="1" ht="18.95" customHeight="1" x14ac:dyDescent="0.2">
      <c r="A57" s="427">
        <v>44</v>
      </c>
      <c r="B57" s="428" t="s">
        <v>104</v>
      </c>
      <c r="C57" s="427" t="s">
        <v>304</v>
      </c>
      <c r="D57" s="427">
        <v>707.14</v>
      </c>
      <c r="E57" s="427" t="s">
        <v>231</v>
      </c>
      <c r="F57" s="427">
        <v>177.8</v>
      </c>
      <c r="G57" s="427" t="s">
        <v>28</v>
      </c>
      <c r="H57" s="427" t="s">
        <v>52</v>
      </c>
      <c r="I57" s="440">
        <v>629.32000000000005</v>
      </c>
      <c r="J57" s="427">
        <v>125</v>
      </c>
      <c r="K57" s="427"/>
      <c r="L57" s="427">
        <v>75</v>
      </c>
      <c r="M57" s="427"/>
      <c r="N57" s="427">
        <v>1.4</v>
      </c>
      <c r="O57" s="427"/>
      <c r="P57" s="430">
        <v>36.69780043208025</v>
      </c>
      <c r="Q57" s="431">
        <f t="shared" si="9"/>
        <v>27.5</v>
      </c>
      <c r="R57" s="431">
        <v>2.11</v>
      </c>
      <c r="S57" s="431">
        <v>3.3</v>
      </c>
      <c r="T57" s="431">
        <v>20</v>
      </c>
      <c r="U57" s="431">
        <f>IF(T57=0,0,T57/R57)</f>
        <v>9.4786729857819907</v>
      </c>
      <c r="V57" s="431">
        <f t="shared" si="7"/>
        <v>36.060606060606062</v>
      </c>
      <c r="W57" s="431">
        <v>0</v>
      </c>
      <c r="X57" s="431">
        <f>IF(S57=0,0,S57/Q57)</f>
        <v>0.12</v>
      </c>
      <c r="Y57" s="431">
        <f t="shared" si="8"/>
        <v>2.0087199999999998</v>
      </c>
      <c r="Z57" s="431">
        <f t="shared" si="8"/>
        <v>3.1415999999999995</v>
      </c>
      <c r="AA57" s="431">
        <f t="shared" si="8"/>
        <v>19.04</v>
      </c>
      <c r="AB57" s="431">
        <f t="shared" si="5"/>
        <v>9.4786729857819907</v>
      </c>
      <c r="AC57" s="431">
        <f t="shared" si="3"/>
        <v>36.060606060606062</v>
      </c>
      <c r="AD57" s="427">
        <v>31</v>
      </c>
      <c r="AE57" s="431">
        <f t="shared" si="6"/>
        <v>62.270319999999998</v>
      </c>
      <c r="AF57" s="434"/>
    </row>
    <row r="58" spans="1:32" ht="18.95" customHeight="1" x14ac:dyDescent="0.3">
      <c r="A58" s="427">
        <v>45</v>
      </c>
      <c r="B58" s="619" t="s">
        <v>158</v>
      </c>
      <c r="C58" s="427" t="s">
        <v>46</v>
      </c>
      <c r="D58" s="440">
        <v>674.45</v>
      </c>
      <c r="E58" s="440" t="s">
        <v>232</v>
      </c>
      <c r="F58" s="427">
        <v>177.8</v>
      </c>
      <c r="G58" s="427" t="s">
        <v>28</v>
      </c>
      <c r="H58" s="427" t="s">
        <v>52</v>
      </c>
      <c r="I58" s="440">
        <v>543.72</v>
      </c>
      <c r="J58" s="440">
        <v>190</v>
      </c>
      <c r="K58" s="611"/>
      <c r="L58" s="611">
        <v>458</v>
      </c>
      <c r="M58" s="611"/>
      <c r="N58" s="427">
        <v>8.1</v>
      </c>
      <c r="O58" s="440"/>
      <c r="P58" s="620">
        <v>17.699594498341877</v>
      </c>
      <c r="Q58" s="431">
        <f t="shared" si="9"/>
        <v>41.8</v>
      </c>
      <c r="R58" s="431">
        <v>7.16</v>
      </c>
      <c r="S58" s="431">
        <v>10.9</v>
      </c>
      <c r="T58" s="613">
        <v>426</v>
      </c>
      <c r="U58" s="431">
        <f>T58/R58</f>
        <v>59.497206703910614</v>
      </c>
      <c r="V58" s="614">
        <f t="shared" si="7"/>
        <v>34.311926605504588</v>
      </c>
      <c r="W58" s="431">
        <v>0.4</v>
      </c>
      <c r="X58" s="431">
        <f t="shared" ref="X58:X76" si="12">S58/Q58</f>
        <v>0.26076555023923448</v>
      </c>
      <c r="Y58" s="431">
        <f t="shared" si="8"/>
        <v>6.8163200000000002</v>
      </c>
      <c r="Z58" s="431">
        <f t="shared" si="8"/>
        <v>10.376799999999999</v>
      </c>
      <c r="AA58" s="431">
        <f t="shared" si="8"/>
        <v>405.55199999999996</v>
      </c>
      <c r="AB58" s="431">
        <f t="shared" si="5"/>
        <v>59.497206703910614</v>
      </c>
      <c r="AC58" s="431">
        <f t="shared" si="3"/>
        <v>34.311926605504588</v>
      </c>
      <c r="AD58" s="427">
        <v>31</v>
      </c>
      <c r="AE58" s="431">
        <f>Y58*AD58</f>
        <v>211.30592000000001</v>
      </c>
      <c r="AF58" s="624"/>
    </row>
    <row r="59" spans="1:32" ht="18.95" customHeight="1" x14ac:dyDescent="0.2">
      <c r="A59" s="427">
        <v>46</v>
      </c>
      <c r="B59" s="619" t="s">
        <v>160</v>
      </c>
      <c r="C59" s="427" t="s">
        <v>304</v>
      </c>
      <c r="D59" s="440">
        <v>677.33</v>
      </c>
      <c r="E59" s="440" t="s">
        <v>315</v>
      </c>
      <c r="F59" s="427">
        <v>177.8</v>
      </c>
      <c r="G59" s="427" t="s">
        <v>28</v>
      </c>
      <c r="H59" s="427" t="s">
        <v>50</v>
      </c>
      <c r="I59" s="440">
        <v>619</v>
      </c>
      <c r="J59" s="440">
        <v>0</v>
      </c>
      <c r="K59" s="611">
        <v>255</v>
      </c>
      <c r="L59" s="435"/>
      <c r="M59" s="611">
        <v>0</v>
      </c>
      <c r="N59" s="427"/>
      <c r="O59" s="440"/>
      <c r="P59" s="620">
        <v>35.063661587571268</v>
      </c>
      <c r="Q59" s="431">
        <f t="shared" si="9"/>
        <v>0</v>
      </c>
      <c r="R59" s="431">
        <v>0</v>
      </c>
      <c r="S59" s="431">
        <v>0</v>
      </c>
      <c r="T59" s="613">
        <v>0</v>
      </c>
      <c r="U59" s="431">
        <v>0</v>
      </c>
      <c r="V59" s="614">
        <v>0</v>
      </c>
      <c r="W59" s="431">
        <v>0</v>
      </c>
      <c r="X59" s="431">
        <v>0</v>
      </c>
      <c r="Y59" s="431">
        <f t="shared" si="8"/>
        <v>0</v>
      </c>
      <c r="Z59" s="431">
        <f t="shared" si="8"/>
        <v>0</v>
      </c>
      <c r="AA59" s="431">
        <f t="shared" si="8"/>
        <v>0</v>
      </c>
      <c r="AB59" s="431">
        <f t="shared" si="5"/>
        <v>0</v>
      </c>
      <c r="AC59" s="431">
        <f t="shared" si="3"/>
        <v>0</v>
      </c>
      <c r="AD59" s="427">
        <v>0</v>
      </c>
      <c r="AE59" s="431">
        <f>Y59*AD59</f>
        <v>0</v>
      </c>
      <c r="AF59" s="434" t="s">
        <v>334</v>
      </c>
    </row>
    <row r="60" spans="1:32" ht="18.95" customHeight="1" x14ac:dyDescent="0.2">
      <c r="A60" s="427">
        <v>47</v>
      </c>
      <c r="B60" s="428" t="s">
        <v>164</v>
      </c>
      <c r="C60" s="427" t="s">
        <v>46</v>
      </c>
      <c r="D60" s="440">
        <v>678.47</v>
      </c>
      <c r="E60" s="440" t="s">
        <v>233</v>
      </c>
      <c r="F60" s="427">
        <v>177.8</v>
      </c>
      <c r="G60" s="427" t="s">
        <v>28</v>
      </c>
      <c r="H60" s="427" t="s">
        <v>48</v>
      </c>
      <c r="I60" s="440">
        <v>563.11</v>
      </c>
      <c r="J60" s="440">
        <v>160</v>
      </c>
      <c r="K60" s="611"/>
      <c r="L60" s="611">
        <v>426</v>
      </c>
      <c r="M60" s="611"/>
      <c r="N60" s="427">
        <v>2</v>
      </c>
      <c r="O60" s="440"/>
      <c r="P60" s="430">
        <v>14.220339221542325</v>
      </c>
      <c r="Q60" s="431">
        <f t="shared" si="9"/>
        <v>20.8</v>
      </c>
      <c r="R60" s="431">
        <v>4.47</v>
      </c>
      <c r="S60" s="431">
        <v>5.9</v>
      </c>
      <c r="T60" s="431">
        <v>11</v>
      </c>
      <c r="U60" s="431">
        <f t="shared" ref="U60:U64" si="13">T60/R60</f>
        <v>2.4608501118568236</v>
      </c>
      <c r="V60" s="614">
        <f t="shared" si="7"/>
        <v>24.237288135593229</v>
      </c>
      <c r="W60" s="431">
        <v>1.3</v>
      </c>
      <c r="X60" s="431">
        <f t="shared" si="12"/>
        <v>0.28365384615384615</v>
      </c>
      <c r="Y60" s="431">
        <f t="shared" si="8"/>
        <v>4.2554399999999992</v>
      </c>
      <c r="Z60" s="431">
        <f t="shared" si="8"/>
        <v>5.6168000000000005</v>
      </c>
      <c r="AA60" s="431">
        <f t="shared" si="8"/>
        <v>10.472</v>
      </c>
      <c r="AB60" s="431">
        <f t="shared" si="5"/>
        <v>2.4608501118568236</v>
      </c>
      <c r="AC60" s="431">
        <f t="shared" si="3"/>
        <v>24.237288135593229</v>
      </c>
      <c r="AD60" s="427">
        <v>31</v>
      </c>
      <c r="AE60" s="431">
        <f t="shared" ref="AE60:AE75" si="14">Y60*AD60</f>
        <v>131.91863999999998</v>
      </c>
      <c r="AF60" s="434"/>
    </row>
    <row r="61" spans="1:32" ht="18.95" customHeight="1" x14ac:dyDescent="0.2">
      <c r="A61" s="427">
        <v>48</v>
      </c>
      <c r="B61" s="428" t="s">
        <v>61</v>
      </c>
      <c r="C61" s="427" t="s">
        <v>46</v>
      </c>
      <c r="D61" s="427">
        <v>667.18</v>
      </c>
      <c r="E61" s="427" t="s">
        <v>96</v>
      </c>
      <c r="F61" s="427">
        <v>177.8</v>
      </c>
      <c r="G61" s="427" t="s">
        <v>28</v>
      </c>
      <c r="H61" s="427" t="s">
        <v>52</v>
      </c>
      <c r="I61" s="440">
        <v>534.21</v>
      </c>
      <c r="J61" s="427">
        <v>150</v>
      </c>
      <c r="K61" s="435"/>
      <c r="L61" s="435">
        <v>448</v>
      </c>
      <c r="M61" s="435"/>
      <c r="N61" s="427">
        <v>8.3000000000000007</v>
      </c>
      <c r="O61" s="427"/>
      <c r="P61" s="430">
        <v>18.901114805254981</v>
      </c>
      <c r="Q61" s="431">
        <f t="shared" si="9"/>
        <v>33</v>
      </c>
      <c r="R61" s="431">
        <v>9.73</v>
      </c>
      <c r="S61" s="431">
        <v>13.6</v>
      </c>
      <c r="T61" s="431">
        <v>141</v>
      </c>
      <c r="U61" s="431">
        <f t="shared" si="13"/>
        <v>14.491264131551901</v>
      </c>
      <c r="V61" s="614">
        <f t="shared" si="7"/>
        <v>28.45588235294117</v>
      </c>
      <c r="W61" s="431">
        <v>0.5</v>
      </c>
      <c r="X61" s="431">
        <f t="shared" si="12"/>
        <v>0.41212121212121211</v>
      </c>
      <c r="Y61" s="431">
        <f t="shared" si="8"/>
        <v>9.2629599999999996</v>
      </c>
      <c r="Z61" s="431">
        <f t="shared" si="8"/>
        <v>12.947199999999999</v>
      </c>
      <c r="AA61" s="431">
        <f t="shared" si="8"/>
        <v>134.232</v>
      </c>
      <c r="AB61" s="431">
        <f t="shared" si="5"/>
        <v>14.491264131551901</v>
      </c>
      <c r="AC61" s="431">
        <f t="shared" si="3"/>
        <v>28.45588235294117</v>
      </c>
      <c r="AD61" s="427">
        <v>31</v>
      </c>
      <c r="AE61" s="431">
        <f t="shared" si="14"/>
        <v>287.15175999999997</v>
      </c>
      <c r="AF61" s="439"/>
    </row>
    <row r="62" spans="1:32" ht="18.95" customHeight="1" x14ac:dyDescent="0.2">
      <c r="A62" s="427">
        <v>49</v>
      </c>
      <c r="B62" s="428" t="s">
        <v>64</v>
      </c>
      <c r="C62" s="427" t="s">
        <v>46</v>
      </c>
      <c r="D62" s="427">
        <v>672.5</v>
      </c>
      <c r="E62" s="427" t="s">
        <v>234</v>
      </c>
      <c r="F62" s="427">
        <v>177.8</v>
      </c>
      <c r="G62" s="427" t="s">
        <v>28</v>
      </c>
      <c r="H62" s="427" t="s">
        <v>49</v>
      </c>
      <c r="I62" s="440">
        <v>533.70000000000005</v>
      </c>
      <c r="J62" s="427">
        <v>110</v>
      </c>
      <c r="K62" s="427"/>
      <c r="L62" s="427">
        <v>427</v>
      </c>
      <c r="M62" s="427"/>
      <c r="N62" s="427">
        <v>8.5</v>
      </c>
      <c r="O62" s="427"/>
      <c r="P62" s="430">
        <v>21.5532001945313</v>
      </c>
      <c r="Q62" s="431">
        <f t="shared" si="9"/>
        <v>35.200000000000003</v>
      </c>
      <c r="R62" s="431">
        <v>10.74</v>
      </c>
      <c r="S62" s="431">
        <v>15.6</v>
      </c>
      <c r="T62" s="530">
        <v>741</v>
      </c>
      <c r="U62" s="431">
        <f t="shared" si="13"/>
        <v>68.994413407821227</v>
      </c>
      <c r="V62" s="614">
        <f t="shared" si="7"/>
        <v>31.15384615384615</v>
      </c>
      <c r="W62" s="431">
        <v>0.3</v>
      </c>
      <c r="X62" s="431">
        <f t="shared" si="12"/>
        <v>0.44318181818181812</v>
      </c>
      <c r="Y62" s="431">
        <f t="shared" si="8"/>
        <v>10.22448</v>
      </c>
      <c r="Z62" s="431">
        <f t="shared" si="8"/>
        <v>14.851199999999999</v>
      </c>
      <c r="AA62" s="530">
        <f t="shared" si="8"/>
        <v>705.43200000000002</v>
      </c>
      <c r="AB62" s="431">
        <f t="shared" si="5"/>
        <v>68.994413407821227</v>
      </c>
      <c r="AC62" s="431">
        <f t="shared" si="3"/>
        <v>31.15384615384615</v>
      </c>
      <c r="AD62" s="427">
        <v>31</v>
      </c>
      <c r="AE62" s="431">
        <f t="shared" si="14"/>
        <v>316.95888000000002</v>
      </c>
      <c r="AF62" s="439"/>
    </row>
    <row r="63" spans="1:32" ht="18.95" customHeight="1" x14ac:dyDescent="0.2">
      <c r="A63" s="427">
        <v>50</v>
      </c>
      <c r="B63" s="428" t="s">
        <v>156</v>
      </c>
      <c r="C63" s="427" t="s">
        <v>46</v>
      </c>
      <c r="D63" s="427">
        <v>679.54</v>
      </c>
      <c r="E63" s="427" t="s">
        <v>166</v>
      </c>
      <c r="F63" s="427">
        <v>177.8</v>
      </c>
      <c r="G63" s="427" t="s">
        <v>28</v>
      </c>
      <c r="H63" s="427" t="s">
        <v>52</v>
      </c>
      <c r="I63" s="440">
        <v>530.98</v>
      </c>
      <c r="J63" s="427">
        <v>180</v>
      </c>
      <c r="K63" s="427"/>
      <c r="L63" s="427">
        <v>454</v>
      </c>
      <c r="M63" s="427"/>
      <c r="N63" s="427">
        <v>7.3</v>
      </c>
      <c r="O63" s="427"/>
      <c r="P63" s="430">
        <v>16.955002306100326</v>
      </c>
      <c r="Q63" s="431">
        <f t="shared" si="9"/>
        <v>39.6</v>
      </c>
      <c r="R63" s="431">
        <v>7.28</v>
      </c>
      <c r="S63" s="431">
        <v>11.2</v>
      </c>
      <c r="T63" s="431">
        <v>137</v>
      </c>
      <c r="U63" s="431">
        <f t="shared" si="13"/>
        <v>18.818681318681318</v>
      </c>
      <c r="V63" s="614">
        <f t="shared" si="7"/>
        <v>34.999999999999993</v>
      </c>
      <c r="W63" s="431">
        <v>0.3</v>
      </c>
      <c r="X63" s="431">
        <f t="shared" si="12"/>
        <v>0.28282828282828282</v>
      </c>
      <c r="Y63" s="431">
        <f>R63*0.952</f>
        <v>6.9305599999999998</v>
      </c>
      <c r="Z63" s="431">
        <f t="shared" si="8"/>
        <v>10.662399999999998</v>
      </c>
      <c r="AA63" s="431">
        <f t="shared" si="8"/>
        <v>130.42400000000001</v>
      </c>
      <c r="AB63" s="431">
        <f t="shared" si="5"/>
        <v>18.818681318681318</v>
      </c>
      <c r="AC63" s="431">
        <f t="shared" si="3"/>
        <v>34.999999999999993</v>
      </c>
      <c r="AD63" s="427">
        <v>31</v>
      </c>
      <c r="AE63" s="431">
        <f t="shared" si="14"/>
        <v>214.84735999999998</v>
      </c>
      <c r="AF63" s="439"/>
    </row>
    <row r="64" spans="1:32" ht="18.95" customHeight="1" x14ac:dyDescent="0.2">
      <c r="A64" s="427">
        <v>51</v>
      </c>
      <c r="B64" s="428" t="s">
        <v>169</v>
      </c>
      <c r="C64" s="427" t="s">
        <v>46</v>
      </c>
      <c r="D64" s="427">
        <v>673</v>
      </c>
      <c r="E64" s="427" t="s">
        <v>170</v>
      </c>
      <c r="F64" s="427">
        <v>177.8</v>
      </c>
      <c r="G64" s="427" t="s">
        <v>28</v>
      </c>
      <c r="H64" s="427" t="s">
        <v>52</v>
      </c>
      <c r="I64" s="440">
        <v>541.48</v>
      </c>
      <c r="J64" s="427">
        <v>85</v>
      </c>
      <c r="K64" s="427"/>
      <c r="L64" s="427">
        <v>409</v>
      </c>
      <c r="M64" s="427"/>
      <c r="N64" s="427">
        <v>8.1</v>
      </c>
      <c r="O64" s="427"/>
      <c r="P64" s="430">
        <v>16.424768494538675</v>
      </c>
      <c r="Q64" s="431">
        <f t="shared" si="9"/>
        <v>18.7</v>
      </c>
      <c r="R64" s="431">
        <v>4.33</v>
      </c>
      <c r="S64" s="431">
        <v>5.3</v>
      </c>
      <c r="T64" s="431">
        <v>80</v>
      </c>
      <c r="U64" s="431">
        <f t="shared" si="13"/>
        <v>18.475750577367204</v>
      </c>
      <c r="V64" s="614">
        <f t="shared" si="7"/>
        <v>18.301886792452827</v>
      </c>
      <c r="W64" s="431">
        <v>0.4</v>
      </c>
      <c r="X64" s="431">
        <f t="shared" si="12"/>
        <v>0.28342245989304815</v>
      </c>
      <c r="Y64" s="431">
        <f t="shared" si="8"/>
        <v>4.12216</v>
      </c>
      <c r="Z64" s="431">
        <f t="shared" si="8"/>
        <v>5.0455999999999994</v>
      </c>
      <c r="AA64" s="431">
        <f t="shared" si="8"/>
        <v>76.16</v>
      </c>
      <c r="AB64" s="431">
        <f t="shared" si="5"/>
        <v>18.475750577367204</v>
      </c>
      <c r="AC64" s="431">
        <f t="shared" si="3"/>
        <v>18.301886792452827</v>
      </c>
      <c r="AD64" s="427">
        <v>31</v>
      </c>
      <c r="AE64" s="431">
        <f>Y64*AD64</f>
        <v>127.78696000000001</v>
      </c>
      <c r="AF64" s="439"/>
    </row>
    <row r="65" spans="1:32" ht="18.95" customHeight="1" x14ac:dyDescent="0.2">
      <c r="A65" s="427">
        <v>52</v>
      </c>
      <c r="B65" s="428" t="s">
        <v>62</v>
      </c>
      <c r="C65" s="427" t="s">
        <v>46</v>
      </c>
      <c r="D65" s="427">
        <v>673.73</v>
      </c>
      <c r="E65" s="427" t="s">
        <v>97</v>
      </c>
      <c r="F65" s="427">
        <v>177.8</v>
      </c>
      <c r="G65" s="427" t="s">
        <v>28</v>
      </c>
      <c r="H65" s="427" t="s">
        <v>218</v>
      </c>
      <c r="I65" s="440">
        <v>543</v>
      </c>
      <c r="J65" s="427">
        <v>175</v>
      </c>
      <c r="K65" s="427"/>
      <c r="L65" s="427">
        <v>450</v>
      </c>
      <c r="M65" s="427"/>
      <c r="N65" s="427">
        <v>5.3</v>
      </c>
      <c r="O65" s="427"/>
      <c r="P65" s="430">
        <v>15.334359965097956</v>
      </c>
      <c r="Q65" s="431">
        <f t="shared" si="9"/>
        <v>56</v>
      </c>
      <c r="R65" s="431">
        <v>10.039999999999999</v>
      </c>
      <c r="S65" s="431">
        <v>13.6</v>
      </c>
      <c r="T65" s="431">
        <v>211</v>
      </c>
      <c r="U65" s="431">
        <f t="shared" si="1"/>
        <v>21.015936254980083</v>
      </c>
      <c r="V65" s="614">
        <f t="shared" si="7"/>
        <v>26.176470588235301</v>
      </c>
      <c r="W65" s="431">
        <v>0.9</v>
      </c>
      <c r="X65" s="431">
        <f t="shared" si="12"/>
        <v>0.24285714285714285</v>
      </c>
      <c r="Y65" s="431">
        <f t="shared" si="8"/>
        <v>9.5580799999999986</v>
      </c>
      <c r="Z65" s="431">
        <f t="shared" si="8"/>
        <v>12.947199999999999</v>
      </c>
      <c r="AA65" s="431">
        <f t="shared" si="8"/>
        <v>200.87199999999999</v>
      </c>
      <c r="AB65" s="431">
        <f t="shared" si="5"/>
        <v>21.015936254980083</v>
      </c>
      <c r="AC65" s="431">
        <f t="shared" si="3"/>
        <v>26.176470588235301</v>
      </c>
      <c r="AD65" s="427">
        <v>31</v>
      </c>
      <c r="AE65" s="431">
        <f t="shared" si="14"/>
        <v>296.30047999999994</v>
      </c>
      <c r="AF65" s="434"/>
    </row>
    <row r="66" spans="1:32" ht="18.95" customHeight="1" x14ac:dyDescent="0.2">
      <c r="A66" s="427">
        <v>53</v>
      </c>
      <c r="B66" s="428" t="s">
        <v>157</v>
      </c>
      <c r="C66" s="427" t="s">
        <v>46</v>
      </c>
      <c r="D66" s="427">
        <v>676.73</v>
      </c>
      <c r="E66" s="427" t="s">
        <v>179</v>
      </c>
      <c r="F66" s="427">
        <v>177.8</v>
      </c>
      <c r="G66" s="427" t="s">
        <v>28</v>
      </c>
      <c r="H66" s="427" t="s">
        <v>218</v>
      </c>
      <c r="I66" s="440">
        <v>579.14</v>
      </c>
      <c r="J66" s="427">
        <v>130</v>
      </c>
      <c r="K66" s="427"/>
      <c r="L66" s="427">
        <v>127</v>
      </c>
      <c r="M66" s="427"/>
      <c r="N66" s="427">
        <v>7.4</v>
      </c>
      <c r="O66" s="427"/>
      <c r="P66" s="430">
        <v>49.383493976691568</v>
      </c>
      <c r="Q66" s="431">
        <f t="shared" si="9"/>
        <v>41.6</v>
      </c>
      <c r="R66" s="431">
        <v>5.45</v>
      </c>
      <c r="S66" s="431">
        <v>37.700000000000003</v>
      </c>
      <c r="T66" s="431">
        <v>150</v>
      </c>
      <c r="U66" s="431">
        <f t="shared" si="1"/>
        <v>27.522935779816514</v>
      </c>
      <c r="V66" s="614">
        <f t="shared" si="7"/>
        <v>85.543766578249318</v>
      </c>
      <c r="W66" s="431">
        <v>0.8</v>
      </c>
      <c r="X66" s="431">
        <f t="shared" si="12"/>
        <v>0.90625</v>
      </c>
      <c r="Y66" s="431">
        <f>R66*0.952</f>
        <v>5.1883999999999997</v>
      </c>
      <c r="Z66" s="431">
        <f t="shared" si="8"/>
        <v>35.8904</v>
      </c>
      <c r="AA66" s="431">
        <f t="shared" si="8"/>
        <v>142.79999999999998</v>
      </c>
      <c r="AB66" s="431">
        <f t="shared" si="5"/>
        <v>27.522935779816514</v>
      </c>
      <c r="AC66" s="431">
        <f t="shared" si="3"/>
        <v>85.543766578249318</v>
      </c>
      <c r="AD66" s="427">
        <v>31</v>
      </c>
      <c r="AE66" s="431">
        <f t="shared" si="14"/>
        <v>160.84039999999999</v>
      </c>
      <c r="AF66" s="459"/>
    </row>
    <row r="67" spans="1:32" ht="18.95" customHeight="1" x14ac:dyDescent="0.2">
      <c r="A67" s="427">
        <v>54</v>
      </c>
      <c r="B67" s="428" t="s">
        <v>159</v>
      </c>
      <c r="C67" s="427" t="s">
        <v>46</v>
      </c>
      <c r="D67" s="427">
        <v>676</v>
      </c>
      <c r="E67" s="427" t="s">
        <v>167</v>
      </c>
      <c r="F67" s="427">
        <v>177.8</v>
      </c>
      <c r="G67" s="427" t="s">
        <v>28</v>
      </c>
      <c r="H67" s="427" t="s">
        <v>218</v>
      </c>
      <c r="I67" s="440">
        <v>508.57</v>
      </c>
      <c r="J67" s="427">
        <v>260</v>
      </c>
      <c r="K67" s="427"/>
      <c r="L67" s="427">
        <v>465</v>
      </c>
      <c r="M67" s="427"/>
      <c r="N67" s="427">
        <v>9.1999999999999993</v>
      </c>
      <c r="O67" s="427"/>
      <c r="P67" s="430">
        <v>14.272399729665304</v>
      </c>
      <c r="Q67" s="431">
        <f t="shared" si="9"/>
        <v>83.2</v>
      </c>
      <c r="R67" s="431">
        <v>29.52</v>
      </c>
      <c r="S67" s="431">
        <v>37.4</v>
      </c>
      <c r="T67" s="431">
        <v>866</v>
      </c>
      <c r="U67" s="431">
        <f t="shared" si="1"/>
        <v>29.336043360433603</v>
      </c>
      <c r="V67" s="614">
        <f t="shared" si="7"/>
        <v>21.069518716577537</v>
      </c>
      <c r="W67" s="431">
        <v>0.3</v>
      </c>
      <c r="X67" s="431">
        <f t="shared" si="12"/>
        <v>0.44951923076923073</v>
      </c>
      <c r="Y67" s="431">
        <f t="shared" si="8"/>
        <v>28.10304</v>
      </c>
      <c r="Z67" s="431">
        <f t="shared" si="8"/>
        <v>35.604799999999997</v>
      </c>
      <c r="AA67" s="431">
        <f t="shared" si="8"/>
        <v>824.43200000000002</v>
      </c>
      <c r="AB67" s="431">
        <f t="shared" si="5"/>
        <v>29.336043360433603</v>
      </c>
      <c r="AC67" s="431">
        <f t="shared" si="3"/>
        <v>21.069518716577537</v>
      </c>
      <c r="AD67" s="427">
        <v>31</v>
      </c>
      <c r="AE67" s="431">
        <f t="shared" si="14"/>
        <v>871.19424000000004</v>
      </c>
      <c r="AF67" s="434"/>
    </row>
    <row r="68" spans="1:32" ht="18.95" customHeight="1" x14ac:dyDescent="0.2">
      <c r="A68" s="427">
        <v>55</v>
      </c>
      <c r="B68" s="428" t="s">
        <v>330</v>
      </c>
      <c r="C68" s="427" t="s">
        <v>46</v>
      </c>
      <c r="D68" s="427">
        <v>595</v>
      </c>
      <c r="E68" s="427" t="s">
        <v>367</v>
      </c>
      <c r="F68" s="427">
        <v>178.8</v>
      </c>
      <c r="G68" s="427" t="s">
        <v>28</v>
      </c>
      <c r="H68" s="240" t="s">
        <v>366</v>
      </c>
      <c r="I68" s="440">
        <v>505</v>
      </c>
      <c r="J68" s="427">
        <v>95</v>
      </c>
      <c r="K68" s="427"/>
      <c r="L68" s="427">
        <v>186</v>
      </c>
      <c r="M68" s="427"/>
      <c r="N68" s="427">
        <v>10.8</v>
      </c>
      <c r="O68" s="427"/>
      <c r="P68" s="430">
        <v>21.438195166605201</v>
      </c>
      <c r="Q68" s="431">
        <f>33*J68/100</f>
        <v>31.35</v>
      </c>
      <c r="R68" s="431">
        <v>25.36</v>
      </c>
      <c r="S68" s="431">
        <v>27.2</v>
      </c>
      <c r="T68" s="431">
        <v>396</v>
      </c>
      <c r="U68" s="431">
        <f t="shared" si="1"/>
        <v>15.615141955835963</v>
      </c>
      <c r="V68" s="614">
        <f t="shared" si="7"/>
        <v>6.7647058823529411</v>
      </c>
      <c r="W68" s="431">
        <v>0.4</v>
      </c>
      <c r="X68" s="431">
        <f>S68/Q68</f>
        <v>0.86762360446570963</v>
      </c>
      <c r="Y68" s="431">
        <v>25</v>
      </c>
      <c r="Z68" s="431">
        <v>30</v>
      </c>
      <c r="AA68" s="431">
        <v>500</v>
      </c>
      <c r="AB68" s="431">
        <v>20</v>
      </c>
      <c r="AC68" s="431">
        <v>17</v>
      </c>
      <c r="AD68" s="427">
        <v>31</v>
      </c>
      <c r="AE68" s="431">
        <f t="shared" si="14"/>
        <v>775</v>
      </c>
      <c r="AF68" s="434"/>
    </row>
    <row r="69" spans="1:32" ht="18.95" customHeight="1" x14ac:dyDescent="0.2">
      <c r="A69" s="427">
        <v>56</v>
      </c>
      <c r="B69" s="428" t="s">
        <v>210</v>
      </c>
      <c r="C69" s="427" t="s">
        <v>46</v>
      </c>
      <c r="D69" s="427">
        <v>728.32</v>
      </c>
      <c r="E69" s="427" t="s">
        <v>226</v>
      </c>
      <c r="F69" s="427">
        <v>177.8</v>
      </c>
      <c r="G69" s="427" t="s">
        <v>28</v>
      </c>
      <c r="H69" s="427" t="s">
        <v>218</v>
      </c>
      <c r="I69" s="440">
        <v>519.38</v>
      </c>
      <c r="J69" s="427">
        <v>200</v>
      </c>
      <c r="K69" s="427"/>
      <c r="L69" s="427">
        <v>437</v>
      </c>
      <c r="M69" s="427"/>
      <c r="N69" s="427">
        <v>10.6</v>
      </c>
      <c r="O69" s="427"/>
      <c r="P69" s="430">
        <v>17.814802183713002</v>
      </c>
      <c r="Q69" s="431">
        <f t="shared" si="9"/>
        <v>64</v>
      </c>
      <c r="R69" s="431">
        <v>21.53</v>
      </c>
      <c r="S69" s="431">
        <v>24.9</v>
      </c>
      <c r="T69" s="431">
        <v>626</v>
      </c>
      <c r="U69" s="431">
        <f>T69/R69</f>
        <v>29.075708313980492</v>
      </c>
      <c r="V69" s="614">
        <f t="shared" si="7"/>
        <v>13.53413654618473</v>
      </c>
      <c r="W69" s="431">
        <v>0.4</v>
      </c>
      <c r="X69" s="431">
        <f t="shared" si="12"/>
        <v>0.38906249999999998</v>
      </c>
      <c r="Y69" s="431">
        <f t="shared" si="8"/>
        <v>20.496559999999999</v>
      </c>
      <c r="Z69" s="431">
        <f t="shared" si="8"/>
        <v>23.704799999999999</v>
      </c>
      <c r="AA69" s="431">
        <f t="shared" si="8"/>
        <v>595.952</v>
      </c>
      <c r="AB69" s="431">
        <f t="shared" si="5"/>
        <v>29.075708313980492</v>
      </c>
      <c r="AC69" s="431">
        <f t="shared" si="3"/>
        <v>13.53413654618473</v>
      </c>
      <c r="AD69" s="427">
        <v>31</v>
      </c>
      <c r="AE69" s="431">
        <f t="shared" si="14"/>
        <v>635.39335999999992</v>
      </c>
      <c r="AF69" s="439"/>
    </row>
    <row r="70" spans="1:32" ht="18.95" customHeight="1" x14ac:dyDescent="0.2">
      <c r="A70" s="427">
        <v>57</v>
      </c>
      <c r="B70" s="428" t="s">
        <v>63</v>
      </c>
      <c r="C70" s="427" t="s">
        <v>46</v>
      </c>
      <c r="D70" s="427">
        <v>672.99</v>
      </c>
      <c r="E70" s="427" t="s">
        <v>98</v>
      </c>
      <c r="F70" s="427">
        <v>177.8</v>
      </c>
      <c r="G70" s="427" t="s">
        <v>28</v>
      </c>
      <c r="H70" s="427" t="s">
        <v>310</v>
      </c>
      <c r="I70" s="440">
        <v>536.32000000000005</v>
      </c>
      <c r="J70" s="427">
        <v>230</v>
      </c>
      <c r="K70" s="427"/>
      <c r="L70" s="427">
        <v>377</v>
      </c>
      <c r="M70" s="427"/>
      <c r="N70" s="427">
        <v>9.5</v>
      </c>
      <c r="O70" s="427"/>
      <c r="P70" s="430">
        <v>26.80531771988143</v>
      </c>
      <c r="Q70" s="431">
        <f t="shared" si="9"/>
        <v>50.6</v>
      </c>
      <c r="R70" s="431">
        <v>14.17</v>
      </c>
      <c r="S70" s="431">
        <v>19.2</v>
      </c>
      <c r="T70" s="431">
        <v>899</v>
      </c>
      <c r="U70" s="431">
        <f t="shared" si="1"/>
        <v>63.443895553987296</v>
      </c>
      <c r="V70" s="614">
        <f t="shared" si="7"/>
        <v>26.197916666666664</v>
      </c>
      <c r="W70" s="431">
        <v>1.2</v>
      </c>
      <c r="X70" s="431">
        <f t="shared" si="12"/>
        <v>0.37944664031620551</v>
      </c>
      <c r="Y70" s="431">
        <f t="shared" si="8"/>
        <v>13.489839999999999</v>
      </c>
      <c r="Z70" s="431">
        <f t="shared" si="8"/>
        <v>18.278399999999998</v>
      </c>
      <c r="AA70" s="431">
        <f t="shared" si="8"/>
        <v>855.84799999999996</v>
      </c>
      <c r="AB70" s="431">
        <f t="shared" si="5"/>
        <v>63.443895553987296</v>
      </c>
      <c r="AC70" s="431">
        <f t="shared" si="3"/>
        <v>26.197916666666664</v>
      </c>
      <c r="AD70" s="427">
        <v>31</v>
      </c>
      <c r="AE70" s="431">
        <f t="shared" si="14"/>
        <v>418.18503999999996</v>
      </c>
      <c r="AF70" s="439"/>
    </row>
    <row r="71" spans="1:32" ht="18.95" customHeight="1" x14ac:dyDescent="0.2">
      <c r="A71" s="427">
        <v>58</v>
      </c>
      <c r="B71" s="428" t="s">
        <v>217</v>
      </c>
      <c r="C71" s="427" t="s">
        <v>46</v>
      </c>
      <c r="D71" s="427">
        <v>684.57</v>
      </c>
      <c r="E71" s="427" t="s">
        <v>359</v>
      </c>
      <c r="F71" s="427">
        <v>177.8</v>
      </c>
      <c r="G71" s="427" t="s">
        <v>28</v>
      </c>
      <c r="H71" s="427" t="s">
        <v>219</v>
      </c>
      <c r="I71" s="440">
        <v>555.95000000000005</v>
      </c>
      <c r="J71" s="427">
        <v>230</v>
      </c>
      <c r="K71" s="427"/>
      <c r="L71" s="427">
        <v>393</v>
      </c>
      <c r="M71" s="427"/>
      <c r="N71" s="427">
        <v>10.5</v>
      </c>
      <c r="O71" s="427"/>
      <c r="P71" s="430">
        <v>34.567554831428531</v>
      </c>
      <c r="Q71" s="431">
        <f t="shared" si="9"/>
        <v>27.6</v>
      </c>
      <c r="R71" s="431">
        <v>0.89</v>
      </c>
      <c r="S71" s="431">
        <v>15.5</v>
      </c>
      <c r="T71" s="431">
        <v>135</v>
      </c>
      <c r="U71" s="431">
        <f t="shared" si="1"/>
        <v>151.68539325842696</v>
      </c>
      <c r="V71" s="614">
        <f t="shared" si="7"/>
        <v>94.258064516129025</v>
      </c>
      <c r="W71" s="431">
        <v>0</v>
      </c>
      <c r="X71" s="431">
        <f>S71/Q71</f>
        <v>0.56159420289855067</v>
      </c>
      <c r="Y71" s="431">
        <f t="shared" si="8"/>
        <v>0.84727999999999992</v>
      </c>
      <c r="Z71" s="431">
        <f t="shared" si="8"/>
        <v>14.756</v>
      </c>
      <c r="AA71" s="431">
        <f t="shared" si="8"/>
        <v>128.51999999999998</v>
      </c>
      <c r="AB71" s="431">
        <v>0</v>
      </c>
      <c r="AC71" s="431">
        <f t="shared" si="3"/>
        <v>94.258064516129025</v>
      </c>
      <c r="AD71" s="427">
        <v>31</v>
      </c>
      <c r="AE71" s="431">
        <f t="shared" si="14"/>
        <v>26.265679999999996</v>
      </c>
      <c r="AF71" s="439"/>
    </row>
    <row r="72" spans="1:32" ht="18.95" customHeight="1" x14ac:dyDescent="0.2">
      <c r="A72" s="427">
        <v>59</v>
      </c>
      <c r="B72" s="428" t="s">
        <v>211</v>
      </c>
      <c r="C72" s="427" t="s">
        <v>46</v>
      </c>
      <c r="D72" s="427">
        <v>675.29</v>
      </c>
      <c r="E72" s="427" t="s">
        <v>224</v>
      </c>
      <c r="F72" s="427">
        <v>177.8</v>
      </c>
      <c r="G72" s="427" t="s">
        <v>28</v>
      </c>
      <c r="H72" s="427" t="s">
        <v>52</v>
      </c>
      <c r="I72" s="440">
        <v>560.29</v>
      </c>
      <c r="J72" s="427">
        <v>140</v>
      </c>
      <c r="K72" s="427"/>
      <c r="L72" s="427">
        <v>441</v>
      </c>
      <c r="M72" s="427"/>
      <c r="N72" s="427">
        <v>1.8</v>
      </c>
      <c r="O72" s="427"/>
      <c r="P72" s="430">
        <v>14.667500767398145</v>
      </c>
      <c r="Q72" s="431">
        <f>LEFT(H72,(FIND("K",H72,1)-1))*J72/100</f>
        <v>30.8</v>
      </c>
      <c r="R72" s="431">
        <v>3.43</v>
      </c>
      <c r="S72" s="431">
        <v>4.2</v>
      </c>
      <c r="T72" s="431">
        <v>25</v>
      </c>
      <c r="U72" s="431">
        <f t="shared" si="1"/>
        <v>7.2886297376093294</v>
      </c>
      <c r="V72" s="614">
        <f t="shared" si="7"/>
        <v>18.333333333333332</v>
      </c>
      <c r="W72" s="431">
        <v>0.9</v>
      </c>
      <c r="X72" s="431">
        <f t="shared" si="12"/>
        <v>0.13636363636363635</v>
      </c>
      <c r="Y72" s="431">
        <f t="shared" si="8"/>
        <v>3.2653599999999998</v>
      </c>
      <c r="Z72" s="431">
        <f t="shared" si="8"/>
        <v>3.9984000000000002</v>
      </c>
      <c r="AA72" s="431">
        <f t="shared" si="8"/>
        <v>23.799999999999997</v>
      </c>
      <c r="AB72" s="431">
        <f t="shared" si="5"/>
        <v>7.2886297376093294</v>
      </c>
      <c r="AC72" s="431">
        <f t="shared" si="3"/>
        <v>18.333333333333332</v>
      </c>
      <c r="AD72" s="427">
        <v>31</v>
      </c>
      <c r="AE72" s="431">
        <f t="shared" si="14"/>
        <v>101.22615999999999</v>
      </c>
      <c r="AF72" s="439"/>
    </row>
    <row r="73" spans="1:32" ht="18.95" customHeight="1" x14ac:dyDescent="0.2">
      <c r="A73" s="427">
        <v>60</v>
      </c>
      <c r="B73" s="428" t="s">
        <v>341</v>
      </c>
      <c r="C73" s="427" t="s">
        <v>46</v>
      </c>
      <c r="D73" s="427">
        <v>683.16</v>
      </c>
      <c r="E73" s="427" t="s">
        <v>343</v>
      </c>
      <c r="F73" s="427">
        <v>177.8</v>
      </c>
      <c r="G73" s="427" t="s">
        <v>28</v>
      </c>
      <c r="H73" s="625" t="s">
        <v>342</v>
      </c>
      <c r="I73" s="440">
        <v>571.9</v>
      </c>
      <c r="J73" s="427">
        <v>115</v>
      </c>
      <c r="K73" s="427"/>
      <c r="L73" s="427">
        <v>121</v>
      </c>
      <c r="M73" s="427"/>
      <c r="N73" s="427">
        <v>5.7</v>
      </c>
      <c r="O73" s="427"/>
      <c r="P73" s="430">
        <v>45.492009280464899</v>
      </c>
      <c r="Q73" s="431">
        <f>20*J73/100</f>
        <v>23</v>
      </c>
      <c r="R73" s="431">
        <v>17.7</v>
      </c>
      <c r="S73" s="431">
        <v>25</v>
      </c>
      <c r="T73" s="431">
        <v>225</v>
      </c>
      <c r="U73" s="431">
        <f t="shared" si="1"/>
        <v>12.711864406779661</v>
      </c>
      <c r="V73" s="614">
        <f t="shared" si="7"/>
        <v>29.200000000000003</v>
      </c>
      <c r="W73" s="431">
        <v>0.3</v>
      </c>
      <c r="X73" s="431">
        <f t="shared" si="12"/>
        <v>1.0869565217391304</v>
      </c>
      <c r="Y73" s="431">
        <f t="shared" si="8"/>
        <v>16.850399999999997</v>
      </c>
      <c r="Z73" s="431">
        <f t="shared" si="8"/>
        <v>23.799999999999997</v>
      </c>
      <c r="AA73" s="431">
        <f t="shared" si="8"/>
        <v>214.2</v>
      </c>
      <c r="AB73" s="431">
        <f t="shared" si="5"/>
        <v>12.711864406779661</v>
      </c>
      <c r="AC73" s="431">
        <f t="shared" si="3"/>
        <v>29.200000000000003</v>
      </c>
      <c r="AD73" s="427">
        <v>31</v>
      </c>
      <c r="AE73" s="431">
        <f t="shared" si="14"/>
        <v>522.36239999999987</v>
      </c>
      <c r="AF73" s="439"/>
    </row>
    <row r="74" spans="1:32" ht="18.95" customHeight="1" x14ac:dyDescent="0.3">
      <c r="A74" s="427">
        <v>61</v>
      </c>
      <c r="B74" s="428" t="s">
        <v>354</v>
      </c>
      <c r="C74" s="427" t="s">
        <v>46</v>
      </c>
      <c r="D74" s="427">
        <v>634.29</v>
      </c>
      <c r="E74" s="593" t="s">
        <v>356</v>
      </c>
      <c r="F74" s="427">
        <v>178.8</v>
      </c>
      <c r="G74" s="427" t="s">
        <v>28</v>
      </c>
      <c r="H74" s="240" t="s">
        <v>365</v>
      </c>
      <c r="I74" s="440">
        <v>541.75</v>
      </c>
      <c r="J74" s="427">
        <v>110</v>
      </c>
      <c r="K74" s="427"/>
      <c r="L74" s="427">
        <v>335</v>
      </c>
      <c r="M74" s="427"/>
      <c r="N74" s="427">
        <v>9.8000000000000007</v>
      </c>
      <c r="O74" s="427"/>
      <c r="P74" s="430">
        <v>16.375874423935365</v>
      </c>
      <c r="Q74" s="431">
        <f>20*J74/100</f>
        <v>22</v>
      </c>
      <c r="R74" s="431">
        <v>12.18</v>
      </c>
      <c r="S74" s="431">
        <v>22.3</v>
      </c>
      <c r="T74" s="431">
        <v>436</v>
      </c>
      <c r="U74" s="431">
        <f t="shared" si="1"/>
        <v>35.79638752052545</v>
      </c>
      <c r="V74" s="614">
        <f t="shared" si="7"/>
        <v>45.381165919282509</v>
      </c>
      <c r="W74" s="431">
        <v>0.7</v>
      </c>
      <c r="X74" s="431">
        <f t="shared" si="12"/>
        <v>1.0136363636363637</v>
      </c>
      <c r="Y74" s="431">
        <f t="shared" si="8"/>
        <v>11.595359999999999</v>
      </c>
      <c r="Z74" s="431">
        <f t="shared" si="8"/>
        <v>21.229600000000001</v>
      </c>
      <c r="AA74" s="431">
        <f t="shared" si="8"/>
        <v>415.072</v>
      </c>
      <c r="AB74" s="431">
        <f t="shared" si="5"/>
        <v>35.79638752052545</v>
      </c>
      <c r="AC74" s="431">
        <f t="shared" si="3"/>
        <v>45.381165919282509</v>
      </c>
      <c r="AD74" s="427">
        <v>0</v>
      </c>
      <c r="AE74" s="431">
        <f t="shared" si="14"/>
        <v>0</v>
      </c>
      <c r="AF74" s="439"/>
    </row>
    <row r="75" spans="1:32" ht="18.95" customHeight="1" x14ac:dyDescent="0.2">
      <c r="A75" s="427">
        <v>62</v>
      </c>
      <c r="B75" s="428" t="s">
        <v>213</v>
      </c>
      <c r="C75" s="427" t="s">
        <v>46</v>
      </c>
      <c r="D75" s="427">
        <v>679.2</v>
      </c>
      <c r="E75" s="427" t="s">
        <v>225</v>
      </c>
      <c r="F75" s="427">
        <v>177.8</v>
      </c>
      <c r="G75" s="427" t="s">
        <v>28</v>
      </c>
      <c r="H75" s="427" t="s">
        <v>48</v>
      </c>
      <c r="I75" s="440">
        <v>559.19000000000005</v>
      </c>
      <c r="J75" s="427">
        <v>100</v>
      </c>
      <c r="K75" s="427"/>
      <c r="L75" s="427">
        <v>476</v>
      </c>
      <c r="M75" s="427"/>
      <c r="N75" s="427">
        <v>3.5</v>
      </c>
      <c r="O75" s="427"/>
      <c r="P75" s="430">
        <v>13.080189557008001</v>
      </c>
      <c r="Q75" s="431">
        <f t="shared" si="9"/>
        <v>13</v>
      </c>
      <c r="R75" s="431">
        <v>1.5</v>
      </c>
      <c r="S75" s="431">
        <v>4.4000000000000004</v>
      </c>
      <c r="T75" s="431">
        <v>14</v>
      </c>
      <c r="U75" s="431">
        <f t="shared" si="1"/>
        <v>9.3333333333333339</v>
      </c>
      <c r="V75" s="614">
        <f t="shared" si="7"/>
        <v>65.909090909090921</v>
      </c>
      <c r="W75" s="431">
        <v>0.8</v>
      </c>
      <c r="X75" s="431">
        <f t="shared" si="12"/>
        <v>0.33846153846153848</v>
      </c>
      <c r="Y75" s="431">
        <f t="shared" si="8"/>
        <v>1.4279999999999999</v>
      </c>
      <c r="Z75" s="431">
        <f t="shared" si="8"/>
        <v>4.1888000000000005</v>
      </c>
      <c r="AA75" s="431">
        <f t="shared" si="8"/>
        <v>13.327999999999999</v>
      </c>
      <c r="AB75" s="431">
        <f t="shared" si="5"/>
        <v>9.3333333333333339</v>
      </c>
      <c r="AC75" s="431">
        <f t="shared" si="3"/>
        <v>65.909090909090921</v>
      </c>
      <c r="AD75" s="427">
        <v>31</v>
      </c>
      <c r="AE75" s="431">
        <f t="shared" si="14"/>
        <v>44.268000000000001</v>
      </c>
      <c r="AF75" s="439"/>
    </row>
    <row r="76" spans="1:32" ht="18.95" customHeight="1" x14ac:dyDescent="0.2">
      <c r="A76" s="427">
        <v>63</v>
      </c>
      <c r="B76" s="428" t="s">
        <v>172</v>
      </c>
      <c r="C76" s="427" t="s">
        <v>46</v>
      </c>
      <c r="D76" s="427">
        <v>673</v>
      </c>
      <c r="E76" s="427" t="s">
        <v>173</v>
      </c>
      <c r="F76" s="427">
        <v>177.8</v>
      </c>
      <c r="G76" s="427" t="s">
        <v>28</v>
      </c>
      <c r="H76" s="427" t="s">
        <v>50</v>
      </c>
      <c r="I76" s="440">
        <v>560.79</v>
      </c>
      <c r="J76" s="427">
        <v>250</v>
      </c>
      <c r="K76" s="427"/>
      <c r="L76" s="427">
        <v>262</v>
      </c>
      <c r="M76" s="427"/>
      <c r="N76" s="427">
        <v>7.3</v>
      </c>
      <c r="O76" s="427"/>
      <c r="P76" s="620">
        <v>37.759581546030354</v>
      </c>
      <c r="Q76" s="431">
        <f>LEFT(H76,(FIND("K",H76,1)-1))*J76/100</f>
        <v>15</v>
      </c>
      <c r="R76" s="431">
        <v>1.55</v>
      </c>
      <c r="S76" s="431">
        <v>3.9</v>
      </c>
      <c r="T76" s="431">
        <v>6</v>
      </c>
      <c r="U76" s="431">
        <f t="shared" si="1"/>
        <v>3.8709677419354835</v>
      </c>
      <c r="V76" s="614">
        <f t="shared" si="7"/>
        <v>60.256410256410255</v>
      </c>
      <c r="W76" s="431">
        <v>0.5</v>
      </c>
      <c r="X76" s="431">
        <f t="shared" si="12"/>
        <v>0.26</v>
      </c>
      <c r="Y76" s="431">
        <f t="shared" si="8"/>
        <v>1.4756</v>
      </c>
      <c r="Z76" s="431">
        <f t="shared" si="8"/>
        <v>3.7127999999999997</v>
      </c>
      <c r="AA76" s="431">
        <f t="shared" si="8"/>
        <v>5.7119999999999997</v>
      </c>
      <c r="AB76" s="431">
        <f t="shared" si="5"/>
        <v>3.8709677419354835</v>
      </c>
      <c r="AC76" s="431">
        <f t="shared" si="3"/>
        <v>60.256410256410255</v>
      </c>
      <c r="AD76" s="427">
        <v>31</v>
      </c>
      <c r="AE76" s="431">
        <f>Y76*AD76</f>
        <v>45.743600000000001</v>
      </c>
      <c r="AF76" s="439"/>
    </row>
    <row r="77" spans="1:32" ht="18.95" customHeight="1" x14ac:dyDescent="0.2">
      <c r="A77" s="427">
        <v>64</v>
      </c>
      <c r="B77" s="428" t="s">
        <v>171</v>
      </c>
      <c r="C77" s="427" t="s">
        <v>46</v>
      </c>
      <c r="D77" s="440">
        <v>646</v>
      </c>
      <c r="E77" s="440" t="s">
        <v>191</v>
      </c>
      <c r="F77" s="427">
        <v>177.8</v>
      </c>
      <c r="G77" s="427" t="s">
        <v>28</v>
      </c>
      <c r="H77" s="427" t="s">
        <v>48</v>
      </c>
      <c r="I77" s="440">
        <v>570.15</v>
      </c>
      <c r="J77" s="440">
        <v>250</v>
      </c>
      <c r="K77" s="440"/>
      <c r="L77" s="440">
        <v>167</v>
      </c>
      <c r="M77" s="440"/>
      <c r="N77" s="427">
        <v>2</v>
      </c>
      <c r="O77" s="440"/>
      <c r="P77" s="430">
        <v>45.083947107319133</v>
      </c>
      <c r="Q77" s="613">
        <f>LEFT(H77,(FIND("K",H77,1)-1))*J77/100</f>
        <v>32.5</v>
      </c>
      <c r="R77" s="431">
        <v>0.26</v>
      </c>
      <c r="S77" s="431">
        <v>1</v>
      </c>
      <c r="T77" s="613">
        <v>0</v>
      </c>
      <c r="U77" s="431">
        <f t="shared" si="1"/>
        <v>0</v>
      </c>
      <c r="V77" s="614">
        <f t="shared" si="7"/>
        <v>74</v>
      </c>
      <c r="W77" s="431">
        <v>0.8</v>
      </c>
      <c r="X77" s="431">
        <f>S77/Q77</f>
        <v>3.0769230769230771E-2</v>
      </c>
      <c r="Y77" s="431">
        <f t="shared" si="8"/>
        <v>0.24751999999999999</v>
      </c>
      <c r="Z77" s="431">
        <f t="shared" si="8"/>
        <v>0.95199999999999996</v>
      </c>
      <c r="AA77" s="431">
        <f t="shared" si="8"/>
        <v>0</v>
      </c>
      <c r="AB77" s="431">
        <f t="shared" si="5"/>
        <v>0</v>
      </c>
      <c r="AC77" s="431">
        <f t="shared" si="3"/>
        <v>74</v>
      </c>
      <c r="AD77" s="427">
        <v>31</v>
      </c>
      <c r="AE77" s="431">
        <f>Y77*AD77</f>
        <v>7.6731199999999999</v>
      </c>
      <c r="AF77" s="434"/>
    </row>
    <row r="78" spans="1:32" ht="18.75" x14ac:dyDescent="0.2">
      <c r="A78" s="626"/>
      <c r="B78" s="427"/>
      <c r="C78" s="427"/>
      <c r="D78" s="440"/>
      <c r="E78" s="440"/>
      <c r="F78" s="428"/>
      <c r="G78" s="427"/>
      <c r="H78" s="427"/>
      <c r="I78" s="440"/>
      <c r="J78" s="440"/>
      <c r="K78" s="440"/>
      <c r="L78" s="440"/>
      <c r="M78" s="440"/>
      <c r="N78" s="427"/>
      <c r="O78" s="440"/>
      <c r="P78" s="430"/>
      <c r="Q78" s="613"/>
      <c r="R78" s="467">
        <f>SUM(R14:R77)</f>
        <v>398.11800000000011</v>
      </c>
      <c r="S78" s="467">
        <f>SUM(S14:S77)</f>
        <v>800.2700000000001</v>
      </c>
      <c r="T78" s="627">
        <f>SUM(T14:T77)</f>
        <v>16309.43</v>
      </c>
      <c r="U78" s="467">
        <f>T78/R78</f>
        <v>40.966321542859141</v>
      </c>
      <c r="V78" s="628"/>
      <c r="W78" s="467"/>
      <c r="X78" s="467"/>
      <c r="Y78" s="467">
        <f>SUM(Y14:Y77)</f>
        <v>379.881936</v>
      </c>
      <c r="Z78" s="467">
        <f>SUM(Z14:Z77)</f>
        <v>766.02503999999965</v>
      </c>
      <c r="AA78" s="481">
        <f>SUM(AA14:AA77)</f>
        <v>15649.585360000003</v>
      </c>
      <c r="AB78" s="467">
        <f>AA78/Y78</f>
        <v>41.195918723547841</v>
      </c>
      <c r="AC78" s="467"/>
      <c r="AD78" s="438"/>
      <c r="AE78" s="467">
        <f>SUM(AE14:AE77)</f>
        <v>11023.784016</v>
      </c>
      <c r="AF78" s="434"/>
    </row>
    <row r="79" spans="1:32" ht="18.75" x14ac:dyDescent="0.2">
      <c r="A79" s="626"/>
      <c r="B79" s="1924"/>
      <c r="C79" s="1924"/>
      <c r="D79" s="1924"/>
      <c r="E79" s="1924"/>
      <c r="F79" s="428"/>
      <c r="G79" s="427"/>
      <c r="H79" s="427"/>
      <c r="I79" s="427"/>
      <c r="J79" s="440"/>
      <c r="K79" s="440"/>
      <c r="L79" s="440"/>
      <c r="M79" s="440"/>
      <c r="N79" s="440"/>
      <c r="O79" s="440"/>
      <c r="P79" s="620"/>
      <c r="Q79" s="613"/>
      <c r="R79" s="440"/>
      <c r="S79" s="440"/>
      <c r="T79" s="440"/>
      <c r="U79" s="610"/>
      <c r="V79" s="610"/>
      <c r="W79" s="610"/>
      <c r="X79" s="610"/>
      <c r="Y79" s="630"/>
      <c r="Z79" s="631"/>
      <c r="AA79" s="632"/>
      <c r="AB79" s="610"/>
      <c r="AC79" s="440"/>
      <c r="AD79" s="427"/>
      <c r="AE79" s="431"/>
      <c r="AF79" s="434"/>
    </row>
    <row r="80" spans="1:32" ht="18.75" x14ac:dyDescent="0.2">
      <c r="B80" s="1925" t="s">
        <v>277</v>
      </c>
      <c r="C80" s="1926"/>
      <c r="D80" s="1926"/>
      <c r="E80" s="1926"/>
      <c r="F80" s="1927"/>
      <c r="G80" s="610"/>
      <c r="H80" s="632"/>
      <c r="I80" s="632"/>
      <c r="J80" s="440"/>
      <c r="K80" s="440"/>
      <c r="L80" s="440"/>
      <c r="M80" s="440"/>
      <c r="N80" s="440"/>
      <c r="O80" s="440"/>
      <c r="P80" s="620"/>
      <c r="Q80" s="613"/>
      <c r="R80" s="440"/>
      <c r="S80" s="613"/>
      <c r="T80" s="440"/>
      <c r="U80" s="610"/>
      <c r="V80" s="610"/>
      <c r="W80" s="610"/>
      <c r="X80" s="608"/>
      <c r="Y80" s="440"/>
      <c r="Z80" s="440"/>
      <c r="AA80" s="440"/>
      <c r="AB80" s="610"/>
      <c r="AC80" s="610"/>
      <c r="AD80" s="440"/>
      <c r="AE80" s="440"/>
      <c r="AF80" s="632"/>
    </row>
    <row r="81" spans="1:32" ht="18.95" customHeight="1" x14ac:dyDescent="0.2">
      <c r="A81" s="476">
        <v>65</v>
      </c>
      <c r="B81" s="427" t="s">
        <v>131</v>
      </c>
      <c r="C81" s="476" t="s">
        <v>313</v>
      </c>
      <c r="D81" s="427">
        <v>389.74</v>
      </c>
      <c r="E81" s="477" t="s">
        <v>136</v>
      </c>
      <c r="F81" s="427">
        <v>177.8</v>
      </c>
      <c r="G81" s="427" t="s">
        <v>28</v>
      </c>
      <c r="H81" s="427" t="s">
        <v>58</v>
      </c>
      <c r="I81" s="440">
        <v>142.80000000000001</v>
      </c>
      <c r="J81" s="440">
        <v>180</v>
      </c>
      <c r="K81" s="427"/>
      <c r="L81" s="427">
        <v>24</v>
      </c>
      <c r="M81" s="427"/>
      <c r="N81" s="427">
        <v>0.1</v>
      </c>
      <c r="O81" s="427"/>
      <c r="P81" s="430">
        <v>18.879376041738954</v>
      </c>
      <c r="Q81" s="613">
        <f>(3*J81)/100</f>
        <v>5.4</v>
      </c>
      <c r="R81" s="431">
        <v>1.2</v>
      </c>
      <c r="S81" s="431">
        <v>2.5</v>
      </c>
      <c r="T81" s="431">
        <v>0</v>
      </c>
      <c r="U81" s="431">
        <f>T81/R81</f>
        <v>0</v>
      </c>
      <c r="V81" s="431">
        <f t="shared" ref="V81:V84" si="15">(S81-R81)/S81*100</f>
        <v>52</v>
      </c>
      <c r="W81" s="431">
        <v>0.3</v>
      </c>
      <c r="X81" s="431">
        <f t="shared" ref="X81:X84" si="16">S81/Q81</f>
        <v>0.46296296296296291</v>
      </c>
      <c r="Y81" s="431">
        <f>R81*0.9424</f>
        <v>1.1308799999999999</v>
      </c>
      <c r="Z81" s="431">
        <f>S81*0.9424</f>
        <v>2.3559999999999999</v>
      </c>
      <c r="AA81" s="431">
        <f t="shared" ref="AA81:AA88" si="17">T81*0.9494</f>
        <v>0</v>
      </c>
      <c r="AB81" s="431">
        <f t="shared" ref="AB81:AC88" si="18">U81</f>
        <v>0</v>
      </c>
      <c r="AC81" s="431">
        <f t="shared" si="18"/>
        <v>52</v>
      </c>
      <c r="AD81" s="427">
        <v>31</v>
      </c>
      <c r="AE81" s="431">
        <f t="shared" ref="AE81:AE87" si="19">Y81*AD81</f>
        <v>35.057279999999999</v>
      </c>
      <c r="AF81" s="439"/>
    </row>
    <row r="82" spans="1:32" ht="18.95" customHeight="1" x14ac:dyDescent="0.2">
      <c r="A82" s="476">
        <v>66</v>
      </c>
      <c r="B82" s="427" t="s">
        <v>132</v>
      </c>
      <c r="C82" s="476" t="s">
        <v>313</v>
      </c>
      <c r="D82" s="427">
        <v>387.72</v>
      </c>
      <c r="E82" s="477" t="s">
        <v>135</v>
      </c>
      <c r="F82" s="427">
        <v>177.8</v>
      </c>
      <c r="G82" s="427" t="s">
        <v>28</v>
      </c>
      <c r="H82" s="427" t="s">
        <v>58</v>
      </c>
      <c r="I82" s="440">
        <v>136.03</v>
      </c>
      <c r="J82" s="427">
        <v>170</v>
      </c>
      <c r="K82" s="427"/>
      <c r="L82" s="427">
        <v>28</v>
      </c>
      <c r="M82" s="427"/>
      <c r="N82" s="427">
        <v>0.1</v>
      </c>
      <c r="O82" s="427"/>
      <c r="P82" s="430">
        <v>11.643779945071426</v>
      </c>
      <c r="Q82" s="613">
        <f>(3*J82)/100</f>
        <v>5.0999999999999996</v>
      </c>
      <c r="R82" s="431">
        <v>2.69</v>
      </c>
      <c r="S82" s="431">
        <v>5</v>
      </c>
      <c r="T82" s="431">
        <v>0</v>
      </c>
      <c r="U82" s="431">
        <v>0</v>
      </c>
      <c r="V82" s="431">
        <f t="shared" si="15"/>
        <v>46.2</v>
      </c>
      <c r="W82" s="431">
        <v>0.5</v>
      </c>
      <c r="X82" s="431">
        <f t="shared" si="16"/>
        <v>0.98039215686274517</v>
      </c>
      <c r="Y82" s="431">
        <f t="shared" ref="Y82:Z88" si="20">R82*0.9424</f>
        <v>2.535056</v>
      </c>
      <c r="Z82" s="431">
        <f t="shared" si="20"/>
        <v>4.7119999999999997</v>
      </c>
      <c r="AA82" s="431">
        <f t="shared" si="17"/>
        <v>0</v>
      </c>
      <c r="AB82" s="431">
        <v>0</v>
      </c>
      <c r="AC82" s="431">
        <f>V82</f>
        <v>46.2</v>
      </c>
      <c r="AD82" s="427">
        <v>31</v>
      </c>
      <c r="AE82" s="431">
        <f t="shared" si="19"/>
        <v>78.586736000000002</v>
      </c>
      <c r="AF82" s="439"/>
    </row>
    <row r="83" spans="1:32" ht="18.95" customHeight="1" x14ac:dyDescent="0.2">
      <c r="A83" s="476">
        <v>67</v>
      </c>
      <c r="B83" s="427" t="s">
        <v>121</v>
      </c>
      <c r="C83" s="476" t="s">
        <v>313</v>
      </c>
      <c r="D83" s="427">
        <v>389.57</v>
      </c>
      <c r="E83" s="427" t="s">
        <v>137</v>
      </c>
      <c r="F83" s="427">
        <v>177.8</v>
      </c>
      <c r="G83" s="427" t="s">
        <v>28</v>
      </c>
      <c r="H83" s="633" t="s">
        <v>363</v>
      </c>
      <c r="I83" s="440">
        <v>137.58000000000001</v>
      </c>
      <c r="J83" s="427">
        <v>85</v>
      </c>
      <c r="K83" s="427"/>
      <c r="L83" s="427">
        <v>31</v>
      </c>
      <c r="M83" s="427"/>
      <c r="N83" s="427">
        <v>0.1</v>
      </c>
      <c r="O83" s="427"/>
      <c r="P83" s="430">
        <v>19.373011031497143</v>
      </c>
      <c r="Q83" s="613">
        <f>(3*J83)/100</f>
        <v>2.5499999999999998</v>
      </c>
      <c r="R83" s="431">
        <v>4</v>
      </c>
      <c r="S83" s="431">
        <v>6</v>
      </c>
      <c r="T83" s="431">
        <v>0</v>
      </c>
      <c r="U83" s="431">
        <v>0</v>
      </c>
      <c r="V83" s="431">
        <f t="shared" si="15"/>
        <v>33.333333333333329</v>
      </c>
      <c r="W83" s="431">
        <v>0.4</v>
      </c>
      <c r="X83" s="431">
        <f t="shared" si="16"/>
        <v>2.3529411764705883</v>
      </c>
      <c r="Y83" s="431">
        <v>1.3</v>
      </c>
      <c r="Z83" s="431">
        <v>1.3</v>
      </c>
      <c r="AA83" s="431">
        <f t="shared" si="17"/>
        <v>0</v>
      </c>
      <c r="AB83" s="431">
        <v>0</v>
      </c>
      <c r="AC83" s="431">
        <f>V83</f>
        <v>33.333333333333329</v>
      </c>
      <c r="AD83" s="427">
        <v>31</v>
      </c>
      <c r="AE83" s="431">
        <f t="shared" si="19"/>
        <v>40.300000000000004</v>
      </c>
      <c r="AF83" s="434"/>
    </row>
    <row r="84" spans="1:32" ht="18.95" customHeight="1" x14ac:dyDescent="0.2">
      <c r="A84" s="476">
        <v>68</v>
      </c>
      <c r="B84" s="427" t="s">
        <v>122</v>
      </c>
      <c r="C84" s="476" t="s">
        <v>313</v>
      </c>
      <c r="D84" s="427">
        <v>391.06</v>
      </c>
      <c r="E84" s="427" t="s">
        <v>138</v>
      </c>
      <c r="F84" s="427">
        <v>177.8</v>
      </c>
      <c r="G84" s="427" t="s">
        <v>28</v>
      </c>
      <c r="H84" s="427" t="s">
        <v>58</v>
      </c>
      <c r="I84" s="431">
        <v>151.72999999999999</v>
      </c>
      <c r="J84" s="427">
        <v>220</v>
      </c>
      <c r="K84" s="438"/>
      <c r="L84" s="427">
        <v>50</v>
      </c>
      <c r="M84" s="438"/>
      <c r="N84" s="427">
        <v>0</v>
      </c>
      <c r="O84" s="438"/>
      <c r="P84" s="430">
        <v>13.133289530109833</v>
      </c>
      <c r="Q84" s="613">
        <f>(3*J84)/100</f>
        <v>6.6</v>
      </c>
      <c r="R84" s="431">
        <v>2.54</v>
      </c>
      <c r="S84" s="431">
        <v>4</v>
      </c>
      <c r="T84" s="431">
        <v>0</v>
      </c>
      <c r="U84" s="431">
        <f>T84/R84</f>
        <v>0</v>
      </c>
      <c r="V84" s="431">
        <f t="shared" si="15"/>
        <v>36.5</v>
      </c>
      <c r="W84" s="431">
        <v>0.2</v>
      </c>
      <c r="X84" s="431">
        <f t="shared" si="16"/>
        <v>0.60606060606060608</v>
      </c>
      <c r="Y84" s="431">
        <f t="shared" si="20"/>
        <v>2.3936960000000003</v>
      </c>
      <c r="Z84" s="431">
        <f t="shared" si="20"/>
        <v>3.7696000000000001</v>
      </c>
      <c r="AA84" s="431">
        <f t="shared" si="17"/>
        <v>0</v>
      </c>
      <c r="AB84" s="431">
        <f t="shared" si="18"/>
        <v>0</v>
      </c>
      <c r="AC84" s="431">
        <f t="shared" si="18"/>
        <v>36.5</v>
      </c>
      <c r="AD84" s="427">
        <v>31</v>
      </c>
      <c r="AE84" s="431">
        <f t="shared" si="19"/>
        <v>74.204576000000003</v>
      </c>
      <c r="AF84" s="478"/>
    </row>
    <row r="85" spans="1:32" ht="18.95" customHeight="1" x14ac:dyDescent="0.2">
      <c r="A85" s="476">
        <v>69</v>
      </c>
      <c r="B85" s="427" t="s">
        <v>57</v>
      </c>
      <c r="C85" s="476" t="s">
        <v>314</v>
      </c>
      <c r="D85" s="427">
        <v>376.58</v>
      </c>
      <c r="E85" s="428" t="s">
        <v>93</v>
      </c>
      <c r="F85" s="427">
        <v>177.8</v>
      </c>
      <c r="G85" s="427" t="s">
        <v>28</v>
      </c>
      <c r="H85" s="427"/>
      <c r="I85" s="431">
        <v>157.88</v>
      </c>
      <c r="J85" s="427"/>
      <c r="K85" s="435"/>
      <c r="L85" s="427"/>
      <c r="M85" s="438"/>
      <c r="N85" s="427"/>
      <c r="O85" s="438"/>
      <c r="P85" s="634"/>
      <c r="Q85" s="431"/>
      <c r="R85" s="431">
        <v>0</v>
      </c>
      <c r="S85" s="431">
        <v>0</v>
      </c>
      <c r="T85" s="431">
        <v>0</v>
      </c>
      <c r="U85" s="431">
        <v>0</v>
      </c>
      <c r="V85" s="431">
        <v>0</v>
      </c>
      <c r="W85" s="431">
        <v>0</v>
      </c>
      <c r="X85" s="431">
        <v>0</v>
      </c>
      <c r="Y85" s="431">
        <f t="shared" si="20"/>
        <v>0</v>
      </c>
      <c r="Z85" s="431">
        <f t="shared" si="20"/>
        <v>0</v>
      </c>
      <c r="AA85" s="431">
        <f t="shared" si="17"/>
        <v>0</v>
      </c>
      <c r="AB85" s="431">
        <f t="shared" si="18"/>
        <v>0</v>
      </c>
      <c r="AC85" s="431">
        <f t="shared" si="18"/>
        <v>0</v>
      </c>
      <c r="AD85" s="427">
        <v>0</v>
      </c>
      <c r="AE85" s="431">
        <f t="shared" si="19"/>
        <v>0</v>
      </c>
      <c r="AF85" s="434" t="s">
        <v>302</v>
      </c>
    </row>
    <row r="86" spans="1:32" ht="18.95" customHeight="1" x14ac:dyDescent="0.2">
      <c r="A86" s="476">
        <v>70</v>
      </c>
      <c r="B86" s="427" t="s">
        <v>188</v>
      </c>
      <c r="C86" s="476" t="s">
        <v>344</v>
      </c>
      <c r="D86" s="427">
        <v>400.5</v>
      </c>
      <c r="E86" s="427" t="s">
        <v>345</v>
      </c>
      <c r="F86" s="427">
        <v>177.8</v>
      </c>
      <c r="G86" s="427" t="s">
        <v>28</v>
      </c>
      <c r="H86" s="427" t="s">
        <v>58</v>
      </c>
      <c r="I86" s="431">
        <v>227.27</v>
      </c>
      <c r="J86" s="427">
        <v>220</v>
      </c>
      <c r="K86" s="438"/>
      <c r="L86" s="427">
        <v>183</v>
      </c>
      <c r="M86" s="438"/>
      <c r="N86" s="427">
        <v>0</v>
      </c>
      <c r="O86" s="438"/>
      <c r="P86" s="430">
        <v>5.4960841267156226</v>
      </c>
      <c r="Q86" s="613">
        <f>(3*J86)/100</f>
        <v>6.6</v>
      </c>
      <c r="R86" s="431">
        <v>4.5179999999999998</v>
      </c>
      <c r="S86" s="431">
        <v>4.532</v>
      </c>
      <c r="T86" s="431">
        <v>0</v>
      </c>
      <c r="U86" s="431">
        <f>T86/R86</f>
        <v>0</v>
      </c>
      <c r="V86" s="431">
        <f t="shared" ref="V86" si="21">(S86-R86)/S86*100</f>
        <v>0.30891438658429465</v>
      </c>
      <c r="W86" s="431">
        <v>0.1</v>
      </c>
      <c r="X86" s="431">
        <f t="shared" ref="X86" si="22">S86/Q86</f>
        <v>0.68666666666666676</v>
      </c>
      <c r="Y86" s="431">
        <f t="shared" si="20"/>
        <v>4.2577632000000003</v>
      </c>
      <c r="Z86" s="431">
        <f t="shared" si="20"/>
        <v>4.2709568000000004</v>
      </c>
      <c r="AA86" s="431">
        <f t="shared" si="17"/>
        <v>0</v>
      </c>
      <c r="AB86" s="431">
        <f t="shared" si="18"/>
        <v>0</v>
      </c>
      <c r="AC86" s="431">
        <f t="shared" si="18"/>
        <v>0.30891438658429465</v>
      </c>
      <c r="AD86" s="427">
        <v>20</v>
      </c>
      <c r="AE86" s="431">
        <f t="shared" si="19"/>
        <v>85.155264000000003</v>
      </c>
      <c r="AF86" s="434" t="s">
        <v>350</v>
      </c>
    </row>
    <row r="87" spans="1:32" ht="18.95" customHeight="1" x14ac:dyDescent="0.2">
      <c r="A87" s="476">
        <v>71</v>
      </c>
      <c r="B87" s="427" t="s">
        <v>184</v>
      </c>
      <c r="C87" s="476" t="s">
        <v>314</v>
      </c>
      <c r="D87" s="427">
        <v>422.78</v>
      </c>
      <c r="E87" s="428" t="s">
        <v>185</v>
      </c>
      <c r="F87" s="427">
        <v>177.8</v>
      </c>
      <c r="G87" s="427" t="s">
        <v>28</v>
      </c>
      <c r="H87" s="427"/>
      <c r="I87" s="431">
        <v>223.87</v>
      </c>
      <c r="J87" s="427"/>
      <c r="K87" s="435"/>
      <c r="L87" s="427"/>
      <c r="M87" s="438"/>
      <c r="N87" s="427"/>
      <c r="O87" s="438"/>
      <c r="P87" s="430"/>
      <c r="Q87" s="431"/>
      <c r="R87" s="431">
        <v>0</v>
      </c>
      <c r="S87" s="431">
        <v>0</v>
      </c>
      <c r="T87" s="431">
        <v>0</v>
      </c>
      <c r="U87" s="431">
        <v>0</v>
      </c>
      <c r="V87" s="431">
        <v>0</v>
      </c>
      <c r="W87" s="431">
        <v>0</v>
      </c>
      <c r="X87" s="431">
        <v>0</v>
      </c>
      <c r="Y87" s="431">
        <f t="shared" si="20"/>
        <v>0</v>
      </c>
      <c r="Z87" s="431">
        <f t="shared" si="20"/>
        <v>0</v>
      </c>
      <c r="AA87" s="431">
        <f t="shared" si="17"/>
        <v>0</v>
      </c>
      <c r="AB87" s="431">
        <f t="shared" si="18"/>
        <v>0</v>
      </c>
      <c r="AC87" s="431">
        <f t="shared" si="18"/>
        <v>0</v>
      </c>
      <c r="AD87" s="427">
        <v>0</v>
      </c>
      <c r="AE87" s="431">
        <f t="shared" si="19"/>
        <v>0</v>
      </c>
      <c r="AF87" s="434" t="s">
        <v>302</v>
      </c>
    </row>
    <row r="88" spans="1:32" ht="18.95" customHeight="1" x14ac:dyDescent="0.2">
      <c r="A88" s="476">
        <v>72</v>
      </c>
      <c r="B88" s="427" t="s">
        <v>186</v>
      </c>
      <c r="C88" s="476" t="s">
        <v>346</v>
      </c>
      <c r="D88" s="427">
        <v>349.5</v>
      </c>
      <c r="E88" s="428" t="s">
        <v>347</v>
      </c>
      <c r="F88" s="427">
        <v>177.8</v>
      </c>
      <c r="G88" s="427" t="s">
        <v>28</v>
      </c>
      <c r="H88" s="427" t="s">
        <v>58</v>
      </c>
      <c r="I88" s="431">
        <v>117.18</v>
      </c>
      <c r="J88" s="427">
        <v>0</v>
      </c>
      <c r="K88" s="435"/>
      <c r="L88" s="427">
        <v>63</v>
      </c>
      <c r="M88" s="438"/>
      <c r="N88" s="427">
        <v>0</v>
      </c>
      <c r="O88" s="438"/>
      <c r="P88" s="430">
        <v>6.3</v>
      </c>
      <c r="Q88" s="613">
        <f>(3*J88)/100</f>
        <v>0</v>
      </c>
      <c r="R88" s="431">
        <v>0</v>
      </c>
      <c r="S88" s="431">
        <v>0.2</v>
      </c>
      <c r="T88" s="431">
        <v>0</v>
      </c>
      <c r="U88" s="431">
        <v>0</v>
      </c>
      <c r="V88" s="431">
        <f t="shared" ref="V88" si="23">(S88-R88)/S88*100</f>
        <v>100</v>
      </c>
      <c r="W88" s="431">
        <v>0</v>
      </c>
      <c r="X88" s="431">
        <v>0</v>
      </c>
      <c r="Y88" s="431">
        <f t="shared" si="20"/>
        <v>0</v>
      </c>
      <c r="Z88" s="431">
        <f t="shared" si="20"/>
        <v>0.18848000000000001</v>
      </c>
      <c r="AA88" s="431">
        <f t="shared" si="17"/>
        <v>0</v>
      </c>
      <c r="AB88" s="431">
        <f t="shared" si="18"/>
        <v>0</v>
      </c>
      <c r="AC88" s="431">
        <f t="shared" si="18"/>
        <v>100</v>
      </c>
      <c r="AD88" s="427">
        <v>22</v>
      </c>
      <c r="AE88" s="431">
        <f>Y88*AD88</f>
        <v>0</v>
      </c>
      <c r="AF88" s="434" t="s">
        <v>350</v>
      </c>
    </row>
    <row r="89" spans="1:32" ht="18.95" customHeight="1" x14ac:dyDescent="0.2">
      <c r="A89" s="626"/>
      <c r="B89" s="1889"/>
      <c r="C89" s="1889"/>
      <c r="D89" s="1889"/>
      <c r="E89" s="1890"/>
      <c r="F89" s="440"/>
      <c r="G89" s="610"/>
      <c r="H89" s="632"/>
      <c r="I89" s="632"/>
      <c r="J89" s="440"/>
      <c r="K89" s="440"/>
      <c r="L89" s="440"/>
      <c r="M89" s="440"/>
      <c r="N89" s="440"/>
      <c r="O89" s="440"/>
      <c r="P89" s="620"/>
      <c r="Q89" s="613"/>
      <c r="R89" s="467">
        <f>SUM(R81:R88)</f>
        <v>14.948</v>
      </c>
      <c r="S89" s="467">
        <f>SUM(S81:S88)</f>
        <v>22.231999999999999</v>
      </c>
      <c r="T89" s="467">
        <f>SUM(T81:T85)</f>
        <v>0</v>
      </c>
      <c r="U89" s="467">
        <f>SUM(U81:U84)</f>
        <v>0</v>
      </c>
      <c r="V89" s="610"/>
      <c r="W89" s="610"/>
      <c r="X89" s="610"/>
      <c r="Y89" s="467">
        <f>SUM(Y81:Y88)</f>
        <v>11.617395200000001</v>
      </c>
      <c r="Z89" s="467">
        <f>SUM(Z81:Z88)</f>
        <v>16.597036799999998</v>
      </c>
      <c r="AA89" s="467">
        <f>SUM(AA81:AA85)</f>
        <v>0</v>
      </c>
      <c r="AB89" s="467">
        <v>0</v>
      </c>
      <c r="AC89" s="610"/>
      <c r="AD89" s="440"/>
      <c r="AE89" s="467">
        <f>SUM(AE81:AE88)</f>
        <v>313.303856</v>
      </c>
      <c r="AF89" s="635"/>
    </row>
    <row r="90" spans="1:32" ht="18.95" customHeight="1" x14ac:dyDescent="0.2">
      <c r="A90" s="626"/>
      <c r="B90" s="1889"/>
      <c r="C90" s="1889"/>
      <c r="D90" s="1889"/>
      <c r="E90" s="1890"/>
      <c r="F90" s="438"/>
      <c r="G90" s="427"/>
      <c r="H90" s="427"/>
      <c r="I90" s="431"/>
      <c r="J90" s="427"/>
      <c r="K90" s="438"/>
      <c r="L90" s="427"/>
      <c r="M90" s="438"/>
      <c r="N90" s="430"/>
      <c r="O90" s="438"/>
      <c r="P90" s="480"/>
      <c r="Q90" s="467"/>
      <c r="R90" s="467"/>
      <c r="S90" s="467"/>
      <c r="T90" s="467"/>
      <c r="U90" s="467"/>
      <c r="V90" s="467"/>
      <c r="W90" s="467"/>
      <c r="X90" s="467"/>
      <c r="Y90" s="467"/>
      <c r="Z90" s="481"/>
      <c r="AA90" s="467"/>
      <c r="AB90" s="467"/>
      <c r="AC90" s="467"/>
      <c r="AD90" s="467"/>
      <c r="AE90" s="467"/>
      <c r="AF90" s="478"/>
    </row>
    <row r="91" spans="1:32" ht="18.95" customHeight="1" x14ac:dyDescent="0.2">
      <c r="A91" s="626"/>
      <c r="B91" s="1916" t="s">
        <v>276</v>
      </c>
      <c r="C91" s="1917"/>
      <c r="D91" s="1917"/>
      <c r="E91" s="1917"/>
      <c r="F91" s="1917"/>
      <c r="G91" s="610"/>
      <c r="H91" s="632"/>
      <c r="I91" s="632"/>
      <c r="J91" s="440"/>
      <c r="K91" s="440"/>
      <c r="L91" s="440"/>
      <c r="M91" s="440"/>
      <c r="N91" s="440"/>
      <c r="O91" s="440"/>
      <c r="P91" s="620"/>
      <c r="Q91" s="613"/>
      <c r="R91" s="440"/>
      <c r="S91" s="440"/>
      <c r="T91" s="440"/>
      <c r="U91" s="610"/>
      <c r="V91" s="610"/>
      <c r="W91" s="610"/>
      <c r="X91" s="610"/>
      <c r="Y91" s="440"/>
      <c r="Z91" s="440"/>
      <c r="AA91" s="440"/>
      <c r="AB91" s="636"/>
      <c r="AC91" s="610"/>
      <c r="AD91" s="440"/>
      <c r="AE91" s="440"/>
      <c r="AF91" s="632"/>
    </row>
    <row r="92" spans="1:32" ht="18.95" customHeight="1" x14ac:dyDescent="0.2">
      <c r="A92" s="427">
        <v>73</v>
      </c>
      <c r="B92" s="637" t="s">
        <v>107</v>
      </c>
      <c r="C92" s="638" t="s">
        <v>109</v>
      </c>
      <c r="D92" s="638"/>
      <c r="E92" s="638"/>
      <c r="F92" s="440"/>
      <c r="G92" s="610"/>
      <c r="H92" s="632"/>
      <c r="I92" s="632"/>
      <c r="J92" s="440"/>
      <c r="K92" s="440"/>
      <c r="L92" s="440"/>
      <c r="M92" s="440"/>
      <c r="N92" s="440"/>
      <c r="O92" s="440"/>
      <c r="P92" s="620"/>
      <c r="Q92" s="613"/>
      <c r="R92" s="440"/>
      <c r="S92" s="440"/>
      <c r="T92" s="440"/>
      <c r="U92" s="610"/>
      <c r="V92" s="610"/>
      <c r="W92" s="610"/>
      <c r="X92" s="610"/>
      <c r="Y92" s="632"/>
      <c r="Z92" s="632"/>
      <c r="AA92" s="440"/>
      <c r="AB92" s="636"/>
      <c r="AC92" s="610"/>
      <c r="AD92" s="639"/>
      <c r="AE92" s="440"/>
      <c r="AF92" s="640"/>
    </row>
    <row r="93" spans="1:32" ht="18.95" customHeight="1" x14ac:dyDescent="0.2">
      <c r="A93" s="427">
        <v>74</v>
      </c>
      <c r="B93" s="637" t="s">
        <v>108</v>
      </c>
      <c r="C93" s="638" t="s">
        <v>109</v>
      </c>
      <c r="D93" s="638"/>
      <c r="E93" s="638"/>
      <c r="F93" s="440"/>
      <c r="G93" s="610"/>
      <c r="H93" s="632"/>
      <c r="I93" s="632"/>
      <c r="J93" s="440"/>
      <c r="K93" s="440"/>
      <c r="L93" s="440"/>
      <c r="M93" s="440"/>
      <c r="N93" s="440"/>
      <c r="O93" s="440"/>
      <c r="P93" s="620"/>
      <c r="Q93" s="613"/>
      <c r="R93" s="440"/>
      <c r="S93" s="440"/>
      <c r="T93" s="440"/>
      <c r="U93" s="610"/>
      <c r="V93" s="610"/>
      <c r="W93" s="610"/>
      <c r="X93" s="610"/>
      <c r="Y93" s="632"/>
      <c r="Z93" s="632"/>
      <c r="AA93" s="440"/>
      <c r="AB93" s="636"/>
      <c r="AC93" s="610"/>
      <c r="AD93" s="639"/>
      <c r="AE93" s="440"/>
      <c r="AF93" s="640"/>
    </row>
    <row r="94" spans="1:32" ht="18.95" customHeight="1" x14ac:dyDescent="0.2">
      <c r="A94" s="427">
        <v>75</v>
      </c>
      <c r="B94" s="637" t="s">
        <v>195</v>
      </c>
      <c r="C94" s="476" t="s">
        <v>193</v>
      </c>
      <c r="D94" s="638"/>
      <c r="E94" s="638"/>
      <c r="F94" s="440"/>
      <c r="G94" s="610"/>
      <c r="H94" s="632"/>
      <c r="I94" s="632"/>
      <c r="J94" s="440"/>
      <c r="K94" s="440"/>
      <c r="L94" s="440"/>
      <c r="M94" s="440"/>
      <c r="N94" s="440"/>
      <c r="O94" s="440"/>
      <c r="P94" s="620"/>
      <c r="Q94" s="613"/>
      <c r="R94" s="440"/>
      <c r="S94" s="440"/>
      <c r="T94" s="440"/>
      <c r="U94" s="610"/>
      <c r="V94" s="610"/>
      <c r="W94" s="610"/>
      <c r="X94" s="610"/>
      <c r="Y94" s="632"/>
      <c r="Z94" s="632"/>
      <c r="AA94" s="440"/>
      <c r="AB94" s="636"/>
      <c r="AC94" s="610"/>
      <c r="AD94" s="639"/>
      <c r="AE94" s="440"/>
      <c r="AF94" s="640"/>
    </row>
    <row r="95" spans="1:32" ht="18.95" customHeight="1" x14ac:dyDescent="0.2">
      <c r="A95" s="427">
        <v>76</v>
      </c>
      <c r="B95" s="637" t="s">
        <v>192</v>
      </c>
      <c r="C95" s="476" t="s">
        <v>193</v>
      </c>
      <c r="D95" s="638"/>
      <c r="E95" s="638"/>
      <c r="F95" s="440"/>
      <c r="G95" s="610"/>
      <c r="H95" s="632"/>
      <c r="I95" s="632"/>
      <c r="J95" s="440"/>
      <c r="K95" s="440"/>
      <c r="L95" s="440"/>
      <c r="M95" s="440"/>
      <c r="N95" s="440"/>
      <c r="O95" s="440"/>
      <c r="P95" s="620"/>
      <c r="Q95" s="613"/>
      <c r="R95" s="440"/>
      <c r="S95" s="440"/>
      <c r="T95" s="440"/>
      <c r="U95" s="610"/>
      <c r="V95" s="610"/>
      <c r="W95" s="610"/>
      <c r="X95" s="610"/>
      <c r="Y95" s="632"/>
      <c r="Z95" s="632"/>
      <c r="AA95" s="440"/>
      <c r="AB95" s="636"/>
      <c r="AC95" s="610"/>
      <c r="AD95" s="639"/>
      <c r="AE95" s="440"/>
      <c r="AF95" s="640"/>
    </row>
    <row r="96" spans="1:32" ht="18.95" customHeight="1" x14ac:dyDescent="0.2">
      <c r="A96" s="427"/>
      <c r="B96" s="1916" t="s">
        <v>278</v>
      </c>
      <c r="C96" s="1917"/>
      <c r="D96" s="1917"/>
      <c r="E96" s="1917"/>
      <c r="F96" s="1917"/>
      <c r="G96" s="610"/>
      <c r="H96" s="632"/>
      <c r="I96" s="632"/>
      <c r="J96" s="440"/>
      <c r="K96" s="440"/>
      <c r="L96" s="440"/>
      <c r="M96" s="440"/>
      <c r="N96" s="440"/>
      <c r="O96" s="440"/>
      <c r="P96" s="620"/>
      <c r="Q96" s="613"/>
      <c r="R96" s="440"/>
      <c r="S96" s="440"/>
      <c r="T96" s="440"/>
      <c r="U96" s="610"/>
      <c r="V96" s="610"/>
      <c r="W96" s="610"/>
      <c r="X96" s="610"/>
      <c r="Y96" s="440"/>
      <c r="Z96" s="440"/>
      <c r="AA96" s="440"/>
      <c r="AB96" s="636"/>
      <c r="AC96" s="610"/>
      <c r="AD96" s="440"/>
      <c r="AE96" s="440"/>
      <c r="AF96" s="632"/>
    </row>
    <row r="97" spans="1:32" ht="18.95" customHeight="1" x14ac:dyDescent="0.2">
      <c r="A97" s="427">
        <v>77</v>
      </c>
      <c r="B97" s="641" t="s">
        <v>189</v>
      </c>
      <c r="C97" s="427" t="s">
        <v>46</v>
      </c>
      <c r="D97" s="642">
        <v>673</v>
      </c>
      <c r="E97" s="642" t="s">
        <v>190</v>
      </c>
      <c r="F97" s="427">
        <v>177.8</v>
      </c>
      <c r="G97" s="427"/>
      <c r="H97" s="427"/>
      <c r="I97" s="440"/>
      <c r="J97" s="440"/>
      <c r="K97" s="440"/>
      <c r="L97" s="440"/>
      <c r="M97" s="440"/>
      <c r="N97" s="440"/>
      <c r="O97" s="440"/>
      <c r="P97" s="620"/>
      <c r="Q97" s="613"/>
      <c r="R97" s="440"/>
      <c r="S97" s="440"/>
      <c r="T97" s="440"/>
      <c r="U97" s="610"/>
      <c r="V97" s="610"/>
      <c r="W97" s="610"/>
      <c r="X97" s="610"/>
      <c r="Y97" s="643"/>
      <c r="Z97" s="644"/>
      <c r="AA97" s="632"/>
      <c r="AB97" s="636"/>
      <c r="AC97" s="440"/>
      <c r="AD97" s="427"/>
      <c r="AE97" s="431"/>
      <c r="AF97" s="439"/>
    </row>
    <row r="98" spans="1:32" ht="18.95" customHeight="1" x14ac:dyDescent="0.3">
      <c r="A98" s="427">
        <v>78</v>
      </c>
      <c r="B98" s="428" t="s">
        <v>181</v>
      </c>
      <c r="C98" s="645" t="s">
        <v>183</v>
      </c>
      <c r="D98" s="427">
        <v>374.5</v>
      </c>
      <c r="E98" s="427" t="s">
        <v>182</v>
      </c>
      <c r="F98" s="427">
        <v>177.8</v>
      </c>
      <c r="G98" s="427"/>
      <c r="H98" s="427"/>
      <c r="I98" s="440"/>
      <c r="J98" s="427"/>
      <c r="K98" s="427"/>
      <c r="L98" s="427"/>
      <c r="M98" s="427"/>
      <c r="N98" s="430"/>
      <c r="O98" s="427"/>
      <c r="P98" s="431"/>
      <c r="Q98" s="431"/>
      <c r="R98" s="431"/>
      <c r="S98" s="431"/>
      <c r="T98" s="431"/>
      <c r="U98" s="431"/>
      <c r="V98" s="431"/>
      <c r="W98" s="431"/>
      <c r="X98" s="491"/>
      <c r="Y98" s="431"/>
      <c r="Z98" s="431"/>
      <c r="AA98" s="431"/>
      <c r="AB98" s="431"/>
      <c r="AC98" s="431"/>
      <c r="AD98" s="427"/>
      <c r="AE98" s="431"/>
      <c r="AF98" s="439"/>
    </row>
    <row r="99" spans="1:32" ht="18.95" customHeight="1" x14ac:dyDescent="0.2">
      <c r="A99" s="427">
        <v>79</v>
      </c>
      <c r="B99" s="428" t="s">
        <v>174</v>
      </c>
      <c r="C99" s="427" t="s">
        <v>46</v>
      </c>
      <c r="D99" s="427">
        <v>672</v>
      </c>
      <c r="E99" s="427" t="s">
        <v>175</v>
      </c>
      <c r="F99" s="427">
        <v>177.8</v>
      </c>
      <c r="G99" s="427"/>
      <c r="H99" s="427"/>
      <c r="I99" s="440"/>
      <c r="J99" s="427"/>
      <c r="K99" s="427"/>
      <c r="L99" s="427"/>
      <c r="M99" s="427"/>
      <c r="N99" s="430"/>
      <c r="O99" s="427"/>
      <c r="P99" s="430"/>
      <c r="Q99" s="431"/>
      <c r="R99" s="431"/>
      <c r="S99" s="431"/>
      <c r="T99" s="431"/>
      <c r="U99" s="431"/>
      <c r="V99" s="431"/>
      <c r="W99" s="431"/>
      <c r="X99" s="431"/>
      <c r="Y99" s="431"/>
      <c r="Z99" s="431"/>
      <c r="AA99" s="431"/>
      <c r="AB99" s="431"/>
      <c r="AC99" s="431"/>
      <c r="AD99" s="427"/>
      <c r="AE99" s="431"/>
      <c r="AF99" s="439"/>
    </row>
    <row r="100" spans="1:32" ht="18.95" customHeight="1" x14ac:dyDescent="0.2">
      <c r="A100" s="427">
        <v>80</v>
      </c>
      <c r="B100" s="619" t="s">
        <v>103</v>
      </c>
      <c r="C100" s="427" t="s">
        <v>46</v>
      </c>
      <c r="D100" s="440">
        <v>582</v>
      </c>
      <c r="E100" s="440" t="s">
        <v>112</v>
      </c>
      <c r="F100" s="427">
        <v>177.8</v>
      </c>
      <c r="G100" s="427"/>
      <c r="H100" s="427"/>
      <c r="I100" s="440"/>
      <c r="J100" s="440"/>
      <c r="K100" s="611"/>
      <c r="L100" s="440"/>
      <c r="M100" s="611"/>
      <c r="N100" s="440"/>
      <c r="O100" s="440"/>
      <c r="P100" s="620"/>
      <c r="Q100" s="613"/>
      <c r="R100" s="440"/>
      <c r="S100" s="440"/>
      <c r="T100" s="440"/>
      <c r="U100" s="610"/>
      <c r="V100" s="610"/>
      <c r="W100" s="610"/>
      <c r="X100" s="608"/>
      <c r="Y100" s="646"/>
      <c r="Z100" s="440"/>
      <c r="AA100" s="440"/>
      <c r="AB100" s="610"/>
      <c r="AC100" s="440"/>
      <c r="AD100" s="647"/>
      <c r="AE100" s="613"/>
      <c r="AF100" s="439"/>
    </row>
    <row r="101" spans="1:32" ht="18.95" customHeight="1" x14ac:dyDescent="0.2">
      <c r="A101" s="427">
        <v>81</v>
      </c>
      <c r="B101" s="619" t="s">
        <v>220</v>
      </c>
      <c r="C101" s="427" t="s">
        <v>46</v>
      </c>
      <c r="D101" s="440">
        <v>685.69</v>
      </c>
      <c r="E101" s="440" t="s">
        <v>222</v>
      </c>
      <c r="F101" s="427">
        <v>177.8</v>
      </c>
      <c r="G101" s="427"/>
      <c r="H101" s="427"/>
      <c r="I101" s="440"/>
      <c r="J101" s="440"/>
      <c r="K101" s="611"/>
      <c r="L101" s="440"/>
      <c r="M101" s="611"/>
      <c r="N101" s="440"/>
      <c r="O101" s="440"/>
      <c r="P101" s="620"/>
      <c r="Q101" s="613"/>
      <c r="R101" s="440"/>
      <c r="S101" s="440"/>
      <c r="T101" s="440"/>
      <c r="U101" s="610"/>
      <c r="V101" s="610"/>
      <c r="W101" s="610"/>
      <c r="X101" s="608"/>
      <c r="Y101" s="646"/>
      <c r="Z101" s="440"/>
      <c r="AA101" s="440"/>
      <c r="AB101" s="610"/>
      <c r="AC101" s="440"/>
      <c r="AD101" s="647"/>
      <c r="AE101" s="613"/>
      <c r="AF101" s="439"/>
    </row>
    <row r="102" spans="1:32" ht="18.95" customHeight="1" x14ac:dyDescent="0.2">
      <c r="A102" s="427"/>
      <c r="B102" s="1916" t="s">
        <v>279</v>
      </c>
      <c r="C102" s="1917"/>
      <c r="D102" s="1917"/>
      <c r="E102" s="1917"/>
      <c r="F102" s="1917"/>
      <c r="G102" s="427"/>
      <c r="H102" s="427"/>
      <c r="I102" s="440"/>
      <c r="J102" s="427"/>
      <c r="K102" s="427"/>
      <c r="L102" s="427"/>
      <c r="M102" s="427"/>
      <c r="N102" s="430"/>
      <c r="O102" s="427"/>
      <c r="P102" s="430"/>
      <c r="Q102" s="431"/>
      <c r="R102" s="431"/>
      <c r="S102" s="431"/>
      <c r="T102" s="431"/>
      <c r="U102" s="431"/>
      <c r="V102" s="431"/>
      <c r="W102" s="431"/>
      <c r="X102" s="431"/>
      <c r="Y102" s="431"/>
      <c r="Z102" s="431"/>
      <c r="AA102" s="431"/>
      <c r="AB102" s="431"/>
      <c r="AC102" s="431"/>
      <c r="AD102" s="427"/>
      <c r="AE102" s="431"/>
      <c r="AF102" s="439"/>
    </row>
    <row r="103" spans="1:32" ht="18.95" customHeight="1" x14ac:dyDescent="0.2">
      <c r="A103" s="427">
        <v>82</v>
      </c>
      <c r="B103" s="428" t="s">
        <v>148</v>
      </c>
      <c r="C103" s="427" t="s">
        <v>46</v>
      </c>
      <c r="D103" s="427">
        <v>650</v>
      </c>
      <c r="E103" s="427" t="s">
        <v>75</v>
      </c>
      <c r="F103" s="427">
        <v>177.8</v>
      </c>
      <c r="G103" s="427"/>
      <c r="H103" s="427"/>
      <c r="I103" s="611">
        <v>536.14</v>
      </c>
      <c r="J103" s="427"/>
      <c r="K103" s="427"/>
      <c r="L103" s="427"/>
      <c r="M103" s="427"/>
      <c r="N103" s="430"/>
      <c r="O103" s="427"/>
      <c r="P103" s="430"/>
      <c r="Q103" s="431"/>
      <c r="R103" s="431"/>
      <c r="S103" s="431"/>
      <c r="T103" s="431"/>
      <c r="U103" s="431"/>
      <c r="V103" s="431"/>
      <c r="W103" s="431"/>
      <c r="X103" s="431"/>
      <c r="Y103" s="431"/>
      <c r="Z103" s="431"/>
      <c r="AA103" s="431"/>
      <c r="AB103" s="431"/>
      <c r="AC103" s="431"/>
      <c r="AD103" s="427"/>
      <c r="AE103" s="431"/>
      <c r="AF103" s="439"/>
    </row>
    <row r="104" spans="1:32" ht="18.95" customHeight="1" x14ac:dyDescent="0.2">
      <c r="A104" s="427">
        <v>83</v>
      </c>
      <c r="B104" s="428" t="s">
        <v>155</v>
      </c>
      <c r="C104" s="427" t="s">
        <v>46</v>
      </c>
      <c r="D104" s="427">
        <v>674.13</v>
      </c>
      <c r="E104" s="427" t="s">
        <v>83</v>
      </c>
      <c r="F104" s="427">
        <v>177.8</v>
      </c>
      <c r="G104" s="427"/>
      <c r="H104" s="427"/>
      <c r="I104" s="440">
        <v>527.75</v>
      </c>
      <c r="J104" s="427"/>
      <c r="K104" s="427"/>
      <c r="L104" s="427"/>
      <c r="M104" s="427"/>
      <c r="N104" s="430"/>
      <c r="O104" s="427"/>
      <c r="P104" s="430"/>
      <c r="Q104" s="431"/>
      <c r="R104" s="431"/>
      <c r="S104" s="431"/>
      <c r="T104" s="431"/>
      <c r="U104" s="431"/>
      <c r="V104" s="431"/>
      <c r="W104" s="431"/>
      <c r="X104" s="431"/>
      <c r="Y104" s="431"/>
      <c r="Z104" s="431"/>
      <c r="AA104" s="431"/>
      <c r="AB104" s="431"/>
      <c r="AC104" s="431"/>
      <c r="AD104" s="427"/>
      <c r="AE104" s="431"/>
      <c r="AF104" s="439"/>
    </row>
    <row r="105" spans="1:32" ht="18.75" x14ac:dyDescent="0.2">
      <c r="A105" s="706">
        <v>84</v>
      </c>
      <c r="B105" s="428" t="s">
        <v>56</v>
      </c>
      <c r="C105" s="706" t="s">
        <v>46</v>
      </c>
      <c r="D105" s="706">
        <v>680.52</v>
      </c>
      <c r="E105" s="706" t="s">
        <v>92</v>
      </c>
      <c r="F105" s="427">
        <v>177.8</v>
      </c>
      <c r="G105" s="427"/>
      <c r="H105" s="427"/>
      <c r="I105" s="440">
        <v>555.95000000000005</v>
      </c>
      <c r="J105" s="427"/>
      <c r="K105" s="427"/>
      <c r="L105" s="427"/>
      <c r="M105" s="427"/>
      <c r="N105" s="430"/>
      <c r="O105" s="427"/>
      <c r="P105" s="431"/>
      <c r="Q105" s="431"/>
      <c r="R105" s="431"/>
      <c r="S105" s="431"/>
      <c r="T105" s="431"/>
      <c r="U105" s="431"/>
      <c r="V105" s="431"/>
      <c r="W105" s="431"/>
      <c r="X105" s="491"/>
      <c r="Y105" s="431"/>
      <c r="Z105" s="431"/>
      <c r="AA105" s="431"/>
      <c r="AB105" s="431"/>
      <c r="AC105" s="431"/>
      <c r="AD105" s="427"/>
      <c r="AE105" s="431"/>
      <c r="AF105" s="439"/>
    </row>
    <row r="106" spans="1:32" ht="18.75" x14ac:dyDescent="0.2">
      <c r="A106" s="715"/>
      <c r="B106" s="464"/>
      <c r="C106" s="464"/>
      <c r="D106" s="464"/>
      <c r="E106" s="428"/>
      <c r="F106" s="427"/>
      <c r="G106" s="427"/>
      <c r="H106" s="427"/>
      <c r="I106" s="440"/>
      <c r="J106" s="427"/>
      <c r="K106" s="427"/>
      <c r="L106" s="427"/>
      <c r="M106" s="427"/>
      <c r="N106" s="430"/>
      <c r="O106" s="427"/>
      <c r="P106" s="431"/>
      <c r="Q106" s="431"/>
      <c r="R106" s="431"/>
      <c r="S106" s="431"/>
      <c r="T106" s="431"/>
      <c r="U106" s="431"/>
      <c r="V106" s="431"/>
      <c r="W106" s="431"/>
      <c r="X106" s="491"/>
      <c r="Y106" s="431"/>
      <c r="Z106" s="431"/>
      <c r="AA106" s="431"/>
      <c r="AB106" s="431"/>
      <c r="AC106" s="431"/>
      <c r="AD106" s="427"/>
      <c r="AE106" s="431"/>
      <c r="AF106" s="439"/>
    </row>
    <row r="107" spans="1:32" ht="18.75" x14ac:dyDescent="0.2">
      <c r="A107" s="714"/>
      <c r="B107" s="1918"/>
      <c r="C107" s="1918"/>
      <c r="D107" s="1918"/>
      <c r="E107" s="1919"/>
      <c r="F107" s="438"/>
      <c r="G107" s="427"/>
      <c r="H107" s="427"/>
      <c r="I107" s="431"/>
      <c r="J107" s="427"/>
      <c r="K107" s="438"/>
      <c r="L107" s="427"/>
      <c r="M107" s="438"/>
      <c r="N107" s="430"/>
      <c r="O107" s="438"/>
      <c r="P107" s="480"/>
      <c r="Q107" s="467"/>
      <c r="R107" s="467">
        <f>R78+R89</f>
        <v>413.06600000000009</v>
      </c>
      <c r="S107" s="467">
        <f>S78+S89</f>
        <v>822.50200000000007</v>
      </c>
      <c r="T107" s="481">
        <f>T78+T89</f>
        <v>16309.43</v>
      </c>
      <c r="U107" s="467">
        <f>T107/R107</f>
        <v>39.483835512968867</v>
      </c>
      <c r="V107" s="467"/>
      <c r="W107" s="467"/>
      <c r="X107" s="467"/>
      <c r="Y107" s="467">
        <f>Y78+Y89</f>
        <v>391.49933119999997</v>
      </c>
      <c r="Z107" s="467">
        <f>Z78+Z89</f>
        <v>782.6220767999996</v>
      </c>
      <c r="AA107" s="481">
        <f>AA78+AA89</f>
        <v>15649.585360000003</v>
      </c>
      <c r="AB107" s="467">
        <f>AB78+AB89</f>
        <v>41.195918723547841</v>
      </c>
      <c r="AC107" s="467"/>
      <c r="AD107" s="467"/>
      <c r="AE107" s="495">
        <f>AE78+AE89</f>
        <v>11337.087872</v>
      </c>
      <c r="AF107" s="478"/>
    </row>
    <row r="108" spans="1:32" ht="18.75" x14ac:dyDescent="0.2">
      <c r="B108" s="648"/>
      <c r="C108" s="648"/>
      <c r="D108" s="648"/>
      <c r="E108" s="648"/>
      <c r="F108" s="649"/>
      <c r="G108" s="650"/>
      <c r="H108" s="651"/>
      <c r="I108" s="651"/>
      <c r="J108" s="649"/>
      <c r="K108" s="649"/>
      <c r="L108" s="649"/>
      <c r="M108" s="649"/>
      <c r="N108" s="649"/>
      <c r="O108" s="649"/>
      <c r="P108" s="652"/>
      <c r="Q108" s="653"/>
      <c r="R108" s="649"/>
      <c r="S108" s="649"/>
      <c r="T108" s="649"/>
      <c r="U108" s="650"/>
      <c r="V108" s="650"/>
      <c r="W108" s="650"/>
      <c r="X108" s="650"/>
      <c r="Y108" s="649"/>
      <c r="Z108" s="649"/>
      <c r="AA108" s="649"/>
      <c r="AB108" s="654"/>
      <c r="AC108" s="650"/>
      <c r="AD108" s="649"/>
      <c r="AE108" s="649"/>
      <c r="AF108" s="651"/>
    </row>
    <row r="109" spans="1:32" ht="18.75" x14ac:dyDescent="0.2">
      <c r="B109" s="503"/>
      <c r="C109" s="504"/>
      <c r="D109" s="503"/>
      <c r="E109" s="505">
        <v>0.95</v>
      </c>
      <c r="F109" s="503"/>
      <c r="G109" s="503" t="s">
        <v>102</v>
      </c>
      <c r="H109" s="504"/>
      <c r="I109" s="506"/>
      <c r="J109" s="503"/>
      <c r="K109" s="1896">
        <f>AE107*E109</f>
        <v>10770.2334784</v>
      </c>
      <c r="L109" s="1920"/>
      <c r="M109" s="1921"/>
      <c r="N109" s="504" t="s">
        <v>27</v>
      </c>
      <c r="O109" s="649"/>
      <c r="P109" s="652"/>
      <c r="Q109" s="653"/>
      <c r="R109" s="649"/>
      <c r="S109" s="649"/>
      <c r="T109" s="649"/>
      <c r="U109" s="650"/>
      <c r="V109" s="650"/>
      <c r="W109" s="650"/>
      <c r="X109" s="650"/>
      <c r="Y109" s="649"/>
      <c r="Z109" s="649"/>
      <c r="AA109" s="649"/>
      <c r="AB109" s="654"/>
      <c r="AC109" s="650"/>
      <c r="AD109" s="649"/>
      <c r="AE109" s="649"/>
      <c r="AF109" s="651"/>
    </row>
    <row r="110" spans="1:32" ht="18.75" x14ac:dyDescent="0.2">
      <c r="B110" s="503"/>
      <c r="C110" s="504"/>
      <c r="D110" s="503"/>
      <c r="E110" s="505"/>
      <c r="F110" s="503"/>
      <c r="G110" s="504"/>
      <c r="H110" s="504"/>
      <c r="I110" s="506"/>
      <c r="J110" s="503"/>
      <c r="K110" s="504"/>
      <c r="L110" s="462"/>
      <c r="M110" s="503"/>
      <c r="N110" s="503"/>
      <c r="O110" s="503"/>
      <c r="P110" s="507"/>
      <c r="Q110" s="508"/>
      <c r="R110" s="503"/>
      <c r="S110" s="503"/>
      <c r="T110" s="503"/>
      <c r="U110" s="503"/>
      <c r="V110" s="503"/>
      <c r="W110" s="503"/>
      <c r="X110" s="509"/>
      <c r="Y110" s="509"/>
      <c r="Z110" s="509"/>
      <c r="AA110" s="509"/>
      <c r="AB110" s="509"/>
      <c r="AC110" s="509"/>
      <c r="AD110" s="509"/>
      <c r="AE110" s="509"/>
      <c r="AF110" s="510"/>
    </row>
    <row r="111" spans="1:32" ht="18.75" x14ac:dyDescent="0.2">
      <c r="B111" s="503"/>
      <c r="C111" s="503"/>
      <c r="D111" s="503"/>
      <c r="E111" s="511" t="s">
        <v>214</v>
      </c>
      <c r="F111" s="1899" t="s">
        <v>264</v>
      </c>
      <c r="G111" s="1899"/>
      <c r="H111" s="1899"/>
      <c r="I111" s="503"/>
      <c r="J111" s="503"/>
      <c r="K111" s="504"/>
      <c r="L111" s="504"/>
      <c r="M111" s="503"/>
      <c r="N111" s="503"/>
      <c r="O111" s="503"/>
      <c r="P111" s="503"/>
      <c r="Q111" s="503"/>
      <c r="R111" s="503"/>
      <c r="S111" s="503"/>
      <c r="T111" s="503"/>
      <c r="U111" s="503"/>
      <c r="V111" s="503"/>
      <c r="W111" s="503"/>
      <c r="X111" s="1892" t="s">
        <v>352</v>
      </c>
      <c r="Y111" s="1922"/>
      <c r="Z111" s="1922"/>
      <c r="AA111" s="1922"/>
      <c r="AB111" s="509" t="s">
        <v>216</v>
      </c>
      <c r="AC111" s="509"/>
      <c r="AD111" s="509"/>
      <c r="AE111" s="509"/>
      <c r="AF111" s="509"/>
    </row>
    <row r="112" spans="1:32" x14ac:dyDescent="0.2">
      <c r="Q112" s="623"/>
    </row>
  </sheetData>
  <mergeCells count="40">
    <mergeCell ref="B9:E9"/>
    <mergeCell ref="I1:X1"/>
    <mergeCell ref="J2:W2"/>
    <mergeCell ref="A3:D3"/>
    <mergeCell ref="A7:E7"/>
    <mergeCell ref="A8:E8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11:AA111"/>
    <mergeCell ref="AF12:AF13"/>
    <mergeCell ref="B79:E79"/>
    <mergeCell ref="B80:F80"/>
    <mergeCell ref="B89:E89"/>
    <mergeCell ref="B90:E90"/>
    <mergeCell ref="B91:F91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6:F96"/>
    <mergeCell ref="B102:F102"/>
    <mergeCell ref="B107:E107"/>
    <mergeCell ref="K109:M109"/>
    <mergeCell ref="F111:H11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113"/>
  <sheetViews>
    <sheetView topLeftCell="A11" zoomScale="70" zoomScaleNormal="70" workbookViewId="0">
      <pane xSplit="2" ySplit="3" topLeftCell="C99" activePane="bottomRight" state="frozen"/>
      <selection activeCell="A11" sqref="A11"/>
      <selection pane="topRight" activeCell="C11" sqref="C11"/>
      <selection pane="bottomLeft" activeCell="A14" sqref="A14"/>
      <selection pane="bottomRight" activeCell="Z111" sqref="Z111"/>
    </sheetView>
  </sheetViews>
  <sheetFormatPr defaultRowHeight="12.75" x14ac:dyDescent="0.2"/>
  <cols>
    <col min="2" max="2" width="15.140625" customWidth="1"/>
    <col min="3" max="3" width="16" customWidth="1"/>
    <col min="4" max="4" width="8.85546875" customWidth="1"/>
    <col min="5" max="5" width="81.7109375" customWidth="1"/>
    <col min="8" max="8" width="16.5703125" customWidth="1"/>
    <col min="9" max="9" width="14.7109375" customWidth="1"/>
    <col min="16" max="16" width="8.85546875" style="594"/>
    <col min="17" max="17" width="10.5703125" bestFit="1" customWidth="1"/>
    <col min="18" max="19" width="9.140625" style="396"/>
    <col min="22" max="22" width="8.5703125" customWidth="1"/>
    <col min="31" max="31" width="14.28515625" customWidth="1"/>
    <col min="32" max="32" width="60.7109375" customWidth="1"/>
  </cols>
  <sheetData>
    <row r="1" spans="1:32" ht="18.75" x14ac:dyDescent="0.3">
      <c r="A1" s="402"/>
      <c r="B1" s="402"/>
      <c r="C1" s="402"/>
      <c r="D1" s="402"/>
      <c r="E1" s="402"/>
      <c r="F1" s="402"/>
      <c r="G1" s="402"/>
      <c r="H1" s="402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402"/>
      <c r="Z1" s="402"/>
      <c r="AA1" s="402"/>
      <c r="AB1" s="402"/>
      <c r="AC1" s="402"/>
      <c r="AD1" s="402"/>
      <c r="AE1" s="402"/>
      <c r="AF1" s="402"/>
    </row>
    <row r="2" spans="1:32" ht="18.75" x14ac:dyDescent="0.3">
      <c r="A2" s="402"/>
      <c r="B2" s="402"/>
      <c r="C2" s="402"/>
      <c r="D2" s="402"/>
      <c r="E2" s="402"/>
      <c r="F2" s="403"/>
      <c r="G2" s="582"/>
      <c r="H2" s="582"/>
      <c r="I2" s="403"/>
      <c r="J2" s="1909" t="s">
        <v>370</v>
      </c>
      <c r="K2" s="1893"/>
      <c r="L2" s="1893"/>
      <c r="M2" s="1893"/>
      <c r="N2" s="1893"/>
      <c r="O2" s="1893"/>
      <c r="P2" s="1893"/>
      <c r="Q2" s="1893"/>
      <c r="R2" s="1893"/>
      <c r="S2" s="1893"/>
      <c r="T2" s="1893"/>
      <c r="U2" s="1893"/>
      <c r="V2" s="1893"/>
      <c r="W2" s="1893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582"/>
      <c r="H3" s="406"/>
      <c r="I3" s="406"/>
      <c r="J3" s="406"/>
      <c r="K3" s="406"/>
      <c r="L3" s="406"/>
      <c r="M3" s="406"/>
      <c r="N3" s="406"/>
      <c r="O3" s="406"/>
      <c r="P3" s="591"/>
      <c r="Q3" s="406"/>
      <c r="R3" s="718"/>
      <c r="S3" s="718"/>
      <c r="T3" s="403"/>
      <c r="U3" s="403"/>
      <c r="V3" s="403"/>
      <c r="W3" s="403"/>
      <c r="X3" s="403"/>
      <c r="Y3" s="403"/>
      <c r="Z3" s="403"/>
      <c r="AA3" s="403"/>
      <c r="AB3" s="403"/>
      <c r="AC3" s="407"/>
      <c r="AD3" s="407"/>
      <c r="AE3" s="407"/>
      <c r="AF3" s="408" t="s">
        <v>55</v>
      </c>
    </row>
    <row r="4" spans="1:32" ht="18.75" x14ac:dyDescent="0.2">
      <c r="A4" s="583" t="s">
        <v>311</v>
      </c>
      <c r="B4" s="583"/>
      <c r="C4" s="583"/>
      <c r="D4" s="583"/>
      <c r="E4" s="583"/>
      <c r="F4" s="403"/>
      <c r="G4" s="582"/>
      <c r="H4" s="582"/>
      <c r="I4" s="406"/>
      <c r="J4" s="406"/>
      <c r="K4" s="406"/>
      <c r="L4" s="406"/>
      <c r="M4" s="406"/>
      <c r="N4" s="406"/>
      <c r="O4" s="406"/>
      <c r="P4" s="591"/>
      <c r="Q4" s="406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7"/>
      <c r="AD4" s="407"/>
      <c r="AE4" s="407"/>
      <c r="AF4" s="411" t="s">
        <v>338</v>
      </c>
    </row>
    <row r="5" spans="1:32" ht="18.75" x14ac:dyDescent="0.2">
      <c r="A5" s="583" t="s">
        <v>316</v>
      </c>
      <c r="B5" s="412"/>
      <c r="C5" s="412"/>
      <c r="D5" s="412"/>
      <c r="E5" s="403"/>
      <c r="F5" s="403"/>
      <c r="G5" s="582"/>
      <c r="H5" s="582"/>
      <c r="I5" s="403"/>
      <c r="J5" s="403"/>
      <c r="K5" s="582"/>
      <c r="L5" s="582"/>
      <c r="M5" s="403"/>
      <c r="N5" s="403"/>
      <c r="O5" s="403"/>
      <c r="P5" s="601"/>
      <c r="Q5" s="414"/>
      <c r="R5" s="718"/>
      <c r="S5" s="718"/>
      <c r="T5" s="403"/>
      <c r="U5" s="403"/>
      <c r="V5" s="403"/>
      <c r="W5" s="403"/>
      <c r="X5" s="403"/>
      <c r="Y5" s="403"/>
      <c r="Z5" s="403"/>
      <c r="AA5" s="403"/>
      <c r="AB5" s="403"/>
      <c r="AC5" s="407"/>
      <c r="AD5" s="407"/>
      <c r="AE5" s="407"/>
      <c r="AF5" s="415" t="s">
        <v>308</v>
      </c>
    </row>
    <row r="6" spans="1:32" ht="18.75" x14ac:dyDescent="0.2">
      <c r="A6" s="403"/>
      <c r="B6" s="583"/>
      <c r="C6" s="583"/>
      <c r="D6" s="583"/>
      <c r="E6" s="403"/>
      <c r="F6" s="403"/>
      <c r="G6" s="582"/>
      <c r="H6" s="582"/>
      <c r="I6" s="405"/>
      <c r="J6" s="403"/>
      <c r="K6" s="582"/>
      <c r="L6" s="582"/>
      <c r="M6" s="403"/>
      <c r="N6" s="403"/>
      <c r="O6" s="403"/>
      <c r="P6" s="601"/>
      <c r="Q6" s="414"/>
      <c r="R6" s="718"/>
      <c r="S6" s="718"/>
      <c r="T6" s="403"/>
      <c r="U6" s="403"/>
      <c r="V6" s="403"/>
      <c r="W6" s="411"/>
      <c r="X6" s="403"/>
      <c r="Y6" s="412"/>
      <c r="Z6" s="412"/>
      <c r="AA6" s="412"/>
      <c r="AB6" s="412"/>
      <c r="AC6" s="416"/>
      <c r="AD6" s="416"/>
      <c r="AE6" s="416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582"/>
      <c r="H7" s="582"/>
      <c r="I7" s="405"/>
      <c r="J7" s="403"/>
      <c r="K7" s="582"/>
      <c r="L7" s="582"/>
      <c r="M7" s="403"/>
      <c r="N7" s="403"/>
      <c r="O7" s="403"/>
      <c r="P7" s="601"/>
      <c r="Q7" s="414"/>
      <c r="R7" s="718"/>
      <c r="S7" s="718"/>
      <c r="T7" s="403"/>
      <c r="U7" s="403"/>
      <c r="V7" s="403"/>
      <c r="W7" s="411"/>
      <c r="X7" s="403"/>
      <c r="Y7" s="412"/>
      <c r="Z7" s="412"/>
      <c r="AA7" s="412"/>
      <c r="AB7" s="412"/>
      <c r="AC7" s="416"/>
      <c r="AD7" s="416"/>
      <c r="AE7" s="416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403"/>
      <c r="G8" s="582"/>
      <c r="H8" s="582"/>
      <c r="I8" s="405"/>
      <c r="J8" s="403"/>
      <c r="K8" s="582"/>
      <c r="L8" s="582"/>
      <c r="M8" s="403"/>
      <c r="N8" s="403"/>
      <c r="O8" s="403"/>
      <c r="P8" s="601"/>
      <c r="Q8" s="414"/>
      <c r="R8" s="718"/>
      <c r="S8" s="718"/>
      <c r="T8" s="403"/>
      <c r="U8" s="403"/>
      <c r="V8" s="403"/>
      <c r="W8" s="411"/>
      <c r="X8" s="403"/>
      <c r="Y8" s="412"/>
      <c r="Z8" s="412"/>
      <c r="AA8" s="412"/>
      <c r="AB8" s="412"/>
      <c r="AC8" s="416"/>
      <c r="AD8" s="416"/>
      <c r="AE8" s="416"/>
      <c r="AF8" s="415"/>
    </row>
    <row r="9" spans="1:32" ht="18.75" x14ac:dyDescent="0.3">
      <c r="A9" s="418"/>
      <c r="B9" s="1911"/>
      <c r="C9" s="1911"/>
      <c r="D9" s="1911"/>
      <c r="E9" s="1911"/>
      <c r="F9" s="403"/>
      <c r="G9" s="582"/>
      <c r="H9" s="582"/>
      <c r="I9" s="403"/>
      <c r="J9" s="403"/>
      <c r="K9" s="582"/>
      <c r="L9" s="582"/>
      <c r="M9" s="582"/>
      <c r="N9" s="582"/>
      <c r="O9" s="582"/>
      <c r="P9" s="596"/>
      <c r="Q9" s="582"/>
      <c r="R9" s="716"/>
      <c r="S9" s="716"/>
      <c r="T9" s="582"/>
      <c r="U9" s="582"/>
      <c r="V9" s="582"/>
      <c r="W9" s="403"/>
      <c r="X9" s="403"/>
      <c r="Y9" s="412"/>
      <c r="Z9" s="412"/>
      <c r="AA9" s="412"/>
      <c r="AB9" s="412"/>
      <c r="AC9" s="416"/>
      <c r="AD9" s="416"/>
      <c r="AE9" s="416"/>
      <c r="AF9" s="417"/>
    </row>
    <row r="10" spans="1:32" ht="18.75" x14ac:dyDescent="0.2">
      <c r="B10" s="582"/>
      <c r="C10" s="582"/>
      <c r="D10" s="582"/>
      <c r="E10" s="403"/>
      <c r="F10" s="403"/>
      <c r="G10" s="582"/>
      <c r="H10" s="582"/>
      <c r="I10" s="405"/>
      <c r="J10" s="403"/>
      <c r="K10" s="582"/>
      <c r="L10" s="582"/>
      <c r="M10" s="403"/>
      <c r="N10" s="403"/>
      <c r="O10" s="403"/>
      <c r="P10" s="601"/>
      <c r="Q10" s="414"/>
      <c r="R10" s="718"/>
      <c r="S10" s="718"/>
      <c r="T10" s="403"/>
      <c r="U10" s="403"/>
      <c r="V10" s="403"/>
      <c r="W10" s="411"/>
      <c r="X10" s="403"/>
      <c r="Y10" s="412"/>
      <c r="Z10" s="412"/>
      <c r="AA10" s="412"/>
      <c r="AB10" s="412"/>
      <c r="AC10" s="416"/>
      <c r="AD10" s="416"/>
      <c r="AE10" s="416"/>
      <c r="AF10" s="419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590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7" t="s">
        <v>16</v>
      </c>
      <c r="W12" s="1903" t="s">
        <v>17</v>
      </c>
      <c r="X12" s="1903" t="s">
        <v>24</v>
      </c>
      <c r="Y12" s="1891" t="s">
        <v>15</v>
      </c>
      <c r="Z12" s="1895"/>
      <c r="AA12" s="1895"/>
      <c r="AB12" s="1903" t="s">
        <v>100</v>
      </c>
      <c r="AC12" s="1903" t="s">
        <v>16</v>
      </c>
      <c r="AD12" s="581" t="s">
        <v>18</v>
      </c>
      <c r="AE12" s="581" t="s">
        <v>20</v>
      </c>
      <c r="AF12" s="1891" t="s">
        <v>21</v>
      </c>
    </row>
    <row r="13" spans="1:32" ht="37.5" x14ac:dyDescent="0.2">
      <c r="A13" s="1891"/>
      <c r="B13" s="1891"/>
      <c r="C13" s="1903"/>
      <c r="D13" s="585" t="s">
        <v>3</v>
      </c>
      <c r="E13" s="585" t="s">
        <v>3</v>
      </c>
      <c r="F13" s="585" t="s">
        <v>4</v>
      </c>
      <c r="G13" s="1903"/>
      <c r="H13" s="1903"/>
      <c r="I13" s="1891"/>
      <c r="J13" s="424" t="s">
        <v>7</v>
      </c>
      <c r="K13" s="424" t="s">
        <v>30</v>
      </c>
      <c r="L13" s="424" t="s">
        <v>29</v>
      </c>
      <c r="M13" s="424" t="s">
        <v>31</v>
      </c>
      <c r="N13" s="424" t="s">
        <v>32</v>
      </c>
      <c r="O13" s="424" t="s">
        <v>12</v>
      </c>
      <c r="P13" s="612" t="s">
        <v>13</v>
      </c>
      <c r="Q13" s="437" t="s">
        <v>26</v>
      </c>
      <c r="R13" s="717" t="s">
        <v>14</v>
      </c>
      <c r="S13" s="717" t="s">
        <v>25</v>
      </c>
      <c r="T13" s="424" t="s">
        <v>113</v>
      </c>
      <c r="U13" s="1903"/>
      <c r="V13" s="1907"/>
      <c r="W13" s="1903"/>
      <c r="X13" s="1903"/>
      <c r="Y13" s="585" t="s">
        <v>14</v>
      </c>
      <c r="Z13" s="585" t="s">
        <v>25</v>
      </c>
      <c r="AA13" s="585" t="s">
        <v>113</v>
      </c>
      <c r="AB13" s="1904"/>
      <c r="AC13" s="1903"/>
      <c r="AD13" s="585" t="s">
        <v>19</v>
      </c>
      <c r="AE13" s="585" t="s">
        <v>27</v>
      </c>
      <c r="AF13" s="1891"/>
    </row>
    <row r="14" spans="1:32" ht="18.75" customHeight="1" x14ac:dyDescent="0.2">
      <c r="A14" s="629">
        <v>1</v>
      </c>
      <c r="B14" s="428" t="s">
        <v>139</v>
      </c>
      <c r="C14" s="629" t="s">
        <v>46</v>
      </c>
      <c r="D14" s="629">
        <v>610.5</v>
      </c>
      <c r="E14" s="629" t="s">
        <v>203</v>
      </c>
      <c r="F14" s="629">
        <v>177.8</v>
      </c>
      <c r="G14" s="629" t="s">
        <v>28</v>
      </c>
      <c r="H14" s="592" t="s">
        <v>52</v>
      </c>
      <c r="I14" s="585">
        <v>558.05999999999995</v>
      </c>
      <c r="J14" s="629">
        <v>205</v>
      </c>
      <c r="K14" s="629"/>
      <c r="L14" s="629">
        <v>280</v>
      </c>
      <c r="M14" s="629"/>
      <c r="N14" s="629">
        <v>1.2</v>
      </c>
      <c r="O14" s="629"/>
      <c r="P14" s="430">
        <v>27.917674935210282</v>
      </c>
      <c r="Q14" s="431">
        <f t="shared" ref="Q14:Q37" si="0">LEFT(H14,(FIND("K",H14,1)-1))*J14/100</f>
        <v>45.1</v>
      </c>
      <c r="R14" s="432">
        <v>2.76</v>
      </c>
      <c r="S14" s="431">
        <v>6</v>
      </c>
      <c r="T14" s="431">
        <v>5</v>
      </c>
      <c r="U14" s="431">
        <f t="shared" ref="U14:U76" si="1">T14/R14</f>
        <v>1.8115942028985508</v>
      </c>
      <c r="V14" s="433">
        <f>(S14-R14)/S14*100</f>
        <v>54</v>
      </c>
      <c r="W14" s="432">
        <v>0.1</v>
      </c>
      <c r="X14" s="431">
        <f t="shared" ref="X14:X46" si="2">S14/Q14</f>
        <v>0.13303769401330376</v>
      </c>
      <c r="Y14" s="431">
        <f>R14*0.952</f>
        <v>2.6275199999999996</v>
      </c>
      <c r="Z14" s="431">
        <f>S14*0.952</f>
        <v>5.7119999999999997</v>
      </c>
      <c r="AA14" s="431">
        <f>T14*0.952</f>
        <v>4.76</v>
      </c>
      <c r="AB14" s="431">
        <f>U14</f>
        <v>1.8115942028985508</v>
      </c>
      <c r="AC14" s="431">
        <f t="shared" ref="AC14:AC77" si="3">V14</f>
        <v>54</v>
      </c>
      <c r="AD14" s="629">
        <v>30</v>
      </c>
      <c r="AE14" s="431">
        <f>Y14*AD14</f>
        <v>78.825599999999994</v>
      </c>
      <c r="AF14" s="434"/>
    </row>
    <row r="15" spans="1:32" ht="18.75" customHeight="1" x14ac:dyDescent="0.2">
      <c r="A15" s="706">
        <v>2</v>
      </c>
      <c r="B15" s="428" t="s">
        <v>140</v>
      </c>
      <c r="C15" s="629" t="s">
        <v>46</v>
      </c>
      <c r="D15" s="629">
        <v>585</v>
      </c>
      <c r="E15" s="629" t="s">
        <v>348</v>
      </c>
      <c r="F15" s="629">
        <v>177.8</v>
      </c>
      <c r="G15" s="629" t="s">
        <v>28</v>
      </c>
      <c r="H15" s="592" t="s">
        <v>50</v>
      </c>
      <c r="I15" s="585">
        <v>579.99</v>
      </c>
      <c r="J15" s="629">
        <v>200</v>
      </c>
      <c r="K15" s="629"/>
      <c r="L15" s="629">
        <v>434</v>
      </c>
      <c r="M15" s="629"/>
      <c r="N15" s="629">
        <v>2.2999999999999998</v>
      </c>
      <c r="O15" s="629"/>
      <c r="P15" s="430">
        <v>16.250777891817997</v>
      </c>
      <c r="Q15" s="431">
        <f t="shared" si="0"/>
        <v>12</v>
      </c>
      <c r="R15" s="431">
        <v>1.9</v>
      </c>
      <c r="S15" s="431">
        <v>2.4</v>
      </c>
      <c r="T15" s="431">
        <v>7.6</v>
      </c>
      <c r="U15" s="431">
        <f t="shared" si="1"/>
        <v>4</v>
      </c>
      <c r="V15" s="433">
        <f>(S15-R15)/S15*100</f>
        <v>20.833333333333336</v>
      </c>
      <c r="W15" s="431">
        <v>0.2</v>
      </c>
      <c r="X15" s="431">
        <f t="shared" si="2"/>
        <v>0.19999999999999998</v>
      </c>
      <c r="Y15" s="431">
        <f t="shared" ref="Y15:AA30" si="4">R15*0.952</f>
        <v>1.8087999999999997</v>
      </c>
      <c r="Z15" s="431">
        <f t="shared" si="4"/>
        <v>2.2847999999999997</v>
      </c>
      <c r="AA15" s="431">
        <f t="shared" si="4"/>
        <v>7.235199999999999</v>
      </c>
      <c r="AB15" s="431">
        <f t="shared" ref="AB15:AB77" si="5">U15</f>
        <v>4</v>
      </c>
      <c r="AC15" s="431">
        <f t="shared" si="3"/>
        <v>20.833333333333336</v>
      </c>
      <c r="AD15" s="629">
        <v>30</v>
      </c>
      <c r="AE15" s="431">
        <f t="shared" ref="AE15:AE57" si="6">Y15*AD15</f>
        <v>54.263999999999996</v>
      </c>
      <c r="AF15" s="434"/>
    </row>
    <row r="16" spans="1:32" ht="18.75" customHeight="1" x14ac:dyDescent="0.2">
      <c r="A16" s="706">
        <v>3</v>
      </c>
      <c r="B16" s="428" t="s">
        <v>141</v>
      </c>
      <c r="C16" s="629" t="s">
        <v>46</v>
      </c>
      <c r="D16" s="629">
        <v>670</v>
      </c>
      <c r="E16" s="629" t="s">
        <v>68</v>
      </c>
      <c r="F16" s="629">
        <v>177.8</v>
      </c>
      <c r="G16" s="629" t="s">
        <v>28</v>
      </c>
      <c r="H16" s="592" t="s">
        <v>218</v>
      </c>
      <c r="I16" s="585">
        <v>565.94000000000005</v>
      </c>
      <c r="J16" s="629">
        <v>180</v>
      </c>
      <c r="K16" s="629"/>
      <c r="L16" s="629">
        <v>490</v>
      </c>
      <c r="M16" s="629"/>
      <c r="N16" s="430">
        <v>9</v>
      </c>
      <c r="O16" s="629"/>
      <c r="P16" s="430">
        <v>13.094296964837984</v>
      </c>
      <c r="Q16" s="431">
        <f>LEFT(H16,(FIND("K",H16,1)-1))*J16/100</f>
        <v>57.6</v>
      </c>
      <c r="R16" s="432">
        <v>17</v>
      </c>
      <c r="S16" s="431">
        <v>26</v>
      </c>
      <c r="T16" s="530">
        <v>1946</v>
      </c>
      <c r="U16" s="431">
        <f t="shared" si="1"/>
        <v>114.47058823529412</v>
      </c>
      <c r="V16" s="433">
        <f t="shared" ref="V16:V76" si="7">(S16-R16)/S16*100</f>
        <v>34.615384615384613</v>
      </c>
      <c r="W16" s="432">
        <v>0.1</v>
      </c>
      <c r="X16" s="431">
        <f t="shared" si="2"/>
        <v>0.4513888888888889</v>
      </c>
      <c r="Y16" s="431">
        <f t="shared" si="4"/>
        <v>16.183999999999997</v>
      </c>
      <c r="Z16" s="431">
        <f t="shared" si="4"/>
        <v>24.751999999999999</v>
      </c>
      <c r="AA16" s="530">
        <f t="shared" si="4"/>
        <v>1852.5919999999999</v>
      </c>
      <c r="AB16" s="431">
        <f t="shared" si="5"/>
        <v>114.47058823529412</v>
      </c>
      <c r="AC16" s="431">
        <f t="shared" si="3"/>
        <v>34.615384615384613</v>
      </c>
      <c r="AD16" s="629">
        <v>30</v>
      </c>
      <c r="AE16" s="431">
        <f>Y16*AD16</f>
        <v>485.51999999999992</v>
      </c>
      <c r="AF16" s="434"/>
    </row>
    <row r="17" spans="1:32" ht="18.75" customHeight="1" x14ac:dyDescent="0.2">
      <c r="A17" s="706">
        <v>4</v>
      </c>
      <c r="B17" s="428" t="s">
        <v>142</v>
      </c>
      <c r="C17" s="629" t="s">
        <v>46</v>
      </c>
      <c r="D17" s="629">
        <v>628</v>
      </c>
      <c r="E17" s="629" t="s">
        <v>297</v>
      </c>
      <c r="F17" s="629">
        <v>177.8</v>
      </c>
      <c r="G17" s="629" t="s">
        <v>28</v>
      </c>
      <c r="H17" s="592" t="s">
        <v>53</v>
      </c>
      <c r="I17" s="585">
        <v>538.47</v>
      </c>
      <c r="J17" s="629">
        <v>330</v>
      </c>
      <c r="K17" s="629"/>
      <c r="L17" s="629">
        <v>450</v>
      </c>
      <c r="M17" s="629"/>
      <c r="N17" s="430">
        <v>3.7</v>
      </c>
      <c r="O17" s="629"/>
      <c r="P17" s="430">
        <v>14.057785675584336</v>
      </c>
      <c r="Q17" s="431">
        <f t="shared" si="0"/>
        <v>42.9</v>
      </c>
      <c r="R17" s="432">
        <v>6.4</v>
      </c>
      <c r="S17" s="431">
        <v>8.5</v>
      </c>
      <c r="T17" s="431">
        <v>74</v>
      </c>
      <c r="U17" s="431">
        <f t="shared" si="1"/>
        <v>11.5625</v>
      </c>
      <c r="V17" s="433">
        <f t="shared" si="7"/>
        <v>24.70588235294117</v>
      </c>
      <c r="W17" s="432">
        <v>0.2</v>
      </c>
      <c r="X17" s="431">
        <f>S17/Q17</f>
        <v>0.19813519813519814</v>
      </c>
      <c r="Y17" s="431">
        <f t="shared" si="4"/>
        <v>6.0928000000000004</v>
      </c>
      <c r="Z17" s="431">
        <f t="shared" si="4"/>
        <v>8.0919999999999987</v>
      </c>
      <c r="AA17" s="431">
        <f t="shared" si="4"/>
        <v>70.447999999999993</v>
      </c>
      <c r="AB17" s="431">
        <f t="shared" si="5"/>
        <v>11.5625</v>
      </c>
      <c r="AC17" s="431">
        <f t="shared" si="3"/>
        <v>24.70588235294117</v>
      </c>
      <c r="AD17" s="629">
        <v>30</v>
      </c>
      <c r="AE17" s="431">
        <f t="shared" si="6"/>
        <v>182.78400000000002</v>
      </c>
      <c r="AF17" s="434"/>
    </row>
    <row r="18" spans="1:32" ht="18.75" customHeight="1" x14ac:dyDescent="0.2">
      <c r="A18" s="706">
        <v>5</v>
      </c>
      <c r="B18" s="428" t="s">
        <v>143</v>
      </c>
      <c r="C18" s="629" t="s">
        <v>46</v>
      </c>
      <c r="D18" s="629">
        <v>576.6</v>
      </c>
      <c r="E18" s="629" t="s">
        <v>70</v>
      </c>
      <c r="F18" s="629">
        <v>177.8</v>
      </c>
      <c r="G18" s="629" t="s">
        <v>28</v>
      </c>
      <c r="H18" s="550" t="s">
        <v>53</v>
      </c>
      <c r="I18" s="585">
        <v>546</v>
      </c>
      <c r="J18" s="629">
        <v>140</v>
      </c>
      <c r="K18" s="629"/>
      <c r="L18" s="629">
        <v>439</v>
      </c>
      <c r="M18" s="435"/>
      <c r="N18" s="629">
        <v>5.5</v>
      </c>
      <c r="O18" s="629"/>
      <c r="P18" s="430">
        <v>17.253251982963324</v>
      </c>
      <c r="Q18" s="431">
        <f t="shared" si="0"/>
        <v>18.2</v>
      </c>
      <c r="R18" s="432">
        <v>4.7</v>
      </c>
      <c r="S18" s="431">
        <v>5</v>
      </c>
      <c r="T18" s="431">
        <v>24</v>
      </c>
      <c r="U18" s="431">
        <f t="shared" si="1"/>
        <v>5.1063829787234036</v>
      </c>
      <c r="V18" s="433">
        <f t="shared" si="7"/>
        <v>5.9999999999999964</v>
      </c>
      <c r="W18" s="432">
        <v>0.5</v>
      </c>
      <c r="X18" s="431">
        <f>S18/Q18</f>
        <v>0.27472527472527475</v>
      </c>
      <c r="Y18" s="431">
        <f t="shared" si="4"/>
        <v>4.4744000000000002</v>
      </c>
      <c r="Z18" s="431">
        <f t="shared" si="4"/>
        <v>4.76</v>
      </c>
      <c r="AA18" s="431">
        <f t="shared" si="4"/>
        <v>22.847999999999999</v>
      </c>
      <c r="AB18" s="431">
        <f t="shared" si="5"/>
        <v>5.1063829787234036</v>
      </c>
      <c r="AC18" s="431">
        <f t="shared" si="3"/>
        <v>5.9999999999999964</v>
      </c>
      <c r="AD18" s="629">
        <v>30</v>
      </c>
      <c r="AE18" s="431">
        <f t="shared" si="6"/>
        <v>134.232</v>
      </c>
      <c r="AF18" s="434"/>
    </row>
    <row r="19" spans="1:32" ht="18.75" customHeight="1" x14ac:dyDescent="0.2">
      <c r="A19" s="706">
        <v>6</v>
      </c>
      <c r="B19" s="428" t="s">
        <v>144</v>
      </c>
      <c r="C19" s="629" t="s">
        <v>46</v>
      </c>
      <c r="D19" s="629">
        <v>676.6</v>
      </c>
      <c r="E19" s="629" t="s">
        <v>71</v>
      </c>
      <c r="F19" s="629">
        <v>177.8</v>
      </c>
      <c r="G19" s="629" t="s">
        <v>28</v>
      </c>
      <c r="H19" s="592" t="s">
        <v>50</v>
      </c>
      <c r="I19" s="585">
        <v>584.32000000000005</v>
      </c>
      <c r="J19" s="629">
        <v>315</v>
      </c>
      <c r="K19" s="629"/>
      <c r="L19" s="629">
        <v>438</v>
      </c>
      <c r="M19" s="629"/>
      <c r="N19" s="629">
        <v>1.2</v>
      </c>
      <c r="O19" s="629"/>
      <c r="P19" s="430">
        <v>16.473887047388796</v>
      </c>
      <c r="Q19" s="431">
        <f t="shared" si="0"/>
        <v>18.899999999999999</v>
      </c>
      <c r="R19" s="432">
        <v>3.3</v>
      </c>
      <c r="S19" s="431">
        <v>4.0999999999999996</v>
      </c>
      <c r="T19" s="431">
        <v>0</v>
      </c>
      <c r="U19" s="431">
        <f t="shared" si="1"/>
        <v>0</v>
      </c>
      <c r="V19" s="433">
        <f t="shared" si="7"/>
        <v>19.512195121951219</v>
      </c>
      <c r="W19" s="432">
        <v>0.3</v>
      </c>
      <c r="X19" s="431">
        <f>S19/Q19</f>
        <v>0.21693121693121692</v>
      </c>
      <c r="Y19" s="431">
        <f t="shared" si="4"/>
        <v>3.1415999999999995</v>
      </c>
      <c r="Z19" s="431">
        <f t="shared" si="4"/>
        <v>3.9031999999999996</v>
      </c>
      <c r="AA19" s="431">
        <f t="shared" si="4"/>
        <v>0</v>
      </c>
      <c r="AB19" s="431">
        <v>14.613</v>
      </c>
      <c r="AC19" s="431">
        <f t="shared" si="3"/>
        <v>19.512195121951219</v>
      </c>
      <c r="AD19" s="629">
        <v>30</v>
      </c>
      <c r="AE19" s="431">
        <f t="shared" si="6"/>
        <v>94.24799999999999</v>
      </c>
      <c r="AF19" s="434"/>
    </row>
    <row r="20" spans="1:32" ht="18.75" customHeight="1" x14ac:dyDescent="0.2">
      <c r="A20" s="706">
        <v>7</v>
      </c>
      <c r="B20" s="428" t="s">
        <v>145</v>
      </c>
      <c r="C20" s="629" t="s">
        <v>46</v>
      </c>
      <c r="D20" s="629" t="s">
        <v>47</v>
      </c>
      <c r="E20" s="629" t="s">
        <v>72</v>
      </c>
      <c r="F20" s="629">
        <v>177.8</v>
      </c>
      <c r="G20" s="629" t="s">
        <v>28</v>
      </c>
      <c r="H20" s="592" t="s">
        <v>52</v>
      </c>
      <c r="I20" s="585">
        <v>560</v>
      </c>
      <c r="J20" s="629">
        <v>180</v>
      </c>
      <c r="K20" s="629"/>
      <c r="L20" s="629">
        <v>455</v>
      </c>
      <c r="M20" s="629"/>
      <c r="N20" s="629">
        <v>7.4</v>
      </c>
      <c r="O20" s="629"/>
      <c r="P20" s="430">
        <v>19.811182305031746</v>
      </c>
      <c r="Q20" s="431">
        <f t="shared" si="0"/>
        <v>39.6</v>
      </c>
      <c r="R20" s="432">
        <v>14.5</v>
      </c>
      <c r="S20" s="431">
        <v>16.5</v>
      </c>
      <c r="T20" s="431">
        <v>159</v>
      </c>
      <c r="U20" s="431">
        <f t="shared" si="1"/>
        <v>10.96551724137931</v>
      </c>
      <c r="V20" s="433">
        <f t="shared" si="7"/>
        <v>12.121212121212121</v>
      </c>
      <c r="W20" s="432">
        <v>0.2</v>
      </c>
      <c r="X20" s="431">
        <f t="shared" si="2"/>
        <v>0.41666666666666663</v>
      </c>
      <c r="Y20" s="431">
        <f t="shared" si="4"/>
        <v>13.803999999999998</v>
      </c>
      <c r="Z20" s="431">
        <f t="shared" si="4"/>
        <v>15.707999999999998</v>
      </c>
      <c r="AA20" s="431">
        <f t="shared" si="4"/>
        <v>151.36799999999999</v>
      </c>
      <c r="AB20" s="431">
        <f t="shared" si="5"/>
        <v>10.96551724137931</v>
      </c>
      <c r="AC20" s="431">
        <f t="shared" si="3"/>
        <v>12.121212121212121</v>
      </c>
      <c r="AD20" s="629">
        <v>30</v>
      </c>
      <c r="AE20" s="431">
        <f t="shared" si="6"/>
        <v>414.11999999999995</v>
      </c>
      <c r="AF20" s="434"/>
    </row>
    <row r="21" spans="1:32" ht="18.75" customHeight="1" x14ac:dyDescent="0.2">
      <c r="A21" s="706">
        <v>8</v>
      </c>
      <c r="B21" s="428" t="s">
        <v>146</v>
      </c>
      <c r="C21" s="629" t="s">
        <v>46</v>
      </c>
      <c r="D21" s="629">
        <v>764</v>
      </c>
      <c r="E21" s="436" t="s">
        <v>73</v>
      </c>
      <c r="F21" s="629">
        <v>177.8</v>
      </c>
      <c r="G21" s="629" t="s">
        <v>28</v>
      </c>
      <c r="H21" s="592" t="s">
        <v>52</v>
      </c>
      <c r="I21" s="437">
        <v>550</v>
      </c>
      <c r="J21" s="629">
        <v>95</v>
      </c>
      <c r="K21" s="606"/>
      <c r="L21" s="629">
        <v>248</v>
      </c>
      <c r="M21" s="606"/>
      <c r="N21" s="629">
        <v>8.1999999999999993</v>
      </c>
      <c r="O21" s="606"/>
      <c r="P21" s="430">
        <v>39.497500225391576</v>
      </c>
      <c r="Q21" s="431">
        <f t="shared" si="0"/>
        <v>20.9</v>
      </c>
      <c r="R21" s="432">
        <v>1.9</v>
      </c>
      <c r="S21" s="431">
        <v>18.7</v>
      </c>
      <c r="T21" s="431">
        <v>28</v>
      </c>
      <c r="U21" s="431">
        <f t="shared" si="1"/>
        <v>14.736842105263159</v>
      </c>
      <c r="V21" s="433">
        <f t="shared" si="7"/>
        <v>89.839572192513373</v>
      </c>
      <c r="W21" s="432">
        <v>0.4</v>
      </c>
      <c r="X21" s="431">
        <f t="shared" si="2"/>
        <v>0.89473684210526316</v>
      </c>
      <c r="Y21" s="431">
        <f t="shared" si="4"/>
        <v>1.8087999999999997</v>
      </c>
      <c r="Z21" s="431">
        <f t="shared" si="4"/>
        <v>17.802399999999999</v>
      </c>
      <c r="AA21" s="431">
        <f t="shared" si="4"/>
        <v>26.655999999999999</v>
      </c>
      <c r="AB21" s="431">
        <f t="shared" si="5"/>
        <v>14.736842105263159</v>
      </c>
      <c r="AC21" s="431">
        <f t="shared" si="3"/>
        <v>89.839572192513373</v>
      </c>
      <c r="AD21" s="629">
        <v>30</v>
      </c>
      <c r="AE21" s="431">
        <f t="shared" si="6"/>
        <v>54.263999999999996</v>
      </c>
      <c r="AF21" s="434"/>
    </row>
    <row r="22" spans="1:32" ht="18.75" customHeight="1" x14ac:dyDescent="0.2">
      <c r="A22" s="706">
        <v>9</v>
      </c>
      <c r="B22" s="428" t="s">
        <v>147</v>
      </c>
      <c r="C22" s="629" t="s">
        <v>46</v>
      </c>
      <c r="D22" s="629">
        <v>650.1</v>
      </c>
      <c r="E22" s="629" t="s">
        <v>74</v>
      </c>
      <c r="F22" s="629">
        <v>177.8</v>
      </c>
      <c r="G22" s="629" t="s">
        <v>28</v>
      </c>
      <c r="H22" s="592" t="s">
        <v>52</v>
      </c>
      <c r="I22" s="585">
        <v>591.98</v>
      </c>
      <c r="J22" s="629">
        <v>120</v>
      </c>
      <c r="K22" s="629"/>
      <c r="L22" s="629">
        <v>473</v>
      </c>
      <c r="M22" s="629"/>
      <c r="N22" s="629">
        <v>6.5</v>
      </c>
      <c r="O22" s="629"/>
      <c r="P22" s="430">
        <v>16.266473351685811</v>
      </c>
      <c r="Q22" s="431">
        <f t="shared" si="0"/>
        <v>26.4</v>
      </c>
      <c r="R22" s="432">
        <v>6.8</v>
      </c>
      <c r="S22" s="431">
        <v>9.8000000000000007</v>
      </c>
      <c r="T22" s="431">
        <v>17</v>
      </c>
      <c r="U22" s="431">
        <f t="shared" si="1"/>
        <v>2.5</v>
      </c>
      <c r="V22" s="433">
        <f t="shared" si="7"/>
        <v>30.61224489795919</v>
      </c>
      <c r="W22" s="432">
        <v>0.2</v>
      </c>
      <c r="X22" s="431">
        <v>0.2</v>
      </c>
      <c r="Y22" s="431">
        <f t="shared" si="4"/>
        <v>6.4735999999999994</v>
      </c>
      <c r="Z22" s="431">
        <f t="shared" si="4"/>
        <v>9.329600000000001</v>
      </c>
      <c r="AA22" s="431">
        <f t="shared" si="4"/>
        <v>16.183999999999997</v>
      </c>
      <c r="AB22" s="431">
        <f t="shared" si="5"/>
        <v>2.5</v>
      </c>
      <c r="AC22" s="431">
        <f t="shared" si="3"/>
        <v>30.61224489795919</v>
      </c>
      <c r="AD22" s="629">
        <v>30</v>
      </c>
      <c r="AE22" s="431">
        <f t="shared" si="6"/>
        <v>194.20799999999997</v>
      </c>
      <c r="AF22" s="434"/>
    </row>
    <row r="23" spans="1:32" ht="18.75" customHeight="1" x14ac:dyDescent="0.2">
      <c r="A23" s="706">
        <v>10</v>
      </c>
      <c r="B23" s="428" t="s">
        <v>149</v>
      </c>
      <c r="C23" s="629" t="s">
        <v>46</v>
      </c>
      <c r="D23" s="629">
        <v>606.29999999999995</v>
      </c>
      <c r="E23" s="629" t="s">
        <v>76</v>
      </c>
      <c r="F23" s="629">
        <v>177.8</v>
      </c>
      <c r="G23" s="629" t="s">
        <v>28</v>
      </c>
      <c r="H23" s="592" t="s">
        <v>52</v>
      </c>
      <c r="I23" s="585">
        <v>585.29999999999995</v>
      </c>
      <c r="J23" s="629">
        <v>240</v>
      </c>
      <c r="K23" s="629"/>
      <c r="L23" s="629">
        <v>336</v>
      </c>
      <c r="M23" s="629"/>
      <c r="N23" s="629">
        <v>7.6</v>
      </c>
      <c r="O23" s="629"/>
      <c r="P23" s="430">
        <v>35.483689526056835</v>
      </c>
      <c r="Q23" s="431">
        <f t="shared" si="0"/>
        <v>52.8</v>
      </c>
      <c r="R23" s="432">
        <v>0.72</v>
      </c>
      <c r="S23" s="431">
        <v>1.9</v>
      </c>
      <c r="T23" s="431">
        <v>0</v>
      </c>
      <c r="U23" s="431">
        <f t="shared" si="1"/>
        <v>0</v>
      </c>
      <c r="V23" s="433">
        <f t="shared" si="7"/>
        <v>62.10526315789474</v>
      </c>
      <c r="W23" s="432">
        <v>0.1</v>
      </c>
      <c r="X23" s="431">
        <f t="shared" si="2"/>
        <v>3.5984848484848488E-2</v>
      </c>
      <c r="Y23" s="431">
        <f t="shared" si="4"/>
        <v>0.68543999999999994</v>
      </c>
      <c r="Z23" s="431">
        <f t="shared" si="4"/>
        <v>1.8087999999999997</v>
      </c>
      <c r="AA23" s="431">
        <f t="shared" si="4"/>
        <v>0</v>
      </c>
      <c r="AB23" s="431">
        <f t="shared" si="5"/>
        <v>0</v>
      </c>
      <c r="AC23" s="431">
        <f t="shared" si="3"/>
        <v>62.10526315789474</v>
      </c>
      <c r="AD23" s="629">
        <v>30</v>
      </c>
      <c r="AE23" s="431">
        <f t="shared" si="6"/>
        <v>20.563199999999998</v>
      </c>
      <c r="AF23" s="439"/>
    </row>
    <row r="24" spans="1:32" ht="18.75" customHeight="1" x14ac:dyDescent="0.2">
      <c r="A24" s="706">
        <v>11</v>
      </c>
      <c r="B24" s="428" t="s">
        <v>150</v>
      </c>
      <c r="C24" s="629" t="s">
        <v>46</v>
      </c>
      <c r="D24" s="629">
        <v>661</v>
      </c>
      <c r="E24" s="609" t="s">
        <v>77</v>
      </c>
      <c r="F24" s="629">
        <v>177.8</v>
      </c>
      <c r="G24" s="629" t="s">
        <v>28</v>
      </c>
      <c r="H24" s="592" t="s">
        <v>53</v>
      </c>
      <c r="I24" s="585">
        <v>554.91</v>
      </c>
      <c r="J24" s="629">
        <v>185</v>
      </c>
      <c r="K24" s="629"/>
      <c r="L24" s="629">
        <v>392</v>
      </c>
      <c r="M24" s="629"/>
      <c r="N24" s="629">
        <v>1.3</v>
      </c>
      <c r="O24" s="629"/>
      <c r="P24" s="430">
        <v>17.084013202991489</v>
      </c>
      <c r="Q24" s="431">
        <f t="shared" si="0"/>
        <v>24.05</v>
      </c>
      <c r="R24" s="432">
        <v>1.27</v>
      </c>
      <c r="S24" s="431">
        <v>2.5</v>
      </c>
      <c r="T24" s="431">
        <v>7</v>
      </c>
      <c r="U24" s="431">
        <f t="shared" si="1"/>
        <v>5.5118110236220472</v>
      </c>
      <c r="V24" s="433">
        <f t="shared" si="7"/>
        <v>49.2</v>
      </c>
      <c r="W24" s="432">
        <v>0.2</v>
      </c>
      <c r="X24" s="431">
        <f t="shared" si="2"/>
        <v>0.10395010395010394</v>
      </c>
      <c r="Y24" s="431">
        <f t="shared" si="4"/>
        <v>1.2090399999999999</v>
      </c>
      <c r="Z24" s="431">
        <f t="shared" si="4"/>
        <v>2.38</v>
      </c>
      <c r="AA24" s="431">
        <f t="shared" si="4"/>
        <v>6.6639999999999997</v>
      </c>
      <c r="AB24" s="431">
        <f t="shared" si="5"/>
        <v>5.5118110236220472</v>
      </c>
      <c r="AC24" s="431">
        <f t="shared" si="3"/>
        <v>49.2</v>
      </c>
      <c r="AD24" s="629">
        <v>30</v>
      </c>
      <c r="AE24" s="431">
        <f t="shared" si="6"/>
        <v>36.271199999999993</v>
      </c>
      <c r="AF24" s="434"/>
    </row>
    <row r="25" spans="1:32" ht="18.75" customHeight="1" x14ac:dyDescent="0.2">
      <c r="A25" s="706">
        <v>12</v>
      </c>
      <c r="B25" s="428" t="s">
        <v>151</v>
      </c>
      <c r="C25" s="629" t="s">
        <v>46</v>
      </c>
      <c r="D25" s="629">
        <v>675.4</v>
      </c>
      <c r="E25" s="609" t="s">
        <v>298</v>
      </c>
      <c r="F25" s="629">
        <v>177.8</v>
      </c>
      <c r="G25" s="629" t="s">
        <v>28</v>
      </c>
      <c r="H25" s="592" t="s">
        <v>52</v>
      </c>
      <c r="I25" s="585">
        <v>553.5</v>
      </c>
      <c r="J25" s="629">
        <v>260</v>
      </c>
      <c r="K25" s="629"/>
      <c r="L25" s="629">
        <v>337</v>
      </c>
      <c r="M25" s="629"/>
      <c r="N25" s="629">
        <v>6.8</v>
      </c>
      <c r="O25" s="629"/>
      <c r="P25" s="430">
        <v>29.843400187465299</v>
      </c>
      <c r="Q25" s="431">
        <f t="shared" si="0"/>
        <v>57.2</v>
      </c>
      <c r="R25" s="432">
        <v>14</v>
      </c>
      <c r="S25" s="431">
        <v>21.4</v>
      </c>
      <c r="T25" s="431">
        <v>169</v>
      </c>
      <c r="U25" s="431">
        <f t="shared" si="1"/>
        <v>12.071428571428571</v>
      </c>
      <c r="V25" s="433">
        <f t="shared" si="7"/>
        <v>34.579439252336449</v>
      </c>
      <c r="W25" s="432">
        <v>0.3</v>
      </c>
      <c r="X25" s="431">
        <f t="shared" si="2"/>
        <v>0.37412587412587406</v>
      </c>
      <c r="Y25" s="431">
        <f t="shared" si="4"/>
        <v>13.327999999999999</v>
      </c>
      <c r="Z25" s="431">
        <f t="shared" si="4"/>
        <v>20.372799999999998</v>
      </c>
      <c r="AA25" s="431">
        <f t="shared" si="4"/>
        <v>160.88800000000001</v>
      </c>
      <c r="AB25" s="431">
        <f t="shared" si="5"/>
        <v>12.071428571428571</v>
      </c>
      <c r="AC25" s="431">
        <f t="shared" si="3"/>
        <v>34.579439252336449</v>
      </c>
      <c r="AD25" s="629">
        <v>30</v>
      </c>
      <c r="AE25" s="431">
        <f t="shared" si="6"/>
        <v>399.84</v>
      </c>
      <c r="AF25" s="434"/>
    </row>
    <row r="26" spans="1:32" ht="18.75" customHeight="1" x14ac:dyDescent="0.2">
      <c r="A26" s="706">
        <v>13</v>
      </c>
      <c r="B26" s="428" t="s">
        <v>36</v>
      </c>
      <c r="C26" s="629" t="s">
        <v>46</v>
      </c>
      <c r="D26" s="629">
        <v>584.5</v>
      </c>
      <c r="E26" s="609" t="s">
        <v>79</v>
      </c>
      <c r="F26" s="629">
        <v>177.8</v>
      </c>
      <c r="G26" s="629" t="s">
        <v>28</v>
      </c>
      <c r="H26" s="592" t="s">
        <v>49</v>
      </c>
      <c r="I26" s="585">
        <v>525.03</v>
      </c>
      <c r="J26" s="629">
        <v>100</v>
      </c>
      <c r="K26" s="629"/>
      <c r="L26" s="629">
        <v>316</v>
      </c>
      <c r="M26" s="629"/>
      <c r="N26" s="629">
        <v>6.3</v>
      </c>
      <c r="O26" s="629"/>
      <c r="P26" s="430">
        <v>27.34190003708331</v>
      </c>
      <c r="Q26" s="431">
        <f t="shared" si="0"/>
        <v>32</v>
      </c>
      <c r="R26" s="432">
        <v>14.4</v>
      </c>
      <c r="S26" s="431">
        <v>25.6</v>
      </c>
      <c r="T26" s="431">
        <v>151</v>
      </c>
      <c r="U26" s="431">
        <f t="shared" si="1"/>
        <v>10.486111111111111</v>
      </c>
      <c r="V26" s="433">
        <f t="shared" si="7"/>
        <v>43.75</v>
      </c>
      <c r="W26" s="432">
        <v>0.2</v>
      </c>
      <c r="X26" s="431">
        <f t="shared" si="2"/>
        <v>0.8</v>
      </c>
      <c r="Y26" s="431">
        <f t="shared" si="4"/>
        <v>13.7088</v>
      </c>
      <c r="Z26" s="431">
        <f t="shared" si="4"/>
        <v>24.371200000000002</v>
      </c>
      <c r="AA26" s="431">
        <f t="shared" si="4"/>
        <v>143.75199999999998</v>
      </c>
      <c r="AB26" s="431">
        <f t="shared" si="5"/>
        <v>10.486111111111111</v>
      </c>
      <c r="AC26" s="431">
        <f t="shared" si="3"/>
        <v>43.75</v>
      </c>
      <c r="AD26" s="629">
        <v>30</v>
      </c>
      <c r="AE26" s="431">
        <f t="shared" si="6"/>
        <v>411.26400000000001</v>
      </c>
      <c r="AF26" s="434"/>
    </row>
    <row r="27" spans="1:32" ht="18.75" customHeight="1" x14ac:dyDescent="0.2">
      <c r="A27" s="706">
        <v>14</v>
      </c>
      <c r="B27" s="428" t="s">
        <v>152</v>
      </c>
      <c r="C27" s="629" t="s">
        <v>46</v>
      </c>
      <c r="D27" s="629">
        <v>565</v>
      </c>
      <c r="E27" s="609" t="s">
        <v>80</v>
      </c>
      <c r="F27" s="629">
        <v>177.8</v>
      </c>
      <c r="G27" s="629" t="s">
        <v>28</v>
      </c>
      <c r="H27" s="592" t="s">
        <v>52</v>
      </c>
      <c r="I27" s="437">
        <v>522</v>
      </c>
      <c r="J27" s="629">
        <v>360</v>
      </c>
      <c r="K27" s="629"/>
      <c r="L27" s="629">
        <v>435</v>
      </c>
      <c r="M27" s="629"/>
      <c r="N27" s="629">
        <v>9.1</v>
      </c>
      <c r="O27" s="629"/>
      <c r="P27" s="430">
        <v>18.904761258327529</v>
      </c>
      <c r="Q27" s="431">
        <f t="shared" si="0"/>
        <v>79.2</v>
      </c>
      <c r="R27" s="432">
        <v>16.399999999999999</v>
      </c>
      <c r="S27" s="431">
        <v>26</v>
      </c>
      <c r="T27" s="530">
        <v>4504</v>
      </c>
      <c r="U27" s="431">
        <f t="shared" si="1"/>
        <v>274.63414634146346</v>
      </c>
      <c r="V27" s="433">
        <f t="shared" si="7"/>
        <v>36.923076923076934</v>
      </c>
      <c r="W27" s="432">
        <v>0.3</v>
      </c>
      <c r="X27" s="431">
        <f t="shared" si="2"/>
        <v>0.32828282828282829</v>
      </c>
      <c r="Y27" s="431">
        <f t="shared" si="4"/>
        <v>15.612799999999998</v>
      </c>
      <c r="Z27" s="431">
        <f t="shared" si="4"/>
        <v>24.751999999999999</v>
      </c>
      <c r="AA27" s="530">
        <f t="shared" si="4"/>
        <v>4287.808</v>
      </c>
      <c r="AB27" s="431">
        <f t="shared" si="5"/>
        <v>274.63414634146346</v>
      </c>
      <c r="AC27" s="431">
        <f t="shared" si="3"/>
        <v>36.923076923076934</v>
      </c>
      <c r="AD27" s="629">
        <v>30</v>
      </c>
      <c r="AE27" s="431">
        <f t="shared" si="6"/>
        <v>468.38399999999996</v>
      </c>
      <c r="AF27" s="434"/>
    </row>
    <row r="28" spans="1:32" ht="18.75" customHeight="1" x14ac:dyDescent="0.2">
      <c r="A28" s="706">
        <v>15</v>
      </c>
      <c r="B28" s="428" t="s">
        <v>37</v>
      </c>
      <c r="C28" s="629" t="s">
        <v>46</v>
      </c>
      <c r="D28" s="629">
        <v>670</v>
      </c>
      <c r="E28" s="629" t="s">
        <v>81</v>
      </c>
      <c r="F28" s="629">
        <v>177.8</v>
      </c>
      <c r="G28" s="629" t="s">
        <v>28</v>
      </c>
      <c r="H28" s="592" t="s">
        <v>48</v>
      </c>
      <c r="I28" s="585">
        <v>570.95000000000005</v>
      </c>
      <c r="J28" s="629">
        <v>85</v>
      </c>
      <c r="K28" s="629"/>
      <c r="L28" s="629">
        <v>454</v>
      </c>
      <c r="M28" s="629"/>
      <c r="N28" s="629">
        <v>7.4</v>
      </c>
      <c r="O28" s="629"/>
      <c r="P28" s="430">
        <v>19.744644678336076</v>
      </c>
      <c r="Q28" s="431">
        <f t="shared" si="0"/>
        <v>11.05</v>
      </c>
      <c r="R28" s="432">
        <v>4.3</v>
      </c>
      <c r="S28" s="431">
        <v>5.8</v>
      </c>
      <c r="T28" s="431">
        <v>13</v>
      </c>
      <c r="U28" s="431">
        <f t="shared" si="1"/>
        <v>3.0232558139534884</v>
      </c>
      <c r="V28" s="433">
        <f t="shared" si="7"/>
        <v>25.862068965517242</v>
      </c>
      <c r="W28" s="432">
        <v>0.3</v>
      </c>
      <c r="X28" s="431">
        <f t="shared" si="2"/>
        <v>0.52488687782805421</v>
      </c>
      <c r="Y28" s="431">
        <f t="shared" si="4"/>
        <v>4.0935999999999995</v>
      </c>
      <c r="Z28" s="431">
        <f t="shared" si="4"/>
        <v>5.5215999999999994</v>
      </c>
      <c r="AA28" s="431">
        <f t="shared" si="4"/>
        <v>12.375999999999999</v>
      </c>
      <c r="AB28" s="431">
        <f t="shared" si="5"/>
        <v>3.0232558139534884</v>
      </c>
      <c r="AC28" s="431">
        <f t="shared" si="3"/>
        <v>25.862068965517242</v>
      </c>
      <c r="AD28" s="629">
        <v>30</v>
      </c>
      <c r="AE28" s="431">
        <f>Y28*AD28</f>
        <v>122.80799999999998</v>
      </c>
      <c r="AF28" s="439"/>
    </row>
    <row r="29" spans="1:32" ht="18.75" customHeight="1" x14ac:dyDescent="0.2">
      <c r="A29" s="706">
        <v>16</v>
      </c>
      <c r="B29" s="428" t="s">
        <v>153</v>
      </c>
      <c r="C29" s="428" t="s">
        <v>46</v>
      </c>
      <c r="D29" s="428">
        <v>672</v>
      </c>
      <c r="E29" s="428" t="s">
        <v>82</v>
      </c>
      <c r="F29" s="428">
        <v>177.8</v>
      </c>
      <c r="G29" s="428" t="s">
        <v>28</v>
      </c>
      <c r="H29" s="428" t="s">
        <v>49</v>
      </c>
      <c r="I29" s="428">
        <v>590.9</v>
      </c>
      <c r="J29" s="428">
        <v>105</v>
      </c>
      <c r="K29" s="428"/>
      <c r="L29" s="428">
        <v>496</v>
      </c>
      <c r="M29" s="428"/>
      <c r="N29" s="428">
        <v>10.5</v>
      </c>
      <c r="O29" s="428"/>
      <c r="P29" s="441">
        <v>15.407613246439142</v>
      </c>
      <c r="Q29" s="428">
        <f t="shared" si="0"/>
        <v>33.6</v>
      </c>
      <c r="R29" s="442">
        <v>18.8</v>
      </c>
      <c r="S29" s="431">
        <v>22.7</v>
      </c>
      <c r="T29" s="428">
        <v>728</v>
      </c>
      <c r="U29" s="442">
        <f t="shared" si="1"/>
        <v>38.723404255319146</v>
      </c>
      <c r="V29" s="433">
        <f t="shared" si="7"/>
        <v>17.180616740088102</v>
      </c>
      <c r="W29" s="428">
        <v>0.2</v>
      </c>
      <c r="X29" s="442">
        <f t="shared" si="2"/>
        <v>0.67559523809523803</v>
      </c>
      <c r="Y29" s="431">
        <f t="shared" si="4"/>
        <v>17.897600000000001</v>
      </c>
      <c r="Z29" s="431">
        <f t="shared" si="4"/>
        <v>21.610399999999998</v>
      </c>
      <c r="AA29" s="431">
        <f t="shared" si="4"/>
        <v>693.05599999999993</v>
      </c>
      <c r="AB29" s="442">
        <f t="shared" si="5"/>
        <v>38.723404255319146</v>
      </c>
      <c r="AC29" s="442">
        <f t="shared" si="3"/>
        <v>17.180616740088102</v>
      </c>
      <c r="AD29" s="629">
        <v>30</v>
      </c>
      <c r="AE29" s="442">
        <f>Y29*AD29</f>
        <v>536.928</v>
      </c>
      <c r="AF29" s="428"/>
    </row>
    <row r="30" spans="1:32" s="396" customFormat="1" ht="18.75" customHeight="1" x14ac:dyDescent="0.2">
      <c r="A30" s="706">
        <v>17</v>
      </c>
      <c r="B30" s="428" t="s">
        <v>154</v>
      </c>
      <c r="C30" s="629" t="s">
        <v>304</v>
      </c>
      <c r="D30" s="443">
        <v>668.36</v>
      </c>
      <c r="E30" s="436" t="s">
        <v>360</v>
      </c>
      <c r="F30" s="629">
        <v>177.8</v>
      </c>
      <c r="G30" s="629" t="s">
        <v>28</v>
      </c>
      <c r="H30" s="241" t="s">
        <v>364</v>
      </c>
      <c r="I30" s="437">
        <v>639.67999999999995</v>
      </c>
      <c r="J30" s="629">
        <v>0</v>
      </c>
      <c r="K30" s="629">
        <v>121</v>
      </c>
      <c r="L30" s="629"/>
      <c r="M30" s="629">
        <v>3.2</v>
      </c>
      <c r="N30" s="629"/>
      <c r="O30" s="629"/>
      <c r="P30" s="430">
        <v>18.751996251085551</v>
      </c>
      <c r="Q30" s="431">
        <v>0</v>
      </c>
      <c r="R30" s="432">
        <v>3.2</v>
      </c>
      <c r="S30" s="431">
        <v>3.7</v>
      </c>
      <c r="T30" s="431">
        <v>142</v>
      </c>
      <c r="U30" s="442">
        <f t="shared" si="1"/>
        <v>44.375</v>
      </c>
      <c r="V30" s="432">
        <f t="shared" si="7"/>
        <v>13.513513513513512</v>
      </c>
      <c r="W30" s="431">
        <v>0.2</v>
      </c>
      <c r="X30" s="442">
        <v>0</v>
      </c>
      <c r="Y30" s="431">
        <f t="shared" si="4"/>
        <v>3.0464000000000002</v>
      </c>
      <c r="Z30" s="431">
        <f t="shared" si="4"/>
        <v>3.5224000000000002</v>
      </c>
      <c r="AA30" s="431">
        <f t="shared" si="4"/>
        <v>135.184</v>
      </c>
      <c r="AB30" s="431">
        <v>0</v>
      </c>
      <c r="AC30" s="442">
        <f t="shared" si="3"/>
        <v>13.513513513513512</v>
      </c>
      <c r="AD30" s="629">
        <v>30</v>
      </c>
      <c r="AE30" s="442">
        <f>Y30*AD30</f>
        <v>91.39200000000001</v>
      </c>
      <c r="AF30" s="434" t="s">
        <v>371</v>
      </c>
    </row>
    <row r="31" spans="1:32" ht="18.75" customHeight="1" x14ac:dyDescent="0.2">
      <c r="A31" s="706">
        <v>18</v>
      </c>
      <c r="B31" s="428" t="s">
        <v>38</v>
      </c>
      <c r="C31" s="629" t="s">
        <v>46</v>
      </c>
      <c r="D31" s="430">
        <v>580</v>
      </c>
      <c r="E31" s="629" t="s">
        <v>84</v>
      </c>
      <c r="F31" s="629">
        <v>177.8</v>
      </c>
      <c r="G31" s="629" t="s">
        <v>28</v>
      </c>
      <c r="H31" s="592" t="s">
        <v>48</v>
      </c>
      <c r="I31" s="585">
        <v>561.19000000000005</v>
      </c>
      <c r="J31" s="629" t="s">
        <v>240</v>
      </c>
      <c r="K31" s="435">
        <v>110</v>
      </c>
      <c r="L31" s="435"/>
      <c r="M31" s="435">
        <v>1.1000000000000001</v>
      </c>
      <c r="N31" s="629"/>
      <c r="O31" s="629"/>
      <c r="P31" s="430">
        <v>47.810425661020403</v>
      </c>
      <c r="Q31" s="431">
        <f t="shared" si="0"/>
        <v>0</v>
      </c>
      <c r="R31" s="432">
        <v>0</v>
      </c>
      <c r="S31" s="431">
        <v>0</v>
      </c>
      <c r="T31" s="432">
        <v>0</v>
      </c>
      <c r="U31" s="442">
        <v>0</v>
      </c>
      <c r="V31" s="433">
        <v>0</v>
      </c>
      <c r="W31" s="432">
        <v>0</v>
      </c>
      <c r="X31" s="442">
        <v>0</v>
      </c>
      <c r="Y31" s="431">
        <f t="shared" ref="Y31:AA77" si="8">R31*0.952</f>
        <v>0</v>
      </c>
      <c r="Z31" s="431">
        <f t="shared" si="8"/>
        <v>0</v>
      </c>
      <c r="AA31" s="431">
        <f t="shared" si="8"/>
        <v>0</v>
      </c>
      <c r="AB31" s="431">
        <f>U31</f>
        <v>0</v>
      </c>
      <c r="AC31" s="442">
        <f t="shared" si="3"/>
        <v>0</v>
      </c>
      <c r="AD31" s="629">
        <v>0</v>
      </c>
      <c r="AE31" s="431">
        <f t="shared" si="6"/>
        <v>0</v>
      </c>
      <c r="AF31" s="434" t="s">
        <v>335</v>
      </c>
    </row>
    <row r="32" spans="1:32" ht="18.75" customHeight="1" x14ac:dyDescent="0.2">
      <c r="A32" s="706">
        <v>19</v>
      </c>
      <c r="B32" s="461" t="s">
        <v>39</v>
      </c>
      <c r="C32" s="629" t="s">
        <v>46</v>
      </c>
      <c r="D32" s="629">
        <v>562.15</v>
      </c>
      <c r="E32" s="629" t="s">
        <v>357</v>
      </c>
      <c r="F32" s="629">
        <v>177.8</v>
      </c>
      <c r="G32" s="629" t="s">
        <v>28</v>
      </c>
      <c r="H32" s="592" t="s">
        <v>51</v>
      </c>
      <c r="I32" s="585">
        <v>542.45000000000005</v>
      </c>
      <c r="J32" s="629">
        <v>0</v>
      </c>
      <c r="K32" s="435">
        <v>130</v>
      </c>
      <c r="L32" s="435"/>
      <c r="M32" s="435">
        <v>0.3</v>
      </c>
      <c r="N32" s="629"/>
      <c r="O32" s="629"/>
      <c r="P32" s="430">
        <v>26.471953627959181</v>
      </c>
      <c r="Q32" s="431">
        <f t="shared" si="0"/>
        <v>0</v>
      </c>
      <c r="R32" s="432">
        <v>0</v>
      </c>
      <c r="S32" s="431">
        <v>0</v>
      </c>
      <c r="T32" s="431">
        <v>0</v>
      </c>
      <c r="U32" s="442">
        <v>0</v>
      </c>
      <c r="V32" s="433">
        <v>0</v>
      </c>
      <c r="W32" s="432">
        <v>0</v>
      </c>
      <c r="X32" s="442">
        <v>0</v>
      </c>
      <c r="Y32" s="431">
        <f t="shared" si="8"/>
        <v>0</v>
      </c>
      <c r="Z32" s="431">
        <f t="shared" si="8"/>
        <v>0</v>
      </c>
      <c r="AA32" s="431">
        <f t="shared" si="8"/>
        <v>0</v>
      </c>
      <c r="AB32" s="431">
        <f t="shared" si="5"/>
        <v>0</v>
      </c>
      <c r="AC32" s="442">
        <f t="shared" si="3"/>
        <v>0</v>
      </c>
      <c r="AD32" s="629">
        <v>0</v>
      </c>
      <c r="AE32" s="431">
        <f t="shared" si="6"/>
        <v>0</v>
      </c>
      <c r="AF32" s="434" t="s">
        <v>335</v>
      </c>
    </row>
    <row r="33" spans="1:32" ht="18.75" customHeight="1" x14ac:dyDescent="0.2">
      <c r="A33" s="706">
        <v>20</v>
      </c>
      <c r="B33" s="428" t="s">
        <v>40</v>
      </c>
      <c r="C33" s="629" t="s">
        <v>46</v>
      </c>
      <c r="D33" s="629">
        <v>679.7</v>
      </c>
      <c r="E33" s="629" t="s">
        <v>86</v>
      </c>
      <c r="F33" s="629">
        <v>177.8</v>
      </c>
      <c r="G33" s="629" t="s">
        <v>28</v>
      </c>
      <c r="H33" s="592" t="s">
        <v>48</v>
      </c>
      <c r="I33" s="585">
        <v>588.04999999999995</v>
      </c>
      <c r="J33" s="629" t="s">
        <v>240</v>
      </c>
      <c r="K33" s="435">
        <v>151</v>
      </c>
      <c r="L33" s="435"/>
      <c r="M33" s="435">
        <v>0.5</v>
      </c>
      <c r="N33" s="629"/>
      <c r="O33" s="629"/>
      <c r="P33" s="430">
        <v>42.819040437755099</v>
      </c>
      <c r="Q33" s="431">
        <f>LEFT(H33,(FIND("K",H33,1)-1))*J33/100</f>
        <v>0</v>
      </c>
      <c r="R33" s="432">
        <v>0</v>
      </c>
      <c r="S33" s="431">
        <v>0</v>
      </c>
      <c r="T33" s="431">
        <v>0</v>
      </c>
      <c r="U33" s="431">
        <f>IF(R33=0,0,T33/R33)</f>
        <v>0</v>
      </c>
      <c r="V33" s="433">
        <v>0</v>
      </c>
      <c r="W33" s="432">
        <v>0</v>
      </c>
      <c r="X33" s="442">
        <v>0</v>
      </c>
      <c r="Y33" s="431">
        <f t="shared" si="8"/>
        <v>0</v>
      </c>
      <c r="Z33" s="431">
        <f t="shared" si="8"/>
        <v>0</v>
      </c>
      <c r="AA33" s="431">
        <f t="shared" si="8"/>
        <v>0</v>
      </c>
      <c r="AB33" s="431">
        <v>0</v>
      </c>
      <c r="AC33" s="431">
        <v>0</v>
      </c>
      <c r="AD33" s="629">
        <v>0</v>
      </c>
      <c r="AE33" s="431">
        <f>Y33*AD33</f>
        <v>0</v>
      </c>
      <c r="AF33" s="439" t="s">
        <v>215</v>
      </c>
    </row>
    <row r="34" spans="1:32" ht="18.75" customHeight="1" x14ac:dyDescent="0.2">
      <c r="A34" s="706">
        <v>21</v>
      </c>
      <c r="B34" s="428" t="s">
        <v>41</v>
      </c>
      <c r="C34" s="629" t="s">
        <v>46</v>
      </c>
      <c r="D34" s="629">
        <v>573.70000000000005</v>
      </c>
      <c r="E34" s="629" t="s">
        <v>87</v>
      </c>
      <c r="F34" s="629">
        <v>177.8</v>
      </c>
      <c r="G34" s="629" t="s">
        <v>28</v>
      </c>
      <c r="H34" s="592" t="s">
        <v>52</v>
      </c>
      <c r="I34" s="585">
        <v>554.30999999999995</v>
      </c>
      <c r="J34" s="629">
        <v>310</v>
      </c>
      <c r="K34" s="435"/>
      <c r="L34" s="435">
        <v>479</v>
      </c>
      <c r="M34" s="435"/>
      <c r="N34" s="629">
        <v>7</v>
      </c>
      <c r="O34" s="629"/>
      <c r="P34" s="430">
        <v>13.825344010582599</v>
      </c>
      <c r="Q34" s="431">
        <f t="shared" si="0"/>
        <v>68.2</v>
      </c>
      <c r="R34" s="432">
        <v>9.9</v>
      </c>
      <c r="S34" s="431">
        <v>11.7</v>
      </c>
      <c r="T34" s="431">
        <v>341</v>
      </c>
      <c r="U34" s="431">
        <f t="shared" si="1"/>
        <v>34.444444444444443</v>
      </c>
      <c r="V34" s="433">
        <f t="shared" si="7"/>
        <v>15.384615384615378</v>
      </c>
      <c r="W34" s="432">
        <v>0.2</v>
      </c>
      <c r="X34" s="431">
        <f t="shared" si="2"/>
        <v>0.17155425219941348</v>
      </c>
      <c r="Y34" s="431">
        <f t="shared" si="8"/>
        <v>9.4247999999999994</v>
      </c>
      <c r="Z34" s="431">
        <f t="shared" si="8"/>
        <v>11.138399999999999</v>
      </c>
      <c r="AA34" s="431">
        <f t="shared" si="8"/>
        <v>324.63200000000001</v>
      </c>
      <c r="AB34" s="431">
        <v>89.536086956521729</v>
      </c>
      <c r="AC34" s="431">
        <v>26</v>
      </c>
      <c r="AD34" s="629">
        <v>30</v>
      </c>
      <c r="AE34" s="431">
        <f t="shared" si="6"/>
        <v>282.74399999999997</v>
      </c>
      <c r="AF34" s="445"/>
    </row>
    <row r="35" spans="1:32" ht="18.75" customHeight="1" x14ac:dyDescent="0.2">
      <c r="A35" s="706">
        <v>22</v>
      </c>
      <c r="B35" s="428" t="s">
        <v>42</v>
      </c>
      <c r="C35" s="629" t="s">
        <v>46</v>
      </c>
      <c r="D35" s="629">
        <v>681.1</v>
      </c>
      <c r="E35" s="629" t="s">
        <v>88</v>
      </c>
      <c r="F35" s="629">
        <v>177.8</v>
      </c>
      <c r="G35" s="629" t="s">
        <v>28</v>
      </c>
      <c r="H35" s="592" t="s">
        <v>48</v>
      </c>
      <c r="I35" s="585">
        <v>589.66</v>
      </c>
      <c r="J35" s="629">
        <v>115</v>
      </c>
      <c r="K35" s="435"/>
      <c r="L35" s="435">
        <v>448</v>
      </c>
      <c r="M35" s="435"/>
      <c r="N35" s="629">
        <v>9</v>
      </c>
      <c r="O35" s="629"/>
      <c r="P35" s="430">
        <v>18.084271391282282</v>
      </c>
      <c r="Q35" s="431">
        <f t="shared" si="0"/>
        <v>14.95</v>
      </c>
      <c r="R35" s="432">
        <v>4.42</v>
      </c>
      <c r="S35" s="431">
        <v>13.2</v>
      </c>
      <c r="T35" s="431">
        <v>5</v>
      </c>
      <c r="U35" s="431">
        <f t="shared" si="1"/>
        <v>1.1312217194570136</v>
      </c>
      <c r="V35" s="433">
        <f t="shared" si="7"/>
        <v>66.515151515151516</v>
      </c>
      <c r="W35" s="432">
        <v>0.4</v>
      </c>
      <c r="X35" s="431">
        <f t="shared" si="2"/>
        <v>0.882943143812709</v>
      </c>
      <c r="Y35" s="431">
        <f t="shared" si="8"/>
        <v>4.20784</v>
      </c>
      <c r="Z35" s="431">
        <f t="shared" si="8"/>
        <v>12.566399999999998</v>
      </c>
      <c r="AA35" s="431">
        <f t="shared" si="8"/>
        <v>4.76</v>
      </c>
      <c r="AB35" s="431">
        <f t="shared" si="5"/>
        <v>1.1312217194570136</v>
      </c>
      <c r="AC35" s="431">
        <f t="shared" si="3"/>
        <v>66.515151515151516</v>
      </c>
      <c r="AD35" s="629">
        <v>30</v>
      </c>
      <c r="AE35" s="431">
        <f t="shared" si="6"/>
        <v>126.23520000000001</v>
      </c>
      <c r="AF35" s="439"/>
    </row>
    <row r="36" spans="1:32" ht="18.75" customHeight="1" x14ac:dyDescent="0.2">
      <c r="A36" s="706">
        <v>23</v>
      </c>
      <c r="B36" s="428" t="s">
        <v>43</v>
      </c>
      <c r="C36" s="629" t="s">
        <v>46</v>
      </c>
      <c r="D36" s="629">
        <v>682.7</v>
      </c>
      <c r="E36" s="629" t="s">
        <v>89</v>
      </c>
      <c r="F36" s="629">
        <v>177.8</v>
      </c>
      <c r="G36" s="629" t="s">
        <v>28</v>
      </c>
      <c r="H36" s="592" t="s">
        <v>52</v>
      </c>
      <c r="I36" s="446">
        <v>551.13</v>
      </c>
      <c r="J36" s="629">
        <v>85</v>
      </c>
      <c r="K36" s="435"/>
      <c r="L36" s="435">
        <v>445</v>
      </c>
      <c r="M36" s="435"/>
      <c r="N36" s="629">
        <v>7.3</v>
      </c>
      <c r="O36" s="629"/>
      <c r="P36" s="430">
        <v>20.663369889887111</v>
      </c>
      <c r="Q36" s="431">
        <f t="shared" si="0"/>
        <v>18.7</v>
      </c>
      <c r="R36" s="432">
        <v>2.17</v>
      </c>
      <c r="S36" s="431">
        <v>14.4</v>
      </c>
      <c r="T36" s="431">
        <v>45</v>
      </c>
      <c r="U36" s="431">
        <f t="shared" si="1"/>
        <v>20.737327188940093</v>
      </c>
      <c r="V36" s="433">
        <f t="shared" si="7"/>
        <v>84.930555555555557</v>
      </c>
      <c r="W36" s="432">
        <v>0.3</v>
      </c>
      <c r="X36" s="431">
        <f t="shared" si="2"/>
        <v>0.77005347593582896</v>
      </c>
      <c r="Y36" s="431">
        <f t="shared" si="8"/>
        <v>2.0658399999999997</v>
      </c>
      <c r="Z36" s="431">
        <f t="shared" si="8"/>
        <v>13.7088</v>
      </c>
      <c r="AA36" s="431">
        <f t="shared" si="8"/>
        <v>42.839999999999996</v>
      </c>
      <c r="AB36" s="431">
        <f t="shared" si="5"/>
        <v>20.737327188940093</v>
      </c>
      <c r="AC36" s="431">
        <f t="shared" si="3"/>
        <v>84.930555555555557</v>
      </c>
      <c r="AD36" s="629">
        <v>30</v>
      </c>
      <c r="AE36" s="431">
        <f t="shared" si="6"/>
        <v>61.975199999999987</v>
      </c>
      <c r="AF36" s="434"/>
    </row>
    <row r="37" spans="1:32" ht="18.75" customHeight="1" x14ac:dyDescent="0.2">
      <c r="A37" s="706">
        <v>24</v>
      </c>
      <c r="B37" s="428" t="s">
        <v>44</v>
      </c>
      <c r="C37" s="629" t="s">
        <v>46</v>
      </c>
      <c r="D37" s="629">
        <v>614.20000000000005</v>
      </c>
      <c r="E37" s="629" t="s">
        <v>90</v>
      </c>
      <c r="F37" s="629">
        <v>177.8</v>
      </c>
      <c r="G37" s="629" t="s">
        <v>28</v>
      </c>
      <c r="H37" s="592" t="s">
        <v>52</v>
      </c>
      <c r="I37" s="446">
        <v>592.85</v>
      </c>
      <c r="J37" s="629">
        <v>100</v>
      </c>
      <c r="K37" s="435"/>
      <c r="L37" s="435">
        <v>137</v>
      </c>
      <c r="M37" s="435"/>
      <c r="N37" s="629">
        <v>2.1</v>
      </c>
      <c r="O37" s="629"/>
      <c r="P37" s="430">
        <v>47.326830180189532</v>
      </c>
      <c r="Q37" s="431">
        <f t="shared" si="0"/>
        <v>22</v>
      </c>
      <c r="R37" s="432">
        <v>4.9800000000000004</v>
      </c>
      <c r="S37" s="431">
        <v>20.2</v>
      </c>
      <c r="T37" s="431">
        <v>48</v>
      </c>
      <c r="U37" s="431">
        <f t="shared" si="1"/>
        <v>9.6385542168674689</v>
      </c>
      <c r="V37" s="433">
        <f t="shared" si="7"/>
        <v>75.346534653465341</v>
      </c>
      <c r="W37" s="432">
        <v>0.1</v>
      </c>
      <c r="X37" s="431">
        <f t="shared" si="2"/>
        <v>0.9181818181818181</v>
      </c>
      <c r="Y37" s="431">
        <f t="shared" si="8"/>
        <v>4.7409600000000003</v>
      </c>
      <c r="Z37" s="431">
        <f t="shared" si="8"/>
        <v>19.230399999999999</v>
      </c>
      <c r="AA37" s="431">
        <f t="shared" si="8"/>
        <v>45.695999999999998</v>
      </c>
      <c r="AB37" s="431">
        <f t="shared" si="5"/>
        <v>9.6385542168674689</v>
      </c>
      <c r="AC37" s="431">
        <f t="shared" si="3"/>
        <v>75.346534653465341</v>
      </c>
      <c r="AD37" s="629">
        <v>30</v>
      </c>
      <c r="AE37" s="431">
        <f t="shared" si="6"/>
        <v>142.22880000000001</v>
      </c>
      <c r="AF37" s="434"/>
    </row>
    <row r="38" spans="1:32" ht="18.75" customHeight="1" x14ac:dyDescent="0.2">
      <c r="A38" s="706">
        <v>25</v>
      </c>
      <c r="B38" s="428" t="s">
        <v>45</v>
      </c>
      <c r="C38" s="629" t="s">
        <v>46</v>
      </c>
      <c r="D38" s="629">
        <v>636.4</v>
      </c>
      <c r="E38" s="629" t="s">
        <v>91</v>
      </c>
      <c r="F38" s="629">
        <v>177.8</v>
      </c>
      <c r="G38" s="629" t="s">
        <v>28</v>
      </c>
      <c r="H38" s="592" t="s">
        <v>52</v>
      </c>
      <c r="I38" s="585">
        <v>592.95000000000005</v>
      </c>
      <c r="J38" s="629">
        <v>295</v>
      </c>
      <c r="K38" s="435"/>
      <c r="L38" s="435">
        <v>500</v>
      </c>
      <c r="M38" s="435"/>
      <c r="N38" s="629">
        <v>9.1</v>
      </c>
      <c r="O38" s="629"/>
      <c r="P38" s="430">
        <v>15.217279859826967</v>
      </c>
      <c r="Q38" s="431">
        <f>LEFT(H38,(FIND("K",H38,1)-1))*J38/100</f>
        <v>64.900000000000006</v>
      </c>
      <c r="R38" s="432">
        <v>14.01</v>
      </c>
      <c r="S38" s="431">
        <v>35.700000000000003</v>
      </c>
      <c r="T38" s="431">
        <v>513</v>
      </c>
      <c r="U38" s="431">
        <f t="shared" si="1"/>
        <v>36.616702355460383</v>
      </c>
      <c r="V38" s="433">
        <f t="shared" si="7"/>
        <v>60.756302521008408</v>
      </c>
      <c r="W38" s="432">
        <v>0.2</v>
      </c>
      <c r="X38" s="431">
        <f t="shared" si="2"/>
        <v>0.55007704160246529</v>
      </c>
      <c r="Y38" s="431">
        <f t="shared" si="8"/>
        <v>13.33752</v>
      </c>
      <c r="Z38" s="431">
        <f t="shared" si="8"/>
        <v>33.986400000000003</v>
      </c>
      <c r="AA38" s="431">
        <f t="shared" si="8"/>
        <v>488.37599999999998</v>
      </c>
      <c r="AB38" s="431">
        <f t="shared" si="5"/>
        <v>36.616702355460383</v>
      </c>
      <c r="AC38" s="431">
        <f t="shared" si="3"/>
        <v>60.756302521008408</v>
      </c>
      <c r="AD38" s="629">
        <v>30</v>
      </c>
      <c r="AE38" s="431">
        <f t="shared" si="6"/>
        <v>400.12559999999996</v>
      </c>
      <c r="AF38" s="434"/>
    </row>
    <row r="39" spans="1:32" ht="18.75" customHeight="1" x14ac:dyDescent="0.2">
      <c r="A39" s="706">
        <v>26</v>
      </c>
      <c r="B39" s="428" t="s">
        <v>206</v>
      </c>
      <c r="C39" s="629" t="s">
        <v>46</v>
      </c>
      <c r="D39" s="629">
        <v>660.2</v>
      </c>
      <c r="E39" s="629" t="s">
        <v>227</v>
      </c>
      <c r="F39" s="629">
        <v>177.8</v>
      </c>
      <c r="G39" s="629" t="s">
        <v>28</v>
      </c>
      <c r="H39" s="592" t="s">
        <v>212</v>
      </c>
      <c r="I39" s="585">
        <v>547.65</v>
      </c>
      <c r="J39" s="629">
        <v>130</v>
      </c>
      <c r="K39" s="435"/>
      <c r="L39" s="435">
        <v>426</v>
      </c>
      <c r="M39" s="435"/>
      <c r="N39" s="629">
        <v>7.8</v>
      </c>
      <c r="O39" s="629"/>
      <c r="P39" s="430">
        <v>21.341338977460712</v>
      </c>
      <c r="Q39" s="431">
        <f t="shared" ref="Q39:Q75" si="9">LEFT(H39,(FIND("K",H39,1)-1))*J39/100</f>
        <v>10.4</v>
      </c>
      <c r="R39" s="432">
        <v>5.03</v>
      </c>
      <c r="S39" s="431">
        <v>6.4</v>
      </c>
      <c r="T39" s="431">
        <v>26</v>
      </c>
      <c r="U39" s="431">
        <f t="shared" si="1"/>
        <v>5.1689860834990053</v>
      </c>
      <c r="V39" s="433">
        <f t="shared" si="7"/>
        <v>21.40625</v>
      </c>
      <c r="W39" s="432">
        <v>0.3</v>
      </c>
      <c r="X39" s="431">
        <f t="shared" si="2"/>
        <v>0.61538461538461542</v>
      </c>
      <c r="Y39" s="431">
        <f t="shared" si="8"/>
        <v>4.7885600000000004</v>
      </c>
      <c r="Z39" s="431">
        <f t="shared" si="8"/>
        <v>6.0928000000000004</v>
      </c>
      <c r="AA39" s="431">
        <f t="shared" si="8"/>
        <v>24.751999999999999</v>
      </c>
      <c r="AB39" s="431">
        <f t="shared" si="5"/>
        <v>5.1689860834990053</v>
      </c>
      <c r="AC39" s="431">
        <f t="shared" si="3"/>
        <v>21.40625</v>
      </c>
      <c r="AD39" s="629">
        <v>30</v>
      </c>
      <c r="AE39" s="431">
        <f t="shared" si="6"/>
        <v>143.6568</v>
      </c>
      <c r="AF39" s="434"/>
    </row>
    <row r="40" spans="1:32" ht="18.75" customHeight="1" x14ac:dyDescent="0.2">
      <c r="A40" s="706">
        <v>27</v>
      </c>
      <c r="B40" s="586" t="s">
        <v>161</v>
      </c>
      <c r="C40" s="629" t="s">
        <v>46</v>
      </c>
      <c r="D40" s="585">
        <v>677</v>
      </c>
      <c r="E40" s="592" t="s">
        <v>178</v>
      </c>
      <c r="F40" s="629">
        <v>177.8</v>
      </c>
      <c r="G40" s="629" t="s">
        <v>28</v>
      </c>
      <c r="H40" s="592" t="s">
        <v>52</v>
      </c>
      <c r="I40" s="585">
        <v>535.41</v>
      </c>
      <c r="J40" s="585">
        <v>160</v>
      </c>
      <c r="K40" s="424"/>
      <c r="L40" s="424">
        <v>463</v>
      </c>
      <c r="M40" s="424"/>
      <c r="N40" s="629">
        <v>7</v>
      </c>
      <c r="O40" s="585"/>
      <c r="P40" s="620">
        <v>15.115308901778825</v>
      </c>
      <c r="Q40" s="431">
        <f t="shared" si="9"/>
        <v>35.200000000000003</v>
      </c>
      <c r="R40" s="432">
        <v>4.6100000000000003</v>
      </c>
      <c r="S40" s="431">
        <v>7.4</v>
      </c>
      <c r="T40" s="437">
        <v>415</v>
      </c>
      <c r="U40" s="431">
        <f t="shared" si="1"/>
        <v>90.021691973969624</v>
      </c>
      <c r="V40" s="433">
        <f t="shared" si="7"/>
        <v>37.702702702702702</v>
      </c>
      <c r="W40" s="432">
        <v>0.2</v>
      </c>
      <c r="X40" s="431">
        <f t="shared" si="2"/>
        <v>0.21022727272727271</v>
      </c>
      <c r="Y40" s="431">
        <f t="shared" si="8"/>
        <v>4.3887200000000002</v>
      </c>
      <c r="Z40" s="431">
        <f t="shared" si="8"/>
        <v>7.0448000000000004</v>
      </c>
      <c r="AA40" s="431">
        <f t="shared" si="8"/>
        <v>395.08</v>
      </c>
      <c r="AB40" s="431">
        <f t="shared" si="5"/>
        <v>90.021691973969624</v>
      </c>
      <c r="AC40" s="431">
        <f t="shared" si="3"/>
        <v>37.702702702702702</v>
      </c>
      <c r="AD40" s="629">
        <v>30</v>
      </c>
      <c r="AE40" s="431">
        <f t="shared" si="6"/>
        <v>131.66159999999999</v>
      </c>
      <c r="AF40" s="449"/>
    </row>
    <row r="41" spans="1:32" ht="18.75" customHeight="1" x14ac:dyDescent="0.2">
      <c r="A41" s="706">
        <v>28</v>
      </c>
      <c r="B41" s="586" t="s">
        <v>162</v>
      </c>
      <c r="C41" s="629" t="s">
        <v>46</v>
      </c>
      <c r="D41" s="585">
        <v>676</v>
      </c>
      <c r="E41" s="592" t="s">
        <v>180</v>
      </c>
      <c r="F41" s="629">
        <v>177.8</v>
      </c>
      <c r="G41" s="629" t="s">
        <v>28</v>
      </c>
      <c r="H41" s="592" t="s">
        <v>50</v>
      </c>
      <c r="I41" s="585">
        <v>545.42999999999995</v>
      </c>
      <c r="J41" s="585">
        <v>0</v>
      </c>
      <c r="K41" s="424">
        <v>70</v>
      </c>
      <c r="L41" s="435"/>
      <c r="M41" s="424">
        <v>1.4</v>
      </c>
      <c r="N41" s="629"/>
      <c r="O41" s="585"/>
      <c r="P41" s="620">
        <v>38.823330494591829</v>
      </c>
      <c r="Q41" s="431">
        <v>0</v>
      </c>
      <c r="R41" s="432">
        <v>0</v>
      </c>
      <c r="S41" s="431">
        <v>0</v>
      </c>
      <c r="T41" s="437">
        <v>0</v>
      </c>
      <c r="U41" s="431">
        <v>0</v>
      </c>
      <c r="V41" s="433">
        <v>0</v>
      </c>
      <c r="W41" s="432">
        <v>0</v>
      </c>
      <c r="X41" s="431">
        <v>0</v>
      </c>
      <c r="Y41" s="431">
        <f t="shared" si="8"/>
        <v>0</v>
      </c>
      <c r="Z41" s="431">
        <f t="shared" si="8"/>
        <v>0</v>
      </c>
      <c r="AA41" s="431">
        <f t="shared" si="8"/>
        <v>0</v>
      </c>
      <c r="AB41" s="431">
        <f t="shared" si="5"/>
        <v>0</v>
      </c>
      <c r="AC41" s="431">
        <f t="shared" si="3"/>
        <v>0</v>
      </c>
      <c r="AD41" s="629">
        <v>0</v>
      </c>
      <c r="AE41" s="431">
        <f t="shared" si="6"/>
        <v>0</v>
      </c>
      <c r="AF41" s="449" t="s">
        <v>335</v>
      </c>
    </row>
    <row r="42" spans="1:32" ht="18.75" customHeight="1" x14ac:dyDescent="0.2">
      <c r="A42" s="706">
        <v>29</v>
      </c>
      <c r="B42" s="586" t="s">
        <v>163</v>
      </c>
      <c r="C42" s="629" t="s">
        <v>46</v>
      </c>
      <c r="D42" s="585">
        <v>677.27</v>
      </c>
      <c r="E42" s="592" t="s">
        <v>194</v>
      </c>
      <c r="F42" s="629">
        <v>177.8</v>
      </c>
      <c r="G42" s="629" t="s">
        <v>28</v>
      </c>
      <c r="H42" s="592" t="s">
        <v>187</v>
      </c>
      <c r="I42" s="585">
        <v>553.82000000000005</v>
      </c>
      <c r="J42" s="585">
        <v>180</v>
      </c>
      <c r="K42" s="424"/>
      <c r="L42" s="424">
        <v>250</v>
      </c>
      <c r="M42" s="424"/>
      <c r="N42" s="629">
        <v>4.5999999999999996</v>
      </c>
      <c r="O42" s="585"/>
      <c r="P42" s="620">
        <v>38.971728540102788</v>
      </c>
      <c r="Q42" s="431">
        <f t="shared" si="9"/>
        <v>10.8</v>
      </c>
      <c r="R42" s="432">
        <v>1.36</v>
      </c>
      <c r="S42" s="431">
        <v>3.8</v>
      </c>
      <c r="T42" s="437">
        <v>2</v>
      </c>
      <c r="U42" s="431">
        <f>T42/R42</f>
        <v>1.4705882352941175</v>
      </c>
      <c r="V42" s="433">
        <f t="shared" si="7"/>
        <v>64.210526315789465</v>
      </c>
      <c r="W42" s="432">
        <v>0.4</v>
      </c>
      <c r="X42" s="431">
        <f t="shared" si="2"/>
        <v>0.3518518518518518</v>
      </c>
      <c r="Y42" s="431">
        <f t="shared" si="8"/>
        <v>1.2947200000000001</v>
      </c>
      <c r="Z42" s="431">
        <f t="shared" si="8"/>
        <v>3.6175999999999995</v>
      </c>
      <c r="AA42" s="431">
        <f t="shared" si="8"/>
        <v>1.9039999999999999</v>
      </c>
      <c r="AB42" s="431">
        <f t="shared" si="5"/>
        <v>1.4705882352941175</v>
      </c>
      <c r="AC42" s="431">
        <f t="shared" si="3"/>
        <v>64.210526315789465</v>
      </c>
      <c r="AD42" s="629">
        <v>30</v>
      </c>
      <c r="AE42" s="431">
        <f t="shared" si="6"/>
        <v>38.8416</v>
      </c>
      <c r="AF42" s="449"/>
    </row>
    <row r="43" spans="1:32" ht="18.75" customHeight="1" x14ac:dyDescent="0.2">
      <c r="A43" s="706">
        <v>30</v>
      </c>
      <c r="B43" s="428" t="s">
        <v>59</v>
      </c>
      <c r="C43" s="629" t="s">
        <v>46</v>
      </c>
      <c r="D43" s="592">
        <v>643</v>
      </c>
      <c r="E43" s="629" t="s">
        <v>94</v>
      </c>
      <c r="F43" s="629">
        <v>177.8</v>
      </c>
      <c r="G43" s="629" t="s">
        <v>28</v>
      </c>
      <c r="H43" s="592" t="s">
        <v>48</v>
      </c>
      <c r="I43" s="585">
        <v>540.79999999999995</v>
      </c>
      <c r="J43" s="629">
        <v>105</v>
      </c>
      <c r="K43" s="435"/>
      <c r="L43" s="435">
        <v>434</v>
      </c>
      <c r="M43" s="435"/>
      <c r="N43" s="629">
        <v>2.9</v>
      </c>
      <c r="O43" s="629"/>
      <c r="P43" s="430">
        <v>14.936352531208927</v>
      </c>
      <c r="Q43" s="431">
        <f t="shared" si="9"/>
        <v>13.65</v>
      </c>
      <c r="R43" s="432">
        <v>3.13</v>
      </c>
      <c r="S43" s="431">
        <v>5.2</v>
      </c>
      <c r="T43" s="431">
        <v>10</v>
      </c>
      <c r="U43" s="431">
        <f t="shared" si="1"/>
        <v>3.1948881789137382</v>
      </c>
      <c r="V43" s="433">
        <f t="shared" si="7"/>
        <v>39.807692307692314</v>
      </c>
      <c r="W43" s="432">
        <v>0.2</v>
      </c>
      <c r="X43" s="431">
        <f t="shared" si="2"/>
        <v>0.38095238095238093</v>
      </c>
      <c r="Y43" s="431">
        <f t="shared" si="8"/>
        <v>2.9797599999999997</v>
      </c>
      <c r="Z43" s="431">
        <f t="shared" si="8"/>
        <v>4.9504000000000001</v>
      </c>
      <c r="AA43" s="431">
        <f t="shared" si="8"/>
        <v>9.52</v>
      </c>
      <c r="AB43" s="431">
        <f>U43</f>
        <v>3.1948881789137382</v>
      </c>
      <c r="AC43" s="431">
        <f t="shared" si="3"/>
        <v>39.807692307692314</v>
      </c>
      <c r="AD43" s="629">
        <v>30</v>
      </c>
      <c r="AE43" s="431">
        <f t="shared" si="6"/>
        <v>89.392799999999994</v>
      </c>
      <c r="AF43" s="439"/>
    </row>
    <row r="44" spans="1:32" ht="18.75" customHeight="1" x14ac:dyDescent="0.2">
      <c r="A44" s="706">
        <v>31</v>
      </c>
      <c r="B44" s="428" t="s">
        <v>207</v>
      </c>
      <c r="C44" s="629" t="s">
        <v>46</v>
      </c>
      <c r="D44" s="592">
        <v>673</v>
      </c>
      <c r="E44" s="629" t="s">
        <v>230</v>
      </c>
      <c r="F44" s="629">
        <v>177.8</v>
      </c>
      <c r="G44" s="629" t="s">
        <v>28</v>
      </c>
      <c r="H44" s="592" t="s">
        <v>50</v>
      </c>
      <c r="I44" s="585">
        <v>564.41999999999996</v>
      </c>
      <c r="J44" s="629">
        <v>195</v>
      </c>
      <c r="K44" s="435"/>
      <c r="L44" s="435">
        <v>371</v>
      </c>
      <c r="M44" s="435"/>
      <c r="N44" s="430">
        <v>4.7</v>
      </c>
      <c r="O44" s="629"/>
      <c r="P44" s="430">
        <v>23.899565700552216</v>
      </c>
      <c r="Q44" s="431">
        <f t="shared" si="9"/>
        <v>11.7</v>
      </c>
      <c r="R44" s="432">
        <v>5.36</v>
      </c>
      <c r="S44" s="431">
        <v>10.4</v>
      </c>
      <c r="T44" s="431">
        <v>3</v>
      </c>
      <c r="U44" s="431">
        <f t="shared" si="1"/>
        <v>0.55970149253731338</v>
      </c>
      <c r="V44" s="433">
        <f t="shared" si="7"/>
        <v>48.46153846153846</v>
      </c>
      <c r="W44" s="432">
        <v>0.3</v>
      </c>
      <c r="X44" s="431">
        <f t="shared" si="2"/>
        <v>0.88888888888888895</v>
      </c>
      <c r="Y44" s="431">
        <f t="shared" si="8"/>
        <v>5.1027199999999997</v>
      </c>
      <c r="Z44" s="431">
        <f t="shared" si="8"/>
        <v>9.9008000000000003</v>
      </c>
      <c r="AA44" s="431">
        <f t="shared" si="8"/>
        <v>2.8559999999999999</v>
      </c>
      <c r="AB44" s="431">
        <f>U44</f>
        <v>0.55970149253731338</v>
      </c>
      <c r="AC44" s="431">
        <f t="shared" si="3"/>
        <v>48.46153846153846</v>
      </c>
      <c r="AD44" s="629">
        <v>30</v>
      </c>
      <c r="AE44" s="431">
        <f t="shared" si="6"/>
        <v>153.08159999999998</v>
      </c>
      <c r="AF44" s="439"/>
    </row>
    <row r="45" spans="1:32" ht="18.75" customHeight="1" x14ac:dyDescent="0.2">
      <c r="A45" s="706">
        <v>32</v>
      </c>
      <c r="B45" s="428" t="s">
        <v>196</v>
      </c>
      <c r="C45" s="629" t="s">
        <v>304</v>
      </c>
      <c r="D45" s="592">
        <v>641</v>
      </c>
      <c r="E45" s="629" t="s">
        <v>296</v>
      </c>
      <c r="F45" s="629">
        <v>177.8</v>
      </c>
      <c r="G45" s="629" t="s">
        <v>28</v>
      </c>
      <c r="H45" s="592" t="s">
        <v>218</v>
      </c>
      <c r="I45" s="585">
        <v>618.66999999999996</v>
      </c>
      <c r="J45" s="629">
        <v>75</v>
      </c>
      <c r="K45" s="435"/>
      <c r="L45" s="435">
        <v>496</v>
      </c>
      <c r="M45" s="435"/>
      <c r="N45" s="430">
        <v>0.3</v>
      </c>
      <c r="O45" s="629"/>
      <c r="P45" s="430">
        <v>11.192081167004902</v>
      </c>
      <c r="Q45" s="431">
        <f t="shared" si="9"/>
        <v>24</v>
      </c>
      <c r="R45" s="432">
        <v>0.7</v>
      </c>
      <c r="S45" s="431">
        <v>2.2999999999999998</v>
      </c>
      <c r="T45" s="431">
        <v>0</v>
      </c>
      <c r="U45" s="431">
        <f t="shared" si="1"/>
        <v>0</v>
      </c>
      <c r="V45" s="433">
        <f t="shared" si="7"/>
        <v>69.565217391304344</v>
      </c>
      <c r="W45" s="432">
        <v>0.3</v>
      </c>
      <c r="X45" s="431">
        <f t="shared" si="2"/>
        <v>9.5833333333333326E-2</v>
      </c>
      <c r="Y45" s="431">
        <f t="shared" si="8"/>
        <v>0.66639999999999988</v>
      </c>
      <c r="Z45" s="431">
        <f t="shared" si="8"/>
        <v>2.1895999999999995</v>
      </c>
      <c r="AA45" s="431">
        <f t="shared" si="8"/>
        <v>0</v>
      </c>
      <c r="AB45" s="431">
        <f>U45</f>
        <v>0</v>
      </c>
      <c r="AC45" s="431">
        <f t="shared" si="3"/>
        <v>69.565217391304344</v>
      </c>
      <c r="AD45" s="629">
        <v>30</v>
      </c>
      <c r="AE45" s="431">
        <f t="shared" si="6"/>
        <v>19.991999999999997</v>
      </c>
      <c r="AF45" s="439"/>
    </row>
    <row r="46" spans="1:32" ht="18.75" customHeight="1" x14ac:dyDescent="0.2">
      <c r="A46" s="706">
        <v>33</v>
      </c>
      <c r="B46" s="428" t="s">
        <v>60</v>
      </c>
      <c r="C46" s="629" t="s">
        <v>46</v>
      </c>
      <c r="D46" s="592">
        <v>638.9</v>
      </c>
      <c r="E46" s="629" t="s">
        <v>95</v>
      </c>
      <c r="F46" s="629">
        <v>177.8</v>
      </c>
      <c r="G46" s="629" t="s">
        <v>28</v>
      </c>
      <c r="H46" s="592" t="s">
        <v>48</v>
      </c>
      <c r="I46" s="585">
        <v>546.64</v>
      </c>
      <c r="J46" s="629">
        <v>100</v>
      </c>
      <c r="K46" s="435"/>
      <c r="L46" s="435">
        <v>466</v>
      </c>
      <c r="M46" s="435"/>
      <c r="N46" s="629">
        <v>7</v>
      </c>
      <c r="O46" s="629"/>
      <c r="P46" s="430">
        <v>15.728422423452571</v>
      </c>
      <c r="Q46" s="431">
        <f t="shared" si="9"/>
        <v>13</v>
      </c>
      <c r="R46" s="432">
        <v>4.8600000000000003</v>
      </c>
      <c r="S46" s="431">
        <v>8.6</v>
      </c>
      <c r="T46" s="431">
        <v>67</v>
      </c>
      <c r="U46" s="431">
        <f t="shared" si="1"/>
        <v>13.786008230452675</v>
      </c>
      <c r="V46" s="433">
        <f t="shared" si="7"/>
        <v>43.488372093023244</v>
      </c>
      <c r="W46" s="432">
        <v>0.2</v>
      </c>
      <c r="X46" s="431">
        <f t="shared" si="2"/>
        <v>0.66153846153846152</v>
      </c>
      <c r="Y46" s="431">
        <f t="shared" si="8"/>
        <v>4.6267199999999997</v>
      </c>
      <c r="Z46" s="431">
        <f t="shared" si="8"/>
        <v>8.1871999999999989</v>
      </c>
      <c r="AA46" s="431">
        <f t="shared" si="8"/>
        <v>63.783999999999999</v>
      </c>
      <c r="AB46" s="431">
        <f t="shared" si="5"/>
        <v>13.786008230452675</v>
      </c>
      <c r="AC46" s="431">
        <f t="shared" si="3"/>
        <v>43.488372093023244</v>
      </c>
      <c r="AD46" s="629">
        <v>30</v>
      </c>
      <c r="AE46" s="431">
        <f t="shared" si="6"/>
        <v>138.80159999999998</v>
      </c>
      <c r="AF46" s="439"/>
    </row>
    <row r="47" spans="1:32" ht="18.75" customHeight="1" x14ac:dyDescent="0.2">
      <c r="A47" s="706">
        <v>34</v>
      </c>
      <c r="B47" s="428" t="s">
        <v>119</v>
      </c>
      <c r="C47" s="629" t="s">
        <v>46</v>
      </c>
      <c r="D47" s="592">
        <v>654.07000000000005</v>
      </c>
      <c r="E47" s="629" t="s">
        <v>126</v>
      </c>
      <c r="F47" s="629">
        <v>177.8</v>
      </c>
      <c r="G47" s="629" t="s">
        <v>28</v>
      </c>
      <c r="H47" s="592" t="s">
        <v>48</v>
      </c>
      <c r="I47" s="585">
        <v>526.6</v>
      </c>
      <c r="J47" s="629" t="s">
        <v>240</v>
      </c>
      <c r="K47" s="435">
        <v>508</v>
      </c>
      <c r="L47" s="435">
        <v>0</v>
      </c>
      <c r="M47" s="435">
        <v>23.5</v>
      </c>
      <c r="N47" s="629"/>
      <c r="O47" s="629"/>
      <c r="P47" s="430">
        <v>26.320130659620407</v>
      </c>
      <c r="Q47" s="431">
        <f t="shared" si="9"/>
        <v>0</v>
      </c>
      <c r="R47" s="432">
        <v>0</v>
      </c>
      <c r="S47" s="431">
        <v>0</v>
      </c>
      <c r="T47" s="431">
        <v>0</v>
      </c>
      <c r="U47" s="431">
        <v>0</v>
      </c>
      <c r="V47" s="433">
        <v>0</v>
      </c>
      <c r="W47" s="432">
        <v>0</v>
      </c>
      <c r="X47" s="431">
        <v>0</v>
      </c>
      <c r="Y47" s="431">
        <f t="shared" si="8"/>
        <v>0</v>
      </c>
      <c r="Z47" s="431">
        <f t="shared" si="8"/>
        <v>0</v>
      </c>
      <c r="AA47" s="431">
        <f t="shared" si="8"/>
        <v>0</v>
      </c>
      <c r="AB47" s="431">
        <f t="shared" si="5"/>
        <v>0</v>
      </c>
      <c r="AC47" s="431">
        <f t="shared" si="3"/>
        <v>0</v>
      </c>
      <c r="AD47" s="629">
        <v>0</v>
      </c>
      <c r="AE47" s="431">
        <f t="shared" si="6"/>
        <v>0</v>
      </c>
      <c r="AF47" s="449" t="s">
        <v>335</v>
      </c>
    </row>
    <row r="48" spans="1:32" ht="18.75" customHeight="1" x14ac:dyDescent="0.2">
      <c r="A48" s="706">
        <v>35</v>
      </c>
      <c r="B48" s="428" t="s">
        <v>118</v>
      </c>
      <c r="C48" s="629" t="s">
        <v>46</v>
      </c>
      <c r="D48" s="592">
        <v>728.77</v>
      </c>
      <c r="E48" s="629" t="s">
        <v>133</v>
      </c>
      <c r="F48" s="629">
        <v>177.8</v>
      </c>
      <c r="G48" s="629" t="s">
        <v>28</v>
      </c>
      <c r="H48" s="592" t="s">
        <v>48</v>
      </c>
      <c r="I48" s="585">
        <v>557.04999999999995</v>
      </c>
      <c r="J48" s="629">
        <v>100</v>
      </c>
      <c r="K48" s="435"/>
      <c r="L48" s="435">
        <v>427</v>
      </c>
      <c r="M48" s="435"/>
      <c r="N48" s="629">
        <v>7.4</v>
      </c>
      <c r="O48" s="629"/>
      <c r="P48" s="430">
        <v>21.721397558200898</v>
      </c>
      <c r="Q48" s="431">
        <f t="shared" si="9"/>
        <v>13</v>
      </c>
      <c r="R48" s="432">
        <v>1.47</v>
      </c>
      <c r="S48" s="431">
        <v>9.6999999999999993</v>
      </c>
      <c r="T48" s="431">
        <v>36</v>
      </c>
      <c r="U48" s="431">
        <f>T48/R48</f>
        <v>24.489795918367346</v>
      </c>
      <c r="V48" s="433">
        <f t="shared" si="7"/>
        <v>84.845360824742258</v>
      </c>
      <c r="W48" s="432">
        <v>0.3</v>
      </c>
      <c r="X48" s="431">
        <f t="shared" ref="X48:X55" si="10">S48/Q48</f>
        <v>0.74615384615384606</v>
      </c>
      <c r="Y48" s="431">
        <f t="shared" si="8"/>
        <v>1.39944</v>
      </c>
      <c r="Z48" s="431">
        <f t="shared" si="8"/>
        <v>9.2343999999999991</v>
      </c>
      <c r="AA48" s="431">
        <f t="shared" si="8"/>
        <v>34.271999999999998</v>
      </c>
      <c r="AB48" s="431">
        <f t="shared" si="5"/>
        <v>24.489795918367346</v>
      </c>
      <c r="AC48" s="431">
        <f t="shared" si="3"/>
        <v>84.845360824742258</v>
      </c>
      <c r="AD48" s="629">
        <v>30</v>
      </c>
      <c r="AE48" s="431">
        <f t="shared" si="6"/>
        <v>41.983200000000004</v>
      </c>
      <c r="AF48" s="439"/>
    </row>
    <row r="49" spans="1:32" ht="18.75" customHeight="1" x14ac:dyDescent="0.2">
      <c r="A49" s="706">
        <v>36</v>
      </c>
      <c r="B49" s="428" t="s">
        <v>117</v>
      </c>
      <c r="C49" s="629" t="s">
        <v>46</v>
      </c>
      <c r="D49" s="592">
        <v>671.45</v>
      </c>
      <c r="E49" s="629" t="s">
        <v>128</v>
      </c>
      <c r="F49" s="629">
        <v>177.8</v>
      </c>
      <c r="G49" s="629" t="s">
        <v>28</v>
      </c>
      <c r="H49" s="592" t="s">
        <v>187</v>
      </c>
      <c r="I49" s="585">
        <v>559.39</v>
      </c>
      <c r="J49" s="629">
        <v>265</v>
      </c>
      <c r="K49" s="435"/>
      <c r="L49" s="435">
        <v>231</v>
      </c>
      <c r="M49" s="435"/>
      <c r="N49" s="629">
        <v>2.2000000000000002</v>
      </c>
      <c r="O49" s="629"/>
      <c r="P49" s="430">
        <v>31.692001233066559</v>
      </c>
      <c r="Q49" s="431">
        <f t="shared" si="9"/>
        <v>15.9</v>
      </c>
      <c r="R49" s="432">
        <v>1.01</v>
      </c>
      <c r="S49" s="431">
        <v>7.4</v>
      </c>
      <c r="T49" s="431">
        <v>0</v>
      </c>
      <c r="U49" s="431">
        <f t="shared" ref="U49:U55" si="11">T49/R49</f>
        <v>0</v>
      </c>
      <c r="V49" s="433">
        <f t="shared" si="7"/>
        <v>86.351351351351354</v>
      </c>
      <c r="W49" s="432">
        <v>0.2</v>
      </c>
      <c r="X49" s="431">
        <f t="shared" si="10"/>
        <v>0.46540880503144655</v>
      </c>
      <c r="Y49" s="431">
        <f t="shared" si="8"/>
        <v>0.96151999999999993</v>
      </c>
      <c r="Z49" s="431">
        <f t="shared" si="8"/>
        <v>7.0448000000000004</v>
      </c>
      <c r="AA49" s="431">
        <f t="shared" si="8"/>
        <v>0</v>
      </c>
      <c r="AB49" s="431">
        <f t="shared" si="5"/>
        <v>0</v>
      </c>
      <c r="AC49" s="431">
        <f t="shared" si="3"/>
        <v>86.351351351351354</v>
      </c>
      <c r="AD49" s="629">
        <v>30</v>
      </c>
      <c r="AE49" s="431">
        <f t="shared" si="6"/>
        <v>28.845599999999997</v>
      </c>
      <c r="AF49" s="434"/>
    </row>
    <row r="50" spans="1:32" ht="18.75" customHeight="1" x14ac:dyDescent="0.2">
      <c r="A50" s="706">
        <v>37</v>
      </c>
      <c r="B50" s="428" t="s">
        <v>130</v>
      </c>
      <c r="C50" s="629" t="s">
        <v>46</v>
      </c>
      <c r="D50" s="592">
        <v>622.6</v>
      </c>
      <c r="E50" s="629" t="s">
        <v>134</v>
      </c>
      <c r="F50" s="629">
        <v>177.8</v>
      </c>
      <c r="G50" s="629" t="s">
        <v>28</v>
      </c>
      <c r="H50" s="592" t="s">
        <v>48</v>
      </c>
      <c r="I50" s="585">
        <v>551.79999999999995</v>
      </c>
      <c r="J50" s="629">
        <v>85</v>
      </c>
      <c r="K50" s="435"/>
      <c r="L50" s="435">
        <v>86</v>
      </c>
      <c r="M50" s="435"/>
      <c r="N50" s="629">
        <v>5.4</v>
      </c>
      <c r="O50" s="629"/>
      <c r="P50" s="430">
        <v>53.174295508268564</v>
      </c>
      <c r="Q50" s="431">
        <f t="shared" si="9"/>
        <v>11.05</v>
      </c>
      <c r="R50" s="432">
        <v>0.37</v>
      </c>
      <c r="S50" s="431">
        <v>8</v>
      </c>
      <c r="T50" s="431">
        <v>0</v>
      </c>
      <c r="U50" s="431">
        <v>0</v>
      </c>
      <c r="V50" s="433">
        <f t="shared" si="7"/>
        <v>95.375</v>
      </c>
      <c r="W50" s="432">
        <v>0.2</v>
      </c>
      <c r="X50" s="431">
        <f t="shared" si="10"/>
        <v>0.72398190045248867</v>
      </c>
      <c r="Y50" s="431">
        <f t="shared" si="8"/>
        <v>0.35224</v>
      </c>
      <c r="Z50" s="431">
        <f t="shared" si="8"/>
        <v>7.6159999999999997</v>
      </c>
      <c r="AA50" s="431">
        <f t="shared" si="8"/>
        <v>0</v>
      </c>
      <c r="AB50" s="431">
        <f t="shared" si="5"/>
        <v>0</v>
      </c>
      <c r="AC50" s="431">
        <f t="shared" si="3"/>
        <v>95.375</v>
      </c>
      <c r="AD50" s="629">
        <v>30</v>
      </c>
      <c r="AE50" s="431">
        <f t="shared" si="6"/>
        <v>10.5672</v>
      </c>
      <c r="AF50" s="434"/>
    </row>
    <row r="51" spans="1:32" s="396" customFormat="1" ht="18.75" customHeight="1" x14ac:dyDescent="0.2">
      <c r="A51" s="706">
        <v>38</v>
      </c>
      <c r="B51" s="450" t="s">
        <v>115</v>
      </c>
      <c r="C51" s="451" t="s">
        <v>46</v>
      </c>
      <c r="D51" s="452">
        <v>671.43</v>
      </c>
      <c r="E51" s="451" t="s">
        <v>286</v>
      </c>
      <c r="F51" s="629">
        <v>177.8</v>
      </c>
      <c r="G51" s="451" t="s">
        <v>28</v>
      </c>
      <c r="H51" s="655" t="s">
        <v>363</v>
      </c>
      <c r="I51" s="453">
        <v>565.65</v>
      </c>
      <c r="J51" s="451">
        <v>85</v>
      </c>
      <c r="K51" s="451"/>
      <c r="L51" s="451">
        <v>429</v>
      </c>
      <c r="M51" s="451"/>
      <c r="N51" s="629">
        <v>2.5</v>
      </c>
      <c r="O51" s="451"/>
      <c r="P51" s="454">
        <v>29.596326668947601</v>
      </c>
      <c r="Q51" s="431">
        <f>7*J51/100</f>
        <v>5.95</v>
      </c>
      <c r="R51" s="456">
        <v>3.13</v>
      </c>
      <c r="S51" s="431">
        <v>3.8</v>
      </c>
      <c r="T51" s="455">
        <v>2</v>
      </c>
      <c r="U51" s="431">
        <v>2</v>
      </c>
      <c r="V51" s="432">
        <f t="shared" si="7"/>
        <v>17.631578947368421</v>
      </c>
      <c r="W51" s="456">
        <v>0.8</v>
      </c>
      <c r="X51" s="431">
        <f t="shared" si="10"/>
        <v>0.6386554621848739</v>
      </c>
      <c r="Y51" s="431">
        <f t="shared" si="8"/>
        <v>2.9797599999999997</v>
      </c>
      <c r="Z51" s="431">
        <f t="shared" si="8"/>
        <v>3.6175999999999995</v>
      </c>
      <c r="AA51" s="431">
        <f t="shared" si="8"/>
        <v>1.9039999999999999</v>
      </c>
      <c r="AB51" s="455">
        <f t="shared" si="5"/>
        <v>2</v>
      </c>
      <c r="AC51" s="431">
        <f t="shared" si="3"/>
        <v>17.631578947368421</v>
      </c>
      <c r="AD51" s="629">
        <v>30</v>
      </c>
      <c r="AE51" s="455">
        <f t="shared" si="6"/>
        <v>89.392799999999994</v>
      </c>
      <c r="AF51" s="449"/>
    </row>
    <row r="52" spans="1:32" ht="18.75" customHeight="1" x14ac:dyDescent="0.2">
      <c r="A52" s="706">
        <v>39</v>
      </c>
      <c r="B52" s="428" t="s">
        <v>116</v>
      </c>
      <c r="C52" s="629" t="s">
        <v>46</v>
      </c>
      <c r="D52" s="592">
        <v>681.27</v>
      </c>
      <c r="E52" s="629" t="s">
        <v>124</v>
      </c>
      <c r="F52" s="629">
        <v>177.8</v>
      </c>
      <c r="G52" s="629" t="s">
        <v>28</v>
      </c>
      <c r="H52" s="592" t="s">
        <v>53</v>
      </c>
      <c r="I52" s="585">
        <v>558.35</v>
      </c>
      <c r="J52" s="629">
        <v>240</v>
      </c>
      <c r="K52" s="435"/>
      <c r="L52" s="435">
        <v>383</v>
      </c>
      <c r="M52" s="435"/>
      <c r="N52" s="629">
        <v>7.3</v>
      </c>
      <c r="O52" s="629"/>
      <c r="P52" s="430">
        <v>27.56036820507514</v>
      </c>
      <c r="Q52" s="455">
        <f t="shared" si="9"/>
        <v>31.2</v>
      </c>
      <c r="R52" s="432">
        <v>2.34</v>
      </c>
      <c r="S52" s="431">
        <v>8.5</v>
      </c>
      <c r="T52" s="431">
        <v>7</v>
      </c>
      <c r="U52" s="431">
        <f t="shared" si="11"/>
        <v>2.9914529914529915</v>
      </c>
      <c r="V52" s="433">
        <f t="shared" si="7"/>
        <v>72.470588235294116</v>
      </c>
      <c r="W52" s="432">
        <v>0.5</v>
      </c>
      <c r="X52" s="431">
        <f t="shared" si="10"/>
        <v>0.27243589743589747</v>
      </c>
      <c r="Y52" s="431">
        <f t="shared" si="8"/>
        <v>2.2276799999999999</v>
      </c>
      <c r="Z52" s="431">
        <f t="shared" si="8"/>
        <v>8.0919999999999987</v>
      </c>
      <c r="AA52" s="431">
        <f t="shared" si="8"/>
        <v>6.6639999999999997</v>
      </c>
      <c r="AB52" s="431">
        <f t="shared" si="5"/>
        <v>2.9914529914529915</v>
      </c>
      <c r="AC52" s="431">
        <f t="shared" si="3"/>
        <v>72.470588235294116</v>
      </c>
      <c r="AD52" s="629">
        <v>30</v>
      </c>
      <c r="AE52" s="431">
        <f t="shared" si="6"/>
        <v>66.830399999999997</v>
      </c>
      <c r="AF52" s="449"/>
    </row>
    <row r="53" spans="1:32" ht="18.75" customHeight="1" x14ac:dyDescent="0.2">
      <c r="A53" s="706">
        <v>40</v>
      </c>
      <c r="B53" s="428" t="s">
        <v>120</v>
      </c>
      <c r="C53" s="629" t="s">
        <v>46</v>
      </c>
      <c r="D53" s="592">
        <v>668.57</v>
      </c>
      <c r="E53" s="629" t="s">
        <v>285</v>
      </c>
      <c r="F53" s="629">
        <v>177.8</v>
      </c>
      <c r="G53" s="629" t="s">
        <v>28</v>
      </c>
      <c r="H53" s="592" t="s">
        <v>48</v>
      </c>
      <c r="I53" s="585">
        <v>567.08000000000004</v>
      </c>
      <c r="J53" s="629">
        <v>170</v>
      </c>
      <c r="K53" s="435"/>
      <c r="L53" s="435">
        <v>417</v>
      </c>
      <c r="M53" s="435"/>
      <c r="N53" s="629">
        <v>0.8</v>
      </c>
      <c r="O53" s="629"/>
      <c r="P53" s="430">
        <v>16.292695681015282</v>
      </c>
      <c r="Q53" s="431">
        <f t="shared" si="9"/>
        <v>22.1</v>
      </c>
      <c r="R53" s="432">
        <v>2.34</v>
      </c>
      <c r="S53" s="431">
        <v>8.5</v>
      </c>
      <c r="T53" s="431">
        <v>7</v>
      </c>
      <c r="U53" s="431">
        <f t="shared" si="11"/>
        <v>2.9914529914529915</v>
      </c>
      <c r="V53" s="433">
        <f t="shared" si="7"/>
        <v>72.470588235294116</v>
      </c>
      <c r="W53" s="432">
        <v>0.5</v>
      </c>
      <c r="X53" s="431">
        <f t="shared" si="10"/>
        <v>0.38461538461538458</v>
      </c>
      <c r="Y53" s="431">
        <f t="shared" si="8"/>
        <v>2.2276799999999999</v>
      </c>
      <c r="Z53" s="431">
        <f t="shared" si="8"/>
        <v>8.0919999999999987</v>
      </c>
      <c r="AA53" s="431">
        <f t="shared" si="8"/>
        <v>6.6639999999999997</v>
      </c>
      <c r="AB53" s="431">
        <f t="shared" si="5"/>
        <v>2.9914529914529915</v>
      </c>
      <c r="AC53" s="431">
        <f t="shared" si="3"/>
        <v>72.470588235294116</v>
      </c>
      <c r="AD53" s="629">
        <v>30</v>
      </c>
      <c r="AE53" s="431">
        <f t="shared" si="6"/>
        <v>66.830399999999997</v>
      </c>
      <c r="AF53" s="434"/>
    </row>
    <row r="54" spans="1:32" ht="18.75" customHeight="1" x14ac:dyDescent="0.2">
      <c r="A54" s="706">
        <v>41</v>
      </c>
      <c r="B54" s="428" t="s">
        <v>114</v>
      </c>
      <c r="C54" s="629" t="s">
        <v>46</v>
      </c>
      <c r="D54" s="592">
        <v>584.25</v>
      </c>
      <c r="E54" s="629" t="s">
        <v>123</v>
      </c>
      <c r="F54" s="629">
        <v>177.8</v>
      </c>
      <c r="G54" s="629" t="s">
        <v>28</v>
      </c>
      <c r="H54" s="592" t="s">
        <v>125</v>
      </c>
      <c r="I54" s="585">
        <v>565.08000000000004</v>
      </c>
      <c r="J54" s="629">
        <v>240</v>
      </c>
      <c r="K54" s="435"/>
      <c r="L54" s="435">
        <v>42</v>
      </c>
      <c r="M54" s="435"/>
      <c r="N54" s="629">
        <v>0.3</v>
      </c>
      <c r="O54" s="629"/>
      <c r="P54" s="430">
        <v>55.746254444728223</v>
      </c>
      <c r="Q54" s="431">
        <f t="shared" si="9"/>
        <v>7.2</v>
      </c>
      <c r="R54" s="432">
        <v>0.17</v>
      </c>
      <c r="S54" s="431">
        <v>0.8</v>
      </c>
      <c r="T54" s="431">
        <v>0</v>
      </c>
      <c r="U54" s="431">
        <f t="shared" si="11"/>
        <v>0</v>
      </c>
      <c r="V54" s="433">
        <f t="shared" si="7"/>
        <v>78.75</v>
      </c>
      <c r="W54" s="432">
        <v>0.2</v>
      </c>
      <c r="X54" s="431">
        <f t="shared" si="10"/>
        <v>0.11111111111111112</v>
      </c>
      <c r="Y54" s="431">
        <f t="shared" si="8"/>
        <v>0.16184000000000001</v>
      </c>
      <c r="Z54" s="431">
        <f t="shared" si="8"/>
        <v>0.76160000000000005</v>
      </c>
      <c r="AA54" s="431">
        <f t="shared" si="8"/>
        <v>0</v>
      </c>
      <c r="AB54" s="431">
        <f t="shared" si="5"/>
        <v>0</v>
      </c>
      <c r="AC54" s="431">
        <f t="shared" si="3"/>
        <v>78.75</v>
      </c>
      <c r="AD54" s="629">
        <v>30</v>
      </c>
      <c r="AE54" s="431">
        <f t="shared" si="6"/>
        <v>4.8552</v>
      </c>
      <c r="AF54" s="457"/>
    </row>
    <row r="55" spans="1:32" ht="18.75" customHeight="1" x14ac:dyDescent="0.2">
      <c r="A55" s="706">
        <v>42</v>
      </c>
      <c r="B55" s="428" t="s">
        <v>106</v>
      </c>
      <c r="C55" s="629" t="s">
        <v>46</v>
      </c>
      <c r="D55" s="592">
        <v>642.52</v>
      </c>
      <c r="E55" s="629" t="s">
        <v>111</v>
      </c>
      <c r="F55" s="629">
        <v>177.8</v>
      </c>
      <c r="G55" s="629" t="s">
        <v>28</v>
      </c>
      <c r="H55" s="592" t="s">
        <v>52</v>
      </c>
      <c r="I55" s="585">
        <v>556.65</v>
      </c>
      <c r="J55" s="629">
        <v>230</v>
      </c>
      <c r="K55" s="435"/>
      <c r="L55" s="435">
        <v>233</v>
      </c>
      <c r="M55" s="435"/>
      <c r="N55" s="629">
        <v>7.4</v>
      </c>
      <c r="O55" s="629"/>
      <c r="P55" s="430">
        <v>43.137089742987101</v>
      </c>
      <c r="Q55" s="431">
        <f t="shared" si="9"/>
        <v>50.6</v>
      </c>
      <c r="R55" s="432">
        <v>0.28000000000000003</v>
      </c>
      <c r="S55" s="431">
        <v>8.4</v>
      </c>
      <c r="T55" s="431">
        <v>9.8000000000000007</v>
      </c>
      <c r="U55" s="431">
        <f t="shared" si="11"/>
        <v>35</v>
      </c>
      <c r="V55" s="433">
        <f t="shared" si="7"/>
        <v>96.666666666666686</v>
      </c>
      <c r="W55" s="432">
        <v>0</v>
      </c>
      <c r="X55" s="431">
        <f t="shared" si="10"/>
        <v>0.16600790513833993</v>
      </c>
      <c r="Y55" s="431">
        <f t="shared" si="8"/>
        <v>0.26656000000000002</v>
      </c>
      <c r="Z55" s="431">
        <f t="shared" si="8"/>
        <v>7.9968000000000004</v>
      </c>
      <c r="AA55" s="431">
        <f t="shared" si="8"/>
        <v>9.329600000000001</v>
      </c>
      <c r="AB55" s="431">
        <f t="shared" si="5"/>
        <v>35</v>
      </c>
      <c r="AC55" s="431">
        <f t="shared" si="3"/>
        <v>96.666666666666686</v>
      </c>
      <c r="AD55" s="629">
        <v>30</v>
      </c>
      <c r="AE55" s="431">
        <f t="shared" si="6"/>
        <v>7.9968000000000004</v>
      </c>
      <c r="AF55" s="449"/>
    </row>
    <row r="56" spans="1:32" ht="18.75" customHeight="1" x14ac:dyDescent="0.2">
      <c r="A56" s="706">
        <v>43</v>
      </c>
      <c r="B56" s="428" t="s">
        <v>105</v>
      </c>
      <c r="C56" s="629" t="s">
        <v>46</v>
      </c>
      <c r="D56" s="592">
        <v>678.58</v>
      </c>
      <c r="E56" s="629" t="s">
        <v>110</v>
      </c>
      <c r="F56" s="629">
        <v>177.8</v>
      </c>
      <c r="G56" s="629" t="s">
        <v>28</v>
      </c>
      <c r="H56" s="592" t="s">
        <v>52</v>
      </c>
      <c r="I56" s="585">
        <v>529.41</v>
      </c>
      <c r="J56" s="629" t="s">
        <v>240</v>
      </c>
      <c r="K56" s="435">
        <v>268</v>
      </c>
      <c r="L56" s="435">
        <v>0</v>
      </c>
      <c r="M56" s="435">
        <v>1.3</v>
      </c>
      <c r="N56" s="629"/>
      <c r="O56" s="629"/>
      <c r="P56" s="430">
        <v>30.077391883718668</v>
      </c>
      <c r="Q56" s="431">
        <f t="shared" si="9"/>
        <v>0</v>
      </c>
      <c r="R56" s="432">
        <v>0</v>
      </c>
      <c r="S56" s="431">
        <v>0</v>
      </c>
      <c r="T56" s="431">
        <v>0</v>
      </c>
      <c r="U56" s="431">
        <f>IF(R56=0,0,T56/R56)</f>
        <v>0</v>
      </c>
      <c r="V56" s="433">
        <v>0</v>
      </c>
      <c r="W56" s="432">
        <v>0</v>
      </c>
      <c r="X56" s="431">
        <v>0</v>
      </c>
      <c r="Y56" s="431">
        <f t="shared" si="8"/>
        <v>0</v>
      </c>
      <c r="Z56" s="431">
        <f t="shared" si="8"/>
        <v>0</v>
      </c>
      <c r="AA56" s="431">
        <f t="shared" si="8"/>
        <v>0</v>
      </c>
      <c r="AB56" s="431">
        <f t="shared" si="5"/>
        <v>0</v>
      </c>
      <c r="AC56" s="431">
        <f t="shared" si="3"/>
        <v>0</v>
      </c>
      <c r="AD56" s="629">
        <v>0</v>
      </c>
      <c r="AE56" s="431">
        <f t="shared" si="6"/>
        <v>0</v>
      </c>
      <c r="AF56" s="434" t="s">
        <v>335</v>
      </c>
    </row>
    <row r="57" spans="1:32" s="396" customFormat="1" ht="18.75" customHeight="1" x14ac:dyDescent="0.2">
      <c r="A57" s="706">
        <v>44</v>
      </c>
      <c r="B57" s="428" t="s">
        <v>104</v>
      </c>
      <c r="C57" s="629" t="s">
        <v>304</v>
      </c>
      <c r="D57" s="592">
        <v>707.14</v>
      </c>
      <c r="E57" s="629" t="s">
        <v>231</v>
      </c>
      <c r="F57" s="629">
        <v>177.8</v>
      </c>
      <c r="G57" s="629" t="s">
        <v>28</v>
      </c>
      <c r="H57" s="592" t="s">
        <v>52</v>
      </c>
      <c r="I57" s="585">
        <v>555</v>
      </c>
      <c r="J57" s="629" t="s">
        <v>240</v>
      </c>
      <c r="K57" s="629">
        <v>479</v>
      </c>
      <c r="L57" s="629">
        <v>0</v>
      </c>
      <c r="M57" s="629">
        <v>27.8</v>
      </c>
      <c r="N57" s="629"/>
      <c r="O57" s="629"/>
      <c r="P57" s="430">
        <v>36.69780043208025</v>
      </c>
      <c r="Q57" s="431">
        <f t="shared" si="9"/>
        <v>0</v>
      </c>
      <c r="R57" s="432">
        <v>0</v>
      </c>
      <c r="S57" s="431">
        <v>0</v>
      </c>
      <c r="T57" s="431">
        <v>0</v>
      </c>
      <c r="U57" s="431">
        <f>IF(T57=0,0,T57/R57)</f>
        <v>0</v>
      </c>
      <c r="V57" s="432">
        <v>0</v>
      </c>
      <c r="W57" s="432">
        <v>0</v>
      </c>
      <c r="X57" s="431">
        <f>IF(S57=0,0,S57/Q57)</f>
        <v>0</v>
      </c>
      <c r="Y57" s="431">
        <f t="shared" si="8"/>
        <v>0</v>
      </c>
      <c r="Z57" s="431">
        <f t="shared" si="8"/>
        <v>0</v>
      </c>
      <c r="AA57" s="431">
        <f t="shared" si="8"/>
        <v>0</v>
      </c>
      <c r="AB57" s="431">
        <f t="shared" si="5"/>
        <v>0</v>
      </c>
      <c r="AC57" s="431">
        <f t="shared" si="3"/>
        <v>0</v>
      </c>
      <c r="AD57" s="629">
        <v>0</v>
      </c>
      <c r="AE57" s="431">
        <f t="shared" si="6"/>
        <v>0</v>
      </c>
      <c r="AF57" s="434" t="s">
        <v>334</v>
      </c>
    </row>
    <row r="58" spans="1:32" ht="18.75" customHeight="1" x14ac:dyDescent="0.3">
      <c r="A58" s="706">
        <v>45</v>
      </c>
      <c r="B58" s="586" t="s">
        <v>158</v>
      </c>
      <c r="C58" s="629" t="s">
        <v>46</v>
      </c>
      <c r="D58" s="585">
        <v>674.45</v>
      </c>
      <c r="E58" s="585" t="s">
        <v>232</v>
      </c>
      <c r="F58" s="629">
        <v>177.8</v>
      </c>
      <c r="G58" s="629" t="s">
        <v>28</v>
      </c>
      <c r="H58" s="592" t="s">
        <v>52</v>
      </c>
      <c r="I58" s="585">
        <v>543.72</v>
      </c>
      <c r="J58" s="585">
        <v>190</v>
      </c>
      <c r="K58" s="424"/>
      <c r="L58" s="424">
        <v>463</v>
      </c>
      <c r="M58" s="424"/>
      <c r="N58" s="629">
        <v>8</v>
      </c>
      <c r="O58" s="585"/>
      <c r="P58" s="620">
        <v>17.699594498341877</v>
      </c>
      <c r="Q58" s="431">
        <f t="shared" si="9"/>
        <v>41.8</v>
      </c>
      <c r="R58" s="432">
        <v>8.6</v>
      </c>
      <c r="S58" s="431">
        <v>11.2</v>
      </c>
      <c r="T58" s="437">
        <v>390</v>
      </c>
      <c r="U58" s="431">
        <f t="shared" ref="U58:U64" si="12">T58/R58</f>
        <v>45.348837209302324</v>
      </c>
      <c r="V58" s="433">
        <f t="shared" si="7"/>
        <v>23.214285714285712</v>
      </c>
      <c r="W58" s="432">
        <v>0.2</v>
      </c>
      <c r="X58" s="431">
        <f t="shared" ref="X58:X76" si="13">S58/Q58</f>
        <v>0.26794258373205743</v>
      </c>
      <c r="Y58" s="431">
        <f t="shared" si="8"/>
        <v>8.1871999999999989</v>
      </c>
      <c r="Z58" s="431">
        <f t="shared" si="8"/>
        <v>10.662399999999998</v>
      </c>
      <c r="AA58" s="431">
        <f t="shared" si="8"/>
        <v>371.28</v>
      </c>
      <c r="AB58" s="431">
        <f t="shared" si="5"/>
        <v>45.348837209302324</v>
      </c>
      <c r="AC58" s="431">
        <f t="shared" si="3"/>
        <v>23.214285714285712</v>
      </c>
      <c r="AD58" s="629">
        <v>30</v>
      </c>
      <c r="AE58" s="431">
        <f>Y58*AD58</f>
        <v>245.61599999999996</v>
      </c>
      <c r="AF58" s="458"/>
    </row>
    <row r="59" spans="1:32" ht="18.75" customHeight="1" x14ac:dyDescent="0.2">
      <c r="A59" s="706">
        <v>46</v>
      </c>
      <c r="B59" s="586" t="s">
        <v>160</v>
      </c>
      <c r="C59" s="629" t="s">
        <v>304</v>
      </c>
      <c r="D59" s="585">
        <v>677.33</v>
      </c>
      <c r="E59" s="585" t="s">
        <v>315</v>
      </c>
      <c r="F59" s="629">
        <v>177.8</v>
      </c>
      <c r="G59" s="629" t="s">
        <v>28</v>
      </c>
      <c r="H59" s="592" t="s">
        <v>50</v>
      </c>
      <c r="I59" s="585">
        <v>619</v>
      </c>
      <c r="J59" s="585">
        <v>0</v>
      </c>
      <c r="K59" s="424">
        <v>255</v>
      </c>
      <c r="L59" s="435"/>
      <c r="M59" s="424">
        <v>0</v>
      </c>
      <c r="N59" s="629"/>
      <c r="O59" s="585"/>
      <c r="P59" s="620">
        <v>35.063661587571268</v>
      </c>
      <c r="Q59" s="431">
        <f t="shared" si="9"/>
        <v>0</v>
      </c>
      <c r="R59" s="432">
        <v>0</v>
      </c>
      <c r="S59" s="431">
        <v>0</v>
      </c>
      <c r="T59" s="437">
        <v>0</v>
      </c>
      <c r="U59" s="431">
        <v>0</v>
      </c>
      <c r="V59" s="433">
        <v>0</v>
      </c>
      <c r="W59" s="432">
        <v>0</v>
      </c>
      <c r="X59" s="431">
        <v>0</v>
      </c>
      <c r="Y59" s="431">
        <f t="shared" si="8"/>
        <v>0</v>
      </c>
      <c r="Z59" s="431">
        <f t="shared" si="8"/>
        <v>0</v>
      </c>
      <c r="AA59" s="431">
        <f t="shared" si="8"/>
        <v>0</v>
      </c>
      <c r="AB59" s="431">
        <f t="shared" si="5"/>
        <v>0</v>
      </c>
      <c r="AC59" s="431">
        <f t="shared" si="3"/>
        <v>0</v>
      </c>
      <c r="AD59" s="629">
        <v>0</v>
      </c>
      <c r="AE59" s="431">
        <f>Y59*AD59</f>
        <v>0</v>
      </c>
      <c r="AF59" s="434" t="s">
        <v>334</v>
      </c>
    </row>
    <row r="60" spans="1:32" ht="18.75" customHeight="1" x14ac:dyDescent="0.2">
      <c r="A60" s="706">
        <v>47</v>
      </c>
      <c r="B60" s="428" t="s">
        <v>164</v>
      </c>
      <c r="C60" s="629" t="s">
        <v>46</v>
      </c>
      <c r="D60" s="585">
        <v>678.47</v>
      </c>
      <c r="E60" s="585" t="s">
        <v>233</v>
      </c>
      <c r="F60" s="629">
        <v>177.8</v>
      </c>
      <c r="G60" s="629" t="s">
        <v>28</v>
      </c>
      <c r="H60" s="592" t="s">
        <v>48</v>
      </c>
      <c r="I60" s="585">
        <v>563.11</v>
      </c>
      <c r="J60" s="585">
        <v>160</v>
      </c>
      <c r="K60" s="424"/>
      <c r="L60" s="424">
        <v>426</v>
      </c>
      <c r="M60" s="424"/>
      <c r="N60" s="629">
        <v>1.8</v>
      </c>
      <c r="O60" s="585"/>
      <c r="P60" s="430">
        <v>14.220339221542325</v>
      </c>
      <c r="Q60" s="431">
        <f t="shared" si="9"/>
        <v>20.8</v>
      </c>
      <c r="R60" s="432">
        <v>3.84</v>
      </c>
      <c r="S60" s="431">
        <v>4.9000000000000004</v>
      </c>
      <c r="T60" s="431">
        <v>14.8</v>
      </c>
      <c r="U60" s="431">
        <f t="shared" si="12"/>
        <v>3.854166666666667</v>
      </c>
      <c r="V60" s="433">
        <f t="shared" si="7"/>
        <v>21.632653061224499</v>
      </c>
      <c r="W60" s="432">
        <v>0.5</v>
      </c>
      <c r="X60" s="431">
        <f t="shared" si="13"/>
        <v>0.23557692307692307</v>
      </c>
      <c r="Y60" s="431">
        <f t="shared" si="8"/>
        <v>3.6556799999999998</v>
      </c>
      <c r="Z60" s="431">
        <f t="shared" si="8"/>
        <v>4.6648000000000005</v>
      </c>
      <c r="AA60" s="431">
        <f t="shared" si="8"/>
        <v>14.089600000000001</v>
      </c>
      <c r="AB60" s="431">
        <f t="shared" si="5"/>
        <v>3.854166666666667</v>
      </c>
      <c r="AC60" s="431">
        <f t="shared" si="3"/>
        <v>21.632653061224499</v>
      </c>
      <c r="AD60" s="629">
        <v>30</v>
      </c>
      <c r="AE60" s="431">
        <f t="shared" ref="AE60:AE75" si="14">Y60*AD60</f>
        <v>109.6704</v>
      </c>
      <c r="AF60" s="434"/>
    </row>
    <row r="61" spans="1:32" ht="18.75" customHeight="1" x14ac:dyDescent="0.2">
      <c r="A61" s="706">
        <v>48</v>
      </c>
      <c r="B61" s="428" t="s">
        <v>61</v>
      </c>
      <c r="C61" s="629" t="s">
        <v>46</v>
      </c>
      <c r="D61" s="592">
        <v>667.18</v>
      </c>
      <c r="E61" s="629" t="s">
        <v>96</v>
      </c>
      <c r="F61" s="629">
        <v>177.8</v>
      </c>
      <c r="G61" s="629" t="s">
        <v>28</v>
      </c>
      <c r="H61" s="592" t="s">
        <v>52</v>
      </c>
      <c r="I61" s="585">
        <v>534.21</v>
      </c>
      <c r="J61" s="629">
        <v>150</v>
      </c>
      <c r="K61" s="435"/>
      <c r="L61" s="435">
        <v>444</v>
      </c>
      <c r="M61" s="435"/>
      <c r="N61" s="629">
        <v>8.1999999999999993</v>
      </c>
      <c r="O61" s="629"/>
      <c r="P61" s="430">
        <v>18.901114805254981</v>
      </c>
      <c r="Q61" s="431">
        <f t="shared" si="9"/>
        <v>33</v>
      </c>
      <c r="R61" s="432">
        <v>9.3000000000000007</v>
      </c>
      <c r="S61" s="431">
        <v>12.6</v>
      </c>
      <c r="T61" s="431">
        <v>133</v>
      </c>
      <c r="U61" s="431">
        <f t="shared" si="12"/>
        <v>14.301075268817204</v>
      </c>
      <c r="V61" s="433">
        <f t="shared" si="7"/>
        <v>26.190476190476179</v>
      </c>
      <c r="W61" s="432">
        <v>0.2</v>
      </c>
      <c r="X61" s="431">
        <f t="shared" si="13"/>
        <v>0.38181818181818183</v>
      </c>
      <c r="Y61" s="431">
        <f t="shared" si="8"/>
        <v>8.8536000000000001</v>
      </c>
      <c r="Z61" s="431">
        <f t="shared" si="8"/>
        <v>11.995199999999999</v>
      </c>
      <c r="AA61" s="431">
        <f t="shared" si="8"/>
        <v>126.616</v>
      </c>
      <c r="AB61" s="431">
        <f t="shared" si="5"/>
        <v>14.301075268817204</v>
      </c>
      <c r="AC61" s="431">
        <f t="shared" si="3"/>
        <v>26.190476190476179</v>
      </c>
      <c r="AD61" s="629">
        <v>30</v>
      </c>
      <c r="AE61" s="431">
        <f t="shared" si="14"/>
        <v>265.608</v>
      </c>
      <c r="AF61" s="449"/>
    </row>
    <row r="62" spans="1:32" ht="18.75" customHeight="1" x14ac:dyDescent="0.2">
      <c r="A62" s="706">
        <v>49</v>
      </c>
      <c r="B62" s="428" t="s">
        <v>64</v>
      </c>
      <c r="C62" s="629" t="s">
        <v>46</v>
      </c>
      <c r="D62" s="592">
        <v>672.5</v>
      </c>
      <c r="E62" s="629" t="s">
        <v>234</v>
      </c>
      <c r="F62" s="629">
        <v>177.8</v>
      </c>
      <c r="G62" s="629" t="s">
        <v>28</v>
      </c>
      <c r="H62" s="592" t="s">
        <v>49</v>
      </c>
      <c r="I62" s="585">
        <v>533.70000000000005</v>
      </c>
      <c r="J62" s="629">
        <v>190</v>
      </c>
      <c r="K62" s="629"/>
      <c r="L62" s="629">
        <v>427</v>
      </c>
      <c r="M62" s="629"/>
      <c r="N62" s="629">
        <v>8.3000000000000007</v>
      </c>
      <c r="O62" s="629"/>
      <c r="P62" s="430">
        <v>21.553200194531328</v>
      </c>
      <c r="Q62" s="431">
        <f t="shared" si="9"/>
        <v>60.8</v>
      </c>
      <c r="R62" s="432">
        <v>13.5</v>
      </c>
      <c r="S62" s="431">
        <v>17.600000000000001</v>
      </c>
      <c r="T62" s="530">
        <v>937</v>
      </c>
      <c r="U62" s="431">
        <f t="shared" si="12"/>
        <v>69.407407407407405</v>
      </c>
      <c r="V62" s="433">
        <f t="shared" si="7"/>
        <v>23.295454545454554</v>
      </c>
      <c r="W62" s="432">
        <v>0.2</v>
      </c>
      <c r="X62" s="431">
        <f t="shared" si="13"/>
        <v>0.28947368421052633</v>
      </c>
      <c r="Y62" s="431">
        <f t="shared" si="8"/>
        <v>12.852</v>
      </c>
      <c r="Z62" s="431">
        <f t="shared" si="8"/>
        <v>16.755200000000002</v>
      </c>
      <c r="AA62" s="530">
        <f t="shared" si="8"/>
        <v>892.024</v>
      </c>
      <c r="AB62" s="431">
        <f t="shared" si="5"/>
        <v>69.407407407407405</v>
      </c>
      <c r="AC62" s="431">
        <f t="shared" si="3"/>
        <v>23.295454545454554</v>
      </c>
      <c r="AD62" s="629">
        <v>30</v>
      </c>
      <c r="AE62" s="431">
        <f t="shared" si="14"/>
        <v>385.56</v>
      </c>
      <c r="AF62" s="439"/>
    </row>
    <row r="63" spans="1:32" ht="18.75" customHeight="1" x14ac:dyDescent="0.2">
      <c r="A63" s="706">
        <v>50</v>
      </c>
      <c r="B63" s="428" t="s">
        <v>156</v>
      </c>
      <c r="C63" s="629" t="s">
        <v>46</v>
      </c>
      <c r="D63" s="592">
        <v>679.54</v>
      </c>
      <c r="E63" s="629" t="s">
        <v>166</v>
      </c>
      <c r="F63" s="629">
        <v>177.8</v>
      </c>
      <c r="G63" s="629" t="s">
        <v>28</v>
      </c>
      <c r="H63" s="592" t="s">
        <v>52</v>
      </c>
      <c r="I63" s="585">
        <v>530.98</v>
      </c>
      <c r="J63" s="629">
        <v>185</v>
      </c>
      <c r="K63" s="629"/>
      <c r="L63" s="629">
        <v>457</v>
      </c>
      <c r="M63" s="629"/>
      <c r="N63" s="629">
        <v>8</v>
      </c>
      <c r="O63" s="629"/>
      <c r="P63" s="430">
        <v>16.955002306100326</v>
      </c>
      <c r="Q63" s="431">
        <f t="shared" si="9"/>
        <v>40.700000000000003</v>
      </c>
      <c r="R63" s="432">
        <v>8.6</v>
      </c>
      <c r="S63" s="431">
        <v>11.7</v>
      </c>
      <c r="T63" s="431">
        <v>155</v>
      </c>
      <c r="U63" s="431">
        <f t="shared" si="12"/>
        <v>18.02325581395349</v>
      </c>
      <c r="V63" s="433">
        <f t="shared" si="7"/>
        <v>26.495726495726498</v>
      </c>
      <c r="W63" s="432">
        <v>0.2</v>
      </c>
      <c r="X63" s="431">
        <f t="shared" si="13"/>
        <v>0.2874692874692874</v>
      </c>
      <c r="Y63" s="431">
        <f t="shared" si="8"/>
        <v>8.1871999999999989</v>
      </c>
      <c r="Z63" s="431">
        <f t="shared" si="8"/>
        <v>11.138399999999999</v>
      </c>
      <c r="AA63" s="431">
        <f t="shared" si="8"/>
        <v>147.56</v>
      </c>
      <c r="AB63" s="431">
        <f t="shared" si="5"/>
        <v>18.02325581395349</v>
      </c>
      <c r="AC63" s="431">
        <f t="shared" si="3"/>
        <v>26.495726495726498</v>
      </c>
      <c r="AD63" s="629">
        <v>30</v>
      </c>
      <c r="AE63" s="431">
        <f t="shared" si="14"/>
        <v>245.61599999999996</v>
      </c>
      <c r="AF63" s="439"/>
    </row>
    <row r="64" spans="1:32" ht="18.75" customHeight="1" x14ac:dyDescent="0.2">
      <c r="A64" s="706">
        <v>51</v>
      </c>
      <c r="B64" s="428" t="s">
        <v>169</v>
      </c>
      <c r="C64" s="629" t="s">
        <v>46</v>
      </c>
      <c r="D64" s="592">
        <v>673</v>
      </c>
      <c r="E64" s="629" t="s">
        <v>170</v>
      </c>
      <c r="F64" s="629">
        <v>177.8</v>
      </c>
      <c r="G64" s="629" t="s">
        <v>28</v>
      </c>
      <c r="H64" s="592" t="s">
        <v>52</v>
      </c>
      <c r="I64" s="585">
        <v>541.48</v>
      </c>
      <c r="J64" s="629">
        <v>85</v>
      </c>
      <c r="K64" s="629"/>
      <c r="L64" s="629">
        <v>442</v>
      </c>
      <c r="M64" s="629"/>
      <c r="N64" s="629">
        <v>1.3</v>
      </c>
      <c r="O64" s="629"/>
      <c r="P64" s="430">
        <v>16.424768494538675</v>
      </c>
      <c r="Q64" s="431">
        <f t="shared" si="9"/>
        <v>18.7</v>
      </c>
      <c r="R64" s="432">
        <v>2.65</v>
      </c>
      <c r="S64" s="431">
        <v>3.8</v>
      </c>
      <c r="T64" s="431">
        <v>67</v>
      </c>
      <c r="U64" s="431">
        <f t="shared" si="12"/>
        <v>25.283018867924529</v>
      </c>
      <c r="V64" s="433">
        <f t="shared" si="7"/>
        <v>30.263157894736842</v>
      </c>
      <c r="W64" s="432">
        <v>0.3</v>
      </c>
      <c r="X64" s="431">
        <f t="shared" si="13"/>
        <v>0.20320855614973263</v>
      </c>
      <c r="Y64" s="431">
        <f t="shared" si="8"/>
        <v>2.5227999999999997</v>
      </c>
      <c r="Z64" s="431">
        <f t="shared" si="8"/>
        <v>3.6175999999999995</v>
      </c>
      <c r="AA64" s="431">
        <f t="shared" si="8"/>
        <v>63.783999999999999</v>
      </c>
      <c r="AB64" s="431">
        <f t="shared" si="5"/>
        <v>25.283018867924529</v>
      </c>
      <c r="AC64" s="431">
        <f t="shared" si="3"/>
        <v>30.263157894736842</v>
      </c>
      <c r="AD64" s="629">
        <v>30</v>
      </c>
      <c r="AE64" s="431">
        <f>Y64*AD64</f>
        <v>75.683999999999997</v>
      </c>
      <c r="AF64" s="439"/>
    </row>
    <row r="65" spans="1:32" ht="18.75" customHeight="1" x14ac:dyDescent="0.2">
      <c r="A65" s="706">
        <v>52</v>
      </c>
      <c r="B65" s="428" t="s">
        <v>62</v>
      </c>
      <c r="C65" s="629" t="s">
        <v>46</v>
      </c>
      <c r="D65" s="592">
        <v>673.73</v>
      </c>
      <c r="E65" s="629" t="s">
        <v>97</v>
      </c>
      <c r="F65" s="629">
        <v>177.8</v>
      </c>
      <c r="G65" s="629" t="s">
        <v>28</v>
      </c>
      <c r="H65" s="592" t="s">
        <v>218</v>
      </c>
      <c r="I65" s="585">
        <v>543</v>
      </c>
      <c r="J65" s="629">
        <v>175</v>
      </c>
      <c r="K65" s="629"/>
      <c r="L65" s="629">
        <v>451</v>
      </c>
      <c r="M65" s="629"/>
      <c r="N65" s="629">
        <v>7.7</v>
      </c>
      <c r="O65" s="629"/>
      <c r="P65" s="430">
        <v>15.334359965097956</v>
      </c>
      <c r="Q65" s="431">
        <f t="shared" si="9"/>
        <v>56</v>
      </c>
      <c r="R65" s="432">
        <v>11.5</v>
      </c>
      <c r="S65" s="431">
        <v>13.4</v>
      </c>
      <c r="T65" s="431">
        <v>332</v>
      </c>
      <c r="U65" s="431">
        <f t="shared" si="1"/>
        <v>28.869565217391305</v>
      </c>
      <c r="V65" s="433">
        <f t="shared" si="7"/>
        <v>14.179104477611942</v>
      </c>
      <c r="W65" s="432">
        <v>0.4</v>
      </c>
      <c r="X65" s="431">
        <f t="shared" si="13"/>
        <v>0.2392857142857143</v>
      </c>
      <c r="Y65" s="431">
        <f t="shared" si="8"/>
        <v>10.948</v>
      </c>
      <c r="Z65" s="431">
        <f t="shared" si="8"/>
        <v>12.7568</v>
      </c>
      <c r="AA65" s="431">
        <f t="shared" si="8"/>
        <v>316.06399999999996</v>
      </c>
      <c r="AB65" s="431">
        <f t="shared" si="5"/>
        <v>28.869565217391305</v>
      </c>
      <c r="AC65" s="431">
        <f t="shared" si="3"/>
        <v>14.179104477611942</v>
      </c>
      <c r="AD65" s="629">
        <v>30</v>
      </c>
      <c r="AE65" s="431">
        <f t="shared" si="14"/>
        <v>328.44</v>
      </c>
      <c r="AF65" s="434"/>
    </row>
    <row r="66" spans="1:32" ht="18.75" customHeight="1" x14ac:dyDescent="0.2">
      <c r="A66" s="706">
        <v>53</v>
      </c>
      <c r="B66" s="428" t="s">
        <v>157</v>
      </c>
      <c r="C66" s="629" t="s">
        <v>46</v>
      </c>
      <c r="D66" s="592">
        <v>676.73</v>
      </c>
      <c r="E66" s="629" t="s">
        <v>179</v>
      </c>
      <c r="F66" s="629">
        <v>177.8</v>
      </c>
      <c r="G66" s="629" t="s">
        <v>28</v>
      </c>
      <c r="H66" s="592" t="s">
        <v>218</v>
      </c>
      <c r="I66" s="585">
        <v>579.14</v>
      </c>
      <c r="J66" s="629">
        <v>130</v>
      </c>
      <c r="K66" s="629"/>
      <c r="L66" s="629">
        <v>104</v>
      </c>
      <c r="M66" s="629"/>
      <c r="N66" s="629">
        <v>4.3</v>
      </c>
      <c r="O66" s="629"/>
      <c r="P66" s="430">
        <v>49.383493976691568</v>
      </c>
      <c r="Q66" s="431">
        <f t="shared" si="9"/>
        <v>41.6</v>
      </c>
      <c r="R66" s="432">
        <v>5.3</v>
      </c>
      <c r="S66" s="431">
        <v>31.06</v>
      </c>
      <c r="T66" s="431">
        <v>163</v>
      </c>
      <c r="U66" s="431">
        <f t="shared" si="1"/>
        <v>30.754716981132077</v>
      </c>
      <c r="V66" s="433">
        <f t="shared" si="7"/>
        <v>82.936252414681249</v>
      </c>
      <c r="W66" s="432">
        <v>0.1</v>
      </c>
      <c r="X66" s="431">
        <f t="shared" si="13"/>
        <v>0.74663461538461529</v>
      </c>
      <c r="Y66" s="431">
        <f t="shared" si="8"/>
        <v>5.0455999999999994</v>
      </c>
      <c r="Z66" s="431">
        <f t="shared" si="8"/>
        <v>29.569119999999998</v>
      </c>
      <c r="AA66" s="431">
        <f t="shared" si="8"/>
        <v>155.17599999999999</v>
      </c>
      <c r="AB66" s="431">
        <f t="shared" si="5"/>
        <v>30.754716981132077</v>
      </c>
      <c r="AC66" s="431">
        <f t="shared" si="3"/>
        <v>82.936252414681249</v>
      </c>
      <c r="AD66" s="629">
        <v>30</v>
      </c>
      <c r="AE66" s="431">
        <f t="shared" si="14"/>
        <v>151.36799999999999</v>
      </c>
      <c r="AF66" s="459"/>
    </row>
    <row r="67" spans="1:32" ht="18.75" customHeight="1" x14ac:dyDescent="0.2">
      <c r="A67" s="706">
        <v>54</v>
      </c>
      <c r="B67" s="428" t="s">
        <v>159</v>
      </c>
      <c r="C67" s="629" t="s">
        <v>46</v>
      </c>
      <c r="D67" s="592">
        <v>676</v>
      </c>
      <c r="E67" s="629" t="s">
        <v>167</v>
      </c>
      <c r="F67" s="629">
        <v>177.8</v>
      </c>
      <c r="G67" s="629" t="s">
        <v>28</v>
      </c>
      <c r="H67" s="592" t="s">
        <v>218</v>
      </c>
      <c r="I67" s="585">
        <v>508.57</v>
      </c>
      <c r="J67" s="629">
        <v>260</v>
      </c>
      <c r="K67" s="629"/>
      <c r="L67" s="629">
        <v>466</v>
      </c>
      <c r="M67" s="629"/>
      <c r="N67" s="629">
        <v>9</v>
      </c>
      <c r="O67" s="629"/>
      <c r="P67" s="430">
        <v>14.272399729665304</v>
      </c>
      <c r="Q67" s="431">
        <f t="shared" si="9"/>
        <v>83.2</v>
      </c>
      <c r="R67" s="432">
        <v>27.7</v>
      </c>
      <c r="S67" s="431">
        <v>32</v>
      </c>
      <c r="T67" s="431">
        <v>811</v>
      </c>
      <c r="U67" s="431">
        <f t="shared" si="1"/>
        <v>29.277978339350181</v>
      </c>
      <c r="V67" s="433">
        <f t="shared" si="7"/>
        <v>13.437500000000002</v>
      </c>
      <c r="W67" s="432">
        <v>0.2</v>
      </c>
      <c r="X67" s="431">
        <f t="shared" si="13"/>
        <v>0.38461538461538458</v>
      </c>
      <c r="Y67" s="431">
        <f t="shared" si="8"/>
        <v>26.370399999999997</v>
      </c>
      <c r="Z67" s="431">
        <f t="shared" si="8"/>
        <v>30.463999999999999</v>
      </c>
      <c r="AA67" s="431">
        <f t="shared" si="8"/>
        <v>772.072</v>
      </c>
      <c r="AB67" s="431">
        <f t="shared" si="5"/>
        <v>29.277978339350181</v>
      </c>
      <c r="AC67" s="431">
        <f t="shared" si="3"/>
        <v>13.437500000000002</v>
      </c>
      <c r="AD67" s="629">
        <v>30</v>
      </c>
      <c r="AE67" s="431">
        <f t="shared" si="14"/>
        <v>791.11199999999985</v>
      </c>
      <c r="AF67" s="434"/>
    </row>
    <row r="68" spans="1:32" ht="18.75" customHeight="1" x14ac:dyDescent="0.2">
      <c r="A68" s="706">
        <v>55</v>
      </c>
      <c r="B68" s="428" t="s">
        <v>330</v>
      </c>
      <c r="C68" s="629" t="s">
        <v>46</v>
      </c>
      <c r="D68" s="592">
        <v>595</v>
      </c>
      <c r="E68" s="629" t="s">
        <v>367</v>
      </c>
      <c r="F68" s="629">
        <v>178.8</v>
      </c>
      <c r="G68" s="629" t="s">
        <v>28</v>
      </c>
      <c r="H68" s="241" t="s">
        <v>366</v>
      </c>
      <c r="I68" s="585">
        <v>505</v>
      </c>
      <c r="J68" s="629">
        <v>95</v>
      </c>
      <c r="K68" s="629"/>
      <c r="L68" s="629">
        <v>186</v>
      </c>
      <c r="M68" s="629"/>
      <c r="N68" s="629">
        <v>10</v>
      </c>
      <c r="O68" s="629"/>
      <c r="P68" s="430">
        <v>21.438195166605151</v>
      </c>
      <c r="Q68" s="431">
        <f>33*J68/100</f>
        <v>31.35</v>
      </c>
      <c r="R68" s="432">
        <v>25.5</v>
      </c>
      <c r="S68" s="431">
        <v>30.01</v>
      </c>
      <c r="T68" s="431">
        <v>432</v>
      </c>
      <c r="U68" s="431">
        <f t="shared" si="1"/>
        <v>16.941176470588236</v>
      </c>
      <c r="V68" s="433">
        <f t="shared" si="7"/>
        <v>15.028323892035992</v>
      </c>
      <c r="W68" s="432">
        <v>0.2</v>
      </c>
      <c r="X68" s="431">
        <f t="shared" si="13"/>
        <v>0.95725677830940992</v>
      </c>
      <c r="Y68" s="431">
        <v>25</v>
      </c>
      <c r="Z68" s="431">
        <v>30</v>
      </c>
      <c r="AA68" s="431">
        <v>500</v>
      </c>
      <c r="AB68" s="431">
        <v>20</v>
      </c>
      <c r="AC68" s="431">
        <v>17</v>
      </c>
      <c r="AD68" s="629">
        <v>30</v>
      </c>
      <c r="AE68" s="431">
        <f t="shared" si="14"/>
        <v>750</v>
      </c>
      <c r="AF68" s="434"/>
    </row>
    <row r="69" spans="1:32" ht="18.75" customHeight="1" x14ac:dyDescent="0.2">
      <c r="A69" s="706">
        <v>56</v>
      </c>
      <c r="B69" s="428" t="s">
        <v>210</v>
      </c>
      <c r="C69" s="629" t="s">
        <v>46</v>
      </c>
      <c r="D69" s="592">
        <v>728.32</v>
      </c>
      <c r="E69" s="629" t="s">
        <v>226</v>
      </c>
      <c r="F69" s="629">
        <v>177.8</v>
      </c>
      <c r="G69" s="629" t="s">
        <v>28</v>
      </c>
      <c r="H69" s="592" t="s">
        <v>218</v>
      </c>
      <c r="I69" s="585">
        <v>519.38</v>
      </c>
      <c r="J69" s="629">
        <v>80</v>
      </c>
      <c r="K69" s="629"/>
      <c r="L69" s="629">
        <v>428</v>
      </c>
      <c r="M69" s="629"/>
      <c r="N69" s="629">
        <v>10.6</v>
      </c>
      <c r="O69" s="629"/>
      <c r="P69" s="430">
        <v>17.814802183713002</v>
      </c>
      <c r="Q69" s="431">
        <f t="shared" si="9"/>
        <v>25.6</v>
      </c>
      <c r="R69" s="432">
        <v>13.96</v>
      </c>
      <c r="S69" s="431">
        <v>26.9</v>
      </c>
      <c r="T69" s="431">
        <v>331</v>
      </c>
      <c r="U69" s="431">
        <f t="shared" si="1"/>
        <v>23.710601719197705</v>
      </c>
      <c r="V69" s="433">
        <f t="shared" si="7"/>
        <v>48.104089219330845</v>
      </c>
      <c r="W69" s="432">
        <v>0.2</v>
      </c>
      <c r="X69" s="431">
        <f t="shared" si="13"/>
        <v>1.0507812499999998</v>
      </c>
      <c r="Y69" s="431">
        <f t="shared" si="8"/>
        <v>13.28992</v>
      </c>
      <c r="Z69" s="431">
        <f t="shared" si="8"/>
        <v>25.608799999999999</v>
      </c>
      <c r="AA69" s="431">
        <f t="shared" si="8"/>
        <v>315.11199999999997</v>
      </c>
      <c r="AB69" s="431">
        <f t="shared" si="5"/>
        <v>23.710601719197705</v>
      </c>
      <c r="AC69" s="431">
        <f t="shared" si="3"/>
        <v>48.104089219330845</v>
      </c>
      <c r="AD69" s="629">
        <v>30</v>
      </c>
      <c r="AE69" s="431">
        <f t="shared" si="14"/>
        <v>398.69760000000002</v>
      </c>
      <c r="AF69" s="439"/>
    </row>
    <row r="70" spans="1:32" ht="18.75" customHeight="1" x14ac:dyDescent="0.2">
      <c r="A70" s="706">
        <v>57</v>
      </c>
      <c r="B70" s="428" t="s">
        <v>63</v>
      </c>
      <c r="C70" s="629" t="s">
        <v>46</v>
      </c>
      <c r="D70" s="592">
        <v>672.99</v>
      </c>
      <c r="E70" s="629" t="s">
        <v>98</v>
      </c>
      <c r="F70" s="629">
        <v>177.8</v>
      </c>
      <c r="G70" s="629" t="s">
        <v>28</v>
      </c>
      <c r="H70" s="592" t="s">
        <v>310</v>
      </c>
      <c r="I70" s="585">
        <v>536.32000000000005</v>
      </c>
      <c r="J70" s="629">
        <v>230</v>
      </c>
      <c r="K70" s="629"/>
      <c r="L70" s="629">
        <v>359</v>
      </c>
      <c r="M70" s="629"/>
      <c r="N70" s="629">
        <v>9.4</v>
      </c>
      <c r="O70" s="629"/>
      <c r="P70" s="430">
        <v>26.80531771988143</v>
      </c>
      <c r="Q70" s="431">
        <f t="shared" si="9"/>
        <v>50.6</v>
      </c>
      <c r="R70" s="432">
        <v>12.39</v>
      </c>
      <c r="S70" s="431">
        <v>18.5</v>
      </c>
      <c r="T70" s="431">
        <v>991</v>
      </c>
      <c r="U70" s="431">
        <f t="shared" si="1"/>
        <v>79.983857949959642</v>
      </c>
      <c r="V70" s="433">
        <f t="shared" si="7"/>
        <v>33.027027027027025</v>
      </c>
      <c r="W70" s="432">
        <v>0.3</v>
      </c>
      <c r="X70" s="431">
        <f t="shared" si="13"/>
        <v>0.36561264822134387</v>
      </c>
      <c r="Y70" s="431">
        <f t="shared" si="8"/>
        <v>11.79528</v>
      </c>
      <c r="Z70" s="431">
        <f t="shared" si="8"/>
        <v>17.611999999999998</v>
      </c>
      <c r="AA70" s="431">
        <f t="shared" si="8"/>
        <v>943.4319999999999</v>
      </c>
      <c r="AB70" s="431">
        <f t="shared" si="5"/>
        <v>79.983857949959642</v>
      </c>
      <c r="AC70" s="431">
        <f t="shared" si="3"/>
        <v>33.027027027027025</v>
      </c>
      <c r="AD70" s="629">
        <v>30</v>
      </c>
      <c r="AE70" s="431">
        <f t="shared" si="14"/>
        <v>353.85840000000002</v>
      </c>
      <c r="AF70" s="439"/>
    </row>
    <row r="71" spans="1:32" ht="18.75" customHeight="1" x14ac:dyDescent="0.2">
      <c r="A71" s="706">
        <v>58</v>
      </c>
      <c r="B71" s="428" t="s">
        <v>217</v>
      </c>
      <c r="C71" s="629" t="s">
        <v>46</v>
      </c>
      <c r="D71" s="592">
        <v>684.57</v>
      </c>
      <c r="E71" s="629" t="s">
        <v>359</v>
      </c>
      <c r="F71" s="629">
        <v>177.8</v>
      </c>
      <c r="G71" s="629" t="s">
        <v>28</v>
      </c>
      <c r="H71" s="592" t="s">
        <v>219</v>
      </c>
      <c r="I71" s="585">
        <v>555.95000000000005</v>
      </c>
      <c r="J71" s="629">
        <v>230</v>
      </c>
      <c r="K71" s="629"/>
      <c r="L71" s="629">
        <v>403</v>
      </c>
      <c r="M71" s="629"/>
      <c r="N71" s="629">
        <v>10.1</v>
      </c>
      <c r="O71" s="629"/>
      <c r="P71" s="430">
        <v>34.567554831428531</v>
      </c>
      <c r="Q71" s="431">
        <f t="shared" si="9"/>
        <v>27.6</v>
      </c>
      <c r="R71" s="432">
        <v>0.74</v>
      </c>
      <c r="S71" s="431">
        <v>14.7</v>
      </c>
      <c r="T71" s="431">
        <v>93</v>
      </c>
      <c r="U71" s="431">
        <f t="shared" si="1"/>
        <v>125.67567567567568</v>
      </c>
      <c r="V71" s="433">
        <f t="shared" si="7"/>
        <v>94.965986394557817</v>
      </c>
      <c r="W71" s="432">
        <v>0.2</v>
      </c>
      <c r="X71" s="431">
        <f t="shared" si="13"/>
        <v>0.53260869565217384</v>
      </c>
      <c r="Y71" s="431">
        <f t="shared" si="8"/>
        <v>0.70448</v>
      </c>
      <c r="Z71" s="431">
        <f t="shared" si="8"/>
        <v>13.994399999999999</v>
      </c>
      <c r="AA71" s="431">
        <f t="shared" si="8"/>
        <v>88.536000000000001</v>
      </c>
      <c r="AB71" s="431">
        <f t="shared" si="5"/>
        <v>125.67567567567568</v>
      </c>
      <c r="AC71" s="431">
        <f t="shared" si="3"/>
        <v>94.965986394557817</v>
      </c>
      <c r="AD71" s="629">
        <v>30</v>
      </c>
      <c r="AE71" s="431">
        <f t="shared" si="14"/>
        <v>21.134399999999999</v>
      </c>
      <c r="AF71" s="439"/>
    </row>
    <row r="72" spans="1:32" ht="18.75" customHeight="1" x14ac:dyDescent="0.2">
      <c r="A72" s="706">
        <v>59</v>
      </c>
      <c r="B72" s="428" t="s">
        <v>211</v>
      </c>
      <c r="C72" s="629" t="s">
        <v>46</v>
      </c>
      <c r="D72" s="592">
        <v>675.29</v>
      </c>
      <c r="E72" s="629" t="s">
        <v>224</v>
      </c>
      <c r="F72" s="629">
        <v>177.8</v>
      </c>
      <c r="G72" s="629" t="s">
        <v>28</v>
      </c>
      <c r="H72" s="592" t="s">
        <v>52</v>
      </c>
      <c r="I72" s="585">
        <v>560.29</v>
      </c>
      <c r="J72" s="629">
        <v>140</v>
      </c>
      <c r="K72" s="629"/>
      <c r="L72" s="629">
        <v>437</v>
      </c>
      <c r="M72" s="629"/>
      <c r="N72" s="629">
        <v>1.8</v>
      </c>
      <c r="O72" s="629"/>
      <c r="P72" s="430">
        <v>14.667500767398145</v>
      </c>
      <c r="Q72" s="431">
        <f t="shared" si="9"/>
        <v>30.8</v>
      </c>
      <c r="R72" s="432">
        <v>3.93</v>
      </c>
      <c r="S72" s="431">
        <v>5.4</v>
      </c>
      <c r="T72" s="431">
        <v>27</v>
      </c>
      <c r="U72" s="431">
        <f t="shared" si="1"/>
        <v>6.8702290076335872</v>
      </c>
      <c r="V72" s="433">
        <f t="shared" si="7"/>
        <v>27.222222222222225</v>
      </c>
      <c r="W72" s="432">
        <v>0.6</v>
      </c>
      <c r="X72" s="431">
        <f t="shared" si="13"/>
        <v>0.17532467532467533</v>
      </c>
      <c r="Y72" s="431">
        <f t="shared" si="8"/>
        <v>3.7413599999999998</v>
      </c>
      <c r="Z72" s="431">
        <f t="shared" si="8"/>
        <v>5.1408000000000005</v>
      </c>
      <c r="AA72" s="431">
        <f t="shared" si="8"/>
        <v>25.704000000000001</v>
      </c>
      <c r="AB72" s="431">
        <f t="shared" si="5"/>
        <v>6.8702290076335872</v>
      </c>
      <c r="AC72" s="431">
        <f t="shared" si="3"/>
        <v>27.222222222222225</v>
      </c>
      <c r="AD72" s="629">
        <v>30</v>
      </c>
      <c r="AE72" s="431">
        <f t="shared" si="14"/>
        <v>112.24079999999999</v>
      </c>
      <c r="AF72" s="439"/>
    </row>
    <row r="73" spans="1:32" ht="18.75" customHeight="1" x14ac:dyDescent="0.2">
      <c r="A73" s="706">
        <v>60</v>
      </c>
      <c r="B73" s="428" t="s">
        <v>341</v>
      </c>
      <c r="C73" s="629" t="s">
        <v>46</v>
      </c>
      <c r="D73" s="592">
        <v>683.16</v>
      </c>
      <c r="E73" s="629" t="s">
        <v>343</v>
      </c>
      <c r="F73" s="629">
        <v>177.8</v>
      </c>
      <c r="G73" s="629" t="s">
        <v>28</v>
      </c>
      <c r="H73" s="564" t="s">
        <v>342</v>
      </c>
      <c r="I73" s="585">
        <v>571.9</v>
      </c>
      <c r="J73" s="629">
        <v>115</v>
      </c>
      <c r="K73" s="629"/>
      <c r="L73" s="629">
        <v>124</v>
      </c>
      <c r="M73" s="629"/>
      <c r="N73" s="629">
        <v>6</v>
      </c>
      <c r="O73" s="629"/>
      <c r="P73" s="430">
        <v>45.492009280464899</v>
      </c>
      <c r="Q73" s="431">
        <f>20*J73/100</f>
        <v>23</v>
      </c>
      <c r="R73" s="432">
        <v>18.899999999999999</v>
      </c>
      <c r="S73" s="431">
        <v>23.2</v>
      </c>
      <c r="T73" s="431">
        <v>231</v>
      </c>
      <c r="U73" s="431">
        <f t="shared" si="1"/>
        <v>12.222222222222223</v>
      </c>
      <c r="V73" s="433">
        <f t="shared" si="7"/>
        <v>18.534482758620694</v>
      </c>
      <c r="W73" s="432">
        <v>0.3</v>
      </c>
      <c r="X73" s="431">
        <f t="shared" si="13"/>
        <v>1.008695652173913</v>
      </c>
      <c r="Y73" s="431">
        <f t="shared" si="8"/>
        <v>17.992799999999999</v>
      </c>
      <c r="Z73" s="431">
        <f t="shared" si="8"/>
        <v>22.086399999999998</v>
      </c>
      <c r="AA73" s="431">
        <f t="shared" si="8"/>
        <v>219.91199999999998</v>
      </c>
      <c r="AB73" s="431">
        <f t="shared" si="5"/>
        <v>12.222222222222223</v>
      </c>
      <c r="AC73" s="431">
        <f t="shared" si="3"/>
        <v>18.534482758620694</v>
      </c>
      <c r="AD73" s="629">
        <v>30</v>
      </c>
      <c r="AE73" s="431">
        <f t="shared" si="14"/>
        <v>539.78399999999999</v>
      </c>
      <c r="AF73" s="439"/>
    </row>
    <row r="74" spans="1:32" s="396" customFormat="1" ht="18.75" customHeight="1" x14ac:dyDescent="0.3">
      <c r="A74" s="706">
        <v>61</v>
      </c>
      <c r="B74" s="428" t="s">
        <v>354</v>
      </c>
      <c r="C74" s="629" t="s">
        <v>46</v>
      </c>
      <c r="D74" s="592">
        <v>634.29</v>
      </c>
      <c r="E74" s="656" t="s">
        <v>356</v>
      </c>
      <c r="F74" s="629">
        <v>178.8</v>
      </c>
      <c r="G74" s="629" t="s">
        <v>28</v>
      </c>
      <c r="H74" s="241" t="s">
        <v>365</v>
      </c>
      <c r="I74" s="585">
        <v>541.75</v>
      </c>
      <c r="J74" s="629">
        <v>85</v>
      </c>
      <c r="K74" s="629">
        <v>389</v>
      </c>
      <c r="M74" s="629">
        <v>0.4</v>
      </c>
      <c r="O74" s="629"/>
      <c r="P74" s="430">
        <v>16.375874423935365</v>
      </c>
      <c r="Q74" s="431">
        <v>0</v>
      </c>
      <c r="R74" s="432">
        <v>0</v>
      </c>
      <c r="S74" s="431">
        <v>0</v>
      </c>
      <c r="T74" s="431">
        <v>0</v>
      </c>
      <c r="U74" s="431">
        <v>0</v>
      </c>
      <c r="V74" s="432">
        <v>0</v>
      </c>
      <c r="W74" s="432">
        <v>0.2</v>
      </c>
      <c r="X74" s="431">
        <v>0</v>
      </c>
      <c r="Y74" s="431">
        <f t="shared" si="8"/>
        <v>0</v>
      </c>
      <c r="Z74" s="431">
        <f t="shared" si="8"/>
        <v>0</v>
      </c>
      <c r="AA74" s="431">
        <f t="shared" si="8"/>
        <v>0</v>
      </c>
      <c r="AB74" s="431">
        <f t="shared" si="5"/>
        <v>0</v>
      </c>
      <c r="AC74" s="431">
        <f t="shared" si="3"/>
        <v>0</v>
      </c>
      <c r="AD74" s="629">
        <v>0</v>
      </c>
      <c r="AE74" s="431">
        <f t="shared" si="14"/>
        <v>0</v>
      </c>
      <c r="AF74" s="439" t="s">
        <v>396</v>
      </c>
    </row>
    <row r="75" spans="1:32" ht="18.75" customHeight="1" x14ac:dyDescent="0.2">
      <c r="A75" s="706">
        <v>62</v>
      </c>
      <c r="B75" s="428" t="s">
        <v>213</v>
      </c>
      <c r="C75" s="629" t="s">
        <v>46</v>
      </c>
      <c r="D75" s="592">
        <v>679.2</v>
      </c>
      <c r="E75" s="592" t="s">
        <v>225</v>
      </c>
      <c r="F75" s="629">
        <v>177.8</v>
      </c>
      <c r="G75" s="629" t="s">
        <v>28</v>
      </c>
      <c r="H75" s="592" t="s">
        <v>48</v>
      </c>
      <c r="I75" s="585">
        <v>559.19000000000005</v>
      </c>
      <c r="J75" s="629">
        <v>100</v>
      </c>
      <c r="K75" s="629"/>
      <c r="L75" s="629">
        <v>473</v>
      </c>
      <c r="M75" s="629"/>
      <c r="N75" s="629">
        <v>3.5</v>
      </c>
      <c r="O75" s="629"/>
      <c r="P75" s="430">
        <v>13.080189557008001</v>
      </c>
      <c r="Q75" s="432">
        <f t="shared" si="9"/>
        <v>13</v>
      </c>
      <c r="R75" s="432">
        <v>1.59</v>
      </c>
      <c r="S75" s="431">
        <v>4.5</v>
      </c>
      <c r="T75" s="431">
        <v>19</v>
      </c>
      <c r="U75" s="431">
        <f t="shared" si="1"/>
        <v>11.949685534591195</v>
      </c>
      <c r="V75" s="433">
        <f t="shared" si="7"/>
        <v>64.666666666666671</v>
      </c>
      <c r="W75" s="432">
        <v>0.2</v>
      </c>
      <c r="X75" s="431">
        <f t="shared" si="13"/>
        <v>0.34615384615384615</v>
      </c>
      <c r="Y75" s="431">
        <f t="shared" si="8"/>
        <v>1.5136799999999999</v>
      </c>
      <c r="Z75" s="431">
        <f t="shared" si="8"/>
        <v>4.2839999999999998</v>
      </c>
      <c r="AA75" s="431">
        <f t="shared" si="8"/>
        <v>18.088000000000001</v>
      </c>
      <c r="AB75" s="431">
        <f t="shared" si="5"/>
        <v>11.949685534591195</v>
      </c>
      <c r="AC75" s="431">
        <f t="shared" si="3"/>
        <v>64.666666666666671</v>
      </c>
      <c r="AD75" s="629">
        <v>30</v>
      </c>
      <c r="AE75" s="431">
        <f t="shared" si="14"/>
        <v>45.410399999999996</v>
      </c>
      <c r="AF75" s="439"/>
    </row>
    <row r="76" spans="1:32" ht="18.75" customHeight="1" x14ac:dyDescent="0.2">
      <c r="A76" s="706">
        <v>63</v>
      </c>
      <c r="B76" s="428" t="s">
        <v>172</v>
      </c>
      <c r="C76" s="629" t="s">
        <v>46</v>
      </c>
      <c r="D76" s="592">
        <v>673</v>
      </c>
      <c r="E76" s="629" t="s">
        <v>173</v>
      </c>
      <c r="F76" s="629">
        <v>177.8</v>
      </c>
      <c r="G76" s="629" t="s">
        <v>28</v>
      </c>
      <c r="H76" s="592" t="s">
        <v>50</v>
      </c>
      <c r="I76" s="585">
        <v>560.79</v>
      </c>
      <c r="J76" s="629">
        <v>250</v>
      </c>
      <c r="K76" s="629"/>
      <c r="L76" s="629">
        <v>316</v>
      </c>
      <c r="M76" s="629"/>
      <c r="N76" s="629">
        <v>7.7</v>
      </c>
      <c r="O76" s="629"/>
      <c r="P76" s="620">
        <v>37.759581546030354</v>
      </c>
      <c r="Q76" s="432">
        <f>LEFT(H76,(FIND("K",H76,1)-1))*J76/100</f>
        <v>15</v>
      </c>
      <c r="R76" s="432">
        <v>1.08</v>
      </c>
      <c r="S76" s="431">
        <v>6.2</v>
      </c>
      <c r="T76" s="431">
        <v>11</v>
      </c>
      <c r="U76" s="431">
        <f t="shared" si="1"/>
        <v>10.185185185185185</v>
      </c>
      <c r="V76" s="433">
        <f t="shared" si="7"/>
        <v>82.58064516129032</v>
      </c>
      <c r="W76" s="432">
        <v>0.2</v>
      </c>
      <c r="X76" s="431">
        <f t="shared" si="13"/>
        <v>0.41333333333333333</v>
      </c>
      <c r="Y76" s="431">
        <f t="shared" si="8"/>
        <v>1.02816</v>
      </c>
      <c r="Z76" s="431">
        <f t="shared" si="8"/>
        <v>5.9024000000000001</v>
      </c>
      <c r="AA76" s="431">
        <f t="shared" si="8"/>
        <v>10.472</v>
      </c>
      <c r="AB76" s="431">
        <f t="shared" si="5"/>
        <v>10.185185185185185</v>
      </c>
      <c r="AC76" s="431">
        <f t="shared" si="3"/>
        <v>82.58064516129032</v>
      </c>
      <c r="AD76" s="629">
        <v>30</v>
      </c>
      <c r="AE76" s="431">
        <f>Y76*AD76</f>
        <v>30.844799999999999</v>
      </c>
      <c r="AF76" s="439"/>
    </row>
    <row r="77" spans="1:32" ht="18.75" customHeight="1" x14ac:dyDescent="0.2">
      <c r="A77" s="706">
        <v>64</v>
      </c>
      <c r="B77" s="461" t="s">
        <v>171</v>
      </c>
      <c r="C77" s="629" t="s">
        <v>46</v>
      </c>
      <c r="D77" s="585">
        <v>646</v>
      </c>
      <c r="E77" s="585" t="s">
        <v>191</v>
      </c>
      <c r="F77" s="629">
        <v>177.8</v>
      </c>
      <c r="G77" s="629" t="s">
        <v>28</v>
      </c>
      <c r="H77" s="592" t="s">
        <v>48</v>
      </c>
      <c r="I77" s="585">
        <v>570.15</v>
      </c>
      <c r="J77" s="585"/>
      <c r="K77" s="585">
        <v>260</v>
      </c>
      <c r="L77" s="585"/>
      <c r="M77" s="585">
        <v>0.4</v>
      </c>
      <c r="N77" s="629"/>
      <c r="O77" s="585"/>
      <c r="P77" s="430">
        <v>45.083947107319133</v>
      </c>
      <c r="Q77" s="437">
        <f>LEFT(H77,(FIND("K",H77,1)-1))*J77/100</f>
        <v>0</v>
      </c>
      <c r="R77" s="432">
        <v>0</v>
      </c>
      <c r="S77" s="431">
        <v>0</v>
      </c>
      <c r="T77" s="437">
        <v>0</v>
      </c>
      <c r="U77" s="431">
        <v>0</v>
      </c>
      <c r="V77" s="433">
        <v>0</v>
      </c>
      <c r="W77" s="432">
        <v>0</v>
      </c>
      <c r="X77" s="431">
        <v>0</v>
      </c>
      <c r="Y77" s="431">
        <f t="shared" si="8"/>
        <v>0</v>
      </c>
      <c r="Z77" s="431">
        <f t="shared" si="8"/>
        <v>0</v>
      </c>
      <c r="AA77" s="431">
        <f t="shared" si="8"/>
        <v>0</v>
      </c>
      <c r="AB77" s="431">
        <f t="shared" si="5"/>
        <v>0</v>
      </c>
      <c r="AC77" s="431">
        <f t="shared" si="3"/>
        <v>0</v>
      </c>
      <c r="AD77" s="629">
        <v>30</v>
      </c>
      <c r="AE77" s="431">
        <f>Y77*AD77</f>
        <v>0</v>
      </c>
      <c r="AF77" s="434" t="s">
        <v>335</v>
      </c>
    </row>
    <row r="78" spans="1:32" ht="18.75" customHeight="1" x14ac:dyDescent="0.2">
      <c r="A78" s="580"/>
      <c r="B78" s="592"/>
      <c r="C78" s="629"/>
      <c r="D78" s="585"/>
      <c r="E78" s="585"/>
      <c r="F78" s="428"/>
      <c r="G78" s="629"/>
      <c r="H78" s="592"/>
      <c r="I78" s="585"/>
      <c r="J78" s="585"/>
      <c r="K78" s="585"/>
      <c r="L78" s="585"/>
      <c r="M78" s="585"/>
      <c r="N78" s="629"/>
      <c r="O78" s="585"/>
      <c r="P78" s="430"/>
      <c r="Q78" s="437"/>
      <c r="R78" s="466">
        <f>SUM(R14:R77)</f>
        <v>373.06999999999994</v>
      </c>
      <c r="S78" s="467">
        <f>SUM(S14:S77)</f>
        <v>668.67</v>
      </c>
      <c r="T78" s="512">
        <f>SUM(T14:T77)</f>
        <v>14649.199999999999</v>
      </c>
      <c r="U78" s="467">
        <f>T78/R78</f>
        <v>39.266625566247626</v>
      </c>
      <c r="V78" s="468"/>
      <c r="W78" s="466"/>
      <c r="X78" s="467"/>
      <c r="Y78" s="467">
        <f>SUM(Y14:Y77)</f>
        <v>355.88664</v>
      </c>
      <c r="Z78" s="467">
        <f>SUM(Z14:Z77)</f>
        <v>638.00431999999978</v>
      </c>
      <c r="AA78" s="481">
        <f>SUM(AA14:AA77)</f>
        <v>14034.7744</v>
      </c>
      <c r="AB78" s="467">
        <f>AA78/Y78</f>
        <v>39.436081107175028</v>
      </c>
      <c r="AC78" s="467"/>
      <c r="AD78" s="606"/>
      <c r="AE78" s="467">
        <f>SUM(AE14:AE77)</f>
        <v>10676.599199999999</v>
      </c>
      <c r="AF78" s="434"/>
    </row>
    <row r="79" spans="1:32" ht="18.75" customHeight="1" x14ac:dyDescent="0.2">
      <c r="A79" s="580"/>
      <c r="B79" s="1913"/>
      <c r="C79" s="1913"/>
      <c r="D79" s="1913"/>
      <c r="E79" s="1913"/>
      <c r="F79" s="428"/>
      <c r="G79" s="629"/>
      <c r="H79" s="592"/>
      <c r="I79" s="592"/>
      <c r="J79" s="585"/>
      <c r="K79" s="585"/>
      <c r="L79" s="585"/>
      <c r="M79" s="585"/>
      <c r="N79" s="585"/>
      <c r="O79" s="585"/>
      <c r="P79" s="620"/>
      <c r="Q79" s="437"/>
      <c r="R79" s="717"/>
      <c r="S79" s="717"/>
      <c r="T79" s="585"/>
      <c r="U79" s="581"/>
      <c r="V79" s="581"/>
      <c r="W79" s="581"/>
      <c r="X79" s="581"/>
      <c r="Y79" s="473"/>
      <c r="Z79" s="474"/>
      <c r="AA79" s="584"/>
      <c r="AB79" s="581"/>
      <c r="AC79" s="585"/>
      <c r="AD79" s="629"/>
      <c r="AE79" s="431"/>
      <c r="AF79" s="434"/>
    </row>
    <row r="80" spans="1:32" ht="18.75" customHeight="1" x14ac:dyDescent="0.2">
      <c r="B80" s="1914" t="s">
        <v>277</v>
      </c>
      <c r="C80" s="1915"/>
      <c r="D80" s="1915"/>
      <c r="E80" s="1915"/>
      <c r="F80" s="1902"/>
      <c r="G80" s="581"/>
      <c r="H80" s="584"/>
      <c r="I80" s="584"/>
      <c r="J80" s="585"/>
      <c r="K80" s="585"/>
      <c r="L80" s="585"/>
      <c r="M80" s="585"/>
      <c r="N80" s="585"/>
      <c r="O80" s="585"/>
      <c r="P80" s="620"/>
      <c r="Q80" s="437"/>
      <c r="R80" s="717"/>
      <c r="S80" s="437"/>
      <c r="T80" s="585"/>
      <c r="U80" s="581"/>
      <c r="V80" s="581"/>
      <c r="W80" s="581"/>
      <c r="X80" s="421"/>
      <c r="Y80" s="585"/>
      <c r="Z80" s="585"/>
      <c r="AA80" s="585"/>
      <c r="AB80" s="581"/>
      <c r="AC80" s="581"/>
      <c r="AD80" s="585"/>
      <c r="AE80" s="585"/>
      <c r="AF80" s="584"/>
    </row>
    <row r="81" spans="1:32" ht="18.75" customHeight="1" x14ac:dyDescent="0.2">
      <c r="A81" s="476">
        <v>65</v>
      </c>
      <c r="B81" s="629" t="s">
        <v>131</v>
      </c>
      <c r="C81" s="476" t="s">
        <v>313</v>
      </c>
      <c r="D81" s="592">
        <v>389.74</v>
      </c>
      <c r="E81" s="477" t="s">
        <v>136</v>
      </c>
      <c r="F81" s="629">
        <v>177.8</v>
      </c>
      <c r="G81" s="629" t="s">
        <v>28</v>
      </c>
      <c r="H81" s="592" t="s">
        <v>58</v>
      </c>
      <c r="I81" s="585">
        <v>142.80000000000001</v>
      </c>
      <c r="J81" s="585">
        <v>220</v>
      </c>
      <c r="K81" s="629"/>
      <c r="L81" s="629">
        <v>27</v>
      </c>
      <c r="M81" s="629"/>
      <c r="N81" s="629">
        <v>0.1</v>
      </c>
      <c r="O81" s="629"/>
      <c r="P81" s="430">
        <v>18.879376041738954</v>
      </c>
      <c r="Q81" s="437">
        <f>(3*J81)/100</f>
        <v>6.6</v>
      </c>
      <c r="R81" s="432">
        <v>1.59</v>
      </c>
      <c r="S81" s="431">
        <v>2.38</v>
      </c>
      <c r="T81" s="431">
        <v>0</v>
      </c>
      <c r="U81" s="431">
        <f>T81/R81</f>
        <v>0</v>
      </c>
      <c r="V81" s="432">
        <f t="shared" ref="V81:V84" si="15">(S81-R81)/S81*100</f>
        <v>33.193277310924366</v>
      </c>
      <c r="W81" s="432">
        <v>0.2</v>
      </c>
      <c r="X81" s="431">
        <f t="shared" ref="X81:X82" si="16">S81/Q81</f>
        <v>0.3606060606060606</v>
      </c>
      <c r="Y81" s="431">
        <f>R81*0.9424</f>
        <v>1.4984160000000002</v>
      </c>
      <c r="Z81" s="431">
        <f>S81*0.9424</f>
        <v>2.242912</v>
      </c>
      <c r="AA81" s="431">
        <f t="shared" ref="AA81:AA87" si="17">T81*0.9494</f>
        <v>0</v>
      </c>
      <c r="AB81" s="431">
        <f t="shared" ref="AB81:AC87" si="18">U81</f>
        <v>0</v>
      </c>
      <c r="AC81" s="431">
        <f t="shared" si="18"/>
        <v>33.193277310924366</v>
      </c>
      <c r="AD81" s="629">
        <v>30</v>
      </c>
      <c r="AE81" s="431">
        <f t="shared" ref="AE81:AE86" si="19">Y81*AD81</f>
        <v>44.952480000000008</v>
      </c>
      <c r="AF81" s="439"/>
    </row>
    <row r="82" spans="1:32" ht="18.75" customHeight="1" x14ac:dyDescent="0.2">
      <c r="A82" s="476">
        <v>66</v>
      </c>
      <c r="B82" s="629" t="s">
        <v>132</v>
      </c>
      <c r="C82" s="476" t="s">
        <v>313</v>
      </c>
      <c r="D82" s="629">
        <v>387.72</v>
      </c>
      <c r="E82" s="477" t="s">
        <v>135</v>
      </c>
      <c r="F82" s="629">
        <v>177.8</v>
      </c>
      <c r="G82" s="629" t="s">
        <v>28</v>
      </c>
      <c r="H82" s="592" t="s">
        <v>58</v>
      </c>
      <c r="I82" s="585">
        <v>136.03</v>
      </c>
      <c r="J82" s="629">
        <v>200</v>
      </c>
      <c r="K82" s="629"/>
      <c r="L82" s="629">
        <v>32</v>
      </c>
      <c r="M82" s="629"/>
      <c r="N82" s="629">
        <v>0</v>
      </c>
      <c r="O82" s="629"/>
      <c r="P82" s="430">
        <v>11.643779945071426</v>
      </c>
      <c r="Q82" s="437">
        <f>(3*J82)/100</f>
        <v>6</v>
      </c>
      <c r="R82" s="432">
        <v>2.78</v>
      </c>
      <c r="S82" s="431">
        <v>5</v>
      </c>
      <c r="T82" s="431">
        <v>0</v>
      </c>
      <c r="U82" s="431">
        <v>0</v>
      </c>
      <c r="V82" s="432">
        <f t="shared" si="15"/>
        <v>44.400000000000006</v>
      </c>
      <c r="W82" s="432">
        <v>0.3</v>
      </c>
      <c r="X82" s="431">
        <f t="shared" si="16"/>
        <v>0.83333333333333337</v>
      </c>
      <c r="Y82" s="431">
        <f t="shared" ref="Y82:Z87" si="20">R82*0.9424</f>
        <v>2.619872</v>
      </c>
      <c r="Z82" s="431">
        <f t="shared" si="20"/>
        <v>4.7119999999999997</v>
      </c>
      <c r="AA82" s="431">
        <f t="shared" si="17"/>
        <v>0</v>
      </c>
      <c r="AB82" s="431">
        <v>0</v>
      </c>
      <c r="AC82" s="431">
        <f>V82</f>
        <v>44.400000000000006</v>
      </c>
      <c r="AD82" s="629">
        <v>30</v>
      </c>
      <c r="AE82" s="431">
        <f t="shared" si="19"/>
        <v>78.596159999999998</v>
      </c>
      <c r="AF82" s="449"/>
    </row>
    <row r="83" spans="1:32" ht="18.75" customHeight="1" x14ac:dyDescent="0.2">
      <c r="A83" s="476">
        <v>67</v>
      </c>
      <c r="B83" s="629" t="s">
        <v>121</v>
      </c>
      <c r="C83" s="476" t="s">
        <v>313</v>
      </c>
      <c r="D83" s="629">
        <v>389.57</v>
      </c>
      <c r="E83" s="629" t="s">
        <v>137</v>
      </c>
      <c r="F83" s="629">
        <v>177.8</v>
      </c>
      <c r="G83" s="629" t="s">
        <v>28</v>
      </c>
      <c r="H83" s="563" t="s">
        <v>363</v>
      </c>
      <c r="I83" s="585">
        <v>137.58000000000001</v>
      </c>
      <c r="J83" s="629">
        <v>85</v>
      </c>
      <c r="K83" s="629"/>
      <c r="L83" s="629">
        <v>30</v>
      </c>
      <c r="M83" s="629"/>
      <c r="N83" s="629"/>
      <c r="O83" s="629"/>
      <c r="P83" s="430">
        <v>19.373011031497143</v>
      </c>
      <c r="Q83" s="437">
        <f>(3*J83)/100</f>
        <v>2.5499999999999998</v>
      </c>
      <c r="R83" s="432">
        <v>3.97</v>
      </c>
      <c r="S83" s="431">
        <v>5.53</v>
      </c>
      <c r="T83" s="431">
        <v>0</v>
      </c>
      <c r="U83" s="431">
        <v>0</v>
      </c>
      <c r="V83" s="432">
        <f t="shared" si="15"/>
        <v>28.20976491862568</v>
      </c>
      <c r="W83" s="432">
        <v>0.2</v>
      </c>
      <c r="X83" s="431">
        <v>0</v>
      </c>
      <c r="Y83" s="431">
        <v>1.3</v>
      </c>
      <c r="Z83" s="431">
        <v>1.3</v>
      </c>
      <c r="AA83" s="431">
        <f t="shared" si="17"/>
        <v>0</v>
      </c>
      <c r="AB83" s="431">
        <v>0</v>
      </c>
      <c r="AC83" s="431">
        <f>V83</f>
        <v>28.20976491862568</v>
      </c>
      <c r="AD83" s="629">
        <v>30</v>
      </c>
      <c r="AE83" s="431">
        <f t="shared" si="19"/>
        <v>39</v>
      </c>
      <c r="AF83" s="434"/>
    </row>
    <row r="84" spans="1:32" ht="18.75" customHeight="1" x14ac:dyDescent="0.2">
      <c r="A84" s="476">
        <v>68</v>
      </c>
      <c r="B84" s="629" t="s">
        <v>122</v>
      </c>
      <c r="C84" s="476" t="s">
        <v>313</v>
      </c>
      <c r="D84" s="629">
        <v>391.06</v>
      </c>
      <c r="E84" s="629" t="s">
        <v>138</v>
      </c>
      <c r="F84" s="629">
        <v>177.8</v>
      </c>
      <c r="G84" s="629" t="s">
        <v>28</v>
      </c>
      <c r="H84" s="592" t="s">
        <v>58</v>
      </c>
      <c r="I84" s="431">
        <v>151.72999999999999</v>
      </c>
      <c r="J84" s="629">
        <v>230</v>
      </c>
      <c r="K84" s="606"/>
      <c r="L84" s="629">
        <v>54</v>
      </c>
      <c r="M84" s="606"/>
      <c r="N84" s="629">
        <v>0.1</v>
      </c>
      <c r="O84" s="606"/>
      <c r="P84" s="430">
        <v>13.133289530109833</v>
      </c>
      <c r="Q84" s="437">
        <f>(3*J84)/100</f>
        <v>6.9</v>
      </c>
      <c r="R84" s="432">
        <v>2.63</v>
      </c>
      <c r="S84" s="432">
        <v>3.37</v>
      </c>
      <c r="T84" s="431">
        <v>0</v>
      </c>
      <c r="U84" s="431">
        <f>T84/R84</f>
        <v>0</v>
      </c>
      <c r="V84" s="432">
        <f t="shared" si="15"/>
        <v>21.958456973293774</v>
      </c>
      <c r="W84" s="431">
        <v>0.2</v>
      </c>
      <c r="X84" s="431">
        <f t="shared" ref="X84" si="21">S84/Q84</f>
        <v>0.48840579710144927</v>
      </c>
      <c r="Y84" s="431">
        <f t="shared" si="20"/>
        <v>2.4785119999999998</v>
      </c>
      <c r="Z84" s="431">
        <f t="shared" si="20"/>
        <v>3.175888</v>
      </c>
      <c r="AA84" s="431">
        <f t="shared" si="17"/>
        <v>0</v>
      </c>
      <c r="AB84" s="431">
        <f t="shared" si="18"/>
        <v>0</v>
      </c>
      <c r="AC84" s="431">
        <f t="shared" si="18"/>
        <v>21.958456973293774</v>
      </c>
      <c r="AD84" s="629">
        <v>30</v>
      </c>
      <c r="AE84" s="431">
        <f t="shared" si="19"/>
        <v>74.35535999999999</v>
      </c>
      <c r="AF84" s="478"/>
    </row>
    <row r="85" spans="1:32" ht="18.75" customHeight="1" x14ac:dyDescent="0.2">
      <c r="A85" s="476">
        <v>69</v>
      </c>
      <c r="B85" s="629" t="s">
        <v>57</v>
      </c>
      <c r="C85" s="476" t="s">
        <v>314</v>
      </c>
      <c r="D85" s="629">
        <v>376.58</v>
      </c>
      <c r="E85" s="428" t="s">
        <v>93</v>
      </c>
      <c r="F85" s="629">
        <v>177.8</v>
      </c>
      <c r="G85" s="629" t="s">
        <v>28</v>
      </c>
      <c r="H85" s="592"/>
      <c r="I85" s="431">
        <v>157.88</v>
      </c>
      <c r="J85" s="629"/>
      <c r="K85" s="435"/>
      <c r="L85" s="629"/>
      <c r="M85" s="606"/>
      <c r="N85" s="629"/>
      <c r="O85" s="606"/>
      <c r="P85" s="634"/>
      <c r="Q85" s="431"/>
      <c r="R85" s="432">
        <v>0</v>
      </c>
      <c r="S85" s="431">
        <v>0</v>
      </c>
      <c r="T85" s="431">
        <v>0</v>
      </c>
      <c r="U85" s="431">
        <v>0</v>
      </c>
      <c r="V85" s="432">
        <v>0</v>
      </c>
      <c r="W85" s="431">
        <v>0</v>
      </c>
      <c r="X85" s="431">
        <v>0</v>
      </c>
      <c r="Y85" s="431">
        <f t="shared" si="20"/>
        <v>0</v>
      </c>
      <c r="Z85" s="431">
        <f t="shared" si="20"/>
        <v>0</v>
      </c>
      <c r="AA85" s="431">
        <f t="shared" si="17"/>
        <v>0</v>
      </c>
      <c r="AB85" s="431">
        <f t="shared" si="18"/>
        <v>0</v>
      </c>
      <c r="AC85" s="431">
        <f t="shared" si="18"/>
        <v>0</v>
      </c>
      <c r="AD85" s="629">
        <v>0</v>
      </c>
      <c r="AE85" s="431">
        <f t="shared" si="19"/>
        <v>0</v>
      </c>
      <c r="AF85" s="434" t="s">
        <v>302</v>
      </c>
    </row>
    <row r="86" spans="1:32" ht="18.75" customHeight="1" x14ac:dyDescent="0.2">
      <c r="A86" s="476">
        <v>70</v>
      </c>
      <c r="B86" s="629" t="s">
        <v>184</v>
      </c>
      <c r="C86" s="476" t="s">
        <v>314</v>
      </c>
      <c r="D86" s="629">
        <v>422.78</v>
      </c>
      <c r="E86" s="428" t="s">
        <v>185</v>
      </c>
      <c r="F86" s="629">
        <v>177.8</v>
      </c>
      <c r="G86" s="629" t="s">
        <v>28</v>
      </c>
      <c r="H86" s="592"/>
      <c r="I86" s="431">
        <v>223.87</v>
      </c>
      <c r="J86" s="629"/>
      <c r="K86" s="435"/>
      <c r="L86" s="629"/>
      <c r="M86" s="606"/>
      <c r="N86" s="629"/>
      <c r="O86" s="606"/>
      <c r="P86" s="430"/>
      <c r="Q86" s="431"/>
      <c r="R86" s="432">
        <v>0</v>
      </c>
      <c r="S86" s="431">
        <v>0</v>
      </c>
      <c r="T86" s="431">
        <v>0</v>
      </c>
      <c r="U86" s="431">
        <v>0</v>
      </c>
      <c r="V86" s="432">
        <v>0</v>
      </c>
      <c r="W86" s="431">
        <v>0</v>
      </c>
      <c r="X86" s="431">
        <v>0</v>
      </c>
      <c r="Y86" s="431">
        <f t="shared" si="20"/>
        <v>0</v>
      </c>
      <c r="Z86" s="431">
        <f t="shared" si="20"/>
        <v>0</v>
      </c>
      <c r="AA86" s="431">
        <f t="shared" si="17"/>
        <v>0</v>
      </c>
      <c r="AB86" s="431">
        <f t="shared" si="18"/>
        <v>0</v>
      </c>
      <c r="AC86" s="431">
        <f t="shared" si="18"/>
        <v>0</v>
      </c>
      <c r="AD86" s="629">
        <v>0</v>
      </c>
      <c r="AE86" s="431">
        <f t="shared" si="19"/>
        <v>0</v>
      </c>
      <c r="AF86" s="434" t="s">
        <v>302</v>
      </c>
    </row>
    <row r="87" spans="1:32" ht="18.75" customHeight="1" x14ac:dyDescent="0.2">
      <c r="A87" s="476">
        <v>71</v>
      </c>
      <c r="B87" s="629" t="s">
        <v>186</v>
      </c>
      <c r="C87" s="476" t="s">
        <v>346</v>
      </c>
      <c r="D87" s="629">
        <v>349.5</v>
      </c>
      <c r="E87" s="428" t="s">
        <v>347</v>
      </c>
      <c r="F87" s="629">
        <v>177.8</v>
      </c>
      <c r="G87" s="629" t="s">
        <v>28</v>
      </c>
      <c r="H87" s="592" t="s">
        <v>58</v>
      </c>
      <c r="I87" s="431">
        <v>117.18</v>
      </c>
      <c r="J87" s="629">
        <v>0</v>
      </c>
      <c r="K87" s="435"/>
      <c r="L87" s="629">
        <v>63</v>
      </c>
      <c r="M87" s="606"/>
      <c r="N87" s="629">
        <v>0</v>
      </c>
      <c r="O87" s="606"/>
      <c r="P87" s="430">
        <v>6.3</v>
      </c>
      <c r="Q87" s="437">
        <f>(3*J87)/100</f>
        <v>0</v>
      </c>
      <c r="R87" s="432">
        <v>0</v>
      </c>
      <c r="S87" s="432">
        <v>0.2</v>
      </c>
      <c r="T87" s="431">
        <v>0</v>
      </c>
      <c r="U87" s="431">
        <v>0</v>
      </c>
      <c r="V87" s="432">
        <f t="shared" ref="V87" si="22">(S87-R87)/S87*100</f>
        <v>100</v>
      </c>
      <c r="W87" s="431">
        <v>0</v>
      </c>
      <c r="X87" s="431">
        <v>0</v>
      </c>
      <c r="Y87" s="431">
        <f t="shared" si="20"/>
        <v>0</v>
      </c>
      <c r="Z87" s="431">
        <v>0</v>
      </c>
      <c r="AA87" s="431">
        <f t="shared" si="17"/>
        <v>0</v>
      </c>
      <c r="AB87" s="431">
        <f t="shared" si="18"/>
        <v>0</v>
      </c>
      <c r="AC87" s="431">
        <v>0</v>
      </c>
      <c r="AD87" s="629">
        <v>0</v>
      </c>
      <c r="AE87" s="431">
        <f>Y87*AD87</f>
        <v>0</v>
      </c>
      <c r="AF87" s="434"/>
    </row>
    <row r="88" spans="1:32" ht="18.75" customHeight="1" x14ac:dyDescent="0.2">
      <c r="A88" s="580"/>
      <c r="B88" s="1889"/>
      <c r="C88" s="1889"/>
      <c r="D88" s="1889"/>
      <c r="E88" s="1890"/>
      <c r="F88" s="585"/>
      <c r="G88" s="581"/>
      <c r="H88" s="584"/>
      <c r="I88" s="584"/>
      <c r="J88" s="585"/>
      <c r="K88" s="585"/>
      <c r="L88" s="585"/>
      <c r="M88" s="585"/>
      <c r="N88" s="585"/>
      <c r="O88" s="585"/>
      <c r="P88" s="620"/>
      <c r="Q88" s="437"/>
      <c r="R88" s="467">
        <f>SUM(R81:R87)</f>
        <v>10.969999999999999</v>
      </c>
      <c r="S88" s="467">
        <f>SUM(S81:S87)</f>
        <v>16.48</v>
      </c>
      <c r="T88" s="467">
        <f>SUM(T81:T85)</f>
        <v>0</v>
      </c>
      <c r="U88" s="467">
        <f>SUM(U81:U84)</f>
        <v>0</v>
      </c>
      <c r="V88" s="581"/>
      <c r="W88" s="581"/>
      <c r="X88" s="581"/>
      <c r="Y88" s="467">
        <f>SUM(Y81:Y87)</f>
        <v>7.8967999999999989</v>
      </c>
      <c r="Z88" s="467">
        <f>SUM(Z81:Z87)</f>
        <v>11.430800000000001</v>
      </c>
      <c r="AA88" s="467">
        <f>SUM(AA81:AA85)</f>
        <v>0</v>
      </c>
      <c r="AB88" s="467">
        <v>0</v>
      </c>
      <c r="AC88" s="581"/>
      <c r="AD88" s="585"/>
      <c r="AE88" s="467">
        <f>SUM(AE81:AE87)</f>
        <v>236.904</v>
      </c>
      <c r="AF88" s="471"/>
    </row>
    <row r="89" spans="1:32" ht="18.75" customHeight="1" x14ac:dyDescent="0.2">
      <c r="A89" s="580"/>
      <c r="B89" s="587"/>
      <c r="C89" s="587"/>
      <c r="D89" s="587"/>
      <c r="E89" s="531" t="s">
        <v>331</v>
      </c>
      <c r="F89" s="629"/>
      <c r="G89" s="629"/>
      <c r="H89" s="585"/>
      <c r="I89" s="585"/>
      <c r="J89" s="585"/>
      <c r="K89" s="585"/>
      <c r="L89" s="585"/>
      <c r="M89" s="585"/>
      <c r="N89" s="585"/>
      <c r="O89" s="585"/>
      <c r="P89" s="620"/>
      <c r="Q89" s="437"/>
      <c r="R89" s="467"/>
      <c r="S89" s="467"/>
      <c r="T89" s="467"/>
      <c r="U89" s="467"/>
      <c r="V89" s="581"/>
      <c r="W89" s="581"/>
      <c r="X89" s="581"/>
      <c r="Y89" s="467"/>
      <c r="Z89" s="467"/>
      <c r="AA89" s="467"/>
      <c r="AB89" s="467"/>
      <c r="AC89" s="581"/>
      <c r="AD89" s="585"/>
      <c r="AE89" s="467"/>
      <c r="AF89" s="471"/>
    </row>
    <row r="90" spans="1:32" ht="18.75" customHeight="1" x14ac:dyDescent="0.2">
      <c r="A90" s="476">
        <v>72</v>
      </c>
      <c r="B90" s="428" t="s">
        <v>188</v>
      </c>
      <c r="C90" s="629" t="s">
        <v>344</v>
      </c>
      <c r="D90" s="532">
        <v>400.5</v>
      </c>
      <c r="E90" s="428" t="s">
        <v>345</v>
      </c>
      <c r="F90" s="629">
        <v>177.8</v>
      </c>
      <c r="G90" s="629" t="s">
        <v>28</v>
      </c>
      <c r="H90" s="585" t="s">
        <v>58</v>
      </c>
      <c r="I90" s="585">
        <v>227.27</v>
      </c>
      <c r="J90" s="585">
        <v>220</v>
      </c>
      <c r="K90" s="585"/>
      <c r="L90" s="585">
        <v>183</v>
      </c>
      <c r="M90" s="585"/>
      <c r="N90" s="585">
        <v>0</v>
      </c>
      <c r="O90" s="585"/>
      <c r="P90" s="620">
        <v>5.4960841267156226</v>
      </c>
      <c r="Q90" s="431">
        <v>6.6</v>
      </c>
      <c r="R90" s="432">
        <v>4.5179999999999998</v>
      </c>
      <c r="S90" s="431">
        <v>4.532</v>
      </c>
      <c r="T90" s="431">
        <v>0</v>
      </c>
      <c r="U90" s="530">
        <v>0</v>
      </c>
      <c r="V90" s="433">
        <v>0.30891438658429465</v>
      </c>
      <c r="W90" s="432">
        <v>0.1</v>
      </c>
      <c r="X90" s="431">
        <v>0.68666666666666676</v>
      </c>
      <c r="Y90" s="431">
        <v>4.2577632000000003</v>
      </c>
      <c r="Z90" s="431">
        <v>4.2709568000000004</v>
      </c>
      <c r="AA90" s="530">
        <v>0</v>
      </c>
      <c r="AB90" s="431">
        <v>0</v>
      </c>
      <c r="AC90" s="431">
        <v>0.30891438658429465</v>
      </c>
      <c r="AD90" s="629">
        <v>6</v>
      </c>
      <c r="AE90" s="431">
        <v>85.155264000000003</v>
      </c>
      <c r="AF90" s="471"/>
    </row>
    <row r="91" spans="1:32" ht="18.75" customHeight="1" x14ac:dyDescent="0.2">
      <c r="A91" s="580"/>
      <c r="B91" s="1889"/>
      <c r="C91" s="1889"/>
      <c r="D91" s="1889"/>
      <c r="E91" s="1890"/>
      <c r="F91" s="606"/>
      <c r="G91" s="629"/>
      <c r="H91" s="592"/>
      <c r="I91" s="431"/>
      <c r="J91" s="629"/>
      <c r="K91" s="606"/>
      <c r="L91" s="629"/>
      <c r="M91" s="606"/>
      <c r="N91" s="430"/>
      <c r="O91" s="606"/>
      <c r="P91" s="480"/>
      <c r="Q91" s="467"/>
      <c r="R91" s="467"/>
      <c r="S91" s="467"/>
      <c r="T91" s="467"/>
      <c r="U91" s="467"/>
      <c r="V91" s="467"/>
      <c r="W91" s="467"/>
      <c r="X91" s="467"/>
      <c r="Y91" s="467"/>
      <c r="Z91" s="481"/>
      <c r="AA91" s="467"/>
      <c r="AB91" s="467"/>
      <c r="AC91" s="467"/>
      <c r="AD91" s="467"/>
      <c r="AE91" s="467"/>
      <c r="AF91" s="478"/>
    </row>
    <row r="92" spans="1:32" ht="18.75" customHeight="1" x14ac:dyDescent="0.2">
      <c r="A92" s="580"/>
      <c r="B92" s="1894" t="s">
        <v>276</v>
      </c>
      <c r="C92" s="1895"/>
      <c r="D92" s="1895"/>
      <c r="E92" s="1895"/>
      <c r="F92" s="1895"/>
      <c r="G92" s="581"/>
      <c r="H92" s="584"/>
      <c r="I92" s="584"/>
      <c r="J92" s="585"/>
      <c r="K92" s="585"/>
      <c r="L92" s="585"/>
      <c r="M92" s="585"/>
      <c r="N92" s="585"/>
      <c r="O92" s="585"/>
      <c r="P92" s="620"/>
      <c r="Q92" s="437"/>
      <c r="R92" s="717"/>
      <c r="S92" s="717"/>
      <c r="T92" s="585"/>
      <c r="U92" s="581"/>
      <c r="V92" s="581"/>
      <c r="W92" s="581"/>
      <c r="X92" s="581"/>
      <c r="Y92" s="585"/>
      <c r="Z92" s="585"/>
      <c r="AA92" s="585"/>
      <c r="AB92" s="589"/>
      <c r="AC92" s="581"/>
      <c r="AD92" s="585"/>
      <c r="AE92" s="585"/>
      <c r="AF92" s="584"/>
    </row>
    <row r="93" spans="1:32" ht="18.75" customHeight="1" x14ac:dyDescent="0.2">
      <c r="A93" s="629">
        <v>73</v>
      </c>
      <c r="B93" s="483" t="s">
        <v>107</v>
      </c>
      <c r="C93" s="588" t="s">
        <v>109</v>
      </c>
      <c r="D93" s="588"/>
      <c r="E93" s="588"/>
      <c r="F93" s="585"/>
      <c r="G93" s="581"/>
      <c r="H93" s="584"/>
      <c r="I93" s="584"/>
      <c r="J93" s="585"/>
      <c r="K93" s="585"/>
      <c r="L93" s="585"/>
      <c r="M93" s="585"/>
      <c r="N93" s="585"/>
      <c r="O93" s="585"/>
      <c r="P93" s="620"/>
      <c r="Q93" s="437"/>
      <c r="R93" s="717"/>
      <c r="S93" s="717"/>
      <c r="T93" s="585"/>
      <c r="U93" s="581"/>
      <c r="V93" s="581"/>
      <c r="W93" s="581"/>
      <c r="X93" s="581"/>
      <c r="Y93" s="584"/>
      <c r="Z93" s="584"/>
      <c r="AA93" s="585"/>
      <c r="AB93" s="589"/>
      <c r="AC93" s="581"/>
      <c r="AD93" s="485"/>
      <c r="AE93" s="585"/>
      <c r="AF93" s="486"/>
    </row>
    <row r="94" spans="1:32" ht="18.75" customHeight="1" x14ac:dyDescent="0.2">
      <c r="A94" s="629">
        <v>74</v>
      </c>
      <c r="B94" s="483" t="s">
        <v>108</v>
      </c>
      <c r="C94" s="588" t="s">
        <v>109</v>
      </c>
      <c r="D94" s="588"/>
      <c r="E94" s="588"/>
      <c r="F94" s="585"/>
      <c r="G94" s="581"/>
      <c r="H94" s="584"/>
      <c r="I94" s="584"/>
      <c r="J94" s="585"/>
      <c r="K94" s="585"/>
      <c r="L94" s="585"/>
      <c r="M94" s="585"/>
      <c r="N94" s="585"/>
      <c r="O94" s="585"/>
      <c r="P94" s="620"/>
      <c r="Q94" s="437"/>
      <c r="R94" s="717"/>
      <c r="S94" s="717"/>
      <c r="T94" s="585"/>
      <c r="U94" s="581"/>
      <c r="V94" s="581"/>
      <c r="W94" s="581"/>
      <c r="X94" s="581"/>
      <c r="Y94" s="584"/>
      <c r="Z94" s="584"/>
      <c r="AA94" s="585"/>
      <c r="AB94" s="589"/>
      <c r="AC94" s="581"/>
      <c r="AD94" s="485"/>
      <c r="AE94" s="585"/>
      <c r="AF94" s="486"/>
    </row>
    <row r="95" spans="1:32" ht="18.75" customHeight="1" x14ac:dyDescent="0.2">
      <c r="A95" s="629">
        <v>75</v>
      </c>
      <c r="B95" s="483" t="s">
        <v>195</v>
      </c>
      <c r="C95" s="476" t="s">
        <v>193</v>
      </c>
      <c r="D95" s="588"/>
      <c r="E95" s="588"/>
      <c r="F95" s="585"/>
      <c r="G95" s="581"/>
      <c r="H95" s="584"/>
      <c r="I95" s="584"/>
      <c r="J95" s="585"/>
      <c r="K95" s="585"/>
      <c r="L95" s="585"/>
      <c r="M95" s="585"/>
      <c r="N95" s="585"/>
      <c r="O95" s="585"/>
      <c r="P95" s="620"/>
      <c r="Q95" s="437"/>
      <c r="R95" s="717"/>
      <c r="S95" s="717"/>
      <c r="T95" s="585"/>
      <c r="U95" s="581"/>
      <c r="V95" s="581"/>
      <c r="W95" s="581"/>
      <c r="X95" s="581"/>
      <c r="Y95" s="584"/>
      <c r="Z95" s="584"/>
      <c r="AA95" s="585"/>
      <c r="AB95" s="589"/>
      <c r="AC95" s="581"/>
      <c r="AD95" s="485"/>
      <c r="AE95" s="585"/>
      <c r="AF95" s="486"/>
    </row>
    <row r="96" spans="1:32" ht="18.75" customHeight="1" x14ac:dyDescent="0.2">
      <c r="A96" s="629">
        <v>76</v>
      </c>
      <c r="B96" s="483" t="s">
        <v>192</v>
      </c>
      <c r="C96" s="476" t="s">
        <v>193</v>
      </c>
      <c r="D96" s="588"/>
      <c r="E96" s="588"/>
      <c r="F96" s="585"/>
      <c r="G96" s="581"/>
      <c r="H96" s="584"/>
      <c r="I96" s="584"/>
      <c r="J96" s="585"/>
      <c r="K96" s="585"/>
      <c r="L96" s="585"/>
      <c r="M96" s="585"/>
      <c r="N96" s="585"/>
      <c r="O96" s="585"/>
      <c r="P96" s="620"/>
      <c r="Q96" s="437"/>
      <c r="R96" s="717"/>
      <c r="S96" s="717"/>
      <c r="T96" s="585"/>
      <c r="U96" s="581"/>
      <c r="V96" s="581"/>
      <c r="W96" s="581"/>
      <c r="X96" s="581"/>
      <c r="Y96" s="584"/>
      <c r="Z96" s="584"/>
      <c r="AA96" s="585"/>
      <c r="AB96" s="589"/>
      <c r="AC96" s="581"/>
      <c r="AD96" s="485"/>
      <c r="AE96" s="585"/>
      <c r="AF96" s="486"/>
    </row>
    <row r="97" spans="1:32" ht="18.75" customHeight="1" x14ac:dyDescent="0.2">
      <c r="A97" s="629"/>
      <c r="B97" s="1894" t="s">
        <v>278</v>
      </c>
      <c r="C97" s="1895"/>
      <c r="D97" s="1895"/>
      <c r="E97" s="1895"/>
      <c r="F97" s="1895"/>
      <c r="G97" s="581"/>
      <c r="H97" s="584"/>
      <c r="I97" s="584"/>
      <c r="J97" s="585"/>
      <c r="K97" s="585"/>
      <c r="L97" s="585"/>
      <c r="M97" s="585"/>
      <c r="N97" s="585"/>
      <c r="O97" s="585"/>
      <c r="P97" s="620"/>
      <c r="Q97" s="437"/>
      <c r="R97" s="717"/>
      <c r="S97" s="717"/>
      <c r="T97" s="585"/>
      <c r="U97" s="581"/>
      <c r="V97" s="581"/>
      <c r="W97" s="581"/>
      <c r="X97" s="581"/>
      <c r="Y97" s="585"/>
      <c r="Z97" s="585"/>
      <c r="AA97" s="585"/>
      <c r="AB97" s="589"/>
      <c r="AC97" s="581"/>
      <c r="AD97" s="585"/>
      <c r="AE97" s="585"/>
      <c r="AF97" s="584"/>
    </row>
    <row r="98" spans="1:32" ht="18.75" customHeight="1" x14ac:dyDescent="0.2">
      <c r="A98" s="629">
        <v>77</v>
      </c>
      <c r="B98" s="487" t="s">
        <v>189</v>
      </c>
      <c r="C98" s="629" t="s">
        <v>46</v>
      </c>
      <c r="D98" s="472">
        <v>673</v>
      </c>
      <c r="E98" s="472" t="s">
        <v>190</v>
      </c>
      <c r="F98" s="629">
        <v>177.8</v>
      </c>
      <c r="G98" s="629"/>
      <c r="H98" s="592"/>
      <c r="I98" s="585"/>
      <c r="J98" s="585"/>
      <c r="K98" s="585"/>
      <c r="L98" s="585"/>
      <c r="M98" s="585"/>
      <c r="N98" s="585"/>
      <c r="O98" s="585"/>
      <c r="P98" s="620"/>
      <c r="Q98" s="437"/>
      <c r="R98" s="717"/>
      <c r="S98" s="717"/>
      <c r="T98" s="585"/>
      <c r="U98" s="581"/>
      <c r="V98" s="581"/>
      <c r="W98" s="581"/>
      <c r="X98" s="581"/>
      <c r="Y98" s="488"/>
      <c r="Z98" s="489"/>
      <c r="AA98" s="584"/>
      <c r="AB98" s="589"/>
      <c r="AC98" s="585"/>
      <c r="AD98" s="629"/>
      <c r="AE98" s="431"/>
      <c r="AF98" s="439"/>
    </row>
    <row r="99" spans="1:32" ht="18.75" customHeight="1" x14ac:dyDescent="0.3">
      <c r="A99" s="629">
        <v>78</v>
      </c>
      <c r="B99" s="428" t="s">
        <v>181</v>
      </c>
      <c r="C99" s="490" t="s">
        <v>183</v>
      </c>
      <c r="D99" s="592">
        <v>374.5</v>
      </c>
      <c r="E99" s="629" t="s">
        <v>182</v>
      </c>
      <c r="F99" s="629">
        <v>177.8</v>
      </c>
      <c r="G99" s="629"/>
      <c r="H99" s="592"/>
      <c r="I99" s="585"/>
      <c r="J99" s="629"/>
      <c r="K99" s="629"/>
      <c r="L99" s="629"/>
      <c r="M99" s="629"/>
      <c r="N99" s="430"/>
      <c r="O99" s="629"/>
      <c r="P99" s="431"/>
      <c r="Q99" s="431"/>
      <c r="R99" s="432"/>
      <c r="S99" s="431"/>
      <c r="T99" s="431"/>
      <c r="U99" s="431"/>
      <c r="V99" s="432"/>
      <c r="W99" s="432"/>
      <c r="X99" s="491"/>
      <c r="Y99" s="431"/>
      <c r="Z99" s="431"/>
      <c r="AA99" s="431"/>
      <c r="AB99" s="431"/>
      <c r="AC99" s="431"/>
      <c r="AD99" s="629"/>
      <c r="AE99" s="431"/>
      <c r="AF99" s="439"/>
    </row>
    <row r="100" spans="1:32" ht="18.75" customHeight="1" x14ac:dyDescent="0.2">
      <c r="A100" s="629">
        <v>79</v>
      </c>
      <c r="B100" s="428" t="s">
        <v>174</v>
      </c>
      <c r="C100" s="629" t="s">
        <v>46</v>
      </c>
      <c r="D100" s="592">
        <v>672</v>
      </c>
      <c r="E100" s="629" t="s">
        <v>175</v>
      </c>
      <c r="F100" s="629">
        <v>177.8</v>
      </c>
      <c r="G100" s="629"/>
      <c r="H100" s="592"/>
      <c r="I100" s="585"/>
      <c r="J100" s="629"/>
      <c r="K100" s="629"/>
      <c r="L100" s="629"/>
      <c r="M100" s="629"/>
      <c r="N100" s="430"/>
      <c r="O100" s="629"/>
      <c r="P100" s="430"/>
      <c r="Q100" s="431"/>
      <c r="R100" s="432"/>
      <c r="S100" s="431"/>
      <c r="T100" s="431"/>
      <c r="U100" s="431"/>
      <c r="V100" s="432"/>
      <c r="W100" s="432"/>
      <c r="X100" s="431"/>
      <c r="Y100" s="431"/>
      <c r="Z100" s="431"/>
      <c r="AA100" s="431"/>
      <c r="AB100" s="431"/>
      <c r="AC100" s="431"/>
      <c r="AD100" s="629"/>
      <c r="AE100" s="431"/>
      <c r="AF100" s="439"/>
    </row>
    <row r="101" spans="1:32" ht="18.75" customHeight="1" x14ac:dyDescent="0.2">
      <c r="A101" s="629">
        <v>80</v>
      </c>
      <c r="B101" s="586" t="s">
        <v>103</v>
      </c>
      <c r="C101" s="629" t="s">
        <v>46</v>
      </c>
      <c r="D101" s="585">
        <v>582</v>
      </c>
      <c r="E101" s="585" t="s">
        <v>112</v>
      </c>
      <c r="F101" s="629">
        <v>177.8</v>
      </c>
      <c r="G101" s="629"/>
      <c r="H101" s="592"/>
      <c r="I101" s="585"/>
      <c r="J101" s="585"/>
      <c r="K101" s="424"/>
      <c r="L101" s="585"/>
      <c r="M101" s="424"/>
      <c r="N101" s="585"/>
      <c r="O101" s="585"/>
      <c r="P101" s="620"/>
      <c r="Q101" s="437"/>
      <c r="R101" s="717"/>
      <c r="S101" s="717"/>
      <c r="T101" s="585"/>
      <c r="U101" s="581"/>
      <c r="V101" s="581"/>
      <c r="W101" s="581"/>
      <c r="X101" s="421"/>
      <c r="Y101" s="492"/>
      <c r="Z101" s="585"/>
      <c r="AA101" s="585"/>
      <c r="AB101" s="581"/>
      <c r="AC101" s="585"/>
      <c r="AD101" s="493"/>
      <c r="AE101" s="437"/>
      <c r="AF101" s="439"/>
    </row>
    <row r="102" spans="1:32" ht="18.75" customHeight="1" x14ac:dyDescent="0.2">
      <c r="A102" s="629">
        <v>81</v>
      </c>
      <c r="B102" s="586" t="s">
        <v>220</v>
      </c>
      <c r="C102" s="629" t="s">
        <v>46</v>
      </c>
      <c r="D102" s="585">
        <v>685.69</v>
      </c>
      <c r="E102" s="585" t="s">
        <v>222</v>
      </c>
      <c r="F102" s="629">
        <v>177.8</v>
      </c>
      <c r="G102" s="629"/>
      <c r="H102" s="592"/>
      <c r="I102" s="585"/>
      <c r="J102" s="585"/>
      <c r="K102" s="424"/>
      <c r="L102" s="585"/>
      <c r="M102" s="424"/>
      <c r="N102" s="585"/>
      <c r="O102" s="585"/>
      <c r="P102" s="620"/>
      <c r="Q102" s="437"/>
      <c r="R102" s="717"/>
      <c r="S102" s="717"/>
      <c r="T102" s="585"/>
      <c r="U102" s="581"/>
      <c r="V102" s="581"/>
      <c r="W102" s="581"/>
      <c r="X102" s="421"/>
      <c r="Y102" s="492"/>
      <c r="Z102" s="585"/>
      <c r="AA102" s="585"/>
      <c r="AB102" s="581"/>
      <c r="AC102" s="585"/>
      <c r="AD102" s="493"/>
      <c r="AE102" s="437"/>
      <c r="AF102" s="439"/>
    </row>
    <row r="103" spans="1:32" ht="18.75" customHeight="1" x14ac:dyDescent="0.2">
      <c r="A103" s="629"/>
      <c r="B103" s="1894" t="s">
        <v>279</v>
      </c>
      <c r="C103" s="1895"/>
      <c r="D103" s="1895"/>
      <c r="E103" s="1895"/>
      <c r="F103" s="1895"/>
      <c r="G103" s="629"/>
      <c r="H103" s="592"/>
      <c r="I103" s="585"/>
      <c r="J103" s="629"/>
      <c r="K103" s="629"/>
      <c r="L103" s="629"/>
      <c r="M103" s="629"/>
      <c r="N103" s="430"/>
      <c r="O103" s="629"/>
      <c r="P103" s="430"/>
      <c r="Q103" s="431"/>
      <c r="R103" s="432"/>
      <c r="S103" s="431"/>
      <c r="T103" s="431"/>
      <c r="U103" s="431"/>
      <c r="V103" s="432"/>
      <c r="W103" s="432"/>
      <c r="X103" s="431"/>
      <c r="Y103" s="431"/>
      <c r="Z103" s="431"/>
      <c r="AA103" s="431"/>
      <c r="AB103" s="431"/>
      <c r="AC103" s="431"/>
      <c r="AD103" s="629"/>
      <c r="AE103" s="431"/>
      <c r="AF103" s="439"/>
    </row>
    <row r="104" spans="1:32" ht="18.75" customHeight="1" x14ac:dyDescent="0.2">
      <c r="A104" s="629">
        <v>82</v>
      </c>
      <c r="B104" s="428" t="s">
        <v>148</v>
      </c>
      <c r="C104" s="629" t="s">
        <v>46</v>
      </c>
      <c r="D104" s="629">
        <v>650</v>
      </c>
      <c r="E104" s="629" t="s">
        <v>75</v>
      </c>
      <c r="F104" s="629">
        <v>177.8</v>
      </c>
      <c r="G104" s="629"/>
      <c r="H104" s="592"/>
      <c r="I104" s="424">
        <v>536.14</v>
      </c>
      <c r="J104" s="629"/>
      <c r="K104" s="629"/>
      <c r="L104" s="629"/>
      <c r="M104" s="629"/>
      <c r="N104" s="430"/>
      <c r="O104" s="629"/>
      <c r="P104" s="430"/>
      <c r="Q104" s="431"/>
      <c r="R104" s="432"/>
      <c r="S104" s="431"/>
      <c r="T104" s="431"/>
      <c r="U104" s="431"/>
      <c r="V104" s="432"/>
      <c r="W104" s="432"/>
      <c r="X104" s="431"/>
      <c r="Y104" s="431"/>
      <c r="Z104" s="431"/>
      <c r="AA104" s="431"/>
      <c r="AB104" s="431"/>
      <c r="AC104" s="431"/>
      <c r="AD104" s="629"/>
      <c r="AE104" s="431"/>
      <c r="AF104" s="439"/>
    </row>
    <row r="105" spans="1:32" ht="18.75" customHeight="1" x14ac:dyDescent="0.2">
      <c r="A105" s="706">
        <v>83</v>
      </c>
      <c r="B105" s="428" t="s">
        <v>155</v>
      </c>
      <c r="C105" s="706" t="s">
        <v>46</v>
      </c>
      <c r="D105" s="706">
        <v>674.13</v>
      </c>
      <c r="E105" s="706" t="s">
        <v>83</v>
      </c>
      <c r="F105" s="629">
        <v>177.8</v>
      </c>
      <c r="G105" s="629"/>
      <c r="H105" s="592"/>
      <c r="I105" s="585">
        <v>527.75</v>
      </c>
      <c r="J105" s="629"/>
      <c r="K105" s="629"/>
      <c r="L105" s="629"/>
      <c r="M105" s="629"/>
      <c r="N105" s="430"/>
      <c r="O105" s="629"/>
      <c r="P105" s="430"/>
      <c r="Q105" s="431"/>
      <c r="R105" s="432"/>
      <c r="S105" s="431"/>
      <c r="T105" s="431"/>
      <c r="U105" s="431"/>
      <c r="V105" s="432"/>
      <c r="W105" s="432"/>
      <c r="X105" s="431"/>
      <c r="Y105" s="431"/>
      <c r="Z105" s="431"/>
      <c r="AA105" s="431"/>
      <c r="AB105" s="431"/>
      <c r="AC105" s="431"/>
      <c r="AD105" s="629"/>
      <c r="AE105" s="431"/>
      <c r="AF105" s="439"/>
    </row>
    <row r="106" spans="1:32" ht="18.75" customHeight="1" x14ac:dyDescent="0.2">
      <c r="A106" s="706">
        <v>84</v>
      </c>
      <c r="B106" s="428" t="s">
        <v>56</v>
      </c>
      <c r="C106" s="706" t="s">
        <v>46</v>
      </c>
      <c r="D106" s="705">
        <v>680.52</v>
      </c>
      <c r="E106" s="706" t="s">
        <v>92</v>
      </c>
      <c r="F106" s="629">
        <v>177.8</v>
      </c>
      <c r="G106" s="629"/>
      <c r="H106" s="592"/>
      <c r="I106" s="585">
        <v>555.95000000000005</v>
      </c>
      <c r="J106" s="629"/>
      <c r="K106" s="629"/>
      <c r="L106" s="629"/>
      <c r="M106" s="629"/>
      <c r="N106" s="430"/>
      <c r="O106" s="629"/>
      <c r="P106" s="431"/>
      <c r="Q106" s="431"/>
      <c r="R106" s="432"/>
      <c r="S106" s="431"/>
      <c r="T106" s="431"/>
      <c r="U106" s="431"/>
      <c r="V106" s="432"/>
      <c r="W106" s="432"/>
      <c r="X106" s="491"/>
      <c r="Y106" s="431"/>
      <c r="Z106" s="431"/>
      <c r="AA106" s="431"/>
      <c r="AB106" s="431"/>
      <c r="AC106" s="431"/>
      <c r="AD106" s="629"/>
      <c r="AE106" s="431"/>
      <c r="AF106" s="439"/>
    </row>
    <row r="107" spans="1:32" ht="18.75" x14ac:dyDescent="0.2">
      <c r="A107" s="713"/>
      <c r="B107" s="464"/>
      <c r="C107" s="464"/>
      <c r="D107" s="703"/>
      <c r="E107" s="428"/>
      <c r="F107" s="629"/>
      <c r="G107" s="629"/>
      <c r="H107" s="592"/>
      <c r="I107" s="585"/>
      <c r="J107" s="629"/>
      <c r="K107" s="629"/>
      <c r="L107" s="629"/>
      <c r="M107" s="629"/>
      <c r="N107" s="430"/>
      <c r="O107" s="629"/>
      <c r="P107" s="431"/>
      <c r="Q107" s="431"/>
      <c r="R107" s="432"/>
      <c r="S107" s="431"/>
      <c r="T107" s="431"/>
      <c r="U107" s="431"/>
      <c r="V107" s="432"/>
      <c r="W107" s="432"/>
      <c r="X107" s="491"/>
      <c r="Y107" s="431"/>
      <c r="Z107" s="431"/>
      <c r="AA107" s="431"/>
      <c r="AB107" s="431"/>
      <c r="AC107" s="431"/>
      <c r="AD107" s="629"/>
      <c r="AE107" s="431"/>
      <c r="AF107" s="439"/>
    </row>
    <row r="108" spans="1:32" ht="18.75" x14ac:dyDescent="0.2">
      <c r="A108" s="712"/>
      <c r="B108" s="1918"/>
      <c r="C108" s="1918"/>
      <c r="D108" s="1918"/>
      <c r="E108" s="1919"/>
      <c r="F108" s="606"/>
      <c r="G108" s="629"/>
      <c r="H108" s="592"/>
      <c r="I108" s="431"/>
      <c r="J108" s="629"/>
      <c r="K108" s="606"/>
      <c r="L108" s="629"/>
      <c r="M108" s="606"/>
      <c r="N108" s="430"/>
      <c r="O108" s="606"/>
      <c r="P108" s="480"/>
      <c r="Q108" s="467"/>
      <c r="R108" s="467">
        <f>R78+R88+R90</f>
        <v>388.55799999999994</v>
      </c>
      <c r="S108" s="467">
        <f>S78+S88+S90</f>
        <v>689.68200000000002</v>
      </c>
      <c r="T108" s="481">
        <f>T78+T88+T90</f>
        <v>14649.199999999999</v>
      </c>
      <c r="U108" s="467">
        <f>T108/R108</f>
        <v>37.701449976580079</v>
      </c>
      <c r="V108" s="467"/>
      <c r="W108" s="467"/>
      <c r="X108" s="467"/>
      <c r="Y108" s="467">
        <f>Y78+Y88+Y90</f>
        <v>368.04120319999998</v>
      </c>
      <c r="Z108" s="467">
        <f>Z78+Z88+Z90</f>
        <v>653.70607679999978</v>
      </c>
      <c r="AA108" s="481">
        <f>AA78+AA88+AA90</f>
        <v>14034.7744</v>
      </c>
      <c r="AB108" s="467">
        <f>AB78+AB88+AB90</f>
        <v>39.436081107175028</v>
      </c>
      <c r="AC108" s="467"/>
      <c r="AD108" s="467"/>
      <c r="AE108" s="495">
        <f>AE78+AE88+AE90</f>
        <v>10998.658464</v>
      </c>
      <c r="AF108" s="478"/>
    </row>
    <row r="109" spans="1:32" ht="18.75" x14ac:dyDescent="0.2">
      <c r="B109" s="496"/>
      <c r="C109" s="496"/>
      <c r="D109" s="496"/>
      <c r="E109" s="496"/>
      <c r="F109" s="497"/>
      <c r="G109" s="498"/>
      <c r="H109" s="499"/>
      <c r="I109" s="499"/>
      <c r="J109" s="497"/>
      <c r="K109" s="497"/>
      <c r="L109" s="497"/>
      <c r="M109" s="497"/>
      <c r="N109" s="497"/>
      <c r="O109" s="497"/>
      <c r="P109" s="652"/>
      <c r="Q109" s="501"/>
      <c r="R109" s="497"/>
      <c r="S109" s="497"/>
      <c r="T109" s="497"/>
      <c r="U109" s="498"/>
      <c r="V109" s="498"/>
      <c r="W109" s="498"/>
      <c r="X109" s="498"/>
      <c r="Y109" s="497"/>
      <c r="Z109" s="497"/>
      <c r="AA109" s="497"/>
      <c r="AB109" s="502"/>
      <c r="AC109" s="498"/>
      <c r="AD109" s="497"/>
      <c r="AE109" s="497"/>
      <c r="AF109" s="499"/>
    </row>
    <row r="110" spans="1:32" ht="18.75" x14ac:dyDescent="0.2">
      <c r="B110" s="503"/>
      <c r="C110" s="504"/>
      <c r="D110" s="503"/>
      <c r="E110" s="505">
        <v>0.95</v>
      </c>
      <c r="F110" s="503"/>
      <c r="G110" s="503" t="s">
        <v>102</v>
      </c>
      <c r="H110" s="460"/>
      <c r="I110" s="506"/>
      <c r="J110" s="503"/>
      <c r="K110" s="1896">
        <f>AE108*E110</f>
        <v>10448.7255408</v>
      </c>
      <c r="L110" s="1897"/>
      <c r="M110" s="1898"/>
      <c r="N110" s="504" t="s">
        <v>27</v>
      </c>
      <c r="O110" s="497"/>
      <c r="P110" s="652"/>
      <c r="Q110" s="501"/>
      <c r="R110" s="497"/>
      <c r="S110" s="497"/>
      <c r="T110" s="497"/>
      <c r="U110" s="498"/>
      <c r="V110" s="498"/>
      <c r="W110" s="498"/>
      <c r="X110" s="498"/>
      <c r="Y110" s="497"/>
      <c r="Z110" s="497"/>
      <c r="AA110" s="497"/>
      <c r="AB110" s="502"/>
      <c r="AC110" s="498"/>
      <c r="AD110" s="497"/>
      <c r="AE110" s="497"/>
      <c r="AF110" s="499"/>
    </row>
    <row r="111" spans="1:32" ht="18.75" x14ac:dyDescent="0.2">
      <c r="B111" s="503"/>
      <c r="C111" s="504"/>
      <c r="D111" s="503"/>
      <c r="E111" s="505"/>
      <c r="F111" s="503"/>
      <c r="G111" s="504"/>
      <c r="H111" s="460"/>
      <c r="I111" s="506"/>
      <c r="J111" s="503"/>
      <c r="K111" s="504"/>
      <c r="L111" s="462"/>
      <c r="M111" s="503"/>
      <c r="N111" s="503"/>
      <c r="O111" s="503"/>
      <c r="P111" s="507"/>
      <c r="Q111" s="508"/>
      <c r="R111" s="503"/>
      <c r="S111" s="503"/>
      <c r="T111" s="503"/>
      <c r="U111" s="503"/>
      <c r="V111" s="503"/>
      <c r="W111" s="503"/>
      <c r="X111" s="509"/>
      <c r="Y111" s="509"/>
      <c r="Z111" s="509"/>
      <c r="AA111" s="509"/>
      <c r="AB111" s="509"/>
      <c r="AC111" s="509"/>
      <c r="AD111" s="509"/>
      <c r="AE111" s="509"/>
      <c r="AF111" s="510"/>
    </row>
    <row r="112" spans="1:32" ht="18.75" x14ac:dyDescent="0.2">
      <c r="B112" s="503"/>
      <c r="C112" s="503"/>
      <c r="D112" s="503"/>
      <c r="E112" s="511" t="s">
        <v>214</v>
      </c>
      <c r="F112" s="1899" t="s">
        <v>264</v>
      </c>
      <c r="G112" s="1899"/>
      <c r="H112" s="1899"/>
      <c r="I112" s="503"/>
      <c r="J112" s="503"/>
      <c r="K112" s="504"/>
      <c r="L112" s="504"/>
      <c r="M112" s="503"/>
      <c r="N112" s="503"/>
      <c r="O112" s="503"/>
      <c r="P112" s="503"/>
      <c r="Q112" s="503"/>
      <c r="R112" s="503"/>
      <c r="S112" s="503"/>
      <c r="T112" s="503"/>
      <c r="U112" s="503"/>
      <c r="V112" s="503"/>
      <c r="W112" s="503"/>
      <c r="X112" s="1892" t="s">
        <v>352</v>
      </c>
      <c r="Y112" s="1893"/>
      <c r="Z112" s="1893"/>
      <c r="AA112" s="1893"/>
      <c r="AB112" s="509" t="s">
        <v>373</v>
      </c>
      <c r="AC112" s="509"/>
      <c r="AD112" s="509"/>
      <c r="AE112" s="509"/>
      <c r="AF112" s="509"/>
    </row>
    <row r="113" spans="17:17" x14ac:dyDescent="0.2">
      <c r="Q113" s="396"/>
    </row>
  </sheetData>
  <mergeCells count="40">
    <mergeCell ref="B97:F97"/>
    <mergeCell ref="B103:F103"/>
    <mergeCell ref="B108:E108"/>
    <mergeCell ref="K110:M110"/>
    <mergeCell ref="F112:H112"/>
    <mergeCell ref="X112:AA112"/>
    <mergeCell ref="AF12:AF13"/>
    <mergeCell ref="B79:E79"/>
    <mergeCell ref="B80:F80"/>
    <mergeCell ref="B88:E88"/>
    <mergeCell ref="B91:E91"/>
    <mergeCell ref="B92:F92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114"/>
  <sheetViews>
    <sheetView topLeftCell="A11" zoomScale="63" zoomScaleNormal="63" workbookViewId="0">
      <pane xSplit="3" ySplit="3" topLeftCell="D14" activePane="bottomRight" state="frozen"/>
      <selection activeCell="A11" sqref="A11"/>
      <selection pane="topRight" activeCell="D11" sqref="D11"/>
      <selection pane="bottomLeft" activeCell="A14" sqref="A14"/>
      <selection pane="bottomRight" activeCell="E57" sqref="E57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85.14062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666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4" width="9" style="666" customWidth="1"/>
    <col min="25" max="26" width="9" style="666" bestFit="1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729"/>
      <c r="G2" s="720"/>
      <c r="H2" s="720"/>
      <c r="I2" s="729"/>
      <c r="J2" s="1909" t="s">
        <v>374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729"/>
      <c r="Y2" s="729"/>
      <c r="Z2" s="729"/>
      <c r="AA2" s="729"/>
      <c r="AB2" s="729"/>
      <c r="AC2" s="729"/>
      <c r="AD2" s="729"/>
      <c r="AE2" s="729"/>
      <c r="AF2" s="405"/>
    </row>
    <row r="3" spans="1:32" ht="18.75" x14ac:dyDescent="0.2">
      <c r="A3" s="1910" t="s">
        <v>54</v>
      </c>
      <c r="B3" s="1910"/>
      <c r="C3" s="1910"/>
      <c r="D3" s="1910"/>
      <c r="E3" s="729"/>
      <c r="F3" s="729"/>
      <c r="G3" s="720"/>
      <c r="H3" s="730"/>
      <c r="I3" s="730"/>
      <c r="J3" s="730"/>
      <c r="K3" s="730"/>
      <c r="L3" s="730"/>
      <c r="M3" s="730"/>
      <c r="N3" s="730"/>
      <c r="O3" s="730"/>
      <c r="P3" s="730"/>
      <c r="Q3" s="730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408" t="s">
        <v>55</v>
      </c>
    </row>
    <row r="4" spans="1:32" ht="18.75" x14ac:dyDescent="0.2">
      <c r="A4" s="721" t="s">
        <v>311</v>
      </c>
      <c r="B4" s="721"/>
      <c r="C4" s="721"/>
      <c r="D4" s="721"/>
      <c r="E4" s="721"/>
      <c r="F4" s="729"/>
      <c r="G4" s="720"/>
      <c r="H4" s="720"/>
      <c r="I4" s="730"/>
      <c r="J4" s="730"/>
      <c r="K4" s="730"/>
      <c r="L4" s="730"/>
      <c r="M4" s="730"/>
      <c r="N4" s="730"/>
      <c r="O4" s="730"/>
      <c r="P4" s="730"/>
      <c r="Q4" s="730"/>
      <c r="R4" s="410"/>
      <c r="S4" s="410"/>
      <c r="T4" s="410"/>
      <c r="U4" s="410"/>
      <c r="V4" s="410"/>
      <c r="W4" s="410"/>
      <c r="X4" s="729"/>
      <c r="Y4" s="729"/>
      <c r="Z4" s="729"/>
      <c r="AA4" s="729"/>
      <c r="AB4" s="729"/>
      <c r="AC4" s="729"/>
      <c r="AD4" s="729"/>
      <c r="AE4" s="729"/>
      <c r="AF4" s="411" t="s">
        <v>338</v>
      </c>
    </row>
    <row r="5" spans="1:32" ht="18.75" x14ac:dyDescent="0.2">
      <c r="A5" s="721" t="s">
        <v>316</v>
      </c>
      <c r="B5" s="412"/>
      <c r="C5" s="412"/>
      <c r="D5" s="412"/>
      <c r="E5" s="729"/>
      <c r="F5" s="729"/>
      <c r="G5" s="720"/>
      <c r="H5" s="720"/>
      <c r="I5" s="729"/>
      <c r="J5" s="729"/>
      <c r="K5" s="720"/>
      <c r="L5" s="720"/>
      <c r="M5" s="729"/>
      <c r="N5" s="729"/>
      <c r="O5" s="729"/>
      <c r="P5" s="413"/>
      <c r="Q5" s="414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415" t="s">
        <v>308</v>
      </c>
    </row>
    <row r="6" spans="1:32" ht="18.75" x14ac:dyDescent="0.2">
      <c r="A6" s="729"/>
      <c r="B6" s="721"/>
      <c r="C6" s="721"/>
      <c r="D6" s="721"/>
      <c r="E6" s="729"/>
      <c r="F6" s="729"/>
      <c r="G6" s="720"/>
      <c r="H6" s="720"/>
      <c r="I6" s="405"/>
      <c r="J6" s="729"/>
      <c r="K6" s="720"/>
      <c r="L6" s="720"/>
      <c r="M6" s="729"/>
      <c r="N6" s="729"/>
      <c r="O6" s="729"/>
      <c r="P6" s="413"/>
      <c r="Q6" s="414"/>
      <c r="R6" s="729"/>
      <c r="S6" s="729"/>
      <c r="T6" s="729"/>
      <c r="U6" s="729"/>
      <c r="V6" s="729"/>
      <c r="W6" s="411"/>
      <c r="X6" s="729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729"/>
      <c r="G7" s="720"/>
      <c r="H7" s="720"/>
      <c r="I7" s="405"/>
      <c r="J7" s="729"/>
      <c r="K7" s="720"/>
      <c r="L7" s="720"/>
      <c r="M7" s="729"/>
      <c r="N7" s="729"/>
      <c r="O7" s="729"/>
      <c r="P7" s="413"/>
      <c r="Q7" s="414"/>
      <c r="R7" s="729"/>
      <c r="S7" s="729"/>
      <c r="T7" s="729"/>
      <c r="U7" s="729"/>
      <c r="V7" s="729"/>
      <c r="W7" s="411"/>
      <c r="X7" s="729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729"/>
      <c r="G8" s="720"/>
      <c r="H8" s="720"/>
      <c r="I8" s="405"/>
      <c r="J8" s="729"/>
      <c r="K8" s="720"/>
      <c r="L8" s="720"/>
      <c r="M8" s="729"/>
      <c r="N8" s="729"/>
      <c r="O8" s="729"/>
      <c r="P8" s="413"/>
      <c r="Q8" s="414"/>
      <c r="R8" s="729"/>
      <c r="S8" s="729"/>
      <c r="T8" s="729"/>
      <c r="U8" s="729"/>
      <c r="V8" s="729"/>
      <c r="W8" s="411"/>
      <c r="X8" s="729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729"/>
      <c r="G9" s="720"/>
      <c r="H9" s="720"/>
      <c r="I9" s="729"/>
      <c r="J9" s="729"/>
      <c r="K9" s="720"/>
      <c r="L9" s="720"/>
      <c r="M9" s="720"/>
      <c r="N9" s="720"/>
      <c r="O9" s="720"/>
      <c r="P9" s="720"/>
      <c r="Q9" s="720"/>
      <c r="R9" s="720"/>
      <c r="S9" s="720"/>
      <c r="T9" s="720"/>
      <c r="U9" s="720"/>
      <c r="V9" s="720"/>
      <c r="W9" s="729"/>
      <c r="X9" s="729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720"/>
      <c r="C10" s="720"/>
      <c r="D10" s="720"/>
      <c r="E10" s="729"/>
      <c r="F10" s="729"/>
      <c r="G10" s="720"/>
      <c r="H10" s="720"/>
      <c r="I10" s="405"/>
      <c r="J10" s="729"/>
      <c r="K10" s="720"/>
      <c r="L10" s="720"/>
      <c r="M10" s="729"/>
      <c r="N10" s="729"/>
      <c r="O10" s="729"/>
      <c r="P10" s="413"/>
      <c r="Q10" s="414"/>
      <c r="R10" s="729"/>
      <c r="S10" s="729"/>
      <c r="T10" s="729"/>
      <c r="U10" s="729"/>
      <c r="V10" s="729"/>
      <c r="W10" s="411"/>
      <c r="X10" s="729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719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719" t="s">
        <v>18</v>
      </c>
      <c r="AE12" s="719" t="s">
        <v>20</v>
      </c>
      <c r="AF12" s="1891" t="s">
        <v>21</v>
      </c>
    </row>
    <row r="13" spans="1:32" ht="37.5" x14ac:dyDescent="0.2">
      <c r="A13" s="1891"/>
      <c r="B13" s="1891"/>
      <c r="C13" s="1903"/>
      <c r="D13" s="723" t="s">
        <v>3</v>
      </c>
      <c r="E13" s="723" t="s">
        <v>3</v>
      </c>
      <c r="F13" s="723" t="s">
        <v>4</v>
      </c>
      <c r="G13" s="1903"/>
      <c r="H13" s="1903"/>
      <c r="I13" s="1891"/>
      <c r="J13" s="723" t="s">
        <v>7</v>
      </c>
      <c r="K13" s="723" t="s">
        <v>30</v>
      </c>
      <c r="L13" s="723" t="s">
        <v>29</v>
      </c>
      <c r="M13" s="723" t="s">
        <v>31</v>
      </c>
      <c r="N13" s="723" t="s">
        <v>32</v>
      </c>
      <c r="O13" s="723" t="s">
        <v>12</v>
      </c>
      <c r="P13" s="448" t="s">
        <v>13</v>
      </c>
      <c r="Q13" s="437" t="s">
        <v>26</v>
      </c>
      <c r="R13" s="723" t="s">
        <v>14</v>
      </c>
      <c r="S13" s="723" t="s">
        <v>25</v>
      </c>
      <c r="T13" s="723" t="s">
        <v>113</v>
      </c>
      <c r="U13" s="1903"/>
      <c r="V13" s="1903"/>
      <c r="W13" s="1903"/>
      <c r="X13" s="1903"/>
      <c r="Y13" s="723" t="s">
        <v>14</v>
      </c>
      <c r="Z13" s="723" t="s">
        <v>25</v>
      </c>
      <c r="AA13" s="723" t="s">
        <v>113</v>
      </c>
      <c r="AB13" s="1903"/>
      <c r="AC13" s="1903"/>
      <c r="AD13" s="723" t="s">
        <v>19</v>
      </c>
      <c r="AE13" s="723" t="s">
        <v>27</v>
      </c>
      <c r="AF13" s="1891"/>
    </row>
    <row r="14" spans="1:32" ht="18.75" customHeight="1" x14ac:dyDescent="0.2">
      <c r="A14" s="728">
        <v>1</v>
      </c>
      <c r="B14" s="461" t="s">
        <v>139</v>
      </c>
      <c r="C14" s="728" t="s">
        <v>46</v>
      </c>
      <c r="D14" s="728">
        <v>610.5</v>
      </c>
      <c r="E14" s="728" t="s">
        <v>203</v>
      </c>
      <c r="F14" s="728">
        <v>177.8</v>
      </c>
      <c r="G14" s="728" t="s">
        <v>28</v>
      </c>
      <c r="H14" s="195" t="s">
        <v>363</v>
      </c>
      <c r="I14" s="723">
        <v>558.54</v>
      </c>
      <c r="J14" s="728" t="s">
        <v>375</v>
      </c>
      <c r="K14" s="728"/>
      <c r="L14" s="728">
        <v>372</v>
      </c>
      <c r="M14" s="728"/>
      <c r="N14" s="728">
        <v>2.1</v>
      </c>
      <c r="O14" s="728"/>
      <c r="P14" s="668">
        <v>27.917674935210282</v>
      </c>
      <c r="Q14" s="670">
        <f>J14*7/100</f>
        <v>7.35</v>
      </c>
      <c r="R14" s="432">
        <v>2.44</v>
      </c>
      <c r="S14" s="432">
        <v>6.09</v>
      </c>
      <c r="T14" s="670">
        <v>5.8</v>
      </c>
      <c r="U14" s="668">
        <f t="shared" ref="U14:U77" si="0">T14/R14</f>
        <v>2.377049180327869</v>
      </c>
      <c r="V14" s="668">
        <f>(S14-R14)/S14*100</f>
        <v>59.934318555008218</v>
      </c>
      <c r="W14" s="668">
        <v>0.1</v>
      </c>
      <c r="X14" s="432">
        <f t="shared" ref="X14:X47" si="1">S14/Q14</f>
        <v>0.82857142857142863</v>
      </c>
      <c r="Y14" s="432">
        <f>R14*0.988</f>
        <v>2.41072</v>
      </c>
      <c r="Z14" s="432">
        <f>S14*0.988</f>
        <v>6.0169199999999998</v>
      </c>
      <c r="AA14" s="670">
        <f>T14*0.988</f>
        <v>5.7303999999999995</v>
      </c>
      <c r="AB14" s="432">
        <f>U14</f>
        <v>2.377049180327869</v>
      </c>
      <c r="AC14" s="670">
        <f t="shared" ref="AC14:AC78" si="2">V14</f>
        <v>59.934318555008218</v>
      </c>
      <c r="AD14" s="728">
        <v>31</v>
      </c>
      <c r="AE14" s="432">
        <f>Y14*AD14</f>
        <v>74.732320000000001</v>
      </c>
      <c r="AF14" s="669"/>
    </row>
    <row r="15" spans="1:32" ht="18.75" customHeight="1" x14ac:dyDescent="0.2">
      <c r="A15" s="728">
        <v>2</v>
      </c>
      <c r="B15" s="461" t="s">
        <v>140</v>
      </c>
      <c r="C15" s="728" t="s">
        <v>46</v>
      </c>
      <c r="D15" s="728">
        <v>585</v>
      </c>
      <c r="E15" s="728" t="s">
        <v>348</v>
      </c>
      <c r="F15" s="728">
        <v>177.8</v>
      </c>
      <c r="G15" s="728" t="s">
        <v>28</v>
      </c>
      <c r="H15" s="728" t="s">
        <v>50</v>
      </c>
      <c r="I15" s="723">
        <v>579.99</v>
      </c>
      <c r="J15" s="728" t="s">
        <v>254</v>
      </c>
      <c r="K15" s="728"/>
      <c r="L15" s="728">
        <v>422</v>
      </c>
      <c r="M15" s="728"/>
      <c r="N15" s="728">
        <v>1.5</v>
      </c>
      <c r="O15" s="728"/>
      <c r="P15" s="668">
        <v>16.250777891817997</v>
      </c>
      <c r="Q15" s="670">
        <f t="shared" ref="Q15:Q37" si="3">LEFT(H15,(FIND("K",H15,1)-1))*J15/100</f>
        <v>15</v>
      </c>
      <c r="R15" s="432">
        <v>1.5</v>
      </c>
      <c r="S15" s="432">
        <v>1.9</v>
      </c>
      <c r="T15" s="670">
        <v>4.3</v>
      </c>
      <c r="U15" s="668">
        <f t="shared" si="0"/>
        <v>2.8666666666666667</v>
      </c>
      <c r="V15" s="668">
        <f>(S15-R15)/S15*100</f>
        <v>21.052631578947363</v>
      </c>
      <c r="W15" s="668">
        <v>0.2</v>
      </c>
      <c r="X15" s="432">
        <f t="shared" si="1"/>
        <v>0.12666666666666665</v>
      </c>
      <c r="Y15" s="432">
        <f t="shared" ref="Y15:AA77" si="4">R15*0.988</f>
        <v>1.482</v>
      </c>
      <c r="Z15" s="432">
        <f t="shared" si="4"/>
        <v>1.8772</v>
      </c>
      <c r="AA15" s="670">
        <f t="shared" si="4"/>
        <v>4.2484000000000002</v>
      </c>
      <c r="AB15" s="432">
        <f t="shared" ref="AB15:AB78" si="5">U15</f>
        <v>2.8666666666666667</v>
      </c>
      <c r="AC15" s="670">
        <f t="shared" si="2"/>
        <v>21.052631578947363</v>
      </c>
      <c r="AD15" s="728">
        <v>31</v>
      </c>
      <c r="AE15" s="432">
        <f t="shared" ref="AE15:AE58" si="6">Y15*AD15</f>
        <v>45.942</v>
      </c>
      <c r="AF15" s="669"/>
    </row>
    <row r="16" spans="1:32" ht="18.75" customHeight="1" x14ac:dyDescent="0.2">
      <c r="A16" s="728">
        <v>3</v>
      </c>
      <c r="B16" s="461" t="s">
        <v>141</v>
      </c>
      <c r="C16" s="728" t="s">
        <v>46</v>
      </c>
      <c r="D16" s="728">
        <v>670</v>
      </c>
      <c r="E16" s="728" t="s">
        <v>68</v>
      </c>
      <c r="F16" s="728">
        <v>177.8</v>
      </c>
      <c r="G16" s="728" t="s">
        <v>28</v>
      </c>
      <c r="H16" s="728" t="s">
        <v>218</v>
      </c>
      <c r="I16" s="723">
        <v>565.94000000000005</v>
      </c>
      <c r="J16" s="728" t="s">
        <v>244</v>
      </c>
      <c r="K16" s="728"/>
      <c r="L16" s="728">
        <v>494</v>
      </c>
      <c r="M16" s="728"/>
      <c r="N16" s="668">
        <v>8.3000000000000007</v>
      </c>
      <c r="O16" s="728"/>
      <c r="P16" s="668">
        <v>13.094296964837984</v>
      </c>
      <c r="Q16" s="670">
        <f>LEFT(H16,(FIND("K",H16,1)-1))*J16/100</f>
        <v>64</v>
      </c>
      <c r="R16" s="432">
        <v>15.89</v>
      </c>
      <c r="S16" s="432">
        <v>28</v>
      </c>
      <c r="T16" s="670">
        <v>1682</v>
      </c>
      <c r="U16" s="668">
        <f t="shared" si="0"/>
        <v>105.85273757079923</v>
      </c>
      <c r="V16" s="668">
        <f t="shared" ref="V16:V77" si="7">(S16-R16)/S16*100</f>
        <v>43.25</v>
      </c>
      <c r="W16" s="668">
        <v>0.3</v>
      </c>
      <c r="X16" s="432">
        <f t="shared" si="1"/>
        <v>0.4375</v>
      </c>
      <c r="Y16" s="432">
        <f t="shared" si="4"/>
        <v>15.69932</v>
      </c>
      <c r="Z16" s="432">
        <f t="shared" si="4"/>
        <v>27.664000000000001</v>
      </c>
      <c r="AA16" s="670">
        <f t="shared" si="4"/>
        <v>1661.816</v>
      </c>
      <c r="AB16" s="432">
        <f t="shared" si="5"/>
        <v>105.85273757079923</v>
      </c>
      <c r="AC16" s="670">
        <f t="shared" si="2"/>
        <v>43.25</v>
      </c>
      <c r="AD16" s="728">
        <v>31</v>
      </c>
      <c r="AE16" s="432">
        <f>Y16*AD16</f>
        <v>486.67892000000001</v>
      </c>
      <c r="AF16" s="669"/>
    </row>
    <row r="17" spans="1:32" ht="18.75" customHeight="1" x14ac:dyDescent="0.2">
      <c r="A17" s="728">
        <v>4</v>
      </c>
      <c r="B17" s="461" t="s">
        <v>142</v>
      </c>
      <c r="C17" s="728" t="s">
        <v>46</v>
      </c>
      <c r="D17" s="728">
        <v>628</v>
      </c>
      <c r="E17" s="728" t="s">
        <v>297</v>
      </c>
      <c r="F17" s="728">
        <v>177.8</v>
      </c>
      <c r="G17" s="728" t="s">
        <v>28</v>
      </c>
      <c r="H17" s="165" t="s">
        <v>376</v>
      </c>
      <c r="I17" s="723">
        <v>540.74000000000024</v>
      </c>
      <c r="J17" s="728">
        <v>330</v>
      </c>
      <c r="K17" s="728"/>
      <c r="L17" s="728">
        <v>428</v>
      </c>
      <c r="M17" s="728"/>
      <c r="N17" s="668">
        <v>3.9</v>
      </c>
      <c r="O17" s="728"/>
      <c r="P17" s="668">
        <v>14.057785675584336</v>
      </c>
      <c r="Q17" s="670">
        <f>14*J17/100</f>
        <v>46.2</v>
      </c>
      <c r="R17" s="432">
        <v>6.22</v>
      </c>
      <c r="S17" s="432">
        <v>9.1999999999999993</v>
      </c>
      <c r="T17" s="670">
        <v>81</v>
      </c>
      <c r="U17" s="668">
        <f t="shared" si="0"/>
        <v>13.02250803858521</v>
      </c>
      <c r="V17" s="668">
        <f t="shared" si="7"/>
        <v>32.391304347826086</v>
      </c>
      <c r="W17" s="668">
        <v>0.1</v>
      </c>
      <c r="X17" s="432">
        <f t="shared" si="1"/>
        <v>0.19913419913419911</v>
      </c>
      <c r="Y17" s="432">
        <f t="shared" si="4"/>
        <v>6.1453599999999993</v>
      </c>
      <c r="Z17" s="432">
        <f t="shared" si="4"/>
        <v>9.089599999999999</v>
      </c>
      <c r="AA17" s="670">
        <f t="shared" si="4"/>
        <v>80.028000000000006</v>
      </c>
      <c r="AB17" s="432">
        <f t="shared" si="5"/>
        <v>13.02250803858521</v>
      </c>
      <c r="AC17" s="670">
        <f t="shared" si="2"/>
        <v>32.391304347826086</v>
      </c>
      <c r="AD17" s="728">
        <v>31</v>
      </c>
      <c r="AE17" s="432">
        <f t="shared" si="6"/>
        <v>190.50615999999997</v>
      </c>
      <c r="AF17" s="669"/>
    </row>
    <row r="18" spans="1:32" ht="18.75" customHeight="1" x14ac:dyDescent="0.2">
      <c r="A18" s="728">
        <v>5</v>
      </c>
      <c r="B18" s="461" t="s">
        <v>143</v>
      </c>
      <c r="C18" s="728" t="s">
        <v>46</v>
      </c>
      <c r="D18" s="728">
        <v>576.6</v>
      </c>
      <c r="E18" s="728" t="s">
        <v>70</v>
      </c>
      <c r="F18" s="728">
        <v>177.8</v>
      </c>
      <c r="G18" s="728" t="s">
        <v>28</v>
      </c>
      <c r="H18" s="550" t="s">
        <v>53</v>
      </c>
      <c r="I18" s="723">
        <v>546</v>
      </c>
      <c r="J18" s="728" t="s">
        <v>377</v>
      </c>
      <c r="K18" s="728"/>
      <c r="L18" s="728">
        <v>440</v>
      </c>
      <c r="M18" s="728"/>
      <c r="N18" s="728">
        <v>5.6</v>
      </c>
      <c r="O18" s="728"/>
      <c r="P18" s="668">
        <v>17.253251982963324</v>
      </c>
      <c r="Q18" s="670">
        <f t="shared" si="3"/>
        <v>18.2</v>
      </c>
      <c r="R18" s="432">
        <v>4.83</v>
      </c>
      <c r="S18" s="432">
        <v>5.5</v>
      </c>
      <c r="T18" s="670">
        <v>27</v>
      </c>
      <c r="U18" s="668">
        <f t="shared" si="0"/>
        <v>5.5900621118012426</v>
      </c>
      <c r="V18" s="668">
        <f t="shared" si="7"/>
        <v>12.181818181818182</v>
      </c>
      <c r="W18" s="668">
        <v>0.4</v>
      </c>
      <c r="X18" s="432">
        <f>S18/Q18</f>
        <v>0.30219780219780223</v>
      </c>
      <c r="Y18" s="432">
        <f t="shared" si="4"/>
        <v>4.7720399999999996</v>
      </c>
      <c r="Z18" s="432">
        <f t="shared" si="4"/>
        <v>5.4340000000000002</v>
      </c>
      <c r="AA18" s="670">
        <f t="shared" si="4"/>
        <v>26.675999999999998</v>
      </c>
      <c r="AB18" s="432">
        <f t="shared" si="5"/>
        <v>5.5900621118012426</v>
      </c>
      <c r="AC18" s="670">
        <f t="shared" si="2"/>
        <v>12.181818181818182</v>
      </c>
      <c r="AD18" s="728">
        <v>31</v>
      </c>
      <c r="AE18" s="432">
        <f t="shared" si="6"/>
        <v>147.93323999999998</v>
      </c>
      <c r="AF18" s="669"/>
    </row>
    <row r="19" spans="1:32" ht="18.75" customHeight="1" x14ac:dyDescent="0.2">
      <c r="A19" s="728">
        <v>6</v>
      </c>
      <c r="B19" s="461" t="s">
        <v>144</v>
      </c>
      <c r="C19" s="728" t="s">
        <v>46</v>
      </c>
      <c r="D19" s="728">
        <v>676.6</v>
      </c>
      <c r="E19" s="728" t="s">
        <v>71</v>
      </c>
      <c r="F19" s="728">
        <v>177.8</v>
      </c>
      <c r="G19" s="728" t="s">
        <v>28</v>
      </c>
      <c r="H19" s="728" t="s">
        <v>50</v>
      </c>
      <c r="I19" s="723">
        <v>584.32000000000005</v>
      </c>
      <c r="J19" s="728" t="s">
        <v>378</v>
      </c>
      <c r="K19" s="728"/>
      <c r="L19" s="728">
        <v>420</v>
      </c>
      <c r="M19" s="728"/>
      <c r="N19" s="728">
        <v>1</v>
      </c>
      <c r="O19" s="728"/>
      <c r="P19" s="668">
        <v>16.473887047388796</v>
      </c>
      <c r="Q19" s="670">
        <f t="shared" si="3"/>
        <v>18.899999999999999</v>
      </c>
      <c r="R19" s="432">
        <v>3.17</v>
      </c>
      <c r="S19" s="432">
        <v>4.0999999999999996</v>
      </c>
      <c r="T19" s="670">
        <v>4</v>
      </c>
      <c r="U19" s="668">
        <f t="shared" si="0"/>
        <v>1.2618296529968454</v>
      </c>
      <c r="V19" s="668">
        <f t="shared" si="7"/>
        <v>22.682926829268286</v>
      </c>
      <c r="W19" s="668">
        <v>0.3</v>
      </c>
      <c r="X19" s="432">
        <f>S19/Q19</f>
        <v>0.21693121693121692</v>
      </c>
      <c r="Y19" s="432">
        <f t="shared" si="4"/>
        <v>3.1319599999999999</v>
      </c>
      <c r="Z19" s="432">
        <f t="shared" si="4"/>
        <v>4.0507999999999997</v>
      </c>
      <c r="AA19" s="670">
        <f t="shared" si="4"/>
        <v>3.952</v>
      </c>
      <c r="AB19" s="432">
        <v>14.613</v>
      </c>
      <c r="AC19" s="670">
        <f t="shared" si="2"/>
        <v>22.682926829268286</v>
      </c>
      <c r="AD19" s="728">
        <v>31</v>
      </c>
      <c r="AE19" s="432">
        <f t="shared" si="6"/>
        <v>97.090759999999989</v>
      </c>
      <c r="AF19" s="669"/>
    </row>
    <row r="20" spans="1:32" ht="18.75" customHeight="1" x14ac:dyDescent="0.2">
      <c r="A20" s="728">
        <v>7</v>
      </c>
      <c r="B20" s="461" t="s">
        <v>145</v>
      </c>
      <c r="C20" s="728" t="s">
        <v>46</v>
      </c>
      <c r="D20" s="728" t="s">
        <v>47</v>
      </c>
      <c r="E20" s="728" t="s">
        <v>72</v>
      </c>
      <c r="F20" s="728">
        <v>177.8</v>
      </c>
      <c r="G20" s="728" t="s">
        <v>28</v>
      </c>
      <c r="H20" s="728" t="s">
        <v>52</v>
      </c>
      <c r="I20" s="723">
        <v>560</v>
      </c>
      <c r="J20" s="728">
        <v>180</v>
      </c>
      <c r="K20" s="728"/>
      <c r="L20" s="728">
        <v>448</v>
      </c>
      <c r="M20" s="728"/>
      <c r="N20" s="728">
        <v>7.5</v>
      </c>
      <c r="O20" s="728"/>
      <c r="P20" s="668">
        <v>19.811182305031746</v>
      </c>
      <c r="Q20" s="670">
        <f t="shared" si="3"/>
        <v>39.6</v>
      </c>
      <c r="R20" s="432">
        <v>12.58</v>
      </c>
      <c r="S20" s="432">
        <v>16</v>
      </c>
      <c r="T20" s="670">
        <v>150</v>
      </c>
      <c r="U20" s="668">
        <f t="shared" si="0"/>
        <v>11.923688394276629</v>
      </c>
      <c r="V20" s="668">
        <f t="shared" si="7"/>
        <v>21.375</v>
      </c>
      <c r="W20" s="668">
        <v>0.1</v>
      </c>
      <c r="X20" s="432">
        <f t="shared" si="1"/>
        <v>0.40404040404040403</v>
      </c>
      <c r="Y20" s="432">
        <f t="shared" si="4"/>
        <v>12.429040000000001</v>
      </c>
      <c r="Z20" s="432">
        <f t="shared" si="4"/>
        <v>15.808</v>
      </c>
      <c r="AA20" s="670">
        <f t="shared" si="4"/>
        <v>148.19999999999999</v>
      </c>
      <c r="AB20" s="432">
        <f t="shared" si="5"/>
        <v>11.923688394276629</v>
      </c>
      <c r="AC20" s="670">
        <f t="shared" si="2"/>
        <v>21.375</v>
      </c>
      <c r="AD20" s="728">
        <v>31</v>
      </c>
      <c r="AE20" s="432">
        <f t="shared" si="6"/>
        <v>385.30024000000003</v>
      </c>
      <c r="AF20" s="669"/>
    </row>
    <row r="21" spans="1:32" ht="18.75" customHeight="1" x14ac:dyDescent="0.2">
      <c r="A21" s="728">
        <v>8</v>
      </c>
      <c r="B21" s="461" t="s">
        <v>146</v>
      </c>
      <c r="C21" s="728" t="s">
        <v>46</v>
      </c>
      <c r="D21" s="728">
        <v>764</v>
      </c>
      <c r="E21" s="436" t="s">
        <v>73</v>
      </c>
      <c r="F21" s="728">
        <v>177.8</v>
      </c>
      <c r="G21" s="728" t="s">
        <v>28</v>
      </c>
      <c r="H21" s="728" t="s">
        <v>52</v>
      </c>
      <c r="I21" s="437">
        <v>550</v>
      </c>
      <c r="J21" s="728">
        <v>95</v>
      </c>
      <c r="K21" s="727"/>
      <c r="L21" s="728">
        <v>235</v>
      </c>
      <c r="M21" s="727"/>
      <c r="N21" s="728">
        <v>8.1</v>
      </c>
      <c r="O21" s="727"/>
      <c r="P21" s="668">
        <v>39.497500225391576</v>
      </c>
      <c r="Q21" s="670">
        <f t="shared" si="3"/>
        <v>20.9</v>
      </c>
      <c r="R21" s="432">
        <v>2.17</v>
      </c>
      <c r="S21" s="432">
        <v>18.7</v>
      </c>
      <c r="T21" s="670">
        <v>32</v>
      </c>
      <c r="U21" s="668">
        <f t="shared" si="0"/>
        <v>14.746543778801843</v>
      </c>
      <c r="V21" s="668">
        <f t="shared" si="7"/>
        <v>88.395721925133699</v>
      </c>
      <c r="W21" s="668">
        <v>0.7</v>
      </c>
      <c r="X21" s="432">
        <f t="shared" si="1"/>
        <v>0.89473684210526316</v>
      </c>
      <c r="Y21" s="432">
        <f t="shared" si="4"/>
        <v>2.1439599999999999</v>
      </c>
      <c r="Z21" s="432">
        <f t="shared" si="4"/>
        <v>18.4756</v>
      </c>
      <c r="AA21" s="670">
        <f t="shared" si="4"/>
        <v>31.616</v>
      </c>
      <c r="AB21" s="432">
        <f t="shared" si="5"/>
        <v>14.746543778801843</v>
      </c>
      <c r="AC21" s="670">
        <f t="shared" si="2"/>
        <v>88.395721925133699</v>
      </c>
      <c r="AD21" s="728">
        <v>31</v>
      </c>
      <c r="AE21" s="432">
        <f t="shared" si="6"/>
        <v>66.462760000000003</v>
      </c>
      <c r="AF21" s="669"/>
    </row>
    <row r="22" spans="1:32" ht="18.75" customHeight="1" x14ac:dyDescent="0.2">
      <c r="A22" s="728">
        <v>9</v>
      </c>
      <c r="B22" s="461" t="s">
        <v>147</v>
      </c>
      <c r="C22" s="728" t="s">
        <v>46</v>
      </c>
      <c r="D22" s="728">
        <v>650.1</v>
      </c>
      <c r="E22" s="728" t="s">
        <v>74</v>
      </c>
      <c r="F22" s="728">
        <v>177.8</v>
      </c>
      <c r="G22" s="728" t="s">
        <v>28</v>
      </c>
      <c r="H22" s="728" t="s">
        <v>52</v>
      </c>
      <c r="I22" s="723">
        <v>591.98</v>
      </c>
      <c r="J22" s="728">
        <v>120</v>
      </c>
      <c r="K22" s="728"/>
      <c r="L22" s="728">
        <v>476</v>
      </c>
      <c r="M22" s="728"/>
      <c r="N22" s="728">
        <v>6.5</v>
      </c>
      <c r="O22" s="728"/>
      <c r="P22" s="668">
        <v>16.266473351685811</v>
      </c>
      <c r="Q22" s="670">
        <f t="shared" si="3"/>
        <v>26.4</v>
      </c>
      <c r="R22" s="432">
        <v>6.7</v>
      </c>
      <c r="S22" s="432">
        <v>11.9</v>
      </c>
      <c r="T22" s="670">
        <v>17</v>
      </c>
      <c r="U22" s="668">
        <f t="shared" si="0"/>
        <v>2.5373134328358207</v>
      </c>
      <c r="V22" s="668">
        <f t="shared" si="7"/>
        <v>43.69747899159664</v>
      </c>
      <c r="W22" s="668">
        <v>0.1</v>
      </c>
      <c r="X22" s="432">
        <v>0.2</v>
      </c>
      <c r="Y22" s="432">
        <f t="shared" si="4"/>
        <v>6.6196000000000002</v>
      </c>
      <c r="Z22" s="432">
        <f t="shared" si="4"/>
        <v>11.757200000000001</v>
      </c>
      <c r="AA22" s="670">
        <f t="shared" si="4"/>
        <v>16.795999999999999</v>
      </c>
      <c r="AB22" s="432">
        <f t="shared" si="5"/>
        <v>2.5373134328358207</v>
      </c>
      <c r="AC22" s="670">
        <f t="shared" si="2"/>
        <v>43.69747899159664</v>
      </c>
      <c r="AD22" s="728">
        <v>31</v>
      </c>
      <c r="AE22" s="432">
        <f t="shared" si="6"/>
        <v>205.20760000000001</v>
      </c>
      <c r="AF22" s="669"/>
    </row>
    <row r="23" spans="1:32" ht="18.75" customHeight="1" x14ac:dyDescent="0.2">
      <c r="A23" s="728">
        <v>10</v>
      </c>
      <c r="B23" s="461" t="s">
        <v>149</v>
      </c>
      <c r="C23" s="728" t="s">
        <v>46</v>
      </c>
      <c r="D23" s="728">
        <v>606.29999999999995</v>
      </c>
      <c r="E23" s="728" t="s">
        <v>76</v>
      </c>
      <c r="F23" s="728">
        <v>177.8</v>
      </c>
      <c r="G23" s="728" t="s">
        <v>28</v>
      </c>
      <c r="H23" s="728" t="s">
        <v>52</v>
      </c>
      <c r="I23" s="723">
        <v>585.29999999999995</v>
      </c>
      <c r="J23" s="728">
        <v>240</v>
      </c>
      <c r="K23" s="728"/>
      <c r="L23" s="728">
        <v>284</v>
      </c>
      <c r="M23" s="728"/>
      <c r="N23" s="728">
        <v>4.9000000000000004</v>
      </c>
      <c r="O23" s="728"/>
      <c r="P23" s="668">
        <v>35.483689526056835</v>
      </c>
      <c r="Q23" s="670">
        <f t="shared" si="3"/>
        <v>52.8</v>
      </c>
      <c r="R23" s="432">
        <v>0.71</v>
      </c>
      <c r="S23" s="432">
        <v>1.6</v>
      </c>
      <c r="T23" s="670">
        <v>0</v>
      </c>
      <c r="U23" s="668">
        <f t="shared" si="0"/>
        <v>0</v>
      </c>
      <c r="V23" s="668">
        <f t="shared" si="7"/>
        <v>55.625</v>
      </c>
      <c r="W23" s="668">
        <v>0.4</v>
      </c>
      <c r="X23" s="432">
        <f t="shared" si="1"/>
        <v>3.0303030303030307E-2</v>
      </c>
      <c r="Y23" s="432">
        <f t="shared" si="4"/>
        <v>0.70147999999999999</v>
      </c>
      <c r="Z23" s="432">
        <f t="shared" si="4"/>
        <v>1.5808</v>
      </c>
      <c r="AA23" s="670">
        <f t="shared" si="4"/>
        <v>0</v>
      </c>
      <c r="AB23" s="432">
        <f t="shared" si="5"/>
        <v>0</v>
      </c>
      <c r="AC23" s="670">
        <f t="shared" si="2"/>
        <v>55.625</v>
      </c>
      <c r="AD23" s="728">
        <v>31</v>
      </c>
      <c r="AE23" s="432">
        <f t="shared" si="6"/>
        <v>21.74588</v>
      </c>
      <c r="AF23" s="449"/>
    </row>
    <row r="24" spans="1:32" ht="18.75" customHeight="1" x14ac:dyDescent="0.2">
      <c r="A24" s="728">
        <v>11</v>
      </c>
      <c r="B24" s="461" t="s">
        <v>150</v>
      </c>
      <c r="C24" s="728" t="s">
        <v>46</v>
      </c>
      <c r="D24" s="728">
        <v>661</v>
      </c>
      <c r="E24" s="723" t="s">
        <v>77</v>
      </c>
      <c r="F24" s="728">
        <v>177.8</v>
      </c>
      <c r="G24" s="728" t="s">
        <v>28</v>
      </c>
      <c r="H24" s="728" t="s">
        <v>53</v>
      </c>
      <c r="I24" s="723">
        <v>554.91</v>
      </c>
      <c r="J24" s="728">
        <v>185</v>
      </c>
      <c r="K24" s="728"/>
      <c r="L24" s="728">
        <v>480</v>
      </c>
      <c r="M24" s="728"/>
      <c r="N24" s="728">
        <v>0.2</v>
      </c>
      <c r="O24" s="728"/>
      <c r="P24" s="668">
        <v>17.084013202991489</v>
      </c>
      <c r="Q24" s="670">
        <f t="shared" si="3"/>
        <v>24.05</v>
      </c>
      <c r="R24" s="432">
        <v>0.9</v>
      </c>
      <c r="S24" s="432">
        <v>2</v>
      </c>
      <c r="T24" s="670">
        <v>5</v>
      </c>
      <c r="U24" s="668">
        <f t="shared" si="0"/>
        <v>5.5555555555555554</v>
      </c>
      <c r="V24" s="668">
        <f t="shared" si="7"/>
        <v>55.000000000000007</v>
      </c>
      <c r="W24" s="668">
        <v>0.2</v>
      </c>
      <c r="X24" s="432">
        <f t="shared" si="1"/>
        <v>8.3160083160083151E-2</v>
      </c>
      <c r="Y24" s="432">
        <f t="shared" si="4"/>
        <v>0.88919999999999999</v>
      </c>
      <c r="Z24" s="432">
        <f t="shared" si="4"/>
        <v>1.976</v>
      </c>
      <c r="AA24" s="670">
        <f t="shared" si="4"/>
        <v>4.9399999999999995</v>
      </c>
      <c r="AB24" s="432">
        <f t="shared" si="5"/>
        <v>5.5555555555555554</v>
      </c>
      <c r="AC24" s="670">
        <f t="shared" si="2"/>
        <v>55.000000000000007</v>
      </c>
      <c r="AD24" s="728">
        <v>31</v>
      </c>
      <c r="AE24" s="432">
        <f t="shared" si="6"/>
        <v>27.565200000000001</v>
      </c>
      <c r="AF24" s="669"/>
    </row>
    <row r="25" spans="1:32" ht="18.75" customHeight="1" x14ac:dyDescent="0.2">
      <c r="A25" s="728">
        <v>12</v>
      </c>
      <c r="B25" s="461" t="s">
        <v>151</v>
      </c>
      <c r="C25" s="728" t="s">
        <v>46</v>
      </c>
      <c r="D25" s="728">
        <v>675.4</v>
      </c>
      <c r="E25" s="723" t="s">
        <v>298</v>
      </c>
      <c r="F25" s="728">
        <v>177.8</v>
      </c>
      <c r="G25" s="728" t="s">
        <v>28</v>
      </c>
      <c r="H25" s="728" t="s">
        <v>52</v>
      </c>
      <c r="I25" s="723">
        <v>553.5</v>
      </c>
      <c r="J25" s="728">
        <v>260</v>
      </c>
      <c r="K25" s="728"/>
      <c r="L25" s="728">
        <v>346</v>
      </c>
      <c r="M25" s="728"/>
      <c r="N25" s="728">
        <v>7.4</v>
      </c>
      <c r="O25" s="728"/>
      <c r="P25" s="668">
        <v>29.843400187465299</v>
      </c>
      <c r="Q25" s="670">
        <f t="shared" si="3"/>
        <v>57.2</v>
      </c>
      <c r="R25" s="432">
        <v>13.89</v>
      </c>
      <c r="S25" s="432">
        <v>23.3</v>
      </c>
      <c r="T25" s="670">
        <v>126</v>
      </c>
      <c r="U25" s="668">
        <f t="shared" si="0"/>
        <v>9.0712742980561547</v>
      </c>
      <c r="V25" s="668">
        <f t="shared" si="7"/>
        <v>40.386266094420598</v>
      </c>
      <c r="W25" s="668">
        <v>0.3</v>
      </c>
      <c r="X25" s="432">
        <f t="shared" si="1"/>
        <v>0.40734265734265734</v>
      </c>
      <c r="Y25" s="432">
        <f t="shared" si="4"/>
        <v>13.723320000000001</v>
      </c>
      <c r="Z25" s="432">
        <f t="shared" si="4"/>
        <v>23.020400000000002</v>
      </c>
      <c r="AA25" s="670">
        <f t="shared" si="4"/>
        <v>124.488</v>
      </c>
      <c r="AB25" s="432">
        <f t="shared" si="5"/>
        <v>9.0712742980561547</v>
      </c>
      <c r="AC25" s="670">
        <f t="shared" si="2"/>
        <v>40.386266094420598</v>
      </c>
      <c r="AD25" s="728">
        <v>31</v>
      </c>
      <c r="AE25" s="432">
        <f t="shared" si="6"/>
        <v>425.42292000000003</v>
      </c>
      <c r="AF25" s="669"/>
    </row>
    <row r="26" spans="1:32" ht="18.75" customHeight="1" x14ac:dyDescent="0.2">
      <c r="A26" s="728">
        <v>13</v>
      </c>
      <c r="B26" s="461" t="s">
        <v>36</v>
      </c>
      <c r="C26" s="728" t="s">
        <v>46</v>
      </c>
      <c r="D26" s="728">
        <v>584.5</v>
      </c>
      <c r="E26" s="723" t="s">
        <v>79</v>
      </c>
      <c r="F26" s="728">
        <v>177.8</v>
      </c>
      <c r="G26" s="728" t="s">
        <v>28</v>
      </c>
      <c r="H26" s="728" t="s">
        <v>49</v>
      </c>
      <c r="I26" s="723">
        <v>525.03</v>
      </c>
      <c r="J26" s="728">
        <v>110</v>
      </c>
      <c r="K26" s="728"/>
      <c r="L26" s="728">
        <v>333</v>
      </c>
      <c r="M26" s="728"/>
      <c r="N26" s="728">
        <v>7.4</v>
      </c>
      <c r="O26" s="728"/>
      <c r="P26" s="668">
        <v>27.34190003708331</v>
      </c>
      <c r="Q26" s="670">
        <f t="shared" si="3"/>
        <v>35.200000000000003</v>
      </c>
      <c r="R26" s="432">
        <v>13.97</v>
      </c>
      <c r="S26" s="432">
        <v>29.9</v>
      </c>
      <c r="T26" s="670">
        <v>146</v>
      </c>
      <c r="U26" s="668">
        <f t="shared" si="0"/>
        <v>10.450966356478167</v>
      </c>
      <c r="V26" s="668">
        <f t="shared" si="7"/>
        <v>53.277591973244142</v>
      </c>
      <c r="W26" s="668">
        <v>0.3</v>
      </c>
      <c r="X26" s="432">
        <f t="shared" si="1"/>
        <v>0.84943181818181812</v>
      </c>
      <c r="Y26" s="432">
        <f t="shared" si="4"/>
        <v>13.80236</v>
      </c>
      <c r="Z26" s="432">
        <f t="shared" si="4"/>
        <v>29.5412</v>
      </c>
      <c r="AA26" s="670">
        <f t="shared" si="4"/>
        <v>144.24799999999999</v>
      </c>
      <c r="AB26" s="432">
        <f t="shared" si="5"/>
        <v>10.450966356478167</v>
      </c>
      <c r="AC26" s="670">
        <f t="shared" si="2"/>
        <v>53.277591973244142</v>
      </c>
      <c r="AD26" s="728">
        <v>31</v>
      </c>
      <c r="AE26" s="432">
        <f t="shared" si="6"/>
        <v>427.87315999999998</v>
      </c>
      <c r="AF26" s="669"/>
    </row>
    <row r="27" spans="1:32" ht="18.75" customHeight="1" x14ac:dyDescent="0.2">
      <c r="A27" s="728">
        <v>14</v>
      </c>
      <c r="B27" s="461" t="s">
        <v>152</v>
      </c>
      <c r="C27" s="728" t="s">
        <v>46</v>
      </c>
      <c r="D27" s="728">
        <v>565</v>
      </c>
      <c r="E27" s="723" t="s">
        <v>80</v>
      </c>
      <c r="F27" s="728">
        <v>177.8</v>
      </c>
      <c r="G27" s="728" t="s">
        <v>28</v>
      </c>
      <c r="H27" s="728" t="s">
        <v>52</v>
      </c>
      <c r="I27" s="437">
        <v>522</v>
      </c>
      <c r="J27" s="728">
        <v>360</v>
      </c>
      <c r="K27" s="728"/>
      <c r="L27" s="728">
        <v>452</v>
      </c>
      <c r="M27" s="728"/>
      <c r="N27" s="728">
        <v>9</v>
      </c>
      <c r="O27" s="728"/>
      <c r="P27" s="668">
        <v>18.904761258327529</v>
      </c>
      <c r="Q27" s="670">
        <f t="shared" si="3"/>
        <v>79.2</v>
      </c>
      <c r="R27" s="432">
        <v>17.43</v>
      </c>
      <c r="S27" s="432">
        <v>29.8</v>
      </c>
      <c r="T27" s="670">
        <v>3938</v>
      </c>
      <c r="U27" s="668">
        <f t="shared" si="0"/>
        <v>225.93230063109581</v>
      </c>
      <c r="V27" s="668">
        <f t="shared" si="7"/>
        <v>41.510067114093964</v>
      </c>
      <c r="W27" s="668">
        <v>0.1</v>
      </c>
      <c r="X27" s="432">
        <f t="shared" si="1"/>
        <v>0.37626262626262624</v>
      </c>
      <c r="Y27" s="432">
        <f t="shared" si="4"/>
        <v>17.220839999999999</v>
      </c>
      <c r="Z27" s="432">
        <f t="shared" si="4"/>
        <v>29.442399999999999</v>
      </c>
      <c r="AA27" s="670">
        <f t="shared" si="4"/>
        <v>3890.7440000000001</v>
      </c>
      <c r="AB27" s="432">
        <f t="shared" si="5"/>
        <v>225.93230063109581</v>
      </c>
      <c r="AC27" s="670">
        <f t="shared" si="2"/>
        <v>41.510067114093964</v>
      </c>
      <c r="AD27" s="728">
        <v>31</v>
      </c>
      <c r="AE27" s="432">
        <f t="shared" si="6"/>
        <v>533.84604000000002</v>
      </c>
      <c r="AF27" s="669"/>
    </row>
    <row r="28" spans="1:32" ht="18.75" customHeight="1" x14ac:dyDescent="0.2">
      <c r="A28" s="728">
        <v>15</v>
      </c>
      <c r="B28" s="461" t="s">
        <v>37</v>
      </c>
      <c r="C28" s="728" t="s">
        <v>46</v>
      </c>
      <c r="D28" s="728">
        <v>670</v>
      </c>
      <c r="E28" s="728" t="s">
        <v>81</v>
      </c>
      <c r="F28" s="728">
        <v>177.8</v>
      </c>
      <c r="G28" s="728" t="s">
        <v>28</v>
      </c>
      <c r="H28" s="728" t="s">
        <v>48</v>
      </c>
      <c r="I28" s="723">
        <v>570.95000000000005</v>
      </c>
      <c r="J28" s="728">
        <v>85</v>
      </c>
      <c r="K28" s="728"/>
      <c r="L28" s="728">
        <v>453</v>
      </c>
      <c r="M28" s="728"/>
      <c r="N28" s="728">
        <v>7.4</v>
      </c>
      <c r="O28" s="728"/>
      <c r="P28" s="668">
        <v>19.744644678336076</v>
      </c>
      <c r="Q28" s="670">
        <f t="shared" si="3"/>
        <v>11.05</v>
      </c>
      <c r="R28" s="432">
        <v>3.53</v>
      </c>
      <c r="S28" s="432">
        <v>6.1</v>
      </c>
      <c r="T28" s="670">
        <v>22</v>
      </c>
      <c r="U28" s="668">
        <f t="shared" si="0"/>
        <v>6.2322946175637401</v>
      </c>
      <c r="V28" s="668">
        <f t="shared" si="7"/>
        <v>42.131147540983605</v>
      </c>
      <c r="W28" s="668">
        <v>0.2</v>
      </c>
      <c r="X28" s="432">
        <f t="shared" si="1"/>
        <v>0.55203619909502255</v>
      </c>
      <c r="Y28" s="432">
        <f t="shared" si="4"/>
        <v>3.4876399999999999</v>
      </c>
      <c r="Z28" s="432">
        <f t="shared" si="4"/>
        <v>6.0267999999999997</v>
      </c>
      <c r="AA28" s="670">
        <f t="shared" si="4"/>
        <v>21.736000000000001</v>
      </c>
      <c r="AB28" s="432">
        <f t="shared" si="5"/>
        <v>6.2322946175637401</v>
      </c>
      <c r="AC28" s="670">
        <f t="shared" si="2"/>
        <v>42.131147540983605</v>
      </c>
      <c r="AD28" s="728">
        <v>31</v>
      </c>
      <c r="AE28" s="432">
        <f>Y28*AD28</f>
        <v>108.11684</v>
      </c>
      <c r="AF28" s="449"/>
    </row>
    <row r="29" spans="1:32" ht="18.75" customHeight="1" x14ac:dyDescent="0.2">
      <c r="A29" s="728">
        <v>16</v>
      </c>
      <c r="B29" s="461" t="s">
        <v>153</v>
      </c>
      <c r="C29" s="461" t="s">
        <v>46</v>
      </c>
      <c r="D29" s="461">
        <v>672</v>
      </c>
      <c r="E29" s="461" t="s">
        <v>82</v>
      </c>
      <c r="F29" s="461">
        <v>177.8</v>
      </c>
      <c r="G29" s="461" t="s">
        <v>28</v>
      </c>
      <c r="H29" s="461" t="s">
        <v>49</v>
      </c>
      <c r="I29" s="461">
        <v>590.9</v>
      </c>
      <c r="J29" s="461">
        <v>105</v>
      </c>
      <c r="K29" s="461"/>
      <c r="L29" s="461">
        <v>500</v>
      </c>
      <c r="M29" s="461"/>
      <c r="N29" s="461">
        <v>11</v>
      </c>
      <c r="O29" s="461"/>
      <c r="P29" s="671">
        <v>15.407613246439142</v>
      </c>
      <c r="Q29" s="670">
        <f t="shared" si="3"/>
        <v>33.6</v>
      </c>
      <c r="R29" s="672">
        <v>16.739999999999998</v>
      </c>
      <c r="S29" s="432">
        <v>21.5</v>
      </c>
      <c r="T29" s="699">
        <v>685</v>
      </c>
      <c r="U29" s="671">
        <f t="shared" si="0"/>
        <v>40.919952210274793</v>
      </c>
      <c r="V29" s="668">
        <f t="shared" si="7"/>
        <v>22.139534883720938</v>
      </c>
      <c r="W29" s="671">
        <v>0.1</v>
      </c>
      <c r="X29" s="672">
        <f t="shared" si="1"/>
        <v>0.63988095238095233</v>
      </c>
      <c r="Y29" s="432">
        <f t="shared" si="4"/>
        <v>16.539119999999997</v>
      </c>
      <c r="Z29" s="432">
        <f t="shared" si="4"/>
        <v>21.242000000000001</v>
      </c>
      <c r="AA29" s="670">
        <f t="shared" si="4"/>
        <v>676.78</v>
      </c>
      <c r="AB29" s="672">
        <f t="shared" si="5"/>
        <v>40.919952210274793</v>
      </c>
      <c r="AC29" s="699">
        <f t="shared" si="2"/>
        <v>22.139534883720938</v>
      </c>
      <c r="AD29" s="728">
        <v>31</v>
      </c>
      <c r="AE29" s="672">
        <f>Y29*AD29</f>
        <v>512.71271999999988</v>
      </c>
      <c r="AF29" s="461"/>
    </row>
    <row r="30" spans="1:32" ht="18.75" customHeight="1" x14ac:dyDescent="0.2">
      <c r="A30" s="728">
        <v>17</v>
      </c>
      <c r="B30" s="461" t="s">
        <v>154</v>
      </c>
      <c r="C30" s="728" t="s">
        <v>304</v>
      </c>
      <c r="D30" s="443">
        <v>668.36</v>
      </c>
      <c r="E30" s="436" t="s">
        <v>360</v>
      </c>
      <c r="F30" s="728">
        <v>177.8</v>
      </c>
      <c r="G30" s="728" t="s">
        <v>28</v>
      </c>
      <c r="H30" s="241" t="s">
        <v>364</v>
      </c>
      <c r="I30" s="437">
        <v>639.67999999999995</v>
      </c>
      <c r="J30" s="728">
        <v>85</v>
      </c>
      <c r="K30" s="728"/>
      <c r="L30" s="728">
        <v>574</v>
      </c>
      <c r="M30" s="728"/>
      <c r="N30" s="728">
        <v>9</v>
      </c>
      <c r="O30" s="728"/>
      <c r="P30" s="668">
        <v>18.751996251085551</v>
      </c>
      <c r="Q30" s="670">
        <f>J30*7/100</f>
        <v>5.95</v>
      </c>
      <c r="R30" s="432">
        <v>0.05</v>
      </c>
      <c r="S30" s="432">
        <v>0.3</v>
      </c>
      <c r="T30" s="670">
        <v>4</v>
      </c>
      <c r="U30" s="671">
        <f t="shared" si="0"/>
        <v>80</v>
      </c>
      <c r="V30" s="668">
        <f t="shared" si="7"/>
        <v>83.333333333333343</v>
      </c>
      <c r="W30" s="668">
        <v>0.2</v>
      </c>
      <c r="X30" s="672">
        <f t="shared" si="1"/>
        <v>5.0420168067226885E-2</v>
      </c>
      <c r="Y30" s="432">
        <f t="shared" si="4"/>
        <v>4.9399999999999999E-2</v>
      </c>
      <c r="Z30" s="432">
        <f t="shared" si="4"/>
        <v>0.2964</v>
      </c>
      <c r="AA30" s="670">
        <f t="shared" si="4"/>
        <v>3.952</v>
      </c>
      <c r="AB30" s="432">
        <v>0</v>
      </c>
      <c r="AC30" s="699">
        <f t="shared" si="2"/>
        <v>83.333333333333343</v>
      </c>
      <c r="AD30" s="728">
        <v>31</v>
      </c>
      <c r="AE30" s="672">
        <f>Y30*AD30</f>
        <v>1.5314000000000001</v>
      </c>
      <c r="AF30" s="669"/>
    </row>
    <row r="31" spans="1:32" ht="18.75" customHeight="1" x14ac:dyDescent="0.2">
      <c r="A31" s="728">
        <v>18</v>
      </c>
      <c r="B31" s="461" t="s">
        <v>38</v>
      </c>
      <c r="C31" s="728" t="s">
        <v>46</v>
      </c>
      <c r="D31" s="668">
        <v>580</v>
      </c>
      <c r="E31" s="728" t="s">
        <v>84</v>
      </c>
      <c r="F31" s="728">
        <v>177.8</v>
      </c>
      <c r="G31" s="728" t="s">
        <v>28</v>
      </c>
      <c r="H31" s="165" t="s">
        <v>379</v>
      </c>
      <c r="I31" s="723">
        <v>563.79</v>
      </c>
      <c r="J31" s="728" t="s">
        <v>375</v>
      </c>
      <c r="K31" s="728"/>
      <c r="L31" s="728">
        <v>389</v>
      </c>
      <c r="M31" s="728"/>
      <c r="N31" s="728">
        <v>0.3</v>
      </c>
      <c r="O31" s="728"/>
      <c r="P31" s="668">
        <v>47.810425661020403</v>
      </c>
      <c r="Q31" s="670">
        <f>J31*13/100</f>
        <v>13.65</v>
      </c>
      <c r="R31" s="432">
        <v>1.4</v>
      </c>
      <c r="S31" s="432">
        <v>7.9</v>
      </c>
      <c r="T31" s="670">
        <v>0</v>
      </c>
      <c r="U31" s="671">
        <f t="shared" si="0"/>
        <v>0</v>
      </c>
      <c r="V31" s="668">
        <f t="shared" si="7"/>
        <v>82.278481012658219</v>
      </c>
      <c r="W31" s="668">
        <v>0.1</v>
      </c>
      <c r="X31" s="672">
        <f t="shared" si="1"/>
        <v>0.57875457875457881</v>
      </c>
      <c r="Y31" s="432">
        <f t="shared" si="4"/>
        <v>1.3832</v>
      </c>
      <c r="Z31" s="432">
        <f t="shared" si="4"/>
        <v>7.8052000000000001</v>
      </c>
      <c r="AA31" s="670">
        <f t="shared" si="4"/>
        <v>0</v>
      </c>
      <c r="AB31" s="432">
        <f>U31</f>
        <v>0</v>
      </c>
      <c r="AC31" s="699">
        <f t="shared" si="2"/>
        <v>82.278481012658219</v>
      </c>
      <c r="AD31" s="728">
        <v>31</v>
      </c>
      <c r="AE31" s="432">
        <f t="shared" si="6"/>
        <v>42.879199999999997</v>
      </c>
      <c r="AF31" s="669"/>
    </row>
    <row r="32" spans="1:32" ht="18.75" customHeight="1" x14ac:dyDescent="0.2">
      <c r="A32" s="728">
        <v>19</v>
      </c>
      <c r="B32" s="461" t="s">
        <v>39</v>
      </c>
      <c r="C32" s="728" t="s">
        <v>46</v>
      </c>
      <c r="D32" s="728">
        <v>562.15</v>
      </c>
      <c r="E32" s="728" t="s">
        <v>357</v>
      </c>
      <c r="F32" s="728">
        <v>177.8</v>
      </c>
      <c r="G32" s="728" t="s">
        <v>28</v>
      </c>
      <c r="H32" s="165" t="s">
        <v>380</v>
      </c>
      <c r="I32" s="723">
        <v>573.45999999999992</v>
      </c>
      <c r="J32" s="728">
        <v>0</v>
      </c>
      <c r="K32" s="728">
        <v>130</v>
      </c>
      <c r="L32" s="728"/>
      <c r="M32" s="728">
        <v>0.3</v>
      </c>
      <c r="N32" s="728"/>
      <c r="O32" s="728"/>
      <c r="P32" s="668">
        <v>26.471953627959181</v>
      </c>
      <c r="Q32" s="670">
        <f>J32*23/100</f>
        <v>0</v>
      </c>
      <c r="R32" s="432">
        <v>0</v>
      </c>
      <c r="S32" s="432">
        <v>0</v>
      </c>
      <c r="T32" s="670">
        <v>0</v>
      </c>
      <c r="U32" s="671">
        <v>0</v>
      </c>
      <c r="V32" s="668">
        <v>0</v>
      </c>
      <c r="W32" s="668">
        <v>0</v>
      </c>
      <c r="X32" s="672">
        <v>0</v>
      </c>
      <c r="Y32" s="432">
        <f t="shared" si="4"/>
        <v>0</v>
      </c>
      <c r="Z32" s="432">
        <f t="shared" si="4"/>
        <v>0</v>
      </c>
      <c r="AA32" s="670">
        <f t="shared" si="4"/>
        <v>0</v>
      </c>
      <c r="AB32" s="432">
        <f t="shared" si="5"/>
        <v>0</v>
      </c>
      <c r="AC32" s="699">
        <f t="shared" si="2"/>
        <v>0</v>
      </c>
      <c r="AD32" s="728">
        <v>5</v>
      </c>
      <c r="AE32" s="432">
        <f t="shared" si="6"/>
        <v>0</v>
      </c>
      <c r="AF32" s="669" t="s">
        <v>387</v>
      </c>
    </row>
    <row r="33" spans="1:32" ht="18.75" customHeight="1" x14ac:dyDescent="0.2">
      <c r="A33" s="728">
        <v>20</v>
      </c>
      <c r="B33" s="461" t="s">
        <v>40</v>
      </c>
      <c r="C33" s="728" t="s">
        <v>46</v>
      </c>
      <c r="D33" s="728">
        <v>679.7</v>
      </c>
      <c r="E33" s="728" t="s">
        <v>86</v>
      </c>
      <c r="F33" s="728">
        <v>177.8</v>
      </c>
      <c r="G33" s="728" t="s">
        <v>28</v>
      </c>
      <c r="H33" s="165" t="s">
        <v>379</v>
      </c>
      <c r="I33" s="723">
        <v>592.84</v>
      </c>
      <c r="J33" s="728" t="s">
        <v>245</v>
      </c>
      <c r="K33" s="728"/>
      <c r="L33" s="728">
        <v>308</v>
      </c>
      <c r="M33" s="728"/>
      <c r="N33" s="728">
        <v>0.1</v>
      </c>
      <c r="O33" s="728"/>
      <c r="P33" s="668">
        <v>42.819040437755099</v>
      </c>
      <c r="Q33" s="670">
        <f>J33*7/100</f>
        <v>12.6</v>
      </c>
      <c r="R33" s="432">
        <v>0.89</v>
      </c>
      <c r="S33" s="432">
        <v>9.8000000000000007</v>
      </c>
      <c r="T33" s="670">
        <v>4</v>
      </c>
      <c r="U33" s="668">
        <f>IF(R33=0,0,T33/R33)</f>
        <v>4.4943820224719104</v>
      </c>
      <c r="V33" s="668">
        <f t="shared" si="7"/>
        <v>90.918367346938766</v>
      </c>
      <c r="W33" s="668">
        <v>0.1</v>
      </c>
      <c r="X33" s="672">
        <v>0</v>
      </c>
      <c r="Y33" s="432">
        <f t="shared" si="4"/>
        <v>0.87931999999999999</v>
      </c>
      <c r="Z33" s="432">
        <f t="shared" si="4"/>
        <v>9.6824000000000012</v>
      </c>
      <c r="AA33" s="670">
        <f t="shared" si="4"/>
        <v>3.952</v>
      </c>
      <c r="AB33" s="432">
        <f t="shared" si="5"/>
        <v>4.4943820224719104</v>
      </c>
      <c r="AC33" s="670">
        <v>82.278481012658219</v>
      </c>
      <c r="AD33" s="728">
        <v>31</v>
      </c>
      <c r="AE33" s="432">
        <f>Y33*AD33</f>
        <v>27.25892</v>
      </c>
      <c r="AF33" s="449"/>
    </row>
    <row r="34" spans="1:32" ht="18.75" customHeight="1" x14ac:dyDescent="0.2">
      <c r="A34" s="728">
        <v>21</v>
      </c>
      <c r="B34" s="461" t="s">
        <v>41</v>
      </c>
      <c r="C34" s="728" t="s">
        <v>46</v>
      </c>
      <c r="D34" s="728">
        <v>573.70000000000005</v>
      </c>
      <c r="E34" s="728" t="s">
        <v>87</v>
      </c>
      <c r="F34" s="728">
        <v>177.8</v>
      </c>
      <c r="G34" s="728" t="s">
        <v>28</v>
      </c>
      <c r="H34" s="728" t="s">
        <v>52</v>
      </c>
      <c r="I34" s="723">
        <v>554.30999999999995</v>
      </c>
      <c r="J34" s="728">
        <v>310</v>
      </c>
      <c r="K34" s="728"/>
      <c r="L34" s="728">
        <v>473</v>
      </c>
      <c r="M34" s="728"/>
      <c r="N34" s="728">
        <v>6.6</v>
      </c>
      <c r="O34" s="728"/>
      <c r="P34" s="668">
        <v>13.825344010582599</v>
      </c>
      <c r="Q34" s="670">
        <f t="shared" si="3"/>
        <v>68.2</v>
      </c>
      <c r="R34" s="432">
        <v>9.69</v>
      </c>
      <c r="S34" s="432">
        <v>11.4</v>
      </c>
      <c r="T34" s="670">
        <v>310</v>
      </c>
      <c r="U34" s="668">
        <f t="shared" si="0"/>
        <v>31.991744066047474</v>
      </c>
      <c r="V34" s="668">
        <f t="shared" si="7"/>
        <v>15.000000000000007</v>
      </c>
      <c r="W34" s="668">
        <v>0.1</v>
      </c>
      <c r="X34" s="432">
        <f t="shared" si="1"/>
        <v>0.16715542521994134</v>
      </c>
      <c r="Y34" s="432">
        <f t="shared" si="4"/>
        <v>9.5737199999999998</v>
      </c>
      <c r="Z34" s="432">
        <f t="shared" si="4"/>
        <v>11.263199999999999</v>
      </c>
      <c r="AA34" s="670">
        <f t="shared" si="4"/>
        <v>306.27999999999997</v>
      </c>
      <c r="AB34" s="432">
        <v>89.536086956521729</v>
      </c>
      <c r="AC34" s="670">
        <v>26</v>
      </c>
      <c r="AD34" s="728">
        <v>31</v>
      </c>
      <c r="AE34" s="432">
        <f t="shared" si="6"/>
        <v>296.78532000000001</v>
      </c>
      <c r="AF34" s="673"/>
    </row>
    <row r="35" spans="1:32" ht="18.75" customHeight="1" x14ac:dyDescent="0.2">
      <c r="A35" s="728">
        <v>22</v>
      </c>
      <c r="B35" s="461" t="s">
        <v>42</v>
      </c>
      <c r="C35" s="728" t="s">
        <v>46</v>
      </c>
      <c r="D35" s="728">
        <v>681.1</v>
      </c>
      <c r="E35" s="728" t="s">
        <v>88</v>
      </c>
      <c r="F35" s="728">
        <v>177.8</v>
      </c>
      <c r="G35" s="728" t="s">
        <v>28</v>
      </c>
      <c r="H35" s="728" t="s">
        <v>48</v>
      </c>
      <c r="I35" s="723">
        <v>589.66</v>
      </c>
      <c r="J35" s="728">
        <v>115</v>
      </c>
      <c r="K35" s="728"/>
      <c r="L35" s="728">
        <v>410</v>
      </c>
      <c r="M35" s="728"/>
      <c r="N35" s="728">
        <v>8.1999999999999993</v>
      </c>
      <c r="O35" s="728"/>
      <c r="P35" s="668">
        <v>18.084271391282282</v>
      </c>
      <c r="Q35" s="670">
        <f t="shared" si="3"/>
        <v>14.95</v>
      </c>
      <c r="R35" s="432">
        <v>4.09</v>
      </c>
      <c r="S35" s="432">
        <v>13.3</v>
      </c>
      <c r="T35" s="670">
        <v>8</v>
      </c>
      <c r="U35" s="668">
        <f t="shared" si="0"/>
        <v>1.9559902200488999</v>
      </c>
      <c r="V35" s="668">
        <f t="shared" si="7"/>
        <v>69.248120300751879</v>
      </c>
      <c r="W35" s="668">
        <v>0.4</v>
      </c>
      <c r="X35" s="432">
        <f t="shared" si="1"/>
        <v>0.88963210702341144</v>
      </c>
      <c r="Y35" s="432">
        <f t="shared" si="4"/>
        <v>4.0409199999999998</v>
      </c>
      <c r="Z35" s="432">
        <f t="shared" si="4"/>
        <v>13.140400000000001</v>
      </c>
      <c r="AA35" s="670">
        <f t="shared" si="4"/>
        <v>7.9039999999999999</v>
      </c>
      <c r="AB35" s="432">
        <f t="shared" si="5"/>
        <v>1.9559902200488999</v>
      </c>
      <c r="AC35" s="670">
        <f t="shared" si="2"/>
        <v>69.248120300751879</v>
      </c>
      <c r="AD35" s="728">
        <v>31</v>
      </c>
      <c r="AE35" s="432">
        <f t="shared" si="6"/>
        <v>125.26852</v>
      </c>
      <c r="AF35" s="449"/>
    </row>
    <row r="36" spans="1:32" ht="18.75" customHeight="1" x14ac:dyDescent="0.2">
      <c r="A36" s="728">
        <v>23</v>
      </c>
      <c r="B36" s="461" t="s">
        <v>43</v>
      </c>
      <c r="C36" s="728" t="s">
        <v>46</v>
      </c>
      <c r="D36" s="728">
        <v>682.7</v>
      </c>
      <c r="E36" s="728" t="s">
        <v>89</v>
      </c>
      <c r="F36" s="728">
        <v>177.8</v>
      </c>
      <c r="G36" s="728" t="s">
        <v>28</v>
      </c>
      <c r="H36" s="728" t="s">
        <v>52</v>
      </c>
      <c r="I36" s="446">
        <v>551.13</v>
      </c>
      <c r="J36" s="728">
        <v>85</v>
      </c>
      <c r="K36" s="728"/>
      <c r="L36" s="728">
        <v>442</v>
      </c>
      <c r="M36" s="728"/>
      <c r="N36" s="728">
        <v>7.9</v>
      </c>
      <c r="O36" s="728"/>
      <c r="P36" s="668">
        <v>20.663369889887111</v>
      </c>
      <c r="Q36" s="670">
        <f t="shared" si="3"/>
        <v>18.7</v>
      </c>
      <c r="R36" s="432">
        <v>1.68</v>
      </c>
      <c r="S36" s="432">
        <v>14.3</v>
      </c>
      <c r="T36" s="670">
        <v>43</v>
      </c>
      <c r="U36" s="668">
        <f t="shared" si="0"/>
        <v>25.595238095238095</v>
      </c>
      <c r="V36" s="668">
        <f t="shared" si="7"/>
        <v>88.251748251748253</v>
      </c>
      <c r="W36" s="668">
        <v>0.2</v>
      </c>
      <c r="X36" s="432">
        <f t="shared" si="1"/>
        <v>0.76470588235294124</v>
      </c>
      <c r="Y36" s="432">
        <f t="shared" si="4"/>
        <v>1.65984</v>
      </c>
      <c r="Z36" s="432">
        <f t="shared" si="4"/>
        <v>14.128400000000001</v>
      </c>
      <c r="AA36" s="670">
        <f t="shared" si="4"/>
        <v>42.484000000000002</v>
      </c>
      <c r="AB36" s="432">
        <f t="shared" si="5"/>
        <v>25.595238095238095</v>
      </c>
      <c r="AC36" s="670">
        <f t="shared" si="2"/>
        <v>88.251748251748253</v>
      </c>
      <c r="AD36" s="728">
        <v>31</v>
      </c>
      <c r="AE36" s="432">
        <f t="shared" si="6"/>
        <v>51.455039999999997</v>
      </c>
      <c r="AF36" s="669"/>
    </row>
    <row r="37" spans="1:32" ht="18.75" customHeight="1" x14ac:dyDescent="0.2">
      <c r="A37" s="728">
        <v>24</v>
      </c>
      <c r="B37" s="461" t="s">
        <v>44</v>
      </c>
      <c r="C37" s="728" t="s">
        <v>46</v>
      </c>
      <c r="D37" s="728">
        <v>614.20000000000005</v>
      </c>
      <c r="E37" s="728" t="s">
        <v>90</v>
      </c>
      <c r="F37" s="728">
        <v>177.8</v>
      </c>
      <c r="G37" s="728" t="s">
        <v>28</v>
      </c>
      <c r="H37" s="728" t="s">
        <v>52</v>
      </c>
      <c r="I37" s="446">
        <v>592.85</v>
      </c>
      <c r="J37" s="728">
        <v>300</v>
      </c>
      <c r="K37" s="728"/>
      <c r="L37" s="728">
        <v>280</v>
      </c>
      <c r="M37" s="728"/>
      <c r="N37" s="728">
        <v>8</v>
      </c>
      <c r="O37" s="728"/>
      <c r="P37" s="668">
        <v>47.326830180189532</v>
      </c>
      <c r="Q37" s="670">
        <f t="shared" si="3"/>
        <v>66</v>
      </c>
      <c r="R37" s="432">
        <v>5.57</v>
      </c>
      <c r="S37" s="432">
        <v>44.5</v>
      </c>
      <c r="T37" s="670">
        <v>174</v>
      </c>
      <c r="U37" s="668">
        <f t="shared" si="0"/>
        <v>31.238779174147215</v>
      </c>
      <c r="V37" s="668">
        <f t="shared" si="7"/>
        <v>87.483146067415731</v>
      </c>
      <c r="W37" s="668">
        <v>0.5</v>
      </c>
      <c r="X37" s="432">
        <f t="shared" si="1"/>
        <v>0.6742424242424242</v>
      </c>
      <c r="Y37" s="432">
        <f t="shared" si="4"/>
        <v>5.5031600000000003</v>
      </c>
      <c r="Z37" s="432">
        <f t="shared" si="4"/>
        <v>43.966000000000001</v>
      </c>
      <c r="AA37" s="670">
        <f t="shared" si="4"/>
        <v>171.91200000000001</v>
      </c>
      <c r="AB37" s="432">
        <f t="shared" si="5"/>
        <v>31.238779174147215</v>
      </c>
      <c r="AC37" s="670">
        <f t="shared" si="2"/>
        <v>87.483146067415731</v>
      </c>
      <c r="AD37" s="728">
        <v>31</v>
      </c>
      <c r="AE37" s="432">
        <f t="shared" si="6"/>
        <v>170.59796</v>
      </c>
      <c r="AF37" s="669"/>
    </row>
    <row r="38" spans="1:32" ht="18.75" customHeight="1" x14ac:dyDescent="0.2">
      <c r="A38" s="728">
        <v>25</v>
      </c>
      <c r="B38" s="461" t="s">
        <v>45</v>
      </c>
      <c r="C38" s="728" t="s">
        <v>46</v>
      </c>
      <c r="D38" s="728">
        <v>636.4</v>
      </c>
      <c r="E38" s="728" t="s">
        <v>91</v>
      </c>
      <c r="F38" s="728">
        <v>177.8</v>
      </c>
      <c r="G38" s="728" t="s">
        <v>28</v>
      </c>
      <c r="H38" s="728" t="s">
        <v>52</v>
      </c>
      <c r="I38" s="723">
        <v>592.95000000000005</v>
      </c>
      <c r="J38" s="728">
        <v>295</v>
      </c>
      <c r="K38" s="728"/>
      <c r="L38" s="728">
        <v>494</v>
      </c>
      <c r="M38" s="728"/>
      <c r="N38" s="728">
        <v>10.199999999999999</v>
      </c>
      <c r="O38" s="728"/>
      <c r="P38" s="668">
        <v>15.217279859826967</v>
      </c>
      <c r="Q38" s="670">
        <f>LEFT(H38,(FIND("K",H38,1)-1))*J38/100</f>
        <v>64.900000000000006</v>
      </c>
      <c r="R38" s="432">
        <v>12.88</v>
      </c>
      <c r="S38" s="432">
        <v>38.1</v>
      </c>
      <c r="T38" s="670">
        <v>483</v>
      </c>
      <c r="U38" s="668">
        <f t="shared" si="0"/>
        <v>37.5</v>
      </c>
      <c r="V38" s="668">
        <f t="shared" si="7"/>
        <v>66.194225721784775</v>
      </c>
      <c r="W38" s="668">
        <v>0.2</v>
      </c>
      <c r="X38" s="432">
        <f t="shared" si="1"/>
        <v>0.58705701078582428</v>
      </c>
      <c r="Y38" s="432">
        <f t="shared" si="4"/>
        <v>12.725440000000001</v>
      </c>
      <c r="Z38" s="432">
        <f t="shared" si="4"/>
        <v>37.642800000000001</v>
      </c>
      <c r="AA38" s="670">
        <f t="shared" si="4"/>
        <v>477.20400000000001</v>
      </c>
      <c r="AB38" s="432">
        <f t="shared" si="5"/>
        <v>37.5</v>
      </c>
      <c r="AC38" s="670">
        <f t="shared" si="2"/>
        <v>66.194225721784775</v>
      </c>
      <c r="AD38" s="728">
        <v>31</v>
      </c>
      <c r="AE38" s="432">
        <f t="shared" si="6"/>
        <v>394.48864000000003</v>
      </c>
      <c r="AF38" s="669"/>
    </row>
    <row r="39" spans="1:32" ht="18.75" customHeight="1" x14ac:dyDescent="0.2">
      <c r="A39" s="728">
        <v>26</v>
      </c>
      <c r="B39" s="461" t="s">
        <v>188</v>
      </c>
      <c r="C39" s="728" t="s">
        <v>344</v>
      </c>
      <c r="D39" s="681">
        <v>400.5</v>
      </c>
      <c r="E39" s="461" t="s">
        <v>385</v>
      </c>
      <c r="F39" s="728">
        <v>177.8</v>
      </c>
      <c r="G39" s="728" t="s">
        <v>28</v>
      </c>
      <c r="H39" s="242" t="s">
        <v>386</v>
      </c>
      <c r="I39" s="723">
        <v>142.1</v>
      </c>
      <c r="J39" s="723">
        <v>220</v>
      </c>
      <c r="K39" s="723"/>
      <c r="L39" s="723">
        <v>183</v>
      </c>
      <c r="M39" s="723"/>
      <c r="N39" s="723">
        <v>0</v>
      </c>
      <c r="O39" s="723"/>
      <c r="P39" s="448">
        <v>5.4960841267156226</v>
      </c>
      <c r="Q39" s="670">
        <v>0</v>
      </c>
      <c r="R39" s="432">
        <v>0</v>
      </c>
      <c r="S39" s="432">
        <v>0</v>
      </c>
      <c r="T39" s="670">
        <v>0</v>
      </c>
      <c r="U39" s="668">
        <v>0</v>
      </c>
      <c r="V39" s="668">
        <v>0.30891438658429465</v>
      </c>
      <c r="W39" s="668">
        <v>0.1</v>
      </c>
      <c r="X39" s="432">
        <v>0.68666666666666676</v>
      </c>
      <c r="Y39" s="432">
        <f t="shared" si="4"/>
        <v>0</v>
      </c>
      <c r="Z39" s="432">
        <f t="shared" si="4"/>
        <v>0</v>
      </c>
      <c r="AA39" s="670">
        <f t="shared" si="4"/>
        <v>0</v>
      </c>
      <c r="AB39" s="432">
        <v>0</v>
      </c>
      <c r="AC39" s="670">
        <v>0.30891438658429465</v>
      </c>
      <c r="AD39" s="728">
        <v>31</v>
      </c>
      <c r="AE39" s="432">
        <v>85.155264000000003</v>
      </c>
      <c r="AF39" s="669" t="s">
        <v>334</v>
      </c>
    </row>
    <row r="40" spans="1:32" ht="18.75" customHeight="1" x14ac:dyDescent="0.2">
      <c r="A40" s="728">
        <v>27</v>
      </c>
      <c r="B40" s="461" t="s">
        <v>206</v>
      </c>
      <c r="C40" s="728" t="s">
        <v>46</v>
      </c>
      <c r="D40" s="728">
        <v>660.2</v>
      </c>
      <c r="E40" s="728" t="s">
        <v>227</v>
      </c>
      <c r="F40" s="728">
        <v>177.8</v>
      </c>
      <c r="G40" s="728" t="s">
        <v>28</v>
      </c>
      <c r="H40" s="728" t="s">
        <v>212</v>
      </c>
      <c r="I40" s="723">
        <v>547.65</v>
      </c>
      <c r="J40" s="728">
        <v>130</v>
      </c>
      <c r="K40" s="728"/>
      <c r="L40" s="728">
        <v>472</v>
      </c>
      <c r="M40" s="728"/>
      <c r="N40" s="728">
        <v>7.2</v>
      </c>
      <c r="O40" s="728"/>
      <c r="P40" s="668">
        <v>21.341338977460712</v>
      </c>
      <c r="Q40" s="670">
        <f t="shared" ref="Q40:Q76" si="8">LEFT(H40,(FIND("K",H40,1)-1))*J40/100</f>
        <v>10.4</v>
      </c>
      <c r="R40" s="432">
        <v>5.3</v>
      </c>
      <c r="S40" s="432">
        <v>6.9</v>
      </c>
      <c r="T40" s="670">
        <v>26</v>
      </c>
      <c r="U40" s="668">
        <f t="shared" si="0"/>
        <v>4.9056603773584904</v>
      </c>
      <c r="V40" s="668">
        <f t="shared" si="7"/>
        <v>23.188405797101456</v>
      </c>
      <c r="W40" s="668">
        <v>0.3</v>
      </c>
      <c r="X40" s="432">
        <f t="shared" si="1"/>
        <v>0.66346153846153844</v>
      </c>
      <c r="Y40" s="432">
        <f t="shared" si="4"/>
        <v>5.2363999999999997</v>
      </c>
      <c r="Z40" s="432">
        <f t="shared" si="4"/>
        <v>6.8172000000000006</v>
      </c>
      <c r="AA40" s="670">
        <f t="shared" si="4"/>
        <v>25.687999999999999</v>
      </c>
      <c r="AB40" s="432">
        <f t="shared" si="5"/>
        <v>4.9056603773584904</v>
      </c>
      <c r="AC40" s="670">
        <f t="shared" si="2"/>
        <v>23.188405797101456</v>
      </c>
      <c r="AD40" s="728">
        <v>31</v>
      </c>
      <c r="AE40" s="432">
        <f t="shared" si="6"/>
        <v>162.32839999999999</v>
      </c>
      <c r="AF40" s="669"/>
    </row>
    <row r="41" spans="1:32" ht="18.75" customHeight="1" x14ac:dyDescent="0.2">
      <c r="A41" s="728">
        <v>28</v>
      </c>
      <c r="B41" s="724" t="s">
        <v>161</v>
      </c>
      <c r="C41" s="728" t="s">
        <v>46</v>
      </c>
      <c r="D41" s="723">
        <v>677</v>
      </c>
      <c r="E41" s="728" t="s">
        <v>178</v>
      </c>
      <c r="F41" s="728">
        <v>177.8</v>
      </c>
      <c r="G41" s="728" t="s">
        <v>28</v>
      </c>
      <c r="H41" s="728" t="s">
        <v>52</v>
      </c>
      <c r="I41" s="723">
        <v>535.41</v>
      </c>
      <c r="J41" s="723">
        <v>160</v>
      </c>
      <c r="K41" s="723"/>
      <c r="L41" s="723">
        <v>459</v>
      </c>
      <c r="M41" s="723"/>
      <c r="N41" s="728">
        <v>6.8</v>
      </c>
      <c r="O41" s="723"/>
      <c r="P41" s="448">
        <v>15.115308901778825</v>
      </c>
      <c r="Q41" s="670">
        <f t="shared" si="8"/>
        <v>35.200000000000003</v>
      </c>
      <c r="R41" s="432">
        <v>6.6</v>
      </c>
      <c r="S41" s="432">
        <v>10.1</v>
      </c>
      <c r="T41" s="492">
        <v>409</v>
      </c>
      <c r="U41" s="668">
        <f t="shared" si="0"/>
        <v>61.969696969696976</v>
      </c>
      <c r="V41" s="668">
        <f t="shared" si="7"/>
        <v>34.653465346534659</v>
      </c>
      <c r="W41" s="668">
        <v>0.4</v>
      </c>
      <c r="X41" s="432">
        <f t="shared" si="1"/>
        <v>0.28693181818181812</v>
      </c>
      <c r="Y41" s="432">
        <f t="shared" si="4"/>
        <v>6.5207999999999995</v>
      </c>
      <c r="Z41" s="432">
        <f t="shared" si="4"/>
        <v>9.9787999999999997</v>
      </c>
      <c r="AA41" s="670">
        <f t="shared" si="4"/>
        <v>404.09199999999998</v>
      </c>
      <c r="AB41" s="432">
        <f t="shared" si="5"/>
        <v>61.969696969696976</v>
      </c>
      <c r="AC41" s="670">
        <f t="shared" si="2"/>
        <v>34.653465346534659</v>
      </c>
      <c r="AD41" s="728">
        <v>31</v>
      </c>
      <c r="AE41" s="432">
        <f t="shared" si="6"/>
        <v>202.14479999999998</v>
      </c>
      <c r="AF41" s="449"/>
    </row>
    <row r="42" spans="1:32" ht="18.75" customHeight="1" x14ac:dyDescent="0.2">
      <c r="A42" s="728">
        <v>29</v>
      </c>
      <c r="B42" s="724" t="s">
        <v>162</v>
      </c>
      <c r="C42" s="728" t="s">
        <v>46</v>
      </c>
      <c r="D42" s="723">
        <v>676</v>
      </c>
      <c r="E42" s="728" t="s">
        <v>180</v>
      </c>
      <c r="F42" s="728">
        <v>177.8</v>
      </c>
      <c r="G42" s="728" t="s">
        <v>28</v>
      </c>
      <c r="H42" s="728" t="s">
        <v>50</v>
      </c>
      <c r="I42" s="723">
        <v>545.42999999999995</v>
      </c>
      <c r="J42" s="723">
        <v>0</v>
      </c>
      <c r="K42" s="723">
        <v>70</v>
      </c>
      <c r="L42" s="728"/>
      <c r="M42" s="723">
        <v>1.4</v>
      </c>
      <c r="N42" s="728"/>
      <c r="O42" s="723"/>
      <c r="P42" s="448">
        <v>38.823330494591829</v>
      </c>
      <c r="Q42" s="670">
        <v>0</v>
      </c>
      <c r="R42" s="432">
        <v>0</v>
      </c>
      <c r="S42" s="432">
        <v>0</v>
      </c>
      <c r="T42" s="492">
        <v>0</v>
      </c>
      <c r="U42" s="668">
        <v>0</v>
      </c>
      <c r="V42" s="668">
        <v>0</v>
      </c>
      <c r="W42" s="668">
        <v>0</v>
      </c>
      <c r="X42" s="432">
        <v>0</v>
      </c>
      <c r="Y42" s="432">
        <f t="shared" si="4"/>
        <v>0</v>
      </c>
      <c r="Z42" s="432">
        <f t="shared" si="4"/>
        <v>0</v>
      </c>
      <c r="AA42" s="670">
        <f t="shared" si="4"/>
        <v>0</v>
      </c>
      <c r="AB42" s="432">
        <f t="shared" si="5"/>
        <v>0</v>
      </c>
      <c r="AC42" s="670">
        <f t="shared" si="2"/>
        <v>0</v>
      </c>
      <c r="AD42" s="728">
        <v>0</v>
      </c>
      <c r="AE42" s="432">
        <f t="shared" si="6"/>
        <v>0</v>
      </c>
      <c r="AF42" s="449" t="s">
        <v>335</v>
      </c>
    </row>
    <row r="43" spans="1:32" ht="18.75" customHeight="1" x14ac:dyDescent="0.2">
      <c r="A43" s="728">
        <v>30</v>
      </c>
      <c r="B43" s="724" t="s">
        <v>163</v>
      </c>
      <c r="C43" s="728" t="s">
        <v>46</v>
      </c>
      <c r="D43" s="723">
        <v>677.27</v>
      </c>
      <c r="E43" s="728" t="s">
        <v>194</v>
      </c>
      <c r="F43" s="728">
        <v>177.8</v>
      </c>
      <c r="G43" s="728" t="s">
        <v>28</v>
      </c>
      <c r="H43" s="728" t="s">
        <v>187</v>
      </c>
      <c r="I43" s="723">
        <v>553.82000000000005</v>
      </c>
      <c r="J43" s="723">
        <v>180</v>
      </c>
      <c r="K43" s="723"/>
      <c r="L43" s="723">
        <v>205</v>
      </c>
      <c r="M43" s="723"/>
      <c r="N43" s="728">
        <v>0.9</v>
      </c>
      <c r="O43" s="723"/>
      <c r="P43" s="448">
        <v>38.971728540102788</v>
      </c>
      <c r="Q43" s="670">
        <f t="shared" si="8"/>
        <v>10.8</v>
      </c>
      <c r="R43" s="432">
        <v>1.6</v>
      </c>
      <c r="S43" s="432">
        <v>3.9</v>
      </c>
      <c r="T43" s="492">
        <v>2</v>
      </c>
      <c r="U43" s="668">
        <f>T43/R43</f>
        <v>1.25</v>
      </c>
      <c r="V43" s="668">
        <f t="shared" si="7"/>
        <v>58.974358974358978</v>
      </c>
      <c r="W43" s="668">
        <v>0.8</v>
      </c>
      <c r="X43" s="432">
        <f t="shared" si="1"/>
        <v>0.3611111111111111</v>
      </c>
      <c r="Y43" s="432">
        <f t="shared" si="4"/>
        <v>1.5808</v>
      </c>
      <c r="Z43" s="432">
        <f t="shared" si="4"/>
        <v>3.8531999999999997</v>
      </c>
      <c r="AA43" s="670">
        <f t="shared" si="4"/>
        <v>1.976</v>
      </c>
      <c r="AB43" s="432">
        <f t="shared" si="5"/>
        <v>1.25</v>
      </c>
      <c r="AC43" s="670">
        <f t="shared" si="2"/>
        <v>58.974358974358978</v>
      </c>
      <c r="AD43" s="728">
        <v>31</v>
      </c>
      <c r="AE43" s="432">
        <f t="shared" si="6"/>
        <v>49.004800000000003</v>
      </c>
      <c r="AF43" s="449"/>
    </row>
    <row r="44" spans="1:32" ht="18.75" customHeight="1" x14ac:dyDescent="0.2">
      <c r="A44" s="728">
        <v>31</v>
      </c>
      <c r="B44" s="461" t="s">
        <v>59</v>
      </c>
      <c r="C44" s="728" t="s">
        <v>46</v>
      </c>
      <c r="D44" s="728">
        <v>643</v>
      </c>
      <c r="E44" s="728" t="s">
        <v>94</v>
      </c>
      <c r="F44" s="728">
        <v>177.8</v>
      </c>
      <c r="G44" s="728" t="s">
        <v>28</v>
      </c>
      <c r="H44" s="728" t="s">
        <v>48</v>
      </c>
      <c r="I44" s="723">
        <v>540.79999999999995</v>
      </c>
      <c r="J44" s="728">
        <v>105</v>
      </c>
      <c r="K44" s="728"/>
      <c r="L44" s="728">
        <v>432</v>
      </c>
      <c r="M44" s="728"/>
      <c r="N44" s="728">
        <v>2.9</v>
      </c>
      <c r="O44" s="728"/>
      <c r="P44" s="668">
        <v>14.936352531208927</v>
      </c>
      <c r="Q44" s="670">
        <f t="shared" si="8"/>
        <v>13.65</v>
      </c>
      <c r="R44" s="432">
        <v>3.05</v>
      </c>
      <c r="S44" s="432">
        <v>4.5999999999999996</v>
      </c>
      <c r="T44" s="670">
        <v>9</v>
      </c>
      <c r="U44" s="668">
        <f t="shared" si="0"/>
        <v>2.9508196721311477</v>
      </c>
      <c r="V44" s="668">
        <f t="shared" si="7"/>
        <v>33.695652173913047</v>
      </c>
      <c r="W44" s="668">
        <v>0.2</v>
      </c>
      <c r="X44" s="432">
        <f t="shared" si="1"/>
        <v>0.33699633699633696</v>
      </c>
      <c r="Y44" s="432">
        <f t="shared" si="4"/>
        <v>3.0133999999999999</v>
      </c>
      <c r="Z44" s="432">
        <f t="shared" si="4"/>
        <v>4.5447999999999995</v>
      </c>
      <c r="AA44" s="670">
        <f t="shared" si="4"/>
        <v>8.8919999999999995</v>
      </c>
      <c r="AB44" s="432">
        <f>U44</f>
        <v>2.9508196721311477</v>
      </c>
      <c r="AC44" s="670">
        <f t="shared" si="2"/>
        <v>33.695652173913047</v>
      </c>
      <c r="AD44" s="728">
        <v>31</v>
      </c>
      <c r="AE44" s="432">
        <f t="shared" si="6"/>
        <v>93.415399999999991</v>
      </c>
      <c r="AF44" s="449"/>
    </row>
    <row r="45" spans="1:32" ht="18.75" customHeight="1" x14ac:dyDescent="0.2">
      <c r="A45" s="728">
        <v>32</v>
      </c>
      <c r="B45" s="461" t="s">
        <v>207</v>
      </c>
      <c r="C45" s="728" t="s">
        <v>46</v>
      </c>
      <c r="D45" s="728">
        <v>673</v>
      </c>
      <c r="E45" s="728" t="s">
        <v>230</v>
      </c>
      <c r="F45" s="728">
        <v>177.8</v>
      </c>
      <c r="G45" s="728" t="s">
        <v>28</v>
      </c>
      <c r="H45" s="728" t="s">
        <v>50</v>
      </c>
      <c r="I45" s="723">
        <v>564.41999999999996</v>
      </c>
      <c r="J45" s="728">
        <v>195</v>
      </c>
      <c r="K45" s="728"/>
      <c r="L45" s="728">
        <v>365</v>
      </c>
      <c r="M45" s="728"/>
      <c r="N45" s="668">
        <v>4.5999999999999996</v>
      </c>
      <c r="O45" s="728"/>
      <c r="P45" s="668">
        <v>23.899565700552216</v>
      </c>
      <c r="Q45" s="670">
        <f t="shared" si="8"/>
        <v>11.7</v>
      </c>
      <c r="R45" s="432">
        <v>5.24</v>
      </c>
      <c r="S45" s="432">
        <v>10.4</v>
      </c>
      <c r="T45" s="670">
        <v>3</v>
      </c>
      <c r="U45" s="668">
        <f t="shared" si="0"/>
        <v>0.5725190839694656</v>
      </c>
      <c r="V45" s="668">
        <f t="shared" si="7"/>
        <v>49.615384615384613</v>
      </c>
      <c r="W45" s="668">
        <v>0.3</v>
      </c>
      <c r="X45" s="432">
        <f t="shared" si="1"/>
        <v>0.88888888888888895</v>
      </c>
      <c r="Y45" s="432">
        <f t="shared" si="4"/>
        <v>5.1771200000000004</v>
      </c>
      <c r="Z45" s="432">
        <f t="shared" si="4"/>
        <v>10.2752</v>
      </c>
      <c r="AA45" s="670">
        <f t="shared" si="4"/>
        <v>2.964</v>
      </c>
      <c r="AB45" s="432">
        <f>U45</f>
        <v>0.5725190839694656</v>
      </c>
      <c r="AC45" s="670">
        <f t="shared" si="2"/>
        <v>49.615384615384613</v>
      </c>
      <c r="AD45" s="728">
        <v>31</v>
      </c>
      <c r="AE45" s="432">
        <f t="shared" si="6"/>
        <v>160.49072000000001</v>
      </c>
      <c r="AF45" s="449"/>
    </row>
    <row r="46" spans="1:32" ht="18.75" customHeight="1" x14ac:dyDescent="0.2">
      <c r="A46" s="728">
        <v>33</v>
      </c>
      <c r="B46" s="461" t="s">
        <v>196</v>
      </c>
      <c r="C46" s="728" t="s">
        <v>304</v>
      </c>
      <c r="D46" s="728">
        <v>641</v>
      </c>
      <c r="E46" s="728" t="s">
        <v>296</v>
      </c>
      <c r="F46" s="728">
        <v>177.8</v>
      </c>
      <c r="G46" s="728" t="s">
        <v>28</v>
      </c>
      <c r="H46" s="728" t="s">
        <v>218</v>
      </c>
      <c r="I46" s="723">
        <v>618.66999999999996</v>
      </c>
      <c r="J46" s="728">
        <v>0</v>
      </c>
      <c r="K46" s="728">
        <v>496</v>
      </c>
      <c r="M46" s="668">
        <v>0.3</v>
      </c>
      <c r="O46" s="728"/>
      <c r="P46" s="668">
        <v>0</v>
      </c>
      <c r="Q46" s="670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728">
        <v>31</v>
      </c>
      <c r="AE46" s="432">
        <f t="shared" si="6"/>
        <v>0</v>
      </c>
      <c r="AF46" s="449" t="s">
        <v>283</v>
      </c>
    </row>
    <row r="47" spans="1:32" ht="18.75" customHeight="1" x14ac:dyDescent="0.2">
      <c r="A47" s="728">
        <v>34</v>
      </c>
      <c r="B47" s="461" t="s">
        <v>60</v>
      </c>
      <c r="C47" s="728" t="s">
        <v>46</v>
      </c>
      <c r="D47" s="728">
        <v>638.9</v>
      </c>
      <c r="E47" s="728" t="s">
        <v>95</v>
      </c>
      <c r="F47" s="728">
        <v>177.8</v>
      </c>
      <c r="G47" s="728" t="s">
        <v>28</v>
      </c>
      <c r="H47" s="728" t="s">
        <v>48</v>
      </c>
      <c r="I47" s="723">
        <v>546.64</v>
      </c>
      <c r="J47" s="728">
        <v>100</v>
      </c>
      <c r="K47" s="728"/>
      <c r="L47" s="728">
        <v>462</v>
      </c>
      <c r="M47" s="728"/>
      <c r="N47" s="728">
        <v>6.8</v>
      </c>
      <c r="O47" s="728"/>
      <c r="P47" s="668">
        <v>15.728422423452571</v>
      </c>
      <c r="Q47" s="670">
        <f t="shared" si="8"/>
        <v>13</v>
      </c>
      <c r="R47" s="432">
        <v>4.91</v>
      </c>
      <c r="S47" s="432">
        <v>9.1999999999999993</v>
      </c>
      <c r="T47" s="670">
        <v>83</v>
      </c>
      <c r="U47" s="668">
        <f t="shared" si="0"/>
        <v>16.90427698574338</v>
      </c>
      <c r="V47" s="668">
        <f t="shared" si="7"/>
        <v>46.630434782608688</v>
      </c>
      <c r="W47" s="668">
        <v>0.2</v>
      </c>
      <c r="X47" s="432">
        <f t="shared" si="1"/>
        <v>0.70769230769230762</v>
      </c>
      <c r="Y47" s="432">
        <f t="shared" si="4"/>
        <v>4.8510800000000005</v>
      </c>
      <c r="Z47" s="432">
        <f t="shared" si="4"/>
        <v>9.089599999999999</v>
      </c>
      <c r="AA47" s="670">
        <f t="shared" si="4"/>
        <v>82.004000000000005</v>
      </c>
      <c r="AB47" s="432">
        <f t="shared" si="5"/>
        <v>16.90427698574338</v>
      </c>
      <c r="AC47" s="670">
        <f t="shared" si="2"/>
        <v>46.630434782608688</v>
      </c>
      <c r="AD47" s="728">
        <v>31</v>
      </c>
      <c r="AE47" s="432">
        <f t="shared" si="6"/>
        <v>150.38348000000002</v>
      </c>
      <c r="AF47" s="449"/>
    </row>
    <row r="48" spans="1:32" ht="18.75" customHeight="1" x14ac:dyDescent="0.2">
      <c r="A48" s="728">
        <v>35</v>
      </c>
      <c r="B48" s="461" t="s">
        <v>119</v>
      </c>
      <c r="C48" s="728" t="s">
        <v>46</v>
      </c>
      <c r="D48" s="728">
        <v>654.07000000000005</v>
      </c>
      <c r="E48" s="728" t="s">
        <v>126</v>
      </c>
      <c r="F48" s="728">
        <v>177.8</v>
      </c>
      <c r="G48" s="728" t="s">
        <v>28</v>
      </c>
      <c r="H48" s="728" t="s">
        <v>48</v>
      </c>
      <c r="I48" s="723">
        <v>526.6</v>
      </c>
      <c r="J48" s="728" t="s">
        <v>240</v>
      </c>
      <c r="K48" s="728">
        <v>508</v>
      </c>
      <c r="L48" s="728">
        <v>0</v>
      </c>
      <c r="M48" s="728">
        <v>23.5</v>
      </c>
      <c r="N48" s="728"/>
      <c r="O48" s="728"/>
      <c r="P48" s="668">
        <v>26.320130659620407</v>
      </c>
      <c r="Q48" s="670">
        <f t="shared" si="8"/>
        <v>0</v>
      </c>
      <c r="R48" s="432">
        <v>0</v>
      </c>
      <c r="S48" s="432">
        <v>0</v>
      </c>
      <c r="T48" s="670">
        <v>0</v>
      </c>
      <c r="U48" s="668">
        <v>0</v>
      </c>
      <c r="V48" s="668">
        <v>0</v>
      </c>
      <c r="W48" s="668">
        <v>0</v>
      </c>
      <c r="X48" s="432">
        <v>0</v>
      </c>
      <c r="Y48" s="432">
        <f t="shared" si="4"/>
        <v>0</v>
      </c>
      <c r="Z48" s="432">
        <f t="shared" si="4"/>
        <v>0</v>
      </c>
      <c r="AA48" s="670">
        <f t="shared" si="4"/>
        <v>0</v>
      </c>
      <c r="AB48" s="432">
        <f t="shared" si="5"/>
        <v>0</v>
      </c>
      <c r="AC48" s="670">
        <f t="shared" si="2"/>
        <v>0</v>
      </c>
      <c r="AD48" s="728">
        <v>0</v>
      </c>
      <c r="AE48" s="432">
        <f t="shared" si="6"/>
        <v>0</v>
      </c>
      <c r="AF48" s="449" t="s">
        <v>335</v>
      </c>
    </row>
    <row r="49" spans="1:32" ht="18.75" customHeight="1" x14ac:dyDescent="0.2">
      <c r="A49" s="728">
        <v>36</v>
      </c>
      <c r="B49" s="461" t="s">
        <v>118</v>
      </c>
      <c r="C49" s="728" t="s">
        <v>46</v>
      </c>
      <c r="D49" s="728">
        <v>728.77</v>
      </c>
      <c r="E49" s="728" t="s">
        <v>133</v>
      </c>
      <c r="F49" s="728">
        <v>177.8</v>
      </c>
      <c r="G49" s="728" t="s">
        <v>28</v>
      </c>
      <c r="H49" s="728" t="s">
        <v>48</v>
      </c>
      <c r="I49" s="723">
        <v>557.04999999999995</v>
      </c>
      <c r="J49" s="728">
        <v>100</v>
      </c>
      <c r="K49" s="728"/>
      <c r="L49" s="728">
        <v>434</v>
      </c>
      <c r="M49" s="728"/>
      <c r="N49" s="728">
        <v>7.4</v>
      </c>
      <c r="O49" s="728"/>
      <c r="P49" s="668">
        <v>21.721397558200898</v>
      </c>
      <c r="Q49" s="670">
        <f t="shared" si="8"/>
        <v>13</v>
      </c>
      <c r="R49" s="432">
        <v>1.31</v>
      </c>
      <c r="S49" s="432">
        <v>8.6999999999999993</v>
      </c>
      <c r="T49" s="670">
        <v>36</v>
      </c>
      <c r="U49" s="668">
        <f>T49/R49</f>
        <v>27.480916030534349</v>
      </c>
      <c r="V49" s="668">
        <f t="shared" si="7"/>
        <v>84.942528735632166</v>
      </c>
      <c r="W49" s="668">
        <v>0.3</v>
      </c>
      <c r="X49" s="432">
        <f t="shared" ref="X49:X56" si="9">S49/Q49</f>
        <v>0.66923076923076918</v>
      </c>
      <c r="Y49" s="432">
        <f t="shared" si="4"/>
        <v>1.2942800000000001</v>
      </c>
      <c r="Z49" s="432">
        <f t="shared" si="4"/>
        <v>8.5955999999999992</v>
      </c>
      <c r="AA49" s="670">
        <f t="shared" si="4"/>
        <v>35.567999999999998</v>
      </c>
      <c r="AB49" s="432">
        <f t="shared" si="5"/>
        <v>27.480916030534349</v>
      </c>
      <c r="AC49" s="670">
        <f t="shared" si="2"/>
        <v>84.942528735632166</v>
      </c>
      <c r="AD49" s="728">
        <v>31</v>
      </c>
      <c r="AE49" s="432">
        <f t="shared" si="6"/>
        <v>40.122680000000003</v>
      </c>
      <c r="AF49" s="449"/>
    </row>
    <row r="50" spans="1:32" ht="18.75" customHeight="1" x14ac:dyDescent="0.2">
      <c r="A50" s="728">
        <v>37</v>
      </c>
      <c r="B50" s="461" t="s">
        <v>117</v>
      </c>
      <c r="C50" s="728" t="s">
        <v>46</v>
      </c>
      <c r="D50" s="728">
        <v>671.45</v>
      </c>
      <c r="E50" s="728" t="s">
        <v>128</v>
      </c>
      <c r="F50" s="728">
        <v>177.8</v>
      </c>
      <c r="G50" s="728" t="s">
        <v>28</v>
      </c>
      <c r="H50" s="728" t="s">
        <v>187</v>
      </c>
      <c r="I50" s="723">
        <v>559.39</v>
      </c>
      <c r="J50" s="728">
        <v>265</v>
      </c>
      <c r="K50" s="728"/>
      <c r="L50" s="728">
        <v>221</v>
      </c>
      <c r="M50" s="728"/>
      <c r="N50" s="728">
        <v>2.9</v>
      </c>
      <c r="O50" s="728"/>
      <c r="P50" s="668">
        <v>31.692001233066559</v>
      </c>
      <c r="Q50" s="670">
        <f t="shared" si="8"/>
        <v>15.9</v>
      </c>
      <c r="R50" s="432">
        <v>1.23</v>
      </c>
      <c r="S50" s="432">
        <v>6.6</v>
      </c>
      <c r="T50" s="670">
        <v>2</v>
      </c>
      <c r="U50" s="668">
        <f t="shared" ref="U50:U56" si="10">T50/R50</f>
        <v>1.6260162601626016</v>
      </c>
      <c r="V50" s="668">
        <f t="shared" si="7"/>
        <v>81.36363636363636</v>
      </c>
      <c r="W50" s="668">
        <v>0.2</v>
      </c>
      <c r="X50" s="432">
        <f t="shared" si="9"/>
        <v>0.41509433962264147</v>
      </c>
      <c r="Y50" s="432">
        <f t="shared" si="4"/>
        <v>1.2152399999999999</v>
      </c>
      <c r="Z50" s="432">
        <f t="shared" si="4"/>
        <v>6.5207999999999995</v>
      </c>
      <c r="AA50" s="670">
        <f t="shared" si="4"/>
        <v>1.976</v>
      </c>
      <c r="AB50" s="432">
        <f t="shared" si="5"/>
        <v>1.6260162601626016</v>
      </c>
      <c r="AC50" s="670">
        <f t="shared" si="2"/>
        <v>81.36363636363636</v>
      </c>
      <c r="AD50" s="728">
        <v>31</v>
      </c>
      <c r="AE50" s="432">
        <f t="shared" si="6"/>
        <v>37.672439999999995</v>
      </c>
      <c r="AF50" s="669"/>
    </row>
    <row r="51" spans="1:32" ht="18.75" customHeight="1" x14ac:dyDescent="0.2">
      <c r="A51" s="728">
        <v>38</v>
      </c>
      <c r="B51" s="461" t="s">
        <v>130</v>
      </c>
      <c r="C51" s="728" t="s">
        <v>46</v>
      </c>
      <c r="D51" s="728">
        <v>622.6</v>
      </c>
      <c r="E51" s="728" t="s">
        <v>134</v>
      </c>
      <c r="F51" s="728">
        <v>177.8</v>
      </c>
      <c r="G51" s="728" t="s">
        <v>28</v>
      </c>
      <c r="H51" s="728" t="s">
        <v>48</v>
      </c>
      <c r="I51" s="723">
        <v>551.79999999999995</v>
      </c>
      <c r="J51" s="728">
        <v>85</v>
      </c>
      <c r="K51" s="728"/>
      <c r="L51" s="728">
        <v>84</v>
      </c>
      <c r="M51" s="728"/>
      <c r="N51" s="728">
        <v>4.8</v>
      </c>
      <c r="O51" s="728"/>
      <c r="P51" s="668">
        <v>53.174295508268564</v>
      </c>
      <c r="Q51" s="670">
        <f t="shared" si="8"/>
        <v>11.05</v>
      </c>
      <c r="R51" s="432">
        <v>0.45</v>
      </c>
      <c r="S51" s="432">
        <v>8.5</v>
      </c>
      <c r="T51" s="670">
        <v>0</v>
      </c>
      <c r="U51" s="668">
        <v>0</v>
      </c>
      <c r="V51" s="668">
        <f t="shared" si="7"/>
        <v>94.705882352941188</v>
      </c>
      <c r="W51" s="668">
        <v>0</v>
      </c>
      <c r="X51" s="432">
        <f t="shared" si="9"/>
        <v>0.76923076923076916</v>
      </c>
      <c r="Y51" s="432">
        <f t="shared" si="4"/>
        <v>0.4446</v>
      </c>
      <c r="Z51" s="432">
        <f t="shared" si="4"/>
        <v>8.3979999999999997</v>
      </c>
      <c r="AA51" s="670">
        <f t="shared" si="4"/>
        <v>0</v>
      </c>
      <c r="AB51" s="432">
        <f t="shared" si="5"/>
        <v>0</v>
      </c>
      <c r="AC51" s="670">
        <f t="shared" si="2"/>
        <v>94.705882352941188</v>
      </c>
      <c r="AD51" s="728">
        <v>31</v>
      </c>
      <c r="AE51" s="432">
        <f t="shared" si="6"/>
        <v>13.7826</v>
      </c>
      <c r="AF51" s="669"/>
    </row>
    <row r="52" spans="1:32" ht="18.75" customHeight="1" x14ac:dyDescent="0.2">
      <c r="A52" s="728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728">
        <v>177.8</v>
      </c>
      <c r="G52" s="452" t="s">
        <v>28</v>
      </c>
      <c r="H52" s="655" t="s">
        <v>363</v>
      </c>
      <c r="I52" s="453">
        <v>565.65</v>
      </c>
      <c r="J52" s="452">
        <v>85</v>
      </c>
      <c r="K52" s="452"/>
      <c r="L52" s="452">
        <v>440</v>
      </c>
      <c r="M52" s="452"/>
      <c r="N52" s="728">
        <v>1.5</v>
      </c>
      <c r="O52" s="452"/>
      <c r="P52" s="675">
        <v>29.596326668947601</v>
      </c>
      <c r="Q52" s="670">
        <f>J52*7/100</f>
        <v>5.95</v>
      </c>
      <c r="R52" s="456">
        <v>2.25</v>
      </c>
      <c r="S52" s="432">
        <v>3.1</v>
      </c>
      <c r="T52" s="700">
        <v>2</v>
      </c>
      <c r="U52" s="668">
        <v>2</v>
      </c>
      <c r="V52" s="668">
        <f t="shared" si="7"/>
        <v>27.41935483870968</v>
      </c>
      <c r="W52" s="675">
        <v>0.5</v>
      </c>
      <c r="X52" s="432">
        <f t="shared" si="9"/>
        <v>0.52100840336134457</v>
      </c>
      <c r="Y52" s="432">
        <f t="shared" si="4"/>
        <v>2.2229999999999999</v>
      </c>
      <c r="Z52" s="432">
        <f t="shared" si="4"/>
        <v>3.0628000000000002</v>
      </c>
      <c r="AA52" s="670">
        <f t="shared" si="4"/>
        <v>1.976</v>
      </c>
      <c r="AB52" s="456">
        <f t="shared" si="5"/>
        <v>2</v>
      </c>
      <c r="AC52" s="670">
        <f t="shared" si="2"/>
        <v>27.41935483870968</v>
      </c>
      <c r="AD52" s="728">
        <v>31</v>
      </c>
      <c r="AE52" s="456">
        <f t="shared" si="6"/>
        <v>68.912999999999997</v>
      </c>
      <c r="AF52" s="449"/>
    </row>
    <row r="53" spans="1:32" ht="18.75" customHeight="1" x14ac:dyDescent="0.2">
      <c r="A53" s="728">
        <v>40</v>
      </c>
      <c r="B53" s="461" t="s">
        <v>116</v>
      </c>
      <c r="C53" s="728" t="s">
        <v>46</v>
      </c>
      <c r="D53" s="728">
        <v>681.27</v>
      </c>
      <c r="E53" s="728" t="s">
        <v>124</v>
      </c>
      <c r="F53" s="728">
        <v>177.8</v>
      </c>
      <c r="G53" s="728" t="s">
        <v>28</v>
      </c>
      <c r="H53" s="728" t="s">
        <v>53</v>
      </c>
      <c r="I53" s="723">
        <v>558.35</v>
      </c>
      <c r="J53" s="728">
        <v>240</v>
      </c>
      <c r="K53" s="728"/>
      <c r="L53" s="728">
        <v>304</v>
      </c>
      <c r="M53" s="728"/>
      <c r="N53" s="728">
        <v>7.2</v>
      </c>
      <c r="O53" s="728"/>
      <c r="P53" s="668">
        <v>27.56036820507514</v>
      </c>
      <c r="Q53" s="700">
        <f t="shared" si="8"/>
        <v>31.2</v>
      </c>
      <c r="R53" s="432">
        <v>1.59</v>
      </c>
      <c r="S53" s="432">
        <v>6.7</v>
      </c>
      <c r="T53" s="670">
        <v>7</v>
      </c>
      <c r="U53" s="668">
        <f t="shared" si="10"/>
        <v>4.4025157232704402</v>
      </c>
      <c r="V53" s="668">
        <f t="shared" si="7"/>
        <v>76.268656716417922</v>
      </c>
      <c r="W53" s="668">
        <v>0.4</v>
      </c>
      <c r="X53" s="432">
        <f t="shared" si="9"/>
        <v>0.21474358974358976</v>
      </c>
      <c r="Y53" s="432">
        <f t="shared" si="4"/>
        <v>1.5709200000000001</v>
      </c>
      <c r="Z53" s="432">
        <f t="shared" si="4"/>
        <v>6.6196000000000002</v>
      </c>
      <c r="AA53" s="670">
        <f t="shared" si="4"/>
        <v>6.9160000000000004</v>
      </c>
      <c r="AB53" s="432">
        <f t="shared" si="5"/>
        <v>4.4025157232704402</v>
      </c>
      <c r="AC53" s="670">
        <f t="shared" si="2"/>
        <v>76.268656716417922</v>
      </c>
      <c r="AD53" s="728">
        <v>31</v>
      </c>
      <c r="AE53" s="432">
        <f t="shared" si="6"/>
        <v>48.698520000000002</v>
      </c>
      <c r="AF53" s="449"/>
    </row>
    <row r="54" spans="1:32" ht="18.75" customHeight="1" x14ac:dyDescent="0.2">
      <c r="A54" s="728">
        <v>41</v>
      </c>
      <c r="B54" s="461" t="s">
        <v>120</v>
      </c>
      <c r="C54" s="728" t="s">
        <v>46</v>
      </c>
      <c r="D54" s="728">
        <v>668.57</v>
      </c>
      <c r="E54" s="728" t="s">
        <v>285</v>
      </c>
      <c r="F54" s="728">
        <v>177.8</v>
      </c>
      <c r="G54" s="728" t="s">
        <v>28</v>
      </c>
      <c r="H54" s="728" t="s">
        <v>48</v>
      </c>
      <c r="I54" s="723">
        <v>567.08000000000004</v>
      </c>
      <c r="J54" s="728" t="s">
        <v>320</v>
      </c>
      <c r="K54" s="728"/>
      <c r="L54" s="728">
        <v>407</v>
      </c>
      <c r="M54" s="728"/>
      <c r="N54" s="728">
        <v>0.1</v>
      </c>
      <c r="O54" s="728"/>
      <c r="P54" s="668">
        <v>16.292695681015282</v>
      </c>
      <c r="Q54" s="670">
        <f t="shared" si="8"/>
        <v>28.6</v>
      </c>
      <c r="R54" s="432">
        <v>3.3</v>
      </c>
      <c r="S54" s="432">
        <v>4.0999999999999996</v>
      </c>
      <c r="T54" s="670">
        <v>7</v>
      </c>
      <c r="U54" s="668">
        <f t="shared" si="10"/>
        <v>2.1212121212121211</v>
      </c>
      <c r="V54" s="668">
        <f t="shared" si="7"/>
        <v>19.512195121951219</v>
      </c>
      <c r="W54" s="668">
        <v>0.2</v>
      </c>
      <c r="X54" s="432">
        <f t="shared" si="9"/>
        <v>0.14335664335664333</v>
      </c>
      <c r="Y54" s="432">
        <f t="shared" si="4"/>
        <v>3.2603999999999997</v>
      </c>
      <c r="Z54" s="432">
        <f t="shared" si="4"/>
        <v>4.0507999999999997</v>
      </c>
      <c r="AA54" s="670">
        <f t="shared" si="4"/>
        <v>6.9160000000000004</v>
      </c>
      <c r="AB54" s="432">
        <f t="shared" si="5"/>
        <v>2.1212121212121211</v>
      </c>
      <c r="AC54" s="670">
        <f t="shared" si="2"/>
        <v>19.512195121951219</v>
      </c>
      <c r="AD54" s="728">
        <v>31</v>
      </c>
      <c r="AE54" s="432">
        <f t="shared" si="6"/>
        <v>101.07239999999999</v>
      </c>
      <c r="AF54" s="669"/>
    </row>
    <row r="55" spans="1:32" ht="18.75" customHeight="1" x14ac:dyDescent="0.2">
      <c r="A55" s="728">
        <v>42</v>
      </c>
      <c r="B55" s="461" t="s">
        <v>114</v>
      </c>
      <c r="C55" s="728" t="s">
        <v>46</v>
      </c>
      <c r="D55" s="728">
        <v>584.25</v>
      </c>
      <c r="E55" s="728" t="s">
        <v>123</v>
      </c>
      <c r="F55" s="728">
        <v>177.8</v>
      </c>
      <c r="G55" s="728" t="s">
        <v>28</v>
      </c>
      <c r="H55" s="728" t="s">
        <v>125</v>
      </c>
      <c r="I55" s="723">
        <v>565.08000000000004</v>
      </c>
      <c r="J55" s="728">
        <v>145</v>
      </c>
      <c r="K55" s="728"/>
      <c r="L55" s="728">
        <v>56</v>
      </c>
      <c r="M55" s="728"/>
      <c r="N55" s="728">
        <v>0</v>
      </c>
      <c r="O55" s="728"/>
      <c r="P55" s="668">
        <v>55.746254444728223</v>
      </c>
      <c r="Q55" s="670">
        <f t="shared" si="8"/>
        <v>4.3499999999999996</v>
      </c>
      <c r="R55" s="432">
        <v>0.84</v>
      </c>
      <c r="S55" s="432">
        <v>2.1</v>
      </c>
      <c r="T55" s="670">
        <v>4</v>
      </c>
      <c r="U55" s="668">
        <f t="shared" si="10"/>
        <v>4.7619047619047619</v>
      </c>
      <c r="V55" s="668">
        <f t="shared" si="7"/>
        <v>60.000000000000007</v>
      </c>
      <c r="W55" s="668">
        <v>0.2</v>
      </c>
      <c r="X55" s="432">
        <f t="shared" si="9"/>
        <v>0.48275862068965525</v>
      </c>
      <c r="Y55" s="432">
        <f t="shared" si="4"/>
        <v>0.82991999999999999</v>
      </c>
      <c r="Z55" s="432">
        <f t="shared" si="4"/>
        <v>2.0748000000000002</v>
      </c>
      <c r="AA55" s="670">
        <f t="shared" si="4"/>
        <v>3.952</v>
      </c>
      <c r="AB55" s="432">
        <f t="shared" si="5"/>
        <v>4.7619047619047619</v>
      </c>
      <c r="AC55" s="670">
        <f t="shared" si="2"/>
        <v>60.000000000000007</v>
      </c>
      <c r="AD55" s="728">
        <v>31</v>
      </c>
      <c r="AE55" s="432">
        <f t="shared" si="6"/>
        <v>25.727519999999998</v>
      </c>
      <c r="AF55" s="457"/>
    </row>
    <row r="56" spans="1:32" ht="18.75" customHeight="1" x14ac:dyDescent="0.2">
      <c r="A56" s="728">
        <v>43</v>
      </c>
      <c r="B56" s="461" t="s">
        <v>106</v>
      </c>
      <c r="C56" s="728" t="s">
        <v>46</v>
      </c>
      <c r="D56" s="728">
        <v>642.52</v>
      </c>
      <c r="E56" s="728" t="s">
        <v>111</v>
      </c>
      <c r="F56" s="728">
        <v>177.8</v>
      </c>
      <c r="G56" s="728" t="s">
        <v>28</v>
      </c>
      <c r="H56" s="728" t="s">
        <v>52</v>
      </c>
      <c r="I56" s="723">
        <v>556.65</v>
      </c>
      <c r="J56" s="728">
        <v>230</v>
      </c>
      <c r="K56" s="728"/>
      <c r="L56" s="728">
        <v>180</v>
      </c>
      <c r="M56" s="728"/>
      <c r="N56" s="728">
        <v>7.3</v>
      </c>
      <c r="O56" s="728"/>
      <c r="P56" s="668">
        <v>43.137089742987101</v>
      </c>
      <c r="Q56" s="670">
        <f t="shared" si="8"/>
        <v>50.6</v>
      </c>
      <c r="R56" s="432">
        <v>0.37</v>
      </c>
      <c r="S56" s="432">
        <v>7.2</v>
      </c>
      <c r="T56" s="670">
        <v>9.8000000000000007</v>
      </c>
      <c r="U56" s="668">
        <f t="shared" si="10"/>
        <v>26.486486486486488</v>
      </c>
      <c r="V56" s="668">
        <f t="shared" si="7"/>
        <v>94.861111111111114</v>
      </c>
      <c r="W56" s="668">
        <v>0.01</v>
      </c>
      <c r="X56" s="432">
        <f t="shared" si="9"/>
        <v>0.14229249011857709</v>
      </c>
      <c r="Y56" s="432">
        <f t="shared" si="4"/>
        <v>0.36556</v>
      </c>
      <c r="Z56" s="432">
        <f t="shared" si="4"/>
        <v>7.1135999999999999</v>
      </c>
      <c r="AA56" s="670">
        <f t="shared" si="4"/>
        <v>9.6824000000000012</v>
      </c>
      <c r="AB56" s="432">
        <f t="shared" si="5"/>
        <v>26.486486486486488</v>
      </c>
      <c r="AC56" s="670">
        <f t="shared" si="2"/>
        <v>94.861111111111114</v>
      </c>
      <c r="AD56" s="728">
        <v>31</v>
      </c>
      <c r="AE56" s="432">
        <f t="shared" si="6"/>
        <v>11.33236</v>
      </c>
      <c r="AF56" s="449"/>
    </row>
    <row r="57" spans="1:32" ht="18.75" customHeight="1" x14ac:dyDescent="0.2">
      <c r="A57" s="728">
        <v>44</v>
      </c>
      <c r="B57" s="461" t="s">
        <v>105</v>
      </c>
      <c r="C57" s="728" t="s">
        <v>46</v>
      </c>
      <c r="D57" s="728">
        <v>678.58</v>
      </c>
      <c r="E57" s="728" t="s">
        <v>110</v>
      </c>
      <c r="F57" s="728">
        <v>177.8</v>
      </c>
      <c r="G57" s="728" t="s">
        <v>28</v>
      </c>
      <c r="H57" s="728" t="s">
        <v>52</v>
      </c>
      <c r="I57" s="723">
        <v>529.41</v>
      </c>
      <c r="J57" s="728" t="s">
        <v>240</v>
      </c>
      <c r="K57" s="728">
        <v>268</v>
      </c>
      <c r="L57" s="728">
        <v>0</v>
      </c>
      <c r="M57" s="728">
        <v>1.3</v>
      </c>
      <c r="N57" s="728"/>
      <c r="O57" s="728"/>
      <c r="P57" s="668">
        <v>30.077391883718668</v>
      </c>
      <c r="Q57" s="670">
        <f t="shared" si="8"/>
        <v>0</v>
      </c>
      <c r="R57" s="432">
        <v>0</v>
      </c>
      <c r="S57" s="432">
        <v>0</v>
      </c>
      <c r="T57" s="670">
        <v>0</v>
      </c>
      <c r="U57" s="668">
        <f>IF(R57=0,0,T57/R57)</f>
        <v>0</v>
      </c>
      <c r="V57" s="668">
        <v>0</v>
      </c>
      <c r="W57" s="668">
        <v>0.03</v>
      </c>
      <c r="X57" s="432">
        <v>0</v>
      </c>
      <c r="Y57" s="432">
        <f t="shared" si="4"/>
        <v>0</v>
      </c>
      <c r="Z57" s="432">
        <f t="shared" si="4"/>
        <v>0</v>
      </c>
      <c r="AA57" s="670">
        <f t="shared" si="4"/>
        <v>0</v>
      </c>
      <c r="AB57" s="432">
        <f t="shared" si="5"/>
        <v>0</v>
      </c>
      <c r="AC57" s="670">
        <f t="shared" si="2"/>
        <v>0</v>
      </c>
      <c r="AD57" s="728">
        <v>0</v>
      </c>
      <c r="AE57" s="432">
        <f t="shared" si="6"/>
        <v>0</v>
      </c>
      <c r="AF57" s="669" t="s">
        <v>335</v>
      </c>
    </row>
    <row r="58" spans="1:32" ht="18.75" customHeight="1" x14ac:dyDescent="0.2">
      <c r="A58" s="728">
        <v>45</v>
      </c>
      <c r="B58" s="461" t="s">
        <v>104</v>
      </c>
      <c r="C58" s="728" t="s">
        <v>381</v>
      </c>
      <c r="D58" s="728">
        <v>707.14</v>
      </c>
      <c r="E58" s="723" t="s">
        <v>382</v>
      </c>
      <c r="F58" s="728">
        <v>177.8</v>
      </c>
      <c r="G58" s="728" t="s">
        <v>28</v>
      </c>
      <c r="H58" s="165" t="s">
        <v>383</v>
      </c>
      <c r="I58" s="723">
        <v>682.43000000000052</v>
      </c>
      <c r="J58" s="728">
        <v>100</v>
      </c>
      <c r="K58" s="728"/>
      <c r="L58" s="728">
        <v>576</v>
      </c>
      <c r="M58" s="728"/>
      <c r="N58" s="728">
        <v>7.9</v>
      </c>
      <c r="O58" s="728"/>
      <c r="P58" s="668">
        <v>36.69780043208025</v>
      </c>
      <c r="Q58" s="670">
        <f>J58*3/100</f>
        <v>3</v>
      </c>
      <c r="R58" s="432">
        <v>0.5</v>
      </c>
      <c r="S58" s="432">
        <v>0.9</v>
      </c>
      <c r="T58" s="670">
        <v>15</v>
      </c>
      <c r="U58" s="668">
        <f>IF(T58=0,0,T58/R58)</f>
        <v>30</v>
      </c>
      <c r="V58" s="668">
        <f t="shared" si="7"/>
        <v>44.44444444444445</v>
      </c>
      <c r="W58" s="668">
        <v>0</v>
      </c>
      <c r="X58" s="432">
        <v>0</v>
      </c>
      <c r="Y58" s="432">
        <f t="shared" si="4"/>
        <v>0.49399999999999999</v>
      </c>
      <c r="Z58" s="432">
        <f t="shared" si="4"/>
        <v>0.88919999999999999</v>
      </c>
      <c r="AA58" s="670">
        <f t="shared" si="4"/>
        <v>14.82</v>
      </c>
      <c r="AB58" s="432">
        <f t="shared" si="5"/>
        <v>30</v>
      </c>
      <c r="AC58" s="670">
        <f t="shared" si="2"/>
        <v>44.44444444444445</v>
      </c>
      <c r="AD58" s="728">
        <v>31</v>
      </c>
      <c r="AE58" s="432">
        <f t="shared" si="6"/>
        <v>15.314</v>
      </c>
      <c r="AF58" s="669"/>
    </row>
    <row r="59" spans="1:32" ht="18.75" customHeight="1" x14ac:dyDescent="0.3">
      <c r="A59" s="728">
        <v>46</v>
      </c>
      <c r="B59" s="724" t="s">
        <v>158</v>
      </c>
      <c r="C59" s="728" t="s">
        <v>46</v>
      </c>
      <c r="D59" s="723">
        <v>674.45</v>
      </c>
      <c r="E59" s="723" t="s">
        <v>232</v>
      </c>
      <c r="F59" s="728">
        <v>177.8</v>
      </c>
      <c r="G59" s="728" t="s">
        <v>28</v>
      </c>
      <c r="H59" s="728" t="s">
        <v>52</v>
      </c>
      <c r="I59" s="723">
        <v>543.72</v>
      </c>
      <c r="J59" s="723">
        <v>85</v>
      </c>
      <c r="K59" s="723"/>
      <c r="L59" s="723">
        <v>464</v>
      </c>
      <c r="M59" s="723"/>
      <c r="N59" s="728">
        <v>12.3</v>
      </c>
      <c r="O59" s="723"/>
      <c r="P59" s="448">
        <v>17.699594498341877</v>
      </c>
      <c r="Q59" s="670">
        <f t="shared" si="8"/>
        <v>18.7</v>
      </c>
      <c r="R59" s="432">
        <v>6.97</v>
      </c>
      <c r="S59" s="432">
        <v>7.2</v>
      </c>
      <c r="T59" s="492">
        <v>258</v>
      </c>
      <c r="U59" s="668">
        <f t="shared" ref="U59:U65" si="11">T59/R59</f>
        <v>37.015781922525107</v>
      </c>
      <c r="V59" s="668">
        <f t="shared" si="7"/>
        <v>3.1944444444444504</v>
      </c>
      <c r="W59" s="668">
        <v>0.4</v>
      </c>
      <c r="X59" s="432">
        <f t="shared" ref="X59:X77" si="12">S59/Q59</f>
        <v>0.38502673796791448</v>
      </c>
      <c r="Y59" s="432">
        <f t="shared" si="4"/>
        <v>6.8863599999999998</v>
      </c>
      <c r="Z59" s="432">
        <f t="shared" si="4"/>
        <v>7.1135999999999999</v>
      </c>
      <c r="AA59" s="670">
        <f t="shared" si="4"/>
        <v>254.904</v>
      </c>
      <c r="AB59" s="432">
        <f t="shared" si="5"/>
        <v>37.015781922525107</v>
      </c>
      <c r="AC59" s="670">
        <f t="shared" si="2"/>
        <v>3.1944444444444504</v>
      </c>
      <c r="AD59" s="728">
        <v>31</v>
      </c>
      <c r="AE59" s="432">
        <f>Y59*AD59</f>
        <v>213.47716</v>
      </c>
      <c r="AF59" s="458"/>
    </row>
    <row r="60" spans="1:32" ht="18.75" customHeight="1" x14ac:dyDescent="0.2">
      <c r="A60" s="728">
        <v>47</v>
      </c>
      <c r="B60" s="724" t="s">
        <v>160</v>
      </c>
      <c r="C60" s="728" t="s">
        <v>304</v>
      </c>
      <c r="D60" s="723">
        <v>677.33</v>
      </c>
      <c r="E60" s="723" t="s">
        <v>315</v>
      </c>
      <c r="F60" s="728">
        <v>177.8</v>
      </c>
      <c r="G60" s="728" t="s">
        <v>28</v>
      </c>
      <c r="H60" s="728" t="s">
        <v>50</v>
      </c>
      <c r="I60" s="723">
        <v>619</v>
      </c>
      <c r="J60" s="723">
        <v>0</v>
      </c>
      <c r="K60" s="723">
        <v>255</v>
      </c>
      <c r="L60" s="728"/>
      <c r="M60" s="723">
        <v>0</v>
      </c>
      <c r="N60" s="728"/>
      <c r="O60" s="723"/>
      <c r="P60" s="448">
        <v>35.063661587571268</v>
      </c>
      <c r="Q60" s="670">
        <f t="shared" si="8"/>
        <v>0</v>
      </c>
      <c r="R60" s="432">
        <v>0</v>
      </c>
      <c r="S60" s="432">
        <v>0</v>
      </c>
      <c r="T60" s="492">
        <v>0</v>
      </c>
      <c r="U60" s="668">
        <v>0</v>
      </c>
      <c r="V60" s="668">
        <v>0</v>
      </c>
      <c r="W60" s="668">
        <v>0</v>
      </c>
      <c r="X60" s="432">
        <v>0</v>
      </c>
      <c r="Y60" s="432">
        <f t="shared" si="4"/>
        <v>0</v>
      </c>
      <c r="Z60" s="432">
        <f t="shared" si="4"/>
        <v>0</v>
      </c>
      <c r="AA60" s="670">
        <f t="shared" si="4"/>
        <v>0</v>
      </c>
      <c r="AB60" s="432">
        <f t="shared" si="5"/>
        <v>0</v>
      </c>
      <c r="AC60" s="670">
        <f t="shared" si="2"/>
        <v>0</v>
      </c>
      <c r="AD60" s="728">
        <v>0</v>
      </c>
      <c r="AE60" s="432">
        <f>Y60*AD60</f>
        <v>0</v>
      </c>
      <c r="AF60" s="669" t="s">
        <v>334</v>
      </c>
    </row>
    <row r="61" spans="1:32" ht="18.75" customHeight="1" x14ac:dyDescent="0.2">
      <c r="A61" s="728">
        <v>48</v>
      </c>
      <c r="B61" s="461" t="s">
        <v>164</v>
      </c>
      <c r="C61" s="728" t="s">
        <v>46</v>
      </c>
      <c r="D61" s="723">
        <v>678.47</v>
      </c>
      <c r="E61" s="723" t="s">
        <v>233</v>
      </c>
      <c r="F61" s="728">
        <v>177.8</v>
      </c>
      <c r="G61" s="728" t="s">
        <v>28</v>
      </c>
      <c r="H61" s="728" t="s">
        <v>48</v>
      </c>
      <c r="I61" s="723">
        <v>563.11</v>
      </c>
      <c r="J61" s="723">
        <v>160</v>
      </c>
      <c r="K61" s="723"/>
      <c r="L61" s="723">
        <v>428</v>
      </c>
      <c r="M61" s="723"/>
      <c r="N61" s="728">
        <v>2</v>
      </c>
      <c r="O61" s="723"/>
      <c r="P61" s="668">
        <v>14.220339221542325</v>
      </c>
      <c r="Q61" s="670">
        <f t="shared" si="8"/>
        <v>20.8</v>
      </c>
      <c r="R61" s="432">
        <v>4.21</v>
      </c>
      <c r="S61" s="432">
        <v>5.5</v>
      </c>
      <c r="T61" s="670">
        <v>14.8</v>
      </c>
      <c r="U61" s="668">
        <f t="shared" si="11"/>
        <v>3.5154394299287413</v>
      </c>
      <c r="V61" s="668">
        <f t="shared" si="7"/>
        <v>23.454545454545457</v>
      </c>
      <c r="W61" s="668">
        <v>0.8</v>
      </c>
      <c r="X61" s="432">
        <f t="shared" si="12"/>
        <v>0.26442307692307693</v>
      </c>
      <c r="Y61" s="432">
        <f t="shared" si="4"/>
        <v>4.1594800000000003</v>
      </c>
      <c r="Z61" s="432">
        <f t="shared" si="4"/>
        <v>5.4340000000000002</v>
      </c>
      <c r="AA61" s="670">
        <f t="shared" si="4"/>
        <v>14.622400000000001</v>
      </c>
      <c r="AB61" s="432">
        <f t="shared" si="5"/>
        <v>3.5154394299287413</v>
      </c>
      <c r="AC61" s="670">
        <f t="shared" si="2"/>
        <v>23.454545454545457</v>
      </c>
      <c r="AD61" s="728">
        <v>31</v>
      </c>
      <c r="AE61" s="432">
        <f t="shared" ref="AE61:AE76" si="13">Y61*AD61</f>
        <v>128.94388000000001</v>
      </c>
      <c r="AF61" s="669"/>
    </row>
    <row r="62" spans="1:32" ht="18.75" customHeight="1" x14ac:dyDescent="0.2">
      <c r="A62" s="728">
        <v>49</v>
      </c>
      <c r="B62" s="461" t="s">
        <v>61</v>
      </c>
      <c r="C62" s="728" t="s">
        <v>46</v>
      </c>
      <c r="D62" s="728">
        <v>667.18</v>
      </c>
      <c r="E62" s="728" t="s">
        <v>96</v>
      </c>
      <c r="F62" s="728">
        <v>177.8</v>
      </c>
      <c r="G62" s="728" t="s">
        <v>28</v>
      </c>
      <c r="H62" s="728" t="s">
        <v>52</v>
      </c>
      <c r="I62" s="723">
        <v>534.21</v>
      </c>
      <c r="J62" s="728">
        <v>160</v>
      </c>
      <c r="K62" s="728"/>
      <c r="L62" s="728">
        <v>447</v>
      </c>
      <c r="M62" s="728"/>
      <c r="N62" s="728">
        <v>6.2</v>
      </c>
      <c r="O62" s="728"/>
      <c r="P62" s="668">
        <v>18.901114805254981</v>
      </c>
      <c r="Q62" s="670">
        <f t="shared" si="8"/>
        <v>35.200000000000003</v>
      </c>
      <c r="R62" s="432">
        <v>8.11</v>
      </c>
      <c r="S62" s="432">
        <v>12.7</v>
      </c>
      <c r="T62" s="670">
        <v>112</v>
      </c>
      <c r="U62" s="668">
        <f t="shared" si="11"/>
        <v>13.810110974106044</v>
      </c>
      <c r="V62" s="668">
        <f t="shared" si="7"/>
        <v>36.14173228346457</v>
      </c>
      <c r="W62" s="668">
        <v>0.4</v>
      </c>
      <c r="X62" s="432">
        <f t="shared" si="12"/>
        <v>0.36079545454545447</v>
      </c>
      <c r="Y62" s="432">
        <f t="shared" si="4"/>
        <v>8.0126799999999996</v>
      </c>
      <c r="Z62" s="432">
        <f t="shared" si="4"/>
        <v>12.547599999999999</v>
      </c>
      <c r="AA62" s="670">
        <f t="shared" si="4"/>
        <v>110.65600000000001</v>
      </c>
      <c r="AB62" s="432">
        <f t="shared" si="5"/>
        <v>13.810110974106044</v>
      </c>
      <c r="AC62" s="670">
        <f t="shared" si="2"/>
        <v>36.14173228346457</v>
      </c>
      <c r="AD62" s="728">
        <v>31</v>
      </c>
      <c r="AE62" s="432">
        <f t="shared" si="13"/>
        <v>248.39308</v>
      </c>
      <c r="AF62" s="449"/>
    </row>
    <row r="63" spans="1:32" ht="18.75" customHeight="1" x14ac:dyDescent="0.2">
      <c r="A63" s="728">
        <v>50</v>
      </c>
      <c r="B63" s="461" t="s">
        <v>64</v>
      </c>
      <c r="C63" s="728" t="s">
        <v>46</v>
      </c>
      <c r="D63" s="728">
        <v>672.5</v>
      </c>
      <c r="E63" s="728" t="s">
        <v>234</v>
      </c>
      <c r="F63" s="728">
        <v>177.8</v>
      </c>
      <c r="G63" s="728" t="s">
        <v>28</v>
      </c>
      <c r="H63" s="728" t="s">
        <v>49</v>
      </c>
      <c r="I63" s="723">
        <v>533.70000000000005</v>
      </c>
      <c r="J63" s="728">
        <v>230</v>
      </c>
      <c r="K63" s="728"/>
      <c r="L63" s="728">
        <v>467</v>
      </c>
      <c r="M63" s="728"/>
      <c r="N63" s="728">
        <v>9</v>
      </c>
      <c r="O63" s="728"/>
      <c r="P63" s="668">
        <v>21.553200194531328</v>
      </c>
      <c r="Q63" s="670">
        <f t="shared" si="8"/>
        <v>73.599999999999994</v>
      </c>
      <c r="R63" s="432">
        <v>14.32</v>
      </c>
      <c r="S63" s="432">
        <v>19.8</v>
      </c>
      <c r="T63" s="670">
        <v>1323</v>
      </c>
      <c r="U63" s="668">
        <f t="shared" si="11"/>
        <v>92.388268156424573</v>
      </c>
      <c r="V63" s="668">
        <f t="shared" si="7"/>
        <v>27.676767676767678</v>
      </c>
      <c r="W63" s="668">
        <v>0.2</v>
      </c>
      <c r="X63" s="432">
        <f t="shared" si="12"/>
        <v>0.26902173913043481</v>
      </c>
      <c r="Y63" s="432">
        <f t="shared" si="4"/>
        <v>14.148160000000001</v>
      </c>
      <c r="Z63" s="432">
        <f t="shared" si="4"/>
        <v>19.5624</v>
      </c>
      <c r="AA63" s="670">
        <f t="shared" si="4"/>
        <v>1307.124</v>
      </c>
      <c r="AB63" s="432">
        <f t="shared" si="5"/>
        <v>92.388268156424573</v>
      </c>
      <c r="AC63" s="670">
        <f t="shared" si="2"/>
        <v>27.676767676767678</v>
      </c>
      <c r="AD63" s="728">
        <v>31</v>
      </c>
      <c r="AE63" s="432">
        <f t="shared" si="13"/>
        <v>438.59296000000001</v>
      </c>
      <c r="AF63" s="449"/>
    </row>
    <row r="64" spans="1:32" ht="18.75" customHeight="1" x14ac:dyDescent="0.2">
      <c r="A64" s="728">
        <v>51</v>
      </c>
      <c r="B64" s="461" t="s">
        <v>156</v>
      </c>
      <c r="C64" s="728" t="s">
        <v>46</v>
      </c>
      <c r="D64" s="728">
        <v>679.54</v>
      </c>
      <c r="E64" s="728" t="s">
        <v>166</v>
      </c>
      <c r="F64" s="728">
        <v>177.8</v>
      </c>
      <c r="G64" s="728" t="s">
        <v>28</v>
      </c>
      <c r="H64" s="728" t="s">
        <v>52</v>
      </c>
      <c r="I64" s="723">
        <v>530.98</v>
      </c>
      <c r="J64" s="728">
        <v>215</v>
      </c>
      <c r="K64" s="728"/>
      <c r="L64" s="728">
        <v>456</v>
      </c>
      <c r="M64" s="728"/>
      <c r="N64" s="728">
        <v>7.8</v>
      </c>
      <c r="O64" s="728"/>
      <c r="P64" s="668">
        <v>16.955002306100326</v>
      </c>
      <c r="Q64" s="670">
        <f t="shared" si="8"/>
        <v>47.3</v>
      </c>
      <c r="R64" s="432">
        <v>8.1</v>
      </c>
      <c r="S64" s="432">
        <v>12.5</v>
      </c>
      <c r="T64" s="670">
        <v>179</v>
      </c>
      <c r="U64" s="668">
        <f t="shared" si="11"/>
        <v>22.098765432098766</v>
      </c>
      <c r="V64" s="668">
        <f t="shared" si="7"/>
        <v>35.200000000000003</v>
      </c>
      <c r="W64" s="668">
        <v>0.1</v>
      </c>
      <c r="X64" s="432">
        <f t="shared" si="12"/>
        <v>0.26427061310782241</v>
      </c>
      <c r="Y64" s="432">
        <f t="shared" si="4"/>
        <v>8.0027999999999988</v>
      </c>
      <c r="Z64" s="432">
        <f t="shared" si="4"/>
        <v>12.35</v>
      </c>
      <c r="AA64" s="670">
        <f t="shared" si="4"/>
        <v>176.852</v>
      </c>
      <c r="AB64" s="432">
        <f t="shared" si="5"/>
        <v>22.098765432098766</v>
      </c>
      <c r="AC64" s="670">
        <f t="shared" si="2"/>
        <v>35.200000000000003</v>
      </c>
      <c r="AD64" s="728">
        <v>31</v>
      </c>
      <c r="AE64" s="432">
        <f t="shared" si="13"/>
        <v>248.08679999999995</v>
      </c>
      <c r="AF64" s="449"/>
    </row>
    <row r="65" spans="1:32" ht="18.75" customHeight="1" x14ac:dyDescent="0.2">
      <c r="A65" s="728">
        <v>52</v>
      </c>
      <c r="B65" s="461" t="s">
        <v>169</v>
      </c>
      <c r="C65" s="728" t="s">
        <v>46</v>
      </c>
      <c r="D65" s="728">
        <v>673</v>
      </c>
      <c r="E65" s="728" t="s">
        <v>170</v>
      </c>
      <c r="F65" s="728">
        <v>177.8</v>
      </c>
      <c r="G65" s="728" t="s">
        <v>28</v>
      </c>
      <c r="H65" s="728" t="s">
        <v>52</v>
      </c>
      <c r="I65" s="723">
        <v>541.48</v>
      </c>
      <c r="J65" s="728">
        <v>85</v>
      </c>
      <c r="K65" s="728"/>
      <c r="L65" s="728">
        <v>458</v>
      </c>
      <c r="M65" s="728"/>
      <c r="N65" s="728">
        <v>7.7</v>
      </c>
      <c r="O65" s="728"/>
      <c r="P65" s="668">
        <v>16.424768494538675</v>
      </c>
      <c r="Q65" s="670">
        <f t="shared" si="8"/>
        <v>18.7</v>
      </c>
      <c r="R65" s="432">
        <v>3.45</v>
      </c>
      <c r="S65" s="432">
        <v>4.5999999999999996</v>
      </c>
      <c r="T65" s="670">
        <v>67</v>
      </c>
      <c r="U65" s="668">
        <f t="shared" si="11"/>
        <v>19.420289855072461</v>
      </c>
      <c r="V65" s="668">
        <f t="shared" si="7"/>
        <v>24.999999999999993</v>
      </c>
      <c r="W65" s="668">
        <v>0.4</v>
      </c>
      <c r="X65" s="432">
        <f t="shared" si="12"/>
        <v>0.24598930481283421</v>
      </c>
      <c r="Y65" s="432">
        <f t="shared" si="4"/>
        <v>3.4086000000000003</v>
      </c>
      <c r="Z65" s="432">
        <f t="shared" si="4"/>
        <v>4.5447999999999995</v>
      </c>
      <c r="AA65" s="670">
        <f t="shared" si="4"/>
        <v>66.195999999999998</v>
      </c>
      <c r="AB65" s="432">
        <f t="shared" si="5"/>
        <v>19.420289855072461</v>
      </c>
      <c r="AC65" s="670">
        <f t="shared" si="2"/>
        <v>24.999999999999993</v>
      </c>
      <c r="AD65" s="728">
        <v>31</v>
      </c>
      <c r="AE65" s="432">
        <f>Y65*AD65</f>
        <v>105.6666</v>
      </c>
      <c r="AF65" s="449"/>
    </row>
    <row r="66" spans="1:32" ht="18.75" customHeight="1" x14ac:dyDescent="0.2">
      <c r="A66" s="728">
        <v>53</v>
      </c>
      <c r="B66" s="461" t="s">
        <v>62</v>
      </c>
      <c r="C66" s="728" t="s">
        <v>46</v>
      </c>
      <c r="D66" s="728">
        <v>673.73</v>
      </c>
      <c r="E66" s="728" t="s">
        <v>97</v>
      </c>
      <c r="F66" s="728">
        <v>177.8</v>
      </c>
      <c r="G66" s="728" t="s">
        <v>28</v>
      </c>
      <c r="H66" s="728" t="s">
        <v>218</v>
      </c>
      <c r="I66" s="723">
        <v>543</v>
      </c>
      <c r="J66" s="728">
        <v>185</v>
      </c>
      <c r="K66" s="728"/>
      <c r="L66" s="728">
        <v>446</v>
      </c>
      <c r="M66" s="728"/>
      <c r="N66" s="728">
        <v>8.1999999999999993</v>
      </c>
      <c r="O66" s="728"/>
      <c r="P66" s="668">
        <v>15.334359965097956</v>
      </c>
      <c r="Q66" s="670">
        <f t="shared" si="8"/>
        <v>59.2</v>
      </c>
      <c r="R66" s="432">
        <v>8.93</v>
      </c>
      <c r="S66" s="432">
        <v>11.2</v>
      </c>
      <c r="T66" s="670">
        <v>332</v>
      </c>
      <c r="U66" s="668">
        <f t="shared" si="0"/>
        <v>37.17805151175812</v>
      </c>
      <c r="V66" s="668">
        <f t="shared" si="7"/>
        <v>20.267857142857139</v>
      </c>
      <c r="W66" s="668">
        <v>0.2</v>
      </c>
      <c r="X66" s="432">
        <f t="shared" si="12"/>
        <v>0.18918918918918917</v>
      </c>
      <c r="Y66" s="432">
        <f t="shared" si="4"/>
        <v>8.8228399999999993</v>
      </c>
      <c r="Z66" s="432">
        <f t="shared" si="4"/>
        <v>11.0656</v>
      </c>
      <c r="AA66" s="670">
        <f t="shared" si="4"/>
        <v>328.01600000000002</v>
      </c>
      <c r="AB66" s="432">
        <f t="shared" si="5"/>
        <v>37.17805151175812</v>
      </c>
      <c r="AC66" s="670">
        <f t="shared" si="2"/>
        <v>20.267857142857139</v>
      </c>
      <c r="AD66" s="728">
        <v>31</v>
      </c>
      <c r="AE66" s="432">
        <f t="shared" si="13"/>
        <v>273.50803999999999</v>
      </c>
      <c r="AF66" s="669"/>
    </row>
    <row r="67" spans="1:32" ht="18.75" customHeight="1" x14ac:dyDescent="0.2">
      <c r="A67" s="728">
        <v>54</v>
      </c>
      <c r="B67" s="461" t="s">
        <v>157</v>
      </c>
      <c r="C67" s="728" t="s">
        <v>46</v>
      </c>
      <c r="D67" s="728">
        <v>676.73</v>
      </c>
      <c r="E67" s="728" t="s">
        <v>179</v>
      </c>
      <c r="F67" s="728">
        <v>177.8</v>
      </c>
      <c r="G67" s="728" t="s">
        <v>28</v>
      </c>
      <c r="H67" s="728" t="s">
        <v>218</v>
      </c>
      <c r="I67" s="723">
        <v>579.14</v>
      </c>
      <c r="J67" s="728">
        <v>130</v>
      </c>
      <c r="K67" s="728"/>
      <c r="L67" s="728">
        <v>147</v>
      </c>
      <c r="M67" s="728"/>
      <c r="N67" s="728">
        <v>8.6999999999999993</v>
      </c>
      <c r="O67" s="728"/>
      <c r="P67" s="668">
        <v>49.383493976691568</v>
      </c>
      <c r="Q67" s="670">
        <f t="shared" si="8"/>
        <v>41.6</v>
      </c>
      <c r="R67" s="432">
        <v>6.83</v>
      </c>
      <c r="S67" s="432">
        <v>42.3</v>
      </c>
      <c r="T67" s="670">
        <v>192</v>
      </c>
      <c r="U67" s="668">
        <f t="shared" si="0"/>
        <v>28.111273792093705</v>
      </c>
      <c r="V67" s="668">
        <f t="shared" si="7"/>
        <v>83.853427895981099</v>
      </c>
      <c r="W67" s="668">
        <v>0.7</v>
      </c>
      <c r="X67" s="432">
        <f t="shared" si="12"/>
        <v>1.0168269230769229</v>
      </c>
      <c r="Y67" s="432">
        <f t="shared" si="4"/>
        <v>6.7480399999999996</v>
      </c>
      <c r="Z67" s="432">
        <f t="shared" si="4"/>
        <v>41.792399999999994</v>
      </c>
      <c r="AA67" s="670">
        <f t="shared" si="4"/>
        <v>189.696</v>
      </c>
      <c r="AB67" s="432">
        <f t="shared" si="5"/>
        <v>28.111273792093705</v>
      </c>
      <c r="AC67" s="670">
        <f t="shared" si="2"/>
        <v>83.853427895981099</v>
      </c>
      <c r="AD67" s="728">
        <v>31</v>
      </c>
      <c r="AE67" s="432">
        <f t="shared" si="13"/>
        <v>209.18923999999998</v>
      </c>
      <c r="AF67" s="676"/>
    </row>
    <row r="68" spans="1:32" ht="18.75" customHeight="1" x14ac:dyDescent="0.2">
      <c r="A68" s="728">
        <v>55</v>
      </c>
      <c r="B68" s="461" t="s">
        <v>159</v>
      </c>
      <c r="C68" s="728" t="s">
        <v>46</v>
      </c>
      <c r="D68" s="728">
        <v>676</v>
      </c>
      <c r="E68" s="728" t="s">
        <v>167</v>
      </c>
      <c r="F68" s="728">
        <v>177.8</v>
      </c>
      <c r="G68" s="728" t="s">
        <v>28</v>
      </c>
      <c r="H68" s="728" t="s">
        <v>218</v>
      </c>
      <c r="I68" s="723">
        <v>508.57</v>
      </c>
      <c r="J68" s="728">
        <v>285</v>
      </c>
      <c r="K68" s="728"/>
      <c r="L68" s="728">
        <v>476</v>
      </c>
      <c r="M68" s="728"/>
      <c r="N68" s="728">
        <v>9.4</v>
      </c>
      <c r="O68" s="728"/>
      <c r="P68" s="668">
        <v>14.272399729665304</v>
      </c>
      <c r="Q68" s="670">
        <f t="shared" si="8"/>
        <v>91.2</v>
      </c>
      <c r="R68" s="432">
        <v>27.42</v>
      </c>
      <c r="S68" s="432">
        <v>31.9</v>
      </c>
      <c r="T68" s="670">
        <v>793</v>
      </c>
      <c r="U68" s="668">
        <f t="shared" si="0"/>
        <v>28.920495988329684</v>
      </c>
      <c r="V68" s="668">
        <f t="shared" si="7"/>
        <v>14.043887147335413</v>
      </c>
      <c r="W68" s="668">
        <v>0.2</v>
      </c>
      <c r="X68" s="432">
        <f t="shared" si="12"/>
        <v>0.34978070175438591</v>
      </c>
      <c r="Y68" s="432">
        <f t="shared" si="4"/>
        <v>27.090960000000003</v>
      </c>
      <c r="Z68" s="432">
        <f t="shared" si="4"/>
        <v>31.517199999999999</v>
      </c>
      <c r="AA68" s="670">
        <f t="shared" si="4"/>
        <v>783.48400000000004</v>
      </c>
      <c r="AB68" s="432">
        <f t="shared" si="5"/>
        <v>28.920495988329684</v>
      </c>
      <c r="AC68" s="670">
        <f t="shared" si="2"/>
        <v>14.043887147335413</v>
      </c>
      <c r="AD68" s="728">
        <v>31</v>
      </c>
      <c r="AE68" s="432">
        <f t="shared" si="13"/>
        <v>839.81976000000009</v>
      </c>
      <c r="AF68" s="669"/>
    </row>
    <row r="69" spans="1:32" ht="18.75" customHeight="1" x14ac:dyDescent="0.2">
      <c r="A69" s="728">
        <v>56</v>
      </c>
      <c r="B69" s="461" t="s">
        <v>330</v>
      </c>
      <c r="C69" s="728" t="s">
        <v>46</v>
      </c>
      <c r="D69" s="728">
        <v>595</v>
      </c>
      <c r="E69" s="728" t="s">
        <v>367</v>
      </c>
      <c r="F69" s="728">
        <v>178.8</v>
      </c>
      <c r="G69" s="728" t="s">
        <v>28</v>
      </c>
      <c r="H69" s="241" t="s">
        <v>366</v>
      </c>
      <c r="I69" s="723">
        <v>505</v>
      </c>
      <c r="J69" s="728">
        <v>140</v>
      </c>
      <c r="K69" s="728"/>
      <c r="L69" s="728">
        <v>214</v>
      </c>
      <c r="M69" s="728"/>
      <c r="N69" s="728">
        <v>11.3</v>
      </c>
      <c r="O69" s="728"/>
      <c r="P69" s="668">
        <v>21.438195166605151</v>
      </c>
      <c r="Q69" s="670">
        <f>(33*J69)/100</f>
        <v>46.2</v>
      </c>
      <c r="R69" s="432">
        <v>22.5</v>
      </c>
      <c r="S69" s="432">
        <v>34.4</v>
      </c>
      <c r="T69" s="670">
        <v>550</v>
      </c>
      <c r="U69" s="668">
        <f t="shared" si="0"/>
        <v>24.444444444444443</v>
      </c>
      <c r="V69" s="668">
        <f t="shared" si="7"/>
        <v>34.593023255813947</v>
      </c>
      <c r="W69" s="668">
        <v>0.2</v>
      </c>
      <c r="X69" s="432">
        <f t="shared" si="12"/>
        <v>0.74458874458874447</v>
      </c>
      <c r="Y69" s="432">
        <f t="shared" si="4"/>
        <v>22.23</v>
      </c>
      <c r="Z69" s="432">
        <f t="shared" si="4"/>
        <v>33.987200000000001</v>
      </c>
      <c r="AA69" s="670">
        <f t="shared" si="4"/>
        <v>543.4</v>
      </c>
      <c r="AB69" s="432">
        <v>20</v>
      </c>
      <c r="AC69" s="670">
        <v>17</v>
      </c>
      <c r="AD69" s="728">
        <v>31</v>
      </c>
      <c r="AE69" s="432">
        <f t="shared" si="13"/>
        <v>689.13</v>
      </c>
      <c r="AF69" s="669"/>
    </row>
    <row r="70" spans="1:32" ht="18.75" customHeight="1" x14ac:dyDescent="0.2">
      <c r="A70" s="728">
        <v>57</v>
      </c>
      <c r="B70" s="461" t="s">
        <v>210</v>
      </c>
      <c r="C70" s="728" t="s">
        <v>46</v>
      </c>
      <c r="D70" s="728">
        <v>728.32</v>
      </c>
      <c r="E70" s="728" t="s">
        <v>226</v>
      </c>
      <c r="F70" s="728">
        <v>177.8</v>
      </c>
      <c r="G70" s="728" t="s">
        <v>28</v>
      </c>
      <c r="H70" s="728" t="s">
        <v>218</v>
      </c>
      <c r="I70" s="723">
        <v>519.38</v>
      </c>
      <c r="J70" s="728">
        <v>80</v>
      </c>
      <c r="K70" s="728"/>
      <c r="L70" s="728">
        <v>189</v>
      </c>
      <c r="M70" s="728"/>
      <c r="N70" s="728">
        <v>10.6</v>
      </c>
      <c r="O70" s="728"/>
      <c r="P70" s="668">
        <v>17.814802183713002</v>
      </c>
      <c r="Q70" s="670">
        <f t="shared" si="8"/>
        <v>25.6</v>
      </c>
      <c r="R70" s="432">
        <v>16.149999999999999</v>
      </c>
      <c r="S70" s="432">
        <v>28.8</v>
      </c>
      <c r="T70" s="670">
        <v>190</v>
      </c>
      <c r="U70" s="668">
        <f t="shared" si="0"/>
        <v>11.764705882352942</v>
      </c>
      <c r="V70" s="668">
        <f t="shared" si="7"/>
        <v>43.923611111111114</v>
      </c>
      <c r="W70" s="668">
        <v>0.3</v>
      </c>
      <c r="X70" s="432">
        <f t="shared" si="12"/>
        <v>1.125</v>
      </c>
      <c r="Y70" s="432">
        <f t="shared" si="4"/>
        <v>15.956199999999999</v>
      </c>
      <c r="Z70" s="432">
        <f t="shared" si="4"/>
        <v>28.4544</v>
      </c>
      <c r="AA70" s="670">
        <f t="shared" si="4"/>
        <v>187.72</v>
      </c>
      <c r="AB70" s="432">
        <f t="shared" si="5"/>
        <v>11.764705882352942</v>
      </c>
      <c r="AC70" s="670">
        <f t="shared" si="2"/>
        <v>43.923611111111114</v>
      </c>
      <c r="AD70" s="728">
        <v>31</v>
      </c>
      <c r="AE70" s="432">
        <f t="shared" si="13"/>
        <v>494.64219999999995</v>
      </c>
      <c r="AF70" s="449"/>
    </row>
    <row r="71" spans="1:32" ht="18.75" customHeight="1" x14ac:dyDescent="0.2">
      <c r="A71" s="728">
        <v>58</v>
      </c>
      <c r="B71" s="461" t="s">
        <v>63</v>
      </c>
      <c r="C71" s="728" t="s">
        <v>46</v>
      </c>
      <c r="D71" s="728">
        <v>672.99</v>
      </c>
      <c r="E71" s="728" t="s">
        <v>98</v>
      </c>
      <c r="F71" s="728">
        <v>177.8</v>
      </c>
      <c r="G71" s="728" t="s">
        <v>28</v>
      </c>
      <c r="H71" s="728" t="s">
        <v>310</v>
      </c>
      <c r="I71" s="723">
        <v>536.32000000000005</v>
      </c>
      <c r="J71" s="728">
        <v>240</v>
      </c>
      <c r="K71" s="728"/>
      <c r="L71" s="728">
        <v>366</v>
      </c>
      <c r="M71" s="728"/>
      <c r="N71" s="728">
        <v>9.8000000000000007</v>
      </c>
      <c r="O71" s="728"/>
      <c r="P71" s="668">
        <v>26.80531771988143</v>
      </c>
      <c r="Q71" s="670">
        <f t="shared" si="8"/>
        <v>52.8</v>
      </c>
      <c r="R71" s="432">
        <v>12.24</v>
      </c>
      <c r="S71" s="432">
        <v>16.600000000000001</v>
      </c>
      <c r="T71" s="670">
        <v>1064</v>
      </c>
      <c r="U71" s="668">
        <f t="shared" si="0"/>
        <v>86.928104575163403</v>
      </c>
      <c r="V71" s="668">
        <f t="shared" si="7"/>
        <v>26.265060240963862</v>
      </c>
      <c r="W71" s="668">
        <v>0.4</v>
      </c>
      <c r="X71" s="432">
        <f t="shared" si="12"/>
        <v>0.31439393939393945</v>
      </c>
      <c r="Y71" s="432">
        <f t="shared" si="4"/>
        <v>12.093120000000001</v>
      </c>
      <c r="Z71" s="432">
        <f t="shared" si="4"/>
        <v>16.4008</v>
      </c>
      <c r="AA71" s="670">
        <f t="shared" si="4"/>
        <v>1051.232</v>
      </c>
      <c r="AB71" s="432">
        <f t="shared" si="5"/>
        <v>86.928104575163403</v>
      </c>
      <c r="AC71" s="670">
        <f t="shared" si="2"/>
        <v>26.265060240963862</v>
      </c>
      <c r="AD71" s="728">
        <v>31</v>
      </c>
      <c r="AE71" s="432">
        <f t="shared" si="13"/>
        <v>374.88672000000003</v>
      </c>
      <c r="AF71" s="449"/>
    </row>
    <row r="72" spans="1:32" ht="18.75" customHeight="1" x14ac:dyDescent="0.2">
      <c r="A72" s="728">
        <v>59</v>
      </c>
      <c r="B72" s="461" t="s">
        <v>217</v>
      </c>
      <c r="C72" s="728" t="s">
        <v>46</v>
      </c>
      <c r="D72" s="728">
        <v>684.57</v>
      </c>
      <c r="E72" s="728" t="s">
        <v>359</v>
      </c>
      <c r="F72" s="728">
        <v>177.8</v>
      </c>
      <c r="G72" s="728" t="s">
        <v>28</v>
      </c>
      <c r="H72" s="728" t="s">
        <v>219</v>
      </c>
      <c r="I72" s="723">
        <v>555.95000000000005</v>
      </c>
      <c r="J72" s="728">
        <v>230</v>
      </c>
      <c r="K72" s="728"/>
      <c r="L72" s="728">
        <v>367</v>
      </c>
      <c r="M72" s="728"/>
      <c r="N72" s="728">
        <v>10.8</v>
      </c>
      <c r="O72" s="728"/>
      <c r="P72" s="668">
        <v>34.567554831428531</v>
      </c>
      <c r="Q72" s="670">
        <f t="shared" si="8"/>
        <v>27.6</v>
      </c>
      <c r="R72" s="432">
        <v>0.56000000000000005</v>
      </c>
      <c r="S72" s="432">
        <v>12.3</v>
      </c>
      <c r="T72" s="670">
        <v>52</v>
      </c>
      <c r="U72" s="668">
        <f t="shared" si="0"/>
        <v>92.857142857142847</v>
      </c>
      <c r="V72" s="668">
        <f t="shared" si="7"/>
        <v>95.447154471544721</v>
      </c>
      <c r="W72" s="668">
        <v>4</v>
      </c>
      <c r="X72" s="432">
        <f t="shared" si="12"/>
        <v>0.44565217391304346</v>
      </c>
      <c r="Y72" s="432">
        <f t="shared" si="4"/>
        <v>0.55327999999999999</v>
      </c>
      <c r="Z72" s="432">
        <f t="shared" si="4"/>
        <v>12.1524</v>
      </c>
      <c r="AA72" s="670">
        <f t="shared" si="4"/>
        <v>51.375999999999998</v>
      </c>
      <c r="AB72" s="432">
        <f t="shared" si="5"/>
        <v>92.857142857142847</v>
      </c>
      <c r="AC72" s="670">
        <f t="shared" si="2"/>
        <v>95.447154471544721</v>
      </c>
      <c r="AD72" s="728">
        <v>31</v>
      </c>
      <c r="AE72" s="432">
        <f t="shared" si="13"/>
        <v>17.151679999999999</v>
      </c>
      <c r="AF72" s="449"/>
    </row>
    <row r="73" spans="1:32" ht="18.75" customHeight="1" x14ac:dyDescent="0.2">
      <c r="A73" s="728">
        <v>60</v>
      </c>
      <c r="B73" s="461" t="s">
        <v>211</v>
      </c>
      <c r="C73" s="728" t="s">
        <v>46</v>
      </c>
      <c r="D73" s="728">
        <v>675.29</v>
      </c>
      <c r="E73" s="728" t="s">
        <v>224</v>
      </c>
      <c r="F73" s="728">
        <v>177.8</v>
      </c>
      <c r="G73" s="728" t="s">
        <v>28</v>
      </c>
      <c r="H73" s="728" t="s">
        <v>384</v>
      </c>
      <c r="I73" s="723">
        <v>554.95999999999981</v>
      </c>
      <c r="J73" s="728">
        <v>130</v>
      </c>
      <c r="K73" s="728"/>
      <c r="L73" s="728">
        <v>433</v>
      </c>
      <c r="M73" s="728"/>
      <c r="N73" s="728">
        <v>1.9</v>
      </c>
      <c r="O73" s="728"/>
      <c r="P73" s="668">
        <v>14.667500767398145</v>
      </c>
      <c r="Q73" s="670">
        <f>(22*J73)/100</f>
        <v>28.6</v>
      </c>
      <c r="R73" s="432">
        <v>3.45</v>
      </c>
      <c r="S73" s="432">
        <v>5.2</v>
      </c>
      <c r="T73" s="670">
        <v>24</v>
      </c>
      <c r="U73" s="668">
        <f t="shared" si="0"/>
        <v>6.9565217391304346</v>
      </c>
      <c r="V73" s="668">
        <f t="shared" si="7"/>
        <v>33.653846153846153</v>
      </c>
      <c r="W73" s="668">
        <v>0.1</v>
      </c>
      <c r="X73" s="432">
        <f t="shared" si="12"/>
        <v>0.18181818181818182</v>
      </c>
      <c r="Y73" s="432">
        <f t="shared" si="4"/>
        <v>3.4086000000000003</v>
      </c>
      <c r="Z73" s="432">
        <f t="shared" si="4"/>
        <v>5.1375999999999999</v>
      </c>
      <c r="AA73" s="670">
        <f t="shared" si="4"/>
        <v>23.712</v>
      </c>
      <c r="AB73" s="432">
        <f t="shared" si="5"/>
        <v>6.9565217391304346</v>
      </c>
      <c r="AC73" s="670">
        <f t="shared" si="2"/>
        <v>33.653846153846153</v>
      </c>
      <c r="AD73" s="728">
        <v>31</v>
      </c>
      <c r="AE73" s="432">
        <f t="shared" si="13"/>
        <v>105.6666</v>
      </c>
      <c r="AF73" s="449"/>
    </row>
    <row r="74" spans="1:32" ht="18.75" customHeight="1" x14ac:dyDescent="0.2">
      <c r="A74" s="728">
        <v>61</v>
      </c>
      <c r="B74" s="461" t="s">
        <v>341</v>
      </c>
      <c r="C74" s="728" t="s">
        <v>46</v>
      </c>
      <c r="D74" s="728">
        <v>683.16</v>
      </c>
      <c r="E74" s="728" t="s">
        <v>343</v>
      </c>
      <c r="F74" s="728">
        <v>177.8</v>
      </c>
      <c r="G74" s="728" t="s">
        <v>28</v>
      </c>
      <c r="H74" s="564" t="s">
        <v>342</v>
      </c>
      <c r="I74" s="723">
        <v>571.9</v>
      </c>
      <c r="J74" s="728">
        <v>165</v>
      </c>
      <c r="K74" s="728"/>
      <c r="L74" s="728">
        <v>161</v>
      </c>
      <c r="M74" s="728"/>
      <c r="N74" s="728">
        <v>9.6</v>
      </c>
      <c r="O74" s="728"/>
      <c r="P74" s="668">
        <v>45.492009280464899</v>
      </c>
      <c r="Q74" s="670">
        <f>(20*J74)/100</f>
        <v>33</v>
      </c>
      <c r="R74" s="432">
        <v>20.72</v>
      </c>
      <c r="S74" s="432">
        <v>29.8</v>
      </c>
      <c r="T74" s="670">
        <v>275</v>
      </c>
      <c r="U74" s="668">
        <f t="shared" si="0"/>
        <v>13.272200772200772</v>
      </c>
      <c r="V74" s="668">
        <f t="shared" si="7"/>
        <v>30.46979865771813</v>
      </c>
      <c r="W74" s="668">
        <v>0.1</v>
      </c>
      <c r="X74" s="432">
        <f t="shared" si="12"/>
        <v>0.90303030303030307</v>
      </c>
      <c r="Y74" s="432">
        <f t="shared" si="4"/>
        <v>20.471359999999997</v>
      </c>
      <c r="Z74" s="432">
        <f t="shared" si="4"/>
        <v>29.442399999999999</v>
      </c>
      <c r="AA74" s="670">
        <f t="shared" si="4"/>
        <v>271.7</v>
      </c>
      <c r="AB74" s="432">
        <f t="shared" si="5"/>
        <v>13.272200772200772</v>
      </c>
      <c r="AC74" s="670">
        <f t="shared" si="2"/>
        <v>30.46979865771813</v>
      </c>
      <c r="AD74" s="728">
        <v>31</v>
      </c>
      <c r="AE74" s="432">
        <f t="shared" si="13"/>
        <v>634.6121599999999</v>
      </c>
      <c r="AF74" s="449"/>
    </row>
    <row r="75" spans="1:32" ht="18.75" customHeight="1" x14ac:dyDescent="0.3">
      <c r="A75" s="728">
        <v>62</v>
      </c>
      <c r="B75" s="461" t="s">
        <v>354</v>
      </c>
      <c r="C75" s="728" t="s">
        <v>46</v>
      </c>
      <c r="D75" s="728">
        <v>634.29</v>
      </c>
      <c r="E75" s="656" t="s">
        <v>356</v>
      </c>
      <c r="F75" s="728">
        <v>178.8</v>
      </c>
      <c r="G75" s="728" t="s">
        <v>28</v>
      </c>
      <c r="H75" s="241" t="s">
        <v>365</v>
      </c>
      <c r="I75" s="723">
        <v>542.95000000000005</v>
      </c>
      <c r="J75" s="728">
        <v>125</v>
      </c>
      <c r="K75" s="728"/>
      <c r="L75" s="728">
        <v>148</v>
      </c>
      <c r="M75" s="728"/>
      <c r="N75" s="728">
        <v>4.8</v>
      </c>
      <c r="O75" s="728"/>
      <c r="P75" s="668">
        <v>16.375874423935365</v>
      </c>
      <c r="Q75" s="670">
        <f>(20*J75)/100</f>
        <v>25</v>
      </c>
      <c r="R75" s="432">
        <v>17.18</v>
      </c>
      <c r="S75" s="432">
        <v>34.6</v>
      </c>
      <c r="T75" s="670">
        <v>261</v>
      </c>
      <c r="U75" s="668">
        <f t="shared" si="0"/>
        <v>15.192083818393481</v>
      </c>
      <c r="V75" s="668">
        <f t="shared" si="7"/>
        <v>50.346820809248563</v>
      </c>
      <c r="W75" s="668">
        <v>0.4</v>
      </c>
      <c r="X75" s="432">
        <f t="shared" si="12"/>
        <v>1.3840000000000001</v>
      </c>
      <c r="Y75" s="432">
        <f t="shared" si="4"/>
        <v>16.973839999999999</v>
      </c>
      <c r="Z75" s="432">
        <f t="shared" si="4"/>
        <v>34.184800000000003</v>
      </c>
      <c r="AA75" s="670">
        <f t="shared" si="4"/>
        <v>257.86799999999999</v>
      </c>
      <c r="AB75" s="432">
        <f t="shared" si="5"/>
        <v>15.192083818393481</v>
      </c>
      <c r="AC75" s="670">
        <f t="shared" si="2"/>
        <v>50.346820809248563</v>
      </c>
      <c r="AD75" s="728">
        <v>31</v>
      </c>
      <c r="AE75" s="432">
        <f t="shared" si="13"/>
        <v>526.18903999999998</v>
      </c>
      <c r="AF75" s="449"/>
    </row>
    <row r="76" spans="1:32" ht="18.75" customHeight="1" x14ac:dyDescent="0.2">
      <c r="A76" s="728">
        <v>63</v>
      </c>
      <c r="B76" s="461" t="s">
        <v>213</v>
      </c>
      <c r="C76" s="728" t="s">
        <v>46</v>
      </c>
      <c r="D76" s="728">
        <v>679.2</v>
      </c>
      <c r="E76" s="728" t="s">
        <v>225</v>
      </c>
      <c r="F76" s="728">
        <v>177.8</v>
      </c>
      <c r="G76" s="728" t="s">
        <v>28</v>
      </c>
      <c r="H76" s="728" t="s">
        <v>48</v>
      </c>
      <c r="I76" s="723">
        <v>559.19000000000005</v>
      </c>
      <c r="J76" s="728">
        <v>110</v>
      </c>
      <c r="K76" s="728"/>
      <c r="L76" s="728">
        <v>449</v>
      </c>
      <c r="M76" s="728"/>
      <c r="N76" s="728">
        <v>2.7</v>
      </c>
      <c r="O76" s="728"/>
      <c r="P76" s="668">
        <v>13.080189557008001</v>
      </c>
      <c r="Q76" s="670">
        <f t="shared" si="8"/>
        <v>14.3</v>
      </c>
      <c r="R76" s="432">
        <v>3.18</v>
      </c>
      <c r="S76" s="432">
        <v>8.6</v>
      </c>
      <c r="T76" s="670">
        <v>9</v>
      </c>
      <c r="U76" s="668">
        <f t="shared" si="0"/>
        <v>2.8301886792452828</v>
      </c>
      <c r="V76" s="668">
        <f t="shared" si="7"/>
        <v>63.023255813953497</v>
      </c>
      <c r="W76" s="668">
        <v>0.4</v>
      </c>
      <c r="X76" s="432">
        <f t="shared" si="12"/>
        <v>0.60139860139860135</v>
      </c>
      <c r="Y76" s="432">
        <f t="shared" si="4"/>
        <v>3.1418400000000002</v>
      </c>
      <c r="Z76" s="432">
        <f t="shared" si="4"/>
        <v>8.4968000000000004</v>
      </c>
      <c r="AA76" s="670">
        <f t="shared" si="4"/>
        <v>8.8919999999999995</v>
      </c>
      <c r="AB76" s="432">
        <f t="shared" si="5"/>
        <v>2.8301886792452828</v>
      </c>
      <c r="AC76" s="670">
        <f t="shared" si="2"/>
        <v>63.023255813953497</v>
      </c>
      <c r="AD76" s="728">
        <v>31</v>
      </c>
      <c r="AE76" s="432">
        <f t="shared" si="13"/>
        <v>97.397040000000004</v>
      </c>
      <c r="AF76" s="449"/>
    </row>
    <row r="77" spans="1:32" ht="18.75" customHeight="1" x14ac:dyDescent="0.2">
      <c r="A77" s="728">
        <v>64</v>
      </c>
      <c r="B77" s="461" t="s">
        <v>172</v>
      </c>
      <c r="C77" s="728" t="s">
        <v>46</v>
      </c>
      <c r="D77" s="728">
        <v>673</v>
      </c>
      <c r="E77" s="728" t="s">
        <v>173</v>
      </c>
      <c r="F77" s="728">
        <v>177.8</v>
      </c>
      <c r="G77" s="728" t="s">
        <v>28</v>
      </c>
      <c r="H77" s="728" t="s">
        <v>50</v>
      </c>
      <c r="I77" s="723">
        <v>560.79</v>
      </c>
      <c r="J77" s="728">
        <v>250</v>
      </c>
      <c r="K77" s="728"/>
      <c r="L77" s="728">
        <v>470</v>
      </c>
      <c r="M77" s="728"/>
      <c r="N77" s="728">
        <v>7.6</v>
      </c>
      <c r="O77" s="728"/>
      <c r="P77" s="448">
        <v>37.759581546030354</v>
      </c>
      <c r="Q77" s="670">
        <f>LEFT(H77,(FIND("K",H77,1)-1))*J77/100</f>
        <v>15</v>
      </c>
      <c r="R77" s="432">
        <v>0.69</v>
      </c>
      <c r="S77" s="432">
        <v>4.0999999999999996</v>
      </c>
      <c r="T77" s="670">
        <v>10</v>
      </c>
      <c r="U77" s="668">
        <f t="shared" si="0"/>
        <v>14.492753623188406</v>
      </c>
      <c r="V77" s="668">
        <f t="shared" si="7"/>
        <v>83.170731707317074</v>
      </c>
      <c r="W77" s="668">
        <v>0.8</v>
      </c>
      <c r="X77" s="432">
        <f t="shared" si="12"/>
        <v>0.27333333333333332</v>
      </c>
      <c r="Y77" s="432">
        <f t="shared" si="4"/>
        <v>0.68171999999999999</v>
      </c>
      <c r="Z77" s="432">
        <f t="shared" si="4"/>
        <v>4.0507999999999997</v>
      </c>
      <c r="AA77" s="670">
        <f t="shared" si="4"/>
        <v>9.879999999999999</v>
      </c>
      <c r="AB77" s="432">
        <f t="shared" si="5"/>
        <v>14.492753623188406</v>
      </c>
      <c r="AC77" s="670">
        <f t="shared" si="2"/>
        <v>83.170731707317074</v>
      </c>
      <c r="AD77" s="728">
        <v>31</v>
      </c>
      <c r="AE77" s="432">
        <f>Y77*AD77</f>
        <v>21.133320000000001</v>
      </c>
      <c r="AF77" s="449"/>
    </row>
    <row r="78" spans="1:32" ht="18.75" customHeight="1" x14ac:dyDescent="0.2">
      <c r="A78" s="728">
        <v>65</v>
      </c>
      <c r="B78" s="461" t="s">
        <v>171</v>
      </c>
      <c r="C78" s="728" t="s">
        <v>46</v>
      </c>
      <c r="D78" s="723">
        <v>646</v>
      </c>
      <c r="E78" s="723" t="s">
        <v>191</v>
      </c>
      <c r="F78" s="728">
        <v>177.8</v>
      </c>
      <c r="G78" s="728" t="s">
        <v>28</v>
      </c>
      <c r="H78" s="728" t="s">
        <v>48</v>
      </c>
      <c r="I78" s="723">
        <v>570.15</v>
      </c>
      <c r="J78" s="723"/>
      <c r="K78" s="723">
        <v>260</v>
      </c>
      <c r="L78" s="723"/>
      <c r="M78" s="723">
        <v>0.4</v>
      </c>
      <c r="N78" s="728"/>
      <c r="O78" s="723"/>
      <c r="P78" s="668">
        <v>45.083947107319133</v>
      </c>
      <c r="Q78" s="492">
        <f>LEFT(H78,(FIND("K",H78,1)-1))*J78/100</f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ref="Y78:Z78" si="14">R78*0.952</f>
        <v>0</v>
      </c>
      <c r="Z78" s="432">
        <f t="shared" si="14"/>
        <v>0</v>
      </c>
      <c r="AA78" s="670">
        <f t="shared" ref="AA78" si="15">T78*0.988</f>
        <v>0</v>
      </c>
      <c r="AB78" s="432">
        <f t="shared" si="5"/>
        <v>0</v>
      </c>
      <c r="AC78" s="432">
        <f t="shared" si="2"/>
        <v>0</v>
      </c>
      <c r="AD78" s="728">
        <v>31</v>
      </c>
      <c r="AE78" s="432">
        <f>Y78*AD78</f>
        <v>0</v>
      </c>
      <c r="AF78" s="669" t="s">
        <v>335</v>
      </c>
    </row>
    <row r="79" spans="1:32" ht="18.75" customHeight="1" x14ac:dyDescent="0.2">
      <c r="A79" s="677"/>
      <c r="B79" s="728"/>
      <c r="C79" s="728"/>
      <c r="D79" s="723"/>
      <c r="E79" s="723"/>
      <c r="F79" s="461"/>
      <c r="G79" s="728"/>
      <c r="H79" s="728"/>
      <c r="I79" s="723"/>
      <c r="J79" s="723"/>
      <c r="K79" s="723"/>
      <c r="L79" s="723"/>
      <c r="M79" s="723"/>
      <c r="N79" s="728"/>
      <c r="O79" s="723"/>
      <c r="P79" s="668"/>
      <c r="Q79" s="492"/>
      <c r="R79" s="466">
        <f>SUM(R14:R78)</f>
        <v>382.47000000000008</v>
      </c>
      <c r="S79" s="466">
        <f>SUM(S14:S78)</f>
        <v>770.29</v>
      </c>
      <c r="T79" s="512">
        <f>SUM(T14:T78)</f>
        <v>14271.699999999999</v>
      </c>
      <c r="U79" s="466">
        <f>T79/R79</f>
        <v>37.314560619133516</v>
      </c>
      <c r="V79" s="466"/>
      <c r="W79" s="466"/>
      <c r="X79" s="466"/>
      <c r="Y79" s="466">
        <f>SUM(Y14:Y78)</f>
        <v>377.88035999999994</v>
      </c>
      <c r="Z79" s="466">
        <f>SUM(Z14:Z78)</f>
        <v>761.04652000000033</v>
      </c>
      <c r="AA79" s="678">
        <f>SUM(AA14:AA78)</f>
        <v>14100.4396</v>
      </c>
      <c r="AB79" s="466">
        <f>AA79/Y79</f>
        <v>37.31456061913353</v>
      </c>
      <c r="AC79" s="466"/>
      <c r="AD79" s="727"/>
      <c r="AE79" s="466">
        <f>SUM(AE14:AE78)</f>
        <v>11799.446424000002</v>
      </c>
      <c r="AF79" s="669"/>
    </row>
    <row r="80" spans="1:32" ht="18.75" customHeight="1" x14ac:dyDescent="0.2">
      <c r="A80" s="677"/>
      <c r="B80" s="728"/>
      <c r="C80" s="728"/>
      <c r="D80" s="723"/>
      <c r="E80" s="723"/>
      <c r="F80" s="461"/>
      <c r="G80" s="728"/>
      <c r="H80" s="728"/>
      <c r="I80" s="723"/>
      <c r="J80" s="723"/>
      <c r="K80" s="723"/>
      <c r="L80" s="723"/>
      <c r="M80" s="723"/>
      <c r="N80" s="728"/>
      <c r="O80" s="723"/>
      <c r="P80" s="668"/>
      <c r="Q80" s="492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727"/>
      <c r="AE80" s="466"/>
      <c r="AF80" s="669"/>
    </row>
    <row r="81" spans="1:32" ht="18.75" customHeight="1" x14ac:dyDescent="0.2">
      <c r="A81" s="677"/>
      <c r="B81" s="728"/>
      <c r="C81" s="728"/>
      <c r="D81" s="723"/>
      <c r="E81" s="722" t="s">
        <v>388</v>
      </c>
      <c r="F81" s="461"/>
      <c r="G81" s="728"/>
      <c r="H81" s="728"/>
      <c r="I81" s="723"/>
      <c r="J81" s="723"/>
      <c r="K81" s="723"/>
      <c r="L81" s="723"/>
      <c r="M81" s="723"/>
      <c r="N81" s="728"/>
      <c r="O81" s="723"/>
      <c r="P81" s="668"/>
      <c r="Q81" s="492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727"/>
      <c r="AE81" s="466"/>
      <c r="AF81" s="669"/>
    </row>
    <row r="82" spans="1:32" ht="18.75" customHeight="1" x14ac:dyDescent="0.2">
      <c r="A82" s="728">
        <v>66</v>
      </c>
      <c r="B82" s="461" t="s">
        <v>148</v>
      </c>
      <c r="C82" s="728" t="s">
        <v>46</v>
      </c>
      <c r="D82" s="728">
        <v>650</v>
      </c>
      <c r="E82" s="728" t="s">
        <v>394</v>
      </c>
      <c r="F82" s="728">
        <v>177.8</v>
      </c>
      <c r="G82" s="728"/>
      <c r="H82" s="728"/>
      <c r="I82" s="723"/>
      <c r="J82" s="723"/>
      <c r="K82" s="723"/>
      <c r="L82" s="723"/>
      <c r="M82" s="723"/>
      <c r="N82" s="728"/>
      <c r="O82" s="723"/>
      <c r="P82" s="668"/>
      <c r="Q82" s="492"/>
      <c r="R82" s="466"/>
      <c r="S82" s="466"/>
      <c r="T82" s="512"/>
      <c r="U82" s="466"/>
      <c r="V82" s="466"/>
      <c r="W82" s="466"/>
      <c r="X82" s="466"/>
      <c r="Y82" s="682">
        <v>2</v>
      </c>
      <c r="Z82" s="682">
        <v>2</v>
      </c>
      <c r="AA82" s="678"/>
      <c r="AB82" s="466"/>
      <c r="AC82" s="466"/>
      <c r="AD82" s="727">
        <v>10</v>
      </c>
      <c r="AE82" s="466"/>
      <c r="AF82" s="669" t="s">
        <v>393</v>
      </c>
    </row>
    <row r="83" spans="1:32" ht="18.75" customHeight="1" x14ac:dyDescent="0.2">
      <c r="A83" s="728">
        <v>67</v>
      </c>
      <c r="B83" s="461" t="s">
        <v>155</v>
      </c>
      <c r="C83" s="728" t="s">
        <v>46</v>
      </c>
      <c r="D83" s="728">
        <v>674.13</v>
      </c>
      <c r="E83" s="728" t="s">
        <v>395</v>
      </c>
      <c r="F83" s="728">
        <v>177.8</v>
      </c>
      <c r="G83" s="728"/>
      <c r="H83" s="728"/>
      <c r="I83" s="723"/>
      <c r="J83" s="723"/>
      <c r="K83" s="723"/>
      <c r="L83" s="723"/>
      <c r="M83" s="723"/>
      <c r="N83" s="728"/>
      <c r="O83" s="723"/>
      <c r="P83" s="668"/>
      <c r="Q83" s="492"/>
      <c r="R83" s="466"/>
      <c r="S83" s="466"/>
      <c r="T83" s="512"/>
      <c r="U83" s="466"/>
      <c r="V83" s="466"/>
      <c r="W83" s="466"/>
      <c r="X83" s="466"/>
      <c r="Y83" s="682">
        <v>2</v>
      </c>
      <c r="Z83" s="711">
        <v>2</v>
      </c>
      <c r="AA83" s="678"/>
      <c r="AB83" s="466"/>
      <c r="AC83" s="466"/>
      <c r="AD83" s="727">
        <v>15</v>
      </c>
      <c r="AE83" s="466"/>
      <c r="AF83" s="669" t="s">
        <v>393</v>
      </c>
    </row>
    <row r="84" spans="1:32" ht="18.75" customHeight="1" x14ac:dyDescent="0.2">
      <c r="A84" s="677"/>
      <c r="B84" s="1913"/>
      <c r="C84" s="1913"/>
      <c r="D84" s="1913"/>
      <c r="E84" s="1913"/>
      <c r="F84" s="461"/>
      <c r="G84" s="728"/>
      <c r="H84" s="728"/>
      <c r="I84" s="728"/>
      <c r="J84" s="723"/>
      <c r="K84" s="723"/>
      <c r="L84" s="723"/>
      <c r="M84" s="723"/>
      <c r="N84" s="723"/>
      <c r="O84" s="723"/>
      <c r="P84" s="448"/>
      <c r="Q84" s="492"/>
      <c r="R84" s="723"/>
      <c r="S84" s="723"/>
      <c r="T84" s="723"/>
      <c r="U84" s="719"/>
      <c r="V84" s="719"/>
      <c r="W84" s="719"/>
      <c r="X84" s="719"/>
      <c r="Y84" s="682"/>
      <c r="Z84" s="682"/>
      <c r="AA84" s="722"/>
      <c r="AB84" s="719"/>
      <c r="AC84" s="723"/>
      <c r="AD84" s="728"/>
      <c r="AE84" s="432"/>
      <c r="AF84" s="669"/>
    </row>
    <row r="85" spans="1:32" ht="18.75" customHeight="1" x14ac:dyDescent="0.2">
      <c r="B85" s="1914" t="s">
        <v>389</v>
      </c>
      <c r="C85" s="1915"/>
      <c r="D85" s="1915"/>
      <c r="E85" s="1915"/>
      <c r="F85" s="1902"/>
      <c r="G85" s="719"/>
      <c r="H85" s="722"/>
      <c r="I85" s="722"/>
      <c r="J85" s="723"/>
      <c r="K85" s="723"/>
      <c r="L85" s="723"/>
      <c r="M85" s="723"/>
      <c r="N85" s="723"/>
      <c r="O85" s="723"/>
      <c r="P85" s="448"/>
      <c r="Q85" s="492"/>
      <c r="R85" s="723"/>
      <c r="S85" s="437"/>
      <c r="T85" s="723"/>
      <c r="U85" s="719"/>
      <c r="V85" s="719"/>
      <c r="W85" s="719"/>
      <c r="X85" s="421"/>
      <c r="Y85" s="723"/>
      <c r="Z85" s="723"/>
      <c r="AA85" s="723"/>
      <c r="AB85" s="719"/>
      <c r="AC85" s="719"/>
      <c r="AD85" s="723"/>
      <c r="AE85" s="723"/>
      <c r="AF85" s="722"/>
    </row>
    <row r="86" spans="1:32" ht="18.75" customHeight="1" x14ac:dyDescent="0.2">
      <c r="A86" s="725">
        <v>68</v>
      </c>
      <c r="B86" s="728" t="s">
        <v>131</v>
      </c>
      <c r="C86" s="725" t="s">
        <v>313</v>
      </c>
      <c r="D86" s="728">
        <v>389.74</v>
      </c>
      <c r="E86" s="679" t="s">
        <v>136</v>
      </c>
      <c r="F86" s="728">
        <v>177.8</v>
      </c>
      <c r="G86" s="728" t="s">
        <v>28</v>
      </c>
      <c r="H86" s="728" t="s">
        <v>58</v>
      </c>
      <c r="I86" s="723">
        <v>142.80000000000001</v>
      </c>
      <c r="J86" s="723">
        <v>220</v>
      </c>
      <c r="K86" s="728"/>
      <c r="L86" s="728">
        <v>24</v>
      </c>
      <c r="M86" s="728"/>
      <c r="N86" s="728">
        <v>0</v>
      </c>
      <c r="O86" s="728"/>
      <c r="P86" s="668">
        <v>18.879376041738954</v>
      </c>
      <c r="Q86" s="492">
        <f>(3*J86)/100</f>
        <v>6.6</v>
      </c>
      <c r="R86" s="432">
        <v>1.39</v>
      </c>
      <c r="S86" s="432">
        <v>2.2999999999999998</v>
      </c>
      <c r="T86" s="432">
        <v>0</v>
      </c>
      <c r="U86" s="432">
        <f>T86/R86</f>
        <v>0</v>
      </c>
      <c r="V86" s="432">
        <f t="shared" ref="V86:V89" si="16">(S86-R86)/S86*100</f>
        <v>39.565217391304344</v>
      </c>
      <c r="W86" s="432">
        <v>0.4</v>
      </c>
      <c r="X86" s="432">
        <f t="shared" ref="X86:X87" si="17">S86/Q86</f>
        <v>0.34848484848484845</v>
      </c>
      <c r="Y86" s="432">
        <f>R86*0.988</f>
        <v>1.3733199999999999</v>
      </c>
      <c r="Z86" s="432">
        <f>S86*0.988</f>
        <v>2.2723999999999998</v>
      </c>
      <c r="AA86" s="432">
        <f>T86*0.988</f>
        <v>0</v>
      </c>
      <c r="AB86" s="432">
        <f t="shared" ref="AB86:AC89" si="18">U86</f>
        <v>0</v>
      </c>
      <c r="AC86" s="432">
        <f t="shared" si="18"/>
        <v>39.565217391304344</v>
      </c>
      <c r="AD86" s="728">
        <v>31</v>
      </c>
      <c r="AE86" s="432">
        <f t="shared" ref="AE86:AE89" si="19">Y86*AD86</f>
        <v>42.572919999999996</v>
      </c>
      <c r="AF86" s="449"/>
    </row>
    <row r="87" spans="1:32" ht="18.75" customHeight="1" x14ac:dyDescent="0.2">
      <c r="A87" s="725">
        <v>69</v>
      </c>
      <c r="B87" s="728" t="s">
        <v>132</v>
      </c>
      <c r="C87" s="725" t="s">
        <v>313</v>
      </c>
      <c r="D87" s="728">
        <v>387.72</v>
      </c>
      <c r="E87" s="679" t="s">
        <v>135</v>
      </c>
      <c r="F87" s="728">
        <v>177.8</v>
      </c>
      <c r="G87" s="728" t="s">
        <v>28</v>
      </c>
      <c r="H87" s="728" t="s">
        <v>58</v>
      </c>
      <c r="I87" s="723">
        <v>136.03</v>
      </c>
      <c r="J87" s="728">
        <v>200</v>
      </c>
      <c r="K87" s="728"/>
      <c r="L87" s="728">
        <v>30</v>
      </c>
      <c r="M87" s="728"/>
      <c r="N87" s="728">
        <v>0</v>
      </c>
      <c r="O87" s="728"/>
      <c r="P87" s="668">
        <v>11.643779945071426</v>
      </c>
      <c r="Q87" s="492">
        <f>(3*J87)/100</f>
        <v>6</v>
      </c>
      <c r="R87" s="432">
        <v>3.06</v>
      </c>
      <c r="S87" s="432">
        <v>4.9000000000000004</v>
      </c>
      <c r="T87" s="432">
        <v>0</v>
      </c>
      <c r="U87" s="432">
        <v>0</v>
      </c>
      <c r="V87" s="432">
        <f t="shared" si="16"/>
        <v>37.551020408163268</v>
      </c>
      <c r="W87" s="432">
        <v>0.3</v>
      </c>
      <c r="X87" s="432">
        <f t="shared" si="17"/>
        <v>0.81666666666666676</v>
      </c>
      <c r="Y87" s="432">
        <f t="shared" ref="Y87:AA89" si="20">R87*0.988</f>
        <v>3.0232800000000002</v>
      </c>
      <c r="Z87" s="432">
        <f t="shared" si="20"/>
        <v>4.8412000000000006</v>
      </c>
      <c r="AA87" s="432">
        <f t="shared" si="20"/>
        <v>0</v>
      </c>
      <c r="AB87" s="432">
        <v>0</v>
      </c>
      <c r="AC87" s="432">
        <f>V87</f>
        <v>37.551020408163268</v>
      </c>
      <c r="AD87" s="728">
        <v>31</v>
      </c>
      <c r="AE87" s="432">
        <f t="shared" si="19"/>
        <v>93.721680000000006</v>
      </c>
      <c r="AF87" s="449"/>
    </row>
    <row r="88" spans="1:32" ht="18.75" customHeight="1" x14ac:dyDescent="0.25">
      <c r="A88" s="725">
        <v>70</v>
      </c>
      <c r="B88" s="728" t="s">
        <v>121</v>
      </c>
      <c r="C88" s="725" t="s">
        <v>313</v>
      </c>
      <c r="D88" s="728">
        <v>389.57</v>
      </c>
      <c r="E88" s="728" t="s">
        <v>137</v>
      </c>
      <c r="F88" s="728">
        <v>177.8</v>
      </c>
      <c r="G88" s="728" t="s">
        <v>28</v>
      </c>
      <c r="H88" s="707" t="s">
        <v>363</v>
      </c>
      <c r="I88" s="723">
        <v>137.58000000000001</v>
      </c>
      <c r="J88" s="728">
        <v>85</v>
      </c>
      <c r="K88" s="728"/>
      <c r="L88" s="728">
        <v>30</v>
      </c>
      <c r="M88" s="728"/>
      <c r="N88" s="728"/>
      <c r="O88" s="728"/>
      <c r="P88" s="668">
        <v>19.373011031497143</v>
      </c>
      <c r="Q88" s="492">
        <f>(3*J88)/100</f>
        <v>2.5499999999999998</v>
      </c>
      <c r="R88" s="432">
        <v>3.97</v>
      </c>
      <c r="S88" s="432">
        <v>5.45</v>
      </c>
      <c r="T88" s="432">
        <v>0</v>
      </c>
      <c r="U88" s="432">
        <v>0</v>
      </c>
      <c r="V88" s="432">
        <f t="shared" si="16"/>
        <v>27.155963302752294</v>
      </c>
      <c r="W88" s="432">
        <v>0.2</v>
      </c>
      <c r="X88" s="432">
        <v>0</v>
      </c>
      <c r="Y88" s="432">
        <f t="shared" si="20"/>
        <v>3.9223600000000003</v>
      </c>
      <c r="Z88" s="432">
        <f t="shared" si="20"/>
        <v>5.3845999999999998</v>
      </c>
      <c r="AA88" s="432">
        <f t="shared" si="20"/>
        <v>0</v>
      </c>
      <c r="AB88" s="432">
        <v>0</v>
      </c>
      <c r="AC88" s="432">
        <f>V88</f>
        <v>27.155963302752294</v>
      </c>
      <c r="AD88" s="728">
        <v>31</v>
      </c>
      <c r="AE88" s="432">
        <f t="shared" si="19"/>
        <v>121.59316000000001</v>
      </c>
      <c r="AF88" s="669"/>
    </row>
    <row r="89" spans="1:32" ht="18.75" customHeight="1" x14ac:dyDescent="0.2">
      <c r="A89" s="725">
        <v>71</v>
      </c>
      <c r="B89" s="728" t="s">
        <v>122</v>
      </c>
      <c r="C89" s="725" t="s">
        <v>313</v>
      </c>
      <c r="D89" s="728">
        <v>391.06</v>
      </c>
      <c r="E89" s="728" t="s">
        <v>138</v>
      </c>
      <c r="F89" s="728">
        <v>177.8</v>
      </c>
      <c r="G89" s="728" t="s">
        <v>28</v>
      </c>
      <c r="H89" s="728" t="s">
        <v>58</v>
      </c>
      <c r="I89" s="432">
        <v>151.72999999999999</v>
      </c>
      <c r="J89" s="728">
        <v>230</v>
      </c>
      <c r="K89" s="727"/>
      <c r="L89" s="728">
        <v>54</v>
      </c>
      <c r="M89" s="727"/>
      <c r="N89" s="728">
        <v>0.1</v>
      </c>
      <c r="O89" s="727"/>
      <c r="P89" s="668">
        <v>13.133289530109833</v>
      </c>
      <c r="Q89" s="492">
        <f>(3*J89)/100</f>
        <v>6.9</v>
      </c>
      <c r="R89" s="432">
        <v>3.32</v>
      </c>
      <c r="S89" s="432">
        <v>3.37</v>
      </c>
      <c r="T89" s="432">
        <v>0</v>
      </c>
      <c r="U89" s="432">
        <f>T89/R89</f>
        <v>0</v>
      </c>
      <c r="V89" s="432">
        <f t="shared" si="16"/>
        <v>1.4836795252225599</v>
      </c>
      <c r="W89" s="432">
        <v>0.2</v>
      </c>
      <c r="X89" s="432">
        <f t="shared" ref="X89" si="21">S89/Q89</f>
        <v>0.48840579710144927</v>
      </c>
      <c r="Y89" s="432">
        <f t="shared" si="20"/>
        <v>3.28016</v>
      </c>
      <c r="Z89" s="432">
        <f t="shared" si="20"/>
        <v>3.3295599999999999</v>
      </c>
      <c r="AA89" s="432">
        <f t="shared" si="20"/>
        <v>0</v>
      </c>
      <c r="AB89" s="432">
        <f t="shared" si="18"/>
        <v>0</v>
      </c>
      <c r="AC89" s="432">
        <f t="shared" si="18"/>
        <v>1.4836795252225599</v>
      </c>
      <c r="AD89" s="728">
        <v>31</v>
      </c>
      <c r="AE89" s="432">
        <f t="shared" si="19"/>
        <v>101.68496</v>
      </c>
      <c r="AF89" s="680"/>
    </row>
    <row r="90" spans="1:32" ht="18.75" customHeight="1" x14ac:dyDescent="0.2">
      <c r="A90" s="725">
        <v>72</v>
      </c>
      <c r="B90" s="728" t="s">
        <v>188</v>
      </c>
      <c r="C90" s="725" t="s">
        <v>344</v>
      </c>
      <c r="D90" s="728">
        <v>400.5</v>
      </c>
      <c r="E90" s="728" t="s">
        <v>345</v>
      </c>
      <c r="F90" s="728">
        <v>177.8</v>
      </c>
      <c r="G90" s="728"/>
      <c r="H90" s="728"/>
      <c r="I90" s="432"/>
      <c r="J90" s="728"/>
      <c r="K90" s="727"/>
      <c r="L90" s="728"/>
      <c r="M90" s="727"/>
      <c r="N90" s="728"/>
      <c r="O90" s="727"/>
      <c r="P90" s="668"/>
      <c r="Q90" s="437"/>
      <c r="R90" s="432"/>
      <c r="S90" s="432"/>
      <c r="T90" s="432"/>
      <c r="U90" s="432"/>
      <c r="V90" s="432"/>
      <c r="W90" s="432"/>
      <c r="X90" s="432"/>
      <c r="Y90" s="432"/>
      <c r="Z90" s="432"/>
      <c r="AA90" s="432"/>
      <c r="AB90" s="432"/>
      <c r="AC90" s="432"/>
      <c r="AD90" s="728"/>
      <c r="AE90" s="432"/>
      <c r="AF90" s="669"/>
    </row>
    <row r="91" spans="1:32" ht="18.75" customHeight="1" x14ac:dyDescent="0.2">
      <c r="A91" s="725">
        <v>73</v>
      </c>
      <c r="B91" s="728" t="s">
        <v>186</v>
      </c>
      <c r="C91" s="725" t="s">
        <v>346</v>
      </c>
      <c r="D91" s="728">
        <v>349.5</v>
      </c>
      <c r="E91" s="461" t="s">
        <v>347</v>
      </c>
      <c r="F91" s="728">
        <v>177.8</v>
      </c>
      <c r="G91" s="728"/>
      <c r="H91" s="728"/>
      <c r="I91" s="432"/>
      <c r="J91" s="728"/>
      <c r="K91" s="728"/>
      <c r="L91" s="728"/>
      <c r="M91" s="727"/>
      <c r="N91" s="728"/>
      <c r="O91" s="727"/>
      <c r="P91" s="668"/>
      <c r="Q91" s="437"/>
      <c r="R91" s="432"/>
      <c r="S91" s="432"/>
      <c r="T91" s="432"/>
      <c r="U91" s="432"/>
      <c r="V91" s="432"/>
      <c r="W91" s="432"/>
      <c r="X91" s="432"/>
      <c r="Y91" s="432"/>
      <c r="Z91" s="432"/>
      <c r="AA91" s="432"/>
      <c r="AB91" s="432"/>
      <c r="AC91" s="432"/>
      <c r="AD91" s="728"/>
      <c r="AE91" s="432"/>
      <c r="AF91" s="669"/>
    </row>
    <row r="92" spans="1:32" ht="18.75" customHeight="1" x14ac:dyDescent="0.2">
      <c r="A92" s="677"/>
      <c r="B92" s="1939"/>
      <c r="C92" s="1939"/>
      <c r="D92" s="1939"/>
      <c r="E92" s="1940"/>
      <c r="F92" s="723"/>
      <c r="G92" s="719"/>
      <c r="H92" s="722"/>
      <c r="I92" s="722"/>
      <c r="J92" s="723"/>
      <c r="K92" s="723"/>
      <c r="L92" s="723"/>
      <c r="M92" s="723"/>
      <c r="N92" s="723"/>
      <c r="O92" s="723"/>
      <c r="P92" s="448"/>
      <c r="Q92" s="437"/>
      <c r="R92" s="466">
        <f>SUM(R86:R91)</f>
        <v>11.74</v>
      </c>
      <c r="S92" s="466">
        <f>SUM(S86:S91)</f>
        <v>16.02</v>
      </c>
      <c r="T92" s="466">
        <f>SUM(T86:T89)</f>
        <v>0</v>
      </c>
      <c r="U92" s="466">
        <f>SUM(U86:U89)</f>
        <v>0</v>
      </c>
      <c r="V92" s="719"/>
      <c r="W92" s="719"/>
      <c r="X92" s="719"/>
      <c r="Y92" s="466">
        <f>SUM(Y86:Y91)</f>
        <v>11.599120000000001</v>
      </c>
      <c r="Z92" s="466">
        <f>SUM(Z86:Z91)</f>
        <v>15.827760000000001</v>
      </c>
      <c r="AA92" s="466">
        <f>SUM(AA86:AA89)</f>
        <v>0</v>
      </c>
      <c r="AB92" s="466">
        <v>0</v>
      </c>
      <c r="AC92" s="719"/>
      <c r="AD92" s="723"/>
      <c r="AE92" s="466">
        <f>SUM(AE86:AE91)</f>
        <v>359.57272</v>
      </c>
      <c r="AF92" s="471"/>
    </row>
    <row r="93" spans="1:32" ht="18.75" customHeight="1" x14ac:dyDescent="0.2">
      <c r="A93" s="677"/>
      <c r="B93" s="1939"/>
      <c r="C93" s="1939"/>
      <c r="D93" s="1939"/>
      <c r="E93" s="1940"/>
      <c r="F93" s="727"/>
      <c r="G93" s="728"/>
      <c r="H93" s="728"/>
      <c r="I93" s="432"/>
      <c r="J93" s="728"/>
      <c r="K93" s="727"/>
      <c r="L93" s="728"/>
      <c r="M93" s="727"/>
      <c r="N93" s="668"/>
      <c r="O93" s="727"/>
      <c r="P93" s="682"/>
      <c r="Q93" s="466"/>
      <c r="R93" s="466"/>
      <c r="S93" s="466"/>
      <c r="T93" s="466"/>
      <c r="U93" s="466"/>
      <c r="V93" s="466"/>
      <c r="W93" s="466"/>
      <c r="X93" s="466"/>
      <c r="Y93" s="466"/>
      <c r="Z93" s="678"/>
      <c r="AA93" s="466"/>
      <c r="AB93" s="466"/>
      <c r="AC93" s="466"/>
      <c r="AD93" s="466"/>
      <c r="AE93" s="466"/>
      <c r="AF93" s="680"/>
    </row>
    <row r="94" spans="1:32" ht="18.75" customHeight="1" x14ac:dyDescent="0.2">
      <c r="A94" s="677"/>
      <c r="B94" s="1894" t="s">
        <v>390</v>
      </c>
      <c r="C94" s="1912"/>
      <c r="D94" s="1912"/>
      <c r="E94" s="1912"/>
      <c r="F94" s="1912"/>
      <c r="G94" s="719"/>
      <c r="H94" s="722"/>
      <c r="I94" s="722"/>
      <c r="J94" s="723"/>
      <c r="K94" s="723"/>
      <c r="L94" s="723"/>
      <c r="M94" s="723"/>
      <c r="N94" s="723"/>
      <c r="O94" s="723"/>
      <c r="P94" s="448"/>
      <c r="Q94" s="437"/>
      <c r="R94" s="723"/>
      <c r="S94" s="723"/>
      <c r="T94" s="723"/>
      <c r="U94" s="719"/>
      <c r="V94" s="719"/>
      <c r="W94" s="719"/>
      <c r="X94" s="719"/>
      <c r="Y94" s="723"/>
      <c r="Z94" s="723"/>
      <c r="AA94" s="723"/>
      <c r="AB94" s="719"/>
      <c r="AC94" s="719"/>
      <c r="AD94" s="723"/>
      <c r="AE94" s="723"/>
      <c r="AF94" s="722"/>
    </row>
    <row r="95" spans="1:32" ht="18.75" customHeight="1" x14ac:dyDescent="0.2">
      <c r="A95" s="728">
        <v>74</v>
      </c>
      <c r="B95" s="724" t="s">
        <v>107</v>
      </c>
      <c r="C95" s="723" t="s">
        <v>109</v>
      </c>
      <c r="D95" s="723"/>
      <c r="E95" s="723"/>
      <c r="F95" s="723"/>
      <c r="G95" s="719"/>
      <c r="H95" s="722"/>
      <c r="I95" s="722"/>
      <c r="J95" s="723"/>
      <c r="K95" s="723"/>
      <c r="L95" s="723"/>
      <c r="M95" s="723"/>
      <c r="N95" s="723"/>
      <c r="O95" s="723"/>
      <c r="P95" s="448"/>
      <c r="Q95" s="437"/>
      <c r="R95" s="723"/>
      <c r="S95" s="723"/>
      <c r="T95" s="723"/>
      <c r="U95" s="719"/>
      <c r="V95" s="719"/>
      <c r="W95" s="719"/>
      <c r="X95" s="719"/>
      <c r="Y95" s="722"/>
      <c r="Z95" s="722"/>
      <c r="AA95" s="723"/>
      <c r="AB95" s="719"/>
      <c r="AC95" s="719"/>
      <c r="AD95" s="493"/>
      <c r="AE95" s="723"/>
      <c r="AF95" s="722"/>
    </row>
    <row r="96" spans="1:32" ht="18.75" customHeight="1" x14ac:dyDescent="0.2">
      <c r="A96" s="728">
        <v>75</v>
      </c>
      <c r="B96" s="724" t="s">
        <v>108</v>
      </c>
      <c r="C96" s="723" t="s">
        <v>109</v>
      </c>
      <c r="D96" s="723"/>
      <c r="E96" s="723"/>
      <c r="F96" s="723"/>
      <c r="G96" s="719"/>
      <c r="H96" s="722"/>
      <c r="I96" s="722"/>
      <c r="J96" s="723"/>
      <c r="K96" s="723"/>
      <c r="L96" s="723"/>
      <c r="M96" s="723"/>
      <c r="N96" s="723"/>
      <c r="O96" s="723"/>
      <c r="P96" s="448"/>
      <c r="Q96" s="437"/>
      <c r="R96" s="723"/>
      <c r="S96" s="723"/>
      <c r="T96" s="723"/>
      <c r="U96" s="719"/>
      <c r="V96" s="719"/>
      <c r="W96" s="719"/>
      <c r="X96" s="719"/>
      <c r="Y96" s="722"/>
      <c r="Z96" s="722"/>
      <c r="AA96" s="723"/>
      <c r="AB96" s="719"/>
      <c r="AC96" s="719"/>
      <c r="AD96" s="493"/>
      <c r="AE96" s="723"/>
      <c r="AF96" s="722"/>
    </row>
    <row r="97" spans="1:32" ht="18.75" customHeight="1" x14ac:dyDescent="0.2">
      <c r="A97" s="728">
        <v>76</v>
      </c>
      <c r="B97" s="724" t="s">
        <v>195</v>
      </c>
      <c r="C97" s="725" t="s">
        <v>193</v>
      </c>
      <c r="D97" s="723"/>
      <c r="E97" s="723"/>
      <c r="F97" s="723"/>
      <c r="G97" s="719"/>
      <c r="H97" s="722"/>
      <c r="I97" s="722"/>
      <c r="J97" s="723"/>
      <c r="K97" s="723"/>
      <c r="L97" s="723"/>
      <c r="M97" s="723"/>
      <c r="N97" s="723"/>
      <c r="O97" s="723"/>
      <c r="P97" s="448"/>
      <c r="Q97" s="437"/>
      <c r="R97" s="723"/>
      <c r="S97" s="723"/>
      <c r="T97" s="723"/>
      <c r="U97" s="719"/>
      <c r="V97" s="719"/>
      <c r="W97" s="719"/>
      <c r="X97" s="719"/>
      <c r="Y97" s="722"/>
      <c r="Z97" s="722"/>
      <c r="AA97" s="723"/>
      <c r="AB97" s="719"/>
      <c r="AC97" s="719"/>
      <c r="AD97" s="493"/>
      <c r="AE97" s="723"/>
      <c r="AF97" s="722"/>
    </row>
    <row r="98" spans="1:32" ht="18.75" customHeight="1" x14ac:dyDescent="0.2">
      <c r="A98" s="728">
        <v>77</v>
      </c>
      <c r="B98" s="724" t="s">
        <v>192</v>
      </c>
      <c r="C98" s="725" t="s">
        <v>193</v>
      </c>
      <c r="D98" s="723"/>
      <c r="E98" s="723"/>
      <c r="F98" s="723"/>
      <c r="G98" s="719"/>
      <c r="H98" s="722"/>
      <c r="I98" s="722"/>
      <c r="J98" s="723"/>
      <c r="K98" s="723"/>
      <c r="L98" s="723"/>
      <c r="M98" s="723"/>
      <c r="N98" s="723"/>
      <c r="O98" s="723"/>
      <c r="P98" s="448"/>
      <c r="Q98" s="437"/>
      <c r="R98" s="723"/>
      <c r="S98" s="723"/>
      <c r="T98" s="723"/>
      <c r="U98" s="719"/>
      <c r="V98" s="719"/>
      <c r="W98" s="719"/>
      <c r="X98" s="719"/>
      <c r="Y98" s="722"/>
      <c r="Z98" s="722"/>
      <c r="AA98" s="723"/>
      <c r="AB98" s="719"/>
      <c r="AC98" s="719"/>
      <c r="AD98" s="493"/>
      <c r="AE98" s="723"/>
      <c r="AF98" s="722"/>
    </row>
    <row r="99" spans="1:32" ht="18.75" customHeight="1" x14ac:dyDescent="0.2">
      <c r="A99" s="728"/>
      <c r="B99" s="1894" t="s">
        <v>391</v>
      </c>
      <c r="C99" s="1912"/>
      <c r="D99" s="1912"/>
      <c r="E99" s="1912"/>
      <c r="F99" s="1912"/>
      <c r="G99" s="719"/>
      <c r="H99" s="722"/>
      <c r="I99" s="722"/>
      <c r="J99" s="723"/>
      <c r="K99" s="723"/>
      <c r="L99" s="723"/>
      <c r="M99" s="723"/>
      <c r="N99" s="723"/>
      <c r="O99" s="723"/>
      <c r="P99" s="448"/>
      <c r="Q99" s="437"/>
      <c r="R99" s="723"/>
      <c r="S99" s="723"/>
      <c r="T99" s="723"/>
      <c r="U99" s="719"/>
      <c r="V99" s="719"/>
      <c r="W99" s="719"/>
      <c r="X99" s="719"/>
      <c r="Y99" s="723"/>
      <c r="Z99" s="723"/>
      <c r="AA99" s="723"/>
      <c r="AB99" s="719"/>
      <c r="AC99" s="719"/>
      <c r="AD99" s="723"/>
      <c r="AE99" s="723"/>
      <c r="AF99" s="722"/>
    </row>
    <row r="100" spans="1:32" ht="18.75" customHeight="1" x14ac:dyDescent="0.2">
      <c r="A100" s="728">
        <v>78</v>
      </c>
      <c r="B100" s="461" t="s">
        <v>189</v>
      </c>
      <c r="C100" s="728" t="s">
        <v>46</v>
      </c>
      <c r="D100" s="728">
        <v>673</v>
      </c>
      <c r="E100" s="728" t="s">
        <v>190</v>
      </c>
      <c r="F100" s="728">
        <v>177.8</v>
      </c>
      <c r="G100" s="728"/>
      <c r="H100" s="728"/>
      <c r="I100" s="723"/>
      <c r="J100" s="723"/>
      <c r="K100" s="723"/>
      <c r="L100" s="723"/>
      <c r="M100" s="723"/>
      <c r="N100" s="723"/>
      <c r="O100" s="723"/>
      <c r="P100" s="448"/>
      <c r="Q100" s="437"/>
      <c r="R100" s="723"/>
      <c r="S100" s="723"/>
      <c r="T100" s="723"/>
      <c r="U100" s="719"/>
      <c r="V100" s="719"/>
      <c r="W100" s="719"/>
      <c r="X100" s="719"/>
      <c r="Y100" s="473"/>
      <c r="Z100" s="683"/>
      <c r="AA100" s="722"/>
      <c r="AB100" s="719"/>
      <c r="AC100" s="723"/>
      <c r="AD100" s="728"/>
      <c r="AE100" s="432"/>
      <c r="AF100" s="449"/>
    </row>
    <row r="101" spans="1:32" ht="18.75" customHeight="1" x14ac:dyDescent="0.3">
      <c r="A101" s="728">
        <v>79</v>
      </c>
      <c r="B101" s="461" t="s">
        <v>181</v>
      </c>
      <c r="C101" s="684" t="s">
        <v>183</v>
      </c>
      <c r="D101" s="728">
        <v>374.5</v>
      </c>
      <c r="E101" s="728" t="s">
        <v>182</v>
      </c>
      <c r="F101" s="728">
        <v>177.8</v>
      </c>
      <c r="G101" s="728"/>
      <c r="H101" s="728"/>
      <c r="I101" s="723"/>
      <c r="J101" s="728"/>
      <c r="K101" s="728"/>
      <c r="L101" s="728"/>
      <c r="M101" s="728"/>
      <c r="N101" s="668"/>
      <c r="O101" s="728"/>
      <c r="P101" s="432"/>
      <c r="Q101" s="432"/>
      <c r="R101" s="432"/>
      <c r="S101" s="432"/>
      <c r="T101" s="432"/>
      <c r="U101" s="432"/>
      <c r="V101" s="432"/>
      <c r="W101" s="432"/>
      <c r="X101" s="685"/>
      <c r="Y101" s="432"/>
      <c r="Z101" s="432"/>
      <c r="AA101" s="432"/>
      <c r="AB101" s="432"/>
      <c r="AC101" s="432"/>
      <c r="AD101" s="728"/>
      <c r="AE101" s="432"/>
      <c r="AF101" s="449"/>
    </row>
    <row r="102" spans="1:32" ht="18.75" customHeight="1" x14ac:dyDescent="0.2">
      <c r="A102" s="728">
        <v>80</v>
      </c>
      <c r="B102" s="461" t="s">
        <v>174</v>
      </c>
      <c r="C102" s="728" t="s">
        <v>46</v>
      </c>
      <c r="D102" s="728">
        <v>672</v>
      </c>
      <c r="E102" s="728" t="s">
        <v>175</v>
      </c>
      <c r="F102" s="728">
        <v>177.8</v>
      </c>
      <c r="G102" s="728"/>
      <c r="H102" s="728"/>
      <c r="I102" s="723"/>
      <c r="J102" s="728"/>
      <c r="K102" s="728"/>
      <c r="L102" s="728"/>
      <c r="M102" s="728"/>
      <c r="N102" s="668"/>
      <c r="O102" s="728"/>
      <c r="P102" s="668"/>
      <c r="Q102" s="432"/>
      <c r="R102" s="432"/>
      <c r="S102" s="432"/>
      <c r="T102" s="432"/>
      <c r="U102" s="432"/>
      <c r="V102" s="432"/>
      <c r="W102" s="432"/>
      <c r="X102" s="432"/>
      <c r="Y102" s="432"/>
      <c r="Z102" s="432"/>
      <c r="AA102" s="432"/>
      <c r="AB102" s="432"/>
      <c r="AC102" s="432"/>
      <c r="AD102" s="728"/>
      <c r="AE102" s="432"/>
      <c r="AF102" s="449"/>
    </row>
    <row r="103" spans="1:32" ht="18.75" customHeight="1" x14ac:dyDescent="0.2">
      <c r="A103" s="728">
        <v>81</v>
      </c>
      <c r="B103" s="724" t="s">
        <v>103</v>
      </c>
      <c r="C103" s="728" t="s">
        <v>46</v>
      </c>
      <c r="D103" s="723">
        <v>582</v>
      </c>
      <c r="E103" s="723" t="s">
        <v>112</v>
      </c>
      <c r="F103" s="728">
        <v>177.8</v>
      </c>
      <c r="G103" s="728"/>
      <c r="H103" s="728"/>
      <c r="I103" s="723"/>
      <c r="J103" s="723"/>
      <c r="K103" s="723"/>
      <c r="L103" s="723"/>
      <c r="M103" s="723"/>
      <c r="N103" s="723"/>
      <c r="O103" s="723"/>
      <c r="P103" s="448"/>
      <c r="Q103" s="437"/>
      <c r="R103" s="723"/>
      <c r="S103" s="723"/>
      <c r="T103" s="723"/>
      <c r="U103" s="719"/>
      <c r="V103" s="719"/>
      <c r="W103" s="719"/>
      <c r="X103" s="421"/>
      <c r="Y103" s="492"/>
      <c r="Z103" s="723"/>
      <c r="AA103" s="723"/>
      <c r="AB103" s="719"/>
      <c r="AC103" s="723"/>
      <c r="AD103" s="493"/>
      <c r="AE103" s="437"/>
      <c r="AF103" s="449"/>
    </row>
    <row r="104" spans="1:32" ht="18.75" customHeight="1" x14ac:dyDescent="0.2">
      <c r="A104" s="728">
        <v>82</v>
      </c>
      <c r="B104" s="728" t="s">
        <v>57</v>
      </c>
      <c r="C104" s="725" t="s">
        <v>314</v>
      </c>
      <c r="D104" s="728">
        <v>376.58</v>
      </c>
      <c r="E104" s="461" t="s">
        <v>93</v>
      </c>
      <c r="F104" s="728">
        <v>177.8</v>
      </c>
      <c r="G104" s="728"/>
      <c r="H104" s="728"/>
      <c r="I104" s="723"/>
      <c r="J104" s="723"/>
      <c r="K104" s="723"/>
      <c r="L104" s="723"/>
      <c r="M104" s="723"/>
      <c r="N104" s="723"/>
      <c r="O104" s="723"/>
      <c r="P104" s="448"/>
      <c r="Q104" s="437"/>
      <c r="R104" s="723"/>
      <c r="S104" s="723"/>
      <c r="T104" s="723"/>
      <c r="U104" s="719"/>
      <c r="V104" s="719"/>
      <c r="W104" s="719"/>
      <c r="X104" s="421"/>
      <c r="Y104" s="492"/>
      <c r="Z104" s="723"/>
      <c r="AA104" s="723"/>
      <c r="AB104" s="719"/>
      <c r="AC104" s="723"/>
      <c r="AD104" s="493"/>
      <c r="AE104" s="437"/>
      <c r="AF104" s="449"/>
    </row>
    <row r="105" spans="1:32" ht="18.75" customHeight="1" x14ac:dyDescent="0.2">
      <c r="A105" s="728">
        <v>83</v>
      </c>
      <c r="B105" s="728" t="s">
        <v>184</v>
      </c>
      <c r="C105" s="725" t="s">
        <v>314</v>
      </c>
      <c r="D105" s="728">
        <v>422.78</v>
      </c>
      <c r="E105" s="461" t="s">
        <v>185</v>
      </c>
      <c r="F105" s="728">
        <v>177.8</v>
      </c>
      <c r="G105" s="728"/>
      <c r="H105" s="728"/>
      <c r="I105" s="432"/>
      <c r="J105" s="723"/>
      <c r="K105" s="723"/>
      <c r="L105" s="723"/>
      <c r="M105" s="723"/>
      <c r="N105" s="723"/>
      <c r="O105" s="723"/>
      <c r="P105" s="448"/>
      <c r="Q105" s="437"/>
      <c r="R105" s="723"/>
      <c r="S105" s="723"/>
      <c r="T105" s="723"/>
      <c r="U105" s="719"/>
      <c r="V105" s="719"/>
      <c r="W105" s="719"/>
      <c r="X105" s="421"/>
      <c r="Y105" s="492"/>
      <c r="Z105" s="723"/>
      <c r="AA105" s="723"/>
      <c r="AB105" s="719"/>
      <c r="AC105" s="723"/>
      <c r="AD105" s="493"/>
      <c r="AE105" s="437"/>
      <c r="AF105" s="449"/>
    </row>
    <row r="106" spans="1:32" ht="18.75" customHeight="1" x14ac:dyDescent="0.2">
      <c r="A106" s="728">
        <v>84</v>
      </c>
      <c r="B106" s="724" t="s">
        <v>220</v>
      </c>
      <c r="C106" s="728" t="s">
        <v>46</v>
      </c>
      <c r="D106" s="723">
        <v>685.69</v>
      </c>
      <c r="E106" s="723" t="s">
        <v>222</v>
      </c>
      <c r="F106" s="728">
        <v>177.8</v>
      </c>
      <c r="G106" s="728"/>
      <c r="H106" s="728"/>
      <c r="I106" s="723"/>
      <c r="J106" s="723"/>
      <c r="K106" s="723"/>
      <c r="L106" s="723"/>
      <c r="M106" s="723"/>
      <c r="N106" s="723"/>
      <c r="O106" s="723"/>
      <c r="P106" s="448"/>
      <c r="Q106" s="437"/>
      <c r="R106" s="723"/>
      <c r="S106" s="723"/>
      <c r="T106" s="723"/>
      <c r="U106" s="719"/>
      <c r="V106" s="719"/>
      <c r="W106" s="719"/>
      <c r="X106" s="421"/>
      <c r="Y106" s="492"/>
      <c r="Z106" s="723"/>
      <c r="AA106" s="723"/>
      <c r="AB106" s="719"/>
      <c r="AC106" s="723"/>
      <c r="AD106" s="493"/>
      <c r="AE106" s="437"/>
      <c r="AF106" s="449"/>
    </row>
    <row r="107" spans="1:32" ht="18.75" customHeight="1" x14ac:dyDescent="0.2">
      <c r="A107" s="728"/>
      <c r="B107" s="1894" t="s">
        <v>392</v>
      </c>
      <c r="C107" s="1912"/>
      <c r="D107" s="1912"/>
      <c r="E107" s="1912"/>
      <c r="F107" s="1912"/>
      <c r="G107" s="728"/>
      <c r="H107" s="728"/>
      <c r="I107" s="723"/>
      <c r="J107" s="728"/>
      <c r="K107" s="728"/>
      <c r="L107" s="728"/>
      <c r="M107" s="728"/>
      <c r="N107" s="668"/>
      <c r="O107" s="728"/>
      <c r="P107" s="668"/>
      <c r="Q107" s="432"/>
      <c r="R107" s="432"/>
      <c r="S107" s="432"/>
      <c r="T107" s="432"/>
      <c r="U107" s="432"/>
      <c r="V107" s="432"/>
      <c r="W107" s="432"/>
      <c r="X107" s="432"/>
      <c r="Y107" s="432"/>
      <c r="Z107" s="432"/>
      <c r="AA107" s="432"/>
      <c r="AB107" s="432"/>
      <c r="AC107" s="432"/>
      <c r="AD107" s="728"/>
      <c r="AE107" s="432"/>
      <c r="AF107" s="449"/>
    </row>
    <row r="108" spans="1:32" ht="18.75" customHeight="1" x14ac:dyDescent="0.2">
      <c r="A108" s="728">
        <v>85</v>
      </c>
      <c r="B108" s="461" t="s">
        <v>56</v>
      </c>
      <c r="C108" s="728" t="s">
        <v>46</v>
      </c>
      <c r="D108" s="728">
        <v>680.52</v>
      </c>
      <c r="E108" s="728" t="s">
        <v>92</v>
      </c>
      <c r="F108" s="728">
        <v>177.8</v>
      </c>
      <c r="G108" s="728"/>
      <c r="H108" s="728"/>
      <c r="I108" s="723">
        <v>555.95000000000005</v>
      </c>
      <c r="J108" s="728"/>
      <c r="K108" s="728"/>
      <c r="L108" s="728"/>
      <c r="M108" s="728"/>
      <c r="N108" s="668"/>
      <c r="O108" s="728"/>
      <c r="P108" s="432"/>
      <c r="Q108" s="432"/>
      <c r="R108" s="432"/>
      <c r="S108" s="432"/>
      <c r="T108" s="432"/>
      <c r="U108" s="432"/>
      <c r="V108" s="432"/>
      <c r="W108" s="432"/>
      <c r="X108" s="685"/>
      <c r="Y108" s="432"/>
      <c r="Z108" s="432"/>
      <c r="AA108" s="432"/>
      <c r="AB108" s="432"/>
      <c r="AC108" s="432"/>
      <c r="AD108" s="728"/>
      <c r="AE108" s="432"/>
      <c r="AF108" s="449"/>
    </row>
    <row r="109" spans="1:32" ht="18.75" x14ac:dyDescent="0.2">
      <c r="A109" s="709"/>
      <c r="B109" s="726"/>
      <c r="C109" s="726"/>
      <c r="D109" s="726"/>
      <c r="E109" s="461"/>
      <c r="F109" s="728"/>
      <c r="G109" s="728"/>
      <c r="H109" s="728"/>
      <c r="I109" s="723"/>
      <c r="J109" s="728"/>
      <c r="K109" s="728"/>
      <c r="L109" s="728"/>
      <c r="M109" s="728"/>
      <c r="N109" s="668"/>
      <c r="O109" s="728"/>
      <c r="P109" s="432"/>
      <c r="Q109" s="432"/>
      <c r="R109" s="432"/>
      <c r="S109" s="432"/>
      <c r="T109" s="432"/>
      <c r="U109" s="432"/>
      <c r="V109" s="432"/>
      <c r="W109" s="432"/>
      <c r="X109" s="685"/>
      <c r="Y109" s="432"/>
      <c r="Z109" s="432"/>
      <c r="AA109" s="432"/>
      <c r="AB109" s="432"/>
      <c r="AC109" s="432"/>
      <c r="AD109" s="728"/>
      <c r="AE109" s="432"/>
      <c r="AF109" s="449"/>
    </row>
    <row r="110" spans="1:32" ht="18.75" x14ac:dyDescent="0.2">
      <c r="A110" s="710"/>
      <c r="B110" s="1939"/>
      <c r="C110" s="1939"/>
      <c r="D110" s="1939"/>
      <c r="E110" s="1940"/>
      <c r="F110" s="727"/>
      <c r="G110" s="728"/>
      <c r="H110" s="728"/>
      <c r="I110" s="432"/>
      <c r="J110" s="728"/>
      <c r="K110" s="727"/>
      <c r="L110" s="728"/>
      <c r="M110" s="727"/>
      <c r="N110" s="668"/>
      <c r="O110" s="727"/>
      <c r="P110" s="682"/>
      <c r="Q110" s="466"/>
      <c r="R110" s="466">
        <f>R79+R92</f>
        <v>394.21000000000009</v>
      </c>
      <c r="S110" s="466">
        <f>S79+S92</f>
        <v>786.31</v>
      </c>
      <c r="T110" s="678">
        <f>T79+T92</f>
        <v>14271.699999999999</v>
      </c>
      <c r="U110" s="466">
        <f>T110/R110</f>
        <v>36.203292661271902</v>
      </c>
      <c r="V110" s="466"/>
      <c r="W110" s="466"/>
      <c r="X110" s="466"/>
      <c r="Y110" s="466">
        <f>Y79+Y92+Y83+Y82</f>
        <v>393.47947999999997</v>
      </c>
      <c r="Z110" s="466">
        <f>Z79+Z92+Z83+Z82</f>
        <v>780.87428000000034</v>
      </c>
      <c r="AA110" s="678">
        <f>AA79+AA92</f>
        <v>14100.4396</v>
      </c>
      <c r="AB110" s="466">
        <f>AB79+AB92</f>
        <v>37.31456061913353</v>
      </c>
      <c r="AC110" s="466"/>
      <c r="AD110" s="466"/>
      <c r="AE110" s="686">
        <f>AE79+AE92</f>
        <v>12159.019144000002</v>
      </c>
      <c r="AF110" s="680"/>
    </row>
    <row r="111" spans="1:32" ht="18.75" x14ac:dyDescent="0.2">
      <c r="B111" s="497"/>
      <c r="C111" s="497"/>
      <c r="D111" s="497"/>
      <c r="E111" s="497"/>
      <c r="F111" s="497"/>
      <c r="G111" s="498"/>
      <c r="H111" s="499"/>
      <c r="I111" s="499"/>
      <c r="J111" s="497"/>
      <c r="K111" s="497"/>
      <c r="L111" s="497"/>
      <c r="M111" s="497"/>
      <c r="N111" s="497"/>
      <c r="O111" s="497"/>
      <c r="P111" s="500"/>
      <c r="Q111" s="501"/>
      <c r="R111" s="497"/>
      <c r="S111" s="497"/>
      <c r="T111" s="497"/>
      <c r="U111" s="498"/>
      <c r="V111" s="498"/>
      <c r="W111" s="498"/>
      <c r="X111" s="498"/>
      <c r="Y111" s="497"/>
      <c r="Z111" s="497"/>
      <c r="AA111" s="497"/>
      <c r="AB111" s="498"/>
      <c r="AC111" s="498"/>
      <c r="AD111" s="497"/>
      <c r="AE111" s="497"/>
      <c r="AF111" s="499"/>
    </row>
    <row r="112" spans="1:32" ht="18.75" x14ac:dyDescent="0.2">
      <c r="B112" s="412"/>
      <c r="C112" s="460"/>
      <c r="D112" s="412"/>
      <c r="E112" s="687">
        <v>0.95</v>
      </c>
      <c r="F112" s="412"/>
      <c r="G112" s="412" t="s">
        <v>102</v>
      </c>
      <c r="H112" s="460"/>
      <c r="I112" s="688"/>
      <c r="J112" s="412"/>
      <c r="K112" s="1941">
        <f>AE110*E112</f>
        <v>11551.068186800001</v>
      </c>
      <c r="L112" s="1897"/>
      <c r="M112" s="1897"/>
      <c r="N112" s="460" t="s">
        <v>27</v>
      </c>
      <c r="O112" s="497"/>
      <c r="P112" s="500"/>
      <c r="Q112" s="501"/>
      <c r="R112" s="497"/>
      <c r="S112" s="497"/>
      <c r="T112" s="497"/>
      <c r="U112" s="498"/>
      <c r="V112" s="498"/>
      <c r="W112" s="498"/>
      <c r="X112" s="498"/>
      <c r="Y112" s="497"/>
      <c r="Z112" s="497"/>
      <c r="AA112" s="497"/>
      <c r="AB112" s="498"/>
      <c r="AC112" s="498"/>
      <c r="AD112" s="497"/>
      <c r="AE112" s="497"/>
      <c r="AF112" s="499"/>
    </row>
    <row r="113" spans="2:32" ht="18.75" x14ac:dyDescent="0.2">
      <c r="B113" s="412"/>
      <c r="C113" s="460"/>
      <c r="D113" s="412"/>
      <c r="E113" s="687"/>
      <c r="F113" s="412"/>
      <c r="G113" s="460"/>
      <c r="H113" s="460"/>
      <c r="I113" s="688"/>
      <c r="J113" s="412"/>
      <c r="K113" s="460"/>
      <c r="L113" s="689"/>
      <c r="M113" s="412"/>
      <c r="N113" s="412"/>
      <c r="O113" s="412"/>
      <c r="P113" s="690"/>
      <c r="Q113" s="691"/>
      <c r="R113" s="412"/>
      <c r="S113" s="412"/>
      <c r="T113" s="412"/>
      <c r="U113" s="412"/>
      <c r="V113" s="412"/>
      <c r="W113" s="412"/>
      <c r="X113" s="729"/>
      <c r="Y113" s="729"/>
      <c r="Z113" s="729"/>
      <c r="AA113" s="729"/>
      <c r="AB113" s="729"/>
      <c r="AC113" s="729"/>
      <c r="AD113" s="729"/>
      <c r="AE113" s="729"/>
      <c r="AF113" s="692"/>
    </row>
    <row r="114" spans="2:32" ht="18.75" x14ac:dyDescent="0.2">
      <c r="B114" s="412"/>
      <c r="C114" s="412"/>
      <c r="D114" s="412"/>
      <c r="E114" s="693" t="s">
        <v>214</v>
      </c>
      <c r="F114" s="1911" t="s">
        <v>268</v>
      </c>
      <c r="G114" s="1911"/>
      <c r="H114" s="1911"/>
      <c r="I114" s="412"/>
      <c r="J114" s="412"/>
      <c r="K114" s="460"/>
      <c r="L114" s="460"/>
      <c r="M114" s="412"/>
      <c r="N114" s="412"/>
      <c r="O114" s="412"/>
      <c r="P114" s="412"/>
      <c r="Q114" s="412"/>
      <c r="R114" s="412"/>
      <c r="S114" s="412"/>
      <c r="T114" s="412"/>
      <c r="U114" s="412"/>
      <c r="V114" s="412"/>
      <c r="W114" s="412"/>
      <c r="X114" s="1938" t="s">
        <v>352</v>
      </c>
      <c r="Y114" s="1937"/>
      <c r="Z114" s="1937"/>
      <c r="AA114" s="1937"/>
      <c r="AB114" s="729" t="s">
        <v>373</v>
      </c>
      <c r="AC114" s="729"/>
      <c r="AD114" s="729"/>
      <c r="AE114" s="729"/>
      <c r="AF114" s="729"/>
    </row>
  </sheetData>
  <mergeCells count="40">
    <mergeCell ref="B99:F99"/>
    <mergeCell ref="B107:F107"/>
    <mergeCell ref="B110:E110"/>
    <mergeCell ref="K112:M112"/>
    <mergeCell ref="F114:H114"/>
    <mergeCell ref="X114:AA114"/>
    <mergeCell ref="AF12:AF13"/>
    <mergeCell ref="B84:E84"/>
    <mergeCell ref="B85:F85"/>
    <mergeCell ref="B92:E92"/>
    <mergeCell ref="B93:E93"/>
    <mergeCell ref="B94:F94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F113"/>
  <sheetViews>
    <sheetView topLeftCell="A11" zoomScale="70" zoomScaleNormal="70" workbookViewId="0">
      <pane xSplit="2" ySplit="3" topLeftCell="N14" activePane="bottomRight" state="frozen"/>
      <selection activeCell="A11" sqref="A11"/>
      <selection pane="topRight" activeCell="C11" sqref="C11"/>
      <selection pane="bottomLeft" activeCell="A14" sqref="A14"/>
      <selection pane="bottomRight" activeCell="A23" sqref="A23:XFD23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85.14062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666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743"/>
      <c r="G2" s="739"/>
      <c r="H2" s="739"/>
      <c r="I2" s="743"/>
      <c r="J2" s="1909" t="s">
        <v>407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743"/>
      <c r="Y2" s="743"/>
      <c r="Z2" s="743"/>
      <c r="AA2" s="743"/>
      <c r="AB2" s="743"/>
      <c r="AC2" s="743"/>
      <c r="AD2" s="743"/>
      <c r="AE2" s="743"/>
      <c r="AF2" s="405"/>
    </row>
    <row r="3" spans="1:32" ht="18.75" x14ac:dyDescent="0.2">
      <c r="A3" s="1910" t="s">
        <v>54</v>
      </c>
      <c r="B3" s="1910"/>
      <c r="C3" s="1910"/>
      <c r="D3" s="1910"/>
      <c r="E3" s="743"/>
      <c r="F3" s="743"/>
      <c r="G3" s="739"/>
      <c r="H3" s="744"/>
      <c r="I3" s="744"/>
      <c r="J3" s="744"/>
      <c r="K3" s="744"/>
      <c r="L3" s="744"/>
      <c r="M3" s="744"/>
      <c r="N3" s="744"/>
      <c r="O3" s="744"/>
      <c r="P3" s="744"/>
      <c r="Q3" s="744"/>
      <c r="R3" s="743"/>
      <c r="S3" s="743"/>
      <c r="T3" s="743"/>
      <c r="U3" s="743"/>
      <c r="V3" s="743"/>
      <c r="W3" s="743"/>
      <c r="X3" s="743"/>
      <c r="Y3" s="743"/>
      <c r="Z3" s="743"/>
      <c r="AA3" s="743"/>
      <c r="AB3" s="743"/>
      <c r="AC3" s="743"/>
      <c r="AD3" s="743"/>
      <c r="AE3" s="743"/>
      <c r="AF3" s="408" t="s">
        <v>55</v>
      </c>
    </row>
    <row r="4" spans="1:32" ht="18.75" x14ac:dyDescent="0.2">
      <c r="A4" s="740" t="s">
        <v>311</v>
      </c>
      <c r="B4" s="740"/>
      <c r="C4" s="740"/>
      <c r="D4" s="740"/>
      <c r="E4" s="740"/>
      <c r="F4" s="743"/>
      <c r="G4" s="739"/>
      <c r="H4" s="739"/>
      <c r="I4" s="744"/>
      <c r="J4" s="744"/>
      <c r="K4" s="744"/>
      <c r="L4" s="744"/>
      <c r="M4" s="744"/>
      <c r="N4" s="744"/>
      <c r="O4" s="744"/>
      <c r="P4" s="744"/>
      <c r="Q4" s="744"/>
      <c r="R4" s="410"/>
      <c r="S4" s="410"/>
      <c r="T4" s="410"/>
      <c r="U4" s="410"/>
      <c r="V4" s="410"/>
      <c r="W4" s="410"/>
      <c r="X4" s="743"/>
      <c r="Y4" s="743"/>
      <c r="Z4" s="743"/>
      <c r="AA4" s="743"/>
      <c r="AB4" s="743"/>
      <c r="AC4" s="743"/>
      <c r="AD4" s="743"/>
      <c r="AE4" s="743"/>
      <c r="AF4" s="411" t="s">
        <v>338</v>
      </c>
    </row>
    <row r="5" spans="1:32" ht="18.75" x14ac:dyDescent="0.2">
      <c r="A5" s="740" t="s">
        <v>316</v>
      </c>
      <c r="B5" s="412"/>
      <c r="C5" s="412"/>
      <c r="D5" s="412"/>
      <c r="E5" s="743"/>
      <c r="F5" s="743"/>
      <c r="G5" s="739"/>
      <c r="H5" s="739"/>
      <c r="I5" s="743"/>
      <c r="J5" s="743"/>
      <c r="K5" s="739"/>
      <c r="L5" s="739"/>
      <c r="M5" s="743"/>
      <c r="N5" s="743"/>
      <c r="O5" s="743"/>
      <c r="P5" s="413"/>
      <c r="Q5" s="414"/>
      <c r="R5" s="743"/>
      <c r="S5" s="743"/>
      <c r="T5" s="743"/>
      <c r="U5" s="743"/>
      <c r="V5" s="743"/>
      <c r="W5" s="743"/>
      <c r="X5" s="743"/>
      <c r="Y5" s="743"/>
      <c r="Z5" s="743"/>
      <c r="AA5" s="743"/>
      <c r="AB5" s="743"/>
      <c r="AC5" s="743"/>
      <c r="AD5" s="743"/>
      <c r="AE5" s="743"/>
      <c r="AF5" s="415" t="s">
        <v>308</v>
      </c>
    </row>
    <row r="6" spans="1:32" ht="18.75" x14ac:dyDescent="0.2">
      <c r="A6" s="743"/>
      <c r="B6" s="740"/>
      <c r="C6" s="740"/>
      <c r="D6" s="740"/>
      <c r="E6" s="743"/>
      <c r="F6" s="743"/>
      <c r="G6" s="739"/>
      <c r="H6" s="739"/>
      <c r="I6" s="405"/>
      <c r="J6" s="743"/>
      <c r="K6" s="739"/>
      <c r="L6" s="739"/>
      <c r="M6" s="743"/>
      <c r="N6" s="743"/>
      <c r="O6" s="743"/>
      <c r="P6" s="413"/>
      <c r="Q6" s="414"/>
      <c r="R6" s="743"/>
      <c r="S6" s="743"/>
      <c r="T6" s="743"/>
      <c r="U6" s="743"/>
      <c r="V6" s="743"/>
      <c r="W6" s="411"/>
      <c r="X6" s="743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743"/>
      <c r="G7" s="739"/>
      <c r="H7" s="739"/>
      <c r="I7" s="405"/>
      <c r="J7" s="743"/>
      <c r="K7" s="739"/>
      <c r="L7" s="739"/>
      <c r="M7" s="743"/>
      <c r="N7" s="743"/>
      <c r="O7" s="743"/>
      <c r="P7" s="413"/>
      <c r="Q7" s="414"/>
      <c r="R7" s="743"/>
      <c r="S7" s="743"/>
      <c r="T7" s="743"/>
      <c r="U7" s="743"/>
      <c r="V7" s="743"/>
      <c r="W7" s="411"/>
      <c r="X7" s="743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743"/>
      <c r="G8" s="739"/>
      <c r="H8" s="739"/>
      <c r="I8" s="405"/>
      <c r="J8" s="743"/>
      <c r="K8" s="739"/>
      <c r="L8" s="739"/>
      <c r="M8" s="743"/>
      <c r="N8" s="743"/>
      <c r="O8" s="743"/>
      <c r="P8" s="413"/>
      <c r="Q8" s="414"/>
      <c r="R8" s="743"/>
      <c r="S8" s="743"/>
      <c r="T8" s="743"/>
      <c r="U8" s="743"/>
      <c r="V8" s="743"/>
      <c r="W8" s="411"/>
      <c r="X8" s="743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743"/>
      <c r="G9" s="739"/>
      <c r="H9" s="739"/>
      <c r="I9" s="743"/>
      <c r="J9" s="743"/>
      <c r="K9" s="739"/>
      <c r="L9" s="739"/>
      <c r="M9" s="739"/>
      <c r="N9" s="739"/>
      <c r="O9" s="739"/>
      <c r="P9" s="739"/>
      <c r="Q9" s="739"/>
      <c r="R9" s="739"/>
      <c r="S9" s="739"/>
      <c r="T9" s="739"/>
      <c r="U9" s="739"/>
      <c r="V9" s="739"/>
      <c r="W9" s="743"/>
      <c r="X9" s="743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739"/>
      <c r="C10" s="739"/>
      <c r="D10" s="739"/>
      <c r="E10" s="743"/>
      <c r="F10" s="743"/>
      <c r="G10" s="739"/>
      <c r="H10" s="739"/>
      <c r="I10" s="405"/>
      <c r="J10" s="743"/>
      <c r="K10" s="739"/>
      <c r="L10" s="739"/>
      <c r="M10" s="743"/>
      <c r="N10" s="743"/>
      <c r="O10" s="743"/>
      <c r="P10" s="413"/>
      <c r="Q10" s="414"/>
      <c r="R10" s="743"/>
      <c r="S10" s="743"/>
      <c r="T10" s="743"/>
      <c r="U10" s="743"/>
      <c r="V10" s="743"/>
      <c r="W10" s="411"/>
      <c r="X10" s="743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735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735" t="s">
        <v>18</v>
      </c>
      <c r="AE12" s="735" t="s">
        <v>20</v>
      </c>
      <c r="AF12" s="1891" t="s">
        <v>21</v>
      </c>
    </row>
    <row r="13" spans="1:32" ht="37.5" x14ac:dyDescent="0.2">
      <c r="A13" s="1891"/>
      <c r="B13" s="1891"/>
      <c r="C13" s="1903"/>
      <c r="D13" s="741" t="s">
        <v>3</v>
      </c>
      <c r="E13" s="741" t="s">
        <v>3</v>
      </c>
      <c r="F13" s="741" t="s">
        <v>4</v>
      </c>
      <c r="G13" s="1903"/>
      <c r="H13" s="1903"/>
      <c r="I13" s="1891"/>
      <c r="J13" s="741" t="s">
        <v>7</v>
      </c>
      <c r="K13" s="741" t="s">
        <v>30</v>
      </c>
      <c r="L13" s="741" t="s">
        <v>29</v>
      </c>
      <c r="M13" s="741" t="s">
        <v>31</v>
      </c>
      <c r="N13" s="741" t="s">
        <v>32</v>
      </c>
      <c r="O13" s="741" t="s">
        <v>12</v>
      </c>
      <c r="P13" s="448" t="s">
        <v>13</v>
      </c>
      <c r="Q13" s="437" t="s">
        <v>26</v>
      </c>
      <c r="R13" s="741" t="s">
        <v>14</v>
      </c>
      <c r="S13" s="741" t="s">
        <v>25</v>
      </c>
      <c r="T13" s="741" t="s">
        <v>113</v>
      </c>
      <c r="U13" s="1903"/>
      <c r="V13" s="1903"/>
      <c r="W13" s="1903"/>
      <c r="X13" s="1903"/>
      <c r="Y13" s="741" t="s">
        <v>14</v>
      </c>
      <c r="Z13" s="741" t="s">
        <v>25</v>
      </c>
      <c r="AA13" s="741" t="s">
        <v>113</v>
      </c>
      <c r="AB13" s="1903"/>
      <c r="AC13" s="1903"/>
      <c r="AD13" s="741" t="s">
        <v>19</v>
      </c>
      <c r="AE13" s="741" t="s">
        <v>27</v>
      </c>
      <c r="AF13" s="1891"/>
    </row>
    <row r="14" spans="1:32" ht="18.75" customHeight="1" x14ac:dyDescent="0.2">
      <c r="A14" s="742">
        <v>1</v>
      </c>
      <c r="B14" s="461" t="s">
        <v>139</v>
      </c>
      <c r="C14" s="742" t="s">
        <v>46</v>
      </c>
      <c r="D14" s="742">
        <v>610.5</v>
      </c>
      <c r="E14" s="742" t="s">
        <v>203</v>
      </c>
      <c r="F14" s="742">
        <v>177.8</v>
      </c>
      <c r="G14" s="742" t="s">
        <v>28</v>
      </c>
      <c r="H14" s="195" t="s">
        <v>363</v>
      </c>
      <c r="I14" s="741">
        <v>558.54</v>
      </c>
      <c r="J14" s="742" t="s">
        <v>375</v>
      </c>
      <c r="K14" s="742"/>
      <c r="L14" s="742">
        <v>417</v>
      </c>
      <c r="M14" s="742"/>
      <c r="N14" s="742">
        <v>0.8</v>
      </c>
      <c r="O14" s="742"/>
      <c r="P14" s="668">
        <v>14.353078519037219</v>
      </c>
      <c r="Q14" s="670">
        <f>J14*7/100</f>
        <v>7.35</v>
      </c>
      <c r="R14" s="432">
        <v>1.6180000000000001</v>
      </c>
      <c r="S14" s="432">
        <v>4.2069999999999999</v>
      </c>
      <c r="T14" s="670">
        <v>3.5</v>
      </c>
      <c r="U14" s="668">
        <f t="shared" ref="U14:U77" si="0">T14/R14</f>
        <v>2.1631644004944373</v>
      </c>
      <c r="V14" s="668">
        <f>(S14-R14)/S14*100</f>
        <v>61.54028999286902</v>
      </c>
      <c r="W14" s="668">
        <v>0.7</v>
      </c>
      <c r="X14" s="432">
        <f t="shared" ref="X14:X47" si="1">S14/Q14</f>
        <v>0.57238095238095243</v>
      </c>
      <c r="Y14" s="432">
        <f>R14*0.983</f>
        <v>1.5904940000000001</v>
      </c>
      <c r="Z14" s="432">
        <f>S14*0.983</f>
        <v>4.1354809999999995</v>
      </c>
      <c r="AA14" s="670">
        <f>T14*0.983</f>
        <v>3.4405000000000001</v>
      </c>
      <c r="AB14" s="432">
        <f>U14</f>
        <v>2.1631644004944373</v>
      </c>
      <c r="AC14" s="670">
        <f t="shared" ref="AC14:AC78" si="2">V14</f>
        <v>61.54028999286902</v>
      </c>
      <c r="AD14" s="742">
        <v>30</v>
      </c>
      <c r="AE14" s="432">
        <f>Y14*AD14</f>
        <v>47.714820000000003</v>
      </c>
      <c r="AF14" s="669"/>
    </row>
    <row r="15" spans="1:32" ht="18.75" customHeight="1" x14ac:dyDescent="0.2">
      <c r="A15" s="742">
        <v>2</v>
      </c>
      <c r="B15" s="461" t="s">
        <v>140</v>
      </c>
      <c r="C15" s="742" t="s">
        <v>46</v>
      </c>
      <c r="D15" s="742">
        <v>585</v>
      </c>
      <c r="E15" s="742" t="s">
        <v>348</v>
      </c>
      <c r="F15" s="742">
        <v>177.8</v>
      </c>
      <c r="G15" s="742" t="s">
        <v>28</v>
      </c>
      <c r="H15" s="742" t="s">
        <v>50</v>
      </c>
      <c r="I15" s="741">
        <v>579.99</v>
      </c>
      <c r="J15" s="742" t="s">
        <v>254</v>
      </c>
      <c r="K15" s="742"/>
      <c r="L15" s="742">
        <v>417</v>
      </c>
      <c r="M15" s="742"/>
      <c r="N15" s="742">
        <v>1.2</v>
      </c>
      <c r="O15" s="742"/>
      <c r="P15" s="668">
        <v>5.3172414927411804</v>
      </c>
      <c r="Q15" s="670">
        <f t="shared" ref="Q15:Q38" si="3">LEFT(H15,(FIND("K",H15,1)-1))*J15/100</f>
        <v>15</v>
      </c>
      <c r="R15" s="432">
        <v>1.2829999999999999</v>
      </c>
      <c r="S15" s="432">
        <v>1.7370000000000001</v>
      </c>
      <c r="T15" s="670">
        <v>98</v>
      </c>
      <c r="U15" s="668">
        <f t="shared" si="0"/>
        <v>76.383476227591586</v>
      </c>
      <c r="V15" s="668">
        <f>(S15-R15)/S15*100</f>
        <v>26.137017846862413</v>
      </c>
      <c r="W15" s="668">
        <v>0.5</v>
      </c>
      <c r="X15" s="432">
        <f t="shared" si="1"/>
        <v>0.1158</v>
      </c>
      <c r="Y15" s="432">
        <f t="shared" ref="Y15:AA78" si="4">R15*0.983</f>
        <v>1.2611889999999999</v>
      </c>
      <c r="Z15" s="432">
        <f t="shared" si="4"/>
        <v>1.707471</v>
      </c>
      <c r="AA15" s="670">
        <f t="shared" si="4"/>
        <v>96.334000000000003</v>
      </c>
      <c r="AB15" s="432">
        <f t="shared" ref="AB15:AB78" si="5">U15</f>
        <v>76.383476227591586</v>
      </c>
      <c r="AC15" s="670">
        <f t="shared" si="2"/>
        <v>26.137017846862413</v>
      </c>
      <c r="AD15" s="742">
        <v>30</v>
      </c>
      <c r="AE15" s="432">
        <f t="shared" ref="AE15:AE58" si="6">Y15*AD15</f>
        <v>37.835669999999993</v>
      </c>
      <c r="AF15" s="669"/>
    </row>
    <row r="16" spans="1:32" ht="18.75" customHeight="1" x14ac:dyDescent="0.2">
      <c r="A16" s="742">
        <v>3</v>
      </c>
      <c r="B16" s="461" t="s">
        <v>141</v>
      </c>
      <c r="C16" s="742" t="s">
        <v>46</v>
      </c>
      <c r="D16" s="742">
        <v>670</v>
      </c>
      <c r="E16" s="742" t="s">
        <v>68</v>
      </c>
      <c r="F16" s="742">
        <v>177.8</v>
      </c>
      <c r="G16" s="742" t="s">
        <v>28</v>
      </c>
      <c r="H16" s="742" t="s">
        <v>218</v>
      </c>
      <c r="I16" s="741">
        <v>565.94000000000005</v>
      </c>
      <c r="J16" s="742">
        <v>210</v>
      </c>
      <c r="K16" s="742"/>
      <c r="L16" s="742">
        <v>493</v>
      </c>
      <c r="M16" s="742"/>
      <c r="N16" s="668">
        <v>9.6</v>
      </c>
      <c r="O16" s="742"/>
      <c r="P16" s="668">
        <v>13.778452587470015</v>
      </c>
      <c r="Q16" s="670">
        <f>LEFT(H16,(FIND("K",H16,1)-1))*J16/100</f>
        <v>67.2</v>
      </c>
      <c r="R16" s="432">
        <v>12.882</v>
      </c>
      <c r="S16" s="432">
        <v>21.925999999999998</v>
      </c>
      <c r="T16" s="670">
        <v>1550</v>
      </c>
      <c r="U16" s="668">
        <f t="shared" si="0"/>
        <v>120.32293122185996</v>
      </c>
      <c r="V16" s="668">
        <f t="shared" ref="V16:V77" si="7">(S16-R16)/S16*100</f>
        <v>41.247833622183705</v>
      </c>
      <c r="W16" s="668">
        <v>0.2</v>
      </c>
      <c r="X16" s="432">
        <f t="shared" si="1"/>
        <v>0.32627976190476188</v>
      </c>
      <c r="Y16" s="432">
        <f t="shared" si="4"/>
        <v>12.663005999999999</v>
      </c>
      <c r="Z16" s="432">
        <f t="shared" si="4"/>
        <v>21.553258</v>
      </c>
      <c r="AA16" s="670">
        <f t="shared" si="4"/>
        <v>1523.6499999999999</v>
      </c>
      <c r="AB16" s="432">
        <f t="shared" si="5"/>
        <v>120.32293122185996</v>
      </c>
      <c r="AC16" s="670">
        <f t="shared" si="2"/>
        <v>41.247833622183705</v>
      </c>
      <c r="AD16" s="742">
        <v>30</v>
      </c>
      <c r="AE16" s="432">
        <f>Y16*AD16</f>
        <v>379.89017999999999</v>
      </c>
      <c r="AF16" s="669"/>
    </row>
    <row r="17" spans="1:32" ht="18.75" customHeight="1" x14ac:dyDescent="0.2">
      <c r="A17" s="742">
        <v>4</v>
      </c>
      <c r="B17" s="461" t="s">
        <v>142</v>
      </c>
      <c r="C17" s="742" t="s">
        <v>46</v>
      </c>
      <c r="D17" s="742">
        <v>628</v>
      </c>
      <c r="E17" s="742" t="s">
        <v>297</v>
      </c>
      <c r="F17" s="742">
        <v>177.8</v>
      </c>
      <c r="G17" s="742" t="s">
        <v>28</v>
      </c>
      <c r="H17" s="165" t="s">
        <v>376</v>
      </c>
      <c r="I17" s="741">
        <v>540.74000000000024</v>
      </c>
      <c r="J17" s="742">
        <v>330</v>
      </c>
      <c r="K17" s="742"/>
      <c r="L17" s="742">
        <v>456</v>
      </c>
      <c r="M17" s="742"/>
      <c r="N17" s="668">
        <v>4.7</v>
      </c>
      <c r="O17" s="742"/>
      <c r="P17" s="668">
        <v>14.802169725576288</v>
      </c>
      <c r="Q17" s="670">
        <f>14*J17/100</f>
        <v>46.2</v>
      </c>
      <c r="R17" s="432">
        <v>5.1100000000000003</v>
      </c>
      <c r="S17" s="432">
        <v>7.4039999999999999</v>
      </c>
      <c r="T17" s="670">
        <v>80</v>
      </c>
      <c r="U17" s="668">
        <f t="shared" si="0"/>
        <v>15.655577299412915</v>
      </c>
      <c r="V17" s="668">
        <f t="shared" si="7"/>
        <v>30.983252296056179</v>
      </c>
      <c r="W17" s="668">
        <v>0.3</v>
      </c>
      <c r="X17" s="432">
        <f t="shared" si="1"/>
        <v>0.16025974025974024</v>
      </c>
      <c r="Y17" s="432">
        <f t="shared" si="4"/>
        <v>5.0231300000000001</v>
      </c>
      <c r="Z17" s="432">
        <f t="shared" si="4"/>
        <v>7.2781319999999994</v>
      </c>
      <c r="AA17" s="670">
        <f t="shared" si="4"/>
        <v>78.64</v>
      </c>
      <c r="AB17" s="432">
        <f t="shared" si="5"/>
        <v>15.655577299412915</v>
      </c>
      <c r="AC17" s="670">
        <f t="shared" si="2"/>
        <v>30.983252296056179</v>
      </c>
      <c r="AD17" s="742">
        <v>30</v>
      </c>
      <c r="AE17" s="432">
        <f t="shared" si="6"/>
        <v>150.69390000000001</v>
      </c>
      <c r="AF17" s="669"/>
    </row>
    <row r="18" spans="1:32" ht="18.75" customHeight="1" x14ac:dyDescent="0.2">
      <c r="A18" s="742">
        <v>5</v>
      </c>
      <c r="B18" s="461" t="s">
        <v>143</v>
      </c>
      <c r="C18" s="742" t="s">
        <v>46</v>
      </c>
      <c r="D18" s="742">
        <v>576.6</v>
      </c>
      <c r="E18" s="742" t="s">
        <v>70</v>
      </c>
      <c r="F18" s="742">
        <v>177.8</v>
      </c>
      <c r="G18" s="742" t="s">
        <v>28</v>
      </c>
      <c r="H18" s="550" t="s">
        <v>53</v>
      </c>
      <c r="I18" s="741">
        <v>546</v>
      </c>
      <c r="J18" s="742">
        <v>180</v>
      </c>
      <c r="K18" s="742"/>
      <c r="L18" s="742">
        <v>456</v>
      </c>
      <c r="M18" s="742"/>
      <c r="N18" s="742">
        <v>4.5999999999999996</v>
      </c>
      <c r="O18" s="742"/>
      <c r="P18" s="668">
        <v>14.260464649610229</v>
      </c>
      <c r="Q18" s="670">
        <f t="shared" si="3"/>
        <v>23.4</v>
      </c>
      <c r="R18" s="432">
        <v>5.9489999999999998</v>
      </c>
      <c r="S18" s="432">
        <v>6.4420000000000002</v>
      </c>
      <c r="T18" s="670">
        <v>34</v>
      </c>
      <c r="U18" s="668">
        <f t="shared" si="0"/>
        <v>5.7152462598756095</v>
      </c>
      <c r="V18" s="668">
        <f t="shared" si="7"/>
        <v>7.6529028252095674</v>
      </c>
      <c r="W18" s="668">
        <v>0.4</v>
      </c>
      <c r="X18" s="432">
        <f>S18/Q18</f>
        <v>0.27529914529914534</v>
      </c>
      <c r="Y18" s="432">
        <f t="shared" si="4"/>
        <v>5.8478669999999999</v>
      </c>
      <c r="Z18" s="432">
        <f t="shared" si="4"/>
        <v>6.3324860000000003</v>
      </c>
      <c r="AA18" s="670">
        <f t="shared" si="4"/>
        <v>33.421999999999997</v>
      </c>
      <c r="AB18" s="432">
        <f t="shared" si="5"/>
        <v>5.7152462598756095</v>
      </c>
      <c r="AC18" s="670">
        <f t="shared" si="2"/>
        <v>7.6529028252095674</v>
      </c>
      <c r="AD18" s="742">
        <v>30</v>
      </c>
      <c r="AE18" s="432">
        <f t="shared" si="6"/>
        <v>175.43601000000001</v>
      </c>
      <c r="AF18" s="669"/>
    </row>
    <row r="19" spans="1:32" ht="18.75" customHeight="1" x14ac:dyDescent="0.2">
      <c r="A19" s="742">
        <v>6</v>
      </c>
      <c r="B19" s="461" t="s">
        <v>144</v>
      </c>
      <c r="C19" s="742" t="s">
        <v>46</v>
      </c>
      <c r="D19" s="742">
        <v>676.6</v>
      </c>
      <c r="E19" s="742" t="s">
        <v>71</v>
      </c>
      <c r="F19" s="742">
        <v>177.8</v>
      </c>
      <c r="G19" s="742" t="s">
        <v>28</v>
      </c>
      <c r="H19" s="742" t="s">
        <v>50</v>
      </c>
      <c r="I19" s="741">
        <v>584.32000000000005</v>
      </c>
      <c r="J19" s="742">
        <v>355</v>
      </c>
      <c r="K19" s="742"/>
      <c r="L19" s="742">
        <v>409</v>
      </c>
      <c r="M19" s="742"/>
      <c r="N19" s="742">
        <v>0.6</v>
      </c>
      <c r="O19" s="742"/>
      <c r="P19" s="668">
        <v>16.3883439231697</v>
      </c>
      <c r="Q19" s="670">
        <f t="shared" si="3"/>
        <v>21.3</v>
      </c>
      <c r="R19" s="432">
        <v>2.9729999999999999</v>
      </c>
      <c r="S19" s="432">
        <v>3.851</v>
      </c>
      <c r="T19" s="670">
        <v>4</v>
      </c>
      <c r="U19" s="668">
        <f t="shared" si="0"/>
        <v>1.3454423141607805</v>
      </c>
      <c r="V19" s="668">
        <f t="shared" si="7"/>
        <v>22.799272916125684</v>
      </c>
      <c r="W19" s="668">
        <v>0.3</v>
      </c>
      <c r="X19" s="432">
        <f>S19/Q19</f>
        <v>0.18079812206572768</v>
      </c>
      <c r="Y19" s="432">
        <f t="shared" si="4"/>
        <v>2.9224589999999999</v>
      </c>
      <c r="Z19" s="432">
        <f t="shared" si="4"/>
        <v>3.785533</v>
      </c>
      <c r="AA19" s="670">
        <f t="shared" si="4"/>
        <v>3.9319999999999999</v>
      </c>
      <c r="AB19" s="432">
        <v>14.613</v>
      </c>
      <c r="AC19" s="670">
        <f t="shared" si="2"/>
        <v>22.799272916125684</v>
      </c>
      <c r="AD19" s="742">
        <v>30</v>
      </c>
      <c r="AE19" s="432">
        <f t="shared" si="6"/>
        <v>87.67376999999999</v>
      </c>
      <c r="AF19" s="669"/>
    </row>
    <row r="20" spans="1:32" ht="18.75" customHeight="1" x14ac:dyDescent="0.2">
      <c r="A20" s="742">
        <v>7</v>
      </c>
      <c r="B20" s="461" t="s">
        <v>145</v>
      </c>
      <c r="C20" s="742" t="s">
        <v>46</v>
      </c>
      <c r="D20" s="742" t="s">
        <v>47</v>
      </c>
      <c r="E20" s="742" t="s">
        <v>72</v>
      </c>
      <c r="F20" s="742">
        <v>177.8</v>
      </c>
      <c r="G20" s="742" t="s">
        <v>28</v>
      </c>
      <c r="H20" s="742" t="s">
        <v>52</v>
      </c>
      <c r="I20" s="741">
        <v>560</v>
      </c>
      <c r="J20" s="742">
        <v>190</v>
      </c>
      <c r="K20" s="742"/>
      <c r="L20" s="742">
        <v>454</v>
      </c>
      <c r="M20" s="742"/>
      <c r="N20" s="742">
        <v>7.4</v>
      </c>
      <c r="O20" s="742"/>
      <c r="P20" s="668">
        <v>17.95441116074899</v>
      </c>
      <c r="Q20" s="670">
        <f t="shared" si="3"/>
        <v>41.8</v>
      </c>
      <c r="R20" s="432">
        <v>10.805999999999999</v>
      </c>
      <c r="S20" s="432">
        <v>13.278</v>
      </c>
      <c r="T20" s="670">
        <v>190</v>
      </c>
      <c r="U20" s="668">
        <f t="shared" si="0"/>
        <v>17.582824356838795</v>
      </c>
      <c r="V20" s="668">
        <f t="shared" si="7"/>
        <v>18.61726163578853</v>
      </c>
      <c r="W20" s="668">
        <v>0.6</v>
      </c>
      <c r="X20" s="432">
        <f t="shared" si="1"/>
        <v>0.31765550239234452</v>
      </c>
      <c r="Y20" s="432">
        <f t="shared" si="4"/>
        <v>10.622297999999999</v>
      </c>
      <c r="Z20" s="432">
        <f t="shared" si="4"/>
        <v>13.052274000000001</v>
      </c>
      <c r="AA20" s="670">
        <f t="shared" si="4"/>
        <v>186.77</v>
      </c>
      <c r="AB20" s="432">
        <f t="shared" si="5"/>
        <v>17.582824356838795</v>
      </c>
      <c r="AC20" s="670">
        <f t="shared" si="2"/>
        <v>18.61726163578853</v>
      </c>
      <c r="AD20" s="742">
        <v>30</v>
      </c>
      <c r="AE20" s="432">
        <f t="shared" si="6"/>
        <v>318.66893999999996</v>
      </c>
      <c r="AF20" s="669"/>
    </row>
    <row r="21" spans="1:32" ht="18.75" customHeight="1" x14ac:dyDescent="0.2">
      <c r="A21" s="742">
        <v>8</v>
      </c>
      <c r="B21" s="461" t="s">
        <v>146</v>
      </c>
      <c r="C21" s="742" t="s">
        <v>46</v>
      </c>
      <c r="D21" s="742">
        <v>764</v>
      </c>
      <c r="E21" s="436" t="s">
        <v>73</v>
      </c>
      <c r="F21" s="742">
        <v>177.8</v>
      </c>
      <c r="G21" s="742" t="s">
        <v>28</v>
      </c>
      <c r="H21" s="742" t="s">
        <v>52</v>
      </c>
      <c r="I21" s="437">
        <v>550</v>
      </c>
      <c r="J21" s="742">
        <v>115</v>
      </c>
      <c r="K21" s="738"/>
      <c r="L21" s="742">
        <v>258</v>
      </c>
      <c r="M21" s="738"/>
      <c r="N21" s="742">
        <v>8.1</v>
      </c>
      <c r="O21" s="738"/>
      <c r="P21" s="668">
        <v>38.324298433523886</v>
      </c>
      <c r="Q21" s="670">
        <f t="shared" si="3"/>
        <v>25.3</v>
      </c>
      <c r="R21" s="432">
        <v>4.1959999999999997</v>
      </c>
      <c r="S21" s="432">
        <v>19.780999999999999</v>
      </c>
      <c r="T21" s="670">
        <v>40</v>
      </c>
      <c r="U21" s="668">
        <f t="shared" si="0"/>
        <v>9.532888465204957</v>
      </c>
      <c r="V21" s="668">
        <f t="shared" si="7"/>
        <v>78.787725595268185</v>
      </c>
      <c r="W21" s="668">
        <v>0.3</v>
      </c>
      <c r="X21" s="432">
        <f t="shared" si="1"/>
        <v>0.78185770750988137</v>
      </c>
      <c r="Y21" s="432">
        <f t="shared" si="4"/>
        <v>4.1246679999999998</v>
      </c>
      <c r="Z21" s="432">
        <f t="shared" si="4"/>
        <v>19.444723</v>
      </c>
      <c r="AA21" s="670">
        <f t="shared" si="4"/>
        <v>39.32</v>
      </c>
      <c r="AB21" s="432">
        <f t="shared" si="5"/>
        <v>9.532888465204957</v>
      </c>
      <c r="AC21" s="670">
        <f t="shared" si="2"/>
        <v>78.787725595268185</v>
      </c>
      <c r="AD21" s="742">
        <v>30</v>
      </c>
      <c r="AE21" s="432">
        <f t="shared" si="6"/>
        <v>123.74003999999999</v>
      </c>
      <c r="AF21" s="669"/>
    </row>
    <row r="22" spans="1:32" ht="18.75" customHeight="1" x14ac:dyDescent="0.2">
      <c r="A22" s="742">
        <v>9</v>
      </c>
      <c r="B22" s="461" t="s">
        <v>147</v>
      </c>
      <c r="C22" s="742" t="s">
        <v>46</v>
      </c>
      <c r="D22" s="742">
        <v>650.1</v>
      </c>
      <c r="E22" s="742" t="s">
        <v>74</v>
      </c>
      <c r="F22" s="742">
        <v>177.8</v>
      </c>
      <c r="G22" s="742" t="s">
        <v>28</v>
      </c>
      <c r="H22" s="742" t="s">
        <v>52</v>
      </c>
      <c r="I22" s="741">
        <v>591.98</v>
      </c>
      <c r="J22" s="742">
        <v>120</v>
      </c>
      <c r="K22" s="742"/>
      <c r="L22" s="742">
        <v>471</v>
      </c>
      <c r="M22" s="742"/>
      <c r="N22" s="742">
        <v>5.4</v>
      </c>
      <c r="O22" s="742"/>
      <c r="P22" s="668">
        <v>14.56348157792049</v>
      </c>
      <c r="Q22" s="670">
        <f t="shared" si="3"/>
        <v>26.4</v>
      </c>
      <c r="R22" s="432">
        <v>5.7080000000000002</v>
      </c>
      <c r="S22" s="432">
        <v>10.224</v>
      </c>
      <c r="T22" s="670">
        <v>20</v>
      </c>
      <c r="U22" s="668">
        <f t="shared" si="0"/>
        <v>3.5038542396636299</v>
      </c>
      <c r="V22" s="668">
        <f t="shared" si="7"/>
        <v>44.170579029733958</v>
      </c>
      <c r="W22" s="668">
        <v>0.4</v>
      </c>
      <c r="X22" s="432">
        <v>0.2</v>
      </c>
      <c r="Y22" s="432">
        <f t="shared" si="4"/>
        <v>5.6109640000000001</v>
      </c>
      <c r="Z22" s="432">
        <f t="shared" si="4"/>
        <v>10.050192000000001</v>
      </c>
      <c r="AA22" s="670">
        <f t="shared" si="4"/>
        <v>19.66</v>
      </c>
      <c r="AB22" s="432">
        <f t="shared" si="5"/>
        <v>3.5038542396636299</v>
      </c>
      <c r="AC22" s="670">
        <f t="shared" si="2"/>
        <v>44.170579029733958</v>
      </c>
      <c r="AD22" s="742">
        <v>30</v>
      </c>
      <c r="AE22" s="432">
        <f t="shared" si="6"/>
        <v>168.32892000000001</v>
      </c>
      <c r="AF22" s="669"/>
    </row>
    <row r="23" spans="1:32" ht="18.75" customHeight="1" x14ac:dyDescent="0.2">
      <c r="A23" s="742">
        <v>10</v>
      </c>
      <c r="B23" s="461" t="s">
        <v>148</v>
      </c>
      <c r="C23" s="742" t="s">
        <v>46</v>
      </c>
      <c r="D23" s="742">
        <v>580.5</v>
      </c>
      <c r="E23" s="742" t="s">
        <v>398</v>
      </c>
      <c r="F23" s="742">
        <v>177.8</v>
      </c>
      <c r="G23" s="742" t="s">
        <v>28</v>
      </c>
      <c r="H23" s="165" t="s">
        <v>399</v>
      </c>
      <c r="I23" s="741">
        <v>572.4</v>
      </c>
      <c r="J23" s="742">
        <v>85</v>
      </c>
      <c r="K23" s="742"/>
      <c r="L23" s="742">
        <v>353</v>
      </c>
      <c r="M23" s="742"/>
      <c r="N23" s="742">
        <v>6.4</v>
      </c>
      <c r="O23" s="742"/>
      <c r="P23" s="668">
        <v>27.138503891691023</v>
      </c>
      <c r="Q23" s="670">
        <f>J23*13/100</f>
        <v>11.05</v>
      </c>
      <c r="R23" s="432">
        <v>0.35599999999999998</v>
      </c>
      <c r="S23" s="432">
        <v>8.3450000000000006</v>
      </c>
      <c r="T23" s="670">
        <v>0</v>
      </c>
      <c r="U23" s="668">
        <f t="shared" si="0"/>
        <v>0</v>
      </c>
      <c r="V23" s="668">
        <f t="shared" si="7"/>
        <v>95.73397243858598</v>
      </c>
      <c r="W23" s="668">
        <v>0.5</v>
      </c>
      <c r="X23" s="432">
        <v>0.2</v>
      </c>
      <c r="Y23" s="432">
        <f t="shared" si="4"/>
        <v>0.34994799999999998</v>
      </c>
      <c r="Z23" s="432">
        <f t="shared" si="4"/>
        <v>8.2031349999999996</v>
      </c>
      <c r="AA23" s="670">
        <f t="shared" si="4"/>
        <v>0</v>
      </c>
      <c r="AB23" s="432">
        <f t="shared" si="5"/>
        <v>0</v>
      </c>
      <c r="AC23" s="670">
        <f t="shared" si="2"/>
        <v>95.73397243858598</v>
      </c>
      <c r="AD23" s="742">
        <v>30</v>
      </c>
      <c r="AE23" s="432">
        <f t="shared" si="6"/>
        <v>10.498439999999999</v>
      </c>
      <c r="AF23" s="669"/>
    </row>
    <row r="24" spans="1:32" ht="18.75" customHeight="1" x14ac:dyDescent="0.2">
      <c r="A24" s="742">
        <v>11</v>
      </c>
      <c r="B24" s="461" t="s">
        <v>149</v>
      </c>
      <c r="C24" s="742" t="s">
        <v>46</v>
      </c>
      <c r="D24" s="742">
        <v>606.29999999999995</v>
      </c>
      <c r="E24" s="742" t="s">
        <v>76</v>
      </c>
      <c r="F24" s="742">
        <v>177.8</v>
      </c>
      <c r="G24" s="742" t="s">
        <v>28</v>
      </c>
      <c r="H24" s="742" t="s">
        <v>52</v>
      </c>
      <c r="I24" s="741">
        <v>585.29999999999995</v>
      </c>
      <c r="J24" s="742">
        <v>360</v>
      </c>
      <c r="K24" s="742"/>
      <c r="L24" s="742">
        <v>372</v>
      </c>
      <c r="M24" s="742"/>
      <c r="N24" s="742">
        <v>6.6</v>
      </c>
      <c r="O24" s="742"/>
      <c r="P24" s="668">
        <v>24.189862951767452</v>
      </c>
      <c r="Q24" s="670">
        <f t="shared" si="3"/>
        <v>79.2</v>
      </c>
      <c r="R24" s="432">
        <v>1.056</v>
      </c>
      <c r="S24" s="432">
        <v>2.4169999999999998</v>
      </c>
      <c r="T24" s="670">
        <v>1.25</v>
      </c>
      <c r="U24" s="668">
        <f t="shared" si="0"/>
        <v>1.1837121212121211</v>
      </c>
      <c r="V24" s="668">
        <f t="shared" si="7"/>
        <v>56.309474555233749</v>
      </c>
      <c r="W24" s="668">
        <v>0.5</v>
      </c>
      <c r="X24" s="432">
        <f t="shared" si="1"/>
        <v>3.0517676767676763E-2</v>
      </c>
      <c r="Y24" s="432">
        <f t="shared" si="4"/>
        <v>1.0380480000000001</v>
      </c>
      <c r="Z24" s="432">
        <f t="shared" si="4"/>
        <v>2.3759109999999999</v>
      </c>
      <c r="AA24" s="670">
        <f t="shared" si="4"/>
        <v>1.22875</v>
      </c>
      <c r="AB24" s="432">
        <f t="shared" si="5"/>
        <v>1.1837121212121211</v>
      </c>
      <c r="AC24" s="670">
        <f t="shared" si="2"/>
        <v>56.309474555233749</v>
      </c>
      <c r="AD24" s="742">
        <v>30</v>
      </c>
      <c r="AE24" s="432">
        <f t="shared" si="6"/>
        <v>31.141440000000003</v>
      </c>
      <c r="AF24" s="449"/>
    </row>
    <row r="25" spans="1:32" ht="18.75" customHeight="1" x14ac:dyDescent="0.2">
      <c r="A25" s="742">
        <v>12</v>
      </c>
      <c r="B25" s="461" t="s">
        <v>150</v>
      </c>
      <c r="C25" s="742" t="s">
        <v>46</v>
      </c>
      <c r="D25" s="742">
        <v>661</v>
      </c>
      <c r="E25" s="741" t="s">
        <v>77</v>
      </c>
      <c r="F25" s="742">
        <v>177.8</v>
      </c>
      <c r="G25" s="742" t="s">
        <v>28</v>
      </c>
      <c r="H25" s="742" t="s">
        <v>53</v>
      </c>
      <c r="I25" s="741">
        <v>554.91</v>
      </c>
      <c r="J25" s="742">
        <v>185</v>
      </c>
      <c r="K25" s="742"/>
      <c r="L25" s="742">
        <v>480</v>
      </c>
      <c r="M25" s="742"/>
      <c r="N25" s="742">
        <v>0.1</v>
      </c>
      <c r="O25" s="742"/>
      <c r="P25" s="668">
        <v>9.3259273985212179</v>
      </c>
      <c r="Q25" s="670">
        <f t="shared" si="3"/>
        <v>24.05</v>
      </c>
      <c r="R25" s="432">
        <v>1.018</v>
      </c>
      <c r="S25" s="432">
        <v>1.8049999999999999</v>
      </c>
      <c r="T25" s="670">
        <v>5</v>
      </c>
      <c r="U25" s="668">
        <f t="shared" si="0"/>
        <v>4.9115913555992137</v>
      </c>
      <c r="V25" s="668">
        <f t="shared" si="7"/>
        <v>43.60110803324099</v>
      </c>
      <c r="W25" s="668">
        <v>0.3</v>
      </c>
      <c r="X25" s="432">
        <f t="shared" si="1"/>
        <v>7.5051975051975042E-2</v>
      </c>
      <c r="Y25" s="432">
        <f t="shared" si="4"/>
        <v>1.000694</v>
      </c>
      <c r="Z25" s="432">
        <f t="shared" si="4"/>
        <v>1.7743149999999999</v>
      </c>
      <c r="AA25" s="670">
        <f t="shared" si="4"/>
        <v>4.915</v>
      </c>
      <c r="AB25" s="432">
        <f t="shared" si="5"/>
        <v>4.9115913555992137</v>
      </c>
      <c r="AC25" s="670">
        <f t="shared" si="2"/>
        <v>43.60110803324099</v>
      </c>
      <c r="AD25" s="742">
        <v>30</v>
      </c>
      <c r="AE25" s="432">
        <f t="shared" si="6"/>
        <v>30.020820000000001</v>
      </c>
      <c r="AF25" s="669"/>
    </row>
    <row r="26" spans="1:32" ht="18.75" customHeight="1" x14ac:dyDescent="0.2">
      <c r="A26" s="742">
        <v>13</v>
      </c>
      <c r="B26" s="461" t="s">
        <v>151</v>
      </c>
      <c r="C26" s="742" t="s">
        <v>46</v>
      </c>
      <c r="D26" s="742">
        <v>675.4</v>
      </c>
      <c r="E26" s="741" t="s">
        <v>298</v>
      </c>
      <c r="F26" s="742">
        <v>177.8</v>
      </c>
      <c r="G26" s="742" t="s">
        <v>28</v>
      </c>
      <c r="H26" s="742" t="s">
        <v>52</v>
      </c>
      <c r="I26" s="741">
        <v>553.5</v>
      </c>
      <c r="J26" s="742">
        <v>280</v>
      </c>
      <c r="K26" s="742"/>
      <c r="L26" s="742">
        <v>415</v>
      </c>
      <c r="M26" s="742"/>
      <c r="N26" s="742">
        <v>7.1</v>
      </c>
      <c r="O26" s="742"/>
      <c r="P26" s="668">
        <v>21.550395515349415</v>
      </c>
      <c r="Q26" s="670">
        <f t="shared" si="3"/>
        <v>61.6</v>
      </c>
      <c r="R26" s="432">
        <v>13.333</v>
      </c>
      <c r="S26" s="432">
        <v>21.542999999999999</v>
      </c>
      <c r="T26" s="670">
        <v>150</v>
      </c>
      <c r="U26" s="668">
        <f t="shared" si="0"/>
        <v>11.250281257031425</v>
      </c>
      <c r="V26" s="668">
        <f t="shared" si="7"/>
        <v>38.109826857912083</v>
      </c>
      <c r="W26" s="668">
        <v>0.3</v>
      </c>
      <c r="X26" s="432">
        <f t="shared" si="1"/>
        <v>0.34972402597402596</v>
      </c>
      <c r="Y26" s="432">
        <f t="shared" si="4"/>
        <v>13.106339</v>
      </c>
      <c r="Z26" s="432">
        <f t="shared" si="4"/>
        <v>21.176769</v>
      </c>
      <c r="AA26" s="670">
        <f t="shared" si="4"/>
        <v>147.44999999999999</v>
      </c>
      <c r="AB26" s="432">
        <f t="shared" si="5"/>
        <v>11.250281257031425</v>
      </c>
      <c r="AC26" s="670">
        <f t="shared" si="2"/>
        <v>38.109826857912083</v>
      </c>
      <c r="AD26" s="742">
        <v>30</v>
      </c>
      <c r="AE26" s="432">
        <f t="shared" si="6"/>
        <v>393.19017000000002</v>
      </c>
      <c r="AF26" s="669"/>
    </row>
    <row r="27" spans="1:32" ht="18.75" customHeight="1" x14ac:dyDescent="0.2">
      <c r="A27" s="742">
        <v>14</v>
      </c>
      <c r="B27" s="461" t="s">
        <v>36</v>
      </c>
      <c r="C27" s="742" t="s">
        <v>46</v>
      </c>
      <c r="D27" s="742">
        <v>584.5</v>
      </c>
      <c r="E27" s="741" t="s">
        <v>79</v>
      </c>
      <c r="F27" s="742">
        <v>177.8</v>
      </c>
      <c r="G27" s="742" t="s">
        <v>28</v>
      </c>
      <c r="H27" s="742" t="s">
        <v>49</v>
      </c>
      <c r="I27" s="741">
        <v>525.03</v>
      </c>
      <c r="J27" s="742">
        <v>120</v>
      </c>
      <c r="K27" s="742"/>
      <c r="L27" s="742">
        <v>331</v>
      </c>
      <c r="M27" s="742"/>
      <c r="N27" s="742">
        <v>7.5</v>
      </c>
      <c r="O27" s="742"/>
      <c r="P27" s="668">
        <v>26.71793695979099</v>
      </c>
      <c r="Q27" s="670">
        <f t="shared" si="3"/>
        <v>38.4</v>
      </c>
      <c r="R27" s="432">
        <v>20.167999999999999</v>
      </c>
      <c r="S27" s="432">
        <v>29.285</v>
      </c>
      <c r="T27" s="670">
        <v>200</v>
      </c>
      <c r="U27" s="668">
        <f t="shared" si="0"/>
        <v>9.9166997223324085</v>
      </c>
      <c r="V27" s="668">
        <f t="shared" si="7"/>
        <v>31.131978828751922</v>
      </c>
      <c r="W27" s="668">
        <v>0.4</v>
      </c>
      <c r="X27" s="432">
        <f t="shared" si="1"/>
        <v>0.76263020833333339</v>
      </c>
      <c r="Y27" s="432">
        <f t="shared" si="4"/>
        <v>19.825143999999998</v>
      </c>
      <c r="Z27" s="432">
        <f t="shared" si="4"/>
        <v>28.787154999999998</v>
      </c>
      <c r="AA27" s="670">
        <f t="shared" si="4"/>
        <v>196.6</v>
      </c>
      <c r="AB27" s="432">
        <f t="shared" si="5"/>
        <v>9.9166997223324085</v>
      </c>
      <c r="AC27" s="670">
        <f t="shared" si="2"/>
        <v>31.131978828751922</v>
      </c>
      <c r="AD27" s="742">
        <v>30</v>
      </c>
      <c r="AE27" s="432">
        <f t="shared" si="6"/>
        <v>594.75431999999989</v>
      </c>
      <c r="AF27" s="669"/>
    </row>
    <row r="28" spans="1:32" ht="18.75" customHeight="1" x14ac:dyDescent="0.2">
      <c r="A28" s="742">
        <v>15</v>
      </c>
      <c r="B28" s="461" t="s">
        <v>152</v>
      </c>
      <c r="C28" s="742" t="s">
        <v>46</v>
      </c>
      <c r="D28" s="742">
        <v>565</v>
      </c>
      <c r="E28" s="741" t="s">
        <v>80</v>
      </c>
      <c r="F28" s="742">
        <v>177.8</v>
      </c>
      <c r="G28" s="742" t="s">
        <v>28</v>
      </c>
      <c r="H28" s="742" t="s">
        <v>52</v>
      </c>
      <c r="I28" s="437">
        <v>522</v>
      </c>
      <c r="J28" s="742">
        <v>360</v>
      </c>
      <c r="K28" s="742"/>
      <c r="L28" s="742">
        <v>439</v>
      </c>
      <c r="M28" s="742"/>
      <c r="N28" s="742">
        <v>9.6999999999999993</v>
      </c>
      <c r="O28" s="742"/>
      <c r="P28" s="668">
        <v>18.70225064291613</v>
      </c>
      <c r="Q28" s="670">
        <f t="shared" si="3"/>
        <v>79.2</v>
      </c>
      <c r="R28" s="432">
        <v>17.076000000000001</v>
      </c>
      <c r="S28" s="432">
        <v>27.257000000000001</v>
      </c>
      <c r="T28" s="670">
        <v>3588</v>
      </c>
      <c r="U28" s="668">
        <f t="shared" si="0"/>
        <v>210.11946591707658</v>
      </c>
      <c r="V28" s="668">
        <f t="shared" si="7"/>
        <v>37.351872913380049</v>
      </c>
      <c r="W28" s="668">
        <v>0.2</v>
      </c>
      <c r="X28" s="432">
        <f t="shared" si="1"/>
        <v>0.34415404040404041</v>
      </c>
      <c r="Y28" s="432">
        <f t="shared" si="4"/>
        <v>16.785708</v>
      </c>
      <c r="Z28" s="432">
        <f t="shared" si="4"/>
        <v>26.793631000000001</v>
      </c>
      <c r="AA28" s="670">
        <f t="shared" si="4"/>
        <v>3527.0039999999999</v>
      </c>
      <c r="AB28" s="432">
        <f t="shared" si="5"/>
        <v>210.11946591707658</v>
      </c>
      <c r="AC28" s="670">
        <f t="shared" si="2"/>
        <v>37.351872913380049</v>
      </c>
      <c r="AD28" s="742">
        <v>30</v>
      </c>
      <c r="AE28" s="432">
        <f t="shared" si="6"/>
        <v>503.57123999999999</v>
      </c>
      <c r="AF28" s="669"/>
    </row>
    <row r="29" spans="1:32" ht="18.75" customHeight="1" x14ac:dyDescent="0.2">
      <c r="A29" s="742">
        <v>16</v>
      </c>
      <c r="B29" s="461" t="s">
        <v>37</v>
      </c>
      <c r="C29" s="742" t="s">
        <v>46</v>
      </c>
      <c r="D29" s="742">
        <v>670</v>
      </c>
      <c r="E29" s="742" t="s">
        <v>81</v>
      </c>
      <c r="F29" s="742">
        <v>177.8</v>
      </c>
      <c r="G29" s="742" t="s">
        <v>28</v>
      </c>
      <c r="H29" s="742" t="s">
        <v>48</v>
      </c>
      <c r="I29" s="741">
        <v>570.95000000000005</v>
      </c>
      <c r="J29" s="742">
        <v>85</v>
      </c>
      <c r="K29" s="742"/>
      <c r="L29" s="742">
        <v>452</v>
      </c>
      <c r="M29" s="742"/>
      <c r="N29" s="742">
        <v>7.03</v>
      </c>
      <c r="O29" s="742"/>
      <c r="P29" s="668">
        <v>19.128937259861303</v>
      </c>
      <c r="Q29" s="670">
        <f t="shared" si="3"/>
        <v>11.05</v>
      </c>
      <c r="R29" s="432">
        <v>4.1950000000000003</v>
      </c>
      <c r="S29" s="432">
        <v>6.0519999999999996</v>
      </c>
      <c r="T29" s="670">
        <v>19</v>
      </c>
      <c r="U29" s="668">
        <f t="shared" si="0"/>
        <v>4.5292014302741359</v>
      </c>
      <c r="V29" s="668">
        <f t="shared" si="7"/>
        <v>30.684071381361523</v>
      </c>
      <c r="W29" s="668">
        <v>0.3</v>
      </c>
      <c r="X29" s="432">
        <f t="shared" si="1"/>
        <v>0.54769230769230759</v>
      </c>
      <c r="Y29" s="432">
        <f t="shared" si="4"/>
        <v>4.123685</v>
      </c>
      <c r="Z29" s="432">
        <f t="shared" si="4"/>
        <v>5.9491159999999992</v>
      </c>
      <c r="AA29" s="670">
        <f t="shared" si="4"/>
        <v>18.677</v>
      </c>
      <c r="AB29" s="432">
        <f t="shared" si="5"/>
        <v>4.5292014302741359</v>
      </c>
      <c r="AC29" s="670">
        <f t="shared" si="2"/>
        <v>30.684071381361523</v>
      </c>
      <c r="AD29" s="742">
        <v>30</v>
      </c>
      <c r="AE29" s="432">
        <f>Y29*AD29</f>
        <v>123.71055</v>
      </c>
      <c r="AF29" s="449"/>
    </row>
    <row r="30" spans="1:32" ht="18.75" customHeight="1" x14ac:dyDescent="0.2">
      <c r="A30" s="742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215</v>
      </c>
      <c r="K30" s="461"/>
      <c r="L30" s="461">
        <v>500</v>
      </c>
      <c r="M30" s="461"/>
      <c r="N30" s="461">
        <v>11.3</v>
      </c>
      <c r="O30" s="461"/>
      <c r="P30" s="671">
        <v>16.817913168249717</v>
      </c>
      <c r="Q30" s="670">
        <f>J30*33/100</f>
        <v>70.95</v>
      </c>
      <c r="R30" s="672">
        <v>10.337999999999999</v>
      </c>
      <c r="S30" s="432">
        <v>13.569000000000001</v>
      </c>
      <c r="T30" s="699">
        <v>382</v>
      </c>
      <c r="U30" s="671">
        <f t="shared" si="0"/>
        <v>36.951054362545953</v>
      </c>
      <c r="V30" s="668">
        <f t="shared" si="7"/>
        <v>23.811629449480446</v>
      </c>
      <c r="W30" s="671">
        <v>0.4</v>
      </c>
      <c r="X30" s="672">
        <f t="shared" si="1"/>
        <v>0.19124735729386894</v>
      </c>
      <c r="Y30" s="432">
        <f t="shared" si="4"/>
        <v>10.162253999999999</v>
      </c>
      <c r="Z30" s="432">
        <f t="shared" si="4"/>
        <v>13.338327000000001</v>
      </c>
      <c r="AA30" s="670">
        <f t="shared" si="4"/>
        <v>375.50599999999997</v>
      </c>
      <c r="AB30" s="672">
        <f t="shared" si="5"/>
        <v>36.951054362545953</v>
      </c>
      <c r="AC30" s="699">
        <f t="shared" si="2"/>
        <v>23.811629449480446</v>
      </c>
      <c r="AD30" s="742">
        <v>30</v>
      </c>
      <c r="AE30" s="672">
        <f>Y30*AD30</f>
        <v>304.86761999999999</v>
      </c>
      <c r="AF30" s="461"/>
    </row>
    <row r="31" spans="1:32" ht="18.75" customHeight="1" x14ac:dyDescent="0.2">
      <c r="A31" s="742">
        <v>18</v>
      </c>
      <c r="B31" s="461" t="s">
        <v>154</v>
      </c>
      <c r="C31" s="742" t="s">
        <v>304</v>
      </c>
      <c r="D31" s="443">
        <v>667.46</v>
      </c>
      <c r="E31" s="436" t="s">
        <v>400</v>
      </c>
      <c r="F31" s="742">
        <v>177.8</v>
      </c>
      <c r="G31" s="742" t="s">
        <v>28</v>
      </c>
      <c r="H31" s="241" t="s">
        <v>364</v>
      </c>
      <c r="I31" s="437">
        <v>667.46</v>
      </c>
      <c r="J31" s="742">
        <v>85</v>
      </c>
      <c r="K31" s="742"/>
      <c r="L31" s="742">
        <v>569</v>
      </c>
      <c r="M31" s="742"/>
      <c r="N31" s="742">
        <v>8.5</v>
      </c>
      <c r="O31" s="742"/>
      <c r="P31" s="668">
        <v>17.45977189672643</v>
      </c>
      <c r="Q31" s="670">
        <f>J31*13/100</f>
        <v>11.05</v>
      </c>
      <c r="R31" s="432">
        <v>3.2839999999999998</v>
      </c>
      <c r="S31" s="432">
        <v>3.8639999999999999</v>
      </c>
      <c r="T31" s="670">
        <v>37</v>
      </c>
      <c r="U31" s="671">
        <f t="shared" si="0"/>
        <v>11.266747868453107</v>
      </c>
      <c r="V31" s="668">
        <f t="shared" si="7"/>
        <v>15.010351966873708</v>
      </c>
      <c r="W31" s="668">
        <v>0.3</v>
      </c>
      <c r="X31" s="672">
        <f t="shared" si="1"/>
        <v>0.34968325791855198</v>
      </c>
      <c r="Y31" s="432">
        <f t="shared" si="4"/>
        <v>3.2281719999999998</v>
      </c>
      <c r="Z31" s="432">
        <f t="shared" si="4"/>
        <v>3.7983119999999997</v>
      </c>
      <c r="AA31" s="670">
        <f t="shared" si="4"/>
        <v>36.371000000000002</v>
      </c>
      <c r="AB31" s="432">
        <v>0</v>
      </c>
      <c r="AC31" s="699">
        <f t="shared" si="2"/>
        <v>15.010351966873708</v>
      </c>
      <c r="AD31" s="742">
        <v>30</v>
      </c>
      <c r="AE31" s="672">
        <f>Y31*AD31</f>
        <v>96.845159999999993</v>
      </c>
      <c r="AF31" s="669"/>
    </row>
    <row r="32" spans="1:32" ht="18.75" customHeight="1" x14ac:dyDescent="0.2">
      <c r="A32" s="742">
        <v>19</v>
      </c>
      <c r="B32" s="461" t="s">
        <v>38</v>
      </c>
      <c r="C32" s="742" t="s">
        <v>46</v>
      </c>
      <c r="D32" s="668">
        <v>580</v>
      </c>
      <c r="E32" s="742" t="s">
        <v>84</v>
      </c>
      <c r="F32" s="742">
        <v>177.8</v>
      </c>
      <c r="G32" s="742" t="s">
        <v>28</v>
      </c>
      <c r="H32" s="165" t="s">
        <v>379</v>
      </c>
      <c r="I32" s="741">
        <v>563.79</v>
      </c>
      <c r="J32" s="742">
        <v>165</v>
      </c>
      <c r="K32" s="742"/>
      <c r="L32" s="742">
        <v>438</v>
      </c>
      <c r="M32" s="742"/>
      <c r="N32" s="742">
        <v>0.1</v>
      </c>
      <c r="O32" s="742"/>
      <c r="P32" s="668">
        <v>8.3835035197959176</v>
      </c>
      <c r="Q32" s="670">
        <f>J32*7/100</f>
        <v>11.55</v>
      </c>
      <c r="R32" s="432">
        <v>1.95</v>
      </c>
      <c r="S32" s="432">
        <v>4.92</v>
      </c>
      <c r="T32" s="670">
        <v>0</v>
      </c>
      <c r="U32" s="671">
        <f t="shared" si="0"/>
        <v>0</v>
      </c>
      <c r="V32" s="668">
        <f t="shared" si="7"/>
        <v>60.365853658536587</v>
      </c>
      <c r="W32" s="668">
        <v>0.5</v>
      </c>
      <c r="X32" s="672">
        <f t="shared" si="1"/>
        <v>0.42597402597402595</v>
      </c>
      <c r="Y32" s="432">
        <f t="shared" si="4"/>
        <v>1.9168499999999999</v>
      </c>
      <c r="Z32" s="432">
        <f t="shared" si="4"/>
        <v>4.83636</v>
      </c>
      <c r="AA32" s="670">
        <f t="shared" si="4"/>
        <v>0</v>
      </c>
      <c r="AB32" s="432">
        <f>U32</f>
        <v>0</v>
      </c>
      <c r="AC32" s="699">
        <f t="shared" si="2"/>
        <v>60.365853658536587</v>
      </c>
      <c r="AD32" s="742">
        <v>30</v>
      </c>
      <c r="AE32" s="432">
        <f t="shared" si="6"/>
        <v>57.505499999999998</v>
      </c>
      <c r="AF32" s="669"/>
    </row>
    <row r="33" spans="1:32" ht="18.75" customHeight="1" x14ac:dyDescent="0.2">
      <c r="A33" s="742">
        <v>20</v>
      </c>
      <c r="B33" s="461" t="s">
        <v>39</v>
      </c>
      <c r="C33" s="742" t="s">
        <v>46</v>
      </c>
      <c r="D33" s="742">
        <v>728.6</v>
      </c>
      <c r="E33" s="165" t="s">
        <v>411</v>
      </c>
      <c r="F33" s="742">
        <v>177.8</v>
      </c>
      <c r="G33" s="742" t="s">
        <v>28</v>
      </c>
      <c r="H33" s="165" t="s">
        <v>380</v>
      </c>
      <c r="I33" s="741">
        <v>551.77</v>
      </c>
      <c r="J33" s="742">
        <v>125</v>
      </c>
      <c r="K33" s="742"/>
      <c r="L33" s="742">
        <v>349</v>
      </c>
      <c r="M33" s="742"/>
      <c r="N33" s="742">
        <v>5.4</v>
      </c>
      <c r="O33" s="742"/>
      <c r="P33" s="668">
        <v>25.563626843635138</v>
      </c>
      <c r="Q33" s="670">
        <f>J33*23/100</f>
        <v>28.75</v>
      </c>
      <c r="R33" s="432">
        <v>8.6850000000000005</v>
      </c>
      <c r="S33" s="432">
        <v>17.550999999999998</v>
      </c>
      <c r="T33" s="670">
        <v>289</v>
      </c>
      <c r="U33" s="671">
        <f t="shared" si="0"/>
        <v>33.275762809441567</v>
      </c>
      <c r="V33" s="668">
        <f t="shared" si="7"/>
        <v>50.515640134465265</v>
      </c>
      <c r="W33" s="668">
        <v>0.2</v>
      </c>
      <c r="X33" s="672">
        <f t="shared" si="1"/>
        <v>0.61046956521739126</v>
      </c>
      <c r="Y33" s="432">
        <f t="shared" si="4"/>
        <v>8.5373549999999998</v>
      </c>
      <c r="Z33" s="432">
        <f t="shared" si="4"/>
        <v>17.252632999999999</v>
      </c>
      <c r="AA33" s="670">
        <f t="shared" si="4"/>
        <v>284.08699999999999</v>
      </c>
      <c r="AB33" s="432">
        <f t="shared" si="5"/>
        <v>33.275762809441567</v>
      </c>
      <c r="AC33" s="699">
        <f t="shared" si="2"/>
        <v>50.515640134465265</v>
      </c>
      <c r="AD33" s="742">
        <v>30</v>
      </c>
      <c r="AE33" s="432">
        <f t="shared" si="6"/>
        <v>256.12065000000001</v>
      </c>
      <c r="AF33" s="669"/>
    </row>
    <row r="34" spans="1:32" ht="18.75" customHeight="1" x14ac:dyDescent="0.2">
      <c r="A34" s="742">
        <v>21</v>
      </c>
      <c r="B34" s="461" t="s">
        <v>40</v>
      </c>
      <c r="C34" s="742" t="s">
        <v>46</v>
      </c>
      <c r="D34" s="742">
        <v>679.7</v>
      </c>
      <c r="E34" s="742" t="s">
        <v>86</v>
      </c>
      <c r="F34" s="742">
        <v>177.8</v>
      </c>
      <c r="G34" s="742" t="s">
        <v>28</v>
      </c>
      <c r="H34" s="165" t="s">
        <v>379</v>
      </c>
      <c r="I34" s="741">
        <v>592.84</v>
      </c>
      <c r="J34" s="742">
        <v>190</v>
      </c>
      <c r="K34" s="742"/>
      <c r="L34" s="742">
        <v>430</v>
      </c>
      <c r="M34" s="742"/>
      <c r="N34" s="742">
        <v>4.5</v>
      </c>
      <c r="O34" s="742"/>
      <c r="P34" s="668">
        <v>18.364888102134216</v>
      </c>
      <c r="Q34" s="670">
        <f>J34*7/100</f>
        <v>13.3</v>
      </c>
      <c r="R34" s="432">
        <v>2.3050000000000002</v>
      </c>
      <c r="S34" s="432">
        <v>12.388999999999999</v>
      </c>
      <c r="T34" s="670">
        <v>22</v>
      </c>
      <c r="U34" s="668">
        <f>IF(R34=0,0,T34/R34)</f>
        <v>9.5444685466377432</v>
      </c>
      <c r="V34" s="668">
        <f t="shared" si="7"/>
        <v>81.394785696989274</v>
      </c>
      <c r="W34" s="668">
        <v>0.8</v>
      </c>
      <c r="X34" s="672">
        <v>0</v>
      </c>
      <c r="Y34" s="432">
        <f t="shared" si="4"/>
        <v>2.2658149999999999</v>
      </c>
      <c r="Z34" s="432">
        <f t="shared" si="4"/>
        <v>12.178386999999999</v>
      </c>
      <c r="AA34" s="670">
        <f t="shared" si="4"/>
        <v>21.626000000000001</v>
      </c>
      <c r="AB34" s="432">
        <f t="shared" si="5"/>
        <v>9.5444685466377432</v>
      </c>
      <c r="AC34" s="670">
        <v>82.278481012658219</v>
      </c>
      <c r="AD34" s="742">
        <v>30</v>
      </c>
      <c r="AE34" s="432">
        <f>Y34*AD34</f>
        <v>67.97444999999999</v>
      </c>
      <c r="AF34" s="449"/>
    </row>
    <row r="35" spans="1:32" ht="18.75" customHeight="1" x14ac:dyDescent="0.2">
      <c r="A35" s="742">
        <v>22</v>
      </c>
      <c r="B35" s="461" t="s">
        <v>41</v>
      </c>
      <c r="C35" s="742" t="s">
        <v>46</v>
      </c>
      <c r="D35" s="742">
        <v>573.70000000000005</v>
      </c>
      <c r="E35" s="742" t="s">
        <v>87</v>
      </c>
      <c r="F35" s="742">
        <v>177.8</v>
      </c>
      <c r="G35" s="742" t="s">
        <v>28</v>
      </c>
      <c r="H35" s="742" t="s">
        <v>52</v>
      </c>
      <c r="I35" s="741">
        <v>554.30999999999995</v>
      </c>
      <c r="J35" s="742">
        <v>320</v>
      </c>
      <c r="K35" s="742"/>
      <c r="L35" s="742">
        <v>477</v>
      </c>
      <c r="M35" s="742"/>
      <c r="N35" s="742">
        <v>6.6</v>
      </c>
      <c r="O35" s="742"/>
      <c r="P35" s="668">
        <v>13.266431651801133</v>
      </c>
      <c r="Q35" s="670">
        <f t="shared" si="3"/>
        <v>70.400000000000006</v>
      </c>
      <c r="R35" s="432">
        <v>8.6479999999999997</v>
      </c>
      <c r="S35" s="432">
        <v>10.303000000000001</v>
      </c>
      <c r="T35" s="670">
        <v>303</v>
      </c>
      <c r="U35" s="668">
        <f t="shared" si="0"/>
        <v>35.037002775208144</v>
      </c>
      <c r="V35" s="668">
        <f t="shared" si="7"/>
        <v>16.0632825390663</v>
      </c>
      <c r="W35" s="668">
        <v>0.2</v>
      </c>
      <c r="X35" s="432">
        <f t="shared" si="1"/>
        <v>0.14634943181818183</v>
      </c>
      <c r="Y35" s="432">
        <f t="shared" si="4"/>
        <v>8.500983999999999</v>
      </c>
      <c r="Z35" s="432">
        <f t="shared" si="4"/>
        <v>10.127849000000001</v>
      </c>
      <c r="AA35" s="670">
        <f t="shared" si="4"/>
        <v>297.84899999999999</v>
      </c>
      <c r="AB35" s="432">
        <v>89.536086956521729</v>
      </c>
      <c r="AC35" s="670">
        <v>26</v>
      </c>
      <c r="AD35" s="742">
        <v>30</v>
      </c>
      <c r="AE35" s="432">
        <f t="shared" si="6"/>
        <v>255.02951999999996</v>
      </c>
      <c r="AF35" s="673"/>
    </row>
    <row r="36" spans="1:32" ht="18.75" customHeight="1" x14ac:dyDescent="0.2">
      <c r="A36" s="742">
        <v>23</v>
      </c>
      <c r="B36" s="461" t="s">
        <v>42</v>
      </c>
      <c r="C36" s="742" t="s">
        <v>46</v>
      </c>
      <c r="D36" s="742">
        <v>681.1</v>
      </c>
      <c r="E36" s="742" t="s">
        <v>88</v>
      </c>
      <c r="F36" s="742">
        <v>177.8</v>
      </c>
      <c r="G36" s="742" t="s">
        <v>28</v>
      </c>
      <c r="H36" s="742" t="s">
        <v>48</v>
      </c>
      <c r="I36" s="741">
        <v>589.66</v>
      </c>
      <c r="J36" s="742">
        <v>135</v>
      </c>
      <c r="K36" s="742"/>
      <c r="L36" s="742">
        <v>373</v>
      </c>
      <c r="M36" s="742"/>
      <c r="N36" s="742">
        <v>8.1999999999999993</v>
      </c>
      <c r="O36" s="742"/>
      <c r="P36" s="668">
        <v>27.195457082897093</v>
      </c>
      <c r="Q36" s="670">
        <f t="shared" si="3"/>
        <v>17.55</v>
      </c>
      <c r="R36" s="432">
        <v>6.53</v>
      </c>
      <c r="S36" s="432">
        <v>12.944000000000001</v>
      </c>
      <c r="T36" s="670">
        <v>8</v>
      </c>
      <c r="U36" s="668">
        <f t="shared" si="0"/>
        <v>1.2251148545176109</v>
      </c>
      <c r="V36" s="668">
        <f t="shared" si="7"/>
        <v>49.551915945611867</v>
      </c>
      <c r="W36" s="668">
        <v>0.5</v>
      </c>
      <c r="X36" s="432">
        <f t="shared" si="1"/>
        <v>0.73754985754985758</v>
      </c>
      <c r="Y36" s="432">
        <f t="shared" si="4"/>
        <v>6.41899</v>
      </c>
      <c r="Z36" s="432">
        <f t="shared" si="4"/>
        <v>12.723952000000001</v>
      </c>
      <c r="AA36" s="670">
        <f t="shared" si="4"/>
        <v>7.8639999999999999</v>
      </c>
      <c r="AB36" s="432">
        <f t="shared" si="5"/>
        <v>1.2251148545176109</v>
      </c>
      <c r="AC36" s="670">
        <f t="shared" si="2"/>
        <v>49.551915945611867</v>
      </c>
      <c r="AD36" s="742">
        <v>30</v>
      </c>
      <c r="AE36" s="432">
        <f t="shared" si="6"/>
        <v>192.56970000000001</v>
      </c>
      <c r="AF36" s="449"/>
    </row>
    <row r="37" spans="1:32" ht="18.75" customHeight="1" x14ac:dyDescent="0.2">
      <c r="A37" s="742">
        <v>24</v>
      </c>
      <c r="B37" s="461" t="s">
        <v>43</v>
      </c>
      <c r="C37" s="742" t="s">
        <v>46</v>
      </c>
      <c r="D37" s="742">
        <v>682.7</v>
      </c>
      <c r="E37" s="742" t="s">
        <v>402</v>
      </c>
      <c r="F37" s="742">
        <v>177.8</v>
      </c>
      <c r="G37" s="742" t="s">
        <v>28</v>
      </c>
      <c r="H37" s="742" t="s">
        <v>52</v>
      </c>
      <c r="I37" s="446">
        <v>559.12</v>
      </c>
      <c r="J37" s="742">
        <v>85</v>
      </c>
      <c r="K37" s="742"/>
      <c r="L37" s="742">
        <v>445</v>
      </c>
      <c r="M37" s="742"/>
      <c r="N37" s="742">
        <v>7.3</v>
      </c>
      <c r="O37" s="742"/>
      <c r="P37" s="668">
        <v>19.243897066509575</v>
      </c>
      <c r="Q37" s="670">
        <f t="shared" si="3"/>
        <v>18.7</v>
      </c>
      <c r="R37" s="432">
        <v>2.0990000000000002</v>
      </c>
      <c r="S37" s="432">
        <v>12.988</v>
      </c>
      <c r="T37" s="670">
        <v>24.5</v>
      </c>
      <c r="U37" s="668">
        <f t="shared" si="0"/>
        <v>11.67222486898523</v>
      </c>
      <c r="V37" s="668">
        <f t="shared" si="7"/>
        <v>83.838928241453644</v>
      </c>
      <c r="W37" s="668">
        <v>0.5</v>
      </c>
      <c r="X37" s="432">
        <f t="shared" si="1"/>
        <v>0.69454545454545458</v>
      </c>
      <c r="Y37" s="432">
        <f t="shared" si="4"/>
        <v>2.0633170000000001</v>
      </c>
      <c r="Z37" s="432">
        <f t="shared" si="4"/>
        <v>12.767204</v>
      </c>
      <c r="AA37" s="670">
        <f t="shared" si="4"/>
        <v>24.083500000000001</v>
      </c>
      <c r="AB37" s="432">
        <f t="shared" si="5"/>
        <v>11.67222486898523</v>
      </c>
      <c r="AC37" s="670">
        <f t="shared" si="2"/>
        <v>83.838928241453644</v>
      </c>
      <c r="AD37" s="742">
        <v>30</v>
      </c>
      <c r="AE37" s="432">
        <f t="shared" si="6"/>
        <v>61.899509999999999</v>
      </c>
      <c r="AF37" s="669" t="s">
        <v>412</v>
      </c>
    </row>
    <row r="38" spans="1:32" ht="18.75" customHeight="1" x14ac:dyDescent="0.2">
      <c r="A38" s="742">
        <v>25</v>
      </c>
      <c r="B38" s="461" t="s">
        <v>44</v>
      </c>
      <c r="C38" s="742" t="s">
        <v>46</v>
      </c>
      <c r="D38" s="742">
        <v>614.20000000000005</v>
      </c>
      <c r="E38" s="742" t="s">
        <v>90</v>
      </c>
      <c r="F38" s="742">
        <v>177.8</v>
      </c>
      <c r="G38" s="742" t="s">
        <v>28</v>
      </c>
      <c r="H38" s="742" t="s">
        <v>52</v>
      </c>
      <c r="I38" s="446">
        <v>573.37</v>
      </c>
      <c r="J38" s="742">
        <v>290</v>
      </c>
      <c r="K38" s="742"/>
      <c r="L38" s="742">
        <v>272</v>
      </c>
      <c r="M38" s="742"/>
      <c r="N38" s="742">
        <v>7.8</v>
      </c>
      <c r="O38" s="742"/>
      <c r="P38" s="668">
        <v>37.055677063396132</v>
      </c>
      <c r="Q38" s="670">
        <f t="shared" si="3"/>
        <v>63.8</v>
      </c>
      <c r="R38" s="432">
        <v>12.590999999999999</v>
      </c>
      <c r="S38" s="432">
        <v>52.941000000000003</v>
      </c>
      <c r="T38" s="670">
        <v>224</v>
      </c>
      <c r="U38" s="668">
        <f t="shared" si="0"/>
        <v>17.79048526725439</v>
      </c>
      <c r="V38" s="668">
        <f t="shared" si="7"/>
        <v>76.21692072306908</v>
      </c>
      <c r="W38" s="668">
        <v>0.3</v>
      </c>
      <c r="X38" s="432">
        <f t="shared" si="1"/>
        <v>0.82979623824451421</v>
      </c>
      <c r="Y38" s="432">
        <f t="shared" si="4"/>
        <v>12.376952999999999</v>
      </c>
      <c r="Z38" s="432">
        <f t="shared" si="4"/>
        <v>52.041003000000003</v>
      </c>
      <c r="AA38" s="670">
        <f t="shared" si="4"/>
        <v>220.19200000000001</v>
      </c>
      <c r="AB38" s="432">
        <f t="shared" si="5"/>
        <v>17.79048526725439</v>
      </c>
      <c r="AC38" s="670">
        <f t="shared" si="2"/>
        <v>76.21692072306908</v>
      </c>
      <c r="AD38" s="742">
        <v>30</v>
      </c>
      <c r="AE38" s="432">
        <f t="shared" si="6"/>
        <v>371.30858999999998</v>
      </c>
      <c r="AF38" s="669"/>
    </row>
    <row r="39" spans="1:32" ht="18.75" customHeight="1" x14ac:dyDescent="0.2">
      <c r="A39" s="742">
        <v>26</v>
      </c>
      <c r="B39" s="461" t="s">
        <v>45</v>
      </c>
      <c r="C39" s="742" t="s">
        <v>46</v>
      </c>
      <c r="D39" s="742">
        <v>636.4</v>
      </c>
      <c r="E39" s="742" t="s">
        <v>91</v>
      </c>
      <c r="F39" s="742">
        <v>177.8</v>
      </c>
      <c r="G39" s="742" t="s">
        <v>28</v>
      </c>
      <c r="H39" s="742" t="s">
        <v>52</v>
      </c>
      <c r="I39" s="741">
        <v>592.95000000000005</v>
      </c>
      <c r="J39" s="742">
        <v>295</v>
      </c>
      <c r="K39" s="742"/>
      <c r="L39" s="742">
        <v>498</v>
      </c>
      <c r="M39" s="742"/>
      <c r="N39" s="742">
        <v>10.1</v>
      </c>
      <c r="O39" s="742"/>
      <c r="P39" s="668">
        <v>16.65027266552708</v>
      </c>
      <c r="Q39" s="670">
        <f>LEFT(H39,(FIND("K",H39,1)-1))*J39/100</f>
        <v>64.900000000000006</v>
      </c>
      <c r="R39" s="432">
        <v>10.723000000000001</v>
      </c>
      <c r="S39" s="432">
        <v>33.926000000000002</v>
      </c>
      <c r="T39" s="670">
        <v>407</v>
      </c>
      <c r="U39" s="668">
        <f t="shared" si="0"/>
        <v>37.955795952625195</v>
      </c>
      <c r="V39" s="668">
        <f t="shared" si="7"/>
        <v>68.392972941107118</v>
      </c>
      <c r="W39" s="668">
        <v>0.3</v>
      </c>
      <c r="X39" s="432">
        <f t="shared" si="1"/>
        <v>0.52274268104776578</v>
      </c>
      <c r="Y39" s="432">
        <f t="shared" si="4"/>
        <v>10.540709000000001</v>
      </c>
      <c r="Z39" s="432">
        <f t="shared" si="4"/>
        <v>33.349257999999999</v>
      </c>
      <c r="AA39" s="670">
        <f t="shared" si="4"/>
        <v>400.08100000000002</v>
      </c>
      <c r="AB39" s="432">
        <f t="shared" si="5"/>
        <v>37.955795952625195</v>
      </c>
      <c r="AC39" s="670">
        <f t="shared" si="2"/>
        <v>68.392972941107118</v>
      </c>
      <c r="AD39" s="742">
        <v>30</v>
      </c>
      <c r="AE39" s="432">
        <f t="shared" si="6"/>
        <v>316.22127000000006</v>
      </c>
      <c r="AF39" s="669"/>
    </row>
    <row r="40" spans="1:32" ht="18.75" customHeight="1" x14ac:dyDescent="0.2">
      <c r="A40" s="742">
        <v>27</v>
      </c>
      <c r="B40" s="461" t="s">
        <v>206</v>
      </c>
      <c r="C40" s="742" t="s">
        <v>46</v>
      </c>
      <c r="D40" s="742">
        <v>660.2</v>
      </c>
      <c r="E40" s="742" t="s">
        <v>227</v>
      </c>
      <c r="F40" s="742">
        <v>177.8</v>
      </c>
      <c r="G40" s="742" t="s">
        <v>28</v>
      </c>
      <c r="H40" s="742" t="s">
        <v>212</v>
      </c>
      <c r="I40" s="741">
        <v>547.65</v>
      </c>
      <c r="J40" s="742">
        <v>160</v>
      </c>
      <c r="K40" s="742"/>
      <c r="L40" s="742">
        <v>453</v>
      </c>
      <c r="M40" s="742"/>
      <c r="N40" s="742">
        <v>7.2</v>
      </c>
      <c r="O40" s="742"/>
      <c r="P40" s="668">
        <v>17.054646807207391</v>
      </c>
      <c r="Q40" s="670">
        <f t="shared" ref="Q40:Q76" si="8">LEFT(H40,(FIND("K",H40,1)-1))*J40/100</f>
        <v>12.8</v>
      </c>
      <c r="R40" s="432">
        <v>4.42</v>
      </c>
      <c r="S40" s="432">
        <v>5.8440000000000003</v>
      </c>
      <c r="T40" s="670">
        <v>291</v>
      </c>
      <c r="U40" s="668">
        <f t="shared" si="0"/>
        <v>65.837104072398191</v>
      </c>
      <c r="V40" s="668">
        <f t="shared" si="7"/>
        <v>24.366872005475706</v>
      </c>
      <c r="W40" s="668">
        <v>0.2</v>
      </c>
      <c r="X40" s="432">
        <f t="shared" si="1"/>
        <v>0.45656249999999998</v>
      </c>
      <c r="Y40" s="432">
        <f t="shared" si="4"/>
        <v>4.3448599999999997</v>
      </c>
      <c r="Z40" s="432">
        <f t="shared" si="4"/>
        <v>5.7446520000000003</v>
      </c>
      <c r="AA40" s="670">
        <f t="shared" si="4"/>
        <v>286.053</v>
      </c>
      <c r="AB40" s="432">
        <f t="shared" si="5"/>
        <v>65.837104072398191</v>
      </c>
      <c r="AC40" s="670">
        <f t="shared" si="2"/>
        <v>24.366872005475706</v>
      </c>
      <c r="AD40" s="742">
        <v>30</v>
      </c>
      <c r="AE40" s="432">
        <f t="shared" si="6"/>
        <v>130.3458</v>
      </c>
      <c r="AF40" s="669"/>
    </row>
    <row r="41" spans="1:32" ht="18.75" customHeight="1" x14ac:dyDescent="0.2">
      <c r="A41" s="742">
        <v>28</v>
      </c>
      <c r="B41" s="734" t="s">
        <v>161</v>
      </c>
      <c r="C41" s="742" t="s">
        <v>46</v>
      </c>
      <c r="D41" s="741">
        <v>677</v>
      </c>
      <c r="E41" s="742" t="s">
        <v>178</v>
      </c>
      <c r="F41" s="742">
        <v>177.8</v>
      </c>
      <c r="G41" s="742" t="s">
        <v>28</v>
      </c>
      <c r="H41" s="742" t="s">
        <v>52</v>
      </c>
      <c r="I41" s="741">
        <v>535.41</v>
      </c>
      <c r="J41" s="741">
        <v>170</v>
      </c>
      <c r="K41" s="741"/>
      <c r="L41" s="741">
        <v>460</v>
      </c>
      <c r="M41" s="741"/>
      <c r="N41" s="742">
        <v>7.3</v>
      </c>
      <c r="O41" s="741"/>
      <c r="P41" s="448">
        <v>15.721837617040832</v>
      </c>
      <c r="Q41" s="670">
        <f t="shared" si="8"/>
        <v>37.4</v>
      </c>
      <c r="R41" s="432">
        <v>5.48</v>
      </c>
      <c r="S41" s="432">
        <v>9.343</v>
      </c>
      <c r="T41" s="492">
        <v>373</v>
      </c>
      <c r="U41" s="668">
        <f t="shared" si="0"/>
        <v>68.065693430656935</v>
      </c>
      <c r="V41" s="668">
        <f t="shared" si="7"/>
        <v>41.346462592315099</v>
      </c>
      <c r="W41" s="668">
        <v>0.2</v>
      </c>
      <c r="X41" s="432">
        <f t="shared" si="1"/>
        <v>0.24981283422459893</v>
      </c>
      <c r="Y41" s="432">
        <f t="shared" si="4"/>
        <v>5.3868400000000003</v>
      </c>
      <c r="Z41" s="432">
        <f t="shared" si="4"/>
        <v>9.1841690000000007</v>
      </c>
      <c r="AA41" s="670">
        <f t="shared" si="4"/>
        <v>366.65899999999999</v>
      </c>
      <c r="AB41" s="432">
        <f t="shared" si="5"/>
        <v>68.065693430656935</v>
      </c>
      <c r="AC41" s="670">
        <f t="shared" si="2"/>
        <v>41.346462592315099</v>
      </c>
      <c r="AD41" s="742">
        <v>30</v>
      </c>
      <c r="AE41" s="432">
        <f t="shared" si="6"/>
        <v>161.6052</v>
      </c>
      <c r="AF41" s="449"/>
    </row>
    <row r="42" spans="1:32" ht="18.75" customHeight="1" x14ac:dyDescent="0.2">
      <c r="A42" s="742">
        <v>29</v>
      </c>
      <c r="B42" s="734" t="s">
        <v>162</v>
      </c>
      <c r="C42" s="742" t="s">
        <v>46</v>
      </c>
      <c r="D42" s="741">
        <v>676</v>
      </c>
      <c r="E42" s="742" t="s">
        <v>180</v>
      </c>
      <c r="F42" s="742">
        <v>177.8</v>
      </c>
      <c r="G42" s="742" t="s">
        <v>28</v>
      </c>
      <c r="H42" s="742" t="s">
        <v>50</v>
      </c>
      <c r="I42" s="741">
        <v>545.42999999999995</v>
      </c>
      <c r="J42" s="741">
        <v>0</v>
      </c>
      <c r="K42" s="741">
        <v>70</v>
      </c>
      <c r="L42" s="742"/>
      <c r="M42" s="741">
        <v>1.4</v>
      </c>
      <c r="N42" s="742"/>
      <c r="O42" s="741"/>
      <c r="P42" s="448">
        <v>0</v>
      </c>
      <c r="Q42" s="670">
        <v>0</v>
      </c>
      <c r="R42" s="432">
        <v>0</v>
      </c>
      <c r="S42" s="432">
        <v>0</v>
      </c>
      <c r="T42" s="492">
        <v>0</v>
      </c>
      <c r="U42" s="668">
        <v>0</v>
      </c>
      <c r="V42" s="668">
        <v>0</v>
      </c>
      <c r="W42" s="668">
        <v>0</v>
      </c>
      <c r="X42" s="432">
        <v>0</v>
      </c>
      <c r="Y42" s="432">
        <f t="shared" si="4"/>
        <v>0</v>
      </c>
      <c r="Z42" s="432">
        <f t="shared" si="4"/>
        <v>0</v>
      </c>
      <c r="AA42" s="670">
        <f t="shared" si="4"/>
        <v>0</v>
      </c>
      <c r="AB42" s="432">
        <f t="shared" si="5"/>
        <v>0</v>
      </c>
      <c r="AC42" s="670">
        <f t="shared" si="2"/>
        <v>0</v>
      </c>
      <c r="AD42" s="742">
        <v>0</v>
      </c>
      <c r="AE42" s="432">
        <f t="shared" si="6"/>
        <v>0</v>
      </c>
      <c r="AF42" s="449" t="s">
        <v>335</v>
      </c>
    </row>
    <row r="43" spans="1:32" ht="18.75" customHeight="1" x14ac:dyDescent="0.2">
      <c r="A43" s="742">
        <v>30</v>
      </c>
      <c r="B43" s="734" t="s">
        <v>163</v>
      </c>
      <c r="C43" s="742" t="s">
        <v>46</v>
      </c>
      <c r="D43" s="741">
        <v>677.27</v>
      </c>
      <c r="E43" s="742" t="s">
        <v>194</v>
      </c>
      <c r="F43" s="742">
        <v>177.8</v>
      </c>
      <c r="G43" s="742" t="s">
        <v>28</v>
      </c>
      <c r="H43" s="742" t="s">
        <v>187</v>
      </c>
      <c r="I43" s="741">
        <v>553.82000000000005</v>
      </c>
      <c r="J43" s="741">
        <v>180</v>
      </c>
      <c r="K43" s="741"/>
      <c r="L43" s="741">
        <v>200</v>
      </c>
      <c r="M43" s="741"/>
      <c r="N43" s="742">
        <v>0.3</v>
      </c>
      <c r="O43" s="741"/>
      <c r="P43" s="448">
        <v>39.222890655421708</v>
      </c>
      <c r="Q43" s="670">
        <f t="shared" si="8"/>
        <v>10.8</v>
      </c>
      <c r="R43" s="432">
        <v>1.204</v>
      </c>
      <c r="S43" s="432">
        <v>3.181</v>
      </c>
      <c r="T43" s="492">
        <v>0.5</v>
      </c>
      <c r="U43" s="668">
        <f>T43/R43</f>
        <v>0.41528239202657807</v>
      </c>
      <c r="V43" s="668">
        <f t="shared" si="7"/>
        <v>62.150267211568689</v>
      </c>
      <c r="W43" s="668">
        <v>0.4</v>
      </c>
      <c r="X43" s="432">
        <f t="shared" si="1"/>
        <v>0.29453703703703704</v>
      </c>
      <c r="Y43" s="432">
        <f t="shared" si="4"/>
        <v>1.183532</v>
      </c>
      <c r="Z43" s="432">
        <f t="shared" si="4"/>
        <v>3.1269230000000001</v>
      </c>
      <c r="AA43" s="670">
        <f t="shared" si="4"/>
        <v>0.49149999999999999</v>
      </c>
      <c r="AB43" s="432">
        <f t="shared" si="5"/>
        <v>0.41528239202657807</v>
      </c>
      <c r="AC43" s="670">
        <f t="shared" si="2"/>
        <v>62.150267211568689</v>
      </c>
      <c r="AD43" s="742">
        <v>30</v>
      </c>
      <c r="AE43" s="432">
        <f t="shared" si="6"/>
        <v>35.505960000000002</v>
      </c>
      <c r="AF43" s="449"/>
    </row>
    <row r="44" spans="1:32" ht="18.75" customHeight="1" x14ac:dyDescent="0.2">
      <c r="A44" s="742">
        <v>31</v>
      </c>
      <c r="B44" s="461" t="s">
        <v>59</v>
      </c>
      <c r="C44" s="742" t="s">
        <v>46</v>
      </c>
      <c r="D44" s="742">
        <v>643</v>
      </c>
      <c r="E44" s="742" t="s">
        <v>94</v>
      </c>
      <c r="F44" s="742">
        <v>177.8</v>
      </c>
      <c r="G44" s="742" t="s">
        <v>28</v>
      </c>
      <c r="H44" s="742" t="s">
        <v>48</v>
      </c>
      <c r="I44" s="741">
        <v>540.79999999999995</v>
      </c>
      <c r="J44" s="742">
        <v>215</v>
      </c>
      <c r="K44" s="742"/>
      <c r="L44" s="742">
        <v>414</v>
      </c>
      <c r="M44" s="742"/>
      <c r="N44" s="742">
        <v>1.1000000000000001</v>
      </c>
      <c r="O44" s="742"/>
      <c r="P44" s="668">
        <v>14.9926249920348</v>
      </c>
      <c r="Q44" s="670">
        <f t="shared" si="8"/>
        <v>27.95</v>
      </c>
      <c r="R44" s="432">
        <v>2.6629999999999998</v>
      </c>
      <c r="S44" s="432">
        <v>4.9039999999999999</v>
      </c>
      <c r="T44" s="670">
        <v>9.8000000000000007</v>
      </c>
      <c r="U44" s="668">
        <f t="shared" si="0"/>
        <v>3.6800600826135943</v>
      </c>
      <c r="V44" s="668">
        <f t="shared" si="7"/>
        <v>45.697389885807503</v>
      </c>
      <c r="W44" s="668">
        <v>0.2</v>
      </c>
      <c r="X44" s="432">
        <f t="shared" si="1"/>
        <v>0.1754561717352415</v>
      </c>
      <c r="Y44" s="432">
        <f t="shared" si="4"/>
        <v>2.6177289999999998</v>
      </c>
      <c r="Z44" s="432">
        <f t="shared" si="4"/>
        <v>4.8206319999999998</v>
      </c>
      <c r="AA44" s="670">
        <f t="shared" si="4"/>
        <v>9.6334</v>
      </c>
      <c r="AB44" s="432">
        <f>U44</f>
        <v>3.6800600826135943</v>
      </c>
      <c r="AC44" s="670">
        <f t="shared" si="2"/>
        <v>45.697389885807503</v>
      </c>
      <c r="AD44" s="742">
        <v>30</v>
      </c>
      <c r="AE44" s="432">
        <f t="shared" si="6"/>
        <v>78.531869999999998</v>
      </c>
      <c r="AF44" s="449"/>
    </row>
    <row r="45" spans="1:32" ht="18.75" customHeight="1" x14ac:dyDescent="0.2">
      <c r="A45" s="742">
        <v>32</v>
      </c>
      <c r="B45" s="461" t="s">
        <v>207</v>
      </c>
      <c r="C45" s="742" t="s">
        <v>46</v>
      </c>
      <c r="D45" s="742">
        <v>673</v>
      </c>
      <c r="E45" s="742" t="s">
        <v>230</v>
      </c>
      <c r="F45" s="742">
        <v>177.8</v>
      </c>
      <c r="G45" s="742" t="s">
        <v>28</v>
      </c>
      <c r="H45" s="742" t="s">
        <v>50</v>
      </c>
      <c r="I45" s="741">
        <v>564.41999999999996</v>
      </c>
      <c r="J45" s="742">
        <v>195</v>
      </c>
      <c r="K45" s="742"/>
      <c r="L45" s="742">
        <v>359</v>
      </c>
      <c r="M45" s="742"/>
      <c r="N45" s="668">
        <v>4.0999999999999996</v>
      </c>
      <c r="O45" s="742"/>
      <c r="P45" s="668">
        <v>24.128189895919167</v>
      </c>
      <c r="Q45" s="670">
        <f t="shared" si="8"/>
        <v>11.7</v>
      </c>
      <c r="R45" s="432">
        <v>4.6230000000000002</v>
      </c>
      <c r="S45" s="432">
        <v>8.9459999999999997</v>
      </c>
      <c r="T45" s="670">
        <v>1.3</v>
      </c>
      <c r="U45" s="668">
        <f t="shared" si="0"/>
        <v>0.28120268224096906</v>
      </c>
      <c r="V45" s="668">
        <f t="shared" si="7"/>
        <v>48.323272971160293</v>
      </c>
      <c r="W45" s="668">
        <v>0.3</v>
      </c>
      <c r="X45" s="432">
        <f t="shared" si="1"/>
        <v>0.76461538461538459</v>
      </c>
      <c r="Y45" s="432">
        <f t="shared" si="4"/>
        <v>4.5444089999999999</v>
      </c>
      <c r="Z45" s="432">
        <f t="shared" si="4"/>
        <v>8.7939179999999997</v>
      </c>
      <c r="AA45" s="670">
        <f t="shared" si="4"/>
        <v>1.2779</v>
      </c>
      <c r="AB45" s="432">
        <f>U45</f>
        <v>0.28120268224096906</v>
      </c>
      <c r="AC45" s="670">
        <f t="shared" si="2"/>
        <v>48.323272971160293</v>
      </c>
      <c r="AD45" s="742">
        <v>30</v>
      </c>
      <c r="AE45" s="432">
        <f t="shared" si="6"/>
        <v>136.33226999999999</v>
      </c>
      <c r="AF45" s="449"/>
    </row>
    <row r="46" spans="1:32" ht="18.75" customHeight="1" x14ac:dyDescent="0.2">
      <c r="A46" s="742">
        <v>33</v>
      </c>
      <c r="B46" s="461" t="s">
        <v>196</v>
      </c>
      <c r="C46" s="742" t="s">
        <v>304</v>
      </c>
      <c r="D46" s="742">
        <v>641</v>
      </c>
      <c r="E46" s="742" t="s">
        <v>296</v>
      </c>
      <c r="F46" s="742">
        <v>177.8</v>
      </c>
      <c r="G46" s="742" t="s">
        <v>28</v>
      </c>
      <c r="H46" s="742" t="s">
        <v>50</v>
      </c>
      <c r="I46" s="741">
        <v>611.92999999999995</v>
      </c>
      <c r="J46" s="742">
        <v>0</v>
      </c>
      <c r="K46" s="742">
        <v>496</v>
      </c>
      <c r="M46" s="668">
        <v>0.3</v>
      </c>
      <c r="O46" s="742"/>
      <c r="P46" s="668"/>
      <c r="Q46" s="670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742">
        <v>30</v>
      </c>
      <c r="AE46" s="432">
        <f t="shared" si="6"/>
        <v>0</v>
      </c>
      <c r="AF46" s="449" t="s">
        <v>335</v>
      </c>
    </row>
    <row r="47" spans="1:32" ht="18.75" customHeight="1" x14ac:dyDescent="0.2">
      <c r="A47" s="742">
        <v>34</v>
      </c>
      <c r="B47" s="461" t="s">
        <v>60</v>
      </c>
      <c r="C47" s="742" t="s">
        <v>46</v>
      </c>
      <c r="D47" s="742">
        <v>638.9</v>
      </c>
      <c r="E47" s="742" t="s">
        <v>95</v>
      </c>
      <c r="F47" s="742">
        <v>177.8</v>
      </c>
      <c r="G47" s="742" t="s">
        <v>28</v>
      </c>
      <c r="H47" s="742" t="s">
        <v>48</v>
      </c>
      <c r="I47" s="741">
        <v>546.64</v>
      </c>
      <c r="J47" s="742">
        <v>110</v>
      </c>
      <c r="K47" s="742"/>
      <c r="L47" s="742">
        <v>466</v>
      </c>
      <c r="M47" s="742"/>
      <c r="N47" s="742">
        <v>7.3</v>
      </c>
      <c r="O47" s="742"/>
      <c r="P47" s="668">
        <v>15.70200621714763</v>
      </c>
      <c r="Q47" s="670">
        <f t="shared" si="8"/>
        <v>14.3</v>
      </c>
      <c r="R47" s="432">
        <v>4.2729999999999997</v>
      </c>
      <c r="S47" s="432">
        <v>8.1959999999999997</v>
      </c>
      <c r="T47" s="670">
        <v>83</v>
      </c>
      <c r="U47" s="668">
        <f t="shared" si="0"/>
        <v>19.424292066463845</v>
      </c>
      <c r="V47" s="668">
        <f t="shared" si="7"/>
        <v>47.864812103465113</v>
      </c>
      <c r="W47" s="668">
        <v>0.2</v>
      </c>
      <c r="X47" s="432">
        <f t="shared" si="1"/>
        <v>0.5731468531468531</v>
      </c>
      <c r="Y47" s="432">
        <f t="shared" si="4"/>
        <v>4.2003589999999997</v>
      </c>
      <c r="Z47" s="432">
        <f t="shared" si="4"/>
        <v>8.0566680000000002</v>
      </c>
      <c r="AA47" s="670">
        <f t="shared" si="4"/>
        <v>81.588999999999999</v>
      </c>
      <c r="AB47" s="432">
        <f t="shared" si="5"/>
        <v>19.424292066463845</v>
      </c>
      <c r="AC47" s="670">
        <f t="shared" si="2"/>
        <v>47.864812103465113</v>
      </c>
      <c r="AD47" s="742">
        <v>30</v>
      </c>
      <c r="AE47" s="432">
        <f t="shared" si="6"/>
        <v>126.01076999999999</v>
      </c>
      <c r="AF47" s="449"/>
    </row>
    <row r="48" spans="1:32" ht="18.75" customHeight="1" x14ac:dyDescent="0.2">
      <c r="A48" s="742">
        <v>35</v>
      </c>
      <c r="B48" s="461" t="s">
        <v>119</v>
      </c>
      <c r="C48" s="742" t="s">
        <v>404</v>
      </c>
      <c r="D48" s="742">
        <v>654.07000000000005</v>
      </c>
      <c r="E48" s="742" t="s">
        <v>410</v>
      </c>
      <c r="F48" s="742">
        <v>177.8</v>
      </c>
      <c r="G48" s="742" t="s">
        <v>28</v>
      </c>
      <c r="H48" s="742" t="s">
        <v>48</v>
      </c>
      <c r="I48" s="741">
        <v>526.6</v>
      </c>
      <c r="J48" s="742" t="s">
        <v>240</v>
      </c>
      <c r="K48" s="742">
        <v>508</v>
      </c>
      <c r="L48" s="742">
        <v>0</v>
      </c>
      <c r="M48" s="742">
        <v>23.5</v>
      </c>
      <c r="N48" s="742"/>
      <c r="O48" s="742"/>
      <c r="P48" s="668">
        <v>0</v>
      </c>
      <c r="Q48" s="670">
        <f t="shared" si="8"/>
        <v>0</v>
      </c>
      <c r="R48" s="432">
        <v>0</v>
      </c>
      <c r="S48" s="432">
        <v>0</v>
      </c>
      <c r="T48" s="670">
        <v>0</v>
      </c>
      <c r="U48" s="668">
        <v>0</v>
      </c>
      <c r="V48" s="668">
        <v>0</v>
      </c>
      <c r="W48" s="668">
        <v>0</v>
      </c>
      <c r="X48" s="432">
        <v>0</v>
      </c>
      <c r="Y48" s="432">
        <f t="shared" si="4"/>
        <v>0</v>
      </c>
      <c r="Z48" s="432">
        <f t="shared" si="4"/>
        <v>0</v>
      </c>
      <c r="AA48" s="670">
        <f t="shared" si="4"/>
        <v>0</v>
      </c>
      <c r="AB48" s="432">
        <f t="shared" si="5"/>
        <v>0</v>
      </c>
      <c r="AC48" s="670">
        <f t="shared" si="2"/>
        <v>0</v>
      </c>
      <c r="AD48" s="742">
        <v>0</v>
      </c>
      <c r="AE48" s="432">
        <f t="shared" si="6"/>
        <v>0</v>
      </c>
      <c r="AF48" s="449" t="s">
        <v>409</v>
      </c>
    </row>
    <row r="49" spans="1:32" ht="18.75" customHeight="1" x14ac:dyDescent="0.2">
      <c r="A49" s="742">
        <v>36</v>
      </c>
      <c r="B49" s="461" t="s">
        <v>118</v>
      </c>
      <c r="C49" s="742" t="s">
        <v>408</v>
      </c>
      <c r="D49" s="742">
        <v>728.77</v>
      </c>
      <c r="E49" s="742" t="s">
        <v>133</v>
      </c>
      <c r="F49" s="742">
        <v>177.8</v>
      </c>
      <c r="G49" s="742" t="s">
        <v>28</v>
      </c>
      <c r="H49" s="742" t="s">
        <v>48</v>
      </c>
      <c r="I49" s="741">
        <v>232.81</v>
      </c>
      <c r="J49" s="742">
        <v>150</v>
      </c>
      <c r="K49" s="742"/>
      <c r="L49" s="742">
        <v>175</v>
      </c>
      <c r="M49" s="742"/>
      <c r="N49" s="742">
        <v>0.2</v>
      </c>
      <c r="O49" s="742"/>
      <c r="P49" s="668">
        <v>36.325066632346577</v>
      </c>
      <c r="Q49" s="670">
        <f t="shared" si="8"/>
        <v>19.5</v>
      </c>
      <c r="R49" s="432">
        <v>1.2809999999999999</v>
      </c>
      <c r="S49" s="432">
        <v>3.3639999999999999</v>
      </c>
      <c r="T49" s="670">
        <v>0</v>
      </c>
      <c r="U49" s="668">
        <f>T49/R49</f>
        <v>0</v>
      </c>
      <c r="V49" s="668">
        <f t="shared" si="7"/>
        <v>61.920332936979797</v>
      </c>
      <c r="W49" s="668">
        <v>0.5</v>
      </c>
      <c r="X49" s="432">
        <f t="shared" ref="X49:X57" si="9">S49/Q49</f>
        <v>0.17251282051282052</v>
      </c>
      <c r="Y49" s="432">
        <f t="shared" si="4"/>
        <v>1.259223</v>
      </c>
      <c r="Z49" s="432">
        <f t="shared" si="4"/>
        <v>3.3068119999999999</v>
      </c>
      <c r="AA49" s="670">
        <f t="shared" si="4"/>
        <v>0</v>
      </c>
      <c r="AB49" s="432">
        <f t="shared" si="5"/>
        <v>0</v>
      </c>
      <c r="AC49" s="670">
        <f t="shared" si="2"/>
        <v>61.920332936979797</v>
      </c>
      <c r="AD49" s="742">
        <v>30</v>
      </c>
      <c r="AE49" s="432">
        <f t="shared" si="6"/>
        <v>37.776690000000002</v>
      </c>
      <c r="AF49" s="449" t="s">
        <v>414</v>
      </c>
    </row>
    <row r="50" spans="1:32" ht="18.75" customHeight="1" x14ac:dyDescent="0.2">
      <c r="A50" s="742">
        <v>37</v>
      </c>
      <c r="B50" s="461" t="s">
        <v>117</v>
      </c>
      <c r="C50" s="742" t="s">
        <v>46</v>
      </c>
      <c r="D50" s="742">
        <v>671.45</v>
      </c>
      <c r="E50" s="742" t="s">
        <v>128</v>
      </c>
      <c r="F50" s="742">
        <v>177.8</v>
      </c>
      <c r="G50" s="742" t="s">
        <v>28</v>
      </c>
      <c r="H50" s="742" t="s">
        <v>187</v>
      </c>
      <c r="I50" s="741">
        <v>559.39</v>
      </c>
      <c r="J50" s="742">
        <v>275</v>
      </c>
      <c r="K50" s="742"/>
      <c r="L50" s="742">
        <v>270</v>
      </c>
      <c r="M50" s="742"/>
      <c r="N50" s="742">
        <v>2</v>
      </c>
      <c r="O50" s="742"/>
      <c r="P50" s="668">
        <v>31.373290135060884</v>
      </c>
      <c r="Q50" s="670">
        <f t="shared" si="8"/>
        <v>16.5</v>
      </c>
      <c r="R50" s="432">
        <v>1.544</v>
      </c>
      <c r="S50" s="432">
        <v>6.141</v>
      </c>
      <c r="T50" s="670">
        <v>9.6</v>
      </c>
      <c r="U50" s="668">
        <f t="shared" ref="U50:U56" si="10">T50/R50</f>
        <v>6.2176165803108807</v>
      </c>
      <c r="V50" s="668">
        <f t="shared" si="7"/>
        <v>74.857515062693366</v>
      </c>
      <c r="W50" s="668">
        <v>0.5</v>
      </c>
      <c r="X50" s="432">
        <f t="shared" si="9"/>
        <v>0.37218181818181817</v>
      </c>
      <c r="Y50" s="432">
        <f t="shared" si="4"/>
        <v>1.517752</v>
      </c>
      <c r="Z50" s="432">
        <f t="shared" si="4"/>
        <v>6.0366029999999995</v>
      </c>
      <c r="AA50" s="670">
        <f t="shared" si="4"/>
        <v>9.4367999999999999</v>
      </c>
      <c r="AB50" s="432">
        <f t="shared" si="5"/>
        <v>6.2176165803108807</v>
      </c>
      <c r="AC50" s="670">
        <f t="shared" si="2"/>
        <v>74.857515062693366</v>
      </c>
      <c r="AD50" s="742">
        <v>30</v>
      </c>
      <c r="AE50" s="432">
        <f t="shared" si="6"/>
        <v>45.532559999999997</v>
      </c>
      <c r="AF50" s="669"/>
    </row>
    <row r="51" spans="1:32" ht="18.75" customHeight="1" x14ac:dyDescent="0.2">
      <c r="A51" s="742">
        <v>38</v>
      </c>
      <c r="B51" s="461" t="s">
        <v>130</v>
      </c>
      <c r="C51" s="742" t="s">
        <v>46</v>
      </c>
      <c r="D51" s="742">
        <v>622.6</v>
      </c>
      <c r="E51" s="742" t="s">
        <v>134</v>
      </c>
      <c r="F51" s="742">
        <v>177.8</v>
      </c>
      <c r="G51" s="742" t="s">
        <v>28</v>
      </c>
      <c r="H51" s="742" t="s">
        <v>48</v>
      </c>
      <c r="I51" s="741">
        <v>551.79999999999995</v>
      </c>
      <c r="J51" s="742">
        <v>115</v>
      </c>
      <c r="K51" s="742"/>
      <c r="L51" s="742">
        <v>89</v>
      </c>
      <c r="M51" s="742"/>
      <c r="N51" s="742">
        <v>4.5</v>
      </c>
      <c r="O51" s="742"/>
      <c r="P51" s="668">
        <v>51.391611327582503</v>
      </c>
      <c r="Q51" s="670">
        <f t="shared" si="8"/>
        <v>14.95</v>
      </c>
      <c r="R51" s="432">
        <v>1.0369999999999999</v>
      </c>
      <c r="S51" s="432">
        <v>12.254</v>
      </c>
      <c r="T51" s="670">
        <v>2.5</v>
      </c>
      <c r="U51" s="668">
        <f t="shared" si="10"/>
        <v>2.410800385728062</v>
      </c>
      <c r="V51" s="668">
        <f t="shared" si="7"/>
        <v>91.537457156846742</v>
      </c>
      <c r="W51" s="668">
        <v>0.5</v>
      </c>
      <c r="X51" s="432">
        <f t="shared" si="9"/>
        <v>0.81966555183946488</v>
      </c>
      <c r="Y51" s="432">
        <f t="shared" si="4"/>
        <v>1.0193709999999998</v>
      </c>
      <c r="Z51" s="432">
        <f t="shared" si="4"/>
        <v>12.045681999999999</v>
      </c>
      <c r="AA51" s="670">
        <f t="shared" si="4"/>
        <v>2.4575</v>
      </c>
      <c r="AB51" s="432">
        <f t="shared" si="5"/>
        <v>2.410800385728062</v>
      </c>
      <c r="AC51" s="670">
        <f t="shared" si="2"/>
        <v>91.537457156846742</v>
      </c>
      <c r="AD51" s="742">
        <v>30</v>
      </c>
      <c r="AE51" s="432">
        <f t="shared" si="6"/>
        <v>30.581129999999995</v>
      </c>
      <c r="AF51" s="669"/>
    </row>
    <row r="52" spans="1:32" ht="18.75" customHeight="1" x14ac:dyDescent="0.2">
      <c r="A52" s="742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742">
        <v>177.8</v>
      </c>
      <c r="G52" s="452" t="s">
        <v>28</v>
      </c>
      <c r="H52" s="655" t="s">
        <v>363</v>
      </c>
      <c r="I52" s="453">
        <v>565.65</v>
      </c>
      <c r="J52" s="452">
        <v>245</v>
      </c>
      <c r="K52" s="452"/>
      <c r="L52" s="452">
        <v>426</v>
      </c>
      <c r="M52" s="452"/>
      <c r="N52" s="742">
        <v>0.1</v>
      </c>
      <c r="O52" s="452"/>
      <c r="P52" s="675">
        <v>13.971046583928096</v>
      </c>
      <c r="Q52" s="670">
        <f>J52*7/100</f>
        <v>17.149999999999999</v>
      </c>
      <c r="R52" s="456">
        <v>2.363</v>
      </c>
      <c r="S52" s="432">
        <v>2.7669999999999999</v>
      </c>
      <c r="T52" s="700">
        <v>2</v>
      </c>
      <c r="U52" s="668">
        <f t="shared" si="10"/>
        <v>0.84638171815488783</v>
      </c>
      <c r="V52" s="668">
        <f t="shared" si="7"/>
        <v>14.600650524033245</v>
      </c>
      <c r="W52" s="675">
        <v>0.5</v>
      </c>
      <c r="X52" s="432">
        <f t="shared" si="9"/>
        <v>0.16134110787172012</v>
      </c>
      <c r="Y52" s="432">
        <f t="shared" si="4"/>
        <v>2.322829</v>
      </c>
      <c r="Z52" s="432">
        <f t="shared" si="4"/>
        <v>2.7199610000000001</v>
      </c>
      <c r="AA52" s="670">
        <f t="shared" si="4"/>
        <v>1.966</v>
      </c>
      <c r="AB52" s="456">
        <f t="shared" si="5"/>
        <v>0.84638171815488783</v>
      </c>
      <c r="AC52" s="670">
        <f t="shared" si="2"/>
        <v>14.600650524033245</v>
      </c>
      <c r="AD52" s="742">
        <v>30</v>
      </c>
      <c r="AE52" s="456">
        <f t="shared" si="6"/>
        <v>69.684870000000004</v>
      </c>
      <c r="AF52" s="449"/>
    </row>
    <row r="53" spans="1:32" ht="18.75" customHeight="1" x14ac:dyDescent="0.2">
      <c r="A53" s="742">
        <v>40</v>
      </c>
      <c r="B53" s="461" t="s">
        <v>116</v>
      </c>
      <c r="C53" s="742" t="s">
        <v>46</v>
      </c>
      <c r="D53" s="742">
        <v>681.27</v>
      </c>
      <c r="E53" s="742" t="s">
        <v>124</v>
      </c>
      <c r="F53" s="742">
        <v>177.8</v>
      </c>
      <c r="G53" s="742" t="s">
        <v>28</v>
      </c>
      <c r="H53" s="742" t="s">
        <v>53</v>
      </c>
      <c r="I53" s="741">
        <v>558.35</v>
      </c>
      <c r="J53" s="742">
        <v>290</v>
      </c>
      <c r="K53" s="742"/>
      <c r="L53" s="742">
        <v>296</v>
      </c>
      <c r="M53" s="742"/>
      <c r="N53" s="742">
        <v>7</v>
      </c>
      <c r="O53" s="742"/>
      <c r="P53" s="668">
        <v>32.801992824957473</v>
      </c>
      <c r="Q53" s="700">
        <f t="shared" si="8"/>
        <v>37.700000000000003</v>
      </c>
      <c r="R53" s="432">
        <v>1.0289999999999999</v>
      </c>
      <c r="S53" s="432">
        <v>1.724</v>
      </c>
      <c r="T53" s="670">
        <v>0</v>
      </c>
      <c r="U53" s="668">
        <f t="shared" si="10"/>
        <v>0</v>
      </c>
      <c r="V53" s="668">
        <f t="shared" si="7"/>
        <v>40.31322505800464</v>
      </c>
      <c r="W53" s="668">
        <v>0.3</v>
      </c>
      <c r="X53" s="432">
        <f t="shared" si="9"/>
        <v>4.5729442970822279E-2</v>
      </c>
      <c r="Y53" s="432">
        <f t="shared" si="4"/>
        <v>1.0115069999999999</v>
      </c>
      <c r="Z53" s="432">
        <f t="shared" si="4"/>
        <v>1.6946919999999999</v>
      </c>
      <c r="AA53" s="670">
        <f t="shared" si="4"/>
        <v>0</v>
      </c>
      <c r="AB53" s="432">
        <f t="shared" si="5"/>
        <v>0</v>
      </c>
      <c r="AC53" s="670">
        <f t="shared" si="2"/>
        <v>40.31322505800464</v>
      </c>
      <c r="AD53" s="742">
        <v>30</v>
      </c>
      <c r="AE53" s="432">
        <f t="shared" si="6"/>
        <v>30.345209999999998</v>
      </c>
      <c r="AF53" s="449"/>
    </row>
    <row r="54" spans="1:32" ht="18.75" customHeight="1" x14ac:dyDescent="0.2">
      <c r="A54" s="742">
        <v>41</v>
      </c>
      <c r="B54" s="461" t="s">
        <v>120</v>
      </c>
      <c r="C54" s="742" t="s">
        <v>46</v>
      </c>
      <c r="D54" s="742">
        <v>668.57</v>
      </c>
      <c r="E54" s="742" t="s">
        <v>285</v>
      </c>
      <c r="F54" s="742">
        <v>177.8</v>
      </c>
      <c r="G54" s="742" t="s">
        <v>28</v>
      </c>
      <c r="H54" s="742" t="s">
        <v>48</v>
      </c>
      <c r="I54" s="741">
        <v>567.08000000000004</v>
      </c>
      <c r="J54" s="742">
        <v>239</v>
      </c>
      <c r="K54" s="742"/>
      <c r="L54" s="742">
        <v>408</v>
      </c>
      <c r="M54" s="742"/>
      <c r="N54" s="742">
        <v>0.1</v>
      </c>
      <c r="O54" s="742"/>
      <c r="P54" s="668">
        <v>15.900130258997123</v>
      </c>
      <c r="Q54" s="670">
        <f t="shared" si="8"/>
        <v>31.07</v>
      </c>
      <c r="R54" s="432">
        <v>3.1080000000000001</v>
      </c>
      <c r="S54" s="432">
        <v>3.843</v>
      </c>
      <c r="T54" s="670">
        <v>4.2</v>
      </c>
      <c r="U54" s="668">
        <f t="shared" si="10"/>
        <v>1.3513513513513513</v>
      </c>
      <c r="V54" s="668">
        <f t="shared" si="7"/>
        <v>19.125683060109285</v>
      </c>
      <c r="W54" s="668">
        <v>0.9</v>
      </c>
      <c r="X54" s="432">
        <f t="shared" si="9"/>
        <v>0.12368844544576763</v>
      </c>
      <c r="Y54" s="432">
        <f t="shared" si="4"/>
        <v>3.055164</v>
      </c>
      <c r="Z54" s="432">
        <f t="shared" si="4"/>
        <v>3.7776689999999999</v>
      </c>
      <c r="AA54" s="670">
        <f t="shared" si="4"/>
        <v>4.1286000000000005</v>
      </c>
      <c r="AB54" s="432">
        <f t="shared" si="5"/>
        <v>1.3513513513513513</v>
      </c>
      <c r="AC54" s="670">
        <f t="shared" si="2"/>
        <v>19.125683060109285</v>
      </c>
      <c r="AD54" s="742">
        <v>30</v>
      </c>
      <c r="AE54" s="432">
        <f t="shared" si="6"/>
        <v>91.654920000000004</v>
      </c>
      <c r="AF54" s="669"/>
    </row>
    <row r="55" spans="1:32" ht="18.75" customHeight="1" x14ac:dyDescent="0.2">
      <c r="A55" s="742">
        <v>42</v>
      </c>
      <c r="B55" s="461" t="s">
        <v>114</v>
      </c>
      <c r="C55" s="742" t="s">
        <v>46</v>
      </c>
      <c r="D55" s="742">
        <v>584.25</v>
      </c>
      <c r="E55" s="742" t="s">
        <v>123</v>
      </c>
      <c r="F55" s="742">
        <v>177.8</v>
      </c>
      <c r="G55" s="742" t="s">
        <v>28</v>
      </c>
      <c r="H55" s="165" t="s">
        <v>383</v>
      </c>
      <c r="I55" s="741">
        <v>568.04999999999995</v>
      </c>
      <c r="J55" s="742">
        <v>275</v>
      </c>
      <c r="K55" s="742"/>
      <c r="L55" s="742">
        <v>248</v>
      </c>
      <c r="M55" s="742"/>
      <c r="N55" s="742">
        <v>0.1</v>
      </c>
      <c r="O55" s="742"/>
      <c r="P55" s="668">
        <v>32.047600444315471</v>
      </c>
      <c r="Q55" s="670">
        <f>J55*3/100</f>
        <v>8.25</v>
      </c>
      <c r="R55" s="432">
        <v>1.8360000000000001</v>
      </c>
      <c r="S55" s="432">
        <v>6.4359999999999999</v>
      </c>
      <c r="T55" s="670">
        <v>3.9</v>
      </c>
      <c r="U55" s="668">
        <f t="shared" si="10"/>
        <v>2.1241830065359477</v>
      </c>
      <c r="V55" s="668">
        <f t="shared" si="7"/>
        <v>71.472964574269724</v>
      </c>
      <c r="W55" s="668">
        <v>1.2</v>
      </c>
      <c r="X55" s="432">
        <f t="shared" si="9"/>
        <v>0.7801212121212121</v>
      </c>
      <c r="Y55" s="432">
        <f t="shared" si="4"/>
        <v>1.8047880000000001</v>
      </c>
      <c r="Z55" s="432">
        <f t="shared" si="4"/>
        <v>6.3265880000000001</v>
      </c>
      <c r="AA55" s="670">
        <f t="shared" si="4"/>
        <v>3.8336999999999999</v>
      </c>
      <c r="AB55" s="432">
        <f t="shared" si="5"/>
        <v>2.1241830065359477</v>
      </c>
      <c r="AC55" s="670">
        <f t="shared" si="2"/>
        <v>71.472964574269724</v>
      </c>
      <c r="AD55" s="742">
        <v>30</v>
      </c>
      <c r="AE55" s="432">
        <f t="shared" si="6"/>
        <v>54.143640000000005</v>
      </c>
      <c r="AF55" s="457"/>
    </row>
    <row r="56" spans="1:32" ht="18.75" customHeight="1" x14ac:dyDescent="0.2">
      <c r="A56" s="742">
        <v>43</v>
      </c>
      <c r="B56" s="461" t="s">
        <v>106</v>
      </c>
      <c r="C56" s="742" t="s">
        <v>46</v>
      </c>
      <c r="D56" s="742">
        <v>642.52</v>
      </c>
      <c r="E56" s="742" t="s">
        <v>111</v>
      </c>
      <c r="F56" s="742">
        <v>177.8</v>
      </c>
      <c r="G56" s="742" t="s">
        <v>28</v>
      </c>
      <c r="H56" s="742" t="s">
        <v>52</v>
      </c>
      <c r="I56" s="741">
        <v>556.65</v>
      </c>
      <c r="J56" s="742">
        <v>230</v>
      </c>
      <c r="K56" s="742"/>
      <c r="L56" s="742">
        <v>172</v>
      </c>
      <c r="M56" s="742"/>
      <c r="N56" s="742">
        <v>5.6</v>
      </c>
      <c r="O56" s="742"/>
      <c r="P56" s="668">
        <v>44.957509794184354</v>
      </c>
      <c r="Q56" s="670">
        <f t="shared" si="8"/>
        <v>50.6</v>
      </c>
      <c r="R56" s="432">
        <v>1.994</v>
      </c>
      <c r="S56" s="432">
        <v>15.222</v>
      </c>
      <c r="T56" s="670">
        <v>48</v>
      </c>
      <c r="U56" s="668">
        <f t="shared" si="10"/>
        <v>24.072216649949851</v>
      </c>
      <c r="V56" s="668">
        <f t="shared" si="7"/>
        <v>86.900538693995529</v>
      </c>
      <c r="W56" s="668">
        <v>0.3</v>
      </c>
      <c r="X56" s="432">
        <f t="shared" si="9"/>
        <v>0.30083003952569171</v>
      </c>
      <c r="Y56" s="432">
        <f t="shared" si="4"/>
        <v>1.960102</v>
      </c>
      <c r="Z56" s="432">
        <f t="shared" si="4"/>
        <v>14.963225999999999</v>
      </c>
      <c r="AA56" s="670">
        <f t="shared" si="4"/>
        <v>47.183999999999997</v>
      </c>
      <c r="AB56" s="432">
        <f t="shared" si="5"/>
        <v>24.072216649949851</v>
      </c>
      <c r="AC56" s="670">
        <f t="shared" si="2"/>
        <v>86.900538693995529</v>
      </c>
      <c r="AD56" s="742">
        <v>30</v>
      </c>
      <c r="AE56" s="432">
        <f t="shared" si="6"/>
        <v>58.803060000000002</v>
      </c>
      <c r="AF56" s="449"/>
    </row>
    <row r="57" spans="1:32" ht="18.75" customHeight="1" x14ac:dyDescent="0.2">
      <c r="A57" s="742">
        <v>44</v>
      </c>
      <c r="B57" s="461" t="s">
        <v>105</v>
      </c>
      <c r="C57" s="742" t="s">
        <v>404</v>
      </c>
      <c r="D57" s="742">
        <v>609.6</v>
      </c>
      <c r="E57" s="742" t="s">
        <v>405</v>
      </c>
      <c r="F57" s="742">
        <v>177.8</v>
      </c>
      <c r="G57" s="742" t="s">
        <v>28</v>
      </c>
      <c r="H57" s="165" t="s">
        <v>403</v>
      </c>
      <c r="I57" s="741">
        <v>500.04</v>
      </c>
      <c r="J57" s="742">
        <v>145</v>
      </c>
      <c r="K57" s="742"/>
      <c r="L57" s="742">
        <v>375</v>
      </c>
      <c r="M57" s="742"/>
      <c r="N57" s="742">
        <v>0.6</v>
      </c>
      <c r="O57" s="742"/>
      <c r="P57" s="668">
        <v>15.686918657341121</v>
      </c>
      <c r="Q57" s="670">
        <f>J57*23/100</f>
        <v>33.35</v>
      </c>
      <c r="R57" s="432">
        <v>2.9319999999999999</v>
      </c>
      <c r="S57" s="432">
        <v>3.3639999999999999</v>
      </c>
      <c r="T57" s="670">
        <v>14</v>
      </c>
      <c r="U57" s="668">
        <f>IF(R57=0,0,T57/R57)</f>
        <v>4.774897680763984</v>
      </c>
      <c r="V57" s="668">
        <f t="shared" si="7"/>
        <v>12.841854934601663</v>
      </c>
      <c r="W57" s="668">
        <v>3</v>
      </c>
      <c r="X57" s="432">
        <f t="shared" si="9"/>
        <v>0.10086956521739129</v>
      </c>
      <c r="Y57" s="432">
        <f t="shared" si="4"/>
        <v>2.8821559999999997</v>
      </c>
      <c r="Z57" s="432">
        <f t="shared" si="4"/>
        <v>3.3068119999999999</v>
      </c>
      <c r="AA57" s="670">
        <f t="shared" si="4"/>
        <v>13.762</v>
      </c>
      <c r="AB57" s="432">
        <f t="shared" si="5"/>
        <v>4.774897680763984</v>
      </c>
      <c r="AC57" s="670">
        <f t="shared" si="2"/>
        <v>12.841854934601663</v>
      </c>
      <c r="AD57" s="742">
        <v>30</v>
      </c>
      <c r="AE57" s="432">
        <f t="shared" si="6"/>
        <v>86.464679999999987</v>
      </c>
      <c r="AF57" s="449" t="s">
        <v>413</v>
      </c>
    </row>
    <row r="58" spans="1:32" ht="18.75" customHeight="1" x14ac:dyDescent="0.2">
      <c r="A58" s="742">
        <v>45</v>
      </c>
      <c r="B58" s="461" t="s">
        <v>104</v>
      </c>
      <c r="C58" s="742" t="s">
        <v>381</v>
      </c>
      <c r="D58" s="742">
        <v>707.14</v>
      </c>
      <c r="E58" s="741" t="s">
        <v>382</v>
      </c>
      <c r="F58" s="742">
        <v>177.8</v>
      </c>
      <c r="G58" s="742" t="s">
        <v>28</v>
      </c>
      <c r="H58" s="165" t="s">
        <v>383</v>
      </c>
      <c r="I58" s="741">
        <v>682.43000000000052</v>
      </c>
      <c r="J58" s="742">
        <v>200</v>
      </c>
      <c r="K58" s="742"/>
      <c r="L58" s="742">
        <v>563</v>
      </c>
      <c r="M58" s="742"/>
      <c r="N58" s="742">
        <v>4.5</v>
      </c>
      <c r="O58" s="742"/>
      <c r="P58" s="668">
        <v>13.763673834737643</v>
      </c>
      <c r="Q58" s="670">
        <f>J58*3/100</f>
        <v>6</v>
      </c>
      <c r="R58" s="432">
        <v>0.33700000000000002</v>
      </c>
      <c r="S58" s="432">
        <v>0.64800000000000002</v>
      </c>
      <c r="T58" s="670">
        <v>0</v>
      </c>
      <c r="U58" s="668">
        <f>IF(T58=0,0,T58/R58)</f>
        <v>0</v>
      </c>
      <c r="V58" s="668">
        <f t="shared" si="7"/>
        <v>47.993827160493822</v>
      </c>
      <c r="W58" s="668">
        <v>0.2</v>
      </c>
      <c r="X58" s="432">
        <v>0</v>
      </c>
      <c r="Y58" s="432">
        <f t="shared" si="4"/>
        <v>0.33127100000000004</v>
      </c>
      <c r="Z58" s="432">
        <f t="shared" si="4"/>
        <v>0.63698399999999999</v>
      </c>
      <c r="AA58" s="670">
        <f t="shared" si="4"/>
        <v>0</v>
      </c>
      <c r="AB58" s="432">
        <f t="shared" si="5"/>
        <v>0</v>
      </c>
      <c r="AC58" s="670">
        <f t="shared" si="2"/>
        <v>47.993827160493822</v>
      </c>
      <c r="AD58" s="742">
        <v>30</v>
      </c>
      <c r="AE58" s="432">
        <f t="shared" si="6"/>
        <v>9.938130000000001</v>
      </c>
      <c r="AF58" s="669"/>
    </row>
    <row r="59" spans="1:32" ht="18.75" customHeight="1" x14ac:dyDescent="0.3">
      <c r="A59" s="742">
        <v>46</v>
      </c>
      <c r="B59" s="734" t="s">
        <v>158</v>
      </c>
      <c r="C59" s="742" t="s">
        <v>46</v>
      </c>
      <c r="D59" s="741">
        <v>621.12</v>
      </c>
      <c r="E59" s="741" t="s">
        <v>232</v>
      </c>
      <c r="F59" s="742">
        <v>177.8</v>
      </c>
      <c r="G59" s="742" t="s">
        <v>28</v>
      </c>
      <c r="H59" s="165" t="s">
        <v>403</v>
      </c>
      <c r="I59" s="741">
        <v>544.41999999999996</v>
      </c>
      <c r="J59" s="741">
        <v>115</v>
      </c>
      <c r="K59" s="741"/>
      <c r="L59" s="741">
        <v>449</v>
      </c>
      <c r="M59" s="741"/>
      <c r="N59" s="742">
        <v>8.8000000000000007</v>
      </c>
      <c r="O59" s="741"/>
      <c r="P59" s="448">
        <v>18.897543614748248</v>
      </c>
      <c r="Q59" s="670">
        <f>J59*23/100</f>
        <v>26.45</v>
      </c>
      <c r="R59" s="432">
        <v>6.3979999999999997</v>
      </c>
      <c r="S59" s="432">
        <v>8.984</v>
      </c>
      <c r="T59" s="492">
        <v>411</v>
      </c>
      <c r="U59" s="668">
        <f t="shared" ref="U59:U65" si="11">T59/R59</f>
        <v>64.238824632697728</v>
      </c>
      <c r="V59" s="668">
        <f t="shared" si="7"/>
        <v>28.784505788067676</v>
      </c>
      <c r="W59" s="668">
        <v>0.3</v>
      </c>
      <c r="X59" s="432">
        <f t="shared" ref="X59:X77" si="12">S59/Q59</f>
        <v>0.33965973534971644</v>
      </c>
      <c r="Y59" s="432">
        <f t="shared" si="4"/>
        <v>6.2892339999999995</v>
      </c>
      <c r="Z59" s="432">
        <f t="shared" si="4"/>
        <v>8.8312720000000002</v>
      </c>
      <c r="AA59" s="670">
        <f t="shared" si="4"/>
        <v>404.01299999999998</v>
      </c>
      <c r="AB59" s="432">
        <f t="shared" si="5"/>
        <v>64.238824632697728</v>
      </c>
      <c r="AC59" s="670">
        <f t="shared" si="2"/>
        <v>28.784505788067676</v>
      </c>
      <c r="AD59" s="742">
        <v>30</v>
      </c>
      <c r="AE59" s="432">
        <f>Y59*AD59</f>
        <v>188.67702</v>
      </c>
      <c r="AF59" s="458"/>
    </row>
    <row r="60" spans="1:32" ht="18.75" customHeight="1" x14ac:dyDescent="0.2">
      <c r="A60" s="742">
        <v>47</v>
      </c>
      <c r="B60" s="734" t="s">
        <v>160</v>
      </c>
      <c r="C60" s="742" t="s">
        <v>304</v>
      </c>
      <c r="D60" s="741">
        <v>677.33</v>
      </c>
      <c r="E60" s="741" t="s">
        <v>315</v>
      </c>
      <c r="F60" s="742">
        <v>177.8</v>
      </c>
      <c r="G60" s="742" t="s">
        <v>28</v>
      </c>
      <c r="H60" s="742" t="s">
        <v>50</v>
      </c>
      <c r="I60" s="741">
        <v>619</v>
      </c>
      <c r="J60" s="741">
        <v>350</v>
      </c>
      <c r="K60" s="741"/>
      <c r="L60" s="742">
        <v>61</v>
      </c>
      <c r="M60" s="741"/>
      <c r="N60" s="742">
        <v>1.1000000000000001</v>
      </c>
      <c r="O60" s="741"/>
      <c r="P60" s="448">
        <v>5.5873289693426091</v>
      </c>
      <c r="Q60" s="670">
        <f t="shared" si="8"/>
        <v>21</v>
      </c>
      <c r="R60" s="432">
        <v>2.0270000000000001</v>
      </c>
      <c r="S60" s="432">
        <v>2.2240000000000002</v>
      </c>
      <c r="T60" s="492">
        <v>0</v>
      </c>
      <c r="U60" s="668">
        <f t="shared" si="11"/>
        <v>0</v>
      </c>
      <c r="V60" s="668">
        <f t="shared" si="7"/>
        <v>8.8579136690647502</v>
      </c>
      <c r="W60" s="668">
        <v>0.5</v>
      </c>
      <c r="X60" s="432">
        <f t="shared" si="12"/>
        <v>0.10590476190476192</v>
      </c>
      <c r="Y60" s="432">
        <f t="shared" si="4"/>
        <v>1.9925410000000001</v>
      </c>
      <c r="Z60" s="432">
        <f t="shared" si="4"/>
        <v>2.1861920000000001</v>
      </c>
      <c r="AA60" s="670">
        <f t="shared" si="4"/>
        <v>0</v>
      </c>
      <c r="AB60" s="432">
        <f t="shared" si="5"/>
        <v>0</v>
      </c>
      <c r="AC60" s="670">
        <f t="shared" si="2"/>
        <v>8.8579136690647502</v>
      </c>
      <c r="AD60" s="742">
        <v>30</v>
      </c>
      <c r="AE60" s="432">
        <f>Y60*AD60</f>
        <v>59.776230000000005</v>
      </c>
      <c r="AF60" s="669"/>
    </row>
    <row r="61" spans="1:32" ht="18.75" customHeight="1" x14ac:dyDescent="0.2">
      <c r="A61" s="742">
        <v>48</v>
      </c>
      <c r="B61" s="461" t="s">
        <v>164</v>
      </c>
      <c r="C61" s="742" t="s">
        <v>46</v>
      </c>
      <c r="D61" s="741">
        <v>678.47</v>
      </c>
      <c r="E61" s="741" t="s">
        <v>233</v>
      </c>
      <c r="F61" s="742">
        <v>177.8</v>
      </c>
      <c r="G61" s="742" t="s">
        <v>28</v>
      </c>
      <c r="H61" s="742" t="s">
        <v>48</v>
      </c>
      <c r="I61" s="741">
        <v>563.11</v>
      </c>
      <c r="J61" s="741">
        <v>240</v>
      </c>
      <c r="K61" s="741"/>
      <c r="L61" s="741">
        <v>394</v>
      </c>
      <c r="M61" s="741"/>
      <c r="N61" s="742">
        <v>1</v>
      </c>
      <c r="O61" s="741"/>
      <c r="P61" s="668">
        <v>18.183146774807788</v>
      </c>
      <c r="Q61" s="670">
        <f t="shared" si="8"/>
        <v>31.2</v>
      </c>
      <c r="R61" s="432">
        <v>4.2359999999999998</v>
      </c>
      <c r="S61" s="432">
        <v>5.2869999999999999</v>
      </c>
      <c r="T61" s="670">
        <v>20</v>
      </c>
      <c r="U61" s="668">
        <f t="shared" si="11"/>
        <v>4.7214353163361666</v>
      </c>
      <c r="V61" s="668">
        <f t="shared" si="7"/>
        <v>19.878948363911483</v>
      </c>
      <c r="W61" s="668">
        <v>1.1000000000000001</v>
      </c>
      <c r="X61" s="432">
        <f t="shared" si="12"/>
        <v>0.1694551282051282</v>
      </c>
      <c r="Y61" s="432">
        <f t="shared" si="4"/>
        <v>4.1639879999999998</v>
      </c>
      <c r="Z61" s="432">
        <f t="shared" si="4"/>
        <v>5.1971210000000001</v>
      </c>
      <c r="AA61" s="670">
        <f t="shared" si="4"/>
        <v>19.66</v>
      </c>
      <c r="AB61" s="432">
        <f t="shared" si="5"/>
        <v>4.7214353163361666</v>
      </c>
      <c r="AC61" s="670">
        <f t="shared" si="2"/>
        <v>19.878948363911483</v>
      </c>
      <c r="AD61" s="742">
        <v>30</v>
      </c>
      <c r="AE61" s="432">
        <f t="shared" ref="AE61:AE76" si="13">Y61*AD61</f>
        <v>124.91963999999999</v>
      </c>
      <c r="AF61" s="669"/>
    </row>
    <row r="62" spans="1:32" ht="18.75" customHeight="1" x14ac:dyDescent="0.2">
      <c r="A62" s="742">
        <v>49</v>
      </c>
      <c r="B62" s="461" t="s">
        <v>61</v>
      </c>
      <c r="C62" s="742" t="s">
        <v>46</v>
      </c>
      <c r="D62" s="742">
        <v>667.18</v>
      </c>
      <c r="E62" s="742" t="s">
        <v>96</v>
      </c>
      <c r="F62" s="742">
        <v>177.8</v>
      </c>
      <c r="G62" s="742" t="s">
        <v>28</v>
      </c>
      <c r="H62" s="742" t="s">
        <v>52</v>
      </c>
      <c r="I62" s="741">
        <v>534.21</v>
      </c>
      <c r="J62" s="742">
        <v>180</v>
      </c>
      <c r="K62" s="742"/>
      <c r="L62" s="742">
        <v>446</v>
      </c>
      <c r="M62" s="742"/>
      <c r="N62" s="742">
        <v>6.1</v>
      </c>
      <c r="O62" s="742"/>
      <c r="P62" s="668">
        <v>16.465129770947001</v>
      </c>
      <c r="Q62" s="670">
        <f t="shared" si="8"/>
        <v>39.6</v>
      </c>
      <c r="R62" s="432">
        <v>7.5</v>
      </c>
      <c r="S62" s="432">
        <v>10.862</v>
      </c>
      <c r="T62" s="670">
        <v>102</v>
      </c>
      <c r="U62" s="668">
        <f t="shared" si="11"/>
        <v>13.6</v>
      </c>
      <c r="V62" s="668">
        <f t="shared" si="7"/>
        <v>30.951942552016202</v>
      </c>
      <c r="W62" s="668">
        <v>0.4</v>
      </c>
      <c r="X62" s="432">
        <f t="shared" si="12"/>
        <v>0.27429292929292931</v>
      </c>
      <c r="Y62" s="432">
        <f t="shared" si="4"/>
        <v>7.3724999999999996</v>
      </c>
      <c r="Z62" s="432">
        <f t="shared" si="4"/>
        <v>10.677346</v>
      </c>
      <c r="AA62" s="670">
        <f t="shared" si="4"/>
        <v>100.26600000000001</v>
      </c>
      <c r="AB62" s="432">
        <f t="shared" si="5"/>
        <v>13.6</v>
      </c>
      <c r="AC62" s="670">
        <f t="shared" si="2"/>
        <v>30.951942552016202</v>
      </c>
      <c r="AD62" s="742">
        <v>30</v>
      </c>
      <c r="AE62" s="432">
        <f t="shared" si="13"/>
        <v>221.17499999999998</v>
      </c>
      <c r="AF62" s="449"/>
    </row>
    <row r="63" spans="1:32" ht="18.75" customHeight="1" x14ac:dyDescent="0.2">
      <c r="A63" s="742">
        <v>50</v>
      </c>
      <c r="B63" s="461" t="s">
        <v>64</v>
      </c>
      <c r="C63" s="742" t="s">
        <v>46</v>
      </c>
      <c r="D63" s="742">
        <v>672.5</v>
      </c>
      <c r="E63" s="742" t="s">
        <v>234</v>
      </c>
      <c r="F63" s="742">
        <v>177.8</v>
      </c>
      <c r="G63" s="742" t="s">
        <v>28</v>
      </c>
      <c r="H63" s="655" t="s">
        <v>406</v>
      </c>
      <c r="I63" s="741">
        <v>534.14</v>
      </c>
      <c r="J63" s="742">
        <v>300</v>
      </c>
      <c r="K63" s="742"/>
      <c r="L63" s="742">
        <v>465</v>
      </c>
      <c r="M63" s="742"/>
      <c r="N63" s="742">
        <v>8.8000000000000007</v>
      </c>
      <c r="O63" s="742"/>
      <c r="P63" s="668">
        <v>17.47141925233819</v>
      </c>
      <c r="Q63" s="670">
        <f>J63*20/100</f>
        <v>60</v>
      </c>
      <c r="R63" s="432">
        <v>10.4</v>
      </c>
      <c r="S63" s="432">
        <v>14</v>
      </c>
      <c r="T63" s="670">
        <v>1345</v>
      </c>
      <c r="U63" s="668">
        <f t="shared" si="11"/>
        <v>129.32692307692307</v>
      </c>
      <c r="V63" s="668">
        <f t="shared" si="7"/>
        <v>25.714285714285712</v>
      </c>
      <c r="W63" s="668">
        <v>0.2</v>
      </c>
      <c r="X63" s="432">
        <f t="shared" si="12"/>
        <v>0.23333333333333334</v>
      </c>
      <c r="Y63" s="432">
        <f t="shared" si="4"/>
        <v>10.2232</v>
      </c>
      <c r="Z63" s="432">
        <f t="shared" si="4"/>
        <v>13.762</v>
      </c>
      <c r="AA63" s="670">
        <f t="shared" si="4"/>
        <v>1322.135</v>
      </c>
      <c r="AB63" s="432">
        <f t="shared" si="5"/>
        <v>129.32692307692307</v>
      </c>
      <c r="AC63" s="670">
        <f t="shared" si="2"/>
        <v>25.714285714285712</v>
      </c>
      <c r="AD63" s="742">
        <v>30</v>
      </c>
      <c r="AE63" s="432">
        <f t="shared" si="13"/>
        <v>306.69600000000003</v>
      </c>
      <c r="AF63" s="449"/>
    </row>
    <row r="64" spans="1:32" ht="18.75" customHeight="1" x14ac:dyDescent="0.2">
      <c r="A64" s="742">
        <v>51</v>
      </c>
      <c r="B64" s="461" t="s">
        <v>156</v>
      </c>
      <c r="C64" s="742" t="s">
        <v>46</v>
      </c>
      <c r="D64" s="742">
        <v>679.54</v>
      </c>
      <c r="E64" s="742" t="s">
        <v>166</v>
      </c>
      <c r="F64" s="742">
        <v>177.8</v>
      </c>
      <c r="G64" s="742" t="s">
        <v>28</v>
      </c>
      <c r="H64" s="742" t="s">
        <v>52</v>
      </c>
      <c r="I64" s="741">
        <v>530.98</v>
      </c>
      <c r="J64" s="742">
        <v>210</v>
      </c>
      <c r="K64" s="742"/>
      <c r="L64" s="742">
        <v>452</v>
      </c>
      <c r="M64" s="742"/>
      <c r="N64" s="742">
        <v>7.8</v>
      </c>
      <c r="O64" s="742"/>
      <c r="P64" s="668">
        <v>17.50525889105981</v>
      </c>
      <c r="Q64" s="670">
        <f t="shared" si="8"/>
        <v>46.2</v>
      </c>
      <c r="R64" s="432">
        <v>7.1669999999999998</v>
      </c>
      <c r="S64" s="432">
        <v>10.523999999999999</v>
      </c>
      <c r="T64" s="670">
        <v>174</v>
      </c>
      <c r="U64" s="668">
        <f t="shared" si="11"/>
        <v>24.277940560904145</v>
      </c>
      <c r="V64" s="668">
        <f t="shared" si="7"/>
        <v>31.89851767388825</v>
      </c>
      <c r="W64" s="668">
        <v>0.4</v>
      </c>
      <c r="X64" s="432">
        <f t="shared" si="12"/>
        <v>0.22779220779220777</v>
      </c>
      <c r="Y64" s="432">
        <f t="shared" si="4"/>
        <v>7.0451609999999993</v>
      </c>
      <c r="Z64" s="432">
        <f t="shared" si="4"/>
        <v>10.345091999999999</v>
      </c>
      <c r="AA64" s="670">
        <f t="shared" si="4"/>
        <v>171.042</v>
      </c>
      <c r="AB64" s="432">
        <f t="shared" si="5"/>
        <v>24.277940560904145</v>
      </c>
      <c r="AC64" s="670">
        <f t="shared" si="2"/>
        <v>31.89851767388825</v>
      </c>
      <c r="AD64" s="742">
        <v>30</v>
      </c>
      <c r="AE64" s="432">
        <f t="shared" si="13"/>
        <v>211.35482999999999</v>
      </c>
      <c r="AF64" s="449"/>
    </row>
    <row r="65" spans="1:32" ht="18.75" customHeight="1" x14ac:dyDescent="0.2">
      <c r="A65" s="742">
        <v>52</v>
      </c>
      <c r="B65" s="461" t="s">
        <v>169</v>
      </c>
      <c r="C65" s="742" t="s">
        <v>46</v>
      </c>
      <c r="D65" s="742">
        <v>673</v>
      </c>
      <c r="E65" s="742" t="s">
        <v>170</v>
      </c>
      <c r="F65" s="742">
        <v>177.8</v>
      </c>
      <c r="G65" s="742" t="s">
        <v>28</v>
      </c>
      <c r="H65" s="742" t="s">
        <v>52</v>
      </c>
      <c r="I65" s="741">
        <v>541.48</v>
      </c>
      <c r="J65" s="742">
        <v>155</v>
      </c>
      <c r="K65" s="742"/>
      <c r="L65" s="742">
        <v>444</v>
      </c>
      <c r="M65" s="742"/>
      <c r="N65" s="742">
        <v>8.5</v>
      </c>
      <c r="O65" s="742"/>
      <c r="P65" s="668">
        <v>20.039533727212419</v>
      </c>
      <c r="Q65" s="670">
        <f t="shared" si="8"/>
        <v>34.1</v>
      </c>
      <c r="R65" s="432">
        <v>3.7519999999999998</v>
      </c>
      <c r="S65" s="432">
        <v>5.141</v>
      </c>
      <c r="T65" s="670">
        <v>207</v>
      </c>
      <c r="U65" s="668">
        <f t="shared" si="11"/>
        <v>55.170575692963759</v>
      </c>
      <c r="V65" s="668">
        <f t="shared" si="7"/>
        <v>27.018089865784873</v>
      </c>
      <c r="W65" s="668">
        <v>2.1</v>
      </c>
      <c r="X65" s="432">
        <f t="shared" si="12"/>
        <v>0.1507624633431085</v>
      </c>
      <c r="Y65" s="432">
        <f t="shared" si="4"/>
        <v>3.6882159999999997</v>
      </c>
      <c r="Z65" s="432">
        <f t="shared" si="4"/>
        <v>5.0536029999999998</v>
      </c>
      <c r="AA65" s="670">
        <f t="shared" si="4"/>
        <v>203.48099999999999</v>
      </c>
      <c r="AB65" s="432">
        <f t="shared" si="5"/>
        <v>55.170575692963759</v>
      </c>
      <c r="AC65" s="670">
        <f t="shared" si="2"/>
        <v>27.018089865784873</v>
      </c>
      <c r="AD65" s="742">
        <v>30</v>
      </c>
      <c r="AE65" s="432">
        <f>Y65*AD65</f>
        <v>110.64648</v>
      </c>
      <c r="AF65" s="449"/>
    </row>
    <row r="66" spans="1:32" ht="18.75" customHeight="1" x14ac:dyDescent="0.2">
      <c r="A66" s="742">
        <v>53</v>
      </c>
      <c r="B66" s="461" t="s">
        <v>62</v>
      </c>
      <c r="C66" s="742" t="s">
        <v>46</v>
      </c>
      <c r="D66" s="742">
        <v>673.73</v>
      </c>
      <c r="E66" s="742" t="s">
        <v>97</v>
      </c>
      <c r="F66" s="742">
        <v>177.8</v>
      </c>
      <c r="G66" s="742" t="s">
        <v>28</v>
      </c>
      <c r="H66" s="742" t="s">
        <v>218</v>
      </c>
      <c r="I66" s="741">
        <v>543</v>
      </c>
      <c r="J66" s="742">
        <v>235</v>
      </c>
      <c r="K66" s="742"/>
      <c r="L66" s="742">
        <v>449</v>
      </c>
      <c r="M66" s="742"/>
      <c r="N66" s="742">
        <v>9.6</v>
      </c>
      <c r="O66" s="742"/>
      <c r="P66" s="668">
        <v>20.05561483157906</v>
      </c>
      <c r="Q66" s="670">
        <f t="shared" si="8"/>
        <v>75.2</v>
      </c>
      <c r="R66" s="432">
        <v>6.0389999999999997</v>
      </c>
      <c r="S66" s="432">
        <v>7.4640000000000004</v>
      </c>
      <c r="T66" s="670">
        <v>710.4</v>
      </c>
      <c r="U66" s="668">
        <f t="shared" si="0"/>
        <v>117.63537009438649</v>
      </c>
      <c r="V66" s="668">
        <f t="shared" si="7"/>
        <v>19.091639871382647</v>
      </c>
      <c r="W66" s="668">
        <v>0.2</v>
      </c>
      <c r="X66" s="432">
        <f t="shared" si="12"/>
        <v>9.9255319148936177E-2</v>
      </c>
      <c r="Y66" s="432">
        <f t="shared" si="4"/>
        <v>5.936337</v>
      </c>
      <c r="Z66" s="432">
        <f t="shared" si="4"/>
        <v>7.3371120000000003</v>
      </c>
      <c r="AA66" s="670">
        <f t="shared" si="4"/>
        <v>698.32319999999993</v>
      </c>
      <c r="AB66" s="432">
        <f t="shared" si="5"/>
        <v>117.63537009438649</v>
      </c>
      <c r="AC66" s="670">
        <f t="shared" si="2"/>
        <v>19.091639871382647</v>
      </c>
      <c r="AD66" s="742">
        <v>30</v>
      </c>
      <c r="AE66" s="432">
        <f t="shared" si="13"/>
        <v>178.09011000000001</v>
      </c>
      <c r="AF66" s="669"/>
    </row>
    <row r="67" spans="1:32" ht="18.75" customHeight="1" x14ac:dyDescent="0.2">
      <c r="A67" s="742">
        <v>54</v>
      </c>
      <c r="B67" s="461" t="s">
        <v>157</v>
      </c>
      <c r="C67" s="742" t="s">
        <v>46</v>
      </c>
      <c r="D67" s="742">
        <v>676.73</v>
      </c>
      <c r="E67" s="742" t="s">
        <v>179</v>
      </c>
      <c r="F67" s="742">
        <v>177.8</v>
      </c>
      <c r="G67" s="742" t="s">
        <v>28</v>
      </c>
      <c r="H67" s="742" t="s">
        <v>218</v>
      </c>
      <c r="I67" s="741">
        <v>579.14</v>
      </c>
      <c r="J67" s="742">
        <v>130</v>
      </c>
      <c r="K67" s="742"/>
      <c r="L67" s="742">
        <v>153</v>
      </c>
      <c r="M67" s="742"/>
      <c r="N67" s="742">
        <v>9</v>
      </c>
      <c r="O67" s="742"/>
      <c r="P67" s="668">
        <v>46.376173558181776</v>
      </c>
      <c r="Q67" s="670">
        <f t="shared" si="8"/>
        <v>41.6</v>
      </c>
      <c r="R67" s="432">
        <v>17</v>
      </c>
      <c r="S67" s="432">
        <v>37.481999999999999</v>
      </c>
      <c r="T67" s="670">
        <v>183</v>
      </c>
      <c r="U67" s="668">
        <f t="shared" si="0"/>
        <v>10.764705882352942</v>
      </c>
      <c r="V67" s="668">
        <f t="shared" si="7"/>
        <v>54.644896216850761</v>
      </c>
      <c r="W67" s="668">
        <v>0.2</v>
      </c>
      <c r="X67" s="432">
        <f t="shared" si="12"/>
        <v>0.90100961538461533</v>
      </c>
      <c r="Y67" s="432">
        <f t="shared" si="4"/>
        <v>16.710999999999999</v>
      </c>
      <c r="Z67" s="432">
        <f t="shared" si="4"/>
        <v>36.844805999999998</v>
      </c>
      <c r="AA67" s="670">
        <f t="shared" si="4"/>
        <v>179.88900000000001</v>
      </c>
      <c r="AB67" s="432">
        <f t="shared" si="5"/>
        <v>10.764705882352942</v>
      </c>
      <c r="AC67" s="670">
        <f t="shared" si="2"/>
        <v>54.644896216850761</v>
      </c>
      <c r="AD67" s="742">
        <v>30</v>
      </c>
      <c r="AE67" s="432">
        <f t="shared" si="13"/>
        <v>501.32999999999993</v>
      </c>
      <c r="AF67" s="676"/>
    </row>
    <row r="68" spans="1:32" ht="18.75" customHeight="1" x14ac:dyDescent="0.2">
      <c r="A68" s="742">
        <v>55</v>
      </c>
      <c r="B68" s="461" t="s">
        <v>159</v>
      </c>
      <c r="C68" s="742" t="s">
        <v>46</v>
      </c>
      <c r="D68" s="742">
        <v>676</v>
      </c>
      <c r="E68" s="742" t="s">
        <v>167</v>
      </c>
      <c r="F68" s="742">
        <v>177.8</v>
      </c>
      <c r="G68" s="742" t="s">
        <v>28</v>
      </c>
      <c r="H68" s="742" t="s">
        <v>218</v>
      </c>
      <c r="I68" s="741">
        <v>508.57</v>
      </c>
      <c r="J68" s="742">
        <v>345</v>
      </c>
      <c r="K68" s="742"/>
      <c r="L68" s="742">
        <v>431</v>
      </c>
      <c r="M68" s="742"/>
      <c r="N68" s="742">
        <v>9.9</v>
      </c>
      <c r="O68" s="742"/>
      <c r="P68" s="668">
        <v>17.908524757747237</v>
      </c>
      <c r="Q68" s="670">
        <f t="shared" si="8"/>
        <v>110.4</v>
      </c>
      <c r="R68" s="432">
        <v>18</v>
      </c>
      <c r="S68" s="432">
        <v>23.451000000000001</v>
      </c>
      <c r="T68" s="670">
        <v>470</v>
      </c>
      <c r="U68" s="668">
        <f t="shared" si="0"/>
        <v>26.111111111111111</v>
      </c>
      <c r="V68" s="668">
        <f t="shared" si="7"/>
        <v>23.244211334271462</v>
      </c>
      <c r="W68" s="668">
        <v>0.5</v>
      </c>
      <c r="X68" s="432">
        <f t="shared" si="12"/>
        <v>0.21241847826086957</v>
      </c>
      <c r="Y68" s="432">
        <f t="shared" si="4"/>
        <v>17.693999999999999</v>
      </c>
      <c r="Z68" s="432">
        <f t="shared" si="4"/>
        <v>23.052333000000001</v>
      </c>
      <c r="AA68" s="670">
        <f t="shared" si="4"/>
        <v>462.01</v>
      </c>
      <c r="AB68" s="432">
        <f t="shared" si="5"/>
        <v>26.111111111111111</v>
      </c>
      <c r="AC68" s="670">
        <f t="shared" si="2"/>
        <v>23.244211334271462</v>
      </c>
      <c r="AD68" s="742">
        <v>30</v>
      </c>
      <c r="AE68" s="432">
        <f t="shared" si="13"/>
        <v>530.81999999999994</v>
      </c>
      <c r="AF68" s="669"/>
    </row>
    <row r="69" spans="1:32" ht="18.75" customHeight="1" x14ac:dyDescent="0.2">
      <c r="A69" s="742">
        <v>56</v>
      </c>
      <c r="B69" s="461" t="s">
        <v>330</v>
      </c>
      <c r="C69" s="742" t="s">
        <v>46</v>
      </c>
      <c r="D69" s="742">
        <v>595</v>
      </c>
      <c r="E69" s="742" t="s">
        <v>367</v>
      </c>
      <c r="F69" s="742">
        <v>178.8</v>
      </c>
      <c r="G69" s="742" t="s">
        <v>28</v>
      </c>
      <c r="H69" s="241" t="s">
        <v>366</v>
      </c>
      <c r="I69" s="741">
        <v>505</v>
      </c>
      <c r="J69" s="742">
        <v>180</v>
      </c>
      <c r="K69" s="742"/>
      <c r="L69" s="742">
        <v>272</v>
      </c>
      <c r="M69" s="742"/>
      <c r="N69" s="742">
        <v>11.7</v>
      </c>
      <c r="O69" s="742"/>
      <c r="P69" s="668">
        <v>7.0429329085562467</v>
      </c>
      <c r="Q69" s="670">
        <f>(33*J69)/100</f>
        <v>59.4</v>
      </c>
      <c r="R69" s="432">
        <v>21</v>
      </c>
      <c r="S69" s="432">
        <v>33.07</v>
      </c>
      <c r="T69" s="670">
        <v>543</v>
      </c>
      <c r="U69" s="668">
        <f t="shared" si="0"/>
        <v>25.857142857142858</v>
      </c>
      <c r="V69" s="668">
        <f t="shared" si="7"/>
        <v>36.498336861203505</v>
      </c>
      <c r="W69" s="668">
        <v>0.1</v>
      </c>
      <c r="X69" s="432">
        <f t="shared" si="12"/>
        <v>0.55673400673400675</v>
      </c>
      <c r="Y69" s="432">
        <f t="shared" si="4"/>
        <v>20.643000000000001</v>
      </c>
      <c r="Z69" s="432">
        <f t="shared" si="4"/>
        <v>32.507809999999999</v>
      </c>
      <c r="AA69" s="670">
        <f t="shared" si="4"/>
        <v>533.76900000000001</v>
      </c>
      <c r="AB69" s="432">
        <v>20</v>
      </c>
      <c r="AC69" s="670">
        <v>17</v>
      </c>
      <c r="AD69" s="742">
        <v>30</v>
      </c>
      <c r="AE69" s="432">
        <f t="shared" si="13"/>
        <v>619.29</v>
      </c>
      <c r="AF69" s="669"/>
    </row>
    <row r="70" spans="1:32" ht="18.75" customHeight="1" x14ac:dyDescent="0.2">
      <c r="A70" s="742">
        <v>57</v>
      </c>
      <c r="B70" s="461" t="s">
        <v>210</v>
      </c>
      <c r="C70" s="742" t="s">
        <v>46</v>
      </c>
      <c r="D70" s="742">
        <v>728.32</v>
      </c>
      <c r="E70" s="742" t="s">
        <v>226</v>
      </c>
      <c r="F70" s="742">
        <v>177.8</v>
      </c>
      <c r="G70" s="742" t="s">
        <v>28</v>
      </c>
      <c r="H70" s="742" t="s">
        <v>218</v>
      </c>
      <c r="I70" s="741">
        <v>519.38</v>
      </c>
      <c r="J70" s="742">
        <v>100</v>
      </c>
      <c r="K70" s="742"/>
      <c r="L70" s="742">
        <v>201</v>
      </c>
      <c r="M70" s="742"/>
      <c r="N70" s="742">
        <v>11.7</v>
      </c>
      <c r="O70" s="742"/>
      <c r="P70" s="668">
        <v>42.634900072267833</v>
      </c>
      <c r="Q70" s="670">
        <f t="shared" si="8"/>
        <v>32</v>
      </c>
      <c r="R70" s="432">
        <v>17.8</v>
      </c>
      <c r="S70" s="432">
        <v>28.3</v>
      </c>
      <c r="T70" s="670">
        <v>193</v>
      </c>
      <c r="U70" s="668">
        <f t="shared" si="0"/>
        <v>10.842696629213483</v>
      </c>
      <c r="V70" s="668">
        <f t="shared" si="7"/>
        <v>37.102473498233209</v>
      </c>
      <c r="W70" s="668">
        <v>0.2</v>
      </c>
      <c r="X70" s="432">
        <f t="shared" si="12"/>
        <v>0.88437500000000002</v>
      </c>
      <c r="Y70" s="432">
        <f t="shared" si="4"/>
        <v>17.497399999999999</v>
      </c>
      <c r="Z70" s="432">
        <f t="shared" si="4"/>
        <v>27.818899999999999</v>
      </c>
      <c r="AA70" s="670">
        <f t="shared" si="4"/>
        <v>189.71899999999999</v>
      </c>
      <c r="AB70" s="432">
        <f t="shared" si="5"/>
        <v>10.842696629213483</v>
      </c>
      <c r="AC70" s="670">
        <f t="shared" si="2"/>
        <v>37.102473498233209</v>
      </c>
      <c r="AD70" s="742">
        <v>30</v>
      </c>
      <c r="AE70" s="432">
        <f t="shared" si="13"/>
        <v>524.92200000000003</v>
      </c>
      <c r="AF70" s="449"/>
    </row>
    <row r="71" spans="1:32" ht="18.75" customHeight="1" x14ac:dyDescent="0.2">
      <c r="A71" s="742">
        <v>58</v>
      </c>
      <c r="B71" s="461" t="s">
        <v>63</v>
      </c>
      <c r="C71" s="742" t="s">
        <v>46</v>
      </c>
      <c r="D71" s="742">
        <v>672.99</v>
      </c>
      <c r="E71" s="742" t="s">
        <v>98</v>
      </c>
      <c r="F71" s="742">
        <v>177.8</v>
      </c>
      <c r="G71" s="742" t="s">
        <v>28</v>
      </c>
      <c r="H71" s="742" t="s">
        <v>310</v>
      </c>
      <c r="I71" s="741">
        <v>536.32000000000005</v>
      </c>
      <c r="J71" s="742">
        <v>260</v>
      </c>
      <c r="K71" s="742"/>
      <c r="L71" s="742">
        <v>378</v>
      </c>
      <c r="M71" s="742"/>
      <c r="N71" s="742">
        <v>10.199999999999999</v>
      </c>
      <c r="O71" s="742"/>
      <c r="P71" s="668">
        <v>26.893162375601257</v>
      </c>
      <c r="Q71" s="670">
        <f t="shared" si="8"/>
        <v>57.2</v>
      </c>
      <c r="R71" s="432">
        <v>10.968</v>
      </c>
      <c r="S71" s="432">
        <v>15.368</v>
      </c>
      <c r="T71" s="670">
        <v>1136</v>
      </c>
      <c r="U71" s="668">
        <f t="shared" si="0"/>
        <v>103.57403355215172</v>
      </c>
      <c r="V71" s="668">
        <f t="shared" si="7"/>
        <v>28.630921395106718</v>
      </c>
      <c r="W71" s="668">
        <v>0.7</v>
      </c>
      <c r="X71" s="432">
        <f t="shared" si="12"/>
        <v>0.26867132867132865</v>
      </c>
      <c r="Y71" s="432">
        <f t="shared" si="4"/>
        <v>10.781544</v>
      </c>
      <c r="Z71" s="432">
        <f t="shared" si="4"/>
        <v>15.106744000000001</v>
      </c>
      <c r="AA71" s="670">
        <f t="shared" si="4"/>
        <v>1116.6879999999999</v>
      </c>
      <c r="AB71" s="432">
        <f t="shared" si="5"/>
        <v>103.57403355215172</v>
      </c>
      <c r="AC71" s="670">
        <f t="shared" si="2"/>
        <v>28.630921395106718</v>
      </c>
      <c r="AD71" s="742">
        <v>30</v>
      </c>
      <c r="AE71" s="432">
        <f t="shared" si="13"/>
        <v>323.44632000000001</v>
      </c>
      <c r="AF71" s="449"/>
    </row>
    <row r="72" spans="1:32" ht="18.75" customHeight="1" x14ac:dyDescent="0.2">
      <c r="A72" s="742">
        <v>59</v>
      </c>
      <c r="B72" s="461" t="s">
        <v>217</v>
      </c>
      <c r="C72" s="742" t="s">
        <v>46</v>
      </c>
      <c r="D72" s="742">
        <v>684.57</v>
      </c>
      <c r="E72" s="742" t="s">
        <v>359</v>
      </c>
      <c r="F72" s="742">
        <v>177.8</v>
      </c>
      <c r="G72" s="742" t="s">
        <v>28</v>
      </c>
      <c r="H72" s="742" t="s">
        <v>219</v>
      </c>
      <c r="I72" s="741">
        <v>555.95000000000005</v>
      </c>
      <c r="J72" s="742">
        <v>230</v>
      </c>
      <c r="K72" s="742"/>
      <c r="L72" s="742">
        <v>369</v>
      </c>
      <c r="M72" s="742"/>
      <c r="N72" s="742">
        <v>11.1</v>
      </c>
      <c r="O72" s="742"/>
      <c r="P72" s="668">
        <v>30.96576064036077</v>
      </c>
      <c r="Q72" s="670">
        <f t="shared" si="8"/>
        <v>27.6</v>
      </c>
      <c r="R72" s="432">
        <v>3.5409999999999999</v>
      </c>
      <c r="S72" s="432">
        <v>11.146000000000001</v>
      </c>
      <c r="T72" s="670">
        <v>46</v>
      </c>
      <c r="U72" s="668">
        <f t="shared" si="0"/>
        <v>12.990680598700932</v>
      </c>
      <c r="V72" s="668">
        <f t="shared" si="7"/>
        <v>68.230755427956211</v>
      </c>
      <c r="W72" s="668">
        <v>0.5</v>
      </c>
      <c r="X72" s="432">
        <f t="shared" si="12"/>
        <v>0.40384057971014492</v>
      </c>
      <c r="Y72" s="432">
        <f t="shared" si="4"/>
        <v>3.4808029999999999</v>
      </c>
      <c r="Z72" s="432">
        <f t="shared" si="4"/>
        <v>10.956518000000001</v>
      </c>
      <c r="AA72" s="670">
        <f t="shared" si="4"/>
        <v>45.217999999999996</v>
      </c>
      <c r="AB72" s="432">
        <f t="shared" si="5"/>
        <v>12.990680598700932</v>
      </c>
      <c r="AC72" s="670">
        <f t="shared" si="2"/>
        <v>68.230755427956211</v>
      </c>
      <c r="AD72" s="742">
        <v>30</v>
      </c>
      <c r="AE72" s="432">
        <f t="shared" si="13"/>
        <v>104.42408999999999</v>
      </c>
      <c r="AF72" s="449"/>
    </row>
    <row r="73" spans="1:32" ht="18.75" customHeight="1" x14ac:dyDescent="0.2">
      <c r="A73" s="742">
        <v>60</v>
      </c>
      <c r="B73" s="461" t="s">
        <v>211</v>
      </c>
      <c r="C73" s="742" t="s">
        <v>46</v>
      </c>
      <c r="D73" s="742">
        <v>675.29</v>
      </c>
      <c r="E73" s="742" t="s">
        <v>224</v>
      </c>
      <c r="F73" s="742">
        <v>177.8</v>
      </c>
      <c r="G73" s="742" t="s">
        <v>28</v>
      </c>
      <c r="H73" s="742" t="s">
        <v>384</v>
      </c>
      <c r="I73" s="741">
        <v>554.95999999999981</v>
      </c>
      <c r="J73" s="742">
        <v>170</v>
      </c>
      <c r="K73" s="742"/>
      <c r="L73" s="742">
        <v>425</v>
      </c>
      <c r="M73" s="742"/>
      <c r="N73" s="742">
        <v>0.8</v>
      </c>
      <c r="O73" s="742"/>
      <c r="P73" s="668">
        <v>15.048461993276906</v>
      </c>
      <c r="Q73" s="670">
        <f>(22*J73)/100</f>
        <v>37.4</v>
      </c>
      <c r="R73" s="432">
        <v>3.3130000000000002</v>
      </c>
      <c r="S73" s="432">
        <v>4.7880000000000003</v>
      </c>
      <c r="T73" s="670">
        <v>23</v>
      </c>
      <c r="U73" s="668">
        <f t="shared" si="0"/>
        <v>6.9423483247811646</v>
      </c>
      <c r="V73" s="668">
        <f t="shared" si="7"/>
        <v>30.806182121971599</v>
      </c>
      <c r="W73" s="668">
        <v>0.4</v>
      </c>
      <c r="X73" s="432">
        <f t="shared" si="12"/>
        <v>0.12802139037433155</v>
      </c>
      <c r="Y73" s="432">
        <f t="shared" si="4"/>
        <v>3.2566790000000001</v>
      </c>
      <c r="Z73" s="432">
        <f t="shared" si="4"/>
        <v>4.7066040000000005</v>
      </c>
      <c r="AA73" s="670">
        <f t="shared" si="4"/>
        <v>22.608999999999998</v>
      </c>
      <c r="AB73" s="432">
        <f t="shared" si="5"/>
        <v>6.9423483247811646</v>
      </c>
      <c r="AC73" s="670">
        <f t="shared" si="2"/>
        <v>30.806182121971599</v>
      </c>
      <c r="AD73" s="742">
        <v>30</v>
      </c>
      <c r="AE73" s="432">
        <f t="shared" si="13"/>
        <v>97.700370000000007</v>
      </c>
      <c r="AF73" s="449"/>
    </row>
    <row r="74" spans="1:32" ht="18.75" customHeight="1" x14ac:dyDescent="0.2">
      <c r="A74" s="742">
        <v>61</v>
      </c>
      <c r="B74" s="461" t="s">
        <v>341</v>
      </c>
      <c r="C74" s="742" t="s">
        <v>46</v>
      </c>
      <c r="D74" s="742">
        <v>683.16</v>
      </c>
      <c r="E74" s="742" t="s">
        <v>343</v>
      </c>
      <c r="F74" s="742">
        <v>177.8</v>
      </c>
      <c r="G74" s="742" t="s">
        <v>28</v>
      </c>
      <c r="H74" s="564" t="s">
        <v>342</v>
      </c>
      <c r="I74" s="741">
        <v>571.9</v>
      </c>
      <c r="J74" s="742">
        <v>195</v>
      </c>
      <c r="K74" s="742"/>
      <c r="L74" s="742">
        <v>231</v>
      </c>
      <c r="M74" s="742"/>
      <c r="N74" s="742">
        <v>11.4</v>
      </c>
      <c r="O74" s="742"/>
      <c r="P74" s="668">
        <v>2.7448272421679056</v>
      </c>
      <c r="Q74" s="670">
        <f>(20*J74)/100</f>
        <v>39</v>
      </c>
      <c r="R74" s="432">
        <v>18</v>
      </c>
      <c r="S74" s="432">
        <v>32.993000000000002</v>
      </c>
      <c r="T74" s="670">
        <v>454</v>
      </c>
      <c r="U74" s="668">
        <f t="shared" si="0"/>
        <v>25.222222222222221</v>
      </c>
      <c r="V74" s="668">
        <f t="shared" si="7"/>
        <v>45.442972751795843</v>
      </c>
      <c r="W74" s="668">
        <v>0.3</v>
      </c>
      <c r="X74" s="432">
        <f t="shared" si="12"/>
        <v>0.84597435897435902</v>
      </c>
      <c r="Y74" s="432">
        <f t="shared" si="4"/>
        <v>17.693999999999999</v>
      </c>
      <c r="Z74" s="432">
        <f t="shared" si="4"/>
        <v>32.432119</v>
      </c>
      <c r="AA74" s="670">
        <f t="shared" si="4"/>
        <v>446.28199999999998</v>
      </c>
      <c r="AB74" s="432">
        <f t="shared" si="5"/>
        <v>25.222222222222221</v>
      </c>
      <c r="AC74" s="670">
        <f t="shared" si="2"/>
        <v>45.442972751795843</v>
      </c>
      <c r="AD74" s="742">
        <v>30</v>
      </c>
      <c r="AE74" s="432">
        <f t="shared" si="13"/>
        <v>530.81999999999994</v>
      </c>
      <c r="AF74" s="449"/>
    </row>
    <row r="75" spans="1:32" ht="18.75" customHeight="1" x14ac:dyDescent="0.3">
      <c r="A75" s="742">
        <v>62</v>
      </c>
      <c r="B75" s="461" t="s">
        <v>354</v>
      </c>
      <c r="C75" s="742" t="s">
        <v>46</v>
      </c>
      <c r="D75" s="742">
        <v>634.29</v>
      </c>
      <c r="E75" s="656" t="s">
        <v>356</v>
      </c>
      <c r="F75" s="742">
        <v>178.8</v>
      </c>
      <c r="G75" s="742" t="s">
        <v>28</v>
      </c>
      <c r="H75" s="241" t="s">
        <v>365</v>
      </c>
      <c r="I75" s="741">
        <v>542.95000000000005</v>
      </c>
      <c r="J75" s="742">
        <v>165</v>
      </c>
      <c r="K75" s="742"/>
      <c r="L75" s="742">
        <v>357</v>
      </c>
      <c r="M75" s="742"/>
      <c r="N75" s="742">
        <v>11.7</v>
      </c>
      <c r="O75" s="742"/>
      <c r="P75" s="668">
        <v>0.47107883721566279</v>
      </c>
      <c r="Q75" s="670">
        <f>(20*J75)/100</f>
        <v>33</v>
      </c>
      <c r="R75" s="432">
        <v>19.068999999999999</v>
      </c>
      <c r="S75" s="432">
        <v>27.548999999999999</v>
      </c>
      <c r="T75" s="670">
        <v>223</v>
      </c>
      <c r="U75" s="668">
        <f t="shared" si="0"/>
        <v>11.694373066233155</v>
      </c>
      <c r="V75" s="668">
        <f t="shared" si="7"/>
        <v>30.78151657047443</v>
      </c>
      <c r="W75" s="668">
        <v>0.5</v>
      </c>
      <c r="X75" s="432">
        <f t="shared" si="12"/>
        <v>0.83481818181818179</v>
      </c>
      <c r="Y75" s="432">
        <f t="shared" si="4"/>
        <v>18.744826999999997</v>
      </c>
      <c r="Z75" s="432">
        <f t="shared" si="4"/>
        <v>27.080666999999998</v>
      </c>
      <c r="AA75" s="670">
        <f t="shared" si="4"/>
        <v>219.209</v>
      </c>
      <c r="AB75" s="432">
        <f t="shared" si="5"/>
        <v>11.694373066233155</v>
      </c>
      <c r="AC75" s="670">
        <f t="shared" si="2"/>
        <v>30.78151657047443</v>
      </c>
      <c r="AD75" s="742">
        <v>30</v>
      </c>
      <c r="AE75" s="432">
        <f t="shared" si="13"/>
        <v>562.34480999999994</v>
      </c>
      <c r="AF75" s="449"/>
    </row>
    <row r="76" spans="1:32" ht="18.75" customHeight="1" x14ac:dyDescent="0.2">
      <c r="A76" s="742">
        <v>63</v>
      </c>
      <c r="B76" s="461" t="s">
        <v>213</v>
      </c>
      <c r="C76" s="742" t="s">
        <v>46</v>
      </c>
      <c r="D76" s="742">
        <v>679.2</v>
      </c>
      <c r="E76" s="742" t="s">
        <v>225</v>
      </c>
      <c r="F76" s="742">
        <v>177.8</v>
      </c>
      <c r="G76" s="742" t="s">
        <v>28</v>
      </c>
      <c r="H76" s="742" t="s">
        <v>48</v>
      </c>
      <c r="I76" s="741">
        <v>559.19000000000005</v>
      </c>
      <c r="J76" s="742">
        <v>120</v>
      </c>
      <c r="K76" s="742"/>
      <c r="L76" s="742">
        <v>447</v>
      </c>
      <c r="M76" s="742"/>
      <c r="N76" s="742">
        <v>2.6</v>
      </c>
      <c r="O76" s="742"/>
      <c r="P76" s="668">
        <v>14.885651073492125</v>
      </c>
      <c r="Q76" s="670">
        <f t="shared" si="8"/>
        <v>15.6</v>
      </c>
      <c r="R76" s="432">
        <v>2.5350000000000001</v>
      </c>
      <c r="S76" s="432">
        <v>5.7480000000000002</v>
      </c>
      <c r="T76" s="670">
        <v>17</v>
      </c>
      <c r="U76" s="668">
        <f t="shared" si="0"/>
        <v>6.7061143984220903</v>
      </c>
      <c r="V76" s="668">
        <f t="shared" si="7"/>
        <v>55.897703549060537</v>
      </c>
      <c r="W76" s="668">
        <v>0.4</v>
      </c>
      <c r="X76" s="432">
        <f t="shared" si="12"/>
        <v>0.36846153846153851</v>
      </c>
      <c r="Y76" s="432">
        <f t="shared" si="4"/>
        <v>2.491905</v>
      </c>
      <c r="Z76" s="432">
        <f t="shared" si="4"/>
        <v>5.6502840000000001</v>
      </c>
      <c r="AA76" s="670">
        <f t="shared" si="4"/>
        <v>16.710999999999999</v>
      </c>
      <c r="AB76" s="432">
        <f t="shared" si="5"/>
        <v>6.7061143984220903</v>
      </c>
      <c r="AC76" s="670">
        <f t="shared" si="2"/>
        <v>55.897703549060537</v>
      </c>
      <c r="AD76" s="742">
        <v>30</v>
      </c>
      <c r="AE76" s="432">
        <f t="shared" si="13"/>
        <v>74.757149999999996</v>
      </c>
      <c r="AF76" s="449"/>
    </row>
    <row r="77" spans="1:32" ht="18.75" customHeight="1" x14ac:dyDescent="0.2">
      <c r="A77" s="742">
        <v>64</v>
      </c>
      <c r="B77" s="461" t="s">
        <v>172</v>
      </c>
      <c r="C77" s="742" t="s">
        <v>46</v>
      </c>
      <c r="D77" s="742">
        <v>673</v>
      </c>
      <c r="E77" s="742" t="s">
        <v>173</v>
      </c>
      <c r="F77" s="742">
        <v>177.8</v>
      </c>
      <c r="G77" s="742" t="s">
        <v>28</v>
      </c>
      <c r="H77" s="742" t="s">
        <v>50</v>
      </c>
      <c r="I77" s="741">
        <v>560.79</v>
      </c>
      <c r="J77" s="742">
        <v>250</v>
      </c>
      <c r="K77" s="742"/>
      <c r="L77" s="742">
        <v>303</v>
      </c>
      <c r="M77" s="742"/>
      <c r="N77" s="742">
        <v>8.3000000000000007</v>
      </c>
      <c r="O77" s="742"/>
      <c r="P77" s="448">
        <v>34.831402233975687</v>
      </c>
      <c r="Q77" s="670">
        <f>LEFT(H77,(FIND("K",H77,1)-1))*J77/100</f>
        <v>15</v>
      </c>
      <c r="R77" s="432">
        <v>1.1759999999999999</v>
      </c>
      <c r="S77" s="432">
        <v>3.7320000000000002</v>
      </c>
      <c r="T77" s="670">
        <v>6.25</v>
      </c>
      <c r="U77" s="668">
        <f t="shared" si="0"/>
        <v>5.3146258503401365</v>
      </c>
      <c r="V77" s="668">
        <f t="shared" si="7"/>
        <v>68.488745980707392</v>
      </c>
      <c r="W77" s="668">
        <v>0.4</v>
      </c>
      <c r="X77" s="432">
        <f t="shared" si="12"/>
        <v>0.24880000000000002</v>
      </c>
      <c r="Y77" s="432">
        <f t="shared" si="4"/>
        <v>1.1560079999999999</v>
      </c>
      <c r="Z77" s="432">
        <f t="shared" si="4"/>
        <v>3.6685560000000002</v>
      </c>
      <c r="AA77" s="670">
        <f t="shared" si="4"/>
        <v>6.1437499999999998</v>
      </c>
      <c r="AB77" s="432">
        <f t="shared" si="5"/>
        <v>5.3146258503401365</v>
      </c>
      <c r="AC77" s="670">
        <f t="shared" si="2"/>
        <v>68.488745980707392</v>
      </c>
      <c r="AD77" s="742">
        <v>30</v>
      </c>
      <c r="AE77" s="432">
        <f>Y77*AD77</f>
        <v>34.680239999999998</v>
      </c>
      <c r="AF77" s="449"/>
    </row>
    <row r="78" spans="1:32" ht="18.75" customHeight="1" x14ac:dyDescent="0.2">
      <c r="A78" s="742">
        <v>65</v>
      </c>
      <c r="B78" s="461" t="s">
        <v>171</v>
      </c>
      <c r="C78" s="742" t="s">
        <v>46</v>
      </c>
      <c r="D78" s="741">
        <v>646</v>
      </c>
      <c r="E78" s="741" t="s">
        <v>191</v>
      </c>
      <c r="F78" s="742">
        <v>177.8</v>
      </c>
      <c r="G78" s="742" t="s">
        <v>28</v>
      </c>
      <c r="H78" s="742" t="s">
        <v>48</v>
      </c>
      <c r="I78" s="741">
        <v>570.15</v>
      </c>
      <c r="J78" s="741"/>
      <c r="K78" s="741">
        <v>260</v>
      </c>
      <c r="L78" s="741"/>
      <c r="M78" s="741">
        <v>0.4</v>
      </c>
      <c r="N78" s="742"/>
      <c r="O78" s="741"/>
      <c r="P78" s="668">
        <v>45.083947107319133</v>
      </c>
      <c r="Q78" s="492">
        <f>LEFT(H78,(FIND("K",H78,1)-1))*J78/100</f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si="4"/>
        <v>0</v>
      </c>
      <c r="Z78" s="432">
        <f t="shared" si="4"/>
        <v>0</v>
      </c>
      <c r="AA78" s="670">
        <f t="shared" si="4"/>
        <v>0</v>
      </c>
      <c r="AB78" s="432">
        <f t="shared" si="5"/>
        <v>0</v>
      </c>
      <c r="AC78" s="432">
        <f t="shared" si="2"/>
        <v>0</v>
      </c>
      <c r="AD78" s="742">
        <v>30</v>
      </c>
      <c r="AE78" s="432">
        <f>Y78*AD78</f>
        <v>0</v>
      </c>
      <c r="AF78" s="669" t="s">
        <v>335</v>
      </c>
    </row>
    <row r="79" spans="1:32" ht="18.75" customHeight="1" x14ac:dyDescent="0.2">
      <c r="A79" s="677"/>
      <c r="B79" s="742"/>
      <c r="C79" s="742"/>
      <c r="D79" s="741"/>
      <c r="E79" s="741"/>
      <c r="F79" s="461"/>
      <c r="G79" s="742"/>
      <c r="H79" s="742"/>
      <c r="I79" s="741"/>
      <c r="J79" s="741"/>
      <c r="K79" s="741"/>
      <c r="L79" s="741"/>
      <c r="M79" s="741"/>
      <c r="N79" s="742"/>
      <c r="O79" s="741"/>
      <c r="P79" s="668"/>
      <c r="Q79" s="492"/>
      <c r="R79" s="466">
        <f>SUM(R14:R78)</f>
        <v>394.92500000000001</v>
      </c>
      <c r="S79" s="466">
        <f>SUM(S14:S78)</f>
        <v>745.23900000000015</v>
      </c>
      <c r="T79" s="512">
        <f>SUM(T14:T78)</f>
        <v>14785.699999999999</v>
      </c>
      <c r="U79" s="466">
        <f>T79/R79</f>
        <v>37.439260619104893</v>
      </c>
      <c r="V79" s="466"/>
      <c r="W79" s="466"/>
      <c r="X79" s="466"/>
      <c r="Y79" s="466">
        <f>SUM(Y14:Y78)</f>
        <v>388.21127499999994</v>
      </c>
      <c r="Z79" s="466">
        <f>SUM(Z14:Z78)</f>
        <v>732.56993699999987</v>
      </c>
      <c r="AA79" s="678">
        <f>SUM(AA14:AA78)</f>
        <v>14534.343099999996</v>
      </c>
      <c r="AB79" s="466">
        <f>AA79/Y79</f>
        <v>37.439260619104893</v>
      </c>
      <c r="AC79" s="466"/>
      <c r="AD79" s="738"/>
      <c r="AE79" s="466">
        <f>SUM(AE14:AE78)</f>
        <v>11646.338250000001</v>
      </c>
      <c r="AF79" s="669"/>
    </row>
    <row r="80" spans="1:32" ht="18.75" customHeight="1" x14ac:dyDescent="0.2">
      <c r="A80" s="677"/>
      <c r="B80" s="742"/>
      <c r="C80" s="742"/>
      <c r="D80" s="741"/>
      <c r="E80" s="741"/>
      <c r="F80" s="461"/>
      <c r="G80" s="742"/>
      <c r="H80" s="742"/>
      <c r="I80" s="741"/>
      <c r="J80" s="741"/>
      <c r="K80" s="741"/>
      <c r="L80" s="741"/>
      <c r="M80" s="741"/>
      <c r="N80" s="742"/>
      <c r="O80" s="741"/>
      <c r="P80" s="668"/>
      <c r="Q80" s="492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738"/>
      <c r="AE80" s="466"/>
      <c r="AF80" s="669"/>
    </row>
    <row r="81" spans="1:32" ht="18.75" customHeight="1" x14ac:dyDescent="0.2">
      <c r="A81" s="677"/>
      <c r="B81" s="742"/>
      <c r="C81" s="742"/>
      <c r="D81" s="741"/>
      <c r="E81" s="733" t="s">
        <v>388</v>
      </c>
      <c r="F81" s="461"/>
      <c r="G81" s="742"/>
      <c r="H81" s="742"/>
      <c r="I81" s="741"/>
      <c r="J81" s="741"/>
      <c r="K81" s="741"/>
      <c r="L81" s="741"/>
      <c r="M81" s="741"/>
      <c r="N81" s="742"/>
      <c r="O81" s="741"/>
      <c r="P81" s="668"/>
      <c r="Q81" s="492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738"/>
      <c r="AE81" s="466"/>
      <c r="AF81" s="669"/>
    </row>
    <row r="82" spans="1:32" ht="18.75" customHeight="1" x14ac:dyDescent="0.2">
      <c r="A82" s="742">
        <v>66</v>
      </c>
      <c r="B82" s="461" t="s">
        <v>155</v>
      </c>
      <c r="C82" s="742" t="s">
        <v>46</v>
      </c>
      <c r="D82" s="742">
        <v>674.13</v>
      </c>
      <c r="E82" s="742" t="s">
        <v>395</v>
      </c>
      <c r="F82" s="742">
        <v>177.8</v>
      </c>
      <c r="G82" s="742"/>
      <c r="H82" s="742"/>
      <c r="I82" s="741"/>
      <c r="J82" s="741"/>
      <c r="K82" s="741"/>
      <c r="L82" s="741"/>
      <c r="M82" s="741"/>
      <c r="N82" s="742"/>
      <c r="O82" s="741"/>
      <c r="P82" s="668"/>
      <c r="Q82" s="492"/>
      <c r="R82" s="466"/>
      <c r="S82" s="466"/>
      <c r="T82" s="512"/>
      <c r="U82" s="466"/>
      <c r="V82" s="466"/>
      <c r="W82" s="466"/>
      <c r="X82" s="466"/>
      <c r="Y82" s="682">
        <v>2</v>
      </c>
      <c r="Z82" s="711">
        <v>2</v>
      </c>
      <c r="AA82" s="678"/>
      <c r="AB82" s="466"/>
      <c r="AC82" s="466"/>
      <c r="AD82" s="738">
        <v>15</v>
      </c>
      <c r="AE82" s="466"/>
      <c r="AF82" s="669" t="s">
        <v>397</v>
      </c>
    </row>
    <row r="83" spans="1:32" ht="18.75" customHeight="1" x14ac:dyDescent="0.2">
      <c r="A83" s="677"/>
      <c r="B83" s="1913"/>
      <c r="C83" s="1913"/>
      <c r="D83" s="1913"/>
      <c r="E83" s="1913"/>
      <c r="F83" s="461"/>
      <c r="G83" s="742"/>
      <c r="H83" s="742"/>
      <c r="I83" s="742"/>
      <c r="J83" s="741"/>
      <c r="K83" s="741"/>
      <c r="L83" s="741"/>
      <c r="M83" s="741"/>
      <c r="N83" s="741"/>
      <c r="O83" s="741"/>
      <c r="P83" s="448"/>
      <c r="Q83" s="492"/>
      <c r="R83" s="741"/>
      <c r="S83" s="741"/>
      <c r="T83" s="741"/>
      <c r="U83" s="735"/>
      <c r="V83" s="735"/>
      <c r="W83" s="735"/>
      <c r="X83" s="735"/>
      <c r="Y83" s="682"/>
      <c r="Z83" s="682"/>
      <c r="AA83" s="733"/>
      <c r="AB83" s="735"/>
      <c r="AC83" s="741"/>
      <c r="AD83" s="742"/>
      <c r="AE83" s="432"/>
      <c r="AF83" s="669"/>
    </row>
    <row r="84" spans="1:32" ht="18.75" customHeight="1" x14ac:dyDescent="0.2">
      <c r="B84" s="1914" t="s">
        <v>389</v>
      </c>
      <c r="C84" s="1915"/>
      <c r="D84" s="1915"/>
      <c r="E84" s="1915"/>
      <c r="F84" s="1902"/>
      <c r="G84" s="735"/>
      <c r="H84" s="733"/>
      <c r="I84" s="733"/>
      <c r="J84" s="741"/>
      <c r="K84" s="741"/>
      <c r="L84" s="741"/>
      <c r="M84" s="741"/>
      <c r="N84" s="741"/>
      <c r="O84" s="741"/>
      <c r="P84" s="448"/>
      <c r="Q84" s="492"/>
      <c r="R84" s="741"/>
      <c r="S84" s="437"/>
      <c r="T84" s="741"/>
      <c r="U84" s="735"/>
      <c r="V84" s="735"/>
      <c r="W84" s="735"/>
      <c r="X84" s="421"/>
      <c r="Y84" s="741"/>
      <c r="Z84" s="741"/>
      <c r="AA84" s="741"/>
      <c r="AB84" s="735"/>
      <c r="AC84" s="735"/>
      <c r="AD84" s="741"/>
      <c r="AE84" s="741"/>
      <c r="AF84" s="733"/>
    </row>
    <row r="85" spans="1:32" ht="18.75" customHeight="1" x14ac:dyDescent="0.2">
      <c r="A85" s="736">
        <v>67</v>
      </c>
      <c r="B85" s="742" t="s">
        <v>131</v>
      </c>
      <c r="C85" s="736" t="s">
        <v>313</v>
      </c>
      <c r="D85" s="742">
        <v>389.74</v>
      </c>
      <c r="E85" s="679" t="s">
        <v>136</v>
      </c>
      <c r="F85" s="742">
        <v>177.8</v>
      </c>
      <c r="G85" s="742" t="s">
        <v>28</v>
      </c>
      <c r="H85" s="742" t="s">
        <v>58</v>
      </c>
      <c r="I85" s="741">
        <v>142.80000000000001</v>
      </c>
      <c r="J85" s="741">
        <v>260</v>
      </c>
      <c r="K85" s="742"/>
      <c r="L85" s="742">
        <v>26</v>
      </c>
      <c r="M85" s="742"/>
      <c r="N85" s="742">
        <v>0</v>
      </c>
      <c r="O85" s="742"/>
      <c r="P85" s="668">
        <v>15.339152396676328</v>
      </c>
      <c r="Q85" s="492">
        <f>(3*J85)/100</f>
        <v>7.8</v>
      </c>
      <c r="R85" s="432">
        <v>1.175</v>
      </c>
      <c r="S85" s="432">
        <v>2.008</v>
      </c>
      <c r="T85" s="432">
        <v>0</v>
      </c>
      <c r="U85" s="432">
        <f>T85/R85</f>
        <v>0</v>
      </c>
      <c r="V85" s="432">
        <f t="shared" ref="V85:V88" si="14">(S85-R85)/S85*100</f>
        <v>41.484063745019917</v>
      </c>
      <c r="W85" s="432">
        <v>0.4</v>
      </c>
      <c r="X85" s="432">
        <f t="shared" ref="X85:X86" si="15">S85/Q85</f>
        <v>0.25743589743589745</v>
      </c>
      <c r="Y85" s="432">
        <f>R85*0.988</f>
        <v>1.1609</v>
      </c>
      <c r="Z85" s="432">
        <f>S85*0.988</f>
        <v>1.9839039999999999</v>
      </c>
      <c r="AA85" s="432">
        <f>T85*0.988</f>
        <v>0</v>
      </c>
      <c r="AB85" s="432">
        <f t="shared" ref="AB85:AC88" si="16">U85</f>
        <v>0</v>
      </c>
      <c r="AC85" s="432">
        <f t="shared" si="16"/>
        <v>41.484063745019917</v>
      </c>
      <c r="AD85" s="742">
        <v>30</v>
      </c>
      <c r="AE85" s="432">
        <f t="shared" ref="AE85:AE88" si="17">Y85*AD85</f>
        <v>34.826999999999998</v>
      </c>
      <c r="AF85" s="449"/>
    </row>
    <row r="86" spans="1:32" ht="18.75" customHeight="1" x14ac:dyDescent="0.2">
      <c r="A86" s="736">
        <v>68</v>
      </c>
      <c r="B86" s="742" t="s">
        <v>132</v>
      </c>
      <c r="C86" s="736" t="s">
        <v>313</v>
      </c>
      <c r="D86" s="742">
        <v>387.72</v>
      </c>
      <c r="E86" s="679" t="s">
        <v>135</v>
      </c>
      <c r="F86" s="742">
        <v>177.8</v>
      </c>
      <c r="G86" s="742" t="s">
        <v>28</v>
      </c>
      <c r="H86" s="742" t="s">
        <v>58</v>
      </c>
      <c r="I86" s="741">
        <v>136.03</v>
      </c>
      <c r="J86" s="742">
        <v>220</v>
      </c>
      <c r="K86" s="742"/>
      <c r="L86" s="742">
        <v>32</v>
      </c>
      <c r="M86" s="742"/>
      <c r="N86" s="742">
        <v>0</v>
      </c>
      <c r="O86" s="742"/>
      <c r="P86" s="668">
        <v>13.345391170197244</v>
      </c>
      <c r="Q86" s="492">
        <f>(3*J86)/100</f>
        <v>6.6</v>
      </c>
      <c r="R86" s="432">
        <v>2.6339999999999999</v>
      </c>
      <c r="S86" s="432">
        <v>3.9550000000000001</v>
      </c>
      <c r="T86" s="432">
        <v>0</v>
      </c>
      <c r="U86" s="432">
        <v>0</v>
      </c>
      <c r="V86" s="432">
        <f t="shared" si="14"/>
        <v>33.4007585335019</v>
      </c>
      <c r="W86" s="432">
        <v>0.3</v>
      </c>
      <c r="X86" s="432">
        <f t="shared" si="15"/>
        <v>0.59924242424242424</v>
      </c>
      <c r="Y86" s="432">
        <f t="shared" ref="Y86:AA88" si="18">R86*0.988</f>
        <v>2.602392</v>
      </c>
      <c r="Z86" s="432">
        <f t="shared" si="18"/>
        <v>3.90754</v>
      </c>
      <c r="AA86" s="432">
        <f t="shared" si="18"/>
        <v>0</v>
      </c>
      <c r="AB86" s="432">
        <v>0</v>
      </c>
      <c r="AC86" s="432">
        <f>V86</f>
        <v>33.4007585335019</v>
      </c>
      <c r="AD86" s="742">
        <v>30</v>
      </c>
      <c r="AE86" s="432">
        <f t="shared" si="17"/>
        <v>78.071759999999998</v>
      </c>
      <c r="AF86" s="449"/>
    </row>
    <row r="87" spans="1:32" ht="18.75" customHeight="1" x14ac:dyDescent="0.25">
      <c r="A87" s="736">
        <v>69</v>
      </c>
      <c r="B87" s="742" t="s">
        <v>121</v>
      </c>
      <c r="C87" s="736" t="s">
        <v>313</v>
      </c>
      <c r="D87" s="742">
        <v>389.57</v>
      </c>
      <c r="E87" s="742" t="s">
        <v>137</v>
      </c>
      <c r="F87" s="742">
        <v>177.8</v>
      </c>
      <c r="G87" s="742" t="s">
        <v>28</v>
      </c>
      <c r="H87" s="707" t="s">
        <v>363</v>
      </c>
      <c r="I87" s="741">
        <v>137.58000000000001</v>
      </c>
      <c r="J87" s="742">
        <v>85</v>
      </c>
      <c r="K87" s="742"/>
      <c r="L87" s="742">
        <v>32</v>
      </c>
      <c r="M87" s="742"/>
      <c r="N87" s="742">
        <v>0</v>
      </c>
      <c r="O87" s="742"/>
      <c r="P87" s="668">
        <v>13.19881427877494</v>
      </c>
      <c r="Q87" s="492">
        <f>(3*J87)/100</f>
        <v>2.5499999999999998</v>
      </c>
      <c r="R87" s="432">
        <v>2.7109999999999999</v>
      </c>
      <c r="S87" s="432">
        <v>4.2969999999999997</v>
      </c>
      <c r="T87" s="432">
        <v>0</v>
      </c>
      <c r="U87" s="432">
        <v>0</v>
      </c>
      <c r="V87" s="432">
        <f t="shared" si="14"/>
        <v>36.909471724458925</v>
      </c>
      <c r="W87" s="432">
        <v>0.3</v>
      </c>
      <c r="X87" s="432">
        <v>0</v>
      </c>
      <c r="Y87" s="432">
        <f t="shared" si="18"/>
        <v>2.6784679999999996</v>
      </c>
      <c r="Z87" s="432">
        <f t="shared" si="18"/>
        <v>4.2454359999999998</v>
      </c>
      <c r="AA87" s="432">
        <f t="shared" si="18"/>
        <v>0</v>
      </c>
      <c r="AB87" s="432">
        <v>0</v>
      </c>
      <c r="AC87" s="432">
        <f>V87</f>
        <v>36.909471724458925</v>
      </c>
      <c r="AD87" s="742">
        <v>30</v>
      </c>
      <c r="AE87" s="432">
        <f t="shared" si="17"/>
        <v>80.354039999999983</v>
      </c>
      <c r="AF87" s="669"/>
    </row>
    <row r="88" spans="1:32" ht="18.75" customHeight="1" x14ac:dyDescent="0.2">
      <c r="A88" s="736">
        <v>70</v>
      </c>
      <c r="B88" s="742" t="s">
        <v>122</v>
      </c>
      <c r="C88" s="736" t="s">
        <v>313</v>
      </c>
      <c r="D88" s="742">
        <v>391.06</v>
      </c>
      <c r="E88" s="742" t="s">
        <v>138</v>
      </c>
      <c r="F88" s="742">
        <v>177.8</v>
      </c>
      <c r="G88" s="742" t="s">
        <v>28</v>
      </c>
      <c r="H88" s="742" t="s">
        <v>58</v>
      </c>
      <c r="I88" s="432">
        <v>151.72999999999999</v>
      </c>
      <c r="J88" s="742">
        <v>280</v>
      </c>
      <c r="K88" s="738"/>
      <c r="L88" s="742">
        <v>55</v>
      </c>
      <c r="M88" s="738"/>
      <c r="N88" s="742">
        <v>0.1</v>
      </c>
      <c r="O88" s="738"/>
      <c r="P88" s="668">
        <v>12.484997149458508</v>
      </c>
      <c r="Q88" s="492">
        <f>(3*J88)/100</f>
        <v>8.4</v>
      </c>
      <c r="R88" s="432">
        <v>1.619</v>
      </c>
      <c r="S88" s="432">
        <v>2.0390000000000001</v>
      </c>
      <c r="T88" s="432">
        <v>0</v>
      </c>
      <c r="U88" s="432">
        <f>T88/R88</f>
        <v>0</v>
      </c>
      <c r="V88" s="432">
        <f t="shared" si="14"/>
        <v>20.598332515939191</v>
      </c>
      <c r="W88" s="432">
        <v>0.3</v>
      </c>
      <c r="X88" s="432">
        <f t="shared" ref="X88" si="19">S88/Q88</f>
        <v>0.24273809523809525</v>
      </c>
      <c r="Y88" s="432">
        <f t="shared" si="18"/>
        <v>1.599572</v>
      </c>
      <c r="Z88" s="432">
        <f t="shared" si="18"/>
        <v>2.014532</v>
      </c>
      <c r="AA88" s="432">
        <f t="shared" si="18"/>
        <v>0</v>
      </c>
      <c r="AB88" s="432">
        <f t="shared" si="16"/>
        <v>0</v>
      </c>
      <c r="AC88" s="432">
        <f t="shared" si="16"/>
        <v>20.598332515939191</v>
      </c>
      <c r="AD88" s="742">
        <v>30</v>
      </c>
      <c r="AE88" s="432">
        <f t="shared" si="17"/>
        <v>47.987160000000003</v>
      </c>
      <c r="AF88" s="680"/>
    </row>
    <row r="89" spans="1:32" ht="18.75" customHeight="1" x14ac:dyDescent="0.2">
      <c r="A89" s="736">
        <v>71</v>
      </c>
      <c r="B89" s="742" t="s">
        <v>188</v>
      </c>
      <c r="C89" s="736" t="s">
        <v>344</v>
      </c>
      <c r="D89" s="742">
        <v>400.5</v>
      </c>
      <c r="E89" s="742" t="s">
        <v>345</v>
      </c>
      <c r="F89" s="742">
        <v>177.8</v>
      </c>
      <c r="G89" s="742"/>
      <c r="H89" s="742"/>
      <c r="I89" s="432"/>
      <c r="J89" s="742"/>
      <c r="K89" s="738"/>
      <c r="L89" s="742"/>
      <c r="M89" s="738"/>
      <c r="N89" s="742"/>
      <c r="O89" s="738"/>
      <c r="P89" s="668"/>
      <c r="Q89" s="437"/>
      <c r="R89" s="432"/>
      <c r="S89" s="432"/>
      <c r="T89" s="432"/>
      <c r="U89" s="432"/>
      <c r="V89" s="432"/>
      <c r="W89" s="432"/>
      <c r="X89" s="432"/>
      <c r="Y89" s="432"/>
      <c r="Z89" s="432"/>
      <c r="AA89" s="432"/>
      <c r="AB89" s="432"/>
      <c r="AC89" s="432"/>
      <c r="AD89" s="742"/>
      <c r="AE89" s="432"/>
      <c r="AF89" s="669"/>
    </row>
    <row r="90" spans="1:32" ht="18.75" customHeight="1" x14ac:dyDescent="0.2">
      <c r="A90" s="736">
        <v>72</v>
      </c>
      <c r="B90" s="742" t="s">
        <v>186</v>
      </c>
      <c r="C90" s="736" t="s">
        <v>346</v>
      </c>
      <c r="D90" s="742">
        <v>349.5</v>
      </c>
      <c r="E90" s="461" t="s">
        <v>347</v>
      </c>
      <c r="F90" s="742">
        <v>177.8</v>
      </c>
      <c r="G90" s="742"/>
      <c r="H90" s="742"/>
      <c r="I90" s="432"/>
      <c r="J90" s="742"/>
      <c r="K90" s="742"/>
      <c r="L90" s="742"/>
      <c r="M90" s="738"/>
      <c r="N90" s="742"/>
      <c r="O90" s="738"/>
      <c r="P90" s="668"/>
      <c r="Q90" s="437"/>
      <c r="R90" s="432"/>
      <c r="S90" s="432"/>
      <c r="T90" s="432"/>
      <c r="U90" s="432"/>
      <c r="V90" s="432"/>
      <c r="W90" s="432"/>
      <c r="X90" s="432"/>
      <c r="Y90" s="432"/>
      <c r="Z90" s="432"/>
      <c r="AA90" s="432"/>
      <c r="AB90" s="432"/>
      <c r="AC90" s="432"/>
      <c r="AD90" s="742"/>
      <c r="AE90" s="432"/>
      <c r="AF90" s="669"/>
    </row>
    <row r="91" spans="1:32" ht="18.75" customHeight="1" x14ac:dyDescent="0.2">
      <c r="A91" s="677"/>
      <c r="B91" s="1939"/>
      <c r="C91" s="1939"/>
      <c r="D91" s="1939"/>
      <c r="E91" s="1940"/>
      <c r="F91" s="741"/>
      <c r="G91" s="735"/>
      <c r="H91" s="733"/>
      <c r="I91" s="733"/>
      <c r="J91" s="741"/>
      <c r="K91" s="741"/>
      <c r="L91" s="741"/>
      <c r="M91" s="741"/>
      <c r="N91" s="741"/>
      <c r="O91" s="741"/>
      <c r="P91" s="448"/>
      <c r="Q91" s="437"/>
      <c r="R91" s="466">
        <f>SUM(R85:R90)</f>
        <v>8.1389999999999993</v>
      </c>
      <c r="S91" s="466">
        <f>SUM(S85:S90)</f>
        <v>12.298999999999999</v>
      </c>
      <c r="T91" s="466">
        <f>SUM(T85:T88)</f>
        <v>0</v>
      </c>
      <c r="U91" s="466">
        <f>SUM(U85:U88)</f>
        <v>0</v>
      </c>
      <c r="V91" s="735"/>
      <c r="W91" s="735"/>
      <c r="X91" s="735"/>
      <c r="Y91" s="466">
        <f>SUM(Y85:Y90)</f>
        <v>8.0413319999999988</v>
      </c>
      <c r="Z91" s="466">
        <f>SUM(Z85:Z90)</f>
        <v>12.151412000000001</v>
      </c>
      <c r="AA91" s="466">
        <f>SUM(AA85:AA88)</f>
        <v>0</v>
      </c>
      <c r="AB91" s="466">
        <v>0</v>
      </c>
      <c r="AC91" s="735"/>
      <c r="AD91" s="741"/>
      <c r="AE91" s="466">
        <f>SUM(AE85:AE90)</f>
        <v>241.23996</v>
      </c>
      <c r="AF91" s="471"/>
    </row>
    <row r="92" spans="1:32" ht="18.75" customHeight="1" x14ac:dyDescent="0.2">
      <c r="A92" s="677"/>
      <c r="B92" s="1939"/>
      <c r="C92" s="1939"/>
      <c r="D92" s="1939"/>
      <c r="E92" s="1940"/>
      <c r="F92" s="738"/>
      <c r="G92" s="742"/>
      <c r="H92" s="742"/>
      <c r="I92" s="432"/>
      <c r="J92" s="742"/>
      <c r="K92" s="738"/>
      <c r="L92" s="742"/>
      <c r="M92" s="738"/>
      <c r="N92" s="668"/>
      <c r="O92" s="738"/>
      <c r="P92" s="682"/>
      <c r="Q92" s="466"/>
      <c r="R92" s="466"/>
      <c r="S92" s="466"/>
      <c r="T92" s="466"/>
      <c r="U92" s="466"/>
      <c r="V92" s="466"/>
      <c r="W92" s="466"/>
      <c r="X92" s="466"/>
      <c r="Y92" s="466"/>
      <c r="Z92" s="678"/>
      <c r="AA92" s="466"/>
      <c r="AB92" s="466"/>
      <c r="AC92" s="466"/>
      <c r="AD92" s="466"/>
      <c r="AE92" s="466"/>
      <c r="AF92" s="680"/>
    </row>
    <row r="93" spans="1:32" ht="18.75" customHeight="1" x14ac:dyDescent="0.2">
      <c r="A93" s="677"/>
      <c r="B93" s="1894" t="s">
        <v>390</v>
      </c>
      <c r="C93" s="1912"/>
      <c r="D93" s="1912"/>
      <c r="E93" s="1912"/>
      <c r="F93" s="1912"/>
      <c r="G93" s="735"/>
      <c r="H93" s="733"/>
      <c r="I93" s="733"/>
      <c r="J93" s="741"/>
      <c r="K93" s="741"/>
      <c r="L93" s="741"/>
      <c r="M93" s="741"/>
      <c r="N93" s="741"/>
      <c r="O93" s="741"/>
      <c r="P93" s="448"/>
      <c r="Q93" s="437"/>
      <c r="R93" s="741"/>
      <c r="S93" s="741"/>
      <c r="T93" s="741"/>
      <c r="U93" s="735"/>
      <c r="V93" s="735"/>
      <c r="W93" s="735"/>
      <c r="X93" s="735"/>
      <c r="Y93" s="741"/>
      <c r="Z93" s="741"/>
      <c r="AA93" s="741"/>
      <c r="AB93" s="735"/>
      <c r="AC93" s="735"/>
      <c r="AD93" s="741"/>
      <c r="AE93" s="741"/>
      <c r="AF93" s="733"/>
    </row>
    <row r="94" spans="1:32" ht="18.75" customHeight="1" x14ac:dyDescent="0.2">
      <c r="A94" s="742">
        <v>73</v>
      </c>
      <c r="B94" s="734" t="s">
        <v>107</v>
      </c>
      <c r="C94" s="741" t="s">
        <v>109</v>
      </c>
      <c r="D94" s="741"/>
      <c r="E94" s="741"/>
      <c r="F94" s="741"/>
      <c r="G94" s="735"/>
      <c r="H94" s="733"/>
      <c r="I94" s="733"/>
      <c r="J94" s="741"/>
      <c r="K94" s="741"/>
      <c r="L94" s="741"/>
      <c r="M94" s="741"/>
      <c r="N94" s="741"/>
      <c r="O94" s="741"/>
      <c r="P94" s="448"/>
      <c r="Q94" s="437"/>
      <c r="R94" s="741"/>
      <c r="S94" s="741"/>
      <c r="T94" s="741"/>
      <c r="U94" s="735"/>
      <c r="V94" s="735"/>
      <c r="W94" s="735"/>
      <c r="X94" s="735"/>
      <c r="Y94" s="733"/>
      <c r="Z94" s="733"/>
      <c r="AA94" s="741"/>
      <c r="AB94" s="735"/>
      <c r="AC94" s="735"/>
      <c r="AD94" s="493"/>
      <c r="AE94" s="741"/>
      <c r="AF94" s="733"/>
    </row>
    <row r="95" spans="1:32" ht="18.75" customHeight="1" x14ac:dyDescent="0.2">
      <c r="A95" s="742">
        <v>74</v>
      </c>
      <c r="B95" s="734" t="s">
        <v>108</v>
      </c>
      <c r="C95" s="741" t="s">
        <v>109</v>
      </c>
      <c r="D95" s="741"/>
      <c r="E95" s="741"/>
      <c r="F95" s="741"/>
      <c r="G95" s="735"/>
      <c r="H95" s="733"/>
      <c r="I95" s="733"/>
      <c r="J95" s="741"/>
      <c r="K95" s="741"/>
      <c r="L95" s="741"/>
      <c r="M95" s="741"/>
      <c r="N95" s="741"/>
      <c r="O95" s="741"/>
      <c r="P95" s="448"/>
      <c r="Q95" s="437"/>
      <c r="R95" s="741"/>
      <c r="S95" s="741"/>
      <c r="T95" s="741"/>
      <c r="U95" s="735"/>
      <c r="V95" s="735"/>
      <c r="W95" s="735"/>
      <c r="X95" s="735"/>
      <c r="Y95" s="733"/>
      <c r="Z95" s="733"/>
      <c r="AA95" s="741"/>
      <c r="AB95" s="735"/>
      <c r="AC95" s="735"/>
      <c r="AD95" s="493"/>
      <c r="AE95" s="741"/>
      <c r="AF95" s="733"/>
    </row>
    <row r="96" spans="1:32" ht="18.75" customHeight="1" x14ac:dyDescent="0.2">
      <c r="A96" s="742">
        <v>75</v>
      </c>
      <c r="B96" s="734" t="s">
        <v>195</v>
      </c>
      <c r="C96" s="736" t="s">
        <v>193</v>
      </c>
      <c r="D96" s="741"/>
      <c r="E96" s="741"/>
      <c r="F96" s="741"/>
      <c r="G96" s="735"/>
      <c r="H96" s="733"/>
      <c r="I96" s="733"/>
      <c r="J96" s="741"/>
      <c r="K96" s="741"/>
      <c r="L96" s="741"/>
      <c r="M96" s="741"/>
      <c r="N96" s="741"/>
      <c r="O96" s="741"/>
      <c r="P96" s="448"/>
      <c r="Q96" s="437"/>
      <c r="R96" s="741"/>
      <c r="S96" s="741"/>
      <c r="T96" s="741"/>
      <c r="U96" s="735"/>
      <c r="V96" s="735"/>
      <c r="W96" s="735"/>
      <c r="X96" s="735"/>
      <c r="Y96" s="733"/>
      <c r="Z96" s="733"/>
      <c r="AA96" s="741"/>
      <c r="AB96" s="735"/>
      <c r="AC96" s="735"/>
      <c r="AD96" s="493"/>
      <c r="AE96" s="741"/>
      <c r="AF96" s="733"/>
    </row>
    <row r="97" spans="1:32" ht="18.75" customHeight="1" x14ac:dyDescent="0.2">
      <c r="A97" s="742">
        <v>76</v>
      </c>
      <c r="B97" s="734" t="s">
        <v>192</v>
      </c>
      <c r="C97" s="736" t="s">
        <v>193</v>
      </c>
      <c r="D97" s="741"/>
      <c r="E97" s="741"/>
      <c r="F97" s="741"/>
      <c r="G97" s="735"/>
      <c r="H97" s="733"/>
      <c r="I97" s="733"/>
      <c r="J97" s="741"/>
      <c r="K97" s="741"/>
      <c r="L97" s="741"/>
      <c r="M97" s="741"/>
      <c r="N97" s="741"/>
      <c r="O97" s="741"/>
      <c r="P97" s="448"/>
      <c r="Q97" s="437"/>
      <c r="R97" s="741"/>
      <c r="S97" s="741"/>
      <c r="T97" s="741"/>
      <c r="U97" s="735"/>
      <c r="V97" s="735"/>
      <c r="W97" s="735"/>
      <c r="X97" s="735"/>
      <c r="Y97" s="733"/>
      <c r="Z97" s="733"/>
      <c r="AA97" s="741"/>
      <c r="AB97" s="735"/>
      <c r="AC97" s="735"/>
      <c r="AD97" s="493"/>
      <c r="AE97" s="741"/>
      <c r="AF97" s="733"/>
    </row>
    <row r="98" spans="1:32" ht="18.75" customHeight="1" x14ac:dyDescent="0.2">
      <c r="A98" s="742"/>
      <c r="B98" s="1894" t="s">
        <v>391</v>
      </c>
      <c r="C98" s="1912"/>
      <c r="D98" s="1912"/>
      <c r="E98" s="1912"/>
      <c r="F98" s="1912"/>
      <c r="G98" s="735"/>
      <c r="H98" s="733"/>
      <c r="I98" s="733"/>
      <c r="J98" s="741"/>
      <c r="K98" s="741"/>
      <c r="L98" s="741"/>
      <c r="M98" s="741"/>
      <c r="N98" s="741"/>
      <c r="O98" s="741"/>
      <c r="P98" s="448"/>
      <c r="Q98" s="437"/>
      <c r="R98" s="741"/>
      <c r="S98" s="741"/>
      <c r="T98" s="741"/>
      <c r="U98" s="735"/>
      <c r="V98" s="735"/>
      <c r="W98" s="735"/>
      <c r="X98" s="735"/>
      <c r="Y98" s="741"/>
      <c r="Z98" s="741"/>
      <c r="AA98" s="741"/>
      <c r="AB98" s="735"/>
      <c r="AC98" s="735"/>
      <c r="AD98" s="741"/>
      <c r="AE98" s="741"/>
      <c r="AF98" s="733"/>
    </row>
    <row r="99" spans="1:32" ht="18.75" customHeight="1" x14ac:dyDescent="0.2">
      <c r="A99" s="742">
        <v>77</v>
      </c>
      <c r="B99" s="461" t="s">
        <v>189</v>
      </c>
      <c r="C99" s="742" t="s">
        <v>46</v>
      </c>
      <c r="D99" s="742">
        <v>673</v>
      </c>
      <c r="E99" s="742" t="s">
        <v>190</v>
      </c>
      <c r="F99" s="742">
        <v>177.8</v>
      </c>
      <c r="G99" s="742"/>
      <c r="H99" s="742"/>
      <c r="I99" s="741"/>
      <c r="J99" s="741"/>
      <c r="K99" s="741"/>
      <c r="L99" s="741"/>
      <c r="M99" s="741"/>
      <c r="N99" s="741"/>
      <c r="O99" s="741"/>
      <c r="P99" s="448"/>
      <c r="Q99" s="437"/>
      <c r="R99" s="741"/>
      <c r="S99" s="741"/>
      <c r="T99" s="741"/>
      <c r="U99" s="735"/>
      <c r="V99" s="735"/>
      <c r="W99" s="735"/>
      <c r="X99" s="735"/>
      <c r="Y99" s="473"/>
      <c r="Z99" s="683"/>
      <c r="AA99" s="733"/>
      <c r="AB99" s="735"/>
      <c r="AC99" s="741"/>
      <c r="AD99" s="742"/>
      <c r="AE99" s="432"/>
      <c r="AF99" s="449"/>
    </row>
    <row r="100" spans="1:32" ht="18.75" customHeight="1" x14ac:dyDescent="0.3">
      <c r="A100" s="742">
        <v>78</v>
      </c>
      <c r="B100" s="461" t="s">
        <v>181</v>
      </c>
      <c r="C100" s="684" t="s">
        <v>183</v>
      </c>
      <c r="D100" s="742">
        <v>374.5</v>
      </c>
      <c r="E100" s="742" t="s">
        <v>182</v>
      </c>
      <c r="F100" s="742">
        <v>177.8</v>
      </c>
      <c r="G100" s="742"/>
      <c r="H100" s="742"/>
      <c r="I100" s="741"/>
      <c r="J100" s="742"/>
      <c r="K100" s="742"/>
      <c r="L100" s="742"/>
      <c r="M100" s="742"/>
      <c r="N100" s="668"/>
      <c r="O100" s="742"/>
      <c r="P100" s="432"/>
      <c r="Q100" s="432"/>
      <c r="R100" s="432"/>
      <c r="S100" s="432"/>
      <c r="T100" s="432"/>
      <c r="U100" s="432"/>
      <c r="V100" s="432"/>
      <c r="W100" s="432"/>
      <c r="X100" s="685"/>
      <c r="Y100" s="432"/>
      <c r="Z100" s="432"/>
      <c r="AA100" s="432"/>
      <c r="AB100" s="432"/>
      <c r="AC100" s="432"/>
      <c r="AD100" s="742"/>
      <c r="AE100" s="432"/>
      <c r="AF100" s="449"/>
    </row>
    <row r="101" spans="1:32" ht="18.75" customHeight="1" x14ac:dyDescent="0.2">
      <c r="A101" s="742">
        <v>79</v>
      </c>
      <c r="B101" s="461" t="s">
        <v>174</v>
      </c>
      <c r="C101" s="742" t="s">
        <v>46</v>
      </c>
      <c r="D101" s="742">
        <v>672</v>
      </c>
      <c r="E101" s="742" t="s">
        <v>175</v>
      </c>
      <c r="F101" s="742">
        <v>177.8</v>
      </c>
      <c r="G101" s="742"/>
      <c r="H101" s="742"/>
      <c r="I101" s="741"/>
      <c r="J101" s="742"/>
      <c r="K101" s="742"/>
      <c r="L101" s="742"/>
      <c r="M101" s="742"/>
      <c r="N101" s="668"/>
      <c r="O101" s="742"/>
      <c r="P101" s="668"/>
      <c r="Q101" s="432"/>
      <c r="R101" s="432"/>
      <c r="S101" s="432"/>
      <c r="T101" s="432"/>
      <c r="U101" s="432"/>
      <c r="V101" s="432"/>
      <c r="W101" s="432"/>
      <c r="X101" s="432"/>
      <c r="Y101" s="432"/>
      <c r="Z101" s="432"/>
      <c r="AA101" s="432"/>
      <c r="AB101" s="432"/>
      <c r="AC101" s="432"/>
      <c r="AD101" s="742"/>
      <c r="AE101" s="432"/>
      <c r="AF101" s="449"/>
    </row>
    <row r="102" spans="1:32" ht="18.75" customHeight="1" x14ac:dyDescent="0.2">
      <c r="A102" s="742">
        <v>80</v>
      </c>
      <c r="B102" s="734" t="s">
        <v>103</v>
      </c>
      <c r="C102" s="742" t="s">
        <v>46</v>
      </c>
      <c r="D102" s="741">
        <v>582</v>
      </c>
      <c r="E102" s="741" t="s">
        <v>112</v>
      </c>
      <c r="F102" s="742">
        <v>177.8</v>
      </c>
      <c r="G102" s="742"/>
      <c r="H102" s="742"/>
      <c r="I102" s="741"/>
      <c r="J102" s="741"/>
      <c r="K102" s="741"/>
      <c r="L102" s="741"/>
      <c r="M102" s="741"/>
      <c r="N102" s="741"/>
      <c r="O102" s="741"/>
      <c r="P102" s="448"/>
      <c r="Q102" s="437"/>
      <c r="R102" s="741"/>
      <c r="S102" s="741"/>
      <c r="T102" s="741"/>
      <c r="U102" s="735"/>
      <c r="V102" s="735"/>
      <c r="W102" s="735"/>
      <c r="X102" s="421"/>
      <c r="Y102" s="492"/>
      <c r="Z102" s="741"/>
      <c r="AA102" s="741"/>
      <c r="AB102" s="735"/>
      <c r="AC102" s="741"/>
      <c r="AD102" s="493"/>
      <c r="AE102" s="437"/>
      <c r="AF102" s="449"/>
    </row>
    <row r="103" spans="1:32" ht="18.75" customHeight="1" x14ac:dyDescent="0.2">
      <c r="A103" s="742">
        <v>81</v>
      </c>
      <c r="B103" s="742" t="s">
        <v>57</v>
      </c>
      <c r="C103" s="736" t="s">
        <v>314</v>
      </c>
      <c r="D103" s="742">
        <v>376.58</v>
      </c>
      <c r="E103" s="461" t="s">
        <v>93</v>
      </c>
      <c r="F103" s="742">
        <v>177.8</v>
      </c>
      <c r="G103" s="742"/>
      <c r="H103" s="742"/>
      <c r="I103" s="741"/>
      <c r="J103" s="741"/>
      <c r="K103" s="741"/>
      <c r="L103" s="741"/>
      <c r="M103" s="741"/>
      <c r="N103" s="741"/>
      <c r="O103" s="741"/>
      <c r="P103" s="448"/>
      <c r="Q103" s="437"/>
      <c r="R103" s="741"/>
      <c r="S103" s="741"/>
      <c r="T103" s="741"/>
      <c r="U103" s="735"/>
      <c r="V103" s="735"/>
      <c r="W103" s="735"/>
      <c r="X103" s="421"/>
      <c r="Y103" s="492"/>
      <c r="Z103" s="741"/>
      <c r="AA103" s="741"/>
      <c r="AB103" s="735"/>
      <c r="AC103" s="741"/>
      <c r="AD103" s="493"/>
      <c r="AE103" s="437"/>
      <c r="AF103" s="449"/>
    </row>
    <row r="104" spans="1:32" ht="18.75" customHeight="1" x14ac:dyDescent="0.2">
      <c r="A104" s="742">
        <v>82</v>
      </c>
      <c r="B104" s="742" t="s">
        <v>184</v>
      </c>
      <c r="C104" s="736" t="s">
        <v>314</v>
      </c>
      <c r="D104" s="742">
        <v>422.78</v>
      </c>
      <c r="E104" s="461" t="s">
        <v>185</v>
      </c>
      <c r="F104" s="742">
        <v>177.8</v>
      </c>
      <c r="G104" s="742"/>
      <c r="H104" s="742"/>
      <c r="I104" s="432"/>
      <c r="J104" s="741"/>
      <c r="K104" s="741"/>
      <c r="L104" s="741"/>
      <c r="M104" s="741"/>
      <c r="N104" s="741"/>
      <c r="O104" s="741"/>
      <c r="P104" s="448"/>
      <c r="Q104" s="437"/>
      <c r="R104" s="741"/>
      <c r="S104" s="741"/>
      <c r="T104" s="741"/>
      <c r="U104" s="735"/>
      <c r="V104" s="735"/>
      <c r="W104" s="735"/>
      <c r="X104" s="421"/>
      <c r="Y104" s="492"/>
      <c r="Z104" s="741"/>
      <c r="AA104" s="741"/>
      <c r="AB104" s="735"/>
      <c r="AC104" s="741"/>
      <c r="AD104" s="493"/>
      <c r="AE104" s="437"/>
      <c r="AF104" s="449"/>
    </row>
    <row r="105" spans="1:32" ht="18.75" customHeight="1" x14ac:dyDescent="0.2">
      <c r="A105" s="742">
        <v>83</v>
      </c>
      <c r="B105" s="734" t="s">
        <v>220</v>
      </c>
      <c r="C105" s="742" t="s">
        <v>46</v>
      </c>
      <c r="D105" s="741">
        <v>685.69</v>
      </c>
      <c r="E105" s="741" t="s">
        <v>222</v>
      </c>
      <c r="F105" s="742">
        <v>177.8</v>
      </c>
      <c r="G105" s="742"/>
      <c r="H105" s="742"/>
      <c r="I105" s="741"/>
      <c r="J105" s="741"/>
      <c r="K105" s="741"/>
      <c r="L105" s="741"/>
      <c r="M105" s="741"/>
      <c r="N105" s="741"/>
      <c r="O105" s="741"/>
      <c r="P105" s="448"/>
      <c r="Q105" s="437"/>
      <c r="R105" s="741"/>
      <c r="S105" s="741"/>
      <c r="T105" s="741"/>
      <c r="U105" s="735"/>
      <c r="V105" s="735"/>
      <c r="W105" s="735"/>
      <c r="X105" s="421"/>
      <c r="Y105" s="492"/>
      <c r="Z105" s="741"/>
      <c r="AA105" s="741"/>
      <c r="AB105" s="735"/>
      <c r="AC105" s="741"/>
      <c r="AD105" s="493"/>
      <c r="AE105" s="437"/>
      <c r="AF105" s="449"/>
    </row>
    <row r="106" spans="1:32" ht="18.75" customHeight="1" x14ac:dyDescent="0.2">
      <c r="A106" s="742"/>
      <c r="B106" s="1894" t="s">
        <v>392</v>
      </c>
      <c r="C106" s="1912"/>
      <c r="D106" s="1912"/>
      <c r="E106" s="1912"/>
      <c r="F106" s="1912"/>
      <c r="G106" s="742"/>
      <c r="H106" s="742"/>
      <c r="I106" s="741"/>
      <c r="J106" s="742"/>
      <c r="K106" s="742"/>
      <c r="L106" s="742"/>
      <c r="M106" s="742"/>
      <c r="N106" s="668"/>
      <c r="O106" s="742"/>
      <c r="P106" s="668"/>
      <c r="Q106" s="432"/>
      <c r="R106" s="432"/>
      <c r="S106" s="432"/>
      <c r="T106" s="432"/>
      <c r="U106" s="432"/>
      <c r="V106" s="432"/>
      <c r="W106" s="432"/>
      <c r="X106" s="432"/>
      <c r="Y106" s="432"/>
      <c r="Z106" s="432"/>
      <c r="AA106" s="432"/>
      <c r="AB106" s="432"/>
      <c r="AC106" s="432"/>
      <c r="AD106" s="742"/>
      <c r="AE106" s="432"/>
      <c r="AF106" s="449"/>
    </row>
    <row r="107" spans="1:32" ht="18.75" customHeight="1" x14ac:dyDescent="0.2">
      <c r="A107" s="742">
        <v>84</v>
      </c>
      <c r="B107" s="461" t="s">
        <v>56</v>
      </c>
      <c r="C107" s="742" t="s">
        <v>46</v>
      </c>
      <c r="D107" s="742">
        <v>680.52</v>
      </c>
      <c r="E107" s="742" t="s">
        <v>92</v>
      </c>
      <c r="F107" s="742">
        <v>177.8</v>
      </c>
      <c r="G107" s="742"/>
      <c r="H107" s="742"/>
      <c r="I107" s="741">
        <v>555.95000000000005</v>
      </c>
      <c r="J107" s="742"/>
      <c r="K107" s="742"/>
      <c r="L107" s="742"/>
      <c r="M107" s="742"/>
      <c r="N107" s="668"/>
      <c r="O107" s="742"/>
      <c r="P107" s="432"/>
      <c r="Q107" s="432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742"/>
      <c r="AE107" s="432"/>
      <c r="AF107" s="449"/>
    </row>
    <row r="108" spans="1:32" ht="18.75" x14ac:dyDescent="0.2">
      <c r="A108" s="745"/>
      <c r="B108" s="737"/>
      <c r="C108" s="737"/>
      <c r="D108" s="737"/>
      <c r="E108" s="461"/>
      <c r="F108" s="742"/>
      <c r="G108" s="742"/>
      <c r="H108" s="742"/>
      <c r="I108" s="741"/>
      <c r="J108" s="742"/>
      <c r="K108" s="742"/>
      <c r="L108" s="742"/>
      <c r="M108" s="742"/>
      <c r="N108" s="668"/>
      <c r="O108" s="742"/>
      <c r="P108" s="432"/>
      <c r="Q108" s="432"/>
      <c r="R108" s="432"/>
      <c r="S108" s="432"/>
      <c r="T108" s="432"/>
      <c r="U108" s="432"/>
      <c r="V108" s="432"/>
      <c r="W108" s="432"/>
      <c r="X108" s="685"/>
      <c r="Y108" s="432"/>
      <c r="Z108" s="432"/>
      <c r="AA108" s="432"/>
      <c r="AB108" s="432"/>
      <c r="AC108" s="432"/>
      <c r="AD108" s="742"/>
      <c r="AE108" s="432"/>
      <c r="AF108" s="449"/>
    </row>
    <row r="109" spans="1:32" ht="18.75" x14ac:dyDescent="0.2">
      <c r="A109" s="710"/>
      <c r="B109" s="1939"/>
      <c r="C109" s="1939"/>
      <c r="D109" s="1939"/>
      <c r="E109" s="1940"/>
      <c r="F109" s="738"/>
      <c r="G109" s="742"/>
      <c r="H109" s="742"/>
      <c r="I109" s="432"/>
      <c r="J109" s="742"/>
      <c r="K109" s="738"/>
      <c r="L109" s="742"/>
      <c r="M109" s="738"/>
      <c r="N109" s="668"/>
      <c r="O109" s="738"/>
      <c r="P109" s="682"/>
      <c r="Q109" s="466"/>
      <c r="R109" s="466">
        <f>R79+R91</f>
        <v>403.06400000000002</v>
      </c>
      <c r="S109" s="466">
        <f>S79+S91</f>
        <v>757.53800000000012</v>
      </c>
      <c r="T109" s="678">
        <f>T79+T91</f>
        <v>14785.699999999999</v>
      </c>
      <c r="U109" s="466">
        <f>T109/R109</f>
        <v>36.68325625707083</v>
      </c>
      <c r="V109" s="466"/>
      <c r="W109" s="466"/>
      <c r="X109" s="466"/>
      <c r="Y109" s="466">
        <f>Y79+Y91+Y82</f>
        <v>398.25260699999995</v>
      </c>
      <c r="Z109" s="466">
        <f>Z79+Z91+Z82</f>
        <v>746.72134899999992</v>
      </c>
      <c r="AA109" s="678">
        <f>AA79+AA91</f>
        <v>14534.343099999996</v>
      </c>
      <c r="AB109" s="466">
        <f>AB79+AB91</f>
        <v>37.439260619104893</v>
      </c>
      <c r="AC109" s="466"/>
      <c r="AD109" s="466"/>
      <c r="AE109" s="686">
        <f>AE79+AE91</f>
        <v>11887.578210000001</v>
      </c>
      <c r="AF109" s="680"/>
    </row>
    <row r="110" spans="1:32" ht="18.75" x14ac:dyDescent="0.2">
      <c r="B110" s="497"/>
      <c r="C110" s="497"/>
      <c r="D110" s="497"/>
      <c r="E110" s="497"/>
      <c r="F110" s="497"/>
      <c r="G110" s="498"/>
      <c r="H110" s="499"/>
      <c r="I110" s="499"/>
      <c r="J110" s="497"/>
      <c r="K110" s="497"/>
      <c r="L110" s="497"/>
      <c r="M110" s="497"/>
      <c r="N110" s="497"/>
      <c r="O110" s="497"/>
      <c r="P110" s="500"/>
      <c r="Q110" s="501"/>
      <c r="R110" s="497"/>
      <c r="S110" s="497"/>
      <c r="T110" s="497"/>
      <c r="U110" s="498"/>
      <c r="V110" s="498"/>
      <c r="W110" s="498"/>
      <c r="X110" s="498"/>
      <c r="Y110" s="497"/>
      <c r="Z110" s="497"/>
      <c r="AA110" s="497"/>
      <c r="AB110" s="498"/>
      <c r="AC110" s="498"/>
      <c r="AD110" s="497"/>
      <c r="AE110" s="497"/>
      <c r="AF110" s="499"/>
    </row>
    <row r="111" spans="1:32" ht="18.75" x14ac:dyDescent="0.2">
      <c r="B111" s="412"/>
      <c r="C111" s="460"/>
      <c r="D111" s="412"/>
      <c r="E111" s="687">
        <v>0.95</v>
      </c>
      <c r="F111" s="412"/>
      <c r="G111" s="412" t="s">
        <v>102</v>
      </c>
      <c r="H111" s="460"/>
      <c r="I111" s="688"/>
      <c r="J111" s="412"/>
      <c r="K111" s="1941">
        <f>AE109*E111</f>
        <v>11293.1992995</v>
      </c>
      <c r="L111" s="1897"/>
      <c r="M111" s="1897"/>
      <c r="N111" s="460" t="s">
        <v>27</v>
      </c>
      <c r="O111" s="497"/>
      <c r="P111" s="500"/>
      <c r="Q111" s="501"/>
      <c r="R111" s="497"/>
      <c r="S111" s="497"/>
      <c r="T111" s="497"/>
      <c r="U111" s="498"/>
      <c r="V111" s="498"/>
      <c r="W111" s="498"/>
      <c r="X111" s="498"/>
      <c r="Y111" s="497"/>
      <c r="Z111" s="497"/>
      <c r="AA111" s="497"/>
      <c r="AB111" s="498"/>
      <c r="AC111" s="498"/>
      <c r="AD111" s="497"/>
      <c r="AE111" s="497"/>
      <c r="AF111" s="499"/>
    </row>
    <row r="112" spans="1:32" ht="18.75" x14ac:dyDescent="0.2">
      <c r="B112" s="412"/>
      <c r="C112" s="460"/>
      <c r="D112" s="412"/>
      <c r="E112" s="687"/>
      <c r="F112" s="412"/>
      <c r="G112" s="460"/>
      <c r="H112" s="460"/>
      <c r="I112" s="688"/>
      <c r="J112" s="412"/>
      <c r="K112" s="460"/>
      <c r="L112" s="689"/>
      <c r="M112" s="412"/>
      <c r="N112" s="412"/>
      <c r="O112" s="412"/>
      <c r="P112" s="690"/>
      <c r="Q112" s="691"/>
      <c r="R112" s="412"/>
      <c r="S112" s="412"/>
      <c r="T112" s="412"/>
      <c r="U112" s="412"/>
      <c r="V112" s="412"/>
      <c r="W112" s="412"/>
      <c r="X112" s="743"/>
      <c r="Y112" s="743"/>
      <c r="Z112" s="743"/>
      <c r="AA112" s="743"/>
      <c r="AB112" s="743"/>
      <c r="AC112" s="743"/>
      <c r="AD112" s="743"/>
      <c r="AE112" s="743"/>
      <c r="AF112" s="692"/>
    </row>
    <row r="113" spans="2:32" ht="18.75" x14ac:dyDescent="0.2">
      <c r="B113" s="412"/>
      <c r="C113" s="412"/>
      <c r="D113" s="412"/>
      <c r="E113" s="693" t="s">
        <v>214</v>
      </c>
      <c r="F113" s="1911" t="s">
        <v>268</v>
      </c>
      <c r="G113" s="1911"/>
      <c r="H113" s="1911"/>
      <c r="I113" s="412"/>
      <c r="J113" s="412"/>
      <c r="K113" s="460"/>
      <c r="L113" s="460"/>
      <c r="M113" s="412"/>
      <c r="N113" s="412"/>
      <c r="O113" s="412"/>
      <c r="P113" s="412"/>
      <c r="Q113" s="412"/>
      <c r="R113" s="412"/>
      <c r="S113" s="412"/>
      <c r="T113" s="412"/>
      <c r="U113" s="412"/>
      <c r="V113" s="412"/>
      <c r="W113" s="412"/>
      <c r="X113" s="1938" t="s">
        <v>352</v>
      </c>
      <c r="Y113" s="1937"/>
      <c r="Z113" s="1937"/>
      <c r="AA113" s="1937"/>
      <c r="AB113" s="743" t="s">
        <v>282</v>
      </c>
      <c r="AC113" s="743"/>
      <c r="AD113" s="743"/>
      <c r="AE113" s="743"/>
      <c r="AF113" s="743"/>
    </row>
  </sheetData>
  <mergeCells count="40">
    <mergeCell ref="B9:E9"/>
    <mergeCell ref="I1:X1"/>
    <mergeCell ref="J2:W2"/>
    <mergeCell ref="A3:D3"/>
    <mergeCell ref="A7:E7"/>
    <mergeCell ref="A8:E8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13:AA113"/>
    <mergeCell ref="AF12:AF13"/>
    <mergeCell ref="B83:E83"/>
    <mergeCell ref="B84:F84"/>
    <mergeCell ref="B91:E91"/>
    <mergeCell ref="B92:E92"/>
    <mergeCell ref="B93:F93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98:F98"/>
    <mergeCell ref="B106:F106"/>
    <mergeCell ref="B109:E109"/>
    <mergeCell ref="K111:M111"/>
    <mergeCell ref="F113:H113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F113"/>
  <sheetViews>
    <sheetView topLeftCell="A11" zoomScale="70" zoomScaleNormal="70" workbookViewId="0">
      <pane xSplit="2" ySplit="3" topLeftCell="C19" activePane="bottomRight" state="frozen"/>
      <selection activeCell="A11" sqref="A11"/>
      <selection pane="topRight" activeCell="C11" sqref="C11"/>
      <selection pane="bottomLeft" activeCell="A14" sqref="A14"/>
      <selection pane="bottomRight" activeCell="A23" sqref="A23:XFD23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85.14062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666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761"/>
      <c r="G2" s="751"/>
      <c r="H2" s="751"/>
      <c r="I2" s="761"/>
      <c r="J2" s="1909" t="s">
        <v>407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761"/>
      <c r="Y2" s="761"/>
      <c r="Z2" s="761"/>
      <c r="AA2" s="761"/>
      <c r="AB2" s="761"/>
      <c r="AC2" s="761"/>
      <c r="AD2" s="761"/>
      <c r="AE2" s="761"/>
      <c r="AF2" s="405"/>
    </row>
    <row r="3" spans="1:32" ht="18.75" x14ac:dyDescent="0.2">
      <c r="A3" s="1910" t="s">
        <v>54</v>
      </c>
      <c r="B3" s="1910"/>
      <c r="C3" s="1910"/>
      <c r="D3" s="1910"/>
      <c r="E3" s="761"/>
      <c r="F3" s="761"/>
      <c r="G3" s="751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1"/>
      <c r="S3" s="761"/>
      <c r="T3" s="761"/>
      <c r="U3" s="761"/>
      <c r="V3" s="761"/>
      <c r="W3" s="761"/>
      <c r="X3" s="761"/>
      <c r="Y3" s="761"/>
      <c r="Z3" s="761"/>
      <c r="AA3" s="761"/>
      <c r="AB3" s="761"/>
      <c r="AC3" s="761"/>
      <c r="AD3" s="761"/>
      <c r="AE3" s="761"/>
      <c r="AF3" s="408" t="s">
        <v>55</v>
      </c>
    </row>
    <row r="4" spans="1:32" ht="18.75" x14ac:dyDescent="0.2">
      <c r="A4" s="752" t="s">
        <v>311</v>
      </c>
      <c r="B4" s="752"/>
      <c r="C4" s="752"/>
      <c r="D4" s="752"/>
      <c r="E4" s="752"/>
      <c r="F4" s="761"/>
      <c r="G4" s="751"/>
      <c r="H4" s="751"/>
      <c r="I4" s="760"/>
      <c r="J4" s="760"/>
      <c r="K4" s="760"/>
      <c r="L4" s="760"/>
      <c r="M4" s="760"/>
      <c r="N4" s="760"/>
      <c r="O4" s="760"/>
      <c r="P4" s="760"/>
      <c r="Q4" s="760"/>
      <c r="R4" s="410"/>
      <c r="S4" s="410"/>
      <c r="T4" s="410"/>
      <c r="U4" s="410"/>
      <c r="V4" s="410"/>
      <c r="W4" s="410"/>
      <c r="X4" s="761"/>
      <c r="Y4" s="761"/>
      <c r="Z4" s="761"/>
      <c r="AA4" s="761"/>
      <c r="AB4" s="761"/>
      <c r="AC4" s="761"/>
      <c r="AD4" s="761"/>
      <c r="AE4" s="761"/>
      <c r="AF4" s="411" t="s">
        <v>338</v>
      </c>
    </row>
    <row r="5" spans="1:32" ht="18.75" x14ac:dyDescent="0.2">
      <c r="A5" s="752" t="s">
        <v>316</v>
      </c>
      <c r="B5" s="412"/>
      <c r="C5" s="412"/>
      <c r="D5" s="412"/>
      <c r="E5" s="761"/>
      <c r="F5" s="761"/>
      <c r="G5" s="751"/>
      <c r="H5" s="751"/>
      <c r="I5" s="761"/>
      <c r="J5" s="761"/>
      <c r="K5" s="751"/>
      <c r="L5" s="751"/>
      <c r="M5" s="761"/>
      <c r="N5" s="761"/>
      <c r="O5" s="761"/>
      <c r="P5" s="413"/>
      <c r="Q5" s="414"/>
      <c r="R5" s="761"/>
      <c r="S5" s="761"/>
      <c r="T5" s="761"/>
      <c r="U5" s="761"/>
      <c r="V5" s="761"/>
      <c r="W5" s="761"/>
      <c r="X5" s="761"/>
      <c r="Y5" s="761"/>
      <c r="Z5" s="761"/>
      <c r="AA5" s="761"/>
      <c r="AB5" s="761"/>
      <c r="AC5" s="761"/>
      <c r="AD5" s="761"/>
      <c r="AE5" s="761"/>
      <c r="AF5" s="415" t="s">
        <v>308</v>
      </c>
    </row>
    <row r="6" spans="1:32" ht="18.75" x14ac:dyDescent="0.2">
      <c r="A6" s="761"/>
      <c r="B6" s="752"/>
      <c r="C6" s="752"/>
      <c r="D6" s="752"/>
      <c r="E6" s="761"/>
      <c r="F6" s="761"/>
      <c r="G6" s="751"/>
      <c r="H6" s="751"/>
      <c r="I6" s="405"/>
      <c r="J6" s="761"/>
      <c r="K6" s="751"/>
      <c r="L6" s="751"/>
      <c r="M6" s="761"/>
      <c r="N6" s="761"/>
      <c r="O6" s="761"/>
      <c r="P6" s="413"/>
      <c r="Q6" s="414"/>
      <c r="R6" s="761"/>
      <c r="S6" s="761"/>
      <c r="T6" s="761"/>
      <c r="U6" s="761"/>
      <c r="V6" s="761"/>
      <c r="W6" s="411"/>
      <c r="X6" s="761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761"/>
      <c r="G7" s="751"/>
      <c r="H7" s="751"/>
      <c r="I7" s="405"/>
      <c r="J7" s="761"/>
      <c r="K7" s="751"/>
      <c r="L7" s="751"/>
      <c r="M7" s="761"/>
      <c r="N7" s="761"/>
      <c r="O7" s="761"/>
      <c r="P7" s="413"/>
      <c r="Q7" s="414"/>
      <c r="R7" s="761"/>
      <c r="S7" s="761"/>
      <c r="T7" s="761"/>
      <c r="U7" s="761"/>
      <c r="V7" s="761"/>
      <c r="W7" s="411"/>
      <c r="X7" s="761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316</v>
      </c>
      <c r="B8" s="1911"/>
      <c r="C8" s="1911"/>
      <c r="D8" s="1911"/>
      <c r="E8" s="1911"/>
      <c r="F8" s="761"/>
      <c r="G8" s="751"/>
      <c r="H8" s="751"/>
      <c r="I8" s="405"/>
      <c r="J8" s="761"/>
      <c r="K8" s="751"/>
      <c r="L8" s="751"/>
      <c r="M8" s="761"/>
      <c r="N8" s="761"/>
      <c r="O8" s="761"/>
      <c r="P8" s="413"/>
      <c r="Q8" s="414"/>
      <c r="R8" s="761"/>
      <c r="S8" s="761"/>
      <c r="T8" s="761"/>
      <c r="U8" s="761"/>
      <c r="V8" s="761"/>
      <c r="W8" s="411"/>
      <c r="X8" s="761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761"/>
      <c r="G9" s="751"/>
      <c r="H9" s="751"/>
      <c r="I9" s="761"/>
      <c r="J9" s="761"/>
      <c r="K9" s="751"/>
      <c r="L9" s="751"/>
      <c r="M9" s="751"/>
      <c r="N9" s="751"/>
      <c r="O9" s="751"/>
      <c r="P9" s="751"/>
      <c r="Q9" s="751"/>
      <c r="R9" s="751"/>
      <c r="S9" s="751"/>
      <c r="T9" s="751"/>
      <c r="U9" s="751"/>
      <c r="V9" s="751"/>
      <c r="W9" s="761"/>
      <c r="X9" s="761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751"/>
      <c r="C10" s="751"/>
      <c r="D10" s="751"/>
      <c r="E10" s="761"/>
      <c r="F10" s="761"/>
      <c r="G10" s="751"/>
      <c r="H10" s="751"/>
      <c r="I10" s="405"/>
      <c r="J10" s="761"/>
      <c r="K10" s="751"/>
      <c r="L10" s="751"/>
      <c r="M10" s="761"/>
      <c r="N10" s="761"/>
      <c r="O10" s="761"/>
      <c r="P10" s="413"/>
      <c r="Q10" s="414"/>
      <c r="R10" s="761"/>
      <c r="S10" s="761"/>
      <c r="T10" s="761"/>
      <c r="U10" s="761"/>
      <c r="V10" s="761"/>
      <c r="W10" s="411"/>
      <c r="X10" s="761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750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421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750" t="s">
        <v>18</v>
      </c>
      <c r="AE12" s="750" t="s">
        <v>20</v>
      </c>
      <c r="AF12" s="1891" t="s">
        <v>21</v>
      </c>
    </row>
    <row r="13" spans="1:32" ht="37.5" x14ac:dyDescent="0.2">
      <c r="A13" s="1891"/>
      <c r="B13" s="1891"/>
      <c r="C13" s="1903"/>
      <c r="D13" s="754" t="s">
        <v>3</v>
      </c>
      <c r="E13" s="754" t="s">
        <v>3</v>
      </c>
      <c r="F13" s="754" t="s">
        <v>4</v>
      </c>
      <c r="G13" s="1903"/>
      <c r="H13" s="1903"/>
      <c r="I13" s="1891"/>
      <c r="J13" s="754" t="s">
        <v>7</v>
      </c>
      <c r="K13" s="754" t="s">
        <v>30</v>
      </c>
      <c r="L13" s="754" t="s">
        <v>29</v>
      </c>
      <c r="M13" s="754" t="s">
        <v>31</v>
      </c>
      <c r="N13" s="754" t="s">
        <v>32</v>
      </c>
      <c r="O13" s="754" t="s">
        <v>12</v>
      </c>
      <c r="P13" s="448" t="s">
        <v>13</v>
      </c>
      <c r="Q13" s="437" t="s">
        <v>26</v>
      </c>
      <c r="R13" s="754" t="s">
        <v>14</v>
      </c>
      <c r="S13" s="754" t="s">
        <v>25</v>
      </c>
      <c r="T13" s="754" t="s">
        <v>113</v>
      </c>
      <c r="U13" s="1903"/>
      <c r="V13" s="1903"/>
      <c r="W13" s="1903"/>
      <c r="X13" s="1903"/>
      <c r="Y13" s="754" t="s">
        <v>14</v>
      </c>
      <c r="Z13" s="754" t="s">
        <v>25</v>
      </c>
      <c r="AA13" s="754" t="s">
        <v>113</v>
      </c>
      <c r="AB13" s="1903"/>
      <c r="AC13" s="1903"/>
      <c r="AD13" s="754" t="s">
        <v>19</v>
      </c>
      <c r="AE13" s="754" t="s">
        <v>27</v>
      </c>
      <c r="AF13" s="1891"/>
    </row>
    <row r="14" spans="1:32" ht="18.75" customHeight="1" x14ac:dyDescent="0.2">
      <c r="A14" s="759">
        <v>1</v>
      </c>
      <c r="B14" s="461" t="s">
        <v>139</v>
      </c>
      <c r="C14" s="759" t="s">
        <v>46</v>
      </c>
      <c r="D14" s="759">
        <v>610.5</v>
      </c>
      <c r="E14" s="759" t="s">
        <v>203</v>
      </c>
      <c r="F14" s="759">
        <v>177.8</v>
      </c>
      <c r="G14" s="759" t="s">
        <v>28</v>
      </c>
      <c r="H14" s="195" t="s">
        <v>363</v>
      </c>
      <c r="I14" s="754">
        <v>558.54</v>
      </c>
      <c r="J14" s="759" t="s">
        <v>375</v>
      </c>
      <c r="K14" s="759"/>
      <c r="L14" s="759">
        <v>406</v>
      </c>
      <c r="M14" s="759"/>
      <c r="N14" s="759">
        <v>0.8</v>
      </c>
      <c r="O14" s="759"/>
      <c r="P14" s="668">
        <v>15.397855203412222</v>
      </c>
      <c r="Q14" s="670">
        <f>J14*7/100</f>
        <v>7.35</v>
      </c>
      <c r="R14" s="432">
        <v>1.5509999999999999</v>
      </c>
      <c r="S14" s="432">
        <v>4.34</v>
      </c>
      <c r="T14" s="670">
        <v>0.5</v>
      </c>
      <c r="U14" s="668">
        <f t="shared" ref="U14:U77" si="0">T14/R14</f>
        <v>0.32237266279819471</v>
      </c>
      <c r="V14" s="668">
        <f>(S14-R14)/S14*100</f>
        <v>64.2626728110599</v>
      </c>
      <c r="W14" s="668">
        <v>0.3</v>
      </c>
      <c r="X14" s="432">
        <f t="shared" ref="X14:X77" si="1">S14/Q14</f>
        <v>0.59047619047619049</v>
      </c>
      <c r="Y14" s="432">
        <f>R14*0.983</f>
        <v>1.5246329999999999</v>
      </c>
      <c r="Z14" s="432">
        <f>S14*0.983</f>
        <v>4.2662199999999997</v>
      </c>
      <c r="AA14" s="670">
        <f>T14*0.983</f>
        <v>0.49149999999999999</v>
      </c>
      <c r="AB14" s="432">
        <f>U14</f>
        <v>0.32237266279819471</v>
      </c>
      <c r="AC14" s="670">
        <f t="shared" ref="AC14:AC78" si="2">V14</f>
        <v>64.2626728110599</v>
      </c>
      <c r="AD14" s="759">
        <v>31</v>
      </c>
      <c r="AE14" s="432">
        <f>Y14*AD14</f>
        <v>47.263622999999995</v>
      </c>
      <c r="AF14" s="669"/>
    </row>
    <row r="15" spans="1:32" ht="18.75" customHeight="1" x14ac:dyDescent="0.2">
      <c r="A15" s="759">
        <v>2</v>
      </c>
      <c r="B15" s="461" t="s">
        <v>140</v>
      </c>
      <c r="C15" s="759" t="s">
        <v>46</v>
      </c>
      <c r="D15" s="759">
        <v>585</v>
      </c>
      <c r="E15" s="759" t="s">
        <v>348</v>
      </c>
      <c r="F15" s="759">
        <v>177.8</v>
      </c>
      <c r="G15" s="759" t="s">
        <v>28</v>
      </c>
      <c r="H15" s="759" t="s">
        <v>50</v>
      </c>
      <c r="I15" s="754">
        <v>579.99</v>
      </c>
      <c r="J15" s="759" t="s">
        <v>254</v>
      </c>
      <c r="K15" s="759"/>
      <c r="L15" s="759">
        <v>419</v>
      </c>
      <c r="M15" s="759"/>
      <c r="N15" s="759">
        <v>0.6</v>
      </c>
      <c r="O15" s="759"/>
      <c r="P15" s="668">
        <v>15.384705638431376</v>
      </c>
      <c r="Q15" s="670">
        <f t="shared" ref="Q15:Q38" si="3">LEFT(H15,(FIND("K",H15,1)-1))*J15/100</f>
        <v>15</v>
      </c>
      <c r="R15" s="432">
        <v>1.8460000000000001</v>
      </c>
      <c r="S15" s="432">
        <v>2.4740000000000002</v>
      </c>
      <c r="T15" s="670">
        <v>0</v>
      </c>
      <c r="U15" s="668">
        <f t="shared" si="0"/>
        <v>0</v>
      </c>
      <c r="V15" s="668">
        <f>(S15-R15)/S15*100</f>
        <v>25.383993532740508</v>
      </c>
      <c r="W15" s="668">
        <v>0.3</v>
      </c>
      <c r="X15" s="432">
        <f t="shared" si="1"/>
        <v>0.16493333333333335</v>
      </c>
      <c r="Y15" s="432">
        <f t="shared" ref="Y15:AA78" si="4">R15*0.983</f>
        <v>1.8146180000000001</v>
      </c>
      <c r="Z15" s="432">
        <f t="shared" si="4"/>
        <v>2.4319420000000003</v>
      </c>
      <c r="AA15" s="670">
        <f t="shared" si="4"/>
        <v>0</v>
      </c>
      <c r="AB15" s="432">
        <f t="shared" ref="AB15:AB78" si="5">U15</f>
        <v>0</v>
      </c>
      <c r="AC15" s="670">
        <f t="shared" si="2"/>
        <v>25.383993532740508</v>
      </c>
      <c r="AD15" s="759">
        <v>31</v>
      </c>
      <c r="AE15" s="432">
        <f t="shared" ref="AE15:AE58" si="6">Y15*AD15</f>
        <v>56.253157999999999</v>
      </c>
      <c r="AF15" s="669"/>
    </row>
    <row r="16" spans="1:32" ht="18.75" customHeight="1" x14ac:dyDescent="0.2">
      <c r="A16" s="759">
        <v>3</v>
      </c>
      <c r="B16" s="461" t="s">
        <v>141</v>
      </c>
      <c r="C16" s="759" t="s">
        <v>46</v>
      </c>
      <c r="D16" s="759">
        <v>670</v>
      </c>
      <c r="E16" s="759" t="s">
        <v>68</v>
      </c>
      <c r="F16" s="759">
        <v>177.8</v>
      </c>
      <c r="G16" s="759" t="s">
        <v>28</v>
      </c>
      <c r="H16" s="759" t="s">
        <v>218</v>
      </c>
      <c r="I16" s="754">
        <v>565.94000000000005</v>
      </c>
      <c r="J16" s="759">
        <v>210</v>
      </c>
      <c r="K16" s="759"/>
      <c r="L16" s="759">
        <v>495</v>
      </c>
      <c r="M16" s="759"/>
      <c r="N16" s="668">
        <v>9.4</v>
      </c>
      <c r="O16" s="759"/>
      <c r="P16" s="668">
        <v>13.389550068920816</v>
      </c>
      <c r="Q16" s="670">
        <f>LEFT(H16,(FIND("K",H16,1)-1))*J16/100</f>
        <v>67.2</v>
      </c>
      <c r="R16" s="432">
        <v>13.842000000000001</v>
      </c>
      <c r="S16" s="432">
        <v>23.07</v>
      </c>
      <c r="T16" s="670">
        <v>1390</v>
      </c>
      <c r="U16" s="668">
        <f t="shared" si="0"/>
        <v>100.41901459326687</v>
      </c>
      <c r="V16" s="668">
        <f t="shared" ref="V16:V77" si="7">(S16-R16)/S16*100</f>
        <v>40</v>
      </c>
      <c r="W16" s="668">
        <v>0.2</v>
      </c>
      <c r="X16" s="432">
        <f t="shared" si="1"/>
        <v>0.34330357142857143</v>
      </c>
      <c r="Y16" s="432">
        <f t="shared" si="4"/>
        <v>13.606686</v>
      </c>
      <c r="Z16" s="432">
        <f t="shared" si="4"/>
        <v>22.677810000000001</v>
      </c>
      <c r="AA16" s="670">
        <f t="shared" si="4"/>
        <v>1366.37</v>
      </c>
      <c r="AB16" s="432">
        <f t="shared" si="5"/>
        <v>100.41901459326687</v>
      </c>
      <c r="AC16" s="670">
        <f t="shared" si="2"/>
        <v>40</v>
      </c>
      <c r="AD16" s="759">
        <v>31</v>
      </c>
      <c r="AE16" s="432">
        <f>Y16*AD16</f>
        <v>421.80726599999997</v>
      </c>
      <c r="AF16" s="669"/>
    </row>
    <row r="17" spans="1:32" ht="18.75" customHeight="1" x14ac:dyDescent="0.2">
      <c r="A17" s="759">
        <v>4</v>
      </c>
      <c r="B17" s="461" t="s">
        <v>142</v>
      </c>
      <c r="C17" s="759" t="s">
        <v>46</v>
      </c>
      <c r="D17" s="759">
        <v>628</v>
      </c>
      <c r="E17" s="759" t="s">
        <v>297</v>
      </c>
      <c r="F17" s="759">
        <v>177.8</v>
      </c>
      <c r="G17" s="759" t="s">
        <v>28</v>
      </c>
      <c r="H17" s="165" t="s">
        <v>376</v>
      </c>
      <c r="I17" s="754">
        <v>540.74000000000024</v>
      </c>
      <c r="J17" s="759">
        <v>330</v>
      </c>
      <c r="K17" s="759"/>
      <c r="L17" s="759">
        <v>427</v>
      </c>
      <c r="M17" s="759"/>
      <c r="N17" s="668">
        <v>9</v>
      </c>
      <c r="O17" s="759"/>
      <c r="P17" s="668">
        <v>21.654384672203353</v>
      </c>
      <c r="Q17" s="670">
        <f>14*J17/100</f>
        <v>46.2</v>
      </c>
      <c r="R17" s="432">
        <v>4.2539999999999996</v>
      </c>
      <c r="S17" s="432">
        <v>6.2969999999999997</v>
      </c>
      <c r="T17" s="670">
        <v>28</v>
      </c>
      <c r="U17" s="668">
        <f t="shared" si="0"/>
        <v>6.582040432534086</v>
      </c>
      <c r="V17" s="668">
        <f t="shared" si="7"/>
        <v>32.444020962363034</v>
      </c>
      <c r="W17" s="668">
        <v>0.2</v>
      </c>
      <c r="X17" s="432">
        <f t="shared" si="1"/>
        <v>0.13629870129870128</v>
      </c>
      <c r="Y17" s="432">
        <f t="shared" si="4"/>
        <v>4.1816819999999995</v>
      </c>
      <c r="Z17" s="432">
        <f t="shared" si="4"/>
        <v>6.1899509999999998</v>
      </c>
      <c r="AA17" s="670">
        <f t="shared" si="4"/>
        <v>27.524000000000001</v>
      </c>
      <c r="AB17" s="432">
        <f t="shared" si="5"/>
        <v>6.582040432534086</v>
      </c>
      <c r="AC17" s="670">
        <f t="shared" si="2"/>
        <v>32.444020962363034</v>
      </c>
      <c r="AD17" s="759">
        <v>31</v>
      </c>
      <c r="AE17" s="432">
        <f t="shared" si="6"/>
        <v>129.63214199999999</v>
      </c>
      <c r="AF17" s="669"/>
    </row>
    <row r="18" spans="1:32" ht="18.75" customHeight="1" x14ac:dyDescent="0.2">
      <c r="A18" s="759">
        <v>5</v>
      </c>
      <c r="B18" s="461" t="s">
        <v>143</v>
      </c>
      <c r="C18" s="759" t="s">
        <v>46</v>
      </c>
      <c r="D18" s="759">
        <v>576.6</v>
      </c>
      <c r="E18" s="759" t="s">
        <v>70</v>
      </c>
      <c r="F18" s="759">
        <v>177.8</v>
      </c>
      <c r="G18" s="759" t="s">
        <v>28</v>
      </c>
      <c r="H18" s="550" t="s">
        <v>53</v>
      </c>
      <c r="I18" s="754">
        <v>546</v>
      </c>
      <c r="J18" s="759">
        <v>120</v>
      </c>
      <c r="K18" s="759"/>
      <c r="L18" s="759">
        <v>443</v>
      </c>
      <c r="M18" s="759"/>
      <c r="N18" s="759">
        <v>6.9</v>
      </c>
      <c r="O18" s="759"/>
      <c r="P18" s="668">
        <v>17.726003984403338</v>
      </c>
      <c r="Q18" s="670">
        <f t="shared" si="3"/>
        <v>15.6</v>
      </c>
      <c r="R18" s="432">
        <v>4.82</v>
      </c>
      <c r="S18" s="432">
        <v>5.5830000000000002</v>
      </c>
      <c r="T18" s="670">
        <v>85</v>
      </c>
      <c r="U18" s="668">
        <f t="shared" si="0"/>
        <v>17.63485477178423</v>
      </c>
      <c r="V18" s="668">
        <f t="shared" si="7"/>
        <v>13.66648755149561</v>
      </c>
      <c r="W18" s="668">
        <v>0.3</v>
      </c>
      <c r="X18" s="432">
        <f>S18/Q18</f>
        <v>0.35788461538461541</v>
      </c>
      <c r="Y18" s="432">
        <f t="shared" si="4"/>
        <v>4.7380599999999999</v>
      </c>
      <c r="Z18" s="432">
        <f t="shared" si="4"/>
        <v>5.4880890000000004</v>
      </c>
      <c r="AA18" s="670">
        <f t="shared" si="4"/>
        <v>83.554999999999993</v>
      </c>
      <c r="AB18" s="432">
        <f t="shared" si="5"/>
        <v>17.63485477178423</v>
      </c>
      <c r="AC18" s="670">
        <f t="shared" si="2"/>
        <v>13.66648755149561</v>
      </c>
      <c r="AD18" s="759">
        <v>31</v>
      </c>
      <c r="AE18" s="432">
        <f t="shared" si="6"/>
        <v>146.87986000000001</v>
      </c>
      <c r="AF18" s="669"/>
    </row>
    <row r="19" spans="1:32" ht="18.75" customHeight="1" x14ac:dyDescent="0.2">
      <c r="A19" s="759">
        <v>6</v>
      </c>
      <c r="B19" s="461" t="s">
        <v>144</v>
      </c>
      <c r="C19" s="759" t="s">
        <v>46</v>
      </c>
      <c r="D19" s="759">
        <v>676.6</v>
      </c>
      <c r="E19" s="759" t="s">
        <v>71</v>
      </c>
      <c r="F19" s="759">
        <v>177.8</v>
      </c>
      <c r="G19" s="759" t="s">
        <v>28</v>
      </c>
      <c r="H19" s="759" t="s">
        <v>50</v>
      </c>
      <c r="I19" s="754">
        <v>584.32000000000005</v>
      </c>
      <c r="J19" s="759">
        <v>358</v>
      </c>
      <c r="K19" s="759"/>
      <c r="L19" s="759">
        <v>419</v>
      </c>
      <c r="M19" s="759"/>
      <c r="N19" s="759">
        <v>0.5</v>
      </c>
      <c r="O19" s="759"/>
      <c r="P19" s="668">
        <v>15.321293420888885</v>
      </c>
      <c r="Q19" s="670">
        <f t="shared" si="3"/>
        <v>21.48</v>
      </c>
      <c r="R19" s="432">
        <v>2.851</v>
      </c>
      <c r="S19" s="432">
        <v>3.782</v>
      </c>
      <c r="T19" s="670">
        <v>4</v>
      </c>
      <c r="U19" s="668">
        <f t="shared" si="0"/>
        <v>1.4030164854437039</v>
      </c>
      <c r="V19" s="668">
        <f t="shared" si="7"/>
        <v>24.61660497091486</v>
      </c>
      <c r="W19" s="668">
        <v>0.2</v>
      </c>
      <c r="X19" s="432">
        <f>S19/Q19</f>
        <v>0.17607076350093109</v>
      </c>
      <c r="Y19" s="432">
        <f t="shared" si="4"/>
        <v>2.8025329999999999</v>
      </c>
      <c r="Z19" s="432">
        <f t="shared" si="4"/>
        <v>3.7177060000000002</v>
      </c>
      <c r="AA19" s="670">
        <f t="shared" si="4"/>
        <v>3.9319999999999999</v>
      </c>
      <c r="AB19" s="432">
        <v>14.613</v>
      </c>
      <c r="AC19" s="670">
        <f t="shared" si="2"/>
        <v>24.61660497091486</v>
      </c>
      <c r="AD19" s="759">
        <v>31</v>
      </c>
      <c r="AE19" s="432">
        <f t="shared" si="6"/>
        <v>86.878523000000001</v>
      </c>
      <c r="AF19" s="669"/>
    </row>
    <row r="20" spans="1:32" ht="18.75" customHeight="1" x14ac:dyDescent="0.2">
      <c r="A20" s="759">
        <v>7</v>
      </c>
      <c r="B20" s="461" t="s">
        <v>145</v>
      </c>
      <c r="C20" s="759" t="s">
        <v>46</v>
      </c>
      <c r="D20" s="759" t="s">
        <v>47</v>
      </c>
      <c r="E20" s="759" t="s">
        <v>72</v>
      </c>
      <c r="F20" s="759">
        <v>177.8</v>
      </c>
      <c r="G20" s="759" t="s">
        <v>28</v>
      </c>
      <c r="H20" s="759" t="s">
        <v>52</v>
      </c>
      <c r="I20" s="754">
        <v>560</v>
      </c>
      <c r="J20" s="759">
        <v>190</v>
      </c>
      <c r="K20" s="759"/>
      <c r="L20" s="759">
        <v>449</v>
      </c>
      <c r="M20" s="759"/>
      <c r="N20" s="759">
        <v>8</v>
      </c>
      <c r="O20" s="759"/>
      <c r="P20" s="668">
        <v>19.159339738123336</v>
      </c>
      <c r="Q20" s="670">
        <f t="shared" si="3"/>
        <v>41.8</v>
      </c>
      <c r="R20" s="432">
        <v>8.2409999999999997</v>
      </c>
      <c r="S20" s="432">
        <v>12.686</v>
      </c>
      <c r="T20" s="670">
        <v>214</v>
      </c>
      <c r="U20" s="668">
        <f t="shared" si="0"/>
        <v>25.967722363790802</v>
      </c>
      <c r="V20" s="668">
        <f t="shared" si="7"/>
        <v>35.038625256187927</v>
      </c>
      <c r="W20" s="668">
        <v>0.2</v>
      </c>
      <c r="X20" s="432">
        <f t="shared" si="1"/>
        <v>0.3034928229665072</v>
      </c>
      <c r="Y20" s="432">
        <f t="shared" si="4"/>
        <v>8.1009029999999989</v>
      </c>
      <c r="Z20" s="432">
        <f t="shared" si="4"/>
        <v>12.470338</v>
      </c>
      <c r="AA20" s="670">
        <f t="shared" si="4"/>
        <v>210.36199999999999</v>
      </c>
      <c r="AB20" s="432">
        <f t="shared" si="5"/>
        <v>25.967722363790802</v>
      </c>
      <c r="AC20" s="670">
        <f t="shared" si="2"/>
        <v>35.038625256187927</v>
      </c>
      <c r="AD20" s="759">
        <v>31</v>
      </c>
      <c r="AE20" s="432">
        <f t="shared" si="6"/>
        <v>251.12799299999998</v>
      </c>
      <c r="AF20" s="669"/>
    </row>
    <row r="21" spans="1:32" ht="18.75" customHeight="1" x14ac:dyDescent="0.2">
      <c r="A21" s="759">
        <v>8</v>
      </c>
      <c r="B21" s="461" t="s">
        <v>146</v>
      </c>
      <c r="C21" s="759" t="s">
        <v>46</v>
      </c>
      <c r="D21" s="759">
        <v>764</v>
      </c>
      <c r="E21" s="436" t="s">
        <v>73</v>
      </c>
      <c r="F21" s="759">
        <v>177.8</v>
      </c>
      <c r="G21" s="759" t="s">
        <v>28</v>
      </c>
      <c r="H21" s="759" t="s">
        <v>52</v>
      </c>
      <c r="I21" s="437">
        <v>550</v>
      </c>
      <c r="J21" s="759">
        <v>115</v>
      </c>
      <c r="K21" s="758"/>
      <c r="L21" s="759">
        <v>266</v>
      </c>
      <c r="M21" s="758"/>
      <c r="N21" s="759">
        <v>8</v>
      </c>
      <c r="O21" s="758"/>
      <c r="P21" s="668">
        <v>37.555897452381423</v>
      </c>
      <c r="Q21" s="670">
        <f t="shared" si="3"/>
        <v>25.3</v>
      </c>
      <c r="R21" s="432">
        <v>3.5880000000000001</v>
      </c>
      <c r="S21" s="432">
        <v>19.420999999999999</v>
      </c>
      <c r="T21" s="670">
        <v>52</v>
      </c>
      <c r="U21" s="668">
        <f t="shared" si="0"/>
        <v>14.492753623188406</v>
      </c>
      <c r="V21" s="668">
        <f t="shared" si="7"/>
        <v>81.525153184696975</v>
      </c>
      <c r="W21" s="668">
        <v>0.3</v>
      </c>
      <c r="X21" s="432">
        <f t="shared" si="1"/>
        <v>0.76762845849802364</v>
      </c>
      <c r="Y21" s="432">
        <f t="shared" si="4"/>
        <v>3.5270039999999998</v>
      </c>
      <c r="Z21" s="432">
        <f t="shared" si="4"/>
        <v>19.090843</v>
      </c>
      <c r="AA21" s="670">
        <f t="shared" si="4"/>
        <v>51.116</v>
      </c>
      <c r="AB21" s="432">
        <f t="shared" si="5"/>
        <v>14.492753623188406</v>
      </c>
      <c r="AC21" s="670">
        <f t="shared" si="2"/>
        <v>81.525153184696975</v>
      </c>
      <c r="AD21" s="759">
        <v>31</v>
      </c>
      <c r="AE21" s="432">
        <f t="shared" si="6"/>
        <v>109.33712399999999</v>
      </c>
      <c r="AF21" s="669"/>
    </row>
    <row r="22" spans="1:32" ht="18.75" customHeight="1" x14ac:dyDescent="0.2">
      <c r="A22" s="759">
        <v>9</v>
      </c>
      <c r="B22" s="461" t="s">
        <v>147</v>
      </c>
      <c r="C22" s="759" t="s">
        <v>46</v>
      </c>
      <c r="D22" s="759">
        <v>650.1</v>
      </c>
      <c r="E22" s="759" t="s">
        <v>74</v>
      </c>
      <c r="F22" s="759">
        <v>177.8</v>
      </c>
      <c r="G22" s="759" t="s">
        <v>28</v>
      </c>
      <c r="H22" s="759" t="s">
        <v>52</v>
      </c>
      <c r="I22" s="754">
        <v>591.98</v>
      </c>
      <c r="J22" s="759">
        <v>150</v>
      </c>
      <c r="K22" s="759"/>
      <c r="L22" s="759">
        <v>465</v>
      </c>
      <c r="M22" s="759"/>
      <c r="N22" s="759">
        <v>4.8</v>
      </c>
      <c r="O22" s="759"/>
      <c r="P22" s="668">
        <v>14.54450911851186</v>
      </c>
      <c r="Q22" s="670">
        <f t="shared" si="3"/>
        <v>33</v>
      </c>
      <c r="R22" s="432">
        <v>5.399</v>
      </c>
      <c r="S22" s="432">
        <v>9.8840000000000003</v>
      </c>
      <c r="T22" s="670">
        <v>22</v>
      </c>
      <c r="U22" s="668">
        <f t="shared" si="0"/>
        <v>4.0748286719762916</v>
      </c>
      <c r="V22" s="668">
        <f t="shared" si="7"/>
        <v>45.376365843787944</v>
      </c>
      <c r="W22" s="668">
        <v>0.2</v>
      </c>
      <c r="X22" s="432">
        <v>0.2</v>
      </c>
      <c r="Y22" s="432">
        <f t="shared" si="4"/>
        <v>5.3072169999999996</v>
      </c>
      <c r="Z22" s="432">
        <f t="shared" si="4"/>
        <v>9.7159720000000007</v>
      </c>
      <c r="AA22" s="670">
        <f t="shared" si="4"/>
        <v>21.626000000000001</v>
      </c>
      <c r="AB22" s="432">
        <f t="shared" si="5"/>
        <v>4.0748286719762916</v>
      </c>
      <c r="AC22" s="670">
        <f t="shared" si="2"/>
        <v>45.376365843787944</v>
      </c>
      <c r="AD22" s="759">
        <v>31</v>
      </c>
      <c r="AE22" s="432">
        <f t="shared" si="6"/>
        <v>164.52372699999998</v>
      </c>
      <c r="AF22" s="669"/>
    </row>
    <row r="23" spans="1:32" ht="18.75" customHeight="1" x14ac:dyDescent="0.2">
      <c r="A23" s="759">
        <v>10</v>
      </c>
      <c r="B23" s="461" t="s">
        <v>148</v>
      </c>
      <c r="C23" s="759" t="s">
        <v>46</v>
      </c>
      <c r="D23" s="759">
        <v>580.5</v>
      </c>
      <c r="E23" s="759" t="s">
        <v>398</v>
      </c>
      <c r="F23" s="759">
        <v>177.8</v>
      </c>
      <c r="G23" s="759" t="s">
        <v>28</v>
      </c>
      <c r="H23" s="165" t="s">
        <v>399</v>
      </c>
      <c r="I23" s="754">
        <v>572.4</v>
      </c>
      <c r="J23" s="759">
        <v>85</v>
      </c>
      <c r="K23" s="759"/>
      <c r="L23" s="759">
        <v>353</v>
      </c>
      <c r="M23" s="759"/>
      <c r="N23" s="759">
        <v>6.4</v>
      </c>
      <c r="O23" s="759"/>
      <c r="P23" s="668">
        <v>28.106341691691021</v>
      </c>
      <c r="Q23" s="670">
        <f>J23*13/100</f>
        <v>11.05</v>
      </c>
      <c r="R23" s="432">
        <v>0.35599999999999998</v>
      </c>
      <c r="S23" s="432">
        <v>8.3450000000000006</v>
      </c>
      <c r="T23" s="670">
        <v>0</v>
      </c>
      <c r="U23" s="668">
        <f t="shared" si="0"/>
        <v>0</v>
      </c>
      <c r="V23" s="668">
        <f t="shared" si="7"/>
        <v>95.73397243858598</v>
      </c>
      <c r="W23" s="668">
        <v>0.5</v>
      </c>
      <c r="X23" s="432">
        <v>0.2</v>
      </c>
      <c r="Y23" s="432">
        <f t="shared" si="4"/>
        <v>0.34994799999999998</v>
      </c>
      <c r="Z23" s="432">
        <f t="shared" si="4"/>
        <v>8.2031349999999996</v>
      </c>
      <c r="AA23" s="670">
        <f t="shared" si="4"/>
        <v>0</v>
      </c>
      <c r="AB23" s="432">
        <f t="shared" si="5"/>
        <v>0</v>
      </c>
      <c r="AC23" s="670">
        <f t="shared" si="2"/>
        <v>95.73397243858598</v>
      </c>
      <c r="AD23" s="759">
        <v>31</v>
      </c>
      <c r="AE23" s="432">
        <f t="shared" si="6"/>
        <v>10.848388</v>
      </c>
      <c r="AF23" s="669"/>
    </row>
    <row r="24" spans="1:32" ht="18.75" customHeight="1" x14ac:dyDescent="0.2">
      <c r="A24" s="759">
        <v>11</v>
      </c>
      <c r="B24" s="461" t="s">
        <v>149</v>
      </c>
      <c r="C24" s="759" t="s">
        <v>46</v>
      </c>
      <c r="D24" s="759">
        <v>606.29999999999995</v>
      </c>
      <c r="E24" s="759" t="s">
        <v>76</v>
      </c>
      <c r="F24" s="759">
        <v>177.8</v>
      </c>
      <c r="G24" s="759" t="s">
        <v>28</v>
      </c>
      <c r="H24" s="759" t="s">
        <v>52</v>
      </c>
      <c r="I24" s="754">
        <v>585.29999999999995</v>
      </c>
      <c r="J24" s="759">
        <v>360</v>
      </c>
      <c r="K24" s="759"/>
      <c r="L24" s="759">
        <v>353</v>
      </c>
      <c r="M24" s="759"/>
      <c r="N24" s="759">
        <v>6.8</v>
      </c>
      <c r="O24" s="759"/>
      <c r="P24" s="668">
        <v>26.174979400218138</v>
      </c>
      <c r="Q24" s="670">
        <f t="shared" si="3"/>
        <v>79.2</v>
      </c>
      <c r="R24" s="432">
        <v>1.179</v>
      </c>
      <c r="S24" s="432">
        <v>2.617</v>
      </c>
      <c r="T24" s="670">
        <v>1.5</v>
      </c>
      <c r="U24" s="668">
        <f t="shared" si="0"/>
        <v>1.272264631043257</v>
      </c>
      <c r="V24" s="668">
        <f t="shared" si="7"/>
        <v>54.948414214749711</v>
      </c>
      <c r="W24" s="668">
        <v>0.2</v>
      </c>
      <c r="X24" s="432">
        <f t="shared" si="1"/>
        <v>3.3042929292929291E-2</v>
      </c>
      <c r="Y24" s="432">
        <f t="shared" si="4"/>
        <v>1.158957</v>
      </c>
      <c r="Z24" s="432">
        <f t="shared" si="4"/>
        <v>2.572511</v>
      </c>
      <c r="AA24" s="670">
        <f t="shared" si="4"/>
        <v>1.4744999999999999</v>
      </c>
      <c r="AB24" s="432">
        <f t="shared" si="5"/>
        <v>1.272264631043257</v>
      </c>
      <c r="AC24" s="670">
        <f t="shared" si="2"/>
        <v>54.948414214749711</v>
      </c>
      <c r="AD24" s="759">
        <v>31</v>
      </c>
      <c r="AE24" s="432">
        <f t="shared" si="6"/>
        <v>35.927667</v>
      </c>
      <c r="AF24" s="449"/>
    </row>
    <row r="25" spans="1:32" ht="18.75" customHeight="1" x14ac:dyDescent="0.2">
      <c r="A25" s="759">
        <v>12</v>
      </c>
      <c r="B25" s="461" t="s">
        <v>150</v>
      </c>
      <c r="C25" s="759" t="s">
        <v>46</v>
      </c>
      <c r="D25" s="759">
        <v>661</v>
      </c>
      <c r="E25" s="754" t="s">
        <v>77</v>
      </c>
      <c r="F25" s="759">
        <v>177.8</v>
      </c>
      <c r="G25" s="759" t="s">
        <v>28</v>
      </c>
      <c r="H25" s="759" t="s">
        <v>53</v>
      </c>
      <c r="I25" s="754">
        <v>554.91</v>
      </c>
      <c r="J25" s="759">
        <v>150</v>
      </c>
      <c r="K25" s="759"/>
      <c r="L25" s="759">
        <v>378</v>
      </c>
      <c r="M25" s="759"/>
      <c r="N25" s="759">
        <v>0.4</v>
      </c>
      <c r="O25" s="759"/>
      <c r="P25" s="668">
        <v>19.473528686783091</v>
      </c>
      <c r="Q25" s="670">
        <f t="shared" si="3"/>
        <v>19.5</v>
      </c>
      <c r="R25" s="432">
        <v>0.68799999999999994</v>
      </c>
      <c r="S25" s="432">
        <v>1.6910000000000001</v>
      </c>
      <c r="T25" s="670">
        <v>4.8</v>
      </c>
      <c r="U25" s="668">
        <f t="shared" si="0"/>
        <v>6.9767441860465116</v>
      </c>
      <c r="V25" s="668">
        <f t="shared" si="7"/>
        <v>59.31401537551745</v>
      </c>
      <c r="W25" s="668">
        <v>0.2</v>
      </c>
      <c r="X25" s="432">
        <f t="shared" si="1"/>
        <v>8.6717948717948717E-2</v>
      </c>
      <c r="Y25" s="432">
        <f t="shared" si="4"/>
        <v>0.67630399999999991</v>
      </c>
      <c r="Z25" s="432">
        <f t="shared" si="4"/>
        <v>1.662253</v>
      </c>
      <c r="AA25" s="670">
        <f t="shared" si="4"/>
        <v>4.7183999999999999</v>
      </c>
      <c r="AB25" s="432">
        <f t="shared" si="5"/>
        <v>6.9767441860465116</v>
      </c>
      <c r="AC25" s="670">
        <f t="shared" si="2"/>
        <v>59.31401537551745</v>
      </c>
      <c r="AD25" s="759">
        <v>31</v>
      </c>
      <c r="AE25" s="432">
        <f t="shared" si="6"/>
        <v>20.965423999999999</v>
      </c>
      <c r="AF25" s="669"/>
    </row>
    <row r="26" spans="1:32" ht="18.75" customHeight="1" x14ac:dyDescent="0.2">
      <c r="A26" s="759">
        <v>13</v>
      </c>
      <c r="B26" s="461" t="s">
        <v>151</v>
      </c>
      <c r="C26" s="759" t="s">
        <v>46</v>
      </c>
      <c r="D26" s="759">
        <v>675.4</v>
      </c>
      <c r="E26" s="754" t="s">
        <v>298</v>
      </c>
      <c r="F26" s="759">
        <v>177.8</v>
      </c>
      <c r="G26" s="759" t="s">
        <v>28</v>
      </c>
      <c r="H26" s="759" t="s">
        <v>52</v>
      </c>
      <c r="I26" s="754">
        <v>553.5</v>
      </c>
      <c r="J26" s="759">
        <v>280</v>
      </c>
      <c r="K26" s="759"/>
      <c r="L26" s="759">
        <v>349</v>
      </c>
      <c r="M26" s="759"/>
      <c r="N26" s="759">
        <v>8.5</v>
      </c>
      <c r="O26" s="759"/>
      <c r="P26" s="668">
        <v>29.224539028938352</v>
      </c>
      <c r="Q26" s="432">
        <f t="shared" si="3"/>
        <v>61.6</v>
      </c>
      <c r="R26" s="432">
        <v>10.878</v>
      </c>
      <c r="S26" s="432">
        <v>20.209</v>
      </c>
      <c r="T26" s="670">
        <v>168</v>
      </c>
      <c r="U26" s="668">
        <f t="shared" si="0"/>
        <v>15.444015444015443</v>
      </c>
      <c r="V26" s="668">
        <f t="shared" si="7"/>
        <v>46.172497402147556</v>
      </c>
      <c r="W26" s="668">
        <v>0.2</v>
      </c>
      <c r="X26" s="432">
        <f t="shared" si="1"/>
        <v>0.32806818181818181</v>
      </c>
      <c r="Y26" s="432">
        <f t="shared" si="4"/>
        <v>10.693073999999999</v>
      </c>
      <c r="Z26" s="432">
        <f t="shared" si="4"/>
        <v>19.865447</v>
      </c>
      <c r="AA26" s="670">
        <f t="shared" si="4"/>
        <v>165.14400000000001</v>
      </c>
      <c r="AB26" s="432">
        <f t="shared" si="5"/>
        <v>15.444015444015443</v>
      </c>
      <c r="AC26" s="670">
        <f t="shared" si="2"/>
        <v>46.172497402147556</v>
      </c>
      <c r="AD26" s="759">
        <v>31</v>
      </c>
      <c r="AE26" s="432">
        <f t="shared" si="6"/>
        <v>331.48529399999995</v>
      </c>
      <c r="AF26" s="669"/>
    </row>
    <row r="27" spans="1:32" ht="18.75" customHeight="1" x14ac:dyDescent="0.2">
      <c r="A27" s="759">
        <v>14</v>
      </c>
      <c r="B27" s="461" t="s">
        <v>36</v>
      </c>
      <c r="C27" s="759" t="s">
        <v>46</v>
      </c>
      <c r="D27" s="759">
        <v>584.5</v>
      </c>
      <c r="E27" s="754" t="s">
        <v>79</v>
      </c>
      <c r="F27" s="759">
        <v>177.8</v>
      </c>
      <c r="G27" s="759" t="s">
        <v>28</v>
      </c>
      <c r="H27" s="759" t="s">
        <v>49</v>
      </c>
      <c r="I27" s="754">
        <v>525.03</v>
      </c>
      <c r="J27" s="759">
        <v>120</v>
      </c>
      <c r="K27" s="759"/>
      <c r="L27" s="759">
        <v>342</v>
      </c>
      <c r="M27" s="759"/>
      <c r="N27" s="759">
        <v>7.3</v>
      </c>
      <c r="O27" s="759"/>
      <c r="P27" s="668">
        <v>25.40045492171058</v>
      </c>
      <c r="Q27" s="670">
        <f t="shared" si="3"/>
        <v>38.4</v>
      </c>
      <c r="R27" s="432">
        <v>19.734000000000002</v>
      </c>
      <c r="S27" s="432">
        <v>25.939</v>
      </c>
      <c r="T27" s="670">
        <v>163</v>
      </c>
      <c r="U27" s="668">
        <f t="shared" si="0"/>
        <v>8.2598560859430421</v>
      </c>
      <c r="V27" s="668">
        <f t="shared" si="7"/>
        <v>23.921508153745318</v>
      </c>
      <c r="W27" s="668">
        <v>0.2</v>
      </c>
      <c r="X27" s="432">
        <f t="shared" si="1"/>
        <v>0.67549479166666671</v>
      </c>
      <c r="Y27" s="432">
        <f t="shared" si="4"/>
        <v>19.398522</v>
      </c>
      <c r="Z27" s="432">
        <f t="shared" si="4"/>
        <v>25.498037</v>
      </c>
      <c r="AA27" s="670">
        <f t="shared" si="4"/>
        <v>160.22899999999998</v>
      </c>
      <c r="AB27" s="432">
        <f t="shared" si="5"/>
        <v>8.2598560859430421</v>
      </c>
      <c r="AC27" s="670">
        <f t="shared" si="2"/>
        <v>23.921508153745318</v>
      </c>
      <c r="AD27" s="759">
        <v>31</v>
      </c>
      <c r="AE27" s="432">
        <f t="shared" si="6"/>
        <v>601.35418200000004</v>
      </c>
      <c r="AF27" s="669"/>
    </row>
    <row r="28" spans="1:32" ht="18.75" customHeight="1" x14ac:dyDescent="0.2">
      <c r="A28" s="759">
        <v>15</v>
      </c>
      <c r="B28" s="461" t="s">
        <v>152</v>
      </c>
      <c r="C28" s="759" t="s">
        <v>46</v>
      </c>
      <c r="D28" s="759">
        <v>565</v>
      </c>
      <c r="E28" s="754" t="s">
        <v>80</v>
      </c>
      <c r="F28" s="759">
        <v>177.8</v>
      </c>
      <c r="G28" s="759" t="s">
        <v>28</v>
      </c>
      <c r="H28" s="165" t="s">
        <v>399</v>
      </c>
      <c r="I28" s="437">
        <v>520.03</v>
      </c>
      <c r="J28" s="759">
        <v>155</v>
      </c>
      <c r="K28" s="759"/>
      <c r="L28" s="759">
        <v>391</v>
      </c>
      <c r="M28" s="759"/>
      <c r="N28" s="759">
        <v>8.9</v>
      </c>
      <c r="O28" s="759"/>
      <c r="P28" s="668">
        <v>22.15547546180953</v>
      </c>
      <c r="Q28" s="670">
        <f>J28*13/100</f>
        <v>20.149999999999999</v>
      </c>
      <c r="R28" s="432">
        <v>11.959</v>
      </c>
      <c r="S28" s="432">
        <v>16.419</v>
      </c>
      <c r="T28" s="670">
        <v>697</v>
      </c>
      <c r="U28" s="668">
        <f t="shared" si="0"/>
        <v>58.28246508905427</v>
      </c>
      <c r="V28" s="668">
        <f t="shared" si="7"/>
        <v>27.163651866739759</v>
      </c>
      <c r="W28" s="668">
        <v>0.2</v>
      </c>
      <c r="X28" s="432">
        <f t="shared" si="1"/>
        <v>0.81483870967741945</v>
      </c>
      <c r="Y28" s="432">
        <f t="shared" si="4"/>
        <v>11.755697</v>
      </c>
      <c r="Z28" s="432">
        <f t="shared" si="4"/>
        <v>16.139876999999998</v>
      </c>
      <c r="AA28" s="670">
        <f t="shared" si="4"/>
        <v>685.15099999999995</v>
      </c>
      <c r="AB28" s="432">
        <f t="shared" si="5"/>
        <v>58.28246508905427</v>
      </c>
      <c r="AC28" s="670">
        <f t="shared" si="2"/>
        <v>27.163651866739759</v>
      </c>
      <c r="AD28" s="759">
        <v>31</v>
      </c>
      <c r="AE28" s="432">
        <f t="shared" si="6"/>
        <v>364.42660699999999</v>
      </c>
      <c r="AF28" s="669"/>
    </row>
    <row r="29" spans="1:32" ht="18.75" customHeight="1" x14ac:dyDescent="0.2">
      <c r="A29" s="759">
        <v>16</v>
      </c>
      <c r="B29" s="461" t="s">
        <v>37</v>
      </c>
      <c r="C29" s="759" t="s">
        <v>46</v>
      </c>
      <c r="D29" s="759">
        <v>670</v>
      </c>
      <c r="E29" s="759" t="s">
        <v>81</v>
      </c>
      <c r="F29" s="759">
        <v>177.8</v>
      </c>
      <c r="G29" s="759" t="s">
        <v>28</v>
      </c>
      <c r="H29" s="759" t="s">
        <v>48</v>
      </c>
      <c r="I29" s="754">
        <v>570.95000000000005</v>
      </c>
      <c r="J29" s="759">
        <v>85</v>
      </c>
      <c r="K29" s="759"/>
      <c r="L29" s="759">
        <v>449</v>
      </c>
      <c r="M29" s="759"/>
      <c r="N29" s="759">
        <v>7.3</v>
      </c>
      <c r="O29" s="759"/>
      <c r="P29" s="668">
        <v>19.853053358261327</v>
      </c>
      <c r="Q29" s="670">
        <f t="shared" si="3"/>
        <v>11.05</v>
      </c>
      <c r="R29" s="432">
        <v>2.7709999999999999</v>
      </c>
      <c r="S29" s="432">
        <v>5.1689999999999996</v>
      </c>
      <c r="T29" s="670">
        <v>10</v>
      </c>
      <c r="U29" s="668">
        <f t="shared" si="0"/>
        <v>3.6088054853843379</v>
      </c>
      <c r="V29" s="668">
        <f t="shared" si="7"/>
        <v>46.391952021667635</v>
      </c>
      <c r="W29" s="668">
        <v>0.3</v>
      </c>
      <c r="X29" s="432">
        <f t="shared" si="1"/>
        <v>0.46778280542986417</v>
      </c>
      <c r="Y29" s="432">
        <f t="shared" si="4"/>
        <v>2.7238929999999999</v>
      </c>
      <c r="Z29" s="432">
        <f t="shared" si="4"/>
        <v>5.0811269999999995</v>
      </c>
      <c r="AA29" s="670">
        <f t="shared" si="4"/>
        <v>9.83</v>
      </c>
      <c r="AB29" s="432">
        <f t="shared" si="5"/>
        <v>3.6088054853843379</v>
      </c>
      <c r="AC29" s="670">
        <f t="shared" si="2"/>
        <v>46.391952021667635</v>
      </c>
      <c r="AD29" s="759">
        <v>31</v>
      </c>
      <c r="AE29" s="432">
        <f>Y29*AD29</f>
        <v>84.440682999999993</v>
      </c>
      <c r="AF29" s="449"/>
    </row>
    <row r="30" spans="1:32" ht="18.75" customHeight="1" x14ac:dyDescent="0.2">
      <c r="A30" s="759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265</v>
      </c>
      <c r="K30" s="461"/>
      <c r="L30" s="461">
        <v>498</v>
      </c>
      <c r="M30" s="461"/>
      <c r="N30" s="461">
        <v>10.8</v>
      </c>
      <c r="O30" s="461"/>
      <c r="P30" s="671">
        <v>16.478949330492455</v>
      </c>
      <c r="Q30" s="432">
        <f>J30*33/100</f>
        <v>87.45</v>
      </c>
      <c r="R30" s="672">
        <v>12.942</v>
      </c>
      <c r="S30" s="432">
        <v>15.167999999999999</v>
      </c>
      <c r="T30" s="699">
        <v>377</v>
      </c>
      <c r="U30" s="671">
        <f t="shared" si="0"/>
        <v>29.129964456807294</v>
      </c>
      <c r="V30" s="668">
        <f t="shared" si="7"/>
        <v>14.6756329113924</v>
      </c>
      <c r="W30" s="671">
        <v>0.2</v>
      </c>
      <c r="X30" s="672">
        <f t="shared" si="1"/>
        <v>0.1734476843910806</v>
      </c>
      <c r="Y30" s="432">
        <f t="shared" si="4"/>
        <v>12.721985999999999</v>
      </c>
      <c r="Z30" s="432">
        <f t="shared" si="4"/>
        <v>14.910143999999999</v>
      </c>
      <c r="AA30" s="670">
        <f t="shared" si="4"/>
        <v>370.59100000000001</v>
      </c>
      <c r="AB30" s="672">
        <f t="shared" si="5"/>
        <v>29.129964456807294</v>
      </c>
      <c r="AC30" s="699">
        <f t="shared" si="2"/>
        <v>14.6756329113924</v>
      </c>
      <c r="AD30" s="759">
        <v>31</v>
      </c>
      <c r="AE30" s="672">
        <f>Y30*AD30</f>
        <v>394.38156599999996</v>
      </c>
      <c r="AF30" s="461"/>
    </row>
    <row r="31" spans="1:32" ht="18.75" customHeight="1" x14ac:dyDescent="0.2">
      <c r="A31" s="759">
        <v>18</v>
      </c>
      <c r="B31" s="461" t="s">
        <v>154</v>
      </c>
      <c r="C31" s="759" t="s">
        <v>304</v>
      </c>
      <c r="D31" s="443">
        <v>667.46</v>
      </c>
      <c r="E31" s="436" t="s">
        <v>400</v>
      </c>
      <c r="F31" s="759">
        <v>177.8</v>
      </c>
      <c r="G31" s="759" t="s">
        <v>28</v>
      </c>
      <c r="H31" s="241" t="s">
        <v>364</v>
      </c>
      <c r="I31" s="437">
        <v>667.46</v>
      </c>
      <c r="J31" s="759">
        <v>115</v>
      </c>
      <c r="K31" s="759"/>
      <c r="L31" s="759">
        <v>556</v>
      </c>
      <c r="M31" s="759"/>
      <c r="N31" s="759">
        <v>8.6</v>
      </c>
      <c r="O31" s="759"/>
      <c r="P31" s="668">
        <v>16.076730361620051</v>
      </c>
      <c r="Q31" s="670">
        <f>J31*13/100</f>
        <v>14.95</v>
      </c>
      <c r="R31" s="432">
        <v>0.94599999999999995</v>
      </c>
      <c r="S31" s="432">
        <v>1.2989999999999999</v>
      </c>
      <c r="T31" s="670">
        <v>57</v>
      </c>
      <c r="U31" s="671">
        <f t="shared" si="0"/>
        <v>60.253699788583511</v>
      </c>
      <c r="V31" s="668">
        <f t="shared" si="7"/>
        <v>27.174749807544263</v>
      </c>
      <c r="W31" s="668">
        <v>0.2</v>
      </c>
      <c r="X31" s="672">
        <f t="shared" si="1"/>
        <v>8.6889632107023412E-2</v>
      </c>
      <c r="Y31" s="432">
        <f t="shared" si="4"/>
        <v>0.92991799999999991</v>
      </c>
      <c r="Z31" s="432">
        <f t="shared" si="4"/>
        <v>1.2769169999999999</v>
      </c>
      <c r="AA31" s="670">
        <f t="shared" si="4"/>
        <v>56.030999999999999</v>
      </c>
      <c r="AB31" s="432">
        <v>0</v>
      </c>
      <c r="AC31" s="699">
        <f t="shared" si="2"/>
        <v>27.174749807544263</v>
      </c>
      <c r="AD31" s="759">
        <v>31</v>
      </c>
      <c r="AE31" s="672">
        <f>Y31*AD31</f>
        <v>28.827457999999996</v>
      </c>
      <c r="AF31" s="669"/>
    </row>
    <row r="32" spans="1:32" ht="18.75" customHeight="1" x14ac:dyDescent="0.2">
      <c r="A32" s="759">
        <v>19</v>
      </c>
      <c r="B32" s="461" t="s">
        <v>38</v>
      </c>
      <c r="C32" s="759" t="s">
        <v>46</v>
      </c>
      <c r="D32" s="668">
        <v>580</v>
      </c>
      <c r="E32" s="759" t="s">
        <v>84</v>
      </c>
      <c r="F32" s="759">
        <v>177.8</v>
      </c>
      <c r="G32" s="759" t="s">
        <v>28</v>
      </c>
      <c r="H32" s="165" t="s">
        <v>379</v>
      </c>
      <c r="I32" s="754">
        <v>563.79</v>
      </c>
      <c r="J32" s="759">
        <v>195</v>
      </c>
      <c r="K32" s="759"/>
      <c r="L32" s="759">
        <v>457</v>
      </c>
      <c r="M32" s="759"/>
      <c r="N32" s="759">
        <v>0.7</v>
      </c>
      <c r="O32" s="759"/>
      <c r="P32" s="668">
        <v>10.916633722491202</v>
      </c>
      <c r="Q32" s="670">
        <f>J32*7/100</f>
        <v>13.65</v>
      </c>
      <c r="R32" s="432">
        <v>0.497</v>
      </c>
      <c r="S32" s="432">
        <v>3.6539999999999999</v>
      </c>
      <c r="T32" s="670">
        <v>0</v>
      </c>
      <c r="U32" s="671">
        <f t="shared" si="0"/>
        <v>0</v>
      </c>
      <c r="V32" s="668">
        <f t="shared" si="7"/>
        <v>86.398467432950198</v>
      </c>
      <c r="W32" s="668">
        <v>0.4</v>
      </c>
      <c r="X32" s="672">
        <f t="shared" si="1"/>
        <v>0.26769230769230767</v>
      </c>
      <c r="Y32" s="432">
        <f t="shared" si="4"/>
        <v>0.48855100000000001</v>
      </c>
      <c r="Z32" s="432">
        <f t="shared" si="4"/>
        <v>3.591882</v>
      </c>
      <c r="AA32" s="670">
        <f t="shared" si="4"/>
        <v>0</v>
      </c>
      <c r="AB32" s="432">
        <f>U32</f>
        <v>0</v>
      </c>
      <c r="AC32" s="699">
        <f t="shared" si="2"/>
        <v>86.398467432950198</v>
      </c>
      <c r="AD32" s="759">
        <v>31</v>
      </c>
      <c r="AE32" s="432">
        <f t="shared" si="6"/>
        <v>15.145081000000001</v>
      </c>
      <c r="AF32" s="669"/>
    </row>
    <row r="33" spans="1:32" ht="18.75" customHeight="1" x14ac:dyDescent="0.2">
      <c r="A33" s="759">
        <v>20</v>
      </c>
      <c r="B33" s="461" t="s">
        <v>39</v>
      </c>
      <c r="C33" s="759" t="s">
        <v>46</v>
      </c>
      <c r="D33" s="759">
        <v>728.6</v>
      </c>
      <c r="E33" s="165" t="s">
        <v>411</v>
      </c>
      <c r="F33" s="759">
        <v>177.8</v>
      </c>
      <c r="G33" s="759" t="s">
        <v>28</v>
      </c>
      <c r="H33" s="165" t="s">
        <v>380</v>
      </c>
      <c r="I33" s="754">
        <v>551.77</v>
      </c>
      <c r="J33" s="759">
        <v>290</v>
      </c>
      <c r="K33" s="759"/>
      <c r="L33" s="759">
        <v>475</v>
      </c>
      <c r="M33" s="759"/>
      <c r="N33" s="759">
        <v>6.7</v>
      </c>
      <c r="O33" s="759"/>
      <c r="P33" s="668">
        <v>15.024826989620827</v>
      </c>
      <c r="Q33" s="670">
        <f>J33*23/100</f>
        <v>66.7</v>
      </c>
      <c r="R33" s="432">
        <v>3.895</v>
      </c>
      <c r="S33" s="432">
        <v>8.7319999999999993</v>
      </c>
      <c r="T33" s="670">
        <v>440</v>
      </c>
      <c r="U33" s="671">
        <f t="shared" si="0"/>
        <v>112.96534017971759</v>
      </c>
      <c r="V33" s="668">
        <f t="shared" si="7"/>
        <v>55.393953275309201</v>
      </c>
      <c r="W33" s="668">
        <v>0.2</v>
      </c>
      <c r="X33" s="672">
        <f t="shared" si="1"/>
        <v>0.13091454272863567</v>
      </c>
      <c r="Y33" s="432">
        <f t="shared" si="4"/>
        <v>3.8287849999999999</v>
      </c>
      <c r="Z33" s="432">
        <f t="shared" si="4"/>
        <v>8.5835559999999997</v>
      </c>
      <c r="AA33" s="670">
        <f t="shared" si="4"/>
        <v>432.52</v>
      </c>
      <c r="AB33" s="432">
        <f t="shared" si="5"/>
        <v>112.96534017971759</v>
      </c>
      <c r="AC33" s="699">
        <f t="shared" si="2"/>
        <v>55.393953275309201</v>
      </c>
      <c r="AD33" s="759">
        <v>31</v>
      </c>
      <c r="AE33" s="432">
        <f t="shared" si="6"/>
        <v>118.692335</v>
      </c>
      <c r="AF33" s="669"/>
    </row>
    <row r="34" spans="1:32" ht="18.75" customHeight="1" x14ac:dyDescent="0.2">
      <c r="A34" s="759">
        <v>21</v>
      </c>
      <c r="B34" s="461" t="s">
        <v>40</v>
      </c>
      <c r="C34" s="759" t="s">
        <v>46</v>
      </c>
      <c r="D34" s="759">
        <v>679.7</v>
      </c>
      <c r="E34" s="759" t="s">
        <v>86</v>
      </c>
      <c r="F34" s="759">
        <v>177.8</v>
      </c>
      <c r="G34" s="759" t="s">
        <v>28</v>
      </c>
      <c r="H34" s="165" t="s">
        <v>379</v>
      </c>
      <c r="I34" s="754">
        <v>592.84</v>
      </c>
      <c r="J34" s="759">
        <v>220</v>
      </c>
      <c r="K34" s="759"/>
      <c r="L34" s="759">
        <v>439</v>
      </c>
      <c r="M34" s="759"/>
      <c r="N34" s="759">
        <v>1.6</v>
      </c>
      <c r="O34" s="759"/>
      <c r="P34" s="668">
        <v>14.624302375808941</v>
      </c>
      <c r="Q34" s="670">
        <f>J34*7/100</f>
        <v>15.4</v>
      </c>
      <c r="R34" s="432">
        <v>1.8480000000000001</v>
      </c>
      <c r="S34" s="432">
        <v>8.6</v>
      </c>
      <c r="T34" s="670">
        <v>4</v>
      </c>
      <c r="U34" s="668">
        <f>IF(R34=0,0,T34/R34)</f>
        <v>2.1645021645021645</v>
      </c>
      <c r="V34" s="668">
        <f t="shared" si="7"/>
        <v>78.511627906976742</v>
      </c>
      <c r="W34" s="668">
        <v>0.3</v>
      </c>
      <c r="X34" s="672">
        <v>0</v>
      </c>
      <c r="Y34" s="432">
        <f t="shared" si="4"/>
        <v>1.816584</v>
      </c>
      <c r="Z34" s="432">
        <f t="shared" si="4"/>
        <v>8.4537999999999993</v>
      </c>
      <c r="AA34" s="670">
        <f t="shared" si="4"/>
        <v>3.9319999999999999</v>
      </c>
      <c r="AB34" s="432">
        <f t="shared" si="5"/>
        <v>2.1645021645021645</v>
      </c>
      <c r="AC34" s="670">
        <v>82.278481012658219</v>
      </c>
      <c r="AD34" s="759">
        <v>31</v>
      </c>
      <c r="AE34" s="432">
        <f>Y34*AD34</f>
        <v>56.314104</v>
      </c>
      <c r="AF34" s="449"/>
    </row>
    <row r="35" spans="1:32" ht="18.75" customHeight="1" x14ac:dyDescent="0.2">
      <c r="A35" s="759">
        <v>22</v>
      </c>
      <c r="B35" s="461" t="s">
        <v>41</v>
      </c>
      <c r="C35" s="759" t="s">
        <v>46</v>
      </c>
      <c r="D35" s="759">
        <v>573.70000000000005</v>
      </c>
      <c r="E35" s="759" t="s">
        <v>87</v>
      </c>
      <c r="F35" s="759">
        <v>177.8</v>
      </c>
      <c r="G35" s="759" t="s">
        <v>28</v>
      </c>
      <c r="H35" s="759" t="s">
        <v>52</v>
      </c>
      <c r="I35" s="754">
        <v>554.30999999999995</v>
      </c>
      <c r="J35" s="759">
        <v>320</v>
      </c>
      <c r="K35" s="759"/>
      <c r="L35" s="759">
        <v>481</v>
      </c>
      <c r="M35" s="759"/>
      <c r="N35" s="759">
        <v>6.9</v>
      </c>
      <c r="O35" s="759"/>
      <c r="P35" s="668">
        <v>13.203424395770618</v>
      </c>
      <c r="Q35" s="670">
        <f t="shared" si="3"/>
        <v>70.400000000000006</v>
      </c>
      <c r="R35" s="432">
        <v>9.5540000000000003</v>
      </c>
      <c r="S35" s="432">
        <v>11.368</v>
      </c>
      <c r="T35" s="670">
        <v>295</v>
      </c>
      <c r="U35" s="668">
        <f t="shared" si="0"/>
        <v>30.877119531086453</v>
      </c>
      <c r="V35" s="668">
        <f t="shared" si="7"/>
        <v>15.95707248416608</v>
      </c>
      <c r="W35" s="668">
        <v>0.2</v>
      </c>
      <c r="X35" s="432">
        <f t="shared" si="1"/>
        <v>0.16147727272727272</v>
      </c>
      <c r="Y35" s="432">
        <f t="shared" si="4"/>
        <v>9.3915819999999997</v>
      </c>
      <c r="Z35" s="432">
        <f t="shared" si="4"/>
        <v>11.174744</v>
      </c>
      <c r="AA35" s="670">
        <f t="shared" si="4"/>
        <v>289.98500000000001</v>
      </c>
      <c r="AB35" s="432">
        <v>89.536086956521729</v>
      </c>
      <c r="AC35" s="670">
        <v>26</v>
      </c>
      <c r="AD35" s="759">
        <v>31</v>
      </c>
      <c r="AE35" s="432">
        <f t="shared" si="6"/>
        <v>291.13904200000002</v>
      </c>
      <c r="AF35" s="673"/>
    </row>
    <row r="36" spans="1:32" ht="18.75" customHeight="1" x14ac:dyDescent="0.2">
      <c r="A36" s="759">
        <v>23</v>
      </c>
      <c r="B36" s="461" t="s">
        <v>42</v>
      </c>
      <c r="C36" s="759" t="s">
        <v>46</v>
      </c>
      <c r="D36" s="759">
        <v>681.1</v>
      </c>
      <c r="E36" s="759" t="s">
        <v>88</v>
      </c>
      <c r="F36" s="759">
        <v>177.8</v>
      </c>
      <c r="G36" s="759" t="s">
        <v>28</v>
      </c>
      <c r="H36" s="759" t="s">
        <v>48</v>
      </c>
      <c r="I36" s="754">
        <v>589.66</v>
      </c>
      <c r="J36" s="759">
        <v>135</v>
      </c>
      <c r="K36" s="759"/>
      <c r="L36" s="759">
        <v>374</v>
      </c>
      <c r="M36" s="759"/>
      <c r="N36" s="759">
        <v>8.6</v>
      </c>
      <c r="O36" s="759"/>
      <c r="P36" s="668">
        <v>27.729782649667342</v>
      </c>
      <c r="Q36" s="670">
        <f t="shared" si="3"/>
        <v>17.55</v>
      </c>
      <c r="R36" s="432">
        <v>3.9990000000000001</v>
      </c>
      <c r="S36" s="432">
        <v>13.004</v>
      </c>
      <c r="T36" s="670">
        <v>0.8</v>
      </c>
      <c r="U36" s="668">
        <f t="shared" si="0"/>
        <v>0.20005001250312579</v>
      </c>
      <c r="V36" s="668">
        <f t="shared" si="7"/>
        <v>69.247923715779763</v>
      </c>
      <c r="W36" s="668">
        <v>0.4</v>
      </c>
      <c r="X36" s="432">
        <f t="shared" si="1"/>
        <v>0.74096866096866087</v>
      </c>
      <c r="Y36" s="432">
        <f t="shared" si="4"/>
        <v>3.9310170000000002</v>
      </c>
      <c r="Z36" s="432">
        <f t="shared" si="4"/>
        <v>12.782931999999999</v>
      </c>
      <c r="AA36" s="670">
        <f t="shared" si="4"/>
        <v>0.78639999999999999</v>
      </c>
      <c r="AB36" s="432">
        <f t="shared" si="5"/>
        <v>0.20005001250312579</v>
      </c>
      <c r="AC36" s="670">
        <f t="shared" si="2"/>
        <v>69.247923715779763</v>
      </c>
      <c r="AD36" s="759">
        <v>31</v>
      </c>
      <c r="AE36" s="432">
        <f t="shared" si="6"/>
        <v>121.86152700000001</v>
      </c>
      <c r="AF36" s="449"/>
    </row>
    <row r="37" spans="1:32" ht="18.75" customHeight="1" x14ac:dyDescent="0.2">
      <c r="A37" s="759">
        <v>24</v>
      </c>
      <c r="B37" s="461" t="s">
        <v>43</v>
      </c>
      <c r="C37" s="759" t="s">
        <v>46</v>
      </c>
      <c r="D37" s="759">
        <v>682.7</v>
      </c>
      <c r="E37" s="759" t="s">
        <v>402</v>
      </c>
      <c r="F37" s="759">
        <v>177.8</v>
      </c>
      <c r="G37" s="759" t="s">
        <v>28</v>
      </c>
      <c r="H37" s="165" t="s">
        <v>399</v>
      </c>
      <c r="I37" s="446">
        <v>582.87</v>
      </c>
      <c r="J37" s="759">
        <v>135</v>
      </c>
      <c r="K37" s="759"/>
      <c r="L37" s="759">
        <v>175</v>
      </c>
      <c r="M37" s="759"/>
      <c r="N37" s="759">
        <v>0.9</v>
      </c>
      <c r="O37" s="759"/>
      <c r="P37" s="668">
        <v>38.390965444408558</v>
      </c>
      <c r="Q37" s="670">
        <f>J37*13/100</f>
        <v>17.55</v>
      </c>
      <c r="R37" s="432">
        <v>2.8980000000000001</v>
      </c>
      <c r="S37" s="432">
        <v>5.5469999999999997</v>
      </c>
      <c r="T37" s="670">
        <v>11</v>
      </c>
      <c r="U37" s="668">
        <f t="shared" si="0"/>
        <v>3.7957211870255345</v>
      </c>
      <c r="V37" s="668">
        <f t="shared" si="7"/>
        <v>47.755543537047046</v>
      </c>
      <c r="W37" s="668">
        <v>0.2</v>
      </c>
      <c r="X37" s="432">
        <f t="shared" si="1"/>
        <v>0.31606837606837601</v>
      </c>
      <c r="Y37" s="432">
        <f t="shared" si="4"/>
        <v>2.8487339999999999</v>
      </c>
      <c r="Z37" s="432">
        <f t="shared" si="4"/>
        <v>5.4527009999999994</v>
      </c>
      <c r="AA37" s="670">
        <f t="shared" si="4"/>
        <v>10.813000000000001</v>
      </c>
      <c r="AB37" s="432">
        <f t="shared" si="5"/>
        <v>3.7957211870255345</v>
      </c>
      <c r="AC37" s="670">
        <f t="shared" si="2"/>
        <v>47.755543537047046</v>
      </c>
      <c r="AD37" s="759">
        <v>31</v>
      </c>
      <c r="AE37" s="432">
        <f t="shared" si="6"/>
        <v>88.310754000000003</v>
      </c>
      <c r="AF37" s="669" t="s">
        <v>412</v>
      </c>
    </row>
    <row r="38" spans="1:32" ht="18.75" customHeight="1" x14ac:dyDescent="0.2">
      <c r="A38" s="759">
        <v>25</v>
      </c>
      <c r="B38" s="461" t="s">
        <v>44</v>
      </c>
      <c r="C38" s="759" t="s">
        <v>46</v>
      </c>
      <c r="D38" s="759">
        <v>614.20000000000005</v>
      </c>
      <c r="E38" s="759" t="s">
        <v>90</v>
      </c>
      <c r="F38" s="759">
        <v>177.8</v>
      </c>
      <c r="G38" s="759" t="s">
        <v>28</v>
      </c>
      <c r="H38" s="759" t="s">
        <v>52</v>
      </c>
      <c r="I38" s="446">
        <v>573.37</v>
      </c>
      <c r="J38" s="759">
        <v>225</v>
      </c>
      <c r="K38" s="759"/>
      <c r="L38" s="759">
        <v>203</v>
      </c>
      <c r="M38" s="759"/>
      <c r="N38" s="759">
        <v>5.5</v>
      </c>
      <c r="O38" s="759"/>
      <c r="P38" s="668">
        <v>41.449182424204217</v>
      </c>
      <c r="Q38" s="670">
        <f t="shared" si="3"/>
        <v>49.5</v>
      </c>
      <c r="R38" s="432">
        <v>10.228</v>
      </c>
      <c r="S38" s="432">
        <v>41.067</v>
      </c>
      <c r="T38" s="670">
        <v>141</v>
      </c>
      <c r="U38" s="668">
        <f t="shared" si="0"/>
        <v>13.785686351192805</v>
      </c>
      <c r="V38" s="668">
        <f t="shared" si="7"/>
        <v>75.094358000340904</v>
      </c>
      <c r="W38" s="668">
        <v>0.2</v>
      </c>
      <c r="X38" s="432">
        <f t="shared" si="1"/>
        <v>0.82963636363636362</v>
      </c>
      <c r="Y38" s="432">
        <f t="shared" si="4"/>
        <v>10.054124</v>
      </c>
      <c r="Z38" s="432">
        <f t="shared" si="4"/>
        <v>40.368861000000003</v>
      </c>
      <c r="AA38" s="670">
        <f t="shared" si="4"/>
        <v>138.60300000000001</v>
      </c>
      <c r="AB38" s="432">
        <f t="shared" si="5"/>
        <v>13.785686351192805</v>
      </c>
      <c r="AC38" s="670">
        <f t="shared" si="2"/>
        <v>75.094358000340904</v>
      </c>
      <c r="AD38" s="759">
        <v>31</v>
      </c>
      <c r="AE38" s="432">
        <f t="shared" si="6"/>
        <v>311.67784399999999</v>
      </c>
      <c r="AF38" s="669"/>
    </row>
    <row r="39" spans="1:32" ht="18.75" customHeight="1" x14ac:dyDescent="0.2">
      <c r="A39" s="759">
        <v>26</v>
      </c>
      <c r="B39" s="461" t="s">
        <v>45</v>
      </c>
      <c r="C39" s="759" t="s">
        <v>46</v>
      </c>
      <c r="D39" s="759">
        <v>636.4</v>
      </c>
      <c r="E39" s="759" t="s">
        <v>91</v>
      </c>
      <c r="F39" s="759">
        <v>177.8</v>
      </c>
      <c r="G39" s="759" t="s">
        <v>28</v>
      </c>
      <c r="H39" s="759" t="s">
        <v>52</v>
      </c>
      <c r="I39" s="754">
        <v>592.95000000000005</v>
      </c>
      <c r="J39" s="759">
        <v>300</v>
      </c>
      <c r="K39" s="759"/>
      <c r="L39" s="759">
        <v>498</v>
      </c>
      <c r="M39" s="759"/>
      <c r="N39" s="759">
        <v>10.1</v>
      </c>
      <c r="O39" s="759"/>
      <c r="P39" s="668">
        <v>16.687957747902562</v>
      </c>
      <c r="Q39" s="670">
        <f>LEFT(H39,(FIND("K",H39,1)-1))*J39/100</f>
        <v>66</v>
      </c>
      <c r="R39" s="432">
        <v>12.114000000000001</v>
      </c>
      <c r="S39" s="432">
        <v>44.234000000000002</v>
      </c>
      <c r="T39" s="670">
        <v>212</v>
      </c>
      <c r="U39" s="668">
        <f t="shared" si="0"/>
        <v>17.50041274558362</v>
      </c>
      <c r="V39" s="668">
        <f t="shared" si="7"/>
        <v>72.613826468327531</v>
      </c>
      <c r="W39" s="668">
        <v>0.2</v>
      </c>
      <c r="X39" s="432">
        <f t="shared" si="1"/>
        <v>0.67021212121212126</v>
      </c>
      <c r="Y39" s="432">
        <f t="shared" si="4"/>
        <v>11.908062000000001</v>
      </c>
      <c r="Z39" s="432">
        <f t="shared" si="4"/>
        <v>43.482022000000001</v>
      </c>
      <c r="AA39" s="670">
        <f t="shared" si="4"/>
        <v>208.39599999999999</v>
      </c>
      <c r="AB39" s="432">
        <f t="shared" si="5"/>
        <v>17.50041274558362</v>
      </c>
      <c r="AC39" s="670">
        <f t="shared" si="2"/>
        <v>72.613826468327531</v>
      </c>
      <c r="AD39" s="759">
        <v>31</v>
      </c>
      <c r="AE39" s="432">
        <f t="shared" si="6"/>
        <v>369.14992200000006</v>
      </c>
      <c r="AF39" s="669"/>
    </row>
    <row r="40" spans="1:32" ht="18.75" customHeight="1" x14ac:dyDescent="0.2">
      <c r="A40" s="759">
        <v>27</v>
      </c>
      <c r="B40" s="461" t="s">
        <v>206</v>
      </c>
      <c r="C40" s="759" t="s">
        <v>46</v>
      </c>
      <c r="D40" s="759">
        <v>660.2</v>
      </c>
      <c r="E40" s="759" t="s">
        <v>227</v>
      </c>
      <c r="F40" s="759">
        <v>177.8</v>
      </c>
      <c r="G40" s="759" t="s">
        <v>28</v>
      </c>
      <c r="H40" s="759" t="s">
        <v>212</v>
      </c>
      <c r="I40" s="754">
        <v>547.65</v>
      </c>
      <c r="J40" s="759">
        <v>160</v>
      </c>
      <c r="K40" s="759"/>
      <c r="L40" s="759">
        <v>445</v>
      </c>
      <c r="M40" s="759"/>
      <c r="N40" s="759">
        <v>7.8</v>
      </c>
      <c r="O40" s="759"/>
      <c r="P40" s="668">
        <v>18.477073855368726</v>
      </c>
      <c r="Q40" s="670">
        <f t="shared" ref="Q40:Q76" si="8">LEFT(H40,(FIND("K",H40,1)-1))*J40/100</f>
        <v>12.8</v>
      </c>
      <c r="R40" s="432">
        <v>4.34</v>
      </c>
      <c r="S40" s="432">
        <v>6.5309999999999997</v>
      </c>
      <c r="T40" s="670">
        <v>31</v>
      </c>
      <c r="U40" s="668">
        <f t="shared" si="0"/>
        <v>7.1428571428571432</v>
      </c>
      <c r="V40" s="668">
        <f t="shared" si="7"/>
        <v>33.547695605573416</v>
      </c>
      <c r="W40" s="668">
        <v>0.2</v>
      </c>
      <c r="X40" s="432">
        <f t="shared" si="1"/>
        <v>0.51023437499999991</v>
      </c>
      <c r="Y40" s="432">
        <f t="shared" si="4"/>
        <v>4.2662199999999997</v>
      </c>
      <c r="Z40" s="432">
        <f t="shared" si="4"/>
        <v>6.4199729999999997</v>
      </c>
      <c r="AA40" s="670">
        <f t="shared" si="4"/>
        <v>30.472999999999999</v>
      </c>
      <c r="AB40" s="432">
        <f t="shared" si="5"/>
        <v>7.1428571428571432</v>
      </c>
      <c r="AC40" s="670">
        <f t="shared" si="2"/>
        <v>33.547695605573416</v>
      </c>
      <c r="AD40" s="759">
        <v>31</v>
      </c>
      <c r="AE40" s="432">
        <f t="shared" si="6"/>
        <v>132.25281999999999</v>
      </c>
      <c r="AF40" s="669"/>
    </row>
    <row r="41" spans="1:32" ht="18.75" customHeight="1" x14ac:dyDescent="0.2">
      <c r="A41" s="759">
        <v>28</v>
      </c>
      <c r="B41" s="755" t="s">
        <v>161</v>
      </c>
      <c r="C41" s="759" t="s">
        <v>46</v>
      </c>
      <c r="D41" s="754">
        <v>677</v>
      </c>
      <c r="E41" s="759" t="s">
        <v>178</v>
      </c>
      <c r="F41" s="759">
        <v>177.8</v>
      </c>
      <c r="G41" s="759" t="s">
        <v>28</v>
      </c>
      <c r="H41" s="759" t="s">
        <v>52</v>
      </c>
      <c r="I41" s="754">
        <v>535.41</v>
      </c>
      <c r="J41" s="754">
        <v>190</v>
      </c>
      <c r="K41" s="754"/>
      <c r="L41" s="754">
        <v>434</v>
      </c>
      <c r="M41" s="754"/>
      <c r="N41" s="759">
        <v>7.5</v>
      </c>
      <c r="O41" s="754"/>
      <c r="P41" s="448">
        <v>18.32767586621436</v>
      </c>
      <c r="Q41" s="670">
        <f t="shared" si="8"/>
        <v>41.8</v>
      </c>
      <c r="R41" s="432">
        <v>5.2149999999999999</v>
      </c>
      <c r="S41" s="432">
        <v>9.0549999999999997</v>
      </c>
      <c r="T41" s="492">
        <v>351</v>
      </c>
      <c r="U41" s="668">
        <f t="shared" si="0"/>
        <v>67.305848513902205</v>
      </c>
      <c r="V41" s="668">
        <f t="shared" si="7"/>
        <v>42.40750966316952</v>
      </c>
      <c r="W41" s="668">
        <v>0.2</v>
      </c>
      <c r="X41" s="432">
        <f t="shared" si="1"/>
        <v>0.21662679425837322</v>
      </c>
      <c r="Y41" s="432">
        <f t="shared" si="4"/>
        <v>5.1263449999999997</v>
      </c>
      <c r="Z41" s="432">
        <f t="shared" si="4"/>
        <v>8.9010649999999991</v>
      </c>
      <c r="AA41" s="670">
        <f t="shared" si="4"/>
        <v>345.03300000000002</v>
      </c>
      <c r="AB41" s="432">
        <f t="shared" si="5"/>
        <v>67.305848513902205</v>
      </c>
      <c r="AC41" s="670">
        <f t="shared" si="2"/>
        <v>42.40750966316952</v>
      </c>
      <c r="AD41" s="759">
        <v>31</v>
      </c>
      <c r="AE41" s="432">
        <f t="shared" si="6"/>
        <v>158.916695</v>
      </c>
      <c r="AF41" s="449"/>
    </row>
    <row r="42" spans="1:32" ht="18.75" customHeight="1" x14ac:dyDescent="0.2">
      <c r="A42" s="759">
        <v>29</v>
      </c>
      <c r="B42" s="755" t="s">
        <v>162</v>
      </c>
      <c r="C42" s="759" t="s">
        <v>46</v>
      </c>
      <c r="D42" s="754">
        <v>676</v>
      </c>
      <c r="E42" s="759" t="s">
        <v>180</v>
      </c>
      <c r="F42" s="759">
        <v>177.8</v>
      </c>
      <c r="G42" s="759" t="s">
        <v>28</v>
      </c>
      <c r="H42" s="759" t="s">
        <v>50</v>
      </c>
      <c r="I42" s="754">
        <v>545.42999999999995</v>
      </c>
      <c r="J42" s="754">
        <v>0</v>
      </c>
      <c r="K42" s="754">
        <v>70</v>
      </c>
      <c r="L42" s="759"/>
      <c r="M42" s="754">
        <v>1.4</v>
      </c>
      <c r="N42" s="759"/>
      <c r="O42" s="754"/>
      <c r="P42" s="448"/>
      <c r="Q42" s="670">
        <v>0</v>
      </c>
      <c r="R42" s="432">
        <v>0</v>
      </c>
      <c r="S42" s="432">
        <v>0</v>
      </c>
      <c r="T42" s="492">
        <v>0</v>
      </c>
      <c r="U42" s="668">
        <v>0</v>
      </c>
      <c r="V42" s="668">
        <v>0</v>
      </c>
      <c r="W42" s="668">
        <v>0</v>
      </c>
      <c r="X42" s="432">
        <v>0</v>
      </c>
      <c r="Y42" s="432">
        <f t="shared" si="4"/>
        <v>0</v>
      </c>
      <c r="Z42" s="432">
        <f t="shared" si="4"/>
        <v>0</v>
      </c>
      <c r="AA42" s="670">
        <f t="shared" si="4"/>
        <v>0</v>
      </c>
      <c r="AB42" s="432">
        <f t="shared" si="5"/>
        <v>0</v>
      </c>
      <c r="AC42" s="670">
        <f t="shared" si="2"/>
        <v>0</v>
      </c>
      <c r="AD42" s="759">
        <v>0</v>
      </c>
      <c r="AE42" s="432">
        <f t="shared" si="6"/>
        <v>0</v>
      </c>
      <c r="AF42" s="449" t="s">
        <v>335</v>
      </c>
    </row>
    <row r="43" spans="1:32" ht="18.75" customHeight="1" x14ac:dyDescent="0.2">
      <c r="A43" s="759">
        <v>30</v>
      </c>
      <c r="B43" s="755" t="s">
        <v>163</v>
      </c>
      <c r="C43" s="759" t="s">
        <v>46</v>
      </c>
      <c r="D43" s="754">
        <v>677.27</v>
      </c>
      <c r="E43" s="759" t="s">
        <v>194</v>
      </c>
      <c r="F43" s="759">
        <v>177.8</v>
      </c>
      <c r="G43" s="759" t="s">
        <v>28</v>
      </c>
      <c r="H43" s="759" t="s">
        <v>187</v>
      </c>
      <c r="I43" s="754">
        <v>553.82000000000005</v>
      </c>
      <c r="J43" s="754">
        <v>180</v>
      </c>
      <c r="K43" s="754"/>
      <c r="L43" s="754">
        <v>207</v>
      </c>
      <c r="M43" s="754"/>
      <c r="N43" s="759">
        <v>0.6</v>
      </c>
      <c r="O43" s="754"/>
      <c r="P43" s="448">
        <v>39.140001981158385</v>
      </c>
      <c r="Q43" s="670">
        <f t="shared" si="8"/>
        <v>10.8</v>
      </c>
      <c r="R43" s="432">
        <v>0.94499999999999995</v>
      </c>
      <c r="S43" s="432">
        <v>2.9590000000000001</v>
      </c>
      <c r="T43" s="492">
        <v>0.5</v>
      </c>
      <c r="U43" s="668">
        <f>T43/R43</f>
        <v>0.52910052910052918</v>
      </c>
      <c r="V43" s="668">
        <f t="shared" si="7"/>
        <v>68.063534978033118</v>
      </c>
      <c r="W43" s="668">
        <v>0.2</v>
      </c>
      <c r="X43" s="432">
        <f t="shared" si="1"/>
        <v>0.27398148148148149</v>
      </c>
      <c r="Y43" s="432">
        <f t="shared" si="4"/>
        <v>0.92893499999999996</v>
      </c>
      <c r="Z43" s="432">
        <f t="shared" si="4"/>
        <v>2.9086970000000001</v>
      </c>
      <c r="AA43" s="670">
        <f t="shared" si="4"/>
        <v>0.49149999999999999</v>
      </c>
      <c r="AB43" s="432">
        <f t="shared" si="5"/>
        <v>0.52910052910052918</v>
      </c>
      <c r="AC43" s="670">
        <f t="shared" si="2"/>
        <v>68.063534978033118</v>
      </c>
      <c r="AD43" s="759">
        <v>31</v>
      </c>
      <c r="AE43" s="432">
        <f t="shared" si="6"/>
        <v>28.796984999999999</v>
      </c>
      <c r="AF43" s="449"/>
    </row>
    <row r="44" spans="1:32" ht="18.75" customHeight="1" x14ac:dyDescent="0.2">
      <c r="A44" s="759">
        <v>31</v>
      </c>
      <c r="B44" s="461" t="s">
        <v>59</v>
      </c>
      <c r="C44" s="759" t="s">
        <v>46</v>
      </c>
      <c r="D44" s="759">
        <v>643</v>
      </c>
      <c r="E44" s="759" t="s">
        <v>94</v>
      </c>
      <c r="F44" s="759">
        <v>177.8</v>
      </c>
      <c r="G44" s="759" t="s">
        <v>28</v>
      </c>
      <c r="H44" s="759" t="s">
        <v>48</v>
      </c>
      <c r="I44" s="754">
        <v>540.79999999999995</v>
      </c>
      <c r="J44" s="759">
        <v>260</v>
      </c>
      <c r="K44" s="759"/>
      <c r="L44" s="759">
        <v>403</v>
      </c>
      <c r="M44" s="759"/>
      <c r="N44" s="759">
        <v>0.5</v>
      </c>
      <c r="O44" s="759"/>
      <c r="P44" s="668">
        <v>15.363225537964972</v>
      </c>
      <c r="Q44" s="670">
        <f t="shared" si="8"/>
        <v>33.799999999999997</v>
      </c>
      <c r="R44" s="432">
        <v>2.9790000000000001</v>
      </c>
      <c r="S44" s="432">
        <v>4.9210000000000003</v>
      </c>
      <c r="T44" s="670">
        <v>9</v>
      </c>
      <c r="U44" s="668">
        <f t="shared" si="0"/>
        <v>3.0211480362537761</v>
      </c>
      <c r="V44" s="668">
        <f t="shared" si="7"/>
        <v>39.463523674049995</v>
      </c>
      <c r="W44" s="668">
        <v>0.2</v>
      </c>
      <c r="X44" s="432">
        <f t="shared" si="1"/>
        <v>0.14559171597633139</v>
      </c>
      <c r="Y44" s="432">
        <f t="shared" si="4"/>
        <v>2.9283570000000001</v>
      </c>
      <c r="Z44" s="432">
        <f t="shared" si="4"/>
        <v>4.8373430000000006</v>
      </c>
      <c r="AA44" s="670">
        <f t="shared" si="4"/>
        <v>8.8469999999999995</v>
      </c>
      <c r="AB44" s="432">
        <f>U44</f>
        <v>3.0211480362537761</v>
      </c>
      <c r="AC44" s="670">
        <f t="shared" si="2"/>
        <v>39.463523674049995</v>
      </c>
      <c r="AD44" s="759">
        <v>31</v>
      </c>
      <c r="AE44" s="432">
        <f t="shared" si="6"/>
        <v>90.779066999999998</v>
      </c>
      <c r="AF44" s="449"/>
    </row>
    <row r="45" spans="1:32" ht="18.75" customHeight="1" x14ac:dyDescent="0.2">
      <c r="A45" s="759">
        <v>32</v>
      </c>
      <c r="B45" s="461" t="s">
        <v>207</v>
      </c>
      <c r="C45" s="759" t="s">
        <v>46</v>
      </c>
      <c r="D45" s="759">
        <v>673</v>
      </c>
      <c r="E45" s="759" t="s">
        <v>230</v>
      </c>
      <c r="F45" s="759">
        <v>177.8</v>
      </c>
      <c r="G45" s="759" t="s">
        <v>28</v>
      </c>
      <c r="H45" s="759" t="s">
        <v>50</v>
      </c>
      <c r="I45" s="754">
        <v>564.41999999999996</v>
      </c>
      <c r="J45" s="759">
        <v>195</v>
      </c>
      <c r="K45" s="759"/>
      <c r="L45" s="759">
        <v>346</v>
      </c>
      <c r="M45" s="759"/>
      <c r="N45" s="668">
        <v>4.8</v>
      </c>
      <c r="O45" s="759"/>
      <c r="P45" s="668">
        <v>25.909300970594629</v>
      </c>
      <c r="Q45" s="670">
        <f t="shared" si="8"/>
        <v>11.7</v>
      </c>
      <c r="R45" s="432">
        <v>4.758</v>
      </c>
      <c r="S45" s="432">
        <v>8.3000000000000007</v>
      </c>
      <c r="T45" s="670">
        <v>2</v>
      </c>
      <c r="U45" s="668">
        <f t="shared" si="0"/>
        <v>0.4203446826397646</v>
      </c>
      <c r="V45" s="668">
        <f t="shared" si="7"/>
        <v>42.674698795180724</v>
      </c>
      <c r="W45" s="668">
        <v>0.2</v>
      </c>
      <c r="X45" s="432">
        <f t="shared" si="1"/>
        <v>0.70940170940170955</v>
      </c>
      <c r="Y45" s="432">
        <f t="shared" si="4"/>
        <v>4.6771139999999995</v>
      </c>
      <c r="Z45" s="432">
        <f t="shared" si="4"/>
        <v>8.1589000000000009</v>
      </c>
      <c r="AA45" s="670">
        <f t="shared" si="4"/>
        <v>1.966</v>
      </c>
      <c r="AB45" s="432">
        <f>U45</f>
        <v>0.4203446826397646</v>
      </c>
      <c r="AC45" s="670">
        <f t="shared" si="2"/>
        <v>42.674698795180724</v>
      </c>
      <c r="AD45" s="759">
        <v>31</v>
      </c>
      <c r="AE45" s="432">
        <f t="shared" si="6"/>
        <v>144.990534</v>
      </c>
      <c r="AF45" s="449"/>
    </row>
    <row r="46" spans="1:32" ht="18.75" customHeight="1" x14ac:dyDescent="0.2">
      <c r="A46" s="759">
        <v>33</v>
      </c>
      <c r="B46" s="461" t="s">
        <v>196</v>
      </c>
      <c r="C46" s="759" t="s">
        <v>304</v>
      </c>
      <c r="D46" s="759">
        <v>641</v>
      </c>
      <c r="E46" s="759" t="s">
        <v>296</v>
      </c>
      <c r="F46" s="759">
        <v>177.8</v>
      </c>
      <c r="G46" s="759" t="s">
        <v>28</v>
      </c>
      <c r="H46" s="759" t="s">
        <v>50</v>
      </c>
      <c r="I46" s="754">
        <v>611.92999999999995</v>
      </c>
      <c r="J46" s="759">
        <v>0</v>
      </c>
      <c r="K46" s="759">
        <v>496</v>
      </c>
      <c r="M46" s="668">
        <v>0.3</v>
      </c>
      <c r="O46" s="759"/>
      <c r="P46" s="668"/>
      <c r="Q46" s="670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759">
        <v>31</v>
      </c>
      <c r="AE46" s="432">
        <f t="shared" si="6"/>
        <v>0</v>
      </c>
      <c r="AF46" s="449" t="s">
        <v>335</v>
      </c>
    </row>
    <row r="47" spans="1:32" ht="18.75" customHeight="1" x14ac:dyDescent="0.2">
      <c r="A47" s="759">
        <v>34</v>
      </c>
      <c r="B47" s="461" t="s">
        <v>60</v>
      </c>
      <c r="C47" s="759" t="s">
        <v>46</v>
      </c>
      <c r="D47" s="759">
        <v>638.9</v>
      </c>
      <c r="E47" s="759" t="s">
        <v>95</v>
      </c>
      <c r="F47" s="759">
        <v>177.8</v>
      </c>
      <c r="G47" s="759" t="s">
        <v>28</v>
      </c>
      <c r="H47" s="759" t="s">
        <v>48</v>
      </c>
      <c r="I47" s="754">
        <v>546.64</v>
      </c>
      <c r="J47" s="759">
        <v>110</v>
      </c>
      <c r="K47" s="759"/>
      <c r="L47" s="759">
        <v>466</v>
      </c>
      <c r="M47" s="759"/>
      <c r="N47" s="759">
        <v>6.9</v>
      </c>
      <c r="O47" s="759"/>
      <c r="P47" s="668">
        <v>15.328745491921632</v>
      </c>
      <c r="Q47" s="670">
        <f t="shared" si="8"/>
        <v>14.3</v>
      </c>
      <c r="R47" s="432">
        <v>4.5289999999999999</v>
      </c>
      <c r="S47" s="432">
        <v>8.718</v>
      </c>
      <c r="T47" s="670">
        <v>75</v>
      </c>
      <c r="U47" s="668">
        <f t="shared" si="0"/>
        <v>16.559947008169573</v>
      </c>
      <c r="V47" s="668">
        <f t="shared" si="7"/>
        <v>48.050011470520765</v>
      </c>
      <c r="W47" s="668">
        <v>0.2</v>
      </c>
      <c r="X47" s="432">
        <f t="shared" si="1"/>
        <v>0.60965034965034959</v>
      </c>
      <c r="Y47" s="432">
        <f t="shared" si="4"/>
        <v>4.452007</v>
      </c>
      <c r="Z47" s="432">
        <f t="shared" si="4"/>
        <v>8.5697939999999999</v>
      </c>
      <c r="AA47" s="670">
        <f t="shared" si="4"/>
        <v>73.724999999999994</v>
      </c>
      <c r="AB47" s="432">
        <f t="shared" si="5"/>
        <v>16.559947008169573</v>
      </c>
      <c r="AC47" s="670">
        <f t="shared" si="2"/>
        <v>48.050011470520765</v>
      </c>
      <c r="AD47" s="759">
        <v>31</v>
      </c>
      <c r="AE47" s="432">
        <f t="shared" si="6"/>
        <v>138.01221699999999</v>
      </c>
      <c r="AF47" s="449"/>
    </row>
    <row r="48" spans="1:32" ht="18.75" customHeight="1" x14ac:dyDescent="0.2">
      <c r="A48" s="759">
        <v>35</v>
      </c>
      <c r="B48" s="461" t="s">
        <v>119</v>
      </c>
      <c r="C48" s="759" t="s">
        <v>404</v>
      </c>
      <c r="D48" s="759">
        <v>654.07000000000005</v>
      </c>
      <c r="E48" s="759" t="s">
        <v>410</v>
      </c>
      <c r="F48" s="759">
        <v>177.8</v>
      </c>
      <c r="G48" s="759" t="s">
        <v>28</v>
      </c>
      <c r="H48" s="165" t="s">
        <v>399</v>
      </c>
      <c r="I48" s="754">
        <v>521.47</v>
      </c>
      <c r="J48" s="759">
        <v>250</v>
      </c>
      <c r="K48" s="759"/>
      <c r="L48" s="759">
        <v>480</v>
      </c>
      <c r="M48" s="759"/>
      <c r="N48" s="759">
        <v>7.1</v>
      </c>
      <c r="O48" s="759"/>
      <c r="P48" s="668">
        <v>9.7560490891584806</v>
      </c>
      <c r="Q48" s="670">
        <f>J48*13/100</f>
        <v>32.5</v>
      </c>
      <c r="R48" s="432">
        <v>0.39900000000000002</v>
      </c>
      <c r="S48" s="432">
        <v>3.2080000000000002</v>
      </c>
      <c r="T48" s="670">
        <v>42</v>
      </c>
      <c r="U48" s="668">
        <f t="shared" si="0"/>
        <v>105.26315789473684</v>
      </c>
      <c r="V48" s="668">
        <f t="shared" si="7"/>
        <v>87.562344139650875</v>
      </c>
      <c r="W48" s="668">
        <v>0.2</v>
      </c>
      <c r="X48" s="432">
        <f t="shared" si="1"/>
        <v>9.8707692307692316E-2</v>
      </c>
      <c r="Y48" s="432">
        <f t="shared" si="4"/>
        <v>0.39221700000000004</v>
      </c>
      <c r="Z48" s="432">
        <f t="shared" si="4"/>
        <v>3.153464</v>
      </c>
      <c r="AA48" s="670">
        <f t="shared" si="4"/>
        <v>41.286000000000001</v>
      </c>
      <c r="AB48" s="432">
        <f t="shared" si="5"/>
        <v>105.26315789473684</v>
      </c>
      <c r="AC48" s="670">
        <f t="shared" si="2"/>
        <v>87.562344139650875</v>
      </c>
      <c r="AD48" s="759">
        <v>31</v>
      </c>
      <c r="AE48" s="432">
        <f t="shared" si="6"/>
        <v>12.158727000000001</v>
      </c>
      <c r="AF48" s="449" t="s">
        <v>409</v>
      </c>
    </row>
    <row r="49" spans="1:32" ht="18.75" customHeight="1" x14ac:dyDescent="0.2">
      <c r="A49" s="759">
        <v>36</v>
      </c>
      <c r="B49" s="461" t="s">
        <v>118</v>
      </c>
      <c r="C49" s="759" t="s">
        <v>408</v>
      </c>
      <c r="D49" s="759">
        <v>728.77</v>
      </c>
      <c r="E49" s="759" t="s">
        <v>133</v>
      </c>
      <c r="F49" s="759">
        <v>177.8</v>
      </c>
      <c r="G49" s="759" t="s">
        <v>28</v>
      </c>
      <c r="H49" s="759" t="s">
        <v>219</v>
      </c>
      <c r="I49" s="754">
        <v>556.4</v>
      </c>
      <c r="J49" s="759">
        <v>235</v>
      </c>
      <c r="K49" s="759"/>
      <c r="L49" s="759">
        <v>403</v>
      </c>
      <c r="M49" s="759"/>
      <c r="N49" s="759">
        <v>0</v>
      </c>
      <c r="O49" s="759"/>
      <c r="P49" s="668">
        <v>13.639735085262995</v>
      </c>
      <c r="Q49" s="670">
        <f t="shared" si="8"/>
        <v>28.2</v>
      </c>
      <c r="R49" s="432">
        <v>1.3620000000000001</v>
      </c>
      <c r="S49" s="432">
        <v>1.3779999999999999</v>
      </c>
      <c r="T49" s="670">
        <v>7</v>
      </c>
      <c r="U49" s="668">
        <f>T49/R49</f>
        <v>5.1395007342143906</v>
      </c>
      <c r="V49" s="668">
        <f t="shared" si="7"/>
        <v>1.1611030478954858</v>
      </c>
      <c r="W49" s="668">
        <v>0.1</v>
      </c>
      <c r="X49" s="432">
        <f t="shared" si="1"/>
        <v>4.8865248226950354E-2</v>
      </c>
      <c r="Y49" s="432">
        <f t="shared" si="4"/>
        <v>1.338846</v>
      </c>
      <c r="Z49" s="432">
        <f t="shared" si="4"/>
        <v>1.3545739999999999</v>
      </c>
      <c r="AA49" s="670">
        <f t="shared" si="4"/>
        <v>6.8810000000000002</v>
      </c>
      <c r="AB49" s="432">
        <f t="shared" si="5"/>
        <v>5.1395007342143906</v>
      </c>
      <c r="AC49" s="670">
        <f t="shared" si="2"/>
        <v>1.1611030478954858</v>
      </c>
      <c r="AD49" s="759">
        <v>31</v>
      </c>
      <c r="AE49" s="432">
        <f t="shared" si="6"/>
        <v>41.504226000000003</v>
      </c>
      <c r="AF49" s="449" t="s">
        <v>414</v>
      </c>
    </row>
    <row r="50" spans="1:32" ht="18.75" customHeight="1" x14ac:dyDescent="0.2">
      <c r="A50" s="759">
        <v>37</v>
      </c>
      <c r="B50" s="461" t="s">
        <v>117</v>
      </c>
      <c r="C50" s="759" t="s">
        <v>46</v>
      </c>
      <c r="D50" s="759">
        <v>671.45</v>
      </c>
      <c r="E50" s="759" t="s">
        <v>128</v>
      </c>
      <c r="F50" s="759">
        <v>177.8</v>
      </c>
      <c r="G50" s="759" t="s">
        <v>28</v>
      </c>
      <c r="H50" s="759" t="s">
        <v>187</v>
      </c>
      <c r="I50" s="754">
        <v>559.39</v>
      </c>
      <c r="J50" s="759">
        <v>275</v>
      </c>
      <c r="K50" s="759"/>
      <c r="L50" s="759">
        <v>215</v>
      </c>
      <c r="M50" s="759"/>
      <c r="N50" s="759">
        <v>3</v>
      </c>
      <c r="O50" s="759"/>
      <c r="P50" s="668">
        <v>37.750728231150269</v>
      </c>
      <c r="Q50" s="670">
        <f t="shared" si="8"/>
        <v>16.5</v>
      </c>
      <c r="R50" s="432">
        <v>1.3320000000000001</v>
      </c>
      <c r="S50" s="432">
        <v>6.3789999999999996</v>
      </c>
      <c r="T50" s="670">
        <v>1.5</v>
      </c>
      <c r="U50" s="668">
        <f t="shared" ref="U50:U56" si="9">T50/R50</f>
        <v>1.1261261261261262</v>
      </c>
      <c r="V50" s="668">
        <f t="shared" si="7"/>
        <v>79.118984166797304</v>
      </c>
      <c r="W50" s="668">
        <v>0.3</v>
      </c>
      <c r="X50" s="432">
        <f t="shared" si="1"/>
        <v>0.38660606060606056</v>
      </c>
      <c r="Y50" s="432">
        <f t="shared" si="4"/>
        <v>1.309356</v>
      </c>
      <c r="Z50" s="432">
        <f t="shared" si="4"/>
        <v>6.2705569999999993</v>
      </c>
      <c r="AA50" s="670">
        <f t="shared" si="4"/>
        <v>1.4744999999999999</v>
      </c>
      <c r="AB50" s="432">
        <f t="shared" si="5"/>
        <v>1.1261261261261262</v>
      </c>
      <c r="AC50" s="670">
        <f t="shared" si="2"/>
        <v>79.118984166797304</v>
      </c>
      <c r="AD50" s="759">
        <v>31</v>
      </c>
      <c r="AE50" s="432">
        <f t="shared" si="6"/>
        <v>40.590035999999998</v>
      </c>
      <c r="AF50" s="669"/>
    </row>
    <row r="51" spans="1:32" ht="18.75" customHeight="1" x14ac:dyDescent="0.2">
      <c r="A51" s="759">
        <v>38</v>
      </c>
      <c r="B51" s="461" t="s">
        <v>130</v>
      </c>
      <c r="C51" s="759" t="s">
        <v>46</v>
      </c>
      <c r="D51" s="759">
        <v>622.6</v>
      </c>
      <c r="E51" s="759" t="s">
        <v>134</v>
      </c>
      <c r="F51" s="759">
        <v>177.8</v>
      </c>
      <c r="G51" s="759" t="s">
        <v>28</v>
      </c>
      <c r="H51" s="759" t="s">
        <v>48</v>
      </c>
      <c r="I51" s="754">
        <v>551.79999999999995</v>
      </c>
      <c r="J51" s="759">
        <v>145</v>
      </c>
      <c r="K51" s="759"/>
      <c r="L51" s="759">
        <v>92</v>
      </c>
      <c r="M51" s="759"/>
      <c r="N51" s="759">
        <v>4.0999999999999996</v>
      </c>
      <c r="O51" s="759"/>
      <c r="P51" s="668">
        <v>51.011180544956019</v>
      </c>
      <c r="Q51" s="670">
        <f t="shared" si="8"/>
        <v>18.850000000000001</v>
      </c>
      <c r="R51" s="432">
        <v>0.68100000000000005</v>
      </c>
      <c r="S51" s="432">
        <v>13.351000000000001</v>
      </c>
      <c r="T51" s="670">
        <v>0</v>
      </c>
      <c r="U51" s="668">
        <f t="shared" si="9"/>
        <v>0</v>
      </c>
      <c r="V51" s="668">
        <f t="shared" si="7"/>
        <v>94.899258482510689</v>
      </c>
      <c r="W51" s="668">
        <v>0.1</v>
      </c>
      <c r="X51" s="432">
        <f t="shared" si="1"/>
        <v>0.70827586206896553</v>
      </c>
      <c r="Y51" s="432">
        <f t="shared" si="4"/>
        <v>0.66942299999999999</v>
      </c>
      <c r="Z51" s="432">
        <f t="shared" si="4"/>
        <v>13.124033000000001</v>
      </c>
      <c r="AA51" s="670">
        <f t="shared" si="4"/>
        <v>0</v>
      </c>
      <c r="AB51" s="432">
        <f t="shared" si="5"/>
        <v>0</v>
      </c>
      <c r="AC51" s="670">
        <f t="shared" si="2"/>
        <v>94.899258482510689</v>
      </c>
      <c r="AD51" s="759">
        <v>31</v>
      </c>
      <c r="AE51" s="432">
        <f t="shared" si="6"/>
        <v>20.752113000000001</v>
      </c>
      <c r="AF51" s="669"/>
    </row>
    <row r="52" spans="1:32" ht="18.75" customHeight="1" x14ac:dyDescent="0.2">
      <c r="A52" s="759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759">
        <v>177.8</v>
      </c>
      <c r="G52" s="452" t="s">
        <v>28</v>
      </c>
      <c r="H52" s="655" t="s">
        <v>363</v>
      </c>
      <c r="I52" s="453">
        <v>565.65</v>
      </c>
      <c r="J52" s="452">
        <v>295</v>
      </c>
      <c r="K52" s="452"/>
      <c r="L52" s="452">
        <v>225</v>
      </c>
      <c r="M52" s="452"/>
      <c r="N52" s="759">
        <v>0.7</v>
      </c>
      <c r="O52" s="452"/>
      <c r="P52" s="675">
        <v>32.982203338917728</v>
      </c>
      <c r="Q52" s="670">
        <f>J52*7/100</f>
        <v>20.65</v>
      </c>
      <c r="R52" s="456">
        <v>1.4770000000000001</v>
      </c>
      <c r="S52" s="432">
        <v>1.78</v>
      </c>
      <c r="T52" s="700">
        <v>0</v>
      </c>
      <c r="U52" s="668">
        <f t="shared" si="9"/>
        <v>0</v>
      </c>
      <c r="V52" s="668">
        <f t="shared" si="7"/>
        <v>17.022471910112355</v>
      </c>
      <c r="W52" s="675">
        <v>0.7</v>
      </c>
      <c r="X52" s="432">
        <f t="shared" si="1"/>
        <v>8.6198547215496371E-2</v>
      </c>
      <c r="Y52" s="432">
        <f t="shared" si="4"/>
        <v>1.451891</v>
      </c>
      <c r="Z52" s="432">
        <f t="shared" si="4"/>
        <v>1.7497400000000001</v>
      </c>
      <c r="AA52" s="670">
        <f t="shared" si="4"/>
        <v>0</v>
      </c>
      <c r="AB52" s="456">
        <f t="shared" si="5"/>
        <v>0</v>
      </c>
      <c r="AC52" s="670">
        <f t="shared" si="2"/>
        <v>17.022471910112355</v>
      </c>
      <c r="AD52" s="759">
        <v>31</v>
      </c>
      <c r="AE52" s="456">
        <f t="shared" si="6"/>
        <v>45.008620999999998</v>
      </c>
      <c r="AF52" s="449"/>
    </row>
    <row r="53" spans="1:32" ht="18.75" customHeight="1" x14ac:dyDescent="0.2">
      <c r="A53" s="759">
        <v>40</v>
      </c>
      <c r="B53" s="461" t="s">
        <v>116</v>
      </c>
      <c r="C53" s="759" t="s">
        <v>46</v>
      </c>
      <c r="D53" s="759">
        <v>681.27</v>
      </c>
      <c r="E53" s="759" t="s">
        <v>124</v>
      </c>
      <c r="F53" s="759">
        <v>177.8</v>
      </c>
      <c r="G53" s="759" t="s">
        <v>28</v>
      </c>
      <c r="H53" s="759" t="s">
        <v>53</v>
      </c>
      <c r="I53" s="754">
        <v>558.35</v>
      </c>
      <c r="J53" s="759">
        <v>260</v>
      </c>
      <c r="K53" s="759"/>
      <c r="L53" s="759">
        <v>309</v>
      </c>
      <c r="M53" s="759"/>
      <c r="N53" s="759">
        <v>7.6</v>
      </c>
      <c r="O53" s="759"/>
      <c r="P53" s="668">
        <v>32.382801744407772</v>
      </c>
      <c r="Q53" s="700">
        <f t="shared" si="8"/>
        <v>33.799999999999997</v>
      </c>
      <c r="R53" s="432">
        <v>0.86399999999999999</v>
      </c>
      <c r="S53" s="432">
        <v>1.623</v>
      </c>
      <c r="T53" s="670">
        <v>0</v>
      </c>
      <c r="U53" s="668">
        <f t="shared" si="9"/>
        <v>0</v>
      </c>
      <c r="V53" s="668">
        <f t="shared" si="7"/>
        <v>46.765249537892792</v>
      </c>
      <c r="W53" s="668">
        <v>0.3</v>
      </c>
      <c r="X53" s="432">
        <f t="shared" si="1"/>
        <v>4.8017751479289945E-2</v>
      </c>
      <c r="Y53" s="432">
        <f t="shared" si="4"/>
        <v>0.84931199999999996</v>
      </c>
      <c r="Z53" s="432">
        <f t="shared" si="4"/>
        <v>1.5954090000000001</v>
      </c>
      <c r="AA53" s="670">
        <f t="shared" si="4"/>
        <v>0</v>
      </c>
      <c r="AB53" s="432">
        <f t="shared" si="5"/>
        <v>0</v>
      </c>
      <c r="AC53" s="670">
        <f t="shared" si="2"/>
        <v>46.765249537892792</v>
      </c>
      <c r="AD53" s="759">
        <v>31</v>
      </c>
      <c r="AE53" s="432">
        <f t="shared" si="6"/>
        <v>26.328671999999997</v>
      </c>
      <c r="AF53" s="449"/>
    </row>
    <row r="54" spans="1:32" ht="18.75" customHeight="1" x14ac:dyDescent="0.2">
      <c r="A54" s="759">
        <v>41</v>
      </c>
      <c r="B54" s="461" t="s">
        <v>120</v>
      </c>
      <c r="C54" s="759" t="s">
        <v>46</v>
      </c>
      <c r="D54" s="759">
        <v>668.57</v>
      </c>
      <c r="E54" s="759" t="s">
        <v>285</v>
      </c>
      <c r="F54" s="759">
        <v>177.8</v>
      </c>
      <c r="G54" s="759" t="s">
        <v>28</v>
      </c>
      <c r="H54" s="759" t="s">
        <v>48</v>
      </c>
      <c r="I54" s="754">
        <v>567.08000000000004</v>
      </c>
      <c r="J54" s="759">
        <v>239</v>
      </c>
      <c r="K54" s="759"/>
      <c r="L54" s="759">
        <v>408</v>
      </c>
      <c r="M54" s="759"/>
      <c r="N54" s="759">
        <v>0</v>
      </c>
      <c r="O54" s="759"/>
      <c r="P54" s="668">
        <v>15.977769109429198</v>
      </c>
      <c r="Q54" s="670">
        <f t="shared" si="8"/>
        <v>31.07</v>
      </c>
      <c r="R54" s="432">
        <v>2.2570000000000001</v>
      </c>
      <c r="S54" s="432">
        <v>3.2</v>
      </c>
      <c r="T54" s="670">
        <v>0</v>
      </c>
      <c r="U54" s="668">
        <f t="shared" si="9"/>
        <v>0</v>
      </c>
      <c r="V54" s="668">
        <f t="shared" si="7"/>
        <v>29.46875</v>
      </c>
      <c r="W54" s="668">
        <v>1</v>
      </c>
      <c r="X54" s="432">
        <f t="shared" si="1"/>
        <v>0.10299324106855488</v>
      </c>
      <c r="Y54" s="432">
        <f t="shared" si="4"/>
        <v>2.2186310000000002</v>
      </c>
      <c r="Z54" s="432">
        <f t="shared" si="4"/>
        <v>3.1456</v>
      </c>
      <c r="AA54" s="670">
        <f t="shared" si="4"/>
        <v>0</v>
      </c>
      <c r="AB54" s="432">
        <f t="shared" si="5"/>
        <v>0</v>
      </c>
      <c r="AC54" s="670">
        <f t="shared" si="2"/>
        <v>29.46875</v>
      </c>
      <c r="AD54" s="759">
        <v>31</v>
      </c>
      <c r="AE54" s="432">
        <f t="shared" si="6"/>
        <v>68.777561000000006</v>
      </c>
      <c r="AF54" s="669"/>
    </row>
    <row r="55" spans="1:32" ht="18.75" customHeight="1" x14ac:dyDescent="0.2">
      <c r="A55" s="759">
        <v>42</v>
      </c>
      <c r="B55" s="461" t="s">
        <v>114</v>
      </c>
      <c r="C55" s="759" t="s">
        <v>46</v>
      </c>
      <c r="D55" s="759">
        <v>584.25</v>
      </c>
      <c r="E55" s="759" t="s">
        <v>123</v>
      </c>
      <c r="F55" s="759">
        <v>177.8</v>
      </c>
      <c r="G55" s="759" t="s">
        <v>28</v>
      </c>
      <c r="H55" s="165" t="s">
        <v>383</v>
      </c>
      <c r="I55" s="754">
        <v>568.04999999999995</v>
      </c>
      <c r="J55" s="759">
        <v>275</v>
      </c>
      <c r="K55" s="759"/>
      <c r="L55" s="759">
        <v>211</v>
      </c>
      <c r="M55" s="759"/>
      <c r="N55" s="759">
        <v>3</v>
      </c>
      <c r="O55" s="759"/>
      <c r="P55" s="668">
        <v>38.397665097935878</v>
      </c>
      <c r="Q55" s="670">
        <f>J55*3/100</f>
        <v>8.25</v>
      </c>
      <c r="R55" s="432">
        <v>1.0620000000000001</v>
      </c>
      <c r="S55" s="432">
        <v>4.1959999999999997</v>
      </c>
      <c r="T55" s="670">
        <v>1.6</v>
      </c>
      <c r="U55" s="668">
        <f t="shared" si="9"/>
        <v>1.5065913370998116</v>
      </c>
      <c r="V55" s="668">
        <f t="shared" si="7"/>
        <v>74.690181124880823</v>
      </c>
      <c r="W55" s="668">
        <v>0.3</v>
      </c>
      <c r="X55" s="432">
        <f t="shared" si="1"/>
        <v>0.50860606060606062</v>
      </c>
      <c r="Y55" s="432">
        <f t="shared" si="4"/>
        <v>1.043946</v>
      </c>
      <c r="Z55" s="432">
        <f t="shared" si="4"/>
        <v>4.1246679999999998</v>
      </c>
      <c r="AA55" s="670">
        <f t="shared" si="4"/>
        <v>1.5728</v>
      </c>
      <c r="AB55" s="432">
        <f t="shared" si="5"/>
        <v>1.5065913370998116</v>
      </c>
      <c r="AC55" s="670">
        <f t="shared" si="2"/>
        <v>74.690181124880823</v>
      </c>
      <c r="AD55" s="759">
        <v>31</v>
      </c>
      <c r="AE55" s="432">
        <f t="shared" si="6"/>
        <v>32.362326000000003</v>
      </c>
      <c r="AF55" s="457"/>
    </row>
    <row r="56" spans="1:32" ht="18.75" customHeight="1" x14ac:dyDescent="0.2">
      <c r="A56" s="759">
        <v>43</v>
      </c>
      <c r="B56" s="461" t="s">
        <v>106</v>
      </c>
      <c r="C56" s="759" t="s">
        <v>46</v>
      </c>
      <c r="D56" s="759">
        <v>642.52</v>
      </c>
      <c r="E56" s="759" t="s">
        <v>111</v>
      </c>
      <c r="F56" s="759">
        <v>177.8</v>
      </c>
      <c r="G56" s="759" t="s">
        <v>28</v>
      </c>
      <c r="H56" s="759" t="s">
        <v>52</v>
      </c>
      <c r="I56" s="754">
        <v>556.65</v>
      </c>
      <c r="J56" s="759">
        <v>230</v>
      </c>
      <c r="K56" s="759"/>
      <c r="L56" s="759">
        <v>162</v>
      </c>
      <c r="M56" s="759"/>
      <c r="N56" s="759">
        <v>4.0999999999999996</v>
      </c>
      <c r="O56" s="759"/>
      <c r="P56" s="668">
        <v>43.637767540159452</v>
      </c>
      <c r="Q56" s="670">
        <f t="shared" si="8"/>
        <v>50.6</v>
      </c>
      <c r="R56" s="432">
        <v>5.7919999999999998</v>
      </c>
      <c r="S56" s="432">
        <v>19.696999999999999</v>
      </c>
      <c r="T56" s="670">
        <v>17</v>
      </c>
      <c r="U56" s="668">
        <f t="shared" si="9"/>
        <v>2.9350828729281768</v>
      </c>
      <c r="V56" s="668">
        <f t="shared" si="7"/>
        <v>70.594506777681872</v>
      </c>
      <c r="W56" s="668">
        <v>0.2</v>
      </c>
      <c r="X56" s="432">
        <f t="shared" si="1"/>
        <v>0.38926877470355731</v>
      </c>
      <c r="Y56" s="432">
        <f t="shared" si="4"/>
        <v>5.6935359999999999</v>
      </c>
      <c r="Z56" s="432">
        <f t="shared" si="4"/>
        <v>19.362150999999997</v>
      </c>
      <c r="AA56" s="670">
        <f t="shared" si="4"/>
        <v>16.710999999999999</v>
      </c>
      <c r="AB56" s="432">
        <f t="shared" si="5"/>
        <v>2.9350828729281768</v>
      </c>
      <c r="AC56" s="670">
        <f t="shared" si="2"/>
        <v>70.594506777681872</v>
      </c>
      <c r="AD56" s="759">
        <v>31</v>
      </c>
      <c r="AE56" s="432">
        <f t="shared" si="6"/>
        <v>176.499616</v>
      </c>
      <c r="AF56" s="449"/>
    </row>
    <row r="57" spans="1:32" ht="18.75" customHeight="1" x14ac:dyDescent="0.2">
      <c r="A57" s="759">
        <v>44</v>
      </c>
      <c r="B57" s="461" t="s">
        <v>105</v>
      </c>
      <c r="C57" s="759" t="s">
        <v>404</v>
      </c>
      <c r="D57" s="759">
        <v>609.6</v>
      </c>
      <c r="E57" s="759" t="s">
        <v>405</v>
      </c>
      <c r="F57" s="759">
        <v>177.8</v>
      </c>
      <c r="G57" s="759" t="s">
        <v>28</v>
      </c>
      <c r="H57" s="655" t="s">
        <v>406</v>
      </c>
      <c r="I57" s="754">
        <v>512.69000000000005</v>
      </c>
      <c r="J57" s="759">
        <v>145</v>
      </c>
      <c r="K57" s="759"/>
      <c r="L57" s="759">
        <v>370</v>
      </c>
      <c r="M57" s="759"/>
      <c r="N57" s="759">
        <v>0.8</v>
      </c>
      <c r="O57" s="759"/>
      <c r="P57" s="668">
        <v>14.426623437166475</v>
      </c>
      <c r="Q57" s="432">
        <f>J57*20/100</f>
        <v>29</v>
      </c>
      <c r="R57" s="432">
        <v>2.2330000000000001</v>
      </c>
      <c r="S57" s="432">
        <v>2.3359999999999999</v>
      </c>
      <c r="T57" s="670">
        <v>17</v>
      </c>
      <c r="U57" s="668">
        <f>IF(R57=0,0,T57/R57)</f>
        <v>7.6130765785938195</v>
      </c>
      <c r="V57" s="668">
        <f t="shared" si="7"/>
        <v>4.4092465753424559</v>
      </c>
      <c r="W57" s="668">
        <v>0.3</v>
      </c>
      <c r="X57" s="432">
        <f t="shared" si="1"/>
        <v>8.0551724137931033E-2</v>
      </c>
      <c r="Y57" s="432">
        <f t="shared" si="4"/>
        <v>2.195039</v>
      </c>
      <c r="Z57" s="432">
        <f t="shared" si="4"/>
        <v>2.2962879999999997</v>
      </c>
      <c r="AA57" s="670">
        <f t="shared" si="4"/>
        <v>16.710999999999999</v>
      </c>
      <c r="AB57" s="432">
        <f t="shared" si="5"/>
        <v>7.6130765785938195</v>
      </c>
      <c r="AC57" s="670">
        <f t="shared" si="2"/>
        <v>4.4092465753424559</v>
      </c>
      <c r="AD57" s="759">
        <v>31</v>
      </c>
      <c r="AE57" s="432">
        <f t="shared" si="6"/>
        <v>68.046209000000005</v>
      </c>
      <c r="AF57" s="449" t="s">
        <v>409</v>
      </c>
    </row>
    <row r="58" spans="1:32" ht="18.75" customHeight="1" x14ac:dyDescent="0.2">
      <c r="A58" s="759">
        <v>45</v>
      </c>
      <c r="B58" s="461" t="s">
        <v>104</v>
      </c>
      <c r="C58" s="759" t="s">
        <v>381</v>
      </c>
      <c r="D58" s="759">
        <v>707.14</v>
      </c>
      <c r="E58" s="754" t="s">
        <v>382</v>
      </c>
      <c r="F58" s="759">
        <v>177.8</v>
      </c>
      <c r="G58" s="759" t="s">
        <v>28</v>
      </c>
      <c r="H58" s="165" t="s">
        <v>383</v>
      </c>
      <c r="I58" s="754">
        <v>682.43000000000052</v>
      </c>
      <c r="J58" s="759">
        <v>200</v>
      </c>
      <c r="K58" s="759"/>
      <c r="L58" s="759">
        <v>567</v>
      </c>
      <c r="M58" s="759"/>
      <c r="N58" s="759">
        <v>5</v>
      </c>
      <c r="O58" s="759"/>
      <c r="P58" s="668">
        <v>13.43039997431193</v>
      </c>
      <c r="Q58" s="670">
        <f>J58*3/100</f>
        <v>6</v>
      </c>
      <c r="R58" s="432">
        <v>2.016</v>
      </c>
      <c r="S58" s="432">
        <v>2.395</v>
      </c>
      <c r="T58" s="670">
        <v>11</v>
      </c>
      <c r="U58" s="668">
        <f>IF(T58=0,0,T58/R58)</f>
        <v>5.4563492063492065</v>
      </c>
      <c r="V58" s="668">
        <f t="shared" si="7"/>
        <v>15.82463465553236</v>
      </c>
      <c r="W58" s="668">
        <v>0.2</v>
      </c>
      <c r="X58" s="432">
        <f t="shared" si="1"/>
        <v>0.39916666666666667</v>
      </c>
      <c r="Y58" s="432">
        <f t="shared" si="4"/>
        <v>1.9817279999999999</v>
      </c>
      <c r="Z58" s="432">
        <f t="shared" si="4"/>
        <v>2.354285</v>
      </c>
      <c r="AA58" s="670">
        <f t="shared" si="4"/>
        <v>10.813000000000001</v>
      </c>
      <c r="AB58" s="432">
        <f t="shared" si="5"/>
        <v>5.4563492063492065</v>
      </c>
      <c r="AC58" s="670">
        <f t="shared" si="2"/>
        <v>15.82463465553236</v>
      </c>
      <c r="AD58" s="759">
        <v>31</v>
      </c>
      <c r="AE58" s="432">
        <f t="shared" si="6"/>
        <v>61.433568000000001</v>
      </c>
      <c r="AF58" s="669"/>
    </row>
    <row r="59" spans="1:32" ht="18.75" customHeight="1" x14ac:dyDescent="0.3">
      <c r="A59" s="759">
        <v>46</v>
      </c>
      <c r="B59" s="755" t="s">
        <v>158</v>
      </c>
      <c r="C59" s="759" t="s">
        <v>46</v>
      </c>
      <c r="D59" s="754">
        <v>621.12</v>
      </c>
      <c r="E59" s="754" t="s">
        <v>232</v>
      </c>
      <c r="F59" s="759">
        <v>177.8</v>
      </c>
      <c r="G59" s="759" t="s">
        <v>28</v>
      </c>
      <c r="H59" s="165" t="s">
        <v>403</v>
      </c>
      <c r="I59" s="754">
        <v>544.41999999999996</v>
      </c>
      <c r="J59" s="754">
        <v>135</v>
      </c>
      <c r="K59" s="754"/>
      <c r="L59" s="754">
        <v>459</v>
      </c>
      <c r="M59" s="754"/>
      <c r="N59" s="759">
        <v>8.6</v>
      </c>
      <c r="O59" s="754"/>
      <c r="P59" s="448">
        <v>17.782506124735718</v>
      </c>
      <c r="Q59" s="670">
        <f>J59*23/100</f>
        <v>31.05</v>
      </c>
      <c r="R59" s="432">
        <v>6.798</v>
      </c>
      <c r="S59" s="432">
        <v>9.6240000000000006</v>
      </c>
      <c r="T59" s="492">
        <v>261</v>
      </c>
      <c r="U59" s="668">
        <f t="shared" ref="U59:U65" si="10">T59/R59</f>
        <v>38.393645189761692</v>
      </c>
      <c r="V59" s="668">
        <f t="shared" si="7"/>
        <v>29.364089775561101</v>
      </c>
      <c r="W59" s="668">
        <v>0.2</v>
      </c>
      <c r="X59" s="432">
        <f t="shared" si="1"/>
        <v>0.30995169082125607</v>
      </c>
      <c r="Y59" s="432">
        <f t="shared" si="4"/>
        <v>6.6824339999999998</v>
      </c>
      <c r="Z59" s="432">
        <f t="shared" si="4"/>
        <v>9.4603920000000006</v>
      </c>
      <c r="AA59" s="670">
        <f t="shared" si="4"/>
        <v>256.56299999999999</v>
      </c>
      <c r="AB59" s="432">
        <f t="shared" si="5"/>
        <v>38.393645189761692</v>
      </c>
      <c r="AC59" s="670">
        <f t="shared" si="2"/>
        <v>29.364089775561101</v>
      </c>
      <c r="AD59" s="759">
        <v>31</v>
      </c>
      <c r="AE59" s="432">
        <f>Y59*AD59</f>
        <v>207.15545399999999</v>
      </c>
      <c r="AF59" s="458"/>
    </row>
    <row r="60" spans="1:32" ht="18.75" customHeight="1" x14ac:dyDescent="0.2">
      <c r="A60" s="759">
        <v>47</v>
      </c>
      <c r="B60" s="755" t="s">
        <v>160</v>
      </c>
      <c r="C60" s="759" t="s">
        <v>304</v>
      </c>
      <c r="D60" s="754">
        <v>677.33</v>
      </c>
      <c r="E60" s="754" t="s">
        <v>315</v>
      </c>
      <c r="F60" s="759">
        <v>177.8</v>
      </c>
      <c r="G60" s="759" t="s">
        <v>28</v>
      </c>
      <c r="H60" s="759" t="s">
        <v>50</v>
      </c>
      <c r="I60" s="754">
        <v>619</v>
      </c>
      <c r="J60" s="754">
        <v>350</v>
      </c>
      <c r="K60" s="754"/>
      <c r="L60" s="759">
        <v>43</v>
      </c>
      <c r="M60" s="754"/>
      <c r="N60" s="759">
        <v>3.4</v>
      </c>
      <c r="O60" s="754"/>
      <c r="P60" s="448">
        <v>49.697050618534874</v>
      </c>
      <c r="Q60" s="670">
        <f t="shared" si="8"/>
        <v>21</v>
      </c>
      <c r="R60" s="432">
        <v>0.95199999999999996</v>
      </c>
      <c r="S60" s="432">
        <v>1.0349999999999999</v>
      </c>
      <c r="T60" s="492">
        <v>12.85</v>
      </c>
      <c r="U60" s="668">
        <f t="shared" si="10"/>
        <v>13.497899159663866</v>
      </c>
      <c r="V60" s="668">
        <f t="shared" si="7"/>
        <v>8.0193236714975811</v>
      </c>
      <c r="W60" s="668">
        <v>0.2</v>
      </c>
      <c r="X60" s="432">
        <f t="shared" si="1"/>
        <v>4.928571428571428E-2</v>
      </c>
      <c r="Y60" s="432">
        <f t="shared" si="4"/>
        <v>0.93581599999999998</v>
      </c>
      <c r="Z60" s="432">
        <f t="shared" si="4"/>
        <v>1.0174049999999999</v>
      </c>
      <c r="AA60" s="670">
        <f t="shared" si="4"/>
        <v>12.631549999999999</v>
      </c>
      <c r="AB60" s="432">
        <f t="shared" si="5"/>
        <v>13.497899159663866</v>
      </c>
      <c r="AC60" s="670">
        <f t="shared" si="2"/>
        <v>8.0193236714975811</v>
      </c>
      <c r="AD60" s="759">
        <v>31</v>
      </c>
      <c r="AE60" s="432">
        <f>Y60*AD60</f>
        <v>29.010296</v>
      </c>
      <c r="AF60" s="669"/>
    </row>
    <row r="61" spans="1:32" ht="18.75" customHeight="1" x14ac:dyDescent="0.2">
      <c r="A61" s="759">
        <v>48</v>
      </c>
      <c r="B61" s="461" t="s">
        <v>164</v>
      </c>
      <c r="C61" s="759" t="s">
        <v>46</v>
      </c>
      <c r="D61" s="754">
        <v>678.47</v>
      </c>
      <c r="E61" s="754" t="s">
        <v>233</v>
      </c>
      <c r="F61" s="759">
        <v>177.8</v>
      </c>
      <c r="G61" s="759" t="s">
        <v>28</v>
      </c>
      <c r="H61" s="759" t="s">
        <v>48</v>
      </c>
      <c r="I61" s="754">
        <v>563.11</v>
      </c>
      <c r="J61" s="754">
        <v>250</v>
      </c>
      <c r="K61" s="754"/>
      <c r="L61" s="754">
        <v>395</v>
      </c>
      <c r="M61" s="754"/>
      <c r="N61" s="759">
        <v>2.2000000000000002</v>
      </c>
      <c r="O61" s="754"/>
      <c r="P61" s="668">
        <v>19.422112811466505</v>
      </c>
      <c r="Q61" s="670">
        <f t="shared" si="8"/>
        <v>32.5</v>
      </c>
      <c r="R61" s="432">
        <v>3.85</v>
      </c>
      <c r="S61" s="432">
        <v>5.4039999999999999</v>
      </c>
      <c r="T61" s="670">
        <v>15.8</v>
      </c>
      <c r="U61" s="668">
        <f t="shared" si="10"/>
        <v>4.1038961038961039</v>
      </c>
      <c r="V61" s="668">
        <f t="shared" si="7"/>
        <v>28.756476683937819</v>
      </c>
      <c r="W61" s="668">
        <v>0.3</v>
      </c>
      <c r="X61" s="432">
        <f t="shared" si="1"/>
        <v>0.16627692307692307</v>
      </c>
      <c r="Y61" s="432">
        <f t="shared" si="4"/>
        <v>3.7845499999999999</v>
      </c>
      <c r="Z61" s="432">
        <f t="shared" si="4"/>
        <v>5.3121320000000001</v>
      </c>
      <c r="AA61" s="670">
        <f t="shared" si="4"/>
        <v>15.5314</v>
      </c>
      <c r="AB61" s="432">
        <f t="shared" si="5"/>
        <v>4.1038961038961039</v>
      </c>
      <c r="AC61" s="670">
        <f t="shared" si="2"/>
        <v>28.756476683937819</v>
      </c>
      <c r="AD61" s="759">
        <v>31</v>
      </c>
      <c r="AE61" s="432">
        <f t="shared" ref="AE61:AE76" si="11">Y61*AD61</f>
        <v>117.32105</v>
      </c>
      <c r="AF61" s="669"/>
    </row>
    <row r="62" spans="1:32" ht="18.75" customHeight="1" x14ac:dyDescent="0.2">
      <c r="A62" s="759">
        <v>49</v>
      </c>
      <c r="B62" s="461" t="s">
        <v>61</v>
      </c>
      <c r="C62" s="759" t="s">
        <v>46</v>
      </c>
      <c r="D62" s="759">
        <v>667.18</v>
      </c>
      <c r="E62" s="759" t="s">
        <v>96</v>
      </c>
      <c r="F62" s="759">
        <v>177.8</v>
      </c>
      <c r="G62" s="759" t="s">
        <v>28</v>
      </c>
      <c r="H62" s="759" t="s">
        <v>52</v>
      </c>
      <c r="I62" s="754">
        <v>534.21</v>
      </c>
      <c r="J62" s="759">
        <v>180</v>
      </c>
      <c r="K62" s="759"/>
      <c r="L62" s="759">
        <v>444</v>
      </c>
      <c r="M62" s="759"/>
      <c r="N62" s="759">
        <v>6.5</v>
      </c>
      <c r="O62" s="759"/>
      <c r="P62" s="668">
        <v>17.086116974436138</v>
      </c>
      <c r="Q62" s="670">
        <f t="shared" si="8"/>
        <v>39.6</v>
      </c>
      <c r="R62" s="432">
        <v>6.6790000000000003</v>
      </c>
      <c r="S62" s="432">
        <v>11.145</v>
      </c>
      <c r="T62" s="670">
        <v>132</v>
      </c>
      <c r="U62" s="668">
        <f t="shared" si="10"/>
        <v>19.763437640365325</v>
      </c>
      <c r="V62" s="668">
        <f t="shared" si="7"/>
        <v>40.07178106774338</v>
      </c>
      <c r="W62" s="668">
        <v>0.2</v>
      </c>
      <c r="X62" s="432">
        <f t="shared" si="1"/>
        <v>0.28143939393939393</v>
      </c>
      <c r="Y62" s="432">
        <f t="shared" si="4"/>
        <v>6.5654570000000003</v>
      </c>
      <c r="Z62" s="432">
        <f t="shared" si="4"/>
        <v>10.955534999999999</v>
      </c>
      <c r="AA62" s="670">
        <f t="shared" si="4"/>
        <v>129.756</v>
      </c>
      <c r="AB62" s="432">
        <f t="shared" si="5"/>
        <v>19.763437640365325</v>
      </c>
      <c r="AC62" s="670">
        <f t="shared" si="2"/>
        <v>40.07178106774338</v>
      </c>
      <c r="AD62" s="759">
        <v>31</v>
      </c>
      <c r="AE62" s="432">
        <f t="shared" si="11"/>
        <v>203.529167</v>
      </c>
      <c r="AF62" s="449"/>
    </row>
    <row r="63" spans="1:32" ht="18.75" customHeight="1" x14ac:dyDescent="0.2">
      <c r="A63" s="759">
        <v>50</v>
      </c>
      <c r="B63" s="461" t="s">
        <v>64</v>
      </c>
      <c r="C63" s="759" t="s">
        <v>46</v>
      </c>
      <c r="D63" s="759">
        <v>672.5</v>
      </c>
      <c r="E63" s="759" t="s">
        <v>234</v>
      </c>
      <c r="F63" s="759">
        <v>177.8</v>
      </c>
      <c r="G63" s="759" t="s">
        <v>28</v>
      </c>
      <c r="H63" s="655" t="s">
        <v>406</v>
      </c>
      <c r="I63" s="754">
        <v>534.14</v>
      </c>
      <c r="J63" s="759">
        <v>300</v>
      </c>
      <c r="K63" s="759"/>
      <c r="L63" s="759">
        <v>468</v>
      </c>
      <c r="M63" s="759"/>
      <c r="N63" s="759">
        <v>8.8000000000000007</v>
      </c>
      <c r="O63" s="759"/>
      <c r="P63" s="668">
        <v>17.261845829698505</v>
      </c>
      <c r="Q63" s="670">
        <f>J63*20/100</f>
        <v>60</v>
      </c>
      <c r="R63" s="432">
        <v>10.028</v>
      </c>
      <c r="S63" s="432">
        <v>13.994</v>
      </c>
      <c r="T63" s="670">
        <v>1176</v>
      </c>
      <c r="U63" s="668">
        <f t="shared" si="10"/>
        <v>117.27163940965296</v>
      </c>
      <c r="V63" s="668">
        <f t="shared" si="7"/>
        <v>28.340717450335855</v>
      </c>
      <c r="W63" s="668">
        <v>0.2</v>
      </c>
      <c r="X63" s="432">
        <f t="shared" si="1"/>
        <v>0.23323333333333332</v>
      </c>
      <c r="Y63" s="432">
        <f t="shared" si="4"/>
        <v>9.8575239999999997</v>
      </c>
      <c r="Z63" s="432">
        <f t="shared" si="4"/>
        <v>13.756102</v>
      </c>
      <c r="AA63" s="670">
        <f t="shared" si="4"/>
        <v>1156.008</v>
      </c>
      <c r="AB63" s="432">
        <f t="shared" si="5"/>
        <v>117.27163940965296</v>
      </c>
      <c r="AC63" s="670">
        <f t="shared" si="2"/>
        <v>28.340717450335855</v>
      </c>
      <c r="AD63" s="759">
        <v>31</v>
      </c>
      <c r="AE63" s="432">
        <f t="shared" si="11"/>
        <v>305.58324399999998</v>
      </c>
      <c r="AF63" s="449"/>
    </row>
    <row r="64" spans="1:32" ht="18.75" customHeight="1" x14ac:dyDescent="0.2">
      <c r="A64" s="759">
        <v>51</v>
      </c>
      <c r="B64" s="461" t="s">
        <v>156</v>
      </c>
      <c r="C64" s="759" t="s">
        <v>46</v>
      </c>
      <c r="D64" s="759">
        <v>679.54</v>
      </c>
      <c r="E64" s="759" t="s">
        <v>166</v>
      </c>
      <c r="F64" s="759">
        <v>177.8</v>
      </c>
      <c r="G64" s="759" t="s">
        <v>28</v>
      </c>
      <c r="H64" s="759" t="s">
        <v>52</v>
      </c>
      <c r="I64" s="754">
        <v>530.98</v>
      </c>
      <c r="J64" s="759">
        <v>210</v>
      </c>
      <c r="K64" s="759"/>
      <c r="L64" s="759">
        <v>456</v>
      </c>
      <c r="M64" s="759"/>
      <c r="N64" s="759">
        <v>7.6</v>
      </c>
      <c r="O64" s="759"/>
      <c r="P64" s="668">
        <v>16.948414248670922</v>
      </c>
      <c r="Q64" s="670">
        <f t="shared" si="8"/>
        <v>46.2</v>
      </c>
      <c r="R64" s="432">
        <v>7.3310000000000004</v>
      </c>
      <c r="S64" s="432">
        <v>11.009</v>
      </c>
      <c r="T64" s="670">
        <v>147.5</v>
      </c>
      <c r="U64" s="668">
        <f t="shared" si="10"/>
        <v>20.120038193970807</v>
      </c>
      <c r="V64" s="668">
        <f t="shared" si="7"/>
        <v>33.40902897629212</v>
      </c>
      <c r="W64" s="668">
        <v>0.2</v>
      </c>
      <c r="X64" s="432">
        <f t="shared" si="1"/>
        <v>0.23829004329004327</v>
      </c>
      <c r="Y64" s="432">
        <f t="shared" si="4"/>
        <v>7.2063730000000001</v>
      </c>
      <c r="Z64" s="432">
        <f t="shared" si="4"/>
        <v>10.821847</v>
      </c>
      <c r="AA64" s="670">
        <f t="shared" si="4"/>
        <v>144.99250000000001</v>
      </c>
      <c r="AB64" s="432">
        <f t="shared" si="5"/>
        <v>20.120038193970807</v>
      </c>
      <c r="AC64" s="670">
        <f t="shared" si="2"/>
        <v>33.40902897629212</v>
      </c>
      <c r="AD64" s="759">
        <v>31</v>
      </c>
      <c r="AE64" s="432">
        <f t="shared" si="11"/>
        <v>223.39756299999999</v>
      </c>
      <c r="AF64" s="449"/>
    </row>
    <row r="65" spans="1:32" ht="18.75" customHeight="1" x14ac:dyDescent="0.2">
      <c r="A65" s="759">
        <v>52</v>
      </c>
      <c r="B65" s="461" t="s">
        <v>169</v>
      </c>
      <c r="C65" s="759" t="s">
        <v>46</v>
      </c>
      <c r="D65" s="759">
        <v>673</v>
      </c>
      <c r="E65" s="759" t="s">
        <v>170</v>
      </c>
      <c r="F65" s="759">
        <v>177.8</v>
      </c>
      <c r="G65" s="759" t="s">
        <v>28</v>
      </c>
      <c r="H65" s="759" t="s">
        <v>52</v>
      </c>
      <c r="I65" s="754">
        <v>541.48</v>
      </c>
      <c r="J65" s="759">
        <v>175</v>
      </c>
      <c r="K65" s="759"/>
      <c r="L65" s="759">
        <v>443</v>
      </c>
      <c r="M65" s="759"/>
      <c r="N65" s="759">
        <v>7.9</v>
      </c>
      <c r="O65" s="759"/>
      <c r="P65" s="668">
        <v>19.600105131850597</v>
      </c>
      <c r="Q65" s="670">
        <f t="shared" si="8"/>
        <v>38.5</v>
      </c>
      <c r="R65" s="432">
        <v>4.907</v>
      </c>
      <c r="S65" s="432">
        <v>6.3819999999999997</v>
      </c>
      <c r="T65" s="670">
        <v>139</v>
      </c>
      <c r="U65" s="668">
        <f t="shared" si="10"/>
        <v>28.32687996739352</v>
      </c>
      <c r="V65" s="668">
        <f t="shared" si="7"/>
        <v>23.111877154497019</v>
      </c>
      <c r="W65" s="668">
        <v>0.3</v>
      </c>
      <c r="X65" s="432">
        <f t="shared" si="1"/>
        <v>0.16576623376623376</v>
      </c>
      <c r="Y65" s="432">
        <f t="shared" si="4"/>
        <v>4.8235809999999999</v>
      </c>
      <c r="Z65" s="432">
        <f t="shared" si="4"/>
        <v>6.2735059999999994</v>
      </c>
      <c r="AA65" s="670">
        <f t="shared" si="4"/>
        <v>136.637</v>
      </c>
      <c r="AB65" s="432">
        <f t="shared" si="5"/>
        <v>28.32687996739352</v>
      </c>
      <c r="AC65" s="670">
        <f t="shared" si="2"/>
        <v>23.111877154497019</v>
      </c>
      <c r="AD65" s="759">
        <v>31</v>
      </c>
      <c r="AE65" s="432">
        <f>Y65*AD65</f>
        <v>149.53101100000001</v>
      </c>
      <c r="AF65" s="449"/>
    </row>
    <row r="66" spans="1:32" ht="18.75" customHeight="1" x14ac:dyDescent="0.2">
      <c r="A66" s="759">
        <v>53</v>
      </c>
      <c r="B66" s="461" t="s">
        <v>62</v>
      </c>
      <c r="C66" s="759" t="s">
        <v>46</v>
      </c>
      <c r="D66" s="759">
        <v>673.73</v>
      </c>
      <c r="E66" s="759" t="s">
        <v>97</v>
      </c>
      <c r="F66" s="759">
        <v>177.8</v>
      </c>
      <c r="G66" s="759" t="s">
        <v>28</v>
      </c>
      <c r="H66" s="759" t="s">
        <v>218</v>
      </c>
      <c r="I66" s="754">
        <v>543</v>
      </c>
      <c r="J66" s="759">
        <v>235</v>
      </c>
      <c r="K66" s="759"/>
      <c r="L66" s="759">
        <v>449</v>
      </c>
      <c r="M66" s="759"/>
      <c r="N66" s="759">
        <v>8.6999999999999993</v>
      </c>
      <c r="O66" s="759"/>
      <c r="P66" s="668">
        <v>19.236827091409204</v>
      </c>
      <c r="Q66" s="670">
        <f t="shared" si="8"/>
        <v>75.2</v>
      </c>
      <c r="R66" s="432">
        <v>7.4359999999999999</v>
      </c>
      <c r="S66" s="432">
        <v>9.1809999999999992</v>
      </c>
      <c r="T66" s="670">
        <v>836</v>
      </c>
      <c r="U66" s="668">
        <f t="shared" si="0"/>
        <v>112.42603550295858</v>
      </c>
      <c r="V66" s="668">
        <f t="shared" si="7"/>
        <v>19.006644156409973</v>
      </c>
      <c r="W66" s="668">
        <v>0.2</v>
      </c>
      <c r="X66" s="432">
        <f t="shared" si="1"/>
        <v>0.12208776595744679</v>
      </c>
      <c r="Y66" s="432">
        <f t="shared" si="4"/>
        <v>7.3095879999999998</v>
      </c>
      <c r="Z66" s="432">
        <f t="shared" si="4"/>
        <v>9.0249229999999994</v>
      </c>
      <c r="AA66" s="670">
        <f t="shared" si="4"/>
        <v>821.78800000000001</v>
      </c>
      <c r="AB66" s="432">
        <f t="shared" si="5"/>
        <v>112.42603550295858</v>
      </c>
      <c r="AC66" s="670">
        <f t="shared" si="2"/>
        <v>19.006644156409973</v>
      </c>
      <c r="AD66" s="759">
        <v>31</v>
      </c>
      <c r="AE66" s="432">
        <f t="shared" si="11"/>
        <v>226.597228</v>
      </c>
      <c r="AF66" s="669"/>
    </row>
    <row r="67" spans="1:32" ht="18.75" customHeight="1" x14ac:dyDescent="0.2">
      <c r="A67" s="759">
        <v>54</v>
      </c>
      <c r="B67" s="461" t="s">
        <v>157</v>
      </c>
      <c r="C67" s="759" t="s">
        <v>46</v>
      </c>
      <c r="D67" s="759">
        <v>676.73</v>
      </c>
      <c r="E67" s="759" t="s">
        <v>179</v>
      </c>
      <c r="F67" s="759">
        <v>177.8</v>
      </c>
      <c r="G67" s="759" t="s">
        <v>28</v>
      </c>
      <c r="H67" s="759" t="s">
        <v>218</v>
      </c>
      <c r="I67" s="754">
        <v>579.14</v>
      </c>
      <c r="J67" s="759">
        <v>130</v>
      </c>
      <c r="K67" s="759"/>
      <c r="L67" s="759">
        <v>154</v>
      </c>
      <c r="M67" s="759"/>
      <c r="N67" s="759">
        <v>9.3000000000000007</v>
      </c>
      <c r="O67" s="759"/>
      <c r="P67" s="668">
        <v>46.627442583721908</v>
      </c>
      <c r="Q67" s="670">
        <f t="shared" si="8"/>
        <v>41.6</v>
      </c>
      <c r="R67" s="432">
        <v>16.05</v>
      </c>
      <c r="S67" s="432">
        <v>32.685000000000002</v>
      </c>
      <c r="T67" s="670">
        <v>164</v>
      </c>
      <c r="U67" s="668">
        <f t="shared" si="0"/>
        <v>10.218068535825545</v>
      </c>
      <c r="V67" s="668">
        <f t="shared" si="7"/>
        <v>50.894905920146861</v>
      </c>
      <c r="W67" s="668">
        <v>0.1</v>
      </c>
      <c r="X67" s="432">
        <f t="shared" si="1"/>
        <v>0.7856971153846154</v>
      </c>
      <c r="Y67" s="432">
        <f t="shared" si="4"/>
        <v>15.777150000000001</v>
      </c>
      <c r="Z67" s="432">
        <f t="shared" si="4"/>
        <v>32.129355000000004</v>
      </c>
      <c r="AA67" s="670">
        <f t="shared" si="4"/>
        <v>161.21199999999999</v>
      </c>
      <c r="AB67" s="432">
        <f t="shared" si="5"/>
        <v>10.218068535825545</v>
      </c>
      <c r="AC67" s="670">
        <f t="shared" si="2"/>
        <v>50.894905920146861</v>
      </c>
      <c r="AD67" s="759">
        <v>31</v>
      </c>
      <c r="AE67" s="432">
        <f t="shared" si="11"/>
        <v>489.09165000000002</v>
      </c>
      <c r="AF67" s="676"/>
    </row>
    <row r="68" spans="1:32" ht="18.75" customHeight="1" x14ac:dyDescent="0.2">
      <c r="A68" s="759">
        <v>55</v>
      </c>
      <c r="B68" s="461" t="s">
        <v>159</v>
      </c>
      <c r="C68" s="759" t="s">
        <v>46</v>
      </c>
      <c r="D68" s="759">
        <v>676</v>
      </c>
      <c r="E68" s="759" t="s">
        <v>167</v>
      </c>
      <c r="F68" s="759">
        <v>177.8</v>
      </c>
      <c r="G68" s="759" t="s">
        <v>28</v>
      </c>
      <c r="H68" s="759" t="s">
        <v>218</v>
      </c>
      <c r="I68" s="754">
        <v>508.57</v>
      </c>
      <c r="J68" s="759">
        <v>410</v>
      </c>
      <c r="K68" s="759"/>
      <c r="L68" s="759">
        <v>470</v>
      </c>
      <c r="M68" s="759"/>
      <c r="N68" s="759">
        <v>9</v>
      </c>
      <c r="O68" s="759"/>
      <c r="P68" s="668">
        <v>13.554830755757187</v>
      </c>
      <c r="Q68" s="432">
        <f t="shared" si="8"/>
        <v>131.19999999999999</v>
      </c>
      <c r="R68" s="432">
        <v>20.83</v>
      </c>
      <c r="S68" s="432">
        <v>24.594999999999999</v>
      </c>
      <c r="T68" s="670">
        <v>528</v>
      </c>
      <c r="U68" s="668">
        <f t="shared" si="0"/>
        <v>25.348055688910229</v>
      </c>
      <c r="V68" s="668">
        <f t="shared" si="7"/>
        <v>15.307989428745683</v>
      </c>
      <c r="W68" s="668">
        <v>0.2</v>
      </c>
      <c r="X68" s="432">
        <f t="shared" si="1"/>
        <v>0.18746189024390245</v>
      </c>
      <c r="Y68" s="432">
        <f t="shared" si="4"/>
        <v>20.47589</v>
      </c>
      <c r="Z68" s="432">
        <f t="shared" si="4"/>
        <v>24.176884999999999</v>
      </c>
      <c r="AA68" s="670">
        <f t="shared" si="4"/>
        <v>519.024</v>
      </c>
      <c r="AB68" s="432">
        <f t="shared" si="5"/>
        <v>25.348055688910229</v>
      </c>
      <c r="AC68" s="670">
        <f t="shared" si="2"/>
        <v>15.307989428745683</v>
      </c>
      <c r="AD68" s="759">
        <v>31</v>
      </c>
      <c r="AE68" s="432">
        <f t="shared" si="11"/>
        <v>634.75258999999994</v>
      </c>
      <c r="AF68" s="669"/>
    </row>
    <row r="69" spans="1:32" ht="18.75" customHeight="1" x14ac:dyDescent="0.2">
      <c r="A69" s="759">
        <v>56</v>
      </c>
      <c r="B69" s="461" t="s">
        <v>330</v>
      </c>
      <c r="C69" s="759" t="s">
        <v>46</v>
      </c>
      <c r="D69" s="759">
        <v>595</v>
      </c>
      <c r="E69" s="759" t="s">
        <v>367</v>
      </c>
      <c r="F69" s="759">
        <v>178.8</v>
      </c>
      <c r="G69" s="759" t="s">
        <v>28</v>
      </c>
      <c r="H69" s="241" t="s">
        <v>366</v>
      </c>
      <c r="I69" s="754">
        <v>505</v>
      </c>
      <c r="J69" s="759">
        <v>230</v>
      </c>
      <c r="K69" s="759"/>
      <c r="L69" s="759">
        <v>304</v>
      </c>
      <c r="M69" s="759"/>
      <c r="N69" s="759">
        <v>11.4</v>
      </c>
      <c r="O69" s="759"/>
      <c r="P69" s="668">
        <v>30.518327419104164</v>
      </c>
      <c r="Q69" s="670">
        <f>(33*J69)/100</f>
        <v>75.900000000000006</v>
      </c>
      <c r="R69" s="432">
        <v>27.456</v>
      </c>
      <c r="S69" s="432">
        <v>34.076000000000001</v>
      </c>
      <c r="T69" s="670">
        <v>860</v>
      </c>
      <c r="U69" s="668">
        <f t="shared" si="0"/>
        <v>31.322843822843822</v>
      </c>
      <c r="V69" s="668">
        <f t="shared" si="7"/>
        <v>19.427162812536686</v>
      </c>
      <c r="W69" s="668">
        <v>0.2</v>
      </c>
      <c r="X69" s="432">
        <f t="shared" si="1"/>
        <v>0.44895915678524373</v>
      </c>
      <c r="Y69" s="432">
        <f t="shared" si="4"/>
        <v>26.989248</v>
      </c>
      <c r="Z69" s="432">
        <f t="shared" si="4"/>
        <v>33.496707999999998</v>
      </c>
      <c r="AA69" s="670">
        <f t="shared" si="4"/>
        <v>845.38</v>
      </c>
      <c r="AB69" s="432">
        <v>20</v>
      </c>
      <c r="AC69" s="670">
        <v>17</v>
      </c>
      <c r="AD69" s="759">
        <v>31</v>
      </c>
      <c r="AE69" s="432">
        <f t="shared" si="11"/>
        <v>836.66668800000002</v>
      </c>
      <c r="AF69" s="669"/>
    </row>
    <row r="70" spans="1:32" ht="18.75" customHeight="1" x14ac:dyDescent="0.2">
      <c r="A70" s="759">
        <v>57</v>
      </c>
      <c r="B70" s="461" t="s">
        <v>210</v>
      </c>
      <c r="C70" s="759" t="s">
        <v>46</v>
      </c>
      <c r="D70" s="759">
        <v>728.32</v>
      </c>
      <c r="E70" s="759" t="s">
        <v>226</v>
      </c>
      <c r="F70" s="759">
        <v>177.8</v>
      </c>
      <c r="G70" s="759" t="s">
        <v>28</v>
      </c>
      <c r="H70" s="759" t="s">
        <v>218</v>
      </c>
      <c r="I70" s="754">
        <v>519.38</v>
      </c>
      <c r="J70" s="759">
        <v>120</v>
      </c>
      <c r="K70" s="759"/>
      <c r="L70" s="759">
        <v>210</v>
      </c>
      <c r="M70" s="759"/>
      <c r="N70" s="759">
        <v>12.7</v>
      </c>
      <c r="O70" s="759"/>
      <c r="P70" s="668">
        <v>43.551790617080151</v>
      </c>
      <c r="Q70" s="670">
        <f t="shared" si="8"/>
        <v>38.4</v>
      </c>
      <c r="R70" s="432">
        <v>15.2</v>
      </c>
      <c r="S70" s="432">
        <v>33.130000000000003</v>
      </c>
      <c r="T70" s="670">
        <v>193</v>
      </c>
      <c r="U70" s="668">
        <f t="shared" si="0"/>
        <v>12.697368421052632</v>
      </c>
      <c r="V70" s="668">
        <f t="shared" si="7"/>
        <v>54.120132810141875</v>
      </c>
      <c r="W70" s="668">
        <v>0.2</v>
      </c>
      <c r="X70" s="432">
        <f t="shared" si="1"/>
        <v>0.86276041666666681</v>
      </c>
      <c r="Y70" s="432">
        <f t="shared" si="4"/>
        <v>14.941599999999999</v>
      </c>
      <c r="Z70" s="432">
        <f t="shared" si="4"/>
        <v>32.566790000000005</v>
      </c>
      <c r="AA70" s="670">
        <f t="shared" si="4"/>
        <v>189.71899999999999</v>
      </c>
      <c r="AB70" s="432">
        <f t="shared" si="5"/>
        <v>12.697368421052632</v>
      </c>
      <c r="AC70" s="670">
        <f t="shared" si="2"/>
        <v>54.120132810141875</v>
      </c>
      <c r="AD70" s="759">
        <v>31</v>
      </c>
      <c r="AE70" s="432">
        <f t="shared" si="11"/>
        <v>463.18959999999998</v>
      </c>
      <c r="AF70" s="449"/>
    </row>
    <row r="71" spans="1:32" ht="18.75" customHeight="1" x14ac:dyDescent="0.2">
      <c r="A71" s="759">
        <v>58</v>
      </c>
      <c r="B71" s="461" t="s">
        <v>63</v>
      </c>
      <c r="C71" s="759" t="s">
        <v>46</v>
      </c>
      <c r="D71" s="759">
        <v>672.99</v>
      </c>
      <c r="E71" s="759" t="s">
        <v>98</v>
      </c>
      <c r="F71" s="759">
        <v>177.8</v>
      </c>
      <c r="G71" s="759" t="s">
        <v>28</v>
      </c>
      <c r="H71" s="759" t="s">
        <v>310</v>
      </c>
      <c r="I71" s="754">
        <v>536.32000000000005</v>
      </c>
      <c r="J71" s="759">
        <v>260</v>
      </c>
      <c r="K71" s="759"/>
      <c r="L71" s="759">
        <v>376</v>
      </c>
      <c r="M71" s="759"/>
      <c r="N71" s="759">
        <v>9.4</v>
      </c>
      <c r="O71" s="759"/>
      <c r="P71" s="668">
        <v>26.311676613837662</v>
      </c>
      <c r="Q71" s="670">
        <f t="shared" si="8"/>
        <v>57.2</v>
      </c>
      <c r="R71" s="432">
        <v>10.592000000000001</v>
      </c>
      <c r="S71" s="432">
        <v>14.359</v>
      </c>
      <c r="T71" s="670">
        <v>1159</v>
      </c>
      <c r="U71" s="668">
        <f t="shared" si="0"/>
        <v>109.42220543806646</v>
      </c>
      <c r="V71" s="668">
        <f t="shared" si="7"/>
        <v>26.234417438540287</v>
      </c>
      <c r="W71" s="668">
        <v>0.7</v>
      </c>
      <c r="X71" s="432">
        <f t="shared" si="1"/>
        <v>0.25103146853146852</v>
      </c>
      <c r="Y71" s="432">
        <f t="shared" si="4"/>
        <v>10.411936000000001</v>
      </c>
      <c r="Z71" s="432">
        <f t="shared" si="4"/>
        <v>14.114896999999999</v>
      </c>
      <c r="AA71" s="670">
        <f t="shared" si="4"/>
        <v>1139.297</v>
      </c>
      <c r="AB71" s="432">
        <f t="shared" si="5"/>
        <v>109.42220543806646</v>
      </c>
      <c r="AC71" s="670">
        <f t="shared" si="2"/>
        <v>26.234417438540287</v>
      </c>
      <c r="AD71" s="759">
        <v>31</v>
      </c>
      <c r="AE71" s="432">
        <f t="shared" si="11"/>
        <v>322.770016</v>
      </c>
      <c r="AF71" s="449"/>
    </row>
    <row r="72" spans="1:32" ht="18.75" customHeight="1" x14ac:dyDescent="0.2">
      <c r="A72" s="759">
        <v>59</v>
      </c>
      <c r="B72" s="461" t="s">
        <v>217</v>
      </c>
      <c r="C72" s="759" t="s">
        <v>46</v>
      </c>
      <c r="D72" s="759">
        <v>684.57</v>
      </c>
      <c r="E72" s="759" t="s">
        <v>359</v>
      </c>
      <c r="F72" s="759">
        <v>177.8</v>
      </c>
      <c r="G72" s="759" t="s">
        <v>28</v>
      </c>
      <c r="H72" s="759" t="s">
        <v>219</v>
      </c>
      <c r="I72" s="754">
        <v>555.95000000000005</v>
      </c>
      <c r="J72" s="759">
        <v>260</v>
      </c>
      <c r="K72" s="759"/>
      <c r="L72" s="759">
        <v>380</v>
      </c>
      <c r="M72" s="759"/>
      <c r="N72" s="759">
        <v>11.3</v>
      </c>
      <c r="O72" s="759"/>
      <c r="P72" s="668">
        <v>30.118671704025331</v>
      </c>
      <c r="Q72" s="670">
        <f t="shared" si="8"/>
        <v>31.2</v>
      </c>
      <c r="R72" s="432">
        <v>3.0289999999999999</v>
      </c>
      <c r="S72" s="432">
        <v>10.276999999999999</v>
      </c>
      <c r="T72" s="670">
        <v>31.5</v>
      </c>
      <c r="U72" s="668">
        <f t="shared" si="0"/>
        <v>10.399471772862331</v>
      </c>
      <c r="V72" s="668">
        <f t="shared" si="7"/>
        <v>70.526418215432514</v>
      </c>
      <c r="W72" s="668">
        <v>0.2</v>
      </c>
      <c r="X72" s="432">
        <f t="shared" si="1"/>
        <v>0.32939102564102563</v>
      </c>
      <c r="Y72" s="432">
        <f t="shared" si="4"/>
        <v>2.9775069999999997</v>
      </c>
      <c r="Z72" s="432">
        <f t="shared" si="4"/>
        <v>10.102290999999999</v>
      </c>
      <c r="AA72" s="670">
        <f t="shared" si="4"/>
        <v>30.964500000000001</v>
      </c>
      <c r="AB72" s="432">
        <f t="shared" si="5"/>
        <v>10.399471772862331</v>
      </c>
      <c r="AC72" s="670">
        <f t="shared" si="2"/>
        <v>70.526418215432514</v>
      </c>
      <c r="AD72" s="759">
        <v>31</v>
      </c>
      <c r="AE72" s="432">
        <f t="shared" si="11"/>
        <v>92.302716999999987</v>
      </c>
      <c r="AF72" s="449"/>
    </row>
    <row r="73" spans="1:32" ht="18.75" customHeight="1" x14ac:dyDescent="0.2">
      <c r="A73" s="759">
        <v>60</v>
      </c>
      <c r="B73" s="461" t="s">
        <v>211</v>
      </c>
      <c r="C73" s="759" t="s">
        <v>46</v>
      </c>
      <c r="D73" s="759">
        <v>675.29</v>
      </c>
      <c r="E73" s="759" t="s">
        <v>224</v>
      </c>
      <c r="F73" s="759">
        <v>177.8</v>
      </c>
      <c r="G73" s="759" t="s">
        <v>28</v>
      </c>
      <c r="H73" s="759" t="s">
        <v>384</v>
      </c>
      <c r="I73" s="754">
        <v>554.95999999999981</v>
      </c>
      <c r="J73" s="759">
        <v>170</v>
      </c>
      <c r="K73" s="759"/>
      <c r="L73" s="759">
        <v>427</v>
      </c>
      <c r="M73" s="759"/>
      <c r="N73" s="759">
        <v>0.6</v>
      </c>
      <c r="O73" s="759"/>
      <c r="P73" s="668">
        <v>14.63458172914406</v>
      </c>
      <c r="Q73" s="670">
        <f>(22*J73)/100</f>
        <v>37.4</v>
      </c>
      <c r="R73" s="432">
        <v>2.9990000000000001</v>
      </c>
      <c r="S73" s="432">
        <v>4.5359999999999996</v>
      </c>
      <c r="T73" s="670">
        <v>41.5</v>
      </c>
      <c r="U73" s="668">
        <f t="shared" si="0"/>
        <v>13.837945981993997</v>
      </c>
      <c r="V73" s="668">
        <f t="shared" si="7"/>
        <v>33.884479717813043</v>
      </c>
      <c r="W73" s="668">
        <v>0.4</v>
      </c>
      <c r="X73" s="432">
        <f t="shared" si="1"/>
        <v>0.12128342245989304</v>
      </c>
      <c r="Y73" s="432">
        <f t="shared" si="4"/>
        <v>2.9480170000000001</v>
      </c>
      <c r="Z73" s="432">
        <f t="shared" si="4"/>
        <v>4.458888</v>
      </c>
      <c r="AA73" s="670">
        <f t="shared" si="4"/>
        <v>40.794499999999999</v>
      </c>
      <c r="AB73" s="432">
        <f t="shared" si="5"/>
        <v>13.837945981993997</v>
      </c>
      <c r="AC73" s="670">
        <f t="shared" si="2"/>
        <v>33.884479717813043</v>
      </c>
      <c r="AD73" s="759">
        <v>31</v>
      </c>
      <c r="AE73" s="432">
        <f t="shared" si="11"/>
        <v>91.388527000000011</v>
      </c>
      <c r="AF73" s="449"/>
    </row>
    <row r="74" spans="1:32" ht="18.75" customHeight="1" x14ac:dyDescent="0.2">
      <c r="A74" s="759">
        <v>61</v>
      </c>
      <c r="B74" s="461" t="s">
        <v>341</v>
      </c>
      <c r="C74" s="759" t="s">
        <v>46</v>
      </c>
      <c r="D74" s="759">
        <v>683.16</v>
      </c>
      <c r="E74" s="759" t="s">
        <v>343</v>
      </c>
      <c r="F74" s="759">
        <v>177.8</v>
      </c>
      <c r="G74" s="759" t="s">
        <v>28</v>
      </c>
      <c r="H74" s="564" t="s">
        <v>342</v>
      </c>
      <c r="I74" s="754">
        <v>571.9</v>
      </c>
      <c r="J74" s="759">
        <v>215</v>
      </c>
      <c r="K74" s="759"/>
      <c r="L74" s="759">
        <v>138</v>
      </c>
      <c r="M74" s="759"/>
      <c r="N74" s="759">
        <v>11.5</v>
      </c>
      <c r="O74" s="759"/>
      <c r="P74" s="668">
        <v>49.18076134904878</v>
      </c>
      <c r="Q74" s="670">
        <f>(20*J74)/100</f>
        <v>43</v>
      </c>
      <c r="R74" s="432">
        <v>21.641999999999999</v>
      </c>
      <c r="S74" s="432">
        <v>38.664000000000001</v>
      </c>
      <c r="T74" s="670">
        <v>323</v>
      </c>
      <c r="U74" s="668">
        <f t="shared" si="0"/>
        <v>14.92468348581462</v>
      </c>
      <c r="V74" s="668">
        <f t="shared" si="7"/>
        <v>44.025450031036627</v>
      </c>
      <c r="W74" s="668">
        <v>0.2</v>
      </c>
      <c r="X74" s="432">
        <f t="shared" si="1"/>
        <v>0.89916279069767446</v>
      </c>
      <c r="Y74" s="432">
        <f t="shared" si="4"/>
        <v>21.274086</v>
      </c>
      <c r="Z74" s="432">
        <f t="shared" si="4"/>
        <v>38.006712</v>
      </c>
      <c r="AA74" s="670">
        <f t="shared" si="4"/>
        <v>317.50900000000001</v>
      </c>
      <c r="AB74" s="432">
        <f t="shared" si="5"/>
        <v>14.92468348581462</v>
      </c>
      <c r="AC74" s="670">
        <f t="shared" si="2"/>
        <v>44.025450031036627</v>
      </c>
      <c r="AD74" s="759">
        <v>31</v>
      </c>
      <c r="AE74" s="432">
        <f t="shared" si="11"/>
        <v>659.496666</v>
      </c>
      <c r="AF74" s="449"/>
    </row>
    <row r="75" spans="1:32" ht="18.75" customHeight="1" x14ac:dyDescent="0.3">
      <c r="A75" s="759">
        <v>62</v>
      </c>
      <c r="B75" s="461" t="s">
        <v>354</v>
      </c>
      <c r="C75" s="759" t="s">
        <v>46</v>
      </c>
      <c r="D75" s="759">
        <v>634.29</v>
      </c>
      <c r="E75" s="656" t="s">
        <v>356</v>
      </c>
      <c r="F75" s="759">
        <v>178.8</v>
      </c>
      <c r="G75" s="759" t="s">
        <v>28</v>
      </c>
      <c r="H75" s="241" t="s">
        <v>366</v>
      </c>
      <c r="I75" s="754">
        <v>540.14</v>
      </c>
      <c r="J75" s="759">
        <v>120</v>
      </c>
      <c r="K75" s="759"/>
      <c r="L75" s="759">
        <v>281</v>
      </c>
      <c r="M75" s="759"/>
      <c r="N75" s="759">
        <v>12.2</v>
      </c>
      <c r="O75" s="759"/>
      <c r="P75" s="668">
        <v>37.46332112530547</v>
      </c>
      <c r="Q75" s="670">
        <f>(33*J75)/100</f>
        <v>39.6</v>
      </c>
      <c r="R75" s="432">
        <v>19.818000000000001</v>
      </c>
      <c r="S75" s="432">
        <v>31.658000000000001</v>
      </c>
      <c r="T75" s="670">
        <v>156</v>
      </c>
      <c r="U75" s="668">
        <f t="shared" si="0"/>
        <v>7.8716318498334843</v>
      </c>
      <c r="V75" s="668">
        <f t="shared" si="7"/>
        <v>37.39970939414998</v>
      </c>
      <c r="W75" s="668">
        <v>0.3</v>
      </c>
      <c r="X75" s="432">
        <f t="shared" si="1"/>
        <v>0.7994444444444444</v>
      </c>
      <c r="Y75" s="432">
        <f t="shared" si="4"/>
        <v>19.481094000000002</v>
      </c>
      <c r="Z75" s="432">
        <f t="shared" si="4"/>
        <v>31.119814000000002</v>
      </c>
      <c r="AA75" s="670">
        <f t="shared" si="4"/>
        <v>153.34799999999998</v>
      </c>
      <c r="AB75" s="432">
        <f t="shared" si="5"/>
        <v>7.8716318498334843</v>
      </c>
      <c r="AC75" s="670">
        <f t="shared" si="2"/>
        <v>37.39970939414998</v>
      </c>
      <c r="AD75" s="759">
        <v>31</v>
      </c>
      <c r="AE75" s="432">
        <f t="shared" si="11"/>
        <v>603.91391400000009</v>
      </c>
      <c r="AF75" s="449"/>
    </row>
    <row r="76" spans="1:32" ht="18.75" customHeight="1" x14ac:dyDescent="0.2">
      <c r="A76" s="759">
        <v>63</v>
      </c>
      <c r="B76" s="461" t="s">
        <v>213</v>
      </c>
      <c r="C76" s="759" t="s">
        <v>46</v>
      </c>
      <c r="D76" s="759">
        <v>679.2</v>
      </c>
      <c r="E76" s="759" t="s">
        <v>225</v>
      </c>
      <c r="F76" s="759">
        <v>177.8</v>
      </c>
      <c r="G76" s="759" t="s">
        <v>28</v>
      </c>
      <c r="H76" s="759" t="s">
        <v>48</v>
      </c>
      <c r="I76" s="754">
        <v>559.19000000000005</v>
      </c>
      <c r="J76" s="759">
        <v>130</v>
      </c>
      <c r="K76" s="759"/>
      <c r="L76" s="759">
        <v>445</v>
      </c>
      <c r="M76" s="759"/>
      <c r="N76" s="759">
        <v>2.6</v>
      </c>
      <c r="O76" s="759"/>
      <c r="P76" s="668">
        <v>15.163314015578615</v>
      </c>
      <c r="Q76" s="670">
        <f t="shared" si="8"/>
        <v>16.899999999999999</v>
      </c>
      <c r="R76" s="432">
        <v>1.3140000000000001</v>
      </c>
      <c r="S76" s="432">
        <v>3.8330000000000002</v>
      </c>
      <c r="T76" s="670">
        <v>24</v>
      </c>
      <c r="U76" s="668">
        <f t="shared" si="0"/>
        <v>18.264840182648403</v>
      </c>
      <c r="V76" s="668">
        <f t="shared" si="7"/>
        <v>65.718758152882856</v>
      </c>
      <c r="W76" s="668">
        <v>0.2</v>
      </c>
      <c r="X76" s="432">
        <f t="shared" si="1"/>
        <v>0.22680473372781068</v>
      </c>
      <c r="Y76" s="432">
        <f t="shared" si="4"/>
        <v>1.2916620000000001</v>
      </c>
      <c r="Z76" s="432">
        <f t="shared" si="4"/>
        <v>3.7678389999999999</v>
      </c>
      <c r="AA76" s="670">
        <f t="shared" si="4"/>
        <v>23.591999999999999</v>
      </c>
      <c r="AB76" s="432">
        <f t="shared" si="5"/>
        <v>18.264840182648403</v>
      </c>
      <c r="AC76" s="670">
        <f t="shared" si="2"/>
        <v>65.718758152882856</v>
      </c>
      <c r="AD76" s="759">
        <v>31</v>
      </c>
      <c r="AE76" s="432">
        <f t="shared" si="11"/>
        <v>40.041522000000001</v>
      </c>
      <c r="AF76" s="449"/>
    </row>
    <row r="77" spans="1:32" ht="18.75" customHeight="1" x14ac:dyDescent="0.2">
      <c r="A77" s="759">
        <v>64</v>
      </c>
      <c r="B77" s="461" t="s">
        <v>172</v>
      </c>
      <c r="C77" s="759" t="s">
        <v>46</v>
      </c>
      <c r="D77" s="759">
        <v>673</v>
      </c>
      <c r="E77" s="759" t="s">
        <v>173</v>
      </c>
      <c r="F77" s="759">
        <v>177.8</v>
      </c>
      <c r="G77" s="759" t="s">
        <v>28</v>
      </c>
      <c r="H77" s="759" t="s">
        <v>50</v>
      </c>
      <c r="I77" s="754">
        <v>560.79</v>
      </c>
      <c r="J77" s="759">
        <v>365</v>
      </c>
      <c r="K77" s="759"/>
      <c r="L77" s="759">
        <v>310</v>
      </c>
      <c r="M77" s="759"/>
      <c r="N77" s="759">
        <v>8.1999999999999993</v>
      </c>
      <c r="O77" s="759"/>
      <c r="P77" s="448">
        <v>34.455024264415869</v>
      </c>
      <c r="Q77" s="670">
        <f>LEFT(H77,(FIND("K",H77,1)-1))*J77/100</f>
        <v>21.9</v>
      </c>
      <c r="R77" s="432">
        <v>0.52900000000000003</v>
      </c>
      <c r="S77" s="432">
        <v>5.0579999999999998</v>
      </c>
      <c r="T77" s="670">
        <v>6.4</v>
      </c>
      <c r="U77" s="668">
        <f t="shared" si="0"/>
        <v>12.098298676748582</v>
      </c>
      <c r="V77" s="668">
        <f t="shared" si="7"/>
        <v>89.541320680110715</v>
      </c>
      <c r="W77" s="668">
        <v>0.3</v>
      </c>
      <c r="X77" s="432">
        <f t="shared" si="1"/>
        <v>0.23095890410958905</v>
      </c>
      <c r="Y77" s="432">
        <f t="shared" si="4"/>
        <v>0.520007</v>
      </c>
      <c r="Z77" s="432">
        <f t="shared" si="4"/>
        <v>4.9720139999999997</v>
      </c>
      <c r="AA77" s="670">
        <f t="shared" si="4"/>
        <v>6.2911999999999999</v>
      </c>
      <c r="AB77" s="432">
        <f t="shared" si="5"/>
        <v>12.098298676748582</v>
      </c>
      <c r="AC77" s="670">
        <f t="shared" si="2"/>
        <v>89.541320680110715</v>
      </c>
      <c r="AD77" s="759">
        <v>31</v>
      </c>
      <c r="AE77" s="432">
        <f>Y77*AD77</f>
        <v>16.120217</v>
      </c>
      <c r="AF77" s="449"/>
    </row>
    <row r="78" spans="1:32" ht="18.75" customHeight="1" x14ac:dyDescent="0.2">
      <c r="A78" s="759">
        <v>65</v>
      </c>
      <c r="B78" s="461" t="s">
        <v>171</v>
      </c>
      <c r="C78" s="759" t="s">
        <v>46</v>
      </c>
      <c r="D78" s="754">
        <v>646</v>
      </c>
      <c r="E78" s="754" t="s">
        <v>191</v>
      </c>
      <c r="F78" s="759">
        <v>177.8</v>
      </c>
      <c r="G78" s="759" t="s">
        <v>28</v>
      </c>
      <c r="H78" s="759" t="s">
        <v>48</v>
      </c>
      <c r="I78" s="754">
        <v>570.15</v>
      </c>
      <c r="J78" s="754"/>
      <c r="K78" s="754">
        <v>260</v>
      </c>
      <c r="L78" s="754"/>
      <c r="M78" s="754">
        <v>0.4</v>
      </c>
      <c r="N78" s="759"/>
      <c r="O78" s="754"/>
      <c r="P78" s="668"/>
      <c r="Q78" s="492">
        <f>LEFT(H78,(FIND("K",H78,1)-1))*J78/100</f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si="4"/>
        <v>0</v>
      </c>
      <c r="Z78" s="432">
        <f t="shared" si="4"/>
        <v>0</v>
      </c>
      <c r="AA78" s="670">
        <f t="shared" si="4"/>
        <v>0</v>
      </c>
      <c r="AB78" s="432">
        <f t="shared" si="5"/>
        <v>0</v>
      </c>
      <c r="AC78" s="432">
        <f t="shared" si="2"/>
        <v>0</v>
      </c>
      <c r="AD78" s="759">
        <v>31</v>
      </c>
      <c r="AE78" s="432">
        <f>Y78*AD78</f>
        <v>0</v>
      </c>
      <c r="AF78" s="669" t="s">
        <v>335</v>
      </c>
    </row>
    <row r="79" spans="1:32" ht="18.75" customHeight="1" x14ac:dyDescent="0.2">
      <c r="A79" s="677"/>
      <c r="B79" s="759"/>
      <c r="C79" s="759"/>
      <c r="D79" s="754"/>
      <c r="E79" s="754"/>
      <c r="F79" s="461"/>
      <c r="G79" s="759"/>
      <c r="H79" s="759"/>
      <c r="I79" s="754"/>
      <c r="J79" s="754"/>
      <c r="K79" s="754"/>
      <c r="L79" s="754"/>
      <c r="M79" s="754"/>
      <c r="N79" s="759"/>
      <c r="O79" s="754"/>
      <c r="P79" s="668"/>
      <c r="Q79" s="492"/>
      <c r="R79" s="466">
        <f>SUM(R14:R78)</f>
        <v>382.55900000000003</v>
      </c>
      <c r="S79" s="466">
        <f>SUM(S14:S78)</f>
        <v>721.27100000000007</v>
      </c>
      <c r="T79" s="512">
        <f>SUM(T14:T78)</f>
        <v>11149.750000000002</v>
      </c>
      <c r="U79" s="466">
        <f>T79/R79</f>
        <v>29.145177606591403</v>
      </c>
      <c r="V79" s="466"/>
      <c r="W79" s="466"/>
      <c r="X79" s="466"/>
      <c r="Y79" s="466">
        <f>SUM(Y14:Y78)</f>
        <v>376.05549699999995</v>
      </c>
      <c r="Z79" s="466">
        <f>SUM(Z14:Z78)</f>
        <v>709.00939300000005</v>
      </c>
      <c r="AA79" s="678">
        <f>SUM(AA14:AA78)</f>
        <v>10960.204249999999</v>
      </c>
      <c r="AB79" s="466">
        <f>AA79/Y79</f>
        <v>29.145177606591403</v>
      </c>
      <c r="AC79" s="466"/>
      <c r="AD79" s="758"/>
      <c r="AE79" s="466">
        <f>SUM(AE14:AE78)</f>
        <v>11657.720406999997</v>
      </c>
      <c r="AF79" s="669"/>
    </row>
    <row r="80" spans="1:32" ht="18.75" customHeight="1" x14ac:dyDescent="0.2">
      <c r="A80" s="677"/>
      <c r="B80" s="759"/>
      <c r="C80" s="759"/>
      <c r="D80" s="754"/>
      <c r="E80" s="754"/>
      <c r="F80" s="461"/>
      <c r="G80" s="759"/>
      <c r="H80" s="759"/>
      <c r="I80" s="754"/>
      <c r="J80" s="754"/>
      <c r="K80" s="754"/>
      <c r="L80" s="754"/>
      <c r="M80" s="754"/>
      <c r="N80" s="759"/>
      <c r="O80" s="754"/>
      <c r="P80" s="668"/>
      <c r="Q80" s="492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758"/>
      <c r="AE80" s="466"/>
      <c r="AF80" s="669"/>
    </row>
    <row r="81" spans="1:32" ht="18.75" customHeight="1" x14ac:dyDescent="0.2">
      <c r="A81" s="677"/>
      <c r="B81" s="759"/>
      <c r="C81" s="759"/>
      <c r="D81" s="754"/>
      <c r="E81" s="753" t="s">
        <v>388</v>
      </c>
      <c r="F81" s="461"/>
      <c r="G81" s="759"/>
      <c r="H81" s="759"/>
      <c r="I81" s="754"/>
      <c r="J81" s="754"/>
      <c r="K81" s="754"/>
      <c r="L81" s="754"/>
      <c r="M81" s="754"/>
      <c r="N81" s="759"/>
      <c r="O81" s="754"/>
      <c r="P81" s="668"/>
      <c r="Q81" s="492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758"/>
      <c r="AE81" s="466"/>
      <c r="AF81" s="669"/>
    </row>
    <row r="82" spans="1:32" ht="18.75" customHeight="1" x14ac:dyDescent="0.2">
      <c r="A82" s="759">
        <v>66</v>
      </c>
      <c r="B82" s="461" t="s">
        <v>155</v>
      </c>
      <c r="C82" s="759" t="s">
        <v>415</v>
      </c>
      <c r="D82" s="759">
        <v>674.13</v>
      </c>
      <c r="E82" s="759" t="s">
        <v>416</v>
      </c>
      <c r="F82" s="759">
        <v>177.8</v>
      </c>
      <c r="G82" s="759" t="s">
        <v>28</v>
      </c>
      <c r="H82" s="165" t="s">
        <v>399</v>
      </c>
      <c r="I82" s="754">
        <v>221.66</v>
      </c>
      <c r="J82" s="754"/>
      <c r="K82" s="754"/>
      <c r="L82" s="754"/>
      <c r="M82" s="754"/>
      <c r="N82" s="759"/>
      <c r="O82" s="754"/>
      <c r="P82" s="668"/>
      <c r="Q82" s="492"/>
      <c r="R82" s="466"/>
      <c r="S82" s="466"/>
      <c r="T82" s="512"/>
      <c r="U82" s="466"/>
      <c r="V82" s="466"/>
      <c r="W82" s="466"/>
      <c r="X82" s="466"/>
      <c r="Y82" s="682">
        <v>2</v>
      </c>
      <c r="Z82" s="711">
        <v>2</v>
      </c>
      <c r="AA82" s="678"/>
      <c r="AB82" s="466"/>
      <c r="AC82" s="466"/>
      <c r="AD82" s="758">
        <v>0</v>
      </c>
      <c r="AE82" s="466"/>
      <c r="AF82" s="669" t="s">
        <v>334</v>
      </c>
    </row>
    <row r="83" spans="1:32" ht="18.75" customHeight="1" x14ac:dyDescent="0.2">
      <c r="A83" s="677"/>
      <c r="B83" s="1913"/>
      <c r="C83" s="1913"/>
      <c r="D83" s="1913"/>
      <c r="E83" s="1913"/>
      <c r="F83" s="461"/>
      <c r="G83" s="759"/>
      <c r="H83" s="759"/>
      <c r="I83" s="759"/>
      <c r="J83" s="754"/>
      <c r="K83" s="754"/>
      <c r="L83" s="754"/>
      <c r="M83" s="754"/>
      <c r="N83" s="754"/>
      <c r="O83" s="754"/>
      <c r="P83" s="448"/>
      <c r="Q83" s="492"/>
      <c r="R83" s="754"/>
      <c r="S83" s="754"/>
      <c r="T83" s="754"/>
      <c r="U83" s="750"/>
      <c r="V83" s="750"/>
      <c r="W83" s="750"/>
      <c r="X83" s="750"/>
      <c r="Y83" s="682"/>
      <c r="Z83" s="682"/>
      <c r="AA83" s="753"/>
      <c r="AB83" s="750"/>
      <c r="AC83" s="754"/>
      <c r="AD83" s="759"/>
      <c r="AE83" s="432"/>
      <c r="AF83" s="669"/>
    </row>
    <row r="84" spans="1:32" ht="18.75" customHeight="1" x14ac:dyDescent="0.2">
      <c r="B84" s="1914" t="s">
        <v>389</v>
      </c>
      <c r="C84" s="1915"/>
      <c r="D84" s="1915"/>
      <c r="E84" s="1915"/>
      <c r="F84" s="1902"/>
      <c r="G84" s="750"/>
      <c r="H84" s="753"/>
      <c r="I84" s="753"/>
      <c r="J84" s="754"/>
      <c r="K84" s="754"/>
      <c r="L84" s="754"/>
      <c r="M84" s="754"/>
      <c r="N84" s="754"/>
      <c r="O84" s="754"/>
      <c r="P84" s="448"/>
      <c r="Q84" s="492"/>
      <c r="R84" s="754"/>
      <c r="S84" s="437"/>
      <c r="T84" s="754"/>
      <c r="U84" s="750"/>
      <c r="V84" s="750"/>
      <c r="W84" s="750"/>
      <c r="X84" s="421"/>
      <c r="Y84" s="754"/>
      <c r="Z84" s="754"/>
      <c r="AA84" s="754"/>
      <c r="AB84" s="750"/>
      <c r="AC84" s="750"/>
      <c r="AD84" s="754"/>
      <c r="AE84" s="754"/>
      <c r="AF84" s="753"/>
    </row>
    <row r="85" spans="1:32" ht="18.75" customHeight="1" x14ac:dyDescent="0.2">
      <c r="A85" s="756">
        <v>67</v>
      </c>
      <c r="B85" s="759" t="s">
        <v>131</v>
      </c>
      <c r="C85" s="756" t="s">
        <v>313</v>
      </c>
      <c r="D85" s="759">
        <v>389.74</v>
      </c>
      <c r="E85" s="679" t="s">
        <v>136</v>
      </c>
      <c r="F85" s="759">
        <v>177.8</v>
      </c>
      <c r="G85" s="759" t="s">
        <v>28</v>
      </c>
      <c r="H85" s="759" t="s">
        <v>58</v>
      </c>
      <c r="I85" s="754">
        <v>142.80000000000001</v>
      </c>
      <c r="J85" s="754">
        <v>260</v>
      </c>
      <c r="K85" s="759"/>
      <c r="L85" s="759">
        <v>27</v>
      </c>
      <c r="M85" s="759"/>
      <c r="N85" s="759">
        <v>0</v>
      </c>
      <c r="O85" s="759"/>
      <c r="P85" s="668">
        <v>15.099634993101066</v>
      </c>
      <c r="Q85" s="492">
        <f>(3*J85)/100</f>
        <v>7.8</v>
      </c>
      <c r="R85" s="432">
        <v>1.0329999999999999</v>
      </c>
      <c r="S85" s="432">
        <v>1.784</v>
      </c>
      <c r="T85" s="432">
        <v>0</v>
      </c>
      <c r="U85" s="432">
        <f>T85/R85</f>
        <v>0</v>
      </c>
      <c r="V85" s="432">
        <f t="shared" ref="V85:V88" si="12">(S85-R85)/S85*100</f>
        <v>42.096412556053821</v>
      </c>
      <c r="W85" s="432">
        <v>0.3</v>
      </c>
      <c r="X85" s="432">
        <f t="shared" ref="X85:X88" si="13">S85/Q85</f>
        <v>0.22871794871794873</v>
      </c>
      <c r="Y85" s="432">
        <f>R85*0.988</f>
        <v>1.0206039999999998</v>
      </c>
      <c r="Z85" s="432">
        <f>S85*0.988</f>
        <v>1.7625919999999999</v>
      </c>
      <c r="AA85" s="432">
        <f>T85*0.988</f>
        <v>0</v>
      </c>
      <c r="AB85" s="432">
        <f t="shared" ref="AB85:AC88" si="14">U85</f>
        <v>0</v>
      </c>
      <c r="AC85" s="432">
        <f t="shared" si="14"/>
        <v>42.096412556053821</v>
      </c>
      <c r="AD85" s="759">
        <v>31</v>
      </c>
      <c r="AE85" s="432">
        <f t="shared" ref="AE85:AE88" si="15">Y85*AD85</f>
        <v>31.638723999999996</v>
      </c>
      <c r="AF85" s="449"/>
    </row>
    <row r="86" spans="1:32" ht="18.75" customHeight="1" x14ac:dyDescent="0.2">
      <c r="A86" s="756">
        <v>68</v>
      </c>
      <c r="B86" s="759" t="s">
        <v>132</v>
      </c>
      <c r="C86" s="756" t="s">
        <v>313</v>
      </c>
      <c r="D86" s="759">
        <v>387.72</v>
      </c>
      <c r="E86" s="679" t="s">
        <v>135</v>
      </c>
      <c r="F86" s="759">
        <v>177.8</v>
      </c>
      <c r="G86" s="759" t="s">
        <v>28</v>
      </c>
      <c r="H86" s="759" t="s">
        <v>58</v>
      </c>
      <c r="I86" s="754">
        <v>136.03</v>
      </c>
      <c r="J86" s="759">
        <v>220</v>
      </c>
      <c r="K86" s="759"/>
      <c r="L86" s="759">
        <v>34</v>
      </c>
      <c r="M86" s="759"/>
      <c r="N86" s="759">
        <v>0</v>
      </c>
      <c r="O86" s="759"/>
      <c r="P86" s="668">
        <v>13.125924895934565</v>
      </c>
      <c r="Q86" s="492">
        <f>(3*J86)/100</f>
        <v>6.6</v>
      </c>
      <c r="R86" s="432">
        <v>2.5499999999999998</v>
      </c>
      <c r="S86" s="432">
        <v>4.1740000000000004</v>
      </c>
      <c r="T86" s="432">
        <v>0</v>
      </c>
      <c r="U86" s="432">
        <v>0</v>
      </c>
      <c r="V86" s="432">
        <f t="shared" si="12"/>
        <v>38.907522759942509</v>
      </c>
      <c r="W86" s="432">
        <v>0.2</v>
      </c>
      <c r="X86" s="432">
        <f t="shared" si="13"/>
        <v>0.63242424242424256</v>
      </c>
      <c r="Y86" s="432">
        <f t="shared" ref="Y86:AA88" si="16">R86*0.988</f>
        <v>2.5193999999999996</v>
      </c>
      <c r="Z86" s="432">
        <f t="shared" si="16"/>
        <v>4.1239120000000007</v>
      </c>
      <c r="AA86" s="432">
        <f t="shared" si="16"/>
        <v>0</v>
      </c>
      <c r="AB86" s="432">
        <v>0</v>
      </c>
      <c r="AC86" s="432">
        <f>V86</f>
        <v>38.907522759942509</v>
      </c>
      <c r="AD86" s="759">
        <v>31</v>
      </c>
      <c r="AE86" s="432">
        <f t="shared" si="15"/>
        <v>78.101399999999984</v>
      </c>
      <c r="AF86" s="449"/>
    </row>
    <row r="87" spans="1:32" ht="18.75" customHeight="1" x14ac:dyDescent="0.25">
      <c r="A87" s="756">
        <v>69</v>
      </c>
      <c r="B87" s="759" t="s">
        <v>121</v>
      </c>
      <c r="C87" s="756" t="s">
        <v>313</v>
      </c>
      <c r="D87" s="759">
        <v>389.57</v>
      </c>
      <c r="E87" s="759" t="s">
        <v>137</v>
      </c>
      <c r="F87" s="759">
        <v>177.8</v>
      </c>
      <c r="G87" s="759" t="s">
        <v>28</v>
      </c>
      <c r="H87" s="707" t="s">
        <v>363</v>
      </c>
      <c r="I87" s="754">
        <v>138.22999999999999</v>
      </c>
      <c r="J87" s="759">
        <v>85</v>
      </c>
      <c r="K87" s="759"/>
      <c r="L87" s="759">
        <v>29</v>
      </c>
      <c r="M87" s="759"/>
      <c r="N87" s="759">
        <v>0</v>
      </c>
      <c r="O87" s="759"/>
      <c r="P87" s="668">
        <v>13.307402126267201</v>
      </c>
      <c r="Q87" s="492">
        <f>(3*J87)/100</f>
        <v>2.5499999999999998</v>
      </c>
      <c r="R87" s="432">
        <v>2.6070000000000002</v>
      </c>
      <c r="S87" s="432">
        <v>4.7720000000000002</v>
      </c>
      <c r="T87" s="432">
        <v>0</v>
      </c>
      <c r="U87" s="432">
        <v>0</v>
      </c>
      <c r="V87" s="432">
        <f t="shared" si="12"/>
        <v>45.368818105616093</v>
      </c>
      <c r="W87" s="432">
        <v>2</v>
      </c>
      <c r="X87" s="432">
        <f t="shared" si="13"/>
        <v>1.871372549019608</v>
      </c>
      <c r="Y87" s="432">
        <f t="shared" si="16"/>
        <v>2.5757160000000003</v>
      </c>
      <c r="Z87" s="432">
        <f t="shared" si="16"/>
        <v>4.7147360000000003</v>
      </c>
      <c r="AA87" s="432">
        <f t="shared" si="16"/>
        <v>0</v>
      </c>
      <c r="AB87" s="432">
        <v>0</v>
      </c>
      <c r="AC87" s="432">
        <f>V87</f>
        <v>45.368818105616093</v>
      </c>
      <c r="AD87" s="759">
        <v>31</v>
      </c>
      <c r="AE87" s="432">
        <f t="shared" si="15"/>
        <v>79.847196000000011</v>
      </c>
      <c r="AF87" s="669"/>
    </row>
    <row r="88" spans="1:32" ht="18.75" customHeight="1" x14ac:dyDescent="0.2">
      <c r="A88" s="756">
        <v>70</v>
      </c>
      <c r="B88" s="759" t="s">
        <v>122</v>
      </c>
      <c r="C88" s="756" t="s">
        <v>313</v>
      </c>
      <c r="D88" s="759">
        <v>391.06</v>
      </c>
      <c r="E88" s="759" t="s">
        <v>138</v>
      </c>
      <c r="F88" s="759">
        <v>177.8</v>
      </c>
      <c r="G88" s="759" t="s">
        <v>28</v>
      </c>
      <c r="H88" s="759" t="s">
        <v>58</v>
      </c>
      <c r="I88" s="432">
        <v>151.72999999999999</v>
      </c>
      <c r="J88" s="759">
        <v>280</v>
      </c>
      <c r="K88" s="758"/>
      <c r="L88" s="759">
        <v>42</v>
      </c>
      <c r="M88" s="758"/>
      <c r="N88" s="759">
        <v>0</v>
      </c>
      <c r="O88" s="758"/>
      <c r="P88" s="668">
        <v>13.65047074892191</v>
      </c>
      <c r="Q88" s="492">
        <f>(3*J88)/100</f>
        <v>8.4</v>
      </c>
      <c r="R88" s="432">
        <v>2.3359999999999999</v>
      </c>
      <c r="S88" s="432">
        <v>2.7879999999999998</v>
      </c>
      <c r="T88" s="432">
        <v>0</v>
      </c>
      <c r="U88" s="432">
        <f>T88/R88</f>
        <v>0</v>
      </c>
      <c r="V88" s="432">
        <f t="shared" si="12"/>
        <v>16.212338593974174</v>
      </c>
      <c r="W88" s="432">
        <v>0.3</v>
      </c>
      <c r="X88" s="432">
        <f t="shared" si="13"/>
        <v>0.33190476190476187</v>
      </c>
      <c r="Y88" s="432">
        <f t="shared" si="16"/>
        <v>2.3079679999999998</v>
      </c>
      <c r="Z88" s="432">
        <f t="shared" si="16"/>
        <v>2.7545439999999997</v>
      </c>
      <c r="AA88" s="432">
        <f t="shared" si="16"/>
        <v>0</v>
      </c>
      <c r="AB88" s="432">
        <f t="shared" si="14"/>
        <v>0</v>
      </c>
      <c r="AC88" s="432">
        <f t="shared" si="14"/>
        <v>16.212338593974174</v>
      </c>
      <c r="AD88" s="759">
        <v>31</v>
      </c>
      <c r="AE88" s="432">
        <f t="shared" si="15"/>
        <v>71.547007999999991</v>
      </c>
      <c r="AF88" s="680"/>
    </row>
    <row r="89" spans="1:32" ht="18.75" customHeight="1" x14ac:dyDescent="0.2">
      <c r="A89" s="756">
        <v>71</v>
      </c>
      <c r="B89" s="759" t="s">
        <v>188</v>
      </c>
      <c r="C89" s="756" t="s">
        <v>344</v>
      </c>
      <c r="D89" s="759">
        <v>400.5</v>
      </c>
      <c r="E89" s="759" t="s">
        <v>345</v>
      </c>
      <c r="F89" s="759">
        <v>177.8</v>
      </c>
      <c r="G89" s="759"/>
      <c r="H89" s="759"/>
      <c r="I89" s="432"/>
      <c r="J89" s="759"/>
      <c r="K89" s="758"/>
      <c r="L89" s="759"/>
      <c r="M89" s="758"/>
      <c r="N89" s="759"/>
      <c r="O89" s="758"/>
      <c r="P89" s="668"/>
      <c r="Q89" s="437"/>
      <c r="R89" s="432"/>
      <c r="S89" s="432"/>
      <c r="T89" s="432"/>
      <c r="U89" s="432"/>
      <c r="V89" s="432"/>
      <c r="W89" s="432"/>
      <c r="X89" s="432"/>
      <c r="Y89" s="432"/>
      <c r="Z89" s="432"/>
      <c r="AA89" s="432"/>
      <c r="AB89" s="432"/>
      <c r="AC89" s="432"/>
      <c r="AD89" s="759"/>
      <c r="AE89" s="432"/>
      <c r="AF89" s="669"/>
    </row>
    <row r="90" spans="1:32" ht="18.75" customHeight="1" x14ac:dyDescent="0.2">
      <c r="A90" s="756">
        <v>72</v>
      </c>
      <c r="B90" s="759" t="s">
        <v>186</v>
      </c>
      <c r="C90" s="756" t="s">
        <v>346</v>
      </c>
      <c r="D90" s="759">
        <v>349.5</v>
      </c>
      <c r="E90" s="461" t="s">
        <v>347</v>
      </c>
      <c r="F90" s="759">
        <v>177.8</v>
      </c>
      <c r="G90" s="759"/>
      <c r="H90" s="759"/>
      <c r="I90" s="432"/>
      <c r="J90" s="759"/>
      <c r="K90" s="759"/>
      <c r="L90" s="759"/>
      <c r="M90" s="758"/>
      <c r="N90" s="759"/>
      <c r="O90" s="758"/>
      <c r="P90" s="668"/>
      <c r="Q90" s="437"/>
      <c r="R90" s="432"/>
      <c r="S90" s="432"/>
      <c r="T90" s="432"/>
      <c r="U90" s="432"/>
      <c r="V90" s="432"/>
      <c r="W90" s="432"/>
      <c r="X90" s="432"/>
      <c r="Y90" s="432"/>
      <c r="Z90" s="432"/>
      <c r="AA90" s="432"/>
      <c r="AB90" s="432"/>
      <c r="AC90" s="432"/>
      <c r="AD90" s="759"/>
      <c r="AE90" s="432"/>
      <c r="AF90" s="669"/>
    </row>
    <row r="91" spans="1:32" ht="18.75" customHeight="1" x14ac:dyDescent="0.2">
      <c r="A91" s="677"/>
      <c r="B91" s="1939"/>
      <c r="C91" s="1939"/>
      <c r="D91" s="1939"/>
      <c r="E91" s="1940"/>
      <c r="F91" s="754"/>
      <c r="G91" s="750"/>
      <c r="H91" s="753"/>
      <c r="I91" s="753"/>
      <c r="J91" s="754"/>
      <c r="K91" s="754"/>
      <c r="L91" s="754"/>
      <c r="M91" s="754"/>
      <c r="N91" s="754"/>
      <c r="O91" s="754"/>
      <c r="P91" s="448"/>
      <c r="Q91" s="437"/>
      <c r="R91" s="466">
        <f>SUM(R85:R90)</f>
        <v>8.5259999999999998</v>
      </c>
      <c r="S91" s="466">
        <f>SUM(S85:S90)</f>
        <v>13.518000000000001</v>
      </c>
      <c r="T91" s="466">
        <f>SUM(T85:T88)</f>
        <v>0</v>
      </c>
      <c r="U91" s="466">
        <f>SUM(U85:U88)</f>
        <v>0</v>
      </c>
      <c r="V91" s="750"/>
      <c r="W91" s="750"/>
      <c r="X91" s="750"/>
      <c r="Y91" s="466">
        <f>SUM(Y85:Y90)</f>
        <v>8.4236879999999985</v>
      </c>
      <c r="Z91" s="466">
        <f>SUM(Z85:Z90)</f>
        <v>13.355784</v>
      </c>
      <c r="AA91" s="466">
        <f>SUM(AA85:AA88)</f>
        <v>0</v>
      </c>
      <c r="AB91" s="466">
        <v>0</v>
      </c>
      <c r="AC91" s="750"/>
      <c r="AD91" s="754"/>
      <c r="AE91" s="466">
        <f>SUM(AE85:AE90)</f>
        <v>261.13432799999998</v>
      </c>
      <c r="AF91" s="471"/>
    </row>
    <row r="92" spans="1:32" ht="18.75" customHeight="1" x14ac:dyDescent="0.2">
      <c r="A92" s="677"/>
      <c r="B92" s="1939"/>
      <c r="C92" s="1939"/>
      <c r="D92" s="1939"/>
      <c r="E92" s="1940"/>
      <c r="F92" s="758"/>
      <c r="G92" s="759"/>
      <c r="H92" s="759"/>
      <c r="I92" s="432"/>
      <c r="J92" s="759"/>
      <c r="K92" s="758"/>
      <c r="L92" s="759"/>
      <c r="M92" s="758"/>
      <c r="N92" s="668"/>
      <c r="O92" s="758"/>
      <c r="P92" s="682"/>
      <c r="Q92" s="466"/>
      <c r="R92" s="466"/>
      <c r="S92" s="466"/>
      <c r="T92" s="466"/>
      <c r="U92" s="466"/>
      <c r="V92" s="466"/>
      <c r="W92" s="466"/>
      <c r="X92" s="466"/>
      <c r="Y92" s="466"/>
      <c r="Z92" s="678"/>
      <c r="AA92" s="466"/>
      <c r="AB92" s="466"/>
      <c r="AC92" s="466"/>
      <c r="AD92" s="466"/>
      <c r="AE92" s="466"/>
      <c r="AF92" s="680"/>
    </row>
    <row r="93" spans="1:32" ht="18.75" customHeight="1" x14ac:dyDescent="0.2">
      <c r="A93" s="677"/>
      <c r="B93" s="1894" t="s">
        <v>390</v>
      </c>
      <c r="C93" s="1912"/>
      <c r="D93" s="1912"/>
      <c r="E93" s="1912"/>
      <c r="F93" s="1912"/>
      <c r="G93" s="750"/>
      <c r="H93" s="753"/>
      <c r="I93" s="753"/>
      <c r="J93" s="754"/>
      <c r="K93" s="754"/>
      <c r="L93" s="754"/>
      <c r="M93" s="754"/>
      <c r="N93" s="754"/>
      <c r="O93" s="754"/>
      <c r="P93" s="448"/>
      <c r="Q93" s="437"/>
      <c r="R93" s="754"/>
      <c r="S93" s="754"/>
      <c r="T93" s="754"/>
      <c r="U93" s="750"/>
      <c r="V93" s="750"/>
      <c r="W93" s="750"/>
      <c r="X93" s="750"/>
      <c r="Y93" s="754"/>
      <c r="Z93" s="754"/>
      <c r="AA93" s="754"/>
      <c r="AB93" s="750"/>
      <c r="AC93" s="750"/>
      <c r="AD93" s="754"/>
      <c r="AE93" s="754"/>
      <c r="AF93" s="753"/>
    </row>
    <row r="94" spans="1:32" ht="18.75" customHeight="1" x14ac:dyDescent="0.2">
      <c r="A94" s="759">
        <v>73</v>
      </c>
      <c r="B94" s="755" t="s">
        <v>107</v>
      </c>
      <c r="C94" s="754" t="s">
        <v>109</v>
      </c>
      <c r="D94" s="754"/>
      <c r="E94" s="754"/>
      <c r="F94" s="754"/>
      <c r="G94" s="750"/>
      <c r="H94" s="753"/>
      <c r="I94" s="753"/>
      <c r="J94" s="754"/>
      <c r="K94" s="754"/>
      <c r="L94" s="754"/>
      <c r="M94" s="754"/>
      <c r="N94" s="754"/>
      <c r="O94" s="754"/>
      <c r="P94" s="448"/>
      <c r="Q94" s="437"/>
      <c r="R94" s="754"/>
      <c r="S94" s="754"/>
      <c r="T94" s="754"/>
      <c r="U94" s="750"/>
      <c r="V94" s="750"/>
      <c r="W94" s="750"/>
      <c r="X94" s="750"/>
      <c r="Y94" s="753"/>
      <c r="Z94" s="753"/>
      <c r="AA94" s="754"/>
      <c r="AB94" s="750"/>
      <c r="AC94" s="750"/>
      <c r="AD94" s="493"/>
      <c r="AE94" s="754"/>
      <c r="AF94" s="753"/>
    </row>
    <row r="95" spans="1:32" ht="18.75" customHeight="1" x14ac:dyDescent="0.2">
      <c r="A95" s="759">
        <v>74</v>
      </c>
      <c r="B95" s="755" t="s">
        <v>108</v>
      </c>
      <c r="C95" s="754" t="s">
        <v>109</v>
      </c>
      <c r="D95" s="754"/>
      <c r="E95" s="754"/>
      <c r="F95" s="754"/>
      <c r="G95" s="750"/>
      <c r="H95" s="753"/>
      <c r="I95" s="753"/>
      <c r="J95" s="754"/>
      <c r="K95" s="754"/>
      <c r="L95" s="754"/>
      <c r="M95" s="754"/>
      <c r="N95" s="754"/>
      <c r="O95" s="754"/>
      <c r="P95" s="448"/>
      <c r="Q95" s="437"/>
      <c r="R95" s="754"/>
      <c r="S95" s="754"/>
      <c r="T95" s="754"/>
      <c r="U95" s="750"/>
      <c r="V95" s="750"/>
      <c r="W95" s="750"/>
      <c r="X95" s="750"/>
      <c r="Y95" s="753"/>
      <c r="Z95" s="753"/>
      <c r="AA95" s="754"/>
      <c r="AB95" s="750"/>
      <c r="AC95" s="750"/>
      <c r="AD95" s="493"/>
      <c r="AE95" s="754"/>
      <c r="AF95" s="753"/>
    </row>
    <row r="96" spans="1:32" ht="18.75" customHeight="1" x14ac:dyDescent="0.2">
      <c r="A96" s="759">
        <v>75</v>
      </c>
      <c r="B96" s="755" t="s">
        <v>195</v>
      </c>
      <c r="C96" s="756" t="s">
        <v>193</v>
      </c>
      <c r="D96" s="754"/>
      <c r="E96" s="754"/>
      <c r="F96" s="754"/>
      <c r="G96" s="750"/>
      <c r="H96" s="753"/>
      <c r="I96" s="753"/>
      <c r="J96" s="754"/>
      <c r="K96" s="754"/>
      <c r="L96" s="754"/>
      <c r="M96" s="754"/>
      <c r="N96" s="754"/>
      <c r="O96" s="754"/>
      <c r="P96" s="448"/>
      <c r="Q96" s="437"/>
      <c r="R96" s="754"/>
      <c r="S96" s="754"/>
      <c r="T96" s="754"/>
      <c r="U96" s="750"/>
      <c r="V96" s="750"/>
      <c r="W96" s="750"/>
      <c r="X96" s="750"/>
      <c r="Y96" s="753"/>
      <c r="Z96" s="753"/>
      <c r="AA96" s="754"/>
      <c r="AB96" s="750"/>
      <c r="AC96" s="750"/>
      <c r="AD96" s="493"/>
      <c r="AE96" s="754"/>
      <c r="AF96" s="753"/>
    </row>
    <row r="97" spans="1:32" ht="18.75" customHeight="1" x14ac:dyDescent="0.2">
      <c r="A97" s="759">
        <v>76</v>
      </c>
      <c r="B97" s="755" t="s">
        <v>192</v>
      </c>
      <c r="C97" s="756" t="s">
        <v>193</v>
      </c>
      <c r="D97" s="754"/>
      <c r="E97" s="754"/>
      <c r="F97" s="754"/>
      <c r="G97" s="750"/>
      <c r="H97" s="753"/>
      <c r="I97" s="753"/>
      <c r="J97" s="754"/>
      <c r="K97" s="754"/>
      <c r="L97" s="754"/>
      <c r="M97" s="754"/>
      <c r="N97" s="754"/>
      <c r="O97" s="754"/>
      <c r="P97" s="448"/>
      <c r="Q97" s="437"/>
      <c r="R97" s="754"/>
      <c r="S97" s="754"/>
      <c r="T97" s="754"/>
      <c r="U97" s="750"/>
      <c r="V97" s="750"/>
      <c r="W97" s="750"/>
      <c r="X97" s="750"/>
      <c r="Y97" s="753"/>
      <c r="Z97" s="753"/>
      <c r="AA97" s="754"/>
      <c r="AB97" s="750"/>
      <c r="AC97" s="750"/>
      <c r="AD97" s="493"/>
      <c r="AE97" s="754"/>
      <c r="AF97" s="753"/>
    </row>
    <row r="98" spans="1:32" ht="18.75" customHeight="1" x14ac:dyDescent="0.2">
      <c r="A98" s="759"/>
      <c r="B98" s="1894" t="s">
        <v>391</v>
      </c>
      <c r="C98" s="1912"/>
      <c r="D98" s="1912"/>
      <c r="E98" s="1912"/>
      <c r="F98" s="1912"/>
      <c r="G98" s="750"/>
      <c r="H98" s="753"/>
      <c r="I98" s="753"/>
      <c r="J98" s="754"/>
      <c r="K98" s="754"/>
      <c r="L98" s="754"/>
      <c r="M98" s="754"/>
      <c r="N98" s="754"/>
      <c r="O98" s="754"/>
      <c r="P98" s="448"/>
      <c r="Q98" s="437"/>
      <c r="R98" s="754"/>
      <c r="S98" s="754"/>
      <c r="T98" s="754"/>
      <c r="U98" s="750"/>
      <c r="V98" s="750"/>
      <c r="W98" s="750"/>
      <c r="X98" s="750"/>
      <c r="Y98" s="754"/>
      <c r="Z98" s="754"/>
      <c r="AA98" s="754"/>
      <c r="AB98" s="750"/>
      <c r="AC98" s="750"/>
      <c r="AD98" s="754"/>
      <c r="AE98" s="754"/>
      <c r="AF98" s="753"/>
    </row>
    <row r="99" spans="1:32" ht="18.75" customHeight="1" x14ac:dyDescent="0.2">
      <c r="A99" s="759">
        <v>77</v>
      </c>
      <c r="B99" s="461" t="s">
        <v>189</v>
      </c>
      <c r="C99" s="759" t="s">
        <v>46</v>
      </c>
      <c r="D99" s="759">
        <v>673</v>
      </c>
      <c r="E99" s="759" t="s">
        <v>190</v>
      </c>
      <c r="F99" s="759">
        <v>177.8</v>
      </c>
      <c r="G99" s="759"/>
      <c r="H99" s="759"/>
      <c r="I99" s="754"/>
      <c r="J99" s="754"/>
      <c r="K99" s="754"/>
      <c r="L99" s="754"/>
      <c r="M99" s="754"/>
      <c r="N99" s="754"/>
      <c r="O99" s="754"/>
      <c r="P99" s="448"/>
      <c r="Q99" s="437"/>
      <c r="R99" s="754"/>
      <c r="S99" s="754"/>
      <c r="T99" s="754"/>
      <c r="U99" s="750"/>
      <c r="V99" s="750"/>
      <c r="W99" s="750"/>
      <c r="X99" s="750"/>
      <c r="Y99" s="473"/>
      <c r="Z99" s="683"/>
      <c r="AA99" s="753"/>
      <c r="AB99" s="750"/>
      <c r="AC99" s="754"/>
      <c r="AD99" s="759"/>
      <c r="AE99" s="432"/>
      <c r="AF99" s="449"/>
    </row>
    <row r="100" spans="1:32" ht="18.75" customHeight="1" x14ac:dyDescent="0.3">
      <c r="A100" s="759">
        <v>78</v>
      </c>
      <c r="B100" s="461" t="s">
        <v>181</v>
      </c>
      <c r="C100" s="684" t="s">
        <v>183</v>
      </c>
      <c r="D100" s="759">
        <v>374.5</v>
      </c>
      <c r="E100" s="759" t="s">
        <v>182</v>
      </c>
      <c r="F100" s="759">
        <v>177.8</v>
      </c>
      <c r="G100" s="759"/>
      <c r="H100" s="759"/>
      <c r="I100" s="754"/>
      <c r="J100" s="759"/>
      <c r="K100" s="759"/>
      <c r="L100" s="759"/>
      <c r="M100" s="759"/>
      <c r="N100" s="668"/>
      <c r="O100" s="759"/>
      <c r="P100" s="432"/>
      <c r="Q100" s="432"/>
      <c r="R100" s="432"/>
      <c r="S100" s="432"/>
      <c r="T100" s="432"/>
      <c r="U100" s="432"/>
      <c r="V100" s="432"/>
      <c r="W100" s="432"/>
      <c r="X100" s="685"/>
      <c r="Y100" s="432"/>
      <c r="Z100" s="432"/>
      <c r="AA100" s="432"/>
      <c r="AB100" s="432"/>
      <c r="AC100" s="432"/>
      <c r="AD100" s="759"/>
      <c r="AE100" s="432"/>
      <c r="AF100" s="449"/>
    </row>
    <row r="101" spans="1:32" ht="18.75" customHeight="1" x14ac:dyDescent="0.2">
      <c r="A101" s="759">
        <v>79</v>
      </c>
      <c r="B101" s="461" t="s">
        <v>174</v>
      </c>
      <c r="C101" s="759" t="s">
        <v>46</v>
      </c>
      <c r="D101" s="759">
        <v>672</v>
      </c>
      <c r="E101" s="759" t="s">
        <v>175</v>
      </c>
      <c r="F101" s="759">
        <v>177.8</v>
      </c>
      <c r="G101" s="759"/>
      <c r="H101" s="759"/>
      <c r="I101" s="754"/>
      <c r="J101" s="759"/>
      <c r="K101" s="759"/>
      <c r="L101" s="759"/>
      <c r="M101" s="759"/>
      <c r="N101" s="668"/>
      <c r="O101" s="759"/>
      <c r="P101" s="668"/>
      <c r="Q101" s="432"/>
      <c r="R101" s="432"/>
      <c r="S101" s="432"/>
      <c r="T101" s="432"/>
      <c r="U101" s="432"/>
      <c r="V101" s="432"/>
      <c r="W101" s="432"/>
      <c r="X101" s="432"/>
      <c r="Y101" s="432"/>
      <c r="Z101" s="432"/>
      <c r="AA101" s="432"/>
      <c r="AB101" s="432"/>
      <c r="AC101" s="432"/>
      <c r="AD101" s="759"/>
      <c r="AE101" s="432"/>
      <c r="AF101" s="449"/>
    </row>
    <row r="102" spans="1:32" ht="18.75" customHeight="1" x14ac:dyDescent="0.2">
      <c r="A102" s="759">
        <v>80</v>
      </c>
      <c r="B102" s="755" t="s">
        <v>103</v>
      </c>
      <c r="C102" s="759" t="s">
        <v>46</v>
      </c>
      <c r="D102" s="754">
        <v>582</v>
      </c>
      <c r="E102" s="754" t="s">
        <v>112</v>
      </c>
      <c r="F102" s="759">
        <v>177.8</v>
      </c>
      <c r="G102" s="759"/>
      <c r="H102" s="759"/>
      <c r="I102" s="754"/>
      <c r="J102" s="754"/>
      <c r="K102" s="754"/>
      <c r="L102" s="754"/>
      <c r="M102" s="754"/>
      <c r="N102" s="754"/>
      <c r="O102" s="754"/>
      <c r="P102" s="448"/>
      <c r="Q102" s="437"/>
      <c r="R102" s="754"/>
      <c r="S102" s="754"/>
      <c r="T102" s="754"/>
      <c r="U102" s="750"/>
      <c r="V102" s="750"/>
      <c r="W102" s="750"/>
      <c r="X102" s="421"/>
      <c r="Y102" s="492"/>
      <c r="Z102" s="754"/>
      <c r="AA102" s="754"/>
      <c r="AB102" s="750"/>
      <c r="AC102" s="754"/>
      <c r="AD102" s="493"/>
      <c r="AE102" s="437"/>
      <c r="AF102" s="449"/>
    </row>
    <row r="103" spans="1:32" ht="18.75" customHeight="1" x14ac:dyDescent="0.2">
      <c r="A103" s="759">
        <v>81</v>
      </c>
      <c r="B103" s="759" t="s">
        <v>57</v>
      </c>
      <c r="C103" s="756" t="s">
        <v>314</v>
      </c>
      <c r="D103" s="759">
        <v>376.58</v>
      </c>
      <c r="E103" s="461" t="s">
        <v>93</v>
      </c>
      <c r="F103" s="759">
        <v>177.8</v>
      </c>
      <c r="G103" s="759"/>
      <c r="H103" s="759"/>
      <c r="I103" s="754"/>
      <c r="J103" s="754"/>
      <c r="K103" s="754"/>
      <c r="L103" s="754"/>
      <c r="M103" s="754"/>
      <c r="N103" s="754"/>
      <c r="O103" s="754"/>
      <c r="P103" s="448"/>
      <c r="Q103" s="437"/>
      <c r="R103" s="754"/>
      <c r="S103" s="754"/>
      <c r="T103" s="754"/>
      <c r="U103" s="750"/>
      <c r="V103" s="750"/>
      <c r="W103" s="750"/>
      <c r="X103" s="421"/>
      <c r="Y103" s="492"/>
      <c r="Z103" s="754"/>
      <c r="AA103" s="754"/>
      <c r="AB103" s="750"/>
      <c r="AC103" s="754"/>
      <c r="AD103" s="493"/>
      <c r="AE103" s="437"/>
      <c r="AF103" s="449"/>
    </row>
    <row r="104" spans="1:32" ht="18.75" customHeight="1" x14ac:dyDescent="0.2">
      <c r="A104" s="759">
        <v>82</v>
      </c>
      <c r="B104" s="759" t="s">
        <v>184</v>
      </c>
      <c r="C104" s="756" t="s">
        <v>314</v>
      </c>
      <c r="D104" s="759">
        <v>422.78</v>
      </c>
      <c r="E104" s="461" t="s">
        <v>185</v>
      </c>
      <c r="F104" s="759">
        <v>177.8</v>
      </c>
      <c r="G104" s="759"/>
      <c r="H104" s="759"/>
      <c r="I104" s="432"/>
      <c r="J104" s="754"/>
      <c r="K104" s="754"/>
      <c r="L104" s="754"/>
      <c r="M104" s="754"/>
      <c r="N104" s="754"/>
      <c r="O104" s="754"/>
      <c r="P104" s="448"/>
      <c r="Q104" s="437"/>
      <c r="R104" s="754"/>
      <c r="S104" s="754"/>
      <c r="T104" s="754"/>
      <c r="U104" s="750"/>
      <c r="V104" s="750"/>
      <c r="W104" s="750"/>
      <c r="X104" s="421"/>
      <c r="Y104" s="492"/>
      <c r="Z104" s="754"/>
      <c r="AA104" s="754"/>
      <c r="AB104" s="750"/>
      <c r="AC104" s="754"/>
      <c r="AD104" s="493"/>
      <c r="AE104" s="437"/>
      <c r="AF104" s="449"/>
    </row>
    <row r="105" spans="1:32" ht="18.75" customHeight="1" x14ac:dyDescent="0.2">
      <c r="A105" s="759">
        <v>83</v>
      </c>
      <c r="B105" s="755" t="s">
        <v>220</v>
      </c>
      <c r="C105" s="759" t="s">
        <v>46</v>
      </c>
      <c r="D105" s="754">
        <v>685.69</v>
      </c>
      <c r="E105" s="754" t="s">
        <v>222</v>
      </c>
      <c r="F105" s="759">
        <v>177.8</v>
      </c>
      <c r="G105" s="759"/>
      <c r="H105" s="759"/>
      <c r="I105" s="754"/>
      <c r="J105" s="754"/>
      <c r="K105" s="754"/>
      <c r="L105" s="754"/>
      <c r="M105" s="754"/>
      <c r="N105" s="754"/>
      <c r="O105" s="754"/>
      <c r="P105" s="448"/>
      <c r="Q105" s="437"/>
      <c r="R105" s="754"/>
      <c r="S105" s="754"/>
      <c r="T105" s="754"/>
      <c r="U105" s="750"/>
      <c r="V105" s="750"/>
      <c r="W105" s="750"/>
      <c r="X105" s="421"/>
      <c r="Y105" s="492"/>
      <c r="Z105" s="754"/>
      <c r="AA105" s="754"/>
      <c r="AB105" s="750"/>
      <c r="AC105" s="754"/>
      <c r="AD105" s="493"/>
      <c r="AE105" s="437"/>
      <c r="AF105" s="449"/>
    </row>
    <row r="106" spans="1:32" ht="18.75" customHeight="1" x14ac:dyDescent="0.2">
      <c r="A106" s="759"/>
      <c r="B106" s="1894" t="s">
        <v>392</v>
      </c>
      <c r="C106" s="1912"/>
      <c r="D106" s="1912"/>
      <c r="E106" s="1912"/>
      <c r="F106" s="1912"/>
      <c r="G106" s="759"/>
      <c r="H106" s="759"/>
      <c r="I106" s="754"/>
      <c r="J106" s="759"/>
      <c r="K106" s="759"/>
      <c r="L106" s="759"/>
      <c r="M106" s="759"/>
      <c r="N106" s="668"/>
      <c r="O106" s="759"/>
      <c r="P106" s="668"/>
      <c r="Q106" s="432"/>
      <c r="R106" s="432"/>
      <c r="S106" s="432"/>
      <c r="T106" s="432"/>
      <c r="U106" s="432"/>
      <c r="V106" s="432"/>
      <c r="W106" s="432"/>
      <c r="X106" s="432"/>
      <c r="Y106" s="432"/>
      <c r="Z106" s="432"/>
      <c r="AA106" s="432"/>
      <c r="AB106" s="432"/>
      <c r="AC106" s="432"/>
      <c r="AD106" s="759"/>
      <c r="AE106" s="432"/>
      <c r="AF106" s="449"/>
    </row>
    <row r="107" spans="1:32" ht="18.75" customHeight="1" x14ac:dyDescent="0.2">
      <c r="A107" s="759">
        <v>84</v>
      </c>
      <c r="B107" s="461" t="s">
        <v>56</v>
      </c>
      <c r="C107" s="759" t="s">
        <v>46</v>
      </c>
      <c r="D107" s="759">
        <v>680.52</v>
      </c>
      <c r="E107" s="759" t="s">
        <v>92</v>
      </c>
      <c r="F107" s="759">
        <v>177.8</v>
      </c>
      <c r="G107" s="759"/>
      <c r="H107" s="759"/>
      <c r="I107" s="754">
        <v>555.95000000000005</v>
      </c>
      <c r="J107" s="759"/>
      <c r="K107" s="759"/>
      <c r="L107" s="759"/>
      <c r="M107" s="759"/>
      <c r="N107" s="668"/>
      <c r="O107" s="759"/>
      <c r="P107" s="432"/>
      <c r="Q107" s="432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759"/>
      <c r="AE107" s="432"/>
      <c r="AF107" s="449"/>
    </row>
    <row r="108" spans="1:32" ht="18.75" x14ac:dyDescent="0.2">
      <c r="A108" s="745"/>
      <c r="B108" s="757"/>
      <c r="C108" s="757"/>
      <c r="D108" s="757"/>
      <c r="E108" s="461"/>
      <c r="F108" s="759"/>
      <c r="G108" s="759"/>
      <c r="H108" s="759"/>
      <c r="I108" s="754"/>
      <c r="J108" s="759"/>
      <c r="K108" s="759"/>
      <c r="L108" s="759"/>
      <c r="M108" s="759"/>
      <c r="N108" s="668"/>
      <c r="O108" s="759"/>
      <c r="P108" s="432"/>
      <c r="Q108" s="432"/>
      <c r="R108" s="432"/>
      <c r="S108" s="432"/>
      <c r="T108" s="432"/>
      <c r="U108" s="432"/>
      <c r="V108" s="432"/>
      <c r="W108" s="432"/>
      <c r="X108" s="685"/>
      <c r="Y108" s="432"/>
      <c r="Z108" s="432"/>
      <c r="AA108" s="432"/>
      <c r="AB108" s="432"/>
      <c r="AC108" s="432"/>
      <c r="AD108" s="759"/>
      <c r="AE108" s="432"/>
      <c r="AF108" s="449"/>
    </row>
    <row r="109" spans="1:32" ht="18.75" x14ac:dyDescent="0.2">
      <c r="A109" s="710"/>
      <c r="B109" s="1939"/>
      <c r="C109" s="1939"/>
      <c r="D109" s="1939"/>
      <c r="E109" s="1940"/>
      <c r="F109" s="758"/>
      <c r="G109" s="759"/>
      <c r="H109" s="759"/>
      <c r="I109" s="432"/>
      <c r="J109" s="759"/>
      <c r="K109" s="758"/>
      <c r="L109" s="759"/>
      <c r="M109" s="758"/>
      <c r="N109" s="668"/>
      <c r="O109" s="758"/>
      <c r="P109" s="682"/>
      <c r="Q109" s="466"/>
      <c r="R109" s="466">
        <f>R79+R91</f>
        <v>391.08500000000004</v>
      </c>
      <c r="S109" s="466">
        <f>S79+S91</f>
        <v>734.7890000000001</v>
      </c>
      <c r="T109" s="678">
        <f>T79+T91</f>
        <v>11149.750000000002</v>
      </c>
      <c r="U109" s="466">
        <f>T109/R109</f>
        <v>28.509786874976029</v>
      </c>
      <c r="V109" s="466"/>
      <c r="W109" s="466"/>
      <c r="X109" s="466"/>
      <c r="Y109" s="466">
        <f>Y79+Y91+Y82</f>
        <v>386.47918499999992</v>
      </c>
      <c r="Z109" s="466">
        <f>Z79+Z91+Z82</f>
        <v>724.36517700000002</v>
      </c>
      <c r="AA109" s="678">
        <f>AA79+AA91</f>
        <v>10960.204249999999</v>
      </c>
      <c r="AB109" s="466">
        <f>AB79+AB91</f>
        <v>29.145177606591403</v>
      </c>
      <c r="AC109" s="466"/>
      <c r="AD109" s="466"/>
      <c r="AE109" s="686">
        <f>AE79+AE91</f>
        <v>11918.854734999997</v>
      </c>
      <c r="AF109" s="680"/>
    </row>
    <row r="110" spans="1:32" ht="18.75" x14ac:dyDescent="0.2">
      <c r="B110" s="497"/>
      <c r="C110" s="497"/>
      <c r="D110" s="497"/>
      <c r="E110" s="497"/>
      <c r="F110" s="497"/>
      <c r="G110" s="498"/>
      <c r="H110" s="499"/>
      <c r="I110" s="499"/>
      <c r="J110" s="497"/>
      <c r="K110" s="497"/>
      <c r="L110" s="497"/>
      <c r="M110" s="497"/>
      <c r="N110" s="497"/>
      <c r="O110" s="497"/>
      <c r="P110" s="500"/>
      <c r="Q110" s="501"/>
      <c r="R110" s="497"/>
      <c r="S110" s="497"/>
      <c r="T110" s="497"/>
      <c r="U110" s="498"/>
      <c r="V110" s="498"/>
      <c r="W110" s="498"/>
      <c r="X110" s="498"/>
      <c r="Y110" s="497"/>
      <c r="Z110" s="497"/>
      <c r="AA110" s="497"/>
      <c r="AB110" s="498"/>
      <c r="AC110" s="498"/>
      <c r="AD110" s="497"/>
      <c r="AE110" s="497"/>
      <c r="AF110" s="499"/>
    </row>
    <row r="111" spans="1:32" ht="18.75" x14ac:dyDescent="0.2">
      <c r="B111" s="412"/>
      <c r="C111" s="460"/>
      <c r="D111" s="412"/>
      <c r="E111" s="687">
        <v>0.95</v>
      </c>
      <c r="F111" s="412"/>
      <c r="G111" s="412" t="s">
        <v>102</v>
      </c>
      <c r="H111" s="460"/>
      <c r="I111" s="688"/>
      <c r="J111" s="412"/>
      <c r="K111" s="1941">
        <f>AE109*E111</f>
        <v>11322.911998249996</v>
      </c>
      <c r="L111" s="1897"/>
      <c r="M111" s="1897"/>
      <c r="N111" s="460" t="s">
        <v>27</v>
      </c>
      <c r="O111" s="497"/>
      <c r="P111" s="500"/>
      <c r="Q111" s="501"/>
      <c r="R111" s="497"/>
      <c r="S111" s="497"/>
      <c r="T111" s="497"/>
      <c r="U111" s="498"/>
      <c r="V111" s="498"/>
      <c r="W111" s="498"/>
      <c r="X111" s="498"/>
      <c r="Y111" s="497"/>
      <c r="Z111" s="497"/>
      <c r="AA111" s="497"/>
      <c r="AB111" s="498"/>
      <c r="AC111" s="498"/>
      <c r="AD111" s="497"/>
      <c r="AE111" s="497"/>
      <c r="AF111" s="499"/>
    </row>
    <row r="112" spans="1:32" ht="18.75" x14ac:dyDescent="0.2">
      <c r="B112" s="412"/>
      <c r="C112" s="460"/>
      <c r="D112" s="412"/>
      <c r="E112" s="687"/>
      <c r="F112" s="412"/>
      <c r="G112" s="460"/>
      <c r="H112" s="460"/>
      <c r="I112" s="688"/>
      <c r="J112" s="412"/>
      <c r="K112" s="460"/>
      <c r="L112" s="689"/>
      <c r="M112" s="412"/>
      <c r="N112" s="412"/>
      <c r="O112" s="412"/>
      <c r="P112" s="690"/>
      <c r="Q112" s="691"/>
      <c r="R112" s="412"/>
      <c r="S112" s="412"/>
      <c r="T112" s="412"/>
      <c r="U112" s="412"/>
      <c r="V112" s="412"/>
      <c r="W112" s="412"/>
      <c r="X112" s="761"/>
      <c r="Y112" s="761"/>
      <c r="Z112" s="761"/>
      <c r="AA112" s="761"/>
      <c r="AB112" s="761"/>
      <c r="AC112" s="761"/>
      <c r="AD112" s="761"/>
      <c r="AE112" s="761"/>
      <c r="AF112" s="692"/>
    </row>
    <row r="113" spans="2:32" ht="18.75" x14ac:dyDescent="0.2">
      <c r="B113" s="412"/>
      <c r="C113" s="412"/>
      <c r="D113" s="412"/>
      <c r="E113" s="693" t="s">
        <v>214</v>
      </c>
      <c r="F113" s="1911" t="s">
        <v>268</v>
      </c>
      <c r="G113" s="1911"/>
      <c r="H113" s="1911"/>
      <c r="I113" s="412"/>
      <c r="J113" s="412"/>
      <c r="K113" s="460"/>
      <c r="L113" s="460"/>
      <c r="M113" s="412"/>
      <c r="N113" s="412"/>
      <c r="O113" s="412"/>
      <c r="P113" s="412"/>
      <c r="Q113" s="412"/>
      <c r="R113" s="412"/>
      <c r="S113" s="412"/>
      <c r="T113" s="412"/>
      <c r="U113" s="412"/>
      <c r="V113" s="412"/>
      <c r="W113" s="412"/>
      <c r="X113" s="1938" t="s">
        <v>352</v>
      </c>
      <c r="Y113" s="1937"/>
      <c r="Z113" s="1937"/>
      <c r="AA113" s="1937"/>
      <c r="AB113" s="761" t="s">
        <v>282</v>
      </c>
      <c r="AC113" s="761"/>
      <c r="AD113" s="761"/>
      <c r="AE113" s="761"/>
      <c r="AF113" s="761"/>
    </row>
  </sheetData>
  <mergeCells count="40">
    <mergeCell ref="B98:F98"/>
    <mergeCell ref="B106:F106"/>
    <mergeCell ref="B109:E109"/>
    <mergeCell ref="K111:M111"/>
    <mergeCell ref="F113:H113"/>
    <mergeCell ref="X113:AA113"/>
    <mergeCell ref="AF12:AF13"/>
    <mergeCell ref="B83:E83"/>
    <mergeCell ref="B84:F84"/>
    <mergeCell ref="B91:E91"/>
    <mergeCell ref="B92:E92"/>
    <mergeCell ref="B93:F93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F115"/>
  <sheetViews>
    <sheetView topLeftCell="F1" zoomScale="70" zoomScaleNormal="70" workbookViewId="0">
      <selection activeCell="A23" sqref="A23:XFD23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85.14062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777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788"/>
      <c r="G2" s="784"/>
      <c r="H2" s="784"/>
      <c r="I2" s="788"/>
      <c r="J2" s="1909" t="s">
        <v>422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788"/>
      <c r="Y2" s="788"/>
      <c r="Z2" s="788"/>
      <c r="AA2" s="788"/>
      <c r="AB2" s="788"/>
      <c r="AC2" s="788"/>
      <c r="AD2" s="788"/>
      <c r="AE2" s="788"/>
      <c r="AF2" s="405"/>
    </row>
    <row r="3" spans="1:32" ht="18.75" x14ac:dyDescent="0.2">
      <c r="A3" s="1910" t="s">
        <v>54</v>
      </c>
      <c r="B3" s="1910"/>
      <c r="C3" s="1910"/>
      <c r="D3" s="1910"/>
      <c r="E3" s="788"/>
      <c r="F3" s="788"/>
      <c r="G3" s="784"/>
      <c r="H3" s="789"/>
      <c r="I3" s="789"/>
      <c r="J3" s="789"/>
      <c r="K3" s="789"/>
      <c r="L3" s="789"/>
      <c r="M3" s="789"/>
      <c r="N3" s="789"/>
      <c r="O3" s="789"/>
      <c r="P3" s="789"/>
      <c r="Q3" s="767"/>
      <c r="R3" s="788"/>
      <c r="S3" s="788"/>
      <c r="T3" s="788"/>
      <c r="U3" s="788"/>
      <c r="V3" s="788"/>
      <c r="W3" s="788"/>
      <c r="X3" s="788"/>
      <c r="Y3" s="788"/>
      <c r="Z3" s="788"/>
      <c r="AA3" s="788"/>
      <c r="AB3" s="788"/>
      <c r="AC3" s="788"/>
      <c r="AD3" s="788"/>
      <c r="AE3" s="788"/>
      <c r="AF3" s="408" t="s">
        <v>55</v>
      </c>
    </row>
    <row r="4" spans="1:32" ht="18.75" x14ac:dyDescent="0.2">
      <c r="A4" s="785" t="s">
        <v>311</v>
      </c>
      <c r="B4" s="785"/>
      <c r="C4" s="785"/>
      <c r="D4" s="785"/>
      <c r="E4" s="785"/>
      <c r="F4" s="788"/>
      <c r="G4" s="784"/>
      <c r="H4" s="784"/>
      <c r="I4" s="789"/>
      <c r="J4" s="789"/>
      <c r="K4" s="789"/>
      <c r="L4" s="789"/>
      <c r="M4" s="789"/>
      <c r="N4" s="789"/>
      <c r="O4" s="789"/>
      <c r="P4" s="789"/>
      <c r="Q4" s="767"/>
      <c r="R4" s="410"/>
      <c r="S4" s="410"/>
      <c r="T4" s="410"/>
      <c r="U4" s="410"/>
      <c r="V4" s="410"/>
      <c r="W4" s="410"/>
      <c r="X4" s="788"/>
      <c r="Y4" s="788"/>
      <c r="Z4" s="788"/>
      <c r="AA4" s="788"/>
      <c r="AB4" s="788"/>
      <c r="AC4" s="788"/>
      <c r="AD4" s="788"/>
      <c r="AE4" s="788"/>
      <c r="AF4" s="411" t="s">
        <v>338</v>
      </c>
    </row>
    <row r="5" spans="1:32" ht="18.75" x14ac:dyDescent="0.2">
      <c r="A5" s="785" t="s">
        <v>428</v>
      </c>
      <c r="B5" s="412"/>
      <c r="C5" s="412"/>
      <c r="D5" s="412"/>
      <c r="E5" s="788"/>
      <c r="F5" s="788"/>
      <c r="G5" s="784"/>
      <c r="H5" s="784"/>
      <c r="I5" s="788"/>
      <c r="J5" s="788"/>
      <c r="K5" s="784"/>
      <c r="L5" s="784"/>
      <c r="M5" s="788"/>
      <c r="N5" s="788"/>
      <c r="O5" s="788"/>
      <c r="P5" s="413"/>
      <c r="Q5" s="76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  <c r="AF5" s="415" t="s">
        <v>429</v>
      </c>
    </row>
    <row r="6" spans="1:32" ht="18.75" x14ac:dyDescent="0.2">
      <c r="A6" s="788"/>
      <c r="B6" s="785"/>
      <c r="C6" s="785"/>
      <c r="D6" s="785"/>
      <c r="E6" s="788"/>
      <c r="F6" s="788"/>
      <c r="G6" s="784"/>
      <c r="H6" s="784"/>
      <c r="I6" s="405"/>
      <c r="J6" s="788"/>
      <c r="K6" s="784"/>
      <c r="L6" s="784"/>
      <c r="M6" s="788"/>
      <c r="N6" s="788"/>
      <c r="O6" s="788"/>
      <c r="P6" s="413"/>
      <c r="Q6" s="768"/>
      <c r="R6" s="788"/>
      <c r="S6" s="788"/>
      <c r="T6" s="788"/>
      <c r="U6" s="788"/>
      <c r="V6" s="788"/>
      <c r="W6" s="411"/>
      <c r="X6" s="788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788"/>
      <c r="G7" s="784"/>
      <c r="H7" s="784"/>
      <c r="I7" s="405"/>
      <c r="J7" s="788"/>
      <c r="K7" s="784"/>
      <c r="L7" s="784"/>
      <c r="M7" s="788"/>
      <c r="N7" s="788"/>
      <c r="O7" s="788"/>
      <c r="P7" s="413"/>
      <c r="Q7" s="768"/>
      <c r="R7" s="788"/>
      <c r="S7" s="788"/>
      <c r="T7" s="788"/>
      <c r="U7" s="788"/>
      <c r="V7" s="788"/>
      <c r="W7" s="411"/>
      <c r="X7" s="788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428</v>
      </c>
      <c r="B8" s="1911"/>
      <c r="C8" s="1911"/>
      <c r="D8" s="1911"/>
      <c r="E8" s="1911"/>
      <c r="F8" s="788"/>
      <c r="G8" s="784"/>
      <c r="H8" s="784"/>
      <c r="I8" s="405"/>
      <c r="J8" s="788"/>
      <c r="K8" s="784"/>
      <c r="L8" s="784"/>
      <c r="M8" s="788"/>
      <c r="N8" s="788"/>
      <c r="O8" s="788"/>
      <c r="P8" s="413"/>
      <c r="Q8" s="768"/>
      <c r="R8" s="788"/>
      <c r="S8" s="788"/>
      <c r="T8" s="788"/>
      <c r="U8" s="788"/>
      <c r="V8" s="788"/>
      <c r="W8" s="411"/>
      <c r="X8" s="788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788"/>
      <c r="G9" s="784"/>
      <c r="H9" s="784"/>
      <c r="I9" s="788"/>
      <c r="J9" s="788"/>
      <c r="K9" s="784"/>
      <c r="L9" s="784"/>
      <c r="M9" s="784"/>
      <c r="N9" s="784"/>
      <c r="O9" s="784"/>
      <c r="P9" s="784"/>
      <c r="Q9" s="769"/>
      <c r="R9" s="784"/>
      <c r="S9" s="784"/>
      <c r="T9" s="784"/>
      <c r="U9" s="784"/>
      <c r="V9" s="784"/>
      <c r="W9" s="788"/>
      <c r="X9" s="788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784"/>
      <c r="C10" s="784"/>
      <c r="D10" s="784"/>
      <c r="E10" s="788"/>
      <c r="F10" s="788"/>
      <c r="G10" s="784"/>
      <c r="H10" s="784"/>
      <c r="I10" s="405"/>
      <c r="J10" s="788"/>
      <c r="K10" s="784"/>
      <c r="L10" s="784"/>
      <c r="M10" s="788"/>
      <c r="N10" s="788"/>
      <c r="O10" s="788"/>
      <c r="P10" s="413"/>
      <c r="Q10" s="768"/>
      <c r="R10" s="788"/>
      <c r="S10" s="788"/>
      <c r="T10" s="788"/>
      <c r="U10" s="788"/>
      <c r="V10" s="788"/>
      <c r="W10" s="411"/>
      <c r="X10" s="788"/>
      <c r="Y10" s="412"/>
      <c r="Z10" s="412"/>
      <c r="AA10" s="412"/>
      <c r="AB10" s="412"/>
      <c r="AC10" s="412"/>
      <c r="AD10" s="412"/>
      <c r="AE10" s="412"/>
      <c r="AF10" s="415"/>
    </row>
    <row r="11" spans="1:32" ht="17.45" customHeight="1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780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770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780" t="s">
        <v>18</v>
      </c>
      <c r="AE12" s="780" t="s">
        <v>20</v>
      </c>
      <c r="AF12" s="1891" t="s">
        <v>21</v>
      </c>
    </row>
    <row r="13" spans="1:32" ht="37.5" x14ac:dyDescent="0.2">
      <c r="A13" s="1891"/>
      <c r="B13" s="1891"/>
      <c r="C13" s="1903"/>
      <c r="D13" s="786" t="s">
        <v>3</v>
      </c>
      <c r="E13" s="786" t="s">
        <v>3</v>
      </c>
      <c r="F13" s="786" t="s">
        <v>4</v>
      </c>
      <c r="G13" s="1903"/>
      <c r="H13" s="1903"/>
      <c r="I13" s="1891"/>
      <c r="J13" s="786" t="s">
        <v>7</v>
      </c>
      <c r="K13" s="786" t="s">
        <v>30</v>
      </c>
      <c r="L13" s="786" t="s">
        <v>29</v>
      </c>
      <c r="M13" s="786" t="s">
        <v>31</v>
      </c>
      <c r="N13" s="786" t="s">
        <v>32</v>
      </c>
      <c r="O13" s="786" t="s">
        <v>12</v>
      </c>
      <c r="P13" s="448" t="s">
        <v>13</v>
      </c>
      <c r="Q13" s="771" t="s">
        <v>26</v>
      </c>
      <c r="R13" s="786" t="s">
        <v>14</v>
      </c>
      <c r="S13" s="786" t="s">
        <v>25</v>
      </c>
      <c r="T13" s="786" t="s">
        <v>113</v>
      </c>
      <c r="U13" s="1903"/>
      <c r="V13" s="1903"/>
      <c r="W13" s="1903"/>
      <c r="X13" s="1903"/>
      <c r="Y13" s="786" t="s">
        <v>14</v>
      </c>
      <c r="Z13" s="786" t="s">
        <v>25</v>
      </c>
      <c r="AA13" s="786" t="s">
        <v>113</v>
      </c>
      <c r="AB13" s="1903"/>
      <c r="AC13" s="1903"/>
      <c r="AD13" s="786" t="s">
        <v>19</v>
      </c>
      <c r="AE13" s="786" t="s">
        <v>27</v>
      </c>
      <c r="AF13" s="1891"/>
    </row>
    <row r="14" spans="1:32" ht="18.75" customHeight="1" x14ac:dyDescent="0.2">
      <c r="A14" s="787">
        <v>1</v>
      </c>
      <c r="B14" s="461" t="s">
        <v>139</v>
      </c>
      <c r="C14" s="787" t="s">
        <v>46</v>
      </c>
      <c r="D14" s="787">
        <v>610.5</v>
      </c>
      <c r="E14" s="787" t="s">
        <v>203</v>
      </c>
      <c r="F14" s="787">
        <v>177.8</v>
      </c>
      <c r="G14" s="787" t="s">
        <v>28</v>
      </c>
      <c r="H14" s="195" t="s">
        <v>363</v>
      </c>
      <c r="I14" s="786">
        <v>558.54</v>
      </c>
      <c r="J14" s="787">
        <v>175</v>
      </c>
      <c r="K14" s="787"/>
      <c r="L14" s="787">
        <v>393</v>
      </c>
      <c r="M14" s="787"/>
      <c r="N14" s="787">
        <v>0</v>
      </c>
      <c r="O14" s="787"/>
      <c r="P14" s="668">
        <v>17.019954319340211</v>
      </c>
      <c r="Q14" s="772">
        <f>J14*7/100</f>
        <v>12.25</v>
      </c>
      <c r="R14" s="432">
        <v>1.9219999999999999</v>
      </c>
      <c r="S14" s="432">
        <v>6.2270000000000003</v>
      </c>
      <c r="T14" s="670">
        <v>6</v>
      </c>
      <c r="U14" s="668">
        <f t="shared" ref="U14:U77" si="0">T14/R14</f>
        <v>3.121748178980229</v>
      </c>
      <c r="V14" s="668">
        <f>(S14-R14)/S14*100</f>
        <v>69.134414645896896</v>
      </c>
      <c r="W14" s="668">
        <v>0.3</v>
      </c>
      <c r="X14" s="432">
        <f t="shared" ref="X14:X77" si="1">S14/Q14</f>
        <v>0.50832653061224498</v>
      </c>
      <c r="Y14" s="432">
        <f>R14*0.983</f>
        <v>1.8893259999999998</v>
      </c>
      <c r="Z14" s="432">
        <f>S14*0.983</f>
        <v>6.1211410000000006</v>
      </c>
      <c r="AA14" s="670">
        <f>T14*0.983</f>
        <v>5.8979999999999997</v>
      </c>
      <c r="AB14" s="432">
        <f>U14</f>
        <v>3.121748178980229</v>
      </c>
      <c r="AC14" s="670">
        <f t="shared" ref="AC14:AC78" si="2">V14</f>
        <v>69.134414645896896</v>
      </c>
      <c r="AD14" s="787">
        <v>28</v>
      </c>
      <c r="AE14" s="432">
        <f>Y14*AD14</f>
        <v>52.901127999999993</v>
      </c>
      <c r="AF14" s="669"/>
    </row>
    <row r="15" spans="1:32" ht="18.75" customHeight="1" x14ac:dyDescent="0.2">
      <c r="A15" s="787">
        <v>2</v>
      </c>
      <c r="B15" s="461" t="s">
        <v>140</v>
      </c>
      <c r="C15" s="787" t="s">
        <v>46</v>
      </c>
      <c r="D15" s="787">
        <v>585</v>
      </c>
      <c r="E15" s="787" t="s">
        <v>348</v>
      </c>
      <c r="F15" s="787">
        <v>177.8</v>
      </c>
      <c r="G15" s="787" t="s">
        <v>28</v>
      </c>
      <c r="H15" s="787" t="s">
        <v>50</v>
      </c>
      <c r="I15" s="786">
        <v>579.99</v>
      </c>
      <c r="J15" s="787" t="s">
        <v>254</v>
      </c>
      <c r="K15" s="787"/>
      <c r="L15" s="787">
        <v>411</v>
      </c>
      <c r="M15" s="787"/>
      <c r="N15" s="787">
        <v>0.6</v>
      </c>
      <c r="O15" s="787"/>
      <c r="P15" s="668">
        <v>16.497498429435264</v>
      </c>
      <c r="Q15" s="772">
        <f t="shared" ref="Q15:Q38" si="3">LEFT(H15,(FIND("K",H15,1)-1))*J15/100</f>
        <v>15</v>
      </c>
      <c r="R15" s="432">
        <v>0.84899999999999998</v>
      </c>
      <c r="S15" s="432">
        <v>1.1819999999999999</v>
      </c>
      <c r="T15" s="670">
        <v>0</v>
      </c>
      <c r="U15" s="668">
        <f t="shared" si="0"/>
        <v>0</v>
      </c>
      <c r="V15" s="668">
        <f>(S15-R15)/S15*100</f>
        <v>28.172588832487307</v>
      </c>
      <c r="W15" s="668">
        <v>0.3</v>
      </c>
      <c r="X15" s="432">
        <f t="shared" si="1"/>
        <v>7.8799999999999995E-2</v>
      </c>
      <c r="Y15" s="432">
        <f t="shared" ref="Y15:AA78" si="4">R15*0.983</f>
        <v>0.83456699999999995</v>
      </c>
      <c r="Z15" s="432">
        <f t="shared" si="4"/>
        <v>1.1619059999999999</v>
      </c>
      <c r="AA15" s="670">
        <f t="shared" si="4"/>
        <v>0</v>
      </c>
      <c r="AB15" s="432">
        <f t="shared" ref="AB15:AB78" si="5">U15</f>
        <v>0</v>
      </c>
      <c r="AC15" s="670">
        <f t="shared" si="2"/>
        <v>28.172588832487307</v>
      </c>
      <c r="AD15" s="787">
        <v>28</v>
      </c>
      <c r="AE15" s="432">
        <f t="shared" ref="AE15:AE58" si="6">Y15*AD15</f>
        <v>23.367875999999999</v>
      </c>
      <c r="AF15" s="669"/>
    </row>
    <row r="16" spans="1:32" ht="18.75" customHeight="1" x14ac:dyDescent="0.2">
      <c r="A16" s="787">
        <v>3</v>
      </c>
      <c r="B16" s="461" t="s">
        <v>141</v>
      </c>
      <c r="C16" s="787" t="s">
        <v>46</v>
      </c>
      <c r="D16" s="787">
        <v>670</v>
      </c>
      <c r="E16" s="787" t="s">
        <v>68</v>
      </c>
      <c r="F16" s="787">
        <v>177.8</v>
      </c>
      <c r="G16" s="787" t="s">
        <v>28</v>
      </c>
      <c r="H16" s="787" t="s">
        <v>218</v>
      </c>
      <c r="I16" s="786">
        <v>565.94000000000005</v>
      </c>
      <c r="J16" s="787">
        <v>210</v>
      </c>
      <c r="K16" s="787"/>
      <c r="L16" s="787">
        <v>492</v>
      </c>
      <c r="M16" s="787"/>
      <c r="N16" s="668">
        <v>9.8000000000000007</v>
      </c>
      <c r="O16" s="787"/>
      <c r="P16" s="668">
        <v>12.949691643005387</v>
      </c>
      <c r="Q16" s="772">
        <f>LEFT(H16,(FIND("K",H16,1)-1))*J16/100</f>
        <v>67.2</v>
      </c>
      <c r="R16" s="432">
        <v>11.281000000000001</v>
      </c>
      <c r="S16" s="432">
        <v>18.846</v>
      </c>
      <c r="T16" s="670">
        <v>932</v>
      </c>
      <c r="U16" s="668">
        <f t="shared" si="0"/>
        <v>82.616789291729447</v>
      </c>
      <c r="V16" s="668">
        <f t="shared" ref="V16:V77" si="7">(S16-R16)/S16*100</f>
        <v>40.141144009338845</v>
      </c>
      <c r="W16" s="668">
        <v>0.2</v>
      </c>
      <c r="X16" s="432">
        <f t="shared" si="1"/>
        <v>0.28044642857142854</v>
      </c>
      <c r="Y16" s="432">
        <f t="shared" si="4"/>
        <v>11.089223</v>
      </c>
      <c r="Z16" s="432">
        <f t="shared" si="4"/>
        <v>18.525618000000001</v>
      </c>
      <c r="AA16" s="670">
        <f t="shared" si="4"/>
        <v>916.15599999999995</v>
      </c>
      <c r="AB16" s="432">
        <f t="shared" si="5"/>
        <v>82.616789291729447</v>
      </c>
      <c r="AC16" s="670">
        <f t="shared" si="2"/>
        <v>40.141144009338845</v>
      </c>
      <c r="AD16" s="787">
        <v>28</v>
      </c>
      <c r="AE16" s="432">
        <f>Y16*AD16</f>
        <v>310.498244</v>
      </c>
      <c r="AF16" s="669"/>
    </row>
    <row r="17" spans="1:32" ht="18.75" customHeight="1" x14ac:dyDescent="0.2">
      <c r="A17" s="787">
        <v>4</v>
      </c>
      <c r="B17" s="461" t="s">
        <v>142</v>
      </c>
      <c r="C17" s="787" t="s">
        <v>46</v>
      </c>
      <c r="D17" s="787">
        <v>628</v>
      </c>
      <c r="E17" s="787" t="s">
        <v>297</v>
      </c>
      <c r="F17" s="787">
        <v>177.8</v>
      </c>
      <c r="G17" s="787" t="s">
        <v>28</v>
      </c>
      <c r="H17" s="165" t="s">
        <v>376</v>
      </c>
      <c r="I17" s="786">
        <v>540.74000000000024</v>
      </c>
      <c r="J17" s="787">
        <v>330</v>
      </c>
      <c r="K17" s="787"/>
      <c r="L17" s="787">
        <v>453</v>
      </c>
      <c r="M17" s="787"/>
      <c r="N17" s="668">
        <v>5.7</v>
      </c>
      <c r="O17" s="787"/>
      <c r="P17" s="668">
        <v>16.034102893152006</v>
      </c>
      <c r="Q17" s="772">
        <f>14*J17/100</f>
        <v>46.2</v>
      </c>
      <c r="R17" s="432">
        <v>4.4050000000000002</v>
      </c>
      <c r="S17" s="432">
        <v>6.2130000000000001</v>
      </c>
      <c r="T17" s="670">
        <v>37</v>
      </c>
      <c r="U17" s="668">
        <f t="shared" si="0"/>
        <v>8.3995459704880808</v>
      </c>
      <c r="V17" s="668">
        <f t="shared" si="7"/>
        <v>29.100273619829387</v>
      </c>
      <c r="W17" s="668">
        <v>0.2</v>
      </c>
      <c r="X17" s="432">
        <f t="shared" si="1"/>
        <v>0.13448051948051948</v>
      </c>
      <c r="Y17" s="432">
        <f t="shared" si="4"/>
        <v>4.3301150000000002</v>
      </c>
      <c r="Z17" s="432">
        <f t="shared" si="4"/>
        <v>6.1073789999999999</v>
      </c>
      <c r="AA17" s="670">
        <f t="shared" si="4"/>
        <v>36.371000000000002</v>
      </c>
      <c r="AB17" s="432">
        <f t="shared" si="5"/>
        <v>8.3995459704880808</v>
      </c>
      <c r="AC17" s="670">
        <f t="shared" si="2"/>
        <v>29.100273619829387</v>
      </c>
      <c r="AD17" s="787">
        <v>28</v>
      </c>
      <c r="AE17" s="432">
        <f t="shared" si="6"/>
        <v>121.24322000000001</v>
      </c>
      <c r="AF17" s="669"/>
    </row>
    <row r="18" spans="1:32" ht="18.75" customHeight="1" x14ac:dyDescent="0.2">
      <c r="A18" s="787">
        <v>5</v>
      </c>
      <c r="B18" s="461" t="s">
        <v>143</v>
      </c>
      <c r="C18" s="787" t="s">
        <v>46</v>
      </c>
      <c r="D18" s="787">
        <v>576.6</v>
      </c>
      <c r="E18" s="787" t="s">
        <v>70</v>
      </c>
      <c r="F18" s="787">
        <v>177.8</v>
      </c>
      <c r="G18" s="787" t="s">
        <v>28</v>
      </c>
      <c r="H18" s="550" t="s">
        <v>53</v>
      </c>
      <c r="I18" s="786">
        <v>546</v>
      </c>
      <c r="J18" s="787">
        <v>140</v>
      </c>
      <c r="K18" s="787"/>
      <c r="L18" s="787">
        <v>438</v>
      </c>
      <c r="M18" s="787"/>
      <c r="N18" s="787">
        <v>7.3</v>
      </c>
      <c r="O18" s="787"/>
      <c r="P18" s="668">
        <v>18.521595165426454</v>
      </c>
      <c r="Q18" s="772">
        <f t="shared" si="3"/>
        <v>18.2</v>
      </c>
      <c r="R18" s="432">
        <v>4.9000000000000004</v>
      </c>
      <c r="S18" s="432">
        <v>5.444</v>
      </c>
      <c r="T18" s="670">
        <v>36</v>
      </c>
      <c r="U18" s="668">
        <f t="shared" si="0"/>
        <v>7.3469387755102034</v>
      </c>
      <c r="V18" s="668">
        <f t="shared" si="7"/>
        <v>9.9926524614254149</v>
      </c>
      <c r="W18" s="668">
        <v>0.2</v>
      </c>
      <c r="X18" s="432">
        <f>S18/Q18</f>
        <v>0.29912087912087915</v>
      </c>
      <c r="Y18" s="432">
        <f t="shared" si="4"/>
        <v>4.8167</v>
      </c>
      <c r="Z18" s="432">
        <f t="shared" si="4"/>
        <v>5.3514520000000001</v>
      </c>
      <c r="AA18" s="670">
        <f t="shared" si="4"/>
        <v>35.387999999999998</v>
      </c>
      <c r="AB18" s="432">
        <f t="shared" si="5"/>
        <v>7.3469387755102034</v>
      </c>
      <c r="AC18" s="670">
        <f t="shared" si="2"/>
        <v>9.9926524614254149</v>
      </c>
      <c r="AD18" s="787">
        <v>28</v>
      </c>
      <c r="AE18" s="432">
        <f t="shared" si="6"/>
        <v>134.86760000000001</v>
      </c>
      <c r="AF18" s="669"/>
    </row>
    <row r="19" spans="1:32" ht="18.75" customHeight="1" x14ac:dyDescent="0.2">
      <c r="A19" s="787">
        <v>6</v>
      </c>
      <c r="B19" s="461" t="s">
        <v>144</v>
      </c>
      <c r="C19" s="787" t="s">
        <v>46</v>
      </c>
      <c r="D19" s="787">
        <v>676.6</v>
      </c>
      <c r="E19" s="787" t="s">
        <v>71</v>
      </c>
      <c r="F19" s="787">
        <v>177.8</v>
      </c>
      <c r="G19" s="787" t="s">
        <v>28</v>
      </c>
      <c r="H19" s="787" t="s">
        <v>50</v>
      </c>
      <c r="I19" s="786">
        <v>584.32000000000005</v>
      </c>
      <c r="J19" s="787">
        <v>358</v>
      </c>
      <c r="K19" s="787"/>
      <c r="L19" s="787">
        <v>395</v>
      </c>
      <c r="M19" s="787"/>
      <c r="N19" s="787">
        <v>0.5</v>
      </c>
      <c r="O19" s="787"/>
      <c r="P19" s="668">
        <v>17.605129568686134</v>
      </c>
      <c r="Q19" s="772">
        <f t="shared" si="3"/>
        <v>21.48</v>
      </c>
      <c r="R19" s="432">
        <v>3.0190000000000001</v>
      </c>
      <c r="S19" s="432">
        <v>4.1909999999999998</v>
      </c>
      <c r="T19" s="670">
        <v>4.5</v>
      </c>
      <c r="U19" s="668">
        <f t="shared" si="0"/>
        <v>1.4905597880092745</v>
      </c>
      <c r="V19" s="668">
        <f t="shared" si="7"/>
        <v>27.964686232402762</v>
      </c>
      <c r="W19" s="668">
        <v>0.4</v>
      </c>
      <c r="X19" s="432">
        <f>S19/Q19</f>
        <v>0.19511173184357541</v>
      </c>
      <c r="Y19" s="432">
        <f t="shared" si="4"/>
        <v>2.9676770000000001</v>
      </c>
      <c r="Z19" s="432">
        <f t="shared" si="4"/>
        <v>4.1197529999999993</v>
      </c>
      <c r="AA19" s="670">
        <f t="shared" si="4"/>
        <v>4.4234999999999998</v>
      </c>
      <c r="AB19" s="432">
        <v>14.613</v>
      </c>
      <c r="AC19" s="670">
        <f t="shared" si="2"/>
        <v>27.964686232402762</v>
      </c>
      <c r="AD19" s="787">
        <v>28</v>
      </c>
      <c r="AE19" s="432">
        <f t="shared" si="6"/>
        <v>83.094955999999996</v>
      </c>
      <c r="AF19" s="669"/>
    </row>
    <row r="20" spans="1:32" ht="18.75" customHeight="1" x14ac:dyDescent="0.2">
      <c r="A20" s="787">
        <v>7</v>
      </c>
      <c r="B20" s="461" t="s">
        <v>145</v>
      </c>
      <c r="C20" s="787" t="s">
        <v>46</v>
      </c>
      <c r="D20" s="787" t="s">
        <v>47</v>
      </c>
      <c r="E20" s="787" t="s">
        <v>72</v>
      </c>
      <c r="F20" s="787">
        <v>177.8</v>
      </c>
      <c r="G20" s="787" t="s">
        <v>28</v>
      </c>
      <c r="H20" s="787" t="s">
        <v>52</v>
      </c>
      <c r="I20" s="786">
        <v>560</v>
      </c>
      <c r="J20" s="787">
        <v>190</v>
      </c>
      <c r="K20" s="787"/>
      <c r="L20" s="787">
        <v>461</v>
      </c>
      <c r="M20" s="787"/>
      <c r="N20" s="787">
        <v>7.5</v>
      </c>
      <c r="O20" s="787"/>
      <c r="P20" s="668">
        <v>17.464184933663603</v>
      </c>
      <c r="Q20" s="772">
        <f t="shared" si="3"/>
        <v>41.8</v>
      </c>
      <c r="R20" s="432">
        <v>9.1549999999999994</v>
      </c>
      <c r="S20" s="432">
        <v>12.279</v>
      </c>
      <c r="T20" s="670">
        <v>137</v>
      </c>
      <c r="U20" s="668">
        <f t="shared" si="0"/>
        <v>14.964500273074824</v>
      </c>
      <c r="V20" s="668">
        <f t="shared" si="7"/>
        <v>25.441811222412252</v>
      </c>
      <c r="W20" s="668">
        <v>0.2</v>
      </c>
      <c r="X20" s="432">
        <f t="shared" si="1"/>
        <v>0.29375598086124405</v>
      </c>
      <c r="Y20" s="432">
        <f t="shared" si="4"/>
        <v>8.9993649999999992</v>
      </c>
      <c r="Z20" s="432">
        <f t="shared" si="4"/>
        <v>12.070257</v>
      </c>
      <c r="AA20" s="670">
        <f t="shared" si="4"/>
        <v>134.67099999999999</v>
      </c>
      <c r="AB20" s="432">
        <f t="shared" si="5"/>
        <v>14.964500273074824</v>
      </c>
      <c r="AC20" s="670">
        <f t="shared" si="2"/>
        <v>25.441811222412252</v>
      </c>
      <c r="AD20" s="787">
        <v>28</v>
      </c>
      <c r="AE20" s="432">
        <f t="shared" si="6"/>
        <v>251.98221999999998</v>
      </c>
      <c r="AF20" s="669"/>
    </row>
    <row r="21" spans="1:32" ht="18.75" customHeight="1" x14ac:dyDescent="0.2">
      <c r="A21" s="787">
        <v>8</v>
      </c>
      <c r="B21" s="461" t="s">
        <v>146</v>
      </c>
      <c r="C21" s="787" t="s">
        <v>46</v>
      </c>
      <c r="D21" s="787">
        <v>764</v>
      </c>
      <c r="E21" s="436" t="s">
        <v>73</v>
      </c>
      <c r="F21" s="787">
        <v>177.8</v>
      </c>
      <c r="G21" s="787" t="s">
        <v>28</v>
      </c>
      <c r="H21" s="787" t="s">
        <v>52</v>
      </c>
      <c r="I21" s="437">
        <v>550</v>
      </c>
      <c r="J21" s="787">
        <v>155</v>
      </c>
      <c r="K21" s="783"/>
      <c r="L21" s="787">
        <v>438</v>
      </c>
      <c r="M21" s="783"/>
      <c r="N21" s="787">
        <v>7.6</v>
      </c>
      <c r="O21" s="783"/>
      <c r="P21" s="668">
        <v>20.308580534840598</v>
      </c>
      <c r="Q21" s="772">
        <f t="shared" si="3"/>
        <v>34.1</v>
      </c>
      <c r="R21" s="432">
        <v>5.1319999999999997</v>
      </c>
      <c r="S21" s="432">
        <v>16.283000000000001</v>
      </c>
      <c r="T21" s="670">
        <v>219</v>
      </c>
      <c r="U21" s="668">
        <f t="shared" si="0"/>
        <v>42.673421667965705</v>
      </c>
      <c r="V21" s="668">
        <f t="shared" si="7"/>
        <v>68.482466375974951</v>
      </c>
      <c r="W21" s="668">
        <v>0.5</v>
      </c>
      <c r="X21" s="432">
        <f t="shared" si="1"/>
        <v>0.47750733137829915</v>
      </c>
      <c r="Y21" s="432">
        <f t="shared" si="4"/>
        <v>5.0447559999999996</v>
      </c>
      <c r="Z21" s="432">
        <f t="shared" si="4"/>
        <v>16.006189000000003</v>
      </c>
      <c r="AA21" s="670">
        <f t="shared" si="4"/>
        <v>215.27699999999999</v>
      </c>
      <c r="AB21" s="432">
        <f t="shared" si="5"/>
        <v>42.673421667965705</v>
      </c>
      <c r="AC21" s="670">
        <f t="shared" si="2"/>
        <v>68.482466375974951</v>
      </c>
      <c r="AD21" s="787">
        <v>28</v>
      </c>
      <c r="AE21" s="432">
        <f t="shared" si="6"/>
        <v>141.25316799999999</v>
      </c>
      <c r="AF21" s="669"/>
    </row>
    <row r="22" spans="1:32" ht="18.75" customHeight="1" x14ac:dyDescent="0.2">
      <c r="A22" s="787">
        <v>9</v>
      </c>
      <c r="B22" s="461" t="s">
        <v>147</v>
      </c>
      <c r="C22" s="787" t="s">
        <v>46</v>
      </c>
      <c r="D22" s="787">
        <v>650.1</v>
      </c>
      <c r="E22" s="787" t="s">
        <v>74</v>
      </c>
      <c r="F22" s="787">
        <v>177.8</v>
      </c>
      <c r="G22" s="787" t="s">
        <v>28</v>
      </c>
      <c r="H22" s="787" t="s">
        <v>52</v>
      </c>
      <c r="I22" s="786">
        <v>591.98</v>
      </c>
      <c r="J22" s="787">
        <v>150</v>
      </c>
      <c r="K22" s="787"/>
      <c r="L22" s="787">
        <v>451</v>
      </c>
      <c r="M22" s="787"/>
      <c r="N22" s="787">
        <v>4.2</v>
      </c>
      <c r="O22" s="787"/>
      <c r="P22" s="668">
        <v>15.256508158838006</v>
      </c>
      <c r="Q22" s="772">
        <f t="shared" si="3"/>
        <v>33</v>
      </c>
      <c r="R22" s="432">
        <v>6.1210000000000004</v>
      </c>
      <c r="S22" s="432">
        <v>10.821999999999999</v>
      </c>
      <c r="T22" s="670">
        <v>14.6</v>
      </c>
      <c r="U22" s="668">
        <f t="shared" si="0"/>
        <v>2.3852311713772258</v>
      </c>
      <c r="V22" s="668">
        <f t="shared" si="7"/>
        <v>43.439290334503781</v>
      </c>
      <c r="W22" s="668">
        <v>0.2</v>
      </c>
      <c r="X22" s="432">
        <f t="shared" si="1"/>
        <v>0.32793939393939392</v>
      </c>
      <c r="Y22" s="432">
        <f t="shared" si="4"/>
        <v>6.0169430000000004</v>
      </c>
      <c r="Z22" s="432">
        <f t="shared" si="4"/>
        <v>10.638025999999998</v>
      </c>
      <c r="AA22" s="670">
        <f t="shared" si="4"/>
        <v>14.351799999999999</v>
      </c>
      <c r="AB22" s="432">
        <f t="shared" si="5"/>
        <v>2.3852311713772258</v>
      </c>
      <c r="AC22" s="670">
        <f t="shared" si="2"/>
        <v>43.439290334503781</v>
      </c>
      <c r="AD22" s="787">
        <v>28</v>
      </c>
      <c r="AE22" s="432">
        <f t="shared" si="6"/>
        <v>168.47440400000002</v>
      </c>
      <c r="AF22" s="669"/>
    </row>
    <row r="23" spans="1:32" ht="18.75" customHeight="1" x14ac:dyDescent="0.2">
      <c r="A23" s="787">
        <v>10</v>
      </c>
      <c r="B23" s="461" t="s">
        <v>148</v>
      </c>
      <c r="C23" s="787" t="s">
        <v>46</v>
      </c>
      <c r="D23" s="787">
        <v>580.5</v>
      </c>
      <c r="E23" s="787" t="s">
        <v>398</v>
      </c>
      <c r="F23" s="787">
        <v>177.8</v>
      </c>
      <c r="G23" s="787" t="s">
        <v>28</v>
      </c>
      <c r="H23" s="165" t="s">
        <v>399</v>
      </c>
      <c r="I23" s="786">
        <v>572.4</v>
      </c>
      <c r="J23" s="787"/>
      <c r="K23" s="787">
        <v>200</v>
      </c>
      <c r="L23" s="787"/>
      <c r="M23" s="787">
        <v>5</v>
      </c>
      <c r="N23" s="787"/>
      <c r="O23" s="787"/>
      <c r="P23" s="668"/>
      <c r="Q23" s="772">
        <f>J23*13/100</f>
        <v>0</v>
      </c>
      <c r="R23" s="432">
        <v>0</v>
      </c>
      <c r="S23" s="432">
        <v>0</v>
      </c>
      <c r="T23" s="670">
        <v>0</v>
      </c>
      <c r="U23" s="668">
        <f>IF(R23=0,0,T23/R23)</f>
        <v>0</v>
      </c>
      <c r="V23" s="668">
        <v>0</v>
      </c>
      <c r="W23" s="668">
        <v>0</v>
      </c>
      <c r="X23" s="432">
        <v>0</v>
      </c>
      <c r="Y23" s="432">
        <f t="shared" si="4"/>
        <v>0</v>
      </c>
      <c r="Z23" s="432">
        <f t="shared" si="4"/>
        <v>0</v>
      </c>
      <c r="AA23" s="670">
        <f t="shared" si="4"/>
        <v>0</v>
      </c>
      <c r="AB23" s="432">
        <f t="shared" si="5"/>
        <v>0</v>
      </c>
      <c r="AC23" s="670">
        <f t="shared" si="2"/>
        <v>0</v>
      </c>
      <c r="AD23" s="787">
        <v>28</v>
      </c>
      <c r="AE23" s="432">
        <f t="shared" si="6"/>
        <v>0</v>
      </c>
      <c r="AF23" s="669"/>
    </row>
    <row r="24" spans="1:32" ht="18.75" customHeight="1" x14ac:dyDescent="0.2">
      <c r="A24" s="787">
        <v>11</v>
      </c>
      <c r="B24" s="461" t="s">
        <v>149</v>
      </c>
      <c r="C24" s="787" t="s">
        <v>46</v>
      </c>
      <c r="D24" s="787">
        <v>606.29999999999995</v>
      </c>
      <c r="E24" s="787" t="s">
        <v>76</v>
      </c>
      <c r="F24" s="787">
        <v>177.8</v>
      </c>
      <c r="G24" s="787" t="s">
        <v>28</v>
      </c>
      <c r="H24" s="787" t="s">
        <v>52</v>
      </c>
      <c r="I24" s="786">
        <v>585.29999999999995</v>
      </c>
      <c r="J24" s="787">
        <v>360</v>
      </c>
      <c r="K24" s="787"/>
      <c r="L24" s="787">
        <v>318</v>
      </c>
      <c r="M24" s="787"/>
      <c r="N24" s="787">
        <v>7</v>
      </c>
      <c r="O24" s="787"/>
      <c r="P24" s="668">
        <v>29.851406090898124</v>
      </c>
      <c r="Q24" s="772">
        <f t="shared" si="3"/>
        <v>79.2</v>
      </c>
      <c r="R24" s="432">
        <v>0.74399999999999999</v>
      </c>
      <c r="S24" s="432">
        <v>2.008</v>
      </c>
      <c r="T24" s="670">
        <v>0</v>
      </c>
      <c r="U24" s="668">
        <f t="shared" si="0"/>
        <v>0</v>
      </c>
      <c r="V24" s="668">
        <f t="shared" si="7"/>
        <v>62.948207171314742</v>
      </c>
      <c r="W24" s="668">
        <v>0.3</v>
      </c>
      <c r="X24" s="432">
        <f t="shared" si="1"/>
        <v>2.5353535353535354E-2</v>
      </c>
      <c r="Y24" s="432">
        <f t="shared" si="4"/>
        <v>0.731352</v>
      </c>
      <c r="Z24" s="432">
        <f t="shared" si="4"/>
        <v>1.9738640000000001</v>
      </c>
      <c r="AA24" s="670">
        <f t="shared" si="4"/>
        <v>0</v>
      </c>
      <c r="AB24" s="432">
        <f t="shared" si="5"/>
        <v>0</v>
      </c>
      <c r="AC24" s="670">
        <f t="shared" si="2"/>
        <v>62.948207171314742</v>
      </c>
      <c r="AD24" s="787">
        <v>28</v>
      </c>
      <c r="AE24" s="432">
        <f t="shared" si="6"/>
        <v>20.477855999999999</v>
      </c>
      <c r="AF24" s="449"/>
    </row>
    <row r="25" spans="1:32" ht="18.75" customHeight="1" x14ac:dyDescent="0.2">
      <c r="A25" s="787">
        <v>12</v>
      </c>
      <c r="B25" s="461" t="s">
        <v>150</v>
      </c>
      <c r="C25" s="787" t="s">
        <v>46</v>
      </c>
      <c r="D25" s="787">
        <v>661</v>
      </c>
      <c r="E25" s="786" t="s">
        <v>77</v>
      </c>
      <c r="F25" s="787">
        <v>177.8</v>
      </c>
      <c r="G25" s="787" t="s">
        <v>28</v>
      </c>
      <c r="H25" s="787" t="s">
        <v>53</v>
      </c>
      <c r="I25" s="786">
        <v>554.91</v>
      </c>
      <c r="J25" s="787">
        <v>200</v>
      </c>
      <c r="K25" s="787"/>
      <c r="L25" s="787">
        <v>387</v>
      </c>
      <c r="M25" s="787"/>
      <c r="N25" s="787">
        <v>0.5</v>
      </c>
      <c r="O25" s="787"/>
      <c r="P25" s="668">
        <v>18.799475143018</v>
      </c>
      <c r="Q25" s="772">
        <f t="shared" si="3"/>
        <v>26</v>
      </c>
      <c r="R25" s="432">
        <v>0.57899999999999996</v>
      </c>
      <c r="S25" s="432">
        <v>1.6519999999999999</v>
      </c>
      <c r="T25" s="670">
        <v>5.5</v>
      </c>
      <c r="U25" s="668">
        <f t="shared" si="0"/>
        <v>9.4991364421416247</v>
      </c>
      <c r="V25" s="668">
        <f t="shared" si="7"/>
        <v>64.95157384987894</v>
      </c>
      <c r="W25" s="668">
        <v>0.2</v>
      </c>
      <c r="X25" s="432">
        <f t="shared" si="1"/>
        <v>6.353846153846153E-2</v>
      </c>
      <c r="Y25" s="432">
        <f t="shared" si="4"/>
        <v>0.56915699999999991</v>
      </c>
      <c r="Z25" s="432">
        <f t="shared" si="4"/>
        <v>1.6239159999999999</v>
      </c>
      <c r="AA25" s="670">
        <f t="shared" si="4"/>
        <v>5.4065000000000003</v>
      </c>
      <c r="AB25" s="432">
        <f t="shared" si="5"/>
        <v>9.4991364421416247</v>
      </c>
      <c r="AC25" s="670">
        <f t="shared" si="2"/>
        <v>64.95157384987894</v>
      </c>
      <c r="AD25" s="787">
        <v>28</v>
      </c>
      <c r="AE25" s="432">
        <f t="shared" si="6"/>
        <v>15.936395999999998</v>
      </c>
      <c r="AF25" s="669"/>
    </row>
    <row r="26" spans="1:32" ht="18.75" customHeight="1" x14ac:dyDescent="0.2">
      <c r="A26" s="787">
        <v>13</v>
      </c>
      <c r="B26" s="461" t="s">
        <v>151</v>
      </c>
      <c r="C26" s="787" t="s">
        <v>46</v>
      </c>
      <c r="D26" s="787">
        <v>675.4</v>
      </c>
      <c r="E26" s="786" t="s">
        <v>298</v>
      </c>
      <c r="F26" s="787">
        <v>177.8</v>
      </c>
      <c r="G26" s="787" t="s">
        <v>28</v>
      </c>
      <c r="H26" s="787" t="s">
        <v>52</v>
      </c>
      <c r="I26" s="786">
        <v>553.5</v>
      </c>
      <c r="J26" s="787">
        <v>300</v>
      </c>
      <c r="K26" s="787"/>
      <c r="L26" s="787">
        <v>359</v>
      </c>
      <c r="M26" s="787"/>
      <c r="N26" s="787">
        <v>5.8</v>
      </c>
      <c r="O26" s="787"/>
      <c r="P26" s="668">
        <v>25.7744835592135</v>
      </c>
      <c r="Q26" s="772">
        <f t="shared" si="3"/>
        <v>66</v>
      </c>
      <c r="R26" s="432">
        <v>11.95</v>
      </c>
      <c r="S26" s="432">
        <v>24.492999999999999</v>
      </c>
      <c r="T26" s="670">
        <v>311</v>
      </c>
      <c r="U26" s="668">
        <f t="shared" si="0"/>
        <v>26.025104602510464</v>
      </c>
      <c r="V26" s="668">
        <f t="shared" si="7"/>
        <v>51.21054995304781</v>
      </c>
      <c r="W26" s="668">
        <v>0.4</v>
      </c>
      <c r="X26" s="432">
        <f t="shared" si="1"/>
        <v>0.37110606060606061</v>
      </c>
      <c r="Y26" s="432">
        <f t="shared" si="4"/>
        <v>11.746849999999998</v>
      </c>
      <c r="Z26" s="432">
        <f t="shared" si="4"/>
        <v>24.076618999999997</v>
      </c>
      <c r="AA26" s="670">
        <f t="shared" si="4"/>
        <v>305.71300000000002</v>
      </c>
      <c r="AB26" s="432">
        <f t="shared" si="5"/>
        <v>26.025104602510464</v>
      </c>
      <c r="AC26" s="670">
        <f t="shared" si="2"/>
        <v>51.21054995304781</v>
      </c>
      <c r="AD26" s="787">
        <v>28</v>
      </c>
      <c r="AE26" s="432">
        <f t="shared" si="6"/>
        <v>328.91179999999997</v>
      </c>
      <c r="AF26" s="669"/>
    </row>
    <row r="27" spans="1:32" ht="18.75" customHeight="1" x14ac:dyDescent="0.2">
      <c r="A27" s="787">
        <v>14</v>
      </c>
      <c r="B27" s="461" t="s">
        <v>36</v>
      </c>
      <c r="C27" s="787" t="s">
        <v>46</v>
      </c>
      <c r="D27" s="787">
        <v>584.5</v>
      </c>
      <c r="E27" s="786" t="s">
        <v>79</v>
      </c>
      <c r="F27" s="787">
        <v>177.8</v>
      </c>
      <c r="G27" s="787" t="s">
        <v>28</v>
      </c>
      <c r="H27" s="787" t="s">
        <v>49</v>
      </c>
      <c r="I27" s="786">
        <v>525.03</v>
      </c>
      <c r="J27" s="787">
        <v>120</v>
      </c>
      <c r="K27" s="787"/>
      <c r="L27" s="787">
        <v>347</v>
      </c>
      <c r="M27" s="787"/>
      <c r="N27" s="787">
        <v>7.4</v>
      </c>
      <c r="O27" s="787"/>
      <c r="P27" s="668">
        <v>25.521995770869225</v>
      </c>
      <c r="Q27" s="772">
        <f t="shared" si="3"/>
        <v>38.4</v>
      </c>
      <c r="R27" s="432">
        <v>13.114000000000001</v>
      </c>
      <c r="S27" s="432">
        <v>24.113</v>
      </c>
      <c r="T27" s="670">
        <v>173</v>
      </c>
      <c r="U27" s="668">
        <f t="shared" si="0"/>
        <v>13.192008540491077</v>
      </c>
      <c r="V27" s="668">
        <f t="shared" si="7"/>
        <v>45.61439887197777</v>
      </c>
      <c r="W27" s="668">
        <v>0.2</v>
      </c>
      <c r="X27" s="432">
        <f t="shared" si="1"/>
        <v>0.62794270833333332</v>
      </c>
      <c r="Y27" s="432">
        <f t="shared" si="4"/>
        <v>12.891062</v>
      </c>
      <c r="Z27" s="432">
        <f t="shared" si="4"/>
        <v>23.703078999999999</v>
      </c>
      <c r="AA27" s="670">
        <f t="shared" si="4"/>
        <v>170.059</v>
      </c>
      <c r="AB27" s="432">
        <f t="shared" si="5"/>
        <v>13.192008540491077</v>
      </c>
      <c r="AC27" s="670">
        <f t="shared" si="2"/>
        <v>45.61439887197777</v>
      </c>
      <c r="AD27" s="787">
        <v>28</v>
      </c>
      <c r="AE27" s="432">
        <f t="shared" si="6"/>
        <v>360.94973599999997</v>
      </c>
      <c r="AF27" s="669"/>
    </row>
    <row r="28" spans="1:32" ht="18.75" customHeight="1" x14ac:dyDescent="0.2">
      <c r="A28" s="787">
        <v>15</v>
      </c>
      <c r="B28" s="461" t="s">
        <v>152</v>
      </c>
      <c r="C28" s="787" t="s">
        <v>46</v>
      </c>
      <c r="D28" s="787">
        <v>565</v>
      </c>
      <c r="E28" s="786" t="s">
        <v>80</v>
      </c>
      <c r="F28" s="787">
        <v>177.8</v>
      </c>
      <c r="G28" s="787" t="s">
        <v>28</v>
      </c>
      <c r="H28" s="165" t="s">
        <v>399</v>
      </c>
      <c r="I28" s="437">
        <v>520.03</v>
      </c>
      <c r="J28" s="787">
        <v>245</v>
      </c>
      <c r="K28" s="787"/>
      <c r="L28" s="787">
        <v>410</v>
      </c>
      <c r="M28" s="787"/>
      <c r="N28" s="787">
        <v>9</v>
      </c>
      <c r="O28" s="787"/>
      <c r="P28" s="668">
        <v>20.850364846352765</v>
      </c>
      <c r="Q28" s="772">
        <f>J28*13/100</f>
        <v>31.85</v>
      </c>
      <c r="R28" s="432">
        <v>8.0129999999999999</v>
      </c>
      <c r="S28" s="432">
        <v>15.324</v>
      </c>
      <c r="T28" s="670">
        <v>1603</v>
      </c>
      <c r="U28" s="668">
        <f t="shared" si="0"/>
        <v>200.04991888181706</v>
      </c>
      <c r="V28" s="668">
        <f t="shared" si="7"/>
        <v>47.709475332811273</v>
      </c>
      <c r="W28" s="668">
        <v>0.3</v>
      </c>
      <c r="X28" s="432">
        <f t="shared" si="1"/>
        <v>0.4811302982731554</v>
      </c>
      <c r="Y28" s="432">
        <f t="shared" si="4"/>
        <v>7.876779</v>
      </c>
      <c r="Z28" s="432">
        <f t="shared" si="4"/>
        <v>15.063492</v>
      </c>
      <c r="AA28" s="670">
        <f t="shared" si="4"/>
        <v>1575.749</v>
      </c>
      <c r="AB28" s="432">
        <f t="shared" si="5"/>
        <v>200.04991888181706</v>
      </c>
      <c r="AC28" s="670">
        <f t="shared" si="2"/>
        <v>47.709475332811273</v>
      </c>
      <c r="AD28" s="787">
        <v>28</v>
      </c>
      <c r="AE28" s="432">
        <f t="shared" si="6"/>
        <v>220.549812</v>
      </c>
      <c r="AF28" s="669"/>
    </row>
    <row r="29" spans="1:32" ht="18.75" customHeight="1" x14ac:dyDescent="0.2">
      <c r="A29" s="787">
        <v>16</v>
      </c>
      <c r="B29" s="461" t="s">
        <v>37</v>
      </c>
      <c r="C29" s="787" t="s">
        <v>46</v>
      </c>
      <c r="D29" s="787">
        <v>670</v>
      </c>
      <c r="E29" s="787" t="s">
        <v>81</v>
      </c>
      <c r="F29" s="787">
        <v>177.8</v>
      </c>
      <c r="G29" s="787" t="s">
        <v>28</v>
      </c>
      <c r="H29" s="787" t="s">
        <v>48</v>
      </c>
      <c r="I29" s="786">
        <v>570.95000000000005</v>
      </c>
      <c r="J29" s="787">
        <v>85</v>
      </c>
      <c r="K29" s="787"/>
      <c r="L29" s="787">
        <v>450</v>
      </c>
      <c r="M29" s="787"/>
      <c r="N29" s="787">
        <v>6.7</v>
      </c>
      <c r="O29" s="787"/>
      <c r="P29" s="668">
        <v>19.154422840033426</v>
      </c>
      <c r="Q29" s="772">
        <f t="shared" si="3"/>
        <v>11.05</v>
      </c>
      <c r="R29" s="432">
        <v>3.2690000000000001</v>
      </c>
      <c r="S29" s="432">
        <v>5.8470000000000004</v>
      </c>
      <c r="T29" s="670">
        <v>21.8</v>
      </c>
      <c r="U29" s="668">
        <f t="shared" si="0"/>
        <v>6.6687060263077393</v>
      </c>
      <c r="V29" s="668">
        <f t="shared" si="7"/>
        <v>44.090986830853431</v>
      </c>
      <c r="W29" s="668">
        <v>0.3</v>
      </c>
      <c r="X29" s="432">
        <f t="shared" si="1"/>
        <v>0.52914027149321263</v>
      </c>
      <c r="Y29" s="432">
        <f t="shared" si="4"/>
        <v>3.2134270000000003</v>
      </c>
      <c r="Z29" s="432">
        <f t="shared" si="4"/>
        <v>5.7476010000000004</v>
      </c>
      <c r="AA29" s="670">
        <f t="shared" si="4"/>
        <v>21.429400000000001</v>
      </c>
      <c r="AB29" s="432">
        <f t="shared" si="5"/>
        <v>6.6687060263077393</v>
      </c>
      <c r="AC29" s="670">
        <f t="shared" si="2"/>
        <v>44.090986830853431</v>
      </c>
      <c r="AD29" s="787">
        <v>28</v>
      </c>
      <c r="AE29" s="432">
        <f>Y29*AD29</f>
        <v>89.975956000000011</v>
      </c>
      <c r="AF29" s="449"/>
    </row>
    <row r="30" spans="1:32" ht="18.75" customHeight="1" x14ac:dyDescent="0.2">
      <c r="A30" s="787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295</v>
      </c>
      <c r="K30" s="461"/>
      <c r="L30" s="461">
        <v>501</v>
      </c>
      <c r="M30" s="461"/>
      <c r="N30" s="461">
        <v>10.4</v>
      </c>
      <c r="O30" s="461"/>
      <c r="P30" s="671">
        <v>15.829877568786442</v>
      </c>
      <c r="Q30" s="772">
        <f>J30*33/100</f>
        <v>97.35</v>
      </c>
      <c r="R30" s="672">
        <v>11.901</v>
      </c>
      <c r="S30" s="432">
        <v>14.146000000000001</v>
      </c>
      <c r="T30" s="699">
        <v>334</v>
      </c>
      <c r="U30" s="671">
        <f t="shared" si="0"/>
        <v>28.064868498445509</v>
      </c>
      <c r="V30" s="668">
        <f t="shared" si="7"/>
        <v>15.870210660257323</v>
      </c>
      <c r="W30" s="671">
        <v>0.3</v>
      </c>
      <c r="X30" s="672">
        <f t="shared" si="1"/>
        <v>0.14531073446327686</v>
      </c>
      <c r="Y30" s="432">
        <f t="shared" si="4"/>
        <v>11.698682999999999</v>
      </c>
      <c r="Z30" s="432">
        <f t="shared" si="4"/>
        <v>13.905518000000001</v>
      </c>
      <c r="AA30" s="670">
        <f t="shared" si="4"/>
        <v>328.322</v>
      </c>
      <c r="AB30" s="672">
        <f t="shared" si="5"/>
        <v>28.064868498445509</v>
      </c>
      <c r="AC30" s="699">
        <f t="shared" si="2"/>
        <v>15.870210660257323</v>
      </c>
      <c r="AD30" s="787">
        <v>28</v>
      </c>
      <c r="AE30" s="672">
        <f>Y30*AD30</f>
        <v>327.56312399999996</v>
      </c>
      <c r="AF30" s="461"/>
    </row>
    <row r="31" spans="1:32" ht="18.75" customHeight="1" x14ac:dyDescent="0.2">
      <c r="A31" s="787">
        <v>18</v>
      </c>
      <c r="B31" s="461" t="s">
        <v>154</v>
      </c>
      <c r="C31" s="461" t="s">
        <v>46</v>
      </c>
      <c r="D31" s="443">
        <v>644.79999999999995</v>
      </c>
      <c r="E31" s="436" t="s">
        <v>421</v>
      </c>
      <c r="F31" s="787">
        <v>177.8</v>
      </c>
      <c r="G31" s="787" t="s">
        <v>28</v>
      </c>
      <c r="H31" s="241" t="s">
        <v>364</v>
      </c>
      <c r="I31" s="437">
        <v>565.80999999999995</v>
      </c>
      <c r="J31" s="787">
        <v>175</v>
      </c>
      <c r="K31" s="787"/>
      <c r="L31" s="787">
        <v>493</v>
      </c>
      <c r="M31" s="787"/>
      <c r="N31" s="787">
        <v>9.4</v>
      </c>
      <c r="O31" s="787"/>
      <c r="P31" s="668">
        <v>17.222871269807872</v>
      </c>
      <c r="Q31" s="772">
        <f>J31*13/100</f>
        <v>22.75</v>
      </c>
      <c r="R31" s="432">
        <v>7.1619999999999999</v>
      </c>
      <c r="S31" s="432">
        <v>16.640999999999998</v>
      </c>
      <c r="T31" s="670">
        <v>93</v>
      </c>
      <c r="U31" s="671">
        <f t="shared" si="0"/>
        <v>12.985199664898074</v>
      </c>
      <c r="V31" s="668">
        <f t="shared" si="7"/>
        <v>56.961721050417644</v>
      </c>
      <c r="W31" s="668">
        <v>0.2</v>
      </c>
      <c r="X31" s="672">
        <f t="shared" si="1"/>
        <v>0.73147252747252745</v>
      </c>
      <c r="Y31" s="432">
        <f t="shared" si="4"/>
        <v>7.0402459999999998</v>
      </c>
      <c r="Z31" s="432">
        <f t="shared" si="4"/>
        <v>16.358102999999996</v>
      </c>
      <c r="AA31" s="670">
        <f t="shared" si="4"/>
        <v>91.418999999999997</v>
      </c>
      <c r="AB31" s="432">
        <v>0</v>
      </c>
      <c r="AC31" s="699">
        <f t="shared" si="2"/>
        <v>56.961721050417644</v>
      </c>
      <c r="AD31" s="787">
        <v>28</v>
      </c>
      <c r="AE31" s="672">
        <f>Y31*AD31</f>
        <v>197.12688800000001</v>
      </c>
      <c r="AF31" s="669"/>
    </row>
    <row r="32" spans="1:32" ht="18.75" customHeight="1" x14ac:dyDescent="0.2">
      <c r="A32" s="787">
        <v>19</v>
      </c>
      <c r="B32" s="461" t="s">
        <v>38</v>
      </c>
      <c r="C32" s="787" t="s">
        <v>46</v>
      </c>
      <c r="D32" s="668">
        <v>580</v>
      </c>
      <c r="E32" s="787" t="s">
        <v>84</v>
      </c>
      <c r="F32" s="787">
        <v>177.8</v>
      </c>
      <c r="G32" s="787" t="s">
        <v>28</v>
      </c>
      <c r="H32" s="165" t="s">
        <v>379</v>
      </c>
      <c r="I32" s="786">
        <v>563.79</v>
      </c>
      <c r="J32" s="787">
        <v>195</v>
      </c>
      <c r="K32" s="787"/>
      <c r="L32" s="787">
        <v>499</v>
      </c>
      <c r="M32" s="787"/>
      <c r="N32" s="787">
        <v>0.3</v>
      </c>
      <c r="O32" s="787"/>
      <c r="P32" s="668">
        <v>4.020724262097386</v>
      </c>
      <c r="Q32" s="772">
        <f>J32*7/100</f>
        <v>13.65</v>
      </c>
      <c r="R32" s="432">
        <v>1.8680000000000001</v>
      </c>
      <c r="S32" s="432">
        <v>3.6219999999999999</v>
      </c>
      <c r="T32" s="670">
        <v>0.6</v>
      </c>
      <c r="U32" s="671">
        <f t="shared" si="0"/>
        <v>0.32119914346895073</v>
      </c>
      <c r="V32" s="668">
        <f t="shared" si="7"/>
        <v>48.426283821093314</v>
      </c>
      <c r="W32" s="668">
        <v>0.3</v>
      </c>
      <c r="X32" s="672">
        <f t="shared" si="1"/>
        <v>0.26534798534798532</v>
      </c>
      <c r="Y32" s="432">
        <f t="shared" si="4"/>
        <v>1.836244</v>
      </c>
      <c r="Z32" s="432">
        <f t="shared" si="4"/>
        <v>3.5604259999999996</v>
      </c>
      <c r="AA32" s="670">
        <f t="shared" si="4"/>
        <v>0.58979999999999999</v>
      </c>
      <c r="AB32" s="432">
        <f>U32</f>
        <v>0.32119914346895073</v>
      </c>
      <c r="AC32" s="699">
        <f t="shared" si="2"/>
        <v>48.426283821093314</v>
      </c>
      <c r="AD32" s="787">
        <v>28</v>
      </c>
      <c r="AE32" s="432">
        <f t="shared" si="6"/>
        <v>51.414831999999997</v>
      </c>
      <c r="AF32" s="669"/>
    </row>
    <row r="33" spans="1:32" ht="18.75" customHeight="1" x14ac:dyDescent="0.2">
      <c r="A33" s="787">
        <v>20</v>
      </c>
      <c r="B33" s="461" t="s">
        <v>39</v>
      </c>
      <c r="C33" s="787" t="s">
        <v>46</v>
      </c>
      <c r="D33" s="787">
        <v>728.6</v>
      </c>
      <c r="E33" s="165" t="s">
        <v>411</v>
      </c>
      <c r="F33" s="787">
        <v>177.8</v>
      </c>
      <c r="G33" s="787" t="s">
        <v>28</v>
      </c>
      <c r="H33" s="165" t="s">
        <v>380</v>
      </c>
      <c r="I33" s="786">
        <v>551.77</v>
      </c>
      <c r="J33" s="787">
        <v>320</v>
      </c>
      <c r="K33" s="787"/>
      <c r="L33" s="787">
        <v>481</v>
      </c>
      <c r="M33" s="787"/>
      <c r="N33" s="787">
        <v>6.8</v>
      </c>
      <c r="O33" s="787"/>
      <c r="P33" s="668">
        <v>14.603773285092203</v>
      </c>
      <c r="Q33" s="772">
        <f>J33*23/100</f>
        <v>73.599999999999994</v>
      </c>
      <c r="R33" s="432">
        <v>2.8839999999999999</v>
      </c>
      <c r="S33" s="432">
        <v>7.0030000000000001</v>
      </c>
      <c r="T33" s="670">
        <v>365</v>
      </c>
      <c r="U33" s="671">
        <f t="shared" si="0"/>
        <v>126.56033287101249</v>
      </c>
      <c r="V33" s="668">
        <f t="shared" si="7"/>
        <v>58.817649578751961</v>
      </c>
      <c r="W33" s="668">
        <v>0.3</v>
      </c>
      <c r="X33" s="672">
        <f t="shared" si="1"/>
        <v>9.5149456521739145E-2</v>
      </c>
      <c r="Y33" s="432">
        <f t="shared" si="4"/>
        <v>2.834972</v>
      </c>
      <c r="Z33" s="432">
        <f t="shared" si="4"/>
        <v>6.8839490000000003</v>
      </c>
      <c r="AA33" s="670">
        <f t="shared" si="4"/>
        <v>358.79500000000002</v>
      </c>
      <c r="AB33" s="432">
        <f t="shared" si="5"/>
        <v>126.56033287101249</v>
      </c>
      <c r="AC33" s="699">
        <f t="shared" si="2"/>
        <v>58.817649578751961</v>
      </c>
      <c r="AD33" s="787">
        <v>28</v>
      </c>
      <c r="AE33" s="432">
        <f t="shared" si="6"/>
        <v>79.379216</v>
      </c>
      <c r="AF33" s="669"/>
    </row>
    <row r="34" spans="1:32" ht="18.75" customHeight="1" x14ac:dyDescent="0.2">
      <c r="A34" s="787">
        <v>21</v>
      </c>
      <c r="B34" s="461" t="s">
        <v>40</v>
      </c>
      <c r="C34" s="787" t="s">
        <v>46</v>
      </c>
      <c r="D34" s="787">
        <v>679.7</v>
      </c>
      <c r="E34" s="787" t="s">
        <v>86</v>
      </c>
      <c r="F34" s="787">
        <v>177.8</v>
      </c>
      <c r="G34" s="787" t="s">
        <v>28</v>
      </c>
      <c r="H34" s="165" t="s">
        <v>379</v>
      </c>
      <c r="I34" s="786">
        <v>592.84</v>
      </c>
      <c r="J34" s="787">
        <v>250</v>
      </c>
      <c r="K34" s="787"/>
      <c r="L34" s="787">
        <v>447</v>
      </c>
      <c r="M34" s="787"/>
      <c r="N34" s="787">
        <v>1.2</v>
      </c>
      <c r="O34" s="787"/>
      <c r="P34" s="668">
        <v>13.438300045446798</v>
      </c>
      <c r="Q34" s="772">
        <f>J34*7/100</f>
        <v>17.5</v>
      </c>
      <c r="R34" s="432">
        <v>2.0870000000000002</v>
      </c>
      <c r="S34" s="432">
        <v>8.8339999999999996</v>
      </c>
      <c r="T34" s="670">
        <v>2.6</v>
      </c>
      <c r="U34" s="668">
        <f>IF(R34=0,0,T34/R34)</f>
        <v>1.2458073790129371</v>
      </c>
      <c r="V34" s="668">
        <f t="shared" si="7"/>
        <v>76.375367896762512</v>
      </c>
      <c r="W34" s="668">
        <v>0.8</v>
      </c>
      <c r="X34" s="672">
        <v>0</v>
      </c>
      <c r="Y34" s="432">
        <f t="shared" si="4"/>
        <v>2.0515210000000002</v>
      </c>
      <c r="Z34" s="432">
        <f t="shared" si="4"/>
        <v>8.6838219999999993</v>
      </c>
      <c r="AA34" s="670">
        <f t="shared" si="4"/>
        <v>2.5558000000000001</v>
      </c>
      <c r="AB34" s="432">
        <f t="shared" si="5"/>
        <v>1.2458073790129371</v>
      </c>
      <c r="AC34" s="670">
        <v>82.278481012658219</v>
      </c>
      <c r="AD34" s="787">
        <v>28</v>
      </c>
      <c r="AE34" s="432">
        <f>Y34*AD34</f>
        <v>57.442588000000001</v>
      </c>
      <c r="AF34" s="449"/>
    </row>
    <row r="35" spans="1:32" ht="18.75" customHeight="1" x14ac:dyDescent="0.2">
      <c r="A35" s="787">
        <v>22</v>
      </c>
      <c r="B35" s="461" t="s">
        <v>41</v>
      </c>
      <c r="C35" s="787" t="s">
        <v>46</v>
      </c>
      <c r="D35" s="787">
        <v>573.70000000000005</v>
      </c>
      <c r="E35" s="787" t="s">
        <v>87</v>
      </c>
      <c r="F35" s="787">
        <v>177.8</v>
      </c>
      <c r="G35" s="787" t="s">
        <v>28</v>
      </c>
      <c r="H35" s="787" t="s">
        <v>52</v>
      </c>
      <c r="I35" s="786">
        <v>554.30999999999995</v>
      </c>
      <c r="J35" s="787">
        <v>320</v>
      </c>
      <c r="K35" s="787"/>
      <c r="L35" s="787">
        <v>469</v>
      </c>
      <c r="M35" s="787"/>
      <c r="N35" s="787">
        <v>6.2</v>
      </c>
      <c r="O35" s="787"/>
      <c r="P35" s="668">
        <v>13.62439845167264</v>
      </c>
      <c r="Q35" s="772">
        <f t="shared" si="3"/>
        <v>70.400000000000006</v>
      </c>
      <c r="R35" s="432">
        <v>8.7200000000000006</v>
      </c>
      <c r="S35" s="432">
        <v>10.723000000000001</v>
      </c>
      <c r="T35" s="670">
        <v>308</v>
      </c>
      <c r="U35" s="668">
        <f t="shared" si="0"/>
        <v>35.321100917431188</v>
      </c>
      <c r="V35" s="668">
        <f t="shared" si="7"/>
        <v>18.679474027790729</v>
      </c>
      <c r="W35" s="668">
        <v>0.3</v>
      </c>
      <c r="X35" s="432">
        <f t="shared" si="1"/>
        <v>0.15231534090909091</v>
      </c>
      <c r="Y35" s="432">
        <f t="shared" si="4"/>
        <v>8.5717600000000012</v>
      </c>
      <c r="Z35" s="432">
        <f t="shared" si="4"/>
        <v>10.540709000000001</v>
      </c>
      <c r="AA35" s="670">
        <f t="shared" si="4"/>
        <v>302.76400000000001</v>
      </c>
      <c r="AB35" s="432">
        <v>89.536086956521729</v>
      </c>
      <c r="AC35" s="670">
        <v>26</v>
      </c>
      <c r="AD35" s="787">
        <v>28</v>
      </c>
      <c r="AE35" s="432">
        <f t="shared" si="6"/>
        <v>240.00928000000005</v>
      </c>
      <c r="AF35" s="673"/>
    </row>
    <row r="36" spans="1:32" ht="18.75" customHeight="1" x14ac:dyDescent="0.2">
      <c r="A36" s="787">
        <v>23</v>
      </c>
      <c r="B36" s="461" t="s">
        <v>42</v>
      </c>
      <c r="C36" s="787" t="s">
        <v>46</v>
      </c>
      <c r="D36" s="787">
        <v>681.1</v>
      </c>
      <c r="E36" s="787" t="s">
        <v>88</v>
      </c>
      <c r="F36" s="787">
        <v>177.8</v>
      </c>
      <c r="G36" s="787" t="s">
        <v>28</v>
      </c>
      <c r="H36" s="787" t="s">
        <v>48</v>
      </c>
      <c r="I36" s="786">
        <v>589.66</v>
      </c>
      <c r="J36" s="787">
        <v>135</v>
      </c>
      <c r="K36" s="787"/>
      <c r="L36" s="787">
        <v>359</v>
      </c>
      <c r="M36" s="787"/>
      <c r="N36" s="787">
        <v>8.1999999999999993</v>
      </c>
      <c r="O36" s="787"/>
      <c r="P36" s="668">
        <v>29.007467852133757</v>
      </c>
      <c r="Q36" s="772">
        <f t="shared" si="3"/>
        <v>17.55</v>
      </c>
      <c r="R36" s="432">
        <v>2.3969999999999998</v>
      </c>
      <c r="S36" s="432">
        <v>12.646000000000001</v>
      </c>
      <c r="T36" s="670">
        <v>0</v>
      </c>
      <c r="U36" s="668">
        <f t="shared" si="0"/>
        <v>0</v>
      </c>
      <c r="V36" s="668">
        <f t="shared" si="7"/>
        <v>81.045389846591803</v>
      </c>
      <c r="W36" s="668">
        <v>0.3</v>
      </c>
      <c r="X36" s="432">
        <f t="shared" si="1"/>
        <v>0.72056980056980058</v>
      </c>
      <c r="Y36" s="432">
        <f t="shared" si="4"/>
        <v>2.3562509999999999</v>
      </c>
      <c r="Z36" s="432">
        <f t="shared" si="4"/>
        <v>12.431018</v>
      </c>
      <c r="AA36" s="670">
        <f t="shared" si="4"/>
        <v>0</v>
      </c>
      <c r="AB36" s="432">
        <f t="shared" si="5"/>
        <v>0</v>
      </c>
      <c r="AC36" s="670">
        <f t="shared" si="2"/>
        <v>81.045389846591803</v>
      </c>
      <c r="AD36" s="787">
        <v>28</v>
      </c>
      <c r="AE36" s="432">
        <f t="shared" si="6"/>
        <v>65.975027999999995</v>
      </c>
      <c r="AF36" s="449"/>
    </row>
    <row r="37" spans="1:32" ht="18.75" customHeight="1" x14ac:dyDescent="0.2">
      <c r="A37" s="787">
        <v>24</v>
      </c>
      <c r="B37" s="461" t="s">
        <v>43</v>
      </c>
      <c r="C37" s="787" t="s">
        <v>46</v>
      </c>
      <c r="D37" s="787">
        <v>682.7</v>
      </c>
      <c r="E37" s="787" t="s">
        <v>402</v>
      </c>
      <c r="F37" s="787">
        <v>177.8</v>
      </c>
      <c r="G37" s="787" t="s">
        <v>28</v>
      </c>
      <c r="H37" s="165" t="s">
        <v>399</v>
      </c>
      <c r="I37" s="446">
        <v>582.87</v>
      </c>
      <c r="J37" s="787">
        <v>255</v>
      </c>
      <c r="K37" s="787"/>
      <c r="L37" s="787">
        <v>223</v>
      </c>
      <c r="M37" s="787"/>
      <c r="N37" s="787">
        <v>5.0999999999999996</v>
      </c>
      <c r="O37" s="787"/>
      <c r="P37" s="668">
        <v>38.386590120828508</v>
      </c>
      <c r="Q37" s="772">
        <f>J37*13/100</f>
        <v>33.15</v>
      </c>
      <c r="R37" s="432">
        <v>3.2450000000000001</v>
      </c>
      <c r="S37" s="432">
        <v>8.9979999999999993</v>
      </c>
      <c r="T37" s="670">
        <v>12.1</v>
      </c>
      <c r="U37" s="668">
        <f t="shared" si="0"/>
        <v>3.7288135593220337</v>
      </c>
      <c r="V37" s="668">
        <f t="shared" si="7"/>
        <v>63.936430317848405</v>
      </c>
      <c r="W37" s="668">
        <v>0.3</v>
      </c>
      <c r="X37" s="432">
        <f t="shared" si="1"/>
        <v>0.27143288084464556</v>
      </c>
      <c r="Y37" s="432">
        <f t="shared" si="4"/>
        <v>3.189835</v>
      </c>
      <c r="Z37" s="432">
        <f t="shared" si="4"/>
        <v>8.8450340000000001</v>
      </c>
      <c r="AA37" s="670">
        <f t="shared" si="4"/>
        <v>11.894299999999999</v>
      </c>
      <c r="AB37" s="432">
        <f t="shared" si="5"/>
        <v>3.7288135593220337</v>
      </c>
      <c r="AC37" s="670">
        <f t="shared" si="2"/>
        <v>63.936430317848405</v>
      </c>
      <c r="AD37" s="787">
        <v>28</v>
      </c>
      <c r="AE37" s="432">
        <f t="shared" si="6"/>
        <v>89.315380000000005</v>
      </c>
      <c r="AF37" s="669"/>
    </row>
    <row r="38" spans="1:32" ht="18.75" customHeight="1" x14ac:dyDescent="0.2">
      <c r="A38" s="787">
        <v>25</v>
      </c>
      <c r="B38" s="461" t="s">
        <v>44</v>
      </c>
      <c r="C38" s="787" t="s">
        <v>46</v>
      </c>
      <c r="D38" s="787">
        <v>614.20000000000005</v>
      </c>
      <c r="E38" s="787" t="s">
        <v>90</v>
      </c>
      <c r="F38" s="787">
        <v>177.8</v>
      </c>
      <c r="G38" s="787" t="s">
        <v>28</v>
      </c>
      <c r="H38" s="787" t="s">
        <v>52</v>
      </c>
      <c r="I38" s="446">
        <v>573.37</v>
      </c>
      <c r="J38" s="787">
        <v>250</v>
      </c>
      <c r="K38" s="787"/>
      <c r="L38" s="787">
        <v>260</v>
      </c>
      <c r="M38" s="787"/>
      <c r="N38" s="787">
        <v>6.9</v>
      </c>
      <c r="O38" s="787"/>
      <c r="P38" s="668">
        <v>37.518197725420599</v>
      </c>
      <c r="Q38" s="772">
        <f t="shared" si="3"/>
        <v>55</v>
      </c>
      <c r="R38" s="432">
        <v>9.077</v>
      </c>
      <c r="S38" s="432">
        <v>49.677</v>
      </c>
      <c r="T38" s="670">
        <v>185</v>
      </c>
      <c r="U38" s="668">
        <f t="shared" si="0"/>
        <v>20.381183210311779</v>
      </c>
      <c r="V38" s="668">
        <f t="shared" si="7"/>
        <v>81.727962638645664</v>
      </c>
      <c r="W38" s="668">
        <v>0.3</v>
      </c>
      <c r="X38" s="432">
        <f t="shared" si="1"/>
        <v>0.90321818181818181</v>
      </c>
      <c r="Y38" s="432">
        <f t="shared" si="4"/>
        <v>8.9226910000000004</v>
      </c>
      <c r="Z38" s="432">
        <f t="shared" si="4"/>
        <v>48.832490999999997</v>
      </c>
      <c r="AA38" s="670">
        <f t="shared" si="4"/>
        <v>181.85499999999999</v>
      </c>
      <c r="AB38" s="432">
        <f t="shared" si="5"/>
        <v>20.381183210311779</v>
      </c>
      <c r="AC38" s="670">
        <f t="shared" si="2"/>
        <v>81.727962638645664</v>
      </c>
      <c r="AD38" s="787">
        <v>28</v>
      </c>
      <c r="AE38" s="432">
        <f t="shared" si="6"/>
        <v>249.83534800000001</v>
      </c>
      <c r="AF38" s="669"/>
    </row>
    <row r="39" spans="1:32" ht="18.75" customHeight="1" x14ac:dyDescent="0.2">
      <c r="A39" s="787">
        <v>26</v>
      </c>
      <c r="B39" s="461" t="s">
        <v>45</v>
      </c>
      <c r="C39" s="787" t="s">
        <v>46</v>
      </c>
      <c r="D39" s="787">
        <v>636.4</v>
      </c>
      <c r="E39" s="787" t="s">
        <v>91</v>
      </c>
      <c r="F39" s="787">
        <v>177.8</v>
      </c>
      <c r="G39" s="787" t="s">
        <v>28</v>
      </c>
      <c r="H39" s="787" t="s">
        <v>52</v>
      </c>
      <c r="I39" s="786">
        <v>592.95000000000005</v>
      </c>
      <c r="J39" s="787">
        <v>300</v>
      </c>
      <c r="K39" s="787"/>
      <c r="L39" s="787">
        <v>505</v>
      </c>
      <c r="M39" s="787"/>
      <c r="N39" s="787">
        <v>10.199999999999999</v>
      </c>
      <c r="O39" s="787"/>
      <c r="P39" s="668">
        <v>16.109783747010695</v>
      </c>
      <c r="Q39" s="772">
        <f>LEFT(H39,(FIND("K",H39,1)-1))*J39/100</f>
        <v>66</v>
      </c>
      <c r="R39" s="432">
        <v>7.8479999999999999</v>
      </c>
      <c r="S39" s="432">
        <v>28.202000000000002</v>
      </c>
      <c r="T39" s="670">
        <v>346.5</v>
      </c>
      <c r="U39" s="668">
        <f t="shared" si="0"/>
        <v>44.151376146788991</v>
      </c>
      <c r="V39" s="668">
        <f t="shared" si="7"/>
        <v>72.172186369761022</v>
      </c>
      <c r="W39" s="668">
        <v>0.3</v>
      </c>
      <c r="X39" s="432">
        <f t="shared" si="1"/>
        <v>0.42730303030303035</v>
      </c>
      <c r="Y39" s="432">
        <f t="shared" si="4"/>
        <v>7.7145839999999994</v>
      </c>
      <c r="Z39" s="432">
        <f t="shared" si="4"/>
        <v>27.722566</v>
      </c>
      <c r="AA39" s="670">
        <f t="shared" si="4"/>
        <v>340.60949999999997</v>
      </c>
      <c r="AB39" s="432">
        <f t="shared" si="5"/>
        <v>44.151376146788991</v>
      </c>
      <c r="AC39" s="670">
        <f t="shared" si="2"/>
        <v>72.172186369761022</v>
      </c>
      <c r="AD39" s="787">
        <v>28</v>
      </c>
      <c r="AE39" s="432">
        <f t="shared" si="6"/>
        <v>216.00835199999997</v>
      </c>
      <c r="AF39" s="669"/>
    </row>
    <row r="40" spans="1:32" ht="18.75" customHeight="1" x14ac:dyDescent="0.2">
      <c r="A40" s="787">
        <v>27</v>
      </c>
      <c r="B40" s="461" t="s">
        <v>206</v>
      </c>
      <c r="C40" s="787" t="s">
        <v>46</v>
      </c>
      <c r="D40" s="787">
        <v>660.2</v>
      </c>
      <c r="E40" s="787" t="s">
        <v>227</v>
      </c>
      <c r="F40" s="787">
        <v>177.8</v>
      </c>
      <c r="G40" s="787" t="s">
        <v>28</v>
      </c>
      <c r="H40" s="787" t="s">
        <v>212</v>
      </c>
      <c r="I40" s="786">
        <v>547.65</v>
      </c>
      <c r="J40" s="787">
        <v>160</v>
      </c>
      <c r="K40" s="787"/>
      <c r="L40" s="787">
        <v>442</v>
      </c>
      <c r="M40" s="787"/>
      <c r="N40" s="787">
        <v>7.5</v>
      </c>
      <c r="O40" s="787"/>
      <c r="P40" s="668">
        <v>18.383666315272635</v>
      </c>
      <c r="Q40" s="772">
        <f t="shared" ref="Q40:Q76" si="8">LEFT(H40,(FIND("K",H40,1)-1))*J40/100</f>
        <v>12.8</v>
      </c>
      <c r="R40" s="432">
        <v>4.8</v>
      </c>
      <c r="S40" s="432">
        <v>6.5149999999999997</v>
      </c>
      <c r="T40" s="670">
        <v>33</v>
      </c>
      <c r="U40" s="668">
        <f t="shared" si="0"/>
        <v>6.875</v>
      </c>
      <c r="V40" s="668">
        <f t="shared" si="7"/>
        <v>26.323867996930161</v>
      </c>
      <c r="W40" s="668">
        <v>0.2</v>
      </c>
      <c r="X40" s="432">
        <f t="shared" si="1"/>
        <v>0.50898437499999993</v>
      </c>
      <c r="Y40" s="432">
        <f t="shared" si="4"/>
        <v>4.7183999999999999</v>
      </c>
      <c r="Z40" s="432">
        <f t="shared" si="4"/>
        <v>6.4042449999999995</v>
      </c>
      <c r="AA40" s="670">
        <f t="shared" si="4"/>
        <v>32.439</v>
      </c>
      <c r="AB40" s="432">
        <f t="shared" si="5"/>
        <v>6.875</v>
      </c>
      <c r="AC40" s="670">
        <f t="shared" si="2"/>
        <v>26.323867996930161</v>
      </c>
      <c r="AD40" s="787">
        <v>28</v>
      </c>
      <c r="AE40" s="432">
        <f t="shared" si="6"/>
        <v>132.11519999999999</v>
      </c>
      <c r="AF40" s="669"/>
    </row>
    <row r="41" spans="1:32" ht="18.75" customHeight="1" x14ac:dyDescent="0.2">
      <c r="A41" s="787">
        <v>28</v>
      </c>
      <c r="B41" s="779" t="s">
        <v>161</v>
      </c>
      <c r="C41" s="787" t="s">
        <v>46</v>
      </c>
      <c r="D41" s="786">
        <v>677</v>
      </c>
      <c r="E41" s="787" t="s">
        <v>178</v>
      </c>
      <c r="F41" s="787">
        <v>177.8</v>
      </c>
      <c r="G41" s="787" t="s">
        <v>28</v>
      </c>
      <c r="H41" s="787" t="s">
        <v>52</v>
      </c>
      <c r="I41" s="786">
        <v>535.41</v>
      </c>
      <c r="J41" s="786">
        <v>190</v>
      </c>
      <c r="K41" s="786"/>
      <c r="L41" s="786">
        <v>459</v>
      </c>
      <c r="M41" s="786"/>
      <c r="N41" s="787">
        <v>7.8</v>
      </c>
      <c r="O41" s="786"/>
      <c r="P41" s="448">
        <v>16.295301130147958</v>
      </c>
      <c r="Q41" s="772">
        <f t="shared" si="8"/>
        <v>41.8</v>
      </c>
      <c r="R41" s="432">
        <v>1.1639999999999999</v>
      </c>
      <c r="S41" s="432">
        <v>1.968</v>
      </c>
      <c r="T41" s="492">
        <v>10.8</v>
      </c>
      <c r="U41" s="668">
        <f t="shared" si="0"/>
        <v>9.2783505154639183</v>
      </c>
      <c r="V41" s="668">
        <f t="shared" si="7"/>
        <v>40.853658536585371</v>
      </c>
      <c r="W41" s="668">
        <v>0.2</v>
      </c>
      <c r="X41" s="432">
        <f t="shared" si="1"/>
        <v>4.7081339712918661E-2</v>
      </c>
      <c r="Y41" s="432">
        <f t="shared" si="4"/>
        <v>1.144212</v>
      </c>
      <c r="Z41" s="432">
        <f t="shared" si="4"/>
        <v>1.934544</v>
      </c>
      <c r="AA41" s="670">
        <f t="shared" si="4"/>
        <v>10.616400000000001</v>
      </c>
      <c r="AB41" s="432">
        <f t="shared" si="5"/>
        <v>9.2783505154639183</v>
      </c>
      <c r="AC41" s="670">
        <f t="shared" si="2"/>
        <v>40.853658536585371</v>
      </c>
      <c r="AD41" s="787">
        <v>28</v>
      </c>
      <c r="AE41" s="432">
        <f t="shared" si="6"/>
        <v>32.037936000000002</v>
      </c>
      <c r="AF41" s="449"/>
    </row>
    <row r="42" spans="1:32" ht="18.75" customHeight="1" x14ac:dyDescent="0.2">
      <c r="A42" s="787">
        <v>29</v>
      </c>
      <c r="B42" s="779" t="s">
        <v>162</v>
      </c>
      <c r="C42" s="787" t="s">
        <v>46</v>
      </c>
      <c r="D42" s="786">
        <v>676</v>
      </c>
      <c r="E42" s="787" t="s">
        <v>180</v>
      </c>
      <c r="F42" s="787">
        <v>177.8</v>
      </c>
      <c r="G42" s="787" t="s">
        <v>28</v>
      </c>
      <c r="H42" s="787"/>
      <c r="I42" s="786">
        <v>9.5</v>
      </c>
      <c r="J42" s="786">
        <v>0</v>
      </c>
      <c r="K42" s="786">
        <v>70</v>
      </c>
      <c r="L42" s="787"/>
      <c r="M42" s="786">
        <v>1.4</v>
      </c>
      <c r="N42" s="787"/>
      <c r="O42" s="786"/>
      <c r="P42" s="448">
        <v>0</v>
      </c>
      <c r="Q42" s="772">
        <v>0</v>
      </c>
      <c r="R42" s="432">
        <v>0</v>
      </c>
      <c r="S42" s="432">
        <v>0</v>
      </c>
      <c r="T42" s="492">
        <v>0</v>
      </c>
      <c r="U42" s="668">
        <v>0</v>
      </c>
      <c r="V42" s="668">
        <v>0</v>
      </c>
      <c r="W42" s="668">
        <v>0</v>
      </c>
      <c r="X42" s="432">
        <v>0</v>
      </c>
      <c r="Y42" s="432">
        <f t="shared" si="4"/>
        <v>0</v>
      </c>
      <c r="Z42" s="432">
        <f t="shared" si="4"/>
        <v>0</v>
      </c>
      <c r="AA42" s="670">
        <f t="shared" si="4"/>
        <v>0</v>
      </c>
      <c r="AB42" s="432">
        <f t="shared" si="5"/>
        <v>0</v>
      </c>
      <c r="AC42" s="670">
        <f t="shared" si="2"/>
        <v>0</v>
      </c>
      <c r="AD42" s="787">
        <v>0</v>
      </c>
      <c r="AE42" s="432">
        <f t="shared" si="6"/>
        <v>0</v>
      </c>
      <c r="AF42" s="449" t="s">
        <v>418</v>
      </c>
    </row>
    <row r="43" spans="1:32" ht="18.75" customHeight="1" x14ac:dyDescent="0.2">
      <c r="A43" s="787">
        <v>30</v>
      </c>
      <c r="B43" s="779" t="s">
        <v>163</v>
      </c>
      <c r="C43" s="787" t="s">
        <v>46</v>
      </c>
      <c r="D43" s="786">
        <v>677.27</v>
      </c>
      <c r="E43" s="787" t="s">
        <v>194</v>
      </c>
      <c r="F43" s="787">
        <v>177.8</v>
      </c>
      <c r="G43" s="787" t="s">
        <v>28</v>
      </c>
      <c r="H43" s="787" t="s">
        <v>187</v>
      </c>
      <c r="I43" s="786">
        <v>553.82000000000005</v>
      </c>
      <c r="J43" s="786">
        <v>180</v>
      </c>
      <c r="K43" s="786"/>
      <c r="L43" s="786">
        <v>221</v>
      </c>
      <c r="M43" s="786"/>
      <c r="N43" s="787">
        <v>1.9</v>
      </c>
      <c r="O43" s="786"/>
      <c r="P43" s="448">
        <v>39.028455544195751</v>
      </c>
      <c r="Q43" s="772">
        <f t="shared" si="8"/>
        <v>10.8</v>
      </c>
      <c r="R43" s="432">
        <v>1.1259999999999999</v>
      </c>
      <c r="S43" s="432">
        <v>3.4390000000000001</v>
      </c>
      <c r="T43" s="492">
        <v>0</v>
      </c>
      <c r="U43" s="668">
        <f>T43/R43</f>
        <v>0</v>
      </c>
      <c r="V43" s="668">
        <f t="shared" si="7"/>
        <v>67.257923815062526</v>
      </c>
      <c r="W43" s="668">
        <v>0.3</v>
      </c>
      <c r="X43" s="432">
        <f t="shared" si="1"/>
        <v>0.31842592592592589</v>
      </c>
      <c r="Y43" s="432">
        <f t="shared" si="4"/>
        <v>1.1068579999999999</v>
      </c>
      <c r="Z43" s="432">
        <f t="shared" si="4"/>
        <v>3.3805369999999999</v>
      </c>
      <c r="AA43" s="670">
        <f t="shared" si="4"/>
        <v>0</v>
      </c>
      <c r="AB43" s="432">
        <f t="shared" si="5"/>
        <v>0</v>
      </c>
      <c r="AC43" s="670">
        <f t="shared" si="2"/>
        <v>67.257923815062526</v>
      </c>
      <c r="AD43" s="787">
        <v>28</v>
      </c>
      <c r="AE43" s="432">
        <f t="shared" si="6"/>
        <v>30.992023999999997</v>
      </c>
      <c r="AF43" s="449"/>
    </row>
    <row r="44" spans="1:32" ht="18.75" customHeight="1" x14ac:dyDescent="0.2">
      <c r="A44" s="787">
        <v>31</v>
      </c>
      <c r="B44" s="461" t="s">
        <v>59</v>
      </c>
      <c r="C44" s="787" t="s">
        <v>46</v>
      </c>
      <c r="D44" s="787">
        <v>643</v>
      </c>
      <c r="E44" s="787" t="s">
        <v>94</v>
      </c>
      <c r="F44" s="787">
        <v>177.8</v>
      </c>
      <c r="G44" s="787" t="s">
        <v>28</v>
      </c>
      <c r="H44" s="787" t="s">
        <v>48</v>
      </c>
      <c r="I44" s="786">
        <v>540.79999999999995</v>
      </c>
      <c r="J44" s="787">
        <v>260</v>
      </c>
      <c r="K44" s="787"/>
      <c r="L44" s="787">
        <v>401</v>
      </c>
      <c r="M44" s="787"/>
      <c r="N44" s="787">
        <v>0.6</v>
      </c>
      <c r="O44" s="787"/>
      <c r="P44" s="668">
        <v>15.648515843729943</v>
      </c>
      <c r="Q44" s="772">
        <f t="shared" si="8"/>
        <v>33.799999999999997</v>
      </c>
      <c r="R44" s="432">
        <v>2.5870000000000002</v>
      </c>
      <c r="S44" s="432">
        <v>4.2850000000000001</v>
      </c>
      <c r="T44" s="670">
        <v>4.3</v>
      </c>
      <c r="U44" s="668">
        <f t="shared" si="0"/>
        <v>1.6621569385388479</v>
      </c>
      <c r="V44" s="668">
        <f t="shared" si="7"/>
        <v>39.626604434072341</v>
      </c>
      <c r="W44" s="668">
        <v>0.3</v>
      </c>
      <c r="X44" s="432">
        <f t="shared" si="1"/>
        <v>0.12677514792899411</v>
      </c>
      <c r="Y44" s="432">
        <f t="shared" si="4"/>
        <v>2.543021</v>
      </c>
      <c r="Z44" s="432">
        <f t="shared" si="4"/>
        <v>4.2121550000000001</v>
      </c>
      <c r="AA44" s="670">
        <f t="shared" si="4"/>
        <v>4.2268999999999997</v>
      </c>
      <c r="AB44" s="432">
        <f>U44</f>
        <v>1.6621569385388479</v>
      </c>
      <c r="AC44" s="670">
        <f t="shared" si="2"/>
        <v>39.626604434072341</v>
      </c>
      <c r="AD44" s="787">
        <v>28</v>
      </c>
      <c r="AE44" s="432">
        <f t="shared" si="6"/>
        <v>71.204588000000001</v>
      </c>
      <c r="AF44" s="449"/>
    </row>
    <row r="45" spans="1:32" ht="18.75" customHeight="1" x14ac:dyDescent="0.2">
      <c r="A45" s="787">
        <v>32</v>
      </c>
      <c r="B45" s="461" t="s">
        <v>207</v>
      </c>
      <c r="C45" s="787" t="s">
        <v>46</v>
      </c>
      <c r="D45" s="787">
        <v>673</v>
      </c>
      <c r="E45" s="787" t="s">
        <v>420</v>
      </c>
      <c r="F45" s="787">
        <v>177.8</v>
      </c>
      <c r="G45" s="787" t="s">
        <v>28</v>
      </c>
      <c r="H45" s="787" t="s">
        <v>50</v>
      </c>
      <c r="I45" s="786">
        <v>564.41999999999996</v>
      </c>
      <c r="J45" s="787">
        <v>195</v>
      </c>
      <c r="K45" s="787"/>
      <c r="L45" s="787">
        <v>343</v>
      </c>
      <c r="M45" s="787"/>
      <c r="N45" s="668">
        <v>4.5999999999999996</v>
      </c>
      <c r="O45" s="787"/>
      <c r="P45" s="668">
        <v>26.159579827985084</v>
      </c>
      <c r="Q45" s="772">
        <f t="shared" si="8"/>
        <v>11.7</v>
      </c>
      <c r="R45" s="432">
        <v>5.4560000000000004</v>
      </c>
      <c r="S45" s="432">
        <v>8.4529999999999994</v>
      </c>
      <c r="T45" s="670">
        <v>1.8</v>
      </c>
      <c r="U45" s="668">
        <f t="shared" si="0"/>
        <v>0.32991202346041054</v>
      </c>
      <c r="V45" s="668">
        <f t="shared" si="7"/>
        <v>35.454868094167743</v>
      </c>
      <c r="W45" s="668">
        <v>0.2</v>
      </c>
      <c r="X45" s="432">
        <f t="shared" si="1"/>
        <v>0.72247863247863242</v>
      </c>
      <c r="Y45" s="432">
        <f t="shared" si="4"/>
        <v>5.3632480000000005</v>
      </c>
      <c r="Z45" s="432">
        <f t="shared" si="4"/>
        <v>8.3092989999999993</v>
      </c>
      <c r="AA45" s="670">
        <f t="shared" si="4"/>
        <v>1.7694000000000001</v>
      </c>
      <c r="AB45" s="432">
        <f>U45</f>
        <v>0.32991202346041054</v>
      </c>
      <c r="AC45" s="670">
        <f t="shared" si="2"/>
        <v>35.454868094167743</v>
      </c>
      <c r="AD45" s="787">
        <v>28</v>
      </c>
      <c r="AE45" s="432">
        <f t="shared" si="6"/>
        <v>150.17094400000002</v>
      </c>
      <c r="AF45" s="449"/>
    </row>
    <row r="46" spans="1:32" ht="18.75" customHeight="1" x14ac:dyDescent="0.2">
      <c r="A46" s="787">
        <v>33</v>
      </c>
      <c r="B46" s="461" t="s">
        <v>196</v>
      </c>
      <c r="C46" s="787" t="s">
        <v>304</v>
      </c>
      <c r="D46" s="787">
        <v>641</v>
      </c>
      <c r="E46" s="787" t="s">
        <v>296</v>
      </c>
      <c r="F46" s="787">
        <v>177.8</v>
      </c>
      <c r="G46" s="787" t="s">
        <v>28</v>
      </c>
      <c r="H46" s="787" t="s">
        <v>50</v>
      </c>
      <c r="I46" s="786">
        <v>611.92999999999995</v>
      </c>
      <c r="J46" s="787">
        <v>0</v>
      </c>
      <c r="K46" s="787">
        <v>496</v>
      </c>
      <c r="M46" s="668">
        <v>0.3</v>
      </c>
      <c r="O46" s="787"/>
      <c r="P46" s="668"/>
      <c r="Q46" s="772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787">
        <v>28</v>
      </c>
      <c r="AE46" s="432">
        <f t="shared" si="6"/>
        <v>0</v>
      </c>
      <c r="AF46" s="449" t="s">
        <v>335</v>
      </c>
    </row>
    <row r="47" spans="1:32" ht="18.75" customHeight="1" x14ac:dyDescent="0.2">
      <c r="A47" s="787">
        <v>34</v>
      </c>
      <c r="B47" s="461" t="s">
        <v>60</v>
      </c>
      <c r="C47" s="787" t="s">
        <v>46</v>
      </c>
      <c r="D47" s="787">
        <v>638.9</v>
      </c>
      <c r="E47" s="787" t="s">
        <v>95</v>
      </c>
      <c r="F47" s="787">
        <v>177.8</v>
      </c>
      <c r="G47" s="787" t="s">
        <v>28</v>
      </c>
      <c r="H47" s="787" t="s">
        <v>48</v>
      </c>
      <c r="I47" s="786">
        <v>546.64</v>
      </c>
      <c r="J47" s="787">
        <v>110</v>
      </c>
      <c r="K47" s="787"/>
      <c r="L47" s="787">
        <v>465</v>
      </c>
      <c r="M47" s="787"/>
      <c r="N47" s="787">
        <v>6.9</v>
      </c>
      <c r="O47" s="787"/>
      <c r="P47" s="668">
        <v>15.386269476368003</v>
      </c>
      <c r="Q47" s="772">
        <f t="shared" si="8"/>
        <v>14.3</v>
      </c>
      <c r="R47" s="432">
        <v>5.6379999999999999</v>
      </c>
      <c r="S47" s="432">
        <v>10.183</v>
      </c>
      <c r="T47" s="670">
        <v>59</v>
      </c>
      <c r="U47" s="668">
        <f t="shared" si="0"/>
        <v>10.464703795672225</v>
      </c>
      <c r="V47" s="668">
        <f t="shared" si="7"/>
        <v>44.633212216439162</v>
      </c>
      <c r="W47" s="668">
        <v>0.2</v>
      </c>
      <c r="X47" s="432">
        <f t="shared" si="1"/>
        <v>0.71209790209790202</v>
      </c>
      <c r="Y47" s="432">
        <f t="shared" si="4"/>
        <v>5.542154</v>
      </c>
      <c r="Z47" s="432">
        <f t="shared" si="4"/>
        <v>10.009888999999999</v>
      </c>
      <c r="AA47" s="670">
        <f t="shared" si="4"/>
        <v>57.997</v>
      </c>
      <c r="AB47" s="432">
        <f t="shared" si="5"/>
        <v>10.464703795672225</v>
      </c>
      <c r="AC47" s="670">
        <f t="shared" si="2"/>
        <v>44.633212216439162</v>
      </c>
      <c r="AD47" s="787">
        <v>28</v>
      </c>
      <c r="AE47" s="432">
        <f t="shared" si="6"/>
        <v>155.18031200000001</v>
      </c>
      <c r="AF47" s="449"/>
    </row>
    <row r="48" spans="1:32" ht="18.75" customHeight="1" x14ac:dyDescent="0.2">
      <c r="A48" s="787">
        <v>35</v>
      </c>
      <c r="B48" s="461" t="s">
        <v>119</v>
      </c>
      <c r="C48" s="787" t="s">
        <v>427</v>
      </c>
      <c r="D48" s="787">
        <v>654.07000000000005</v>
      </c>
      <c r="E48" s="787" t="s">
        <v>410</v>
      </c>
      <c r="F48" s="787">
        <v>177.8</v>
      </c>
      <c r="G48" s="787" t="s">
        <v>28</v>
      </c>
      <c r="H48" s="165" t="s">
        <v>399</v>
      </c>
      <c r="I48" s="786">
        <v>521.47</v>
      </c>
      <c r="J48" s="787">
        <v>250</v>
      </c>
      <c r="K48" s="787"/>
      <c r="L48" s="787">
        <v>479</v>
      </c>
      <c r="M48" s="787"/>
      <c r="N48" s="787">
        <v>7.9</v>
      </c>
      <c r="O48" s="787"/>
      <c r="P48" s="668">
        <v>10.616266571447555</v>
      </c>
      <c r="Q48" s="772">
        <f>J48*13/100</f>
        <v>32.5</v>
      </c>
      <c r="R48" s="432">
        <v>0.45500000000000002</v>
      </c>
      <c r="S48" s="432">
        <v>2.6230000000000002</v>
      </c>
      <c r="T48" s="670">
        <v>50.5</v>
      </c>
      <c r="U48" s="668">
        <f t="shared" si="0"/>
        <v>110.98901098901098</v>
      </c>
      <c r="V48" s="668">
        <f t="shared" si="7"/>
        <v>82.653450247807854</v>
      </c>
      <c r="W48" s="668">
        <v>0.2</v>
      </c>
      <c r="X48" s="432">
        <f t="shared" si="1"/>
        <v>8.0707692307692314E-2</v>
      </c>
      <c r="Y48" s="432">
        <f t="shared" si="4"/>
        <v>0.44726500000000002</v>
      </c>
      <c r="Z48" s="432">
        <f t="shared" si="4"/>
        <v>2.5784090000000002</v>
      </c>
      <c r="AA48" s="670">
        <f t="shared" si="4"/>
        <v>49.641500000000001</v>
      </c>
      <c r="AB48" s="432">
        <f t="shared" si="5"/>
        <v>110.98901098901098</v>
      </c>
      <c r="AC48" s="670">
        <f t="shared" si="2"/>
        <v>82.653450247807854</v>
      </c>
      <c r="AD48" s="787">
        <v>28</v>
      </c>
      <c r="AE48" s="432">
        <f t="shared" si="6"/>
        <v>12.523420000000002</v>
      </c>
      <c r="AF48" s="449" t="s">
        <v>409</v>
      </c>
    </row>
    <row r="49" spans="1:32" ht="18.75" customHeight="1" x14ac:dyDescent="0.2">
      <c r="A49" s="787">
        <v>36</v>
      </c>
      <c r="B49" s="461" t="s">
        <v>118</v>
      </c>
      <c r="C49" s="787" t="s">
        <v>408</v>
      </c>
      <c r="D49" s="787">
        <v>728.77</v>
      </c>
      <c r="E49" s="787" t="s">
        <v>133</v>
      </c>
      <c r="F49" s="787">
        <v>177.8</v>
      </c>
      <c r="G49" s="787" t="s">
        <v>28</v>
      </c>
      <c r="H49" s="787" t="s">
        <v>219</v>
      </c>
      <c r="I49" s="786">
        <v>556.4</v>
      </c>
      <c r="J49" s="787">
        <v>255</v>
      </c>
      <c r="K49" s="787"/>
      <c r="L49" s="787">
        <v>387</v>
      </c>
      <c r="M49" s="787"/>
      <c r="N49" s="787">
        <v>9.6</v>
      </c>
      <c r="O49" s="787"/>
      <c r="P49" s="668">
        <v>24.371520193720215</v>
      </c>
      <c r="Q49" s="772">
        <f t="shared" si="8"/>
        <v>30.6</v>
      </c>
      <c r="R49" s="432">
        <v>0.36799999999999999</v>
      </c>
      <c r="S49" s="432">
        <v>0.37</v>
      </c>
      <c r="T49" s="670">
        <v>0</v>
      </c>
      <c r="U49" s="668">
        <f>T49/R49</f>
        <v>0</v>
      </c>
      <c r="V49" s="668">
        <f t="shared" si="7"/>
        <v>0.54054054054054101</v>
      </c>
      <c r="W49" s="668">
        <v>0.2</v>
      </c>
      <c r="X49" s="432">
        <f t="shared" si="1"/>
        <v>1.2091503267973855E-2</v>
      </c>
      <c r="Y49" s="432">
        <f t="shared" si="4"/>
        <v>0.36174400000000001</v>
      </c>
      <c r="Z49" s="432">
        <f t="shared" si="4"/>
        <v>0.36370999999999998</v>
      </c>
      <c r="AA49" s="670">
        <f t="shared" si="4"/>
        <v>0</v>
      </c>
      <c r="AB49" s="432">
        <f t="shared" si="5"/>
        <v>0</v>
      </c>
      <c r="AC49" s="670">
        <f t="shared" si="2"/>
        <v>0.54054054054054101</v>
      </c>
      <c r="AD49" s="787">
        <v>28</v>
      </c>
      <c r="AE49" s="432">
        <f t="shared" si="6"/>
        <v>10.128832000000001</v>
      </c>
      <c r="AF49" s="449" t="s">
        <v>414</v>
      </c>
    </row>
    <row r="50" spans="1:32" ht="18.75" customHeight="1" x14ac:dyDescent="0.2">
      <c r="A50" s="787">
        <v>37</v>
      </c>
      <c r="B50" s="461" t="s">
        <v>117</v>
      </c>
      <c r="C50" s="787" t="s">
        <v>46</v>
      </c>
      <c r="D50" s="787">
        <v>671.45</v>
      </c>
      <c r="E50" s="787" t="s">
        <v>128</v>
      </c>
      <c r="F50" s="787">
        <v>177.8</v>
      </c>
      <c r="G50" s="787" t="s">
        <v>28</v>
      </c>
      <c r="H50" s="787" t="s">
        <v>187</v>
      </c>
      <c r="I50" s="786">
        <v>559.39</v>
      </c>
      <c r="J50" s="787">
        <v>275</v>
      </c>
      <c r="K50" s="787"/>
      <c r="L50" s="787">
        <v>277</v>
      </c>
      <c r="M50" s="787"/>
      <c r="N50" s="787">
        <v>2</v>
      </c>
      <c r="O50" s="787"/>
      <c r="P50" s="668">
        <v>30.904745443275708</v>
      </c>
      <c r="Q50" s="772">
        <f t="shared" si="8"/>
        <v>16.5</v>
      </c>
      <c r="R50" s="432">
        <v>0.81599999999999995</v>
      </c>
      <c r="S50" s="432">
        <v>4.9530000000000003</v>
      </c>
      <c r="T50" s="670">
        <v>1.5</v>
      </c>
      <c r="U50" s="668">
        <f t="shared" ref="U50:U56" si="9">T50/R50</f>
        <v>1.8382352941176472</v>
      </c>
      <c r="V50" s="668">
        <f t="shared" si="7"/>
        <v>83.525136281041796</v>
      </c>
      <c r="W50" s="668">
        <v>0.3</v>
      </c>
      <c r="X50" s="432">
        <f t="shared" si="1"/>
        <v>0.30018181818181822</v>
      </c>
      <c r="Y50" s="432">
        <f t="shared" si="4"/>
        <v>0.80212799999999995</v>
      </c>
      <c r="Z50" s="432">
        <f t="shared" si="4"/>
        <v>4.8687990000000001</v>
      </c>
      <c r="AA50" s="670">
        <f t="shared" si="4"/>
        <v>1.4744999999999999</v>
      </c>
      <c r="AB50" s="432">
        <f t="shared" si="5"/>
        <v>1.8382352941176472</v>
      </c>
      <c r="AC50" s="670">
        <f t="shared" si="2"/>
        <v>83.525136281041796</v>
      </c>
      <c r="AD50" s="787">
        <v>28</v>
      </c>
      <c r="AE50" s="432">
        <f t="shared" si="6"/>
        <v>22.459584</v>
      </c>
      <c r="AF50" s="669"/>
    </row>
    <row r="51" spans="1:32" ht="18.75" customHeight="1" x14ac:dyDescent="0.2">
      <c r="A51" s="787">
        <v>38</v>
      </c>
      <c r="B51" s="461" t="s">
        <v>130</v>
      </c>
      <c r="C51" s="787" t="s">
        <v>46</v>
      </c>
      <c r="D51" s="787">
        <v>622.6</v>
      </c>
      <c r="E51" s="787" t="s">
        <v>134</v>
      </c>
      <c r="F51" s="787">
        <v>177.8</v>
      </c>
      <c r="G51" s="787" t="s">
        <v>28</v>
      </c>
      <c r="H51" s="787" t="s">
        <v>48</v>
      </c>
      <c r="I51" s="786">
        <v>551.79999999999995</v>
      </c>
      <c r="J51" s="787">
        <v>185</v>
      </c>
      <c r="K51" s="787"/>
      <c r="L51" s="787">
        <v>86</v>
      </c>
      <c r="M51" s="787"/>
      <c r="N51" s="787">
        <v>3.2</v>
      </c>
      <c r="O51" s="787"/>
      <c r="P51" s="668">
        <v>50.710682641203498</v>
      </c>
      <c r="Q51" s="772">
        <f t="shared" si="8"/>
        <v>24.05</v>
      </c>
      <c r="R51" s="432">
        <v>0.93200000000000005</v>
      </c>
      <c r="S51" s="432">
        <v>16.309999999999999</v>
      </c>
      <c r="T51" s="670">
        <v>0</v>
      </c>
      <c r="U51" s="668">
        <f t="shared" si="9"/>
        <v>0</v>
      </c>
      <c r="V51" s="668">
        <f t="shared" si="7"/>
        <v>94.285714285714278</v>
      </c>
      <c r="W51" s="668">
        <v>0</v>
      </c>
      <c r="X51" s="432">
        <f t="shared" si="1"/>
        <v>0.67817047817047815</v>
      </c>
      <c r="Y51" s="432">
        <f t="shared" si="4"/>
        <v>0.91615600000000008</v>
      </c>
      <c r="Z51" s="432">
        <f t="shared" si="4"/>
        <v>16.032729999999997</v>
      </c>
      <c r="AA51" s="670">
        <f t="shared" si="4"/>
        <v>0</v>
      </c>
      <c r="AB51" s="432">
        <f t="shared" si="5"/>
        <v>0</v>
      </c>
      <c r="AC51" s="670">
        <f t="shared" si="2"/>
        <v>94.285714285714278</v>
      </c>
      <c r="AD51" s="787">
        <v>28</v>
      </c>
      <c r="AE51" s="432">
        <f t="shared" si="6"/>
        <v>25.652368000000003</v>
      </c>
      <c r="AF51" s="669"/>
    </row>
    <row r="52" spans="1:32" ht="18.75" customHeight="1" x14ac:dyDescent="0.2">
      <c r="A52" s="787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787">
        <v>177.8</v>
      </c>
      <c r="G52" s="452" t="s">
        <v>28</v>
      </c>
      <c r="H52" s="655" t="s">
        <v>363</v>
      </c>
      <c r="I52" s="453">
        <v>565.65</v>
      </c>
      <c r="J52" s="452">
        <v>160</v>
      </c>
      <c r="K52" s="452"/>
      <c r="L52" s="452">
        <v>402</v>
      </c>
      <c r="M52" s="452"/>
      <c r="N52" s="787">
        <v>0.8</v>
      </c>
      <c r="O52" s="452"/>
      <c r="P52" s="675">
        <v>16.717109160580168</v>
      </c>
      <c r="Q52" s="772">
        <f>J52*7/100</f>
        <v>11.2</v>
      </c>
      <c r="R52" s="456">
        <v>1.839</v>
      </c>
      <c r="S52" s="432">
        <v>1.964</v>
      </c>
      <c r="T52" s="700">
        <v>0</v>
      </c>
      <c r="U52" s="668">
        <f t="shared" si="9"/>
        <v>0</v>
      </c>
      <c r="V52" s="668">
        <f t="shared" si="7"/>
        <v>6.3645621181262726</v>
      </c>
      <c r="W52" s="675">
        <v>0.3</v>
      </c>
      <c r="X52" s="432">
        <f t="shared" si="1"/>
        <v>0.17535714285714288</v>
      </c>
      <c r="Y52" s="432">
        <f t="shared" si="4"/>
        <v>1.8077369999999999</v>
      </c>
      <c r="Z52" s="432">
        <f t="shared" si="4"/>
        <v>1.930612</v>
      </c>
      <c r="AA52" s="670">
        <f t="shared" si="4"/>
        <v>0</v>
      </c>
      <c r="AB52" s="456">
        <f t="shared" si="5"/>
        <v>0</v>
      </c>
      <c r="AC52" s="670">
        <f t="shared" si="2"/>
        <v>6.3645621181262726</v>
      </c>
      <c r="AD52" s="787">
        <v>28</v>
      </c>
      <c r="AE52" s="456">
        <f t="shared" si="6"/>
        <v>50.616636</v>
      </c>
      <c r="AF52" s="449"/>
    </row>
    <row r="53" spans="1:32" ht="18.75" customHeight="1" x14ac:dyDescent="0.2">
      <c r="A53" s="787">
        <v>40</v>
      </c>
      <c r="B53" s="461" t="s">
        <v>116</v>
      </c>
      <c r="C53" s="787" t="s">
        <v>46</v>
      </c>
      <c r="D53" s="787">
        <v>681.27</v>
      </c>
      <c r="E53" s="787" t="s">
        <v>124</v>
      </c>
      <c r="F53" s="787">
        <v>177.8</v>
      </c>
      <c r="G53" s="787" t="s">
        <v>28</v>
      </c>
      <c r="H53" s="787" t="s">
        <v>53</v>
      </c>
      <c r="I53" s="786">
        <v>558.35</v>
      </c>
      <c r="J53" s="787">
        <v>260</v>
      </c>
      <c r="K53" s="787"/>
      <c r="L53" s="787">
        <v>312</v>
      </c>
      <c r="M53" s="787"/>
      <c r="N53" s="787">
        <v>7.6</v>
      </c>
      <c r="O53" s="787"/>
      <c r="P53" s="668">
        <v>32.244757726235825</v>
      </c>
      <c r="Q53" s="773">
        <f t="shared" si="8"/>
        <v>33.799999999999997</v>
      </c>
      <c r="R53" s="432">
        <v>1.369</v>
      </c>
      <c r="S53" s="432">
        <v>2.996</v>
      </c>
      <c r="T53" s="670">
        <v>1</v>
      </c>
      <c r="U53" s="668">
        <f t="shared" si="9"/>
        <v>0.73046018991964934</v>
      </c>
      <c r="V53" s="668">
        <f t="shared" si="7"/>
        <v>54.305740987983974</v>
      </c>
      <c r="W53" s="668">
        <v>0.2</v>
      </c>
      <c r="X53" s="432">
        <f t="shared" si="1"/>
        <v>8.8639053254437883E-2</v>
      </c>
      <c r="Y53" s="432">
        <f t="shared" si="4"/>
        <v>1.3457269999999999</v>
      </c>
      <c r="Z53" s="432">
        <f t="shared" si="4"/>
        <v>2.945068</v>
      </c>
      <c r="AA53" s="670">
        <f t="shared" si="4"/>
        <v>0.98299999999999998</v>
      </c>
      <c r="AB53" s="432">
        <f t="shared" si="5"/>
        <v>0.73046018991964934</v>
      </c>
      <c r="AC53" s="670">
        <f t="shared" si="2"/>
        <v>54.305740987983974</v>
      </c>
      <c r="AD53" s="787">
        <v>28</v>
      </c>
      <c r="AE53" s="432">
        <f t="shared" si="6"/>
        <v>37.680355999999996</v>
      </c>
      <c r="AF53" s="449"/>
    </row>
    <row r="54" spans="1:32" ht="18.75" customHeight="1" x14ac:dyDescent="0.2">
      <c r="A54" s="787">
        <v>41</v>
      </c>
      <c r="B54" s="461" t="s">
        <v>120</v>
      </c>
      <c r="C54" s="787" t="s">
        <v>46</v>
      </c>
      <c r="D54" s="787">
        <v>668.57</v>
      </c>
      <c r="E54" s="787" t="s">
        <v>285</v>
      </c>
      <c r="F54" s="787">
        <v>177.8</v>
      </c>
      <c r="G54" s="787" t="s">
        <v>28</v>
      </c>
      <c r="H54" s="787" t="s">
        <v>48</v>
      </c>
      <c r="I54" s="786">
        <v>567.08000000000004</v>
      </c>
      <c r="J54" s="787">
        <v>239</v>
      </c>
      <c r="K54" s="787"/>
      <c r="L54" s="787">
        <v>408</v>
      </c>
      <c r="M54" s="787"/>
      <c r="N54" s="787">
        <v>0.7</v>
      </c>
      <c r="O54" s="787"/>
      <c r="P54" s="668">
        <v>16.657200467627032</v>
      </c>
      <c r="Q54" s="772">
        <f t="shared" si="8"/>
        <v>31.07</v>
      </c>
      <c r="R54" s="432">
        <v>2.5710000000000002</v>
      </c>
      <c r="S54" s="432">
        <v>3.653</v>
      </c>
      <c r="T54" s="670">
        <v>2.5</v>
      </c>
      <c r="U54" s="668">
        <f t="shared" si="9"/>
        <v>0.97238428626993378</v>
      </c>
      <c r="V54" s="668">
        <f t="shared" si="7"/>
        <v>29.619490829455238</v>
      </c>
      <c r="W54" s="668">
        <v>0.3</v>
      </c>
      <c r="X54" s="432">
        <f t="shared" si="1"/>
        <v>0.11757322175732217</v>
      </c>
      <c r="Y54" s="432">
        <f t="shared" si="4"/>
        <v>2.5272930000000002</v>
      </c>
      <c r="Z54" s="432">
        <f t="shared" si="4"/>
        <v>3.5908989999999998</v>
      </c>
      <c r="AA54" s="670">
        <f t="shared" si="4"/>
        <v>2.4575</v>
      </c>
      <c r="AB54" s="432">
        <f t="shared" si="5"/>
        <v>0.97238428626993378</v>
      </c>
      <c r="AC54" s="670">
        <f t="shared" si="2"/>
        <v>29.619490829455238</v>
      </c>
      <c r="AD54" s="787">
        <v>28</v>
      </c>
      <c r="AE54" s="432">
        <f t="shared" si="6"/>
        <v>70.764204000000007</v>
      </c>
      <c r="AF54" s="669"/>
    </row>
    <row r="55" spans="1:32" ht="18.75" customHeight="1" x14ac:dyDescent="0.2">
      <c r="A55" s="787">
        <v>42</v>
      </c>
      <c r="B55" s="461" t="s">
        <v>114</v>
      </c>
      <c r="C55" s="787" t="s">
        <v>46</v>
      </c>
      <c r="D55" s="787">
        <v>584.25</v>
      </c>
      <c r="E55" s="787" t="s">
        <v>419</v>
      </c>
      <c r="F55" s="787">
        <v>177.8</v>
      </c>
      <c r="G55" s="787" t="s">
        <v>28</v>
      </c>
      <c r="H55" s="165" t="s">
        <v>383</v>
      </c>
      <c r="I55" s="786">
        <v>560.79999999999995</v>
      </c>
      <c r="J55" s="787">
        <v>325</v>
      </c>
      <c r="K55" s="787"/>
      <c r="L55" s="787">
        <v>294</v>
      </c>
      <c r="M55" s="787"/>
      <c r="N55" s="787">
        <v>0</v>
      </c>
      <c r="O55" s="787"/>
      <c r="P55" s="668">
        <v>26.607422048367269</v>
      </c>
      <c r="Q55" s="772">
        <f>J55*3/100</f>
        <v>9.75</v>
      </c>
      <c r="R55" s="432">
        <v>4.0270000000000001</v>
      </c>
      <c r="S55" s="432">
        <v>8.7159999999999993</v>
      </c>
      <c r="T55" s="670">
        <v>0</v>
      </c>
      <c r="U55" s="668">
        <f t="shared" si="9"/>
        <v>0</v>
      </c>
      <c r="V55" s="668">
        <f t="shared" si="7"/>
        <v>53.797613584212932</v>
      </c>
      <c r="W55" s="668">
        <v>0.2</v>
      </c>
      <c r="X55" s="432">
        <f t="shared" si="1"/>
        <v>0.89394871794871789</v>
      </c>
      <c r="Y55" s="432">
        <f t="shared" si="4"/>
        <v>3.9585409999999999</v>
      </c>
      <c r="Z55" s="432">
        <f t="shared" si="4"/>
        <v>8.5678279999999987</v>
      </c>
      <c r="AA55" s="670">
        <f t="shared" si="4"/>
        <v>0</v>
      </c>
      <c r="AB55" s="432">
        <f t="shared" si="5"/>
        <v>0</v>
      </c>
      <c r="AC55" s="670">
        <f t="shared" si="2"/>
        <v>53.797613584212932</v>
      </c>
      <c r="AD55" s="787">
        <v>28</v>
      </c>
      <c r="AE55" s="432">
        <f t="shared" si="6"/>
        <v>110.83914799999999</v>
      </c>
      <c r="AF55" s="457"/>
    </row>
    <row r="56" spans="1:32" ht="18.75" customHeight="1" x14ac:dyDescent="0.2">
      <c r="A56" s="787">
        <v>43</v>
      </c>
      <c r="B56" s="461" t="s">
        <v>106</v>
      </c>
      <c r="C56" s="787" t="s">
        <v>46</v>
      </c>
      <c r="D56" s="787">
        <v>642.52</v>
      </c>
      <c r="E56" s="787" t="s">
        <v>111</v>
      </c>
      <c r="F56" s="787">
        <v>177.8</v>
      </c>
      <c r="G56" s="787" t="s">
        <v>28</v>
      </c>
      <c r="H56" s="787" t="s">
        <v>52</v>
      </c>
      <c r="I56" s="786">
        <v>556.65</v>
      </c>
      <c r="J56" s="787">
        <v>240</v>
      </c>
      <c r="K56" s="787"/>
      <c r="L56" s="787">
        <v>206</v>
      </c>
      <c r="M56" s="787"/>
      <c r="N56" s="787">
        <v>7.5</v>
      </c>
      <c r="O56" s="787"/>
      <c r="P56" s="668">
        <v>43.049674878812709</v>
      </c>
      <c r="Q56" s="772">
        <f t="shared" si="8"/>
        <v>52.8</v>
      </c>
      <c r="R56" s="432">
        <v>2.8580000000000001</v>
      </c>
      <c r="S56" s="432">
        <v>14.907</v>
      </c>
      <c r="T56" s="670">
        <v>21</v>
      </c>
      <c r="U56" s="668">
        <f t="shared" si="9"/>
        <v>7.3477956613016095</v>
      </c>
      <c r="V56" s="668">
        <f t="shared" si="7"/>
        <v>80.827799020594355</v>
      </c>
      <c r="W56" s="668">
        <v>0.2</v>
      </c>
      <c r="X56" s="432">
        <f t="shared" si="1"/>
        <v>0.28232954545454547</v>
      </c>
      <c r="Y56" s="432">
        <f t="shared" si="4"/>
        <v>2.8094139999999999</v>
      </c>
      <c r="Z56" s="432">
        <f t="shared" si="4"/>
        <v>14.653580999999999</v>
      </c>
      <c r="AA56" s="670">
        <f t="shared" si="4"/>
        <v>20.643000000000001</v>
      </c>
      <c r="AB56" s="432">
        <f t="shared" si="5"/>
        <v>7.3477956613016095</v>
      </c>
      <c r="AC56" s="670">
        <f t="shared" si="2"/>
        <v>80.827799020594355</v>
      </c>
      <c r="AD56" s="787">
        <v>28</v>
      </c>
      <c r="AE56" s="432">
        <f t="shared" si="6"/>
        <v>78.663591999999994</v>
      </c>
      <c r="AF56" s="449"/>
    </row>
    <row r="57" spans="1:32" ht="18.75" customHeight="1" x14ac:dyDescent="0.2">
      <c r="A57" s="787">
        <v>44</v>
      </c>
      <c r="B57" s="461" t="s">
        <v>105</v>
      </c>
      <c r="C57" s="787" t="s">
        <v>426</v>
      </c>
      <c r="D57" s="787">
        <v>609.6</v>
      </c>
      <c r="E57" s="787" t="s">
        <v>405</v>
      </c>
      <c r="F57" s="787">
        <v>177.8</v>
      </c>
      <c r="G57" s="787" t="s">
        <v>28</v>
      </c>
      <c r="H57" s="655" t="s">
        <v>406</v>
      </c>
      <c r="I57" s="786">
        <v>512.69000000000005</v>
      </c>
      <c r="J57" s="787">
        <v>85</v>
      </c>
      <c r="K57" s="787"/>
      <c r="L57" s="787">
        <v>384</v>
      </c>
      <c r="M57" s="787"/>
      <c r="N57" s="787">
        <v>1.5</v>
      </c>
      <c r="O57" s="787"/>
      <c r="P57" s="668">
        <v>13.8096207534646</v>
      </c>
      <c r="Q57" s="772">
        <f>J57*20/100</f>
        <v>17</v>
      </c>
      <c r="R57" s="432">
        <v>1.339</v>
      </c>
      <c r="S57" s="432">
        <v>1.385</v>
      </c>
      <c r="T57" s="670">
        <v>14</v>
      </c>
      <c r="U57" s="668">
        <f>IF(R57=0,0,T57/R57)</f>
        <v>10.455563853622106</v>
      </c>
      <c r="V57" s="668">
        <f t="shared" si="7"/>
        <v>3.3212996389891725</v>
      </c>
      <c r="W57" s="668">
        <v>0.2</v>
      </c>
      <c r="X57" s="432">
        <f t="shared" si="1"/>
        <v>8.1470588235294114E-2</v>
      </c>
      <c r="Y57" s="432">
        <f t="shared" si="4"/>
        <v>1.3162369999999999</v>
      </c>
      <c r="Z57" s="432">
        <f t="shared" si="4"/>
        <v>1.3614550000000001</v>
      </c>
      <c r="AA57" s="670">
        <f t="shared" si="4"/>
        <v>13.762</v>
      </c>
      <c r="AB57" s="432">
        <f t="shared" si="5"/>
        <v>10.455563853622106</v>
      </c>
      <c r="AC57" s="670">
        <f t="shared" si="2"/>
        <v>3.3212996389891725</v>
      </c>
      <c r="AD57" s="787">
        <v>28</v>
      </c>
      <c r="AE57" s="432">
        <f t="shared" si="6"/>
        <v>36.854635999999999</v>
      </c>
      <c r="AF57" s="449" t="s">
        <v>409</v>
      </c>
    </row>
    <row r="58" spans="1:32" ht="18.75" customHeight="1" x14ac:dyDescent="0.2">
      <c r="A58" s="787">
        <v>45</v>
      </c>
      <c r="B58" s="461" t="s">
        <v>104</v>
      </c>
      <c r="C58" s="787" t="s">
        <v>381</v>
      </c>
      <c r="D58" s="787">
        <v>707.14</v>
      </c>
      <c r="E58" s="786" t="s">
        <v>382</v>
      </c>
      <c r="F58" s="787">
        <v>177.8</v>
      </c>
      <c r="G58" s="787" t="s">
        <v>28</v>
      </c>
      <c r="H58" s="165" t="s">
        <v>383</v>
      </c>
      <c r="I58" s="786">
        <v>682.43000000000052</v>
      </c>
      <c r="J58" s="787">
        <v>200</v>
      </c>
      <c r="K58" s="787"/>
      <c r="L58" s="787">
        <v>569</v>
      </c>
      <c r="M58" s="787"/>
      <c r="N58" s="787">
        <v>4.9000000000000004</v>
      </c>
      <c r="O58" s="787"/>
      <c r="P58" s="668">
        <v>13.086688625067699</v>
      </c>
      <c r="Q58" s="772">
        <f>J58*3/100</f>
        <v>6</v>
      </c>
      <c r="R58" s="432">
        <v>1.742</v>
      </c>
      <c r="S58" s="432">
        <v>1.9430000000000001</v>
      </c>
      <c r="T58" s="670">
        <v>7</v>
      </c>
      <c r="U58" s="668">
        <f>IF(T58=0,0,T58/R58)</f>
        <v>4.0183696900114807</v>
      </c>
      <c r="V58" s="668">
        <f t="shared" si="7"/>
        <v>10.344827586206899</v>
      </c>
      <c r="W58" s="668">
        <v>0.2</v>
      </c>
      <c r="X58" s="432">
        <f t="shared" si="1"/>
        <v>0.32383333333333336</v>
      </c>
      <c r="Y58" s="432">
        <f t="shared" si="4"/>
        <v>1.712386</v>
      </c>
      <c r="Z58" s="432">
        <f t="shared" si="4"/>
        <v>1.909969</v>
      </c>
      <c r="AA58" s="670">
        <f t="shared" si="4"/>
        <v>6.8810000000000002</v>
      </c>
      <c r="AB58" s="432">
        <f t="shared" si="5"/>
        <v>4.0183696900114807</v>
      </c>
      <c r="AC58" s="670">
        <f t="shared" si="2"/>
        <v>10.344827586206899</v>
      </c>
      <c r="AD58" s="787">
        <v>28</v>
      </c>
      <c r="AE58" s="432">
        <f t="shared" si="6"/>
        <v>47.946807999999997</v>
      </c>
      <c r="AF58" s="669"/>
    </row>
    <row r="59" spans="1:32" ht="18.75" customHeight="1" x14ac:dyDescent="0.3">
      <c r="A59" s="787">
        <v>46</v>
      </c>
      <c r="B59" s="779" t="s">
        <v>158</v>
      </c>
      <c r="C59" s="787" t="s">
        <v>46</v>
      </c>
      <c r="D59" s="786">
        <v>621.12</v>
      </c>
      <c r="E59" s="786" t="s">
        <v>232</v>
      </c>
      <c r="F59" s="787">
        <v>177.8</v>
      </c>
      <c r="G59" s="787" t="s">
        <v>28</v>
      </c>
      <c r="H59" s="165" t="s">
        <v>403</v>
      </c>
      <c r="I59" s="786">
        <v>544.41999999999996</v>
      </c>
      <c r="J59" s="786">
        <v>155</v>
      </c>
      <c r="K59" s="786"/>
      <c r="L59" s="786">
        <v>457</v>
      </c>
      <c r="M59" s="786"/>
      <c r="N59" s="787">
        <v>9.1999999999999993</v>
      </c>
      <c r="O59" s="786"/>
      <c r="P59" s="448">
        <v>18.492842087827338</v>
      </c>
      <c r="Q59" s="772">
        <f>J59*23/100</f>
        <v>35.65</v>
      </c>
      <c r="R59" s="432">
        <v>7.6449999999999996</v>
      </c>
      <c r="S59" s="432">
        <v>10.18</v>
      </c>
      <c r="T59" s="492">
        <v>252</v>
      </c>
      <c r="U59" s="668">
        <f t="shared" ref="U59:U65" si="10">T59/R59</f>
        <v>32.962720732504906</v>
      </c>
      <c r="V59" s="668">
        <f t="shared" si="7"/>
        <v>24.901768172888016</v>
      </c>
      <c r="W59" s="668">
        <v>0.2</v>
      </c>
      <c r="X59" s="432">
        <f t="shared" si="1"/>
        <v>0.28555399719495089</v>
      </c>
      <c r="Y59" s="432">
        <f t="shared" si="4"/>
        <v>7.5150349999999992</v>
      </c>
      <c r="Z59" s="432">
        <f t="shared" si="4"/>
        <v>10.00694</v>
      </c>
      <c r="AA59" s="670">
        <f t="shared" si="4"/>
        <v>247.71600000000001</v>
      </c>
      <c r="AB59" s="432">
        <f t="shared" si="5"/>
        <v>32.962720732504906</v>
      </c>
      <c r="AC59" s="670">
        <f t="shared" si="2"/>
        <v>24.901768172888016</v>
      </c>
      <c r="AD59" s="787">
        <v>28</v>
      </c>
      <c r="AE59" s="432">
        <f>Y59*AD59</f>
        <v>210.42097999999999</v>
      </c>
      <c r="AF59" s="458"/>
    </row>
    <row r="60" spans="1:32" ht="18.75" customHeight="1" x14ac:dyDescent="0.2">
      <c r="A60" s="787">
        <v>47</v>
      </c>
      <c r="B60" s="779" t="s">
        <v>160</v>
      </c>
      <c r="C60" s="787" t="s">
        <v>304</v>
      </c>
      <c r="D60" s="786">
        <v>677.33</v>
      </c>
      <c r="E60" s="786" t="s">
        <v>315</v>
      </c>
      <c r="F60" s="787">
        <v>177.8</v>
      </c>
      <c r="G60" s="787" t="s">
        <v>28</v>
      </c>
      <c r="H60" s="787" t="s">
        <v>50</v>
      </c>
      <c r="I60" s="786">
        <v>619</v>
      </c>
      <c r="J60" s="786">
        <v>350</v>
      </c>
      <c r="K60" s="786"/>
      <c r="L60" s="787">
        <v>35</v>
      </c>
      <c r="M60" s="786"/>
      <c r="N60" s="787">
        <v>5.5</v>
      </c>
      <c r="O60" s="786"/>
      <c r="P60" s="448">
        <v>52.263266420183413</v>
      </c>
      <c r="Q60" s="772">
        <f t="shared" si="8"/>
        <v>21</v>
      </c>
      <c r="R60" s="432">
        <v>0.96499999999999997</v>
      </c>
      <c r="S60" s="432">
        <v>1.024</v>
      </c>
      <c r="T60" s="492">
        <v>0</v>
      </c>
      <c r="U60" s="668">
        <f t="shared" si="10"/>
        <v>0</v>
      </c>
      <c r="V60" s="668">
        <f t="shared" si="7"/>
        <v>5.7617187500000044</v>
      </c>
      <c r="W60" s="668">
        <v>0.2</v>
      </c>
      <c r="X60" s="432">
        <f t="shared" si="1"/>
        <v>4.8761904761904763E-2</v>
      </c>
      <c r="Y60" s="432">
        <f t="shared" si="4"/>
        <v>0.94859499999999997</v>
      </c>
      <c r="Z60" s="432">
        <f t="shared" si="4"/>
        <v>1.0065919999999999</v>
      </c>
      <c r="AA60" s="670">
        <f t="shared" si="4"/>
        <v>0</v>
      </c>
      <c r="AB60" s="432">
        <f t="shared" si="5"/>
        <v>0</v>
      </c>
      <c r="AC60" s="670">
        <f t="shared" si="2"/>
        <v>5.7617187500000044</v>
      </c>
      <c r="AD60" s="787">
        <v>28</v>
      </c>
      <c r="AE60" s="432">
        <f>Y60*AD60</f>
        <v>26.560659999999999</v>
      </c>
      <c r="AF60" s="669"/>
    </row>
    <row r="61" spans="1:32" ht="18.75" customHeight="1" x14ac:dyDescent="0.2">
      <c r="A61" s="787">
        <v>48</v>
      </c>
      <c r="B61" s="461" t="s">
        <v>164</v>
      </c>
      <c r="C61" s="787" t="s">
        <v>46</v>
      </c>
      <c r="D61" s="786">
        <v>678.47</v>
      </c>
      <c r="E61" s="786" t="s">
        <v>233</v>
      </c>
      <c r="F61" s="787">
        <v>177.8</v>
      </c>
      <c r="G61" s="787" t="s">
        <v>28</v>
      </c>
      <c r="H61" s="787" t="s">
        <v>48</v>
      </c>
      <c r="I61" s="786">
        <v>563.11</v>
      </c>
      <c r="J61" s="786">
        <v>250</v>
      </c>
      <c r="K61" s="786"/>
      <c r="L61" s="786">
        <v>380</v>
      </c>
      <c r="M61" s="786"/>
      <c r="N61" s="787">
        <v>0.4</v>
      </c>
      <c r="O61" s="786"/>
      <c r="P61" s="668">
        <v>18.976600220290855</v>
      </c>
      <c r="Q61" s="772">
        <f t="shared" si="8"/>
        <v>32.5</v>
      </c>
      <c r="R61" s="432">
        <v>3.5880000000000001</v>
      </c>
      <c r="S61" s="432">
        <v>4.5789999999999997</v>
      </c>
      <c r="T61" s="670">
        <v>11.6</v>
      </c>
      <c r="U61" s="668">
        <f t="shared" si="10"/>
        <v>3.232998885172798</v>
      </c>
      <c r="V61" s="668">
        <f t="shared" si="7"/>
        <v>21.6422799737934</v>
      </c>
      <c r="W61" s="668">
        <v>0.7</v>
      </c>
      <c r="X61" s="432">
        <f t="shared" si="1"/>
        <v>0.14089230769230768</v>
      </c>
      <c r="Y61" s="432">
        <f t="shared" si="4"/>
        <v>3.5270039999999998</v>
      </c>
      <c r="Z61" s="432">
        <f t="shared" si="4"/>
        <v>4.5011570000000001</v>
      </c>
      <c r="AA61" s="670">
        <f t="shared" si="4"/>
        <v>11.402799999999999</v>
      </c>
      <c r="AB61" s="432">
        <f t="shared" si="5"/>
        <v>3.232998885172798</v>
      </c>
      <c r="AC61" s="670">
        <f t="shared" si="2"/>
        <v>21.6422799737934</v>
      </c>
      <c r="AD61" s="787">
        <v>28</v>
      </c>
      <c r="AE61" s="432">
        <f t="shared" ref="AE61:AE76" si="11">Y61*AD61</f>
        <v>98.756112000000002</v>
      </c>
      <c r="AF61" s="669"/>
    </row>
    <row r="62" spans="1:32" ht="18.75" customHeight="1" x14ac:dyDescent="0.2">
      <c r="A62" s="787">
        <v>49</v>
      </c>
      <c r="B62" s="461" t="s">
        <v>61</v>
      </c>
      <c r="C62" s="787" t="s">
        <v>46</v>
      </c>
      <c r="D62" s="787">
        <v>667.18</v>
      </c>
      <c r="E62" s="787" t="s">
        <v>96</v>
      </c>
      <c r="F62" s="787">
        <v>177.8</v>
      </c>
      <c r="G62" s="787" t="s">
        <v>28</v>
      </c>
      <c r="H62" s="787" t="s">
        <v>52</v>
      </c>
      <c r="I62" s="786">
        <v>534.21</v>
      </c>
      <c r="J62" s="787">
        <v>200</v>
      </c>
      <c r="K62" s="787"/>
      <c r="L62" s="787">
        <v>449</v>
      </c>
      <c r="M62" s="787"/>
      <c r="N62" s="787">
        <v>6.3</v>
      </c>
      <c r="O62" s="787"/>
      <c r="P62" s="668">
        <v>16.439342251945135</v>
      </c>
      <c r="Q62" s="772">
        <f t="shared" si="8"/>
        <v>44</v>
      </c>
      <c r="R62" s="432">
        <v>6.7939999999999996</v>
      </c>
      <c r="S62" s="432">
        <v>11.465</v>
      </c>
      <c r="T62" s="670">
        <v>160</v>
      </c>
      <c r="U62" s="668">
        <f t="shared" si="10"/>
        <v>23.550191345304682</v>
      </c>
      <c r="V62" s="668">
        <f t="shared" si="7"/>
        <v>40.74138682948103</v>
      </c>
      <c r="W62" s="668">
        <v>0.2</v>
      </c>
      <c r="X62" s="432">
        <f t="shared" si="1"/>
        <v>0.26056818181818181</v>
      </c>
      <c r="Y62" s="432">
        <f t="shared" si="4"/>
        <v>6.6785019999999999</v>
      </c>
      <c r="Z62" s="432">
        <f t="shared" si="4"/>
        <v>11.270095</v>
      </c>
      <c r="AA62" s="670">
        <f t="shared" si="4"/>
        <v>157.28</v>
      </c>
      <c r="AB62" s="432">
        <f t="shared" si="5"/>
        <v>23.550191345304682</v>
      </c>
      <c r="AC62" s="670">
        <f t="shared" si="2"/>
        <v>40.74138682948103</v>
      </c>
      <c r="AD62" s="787">
        <v>28</v>
      </c>
      <c r="AE62" s="432">
        <f t="shared" si="11"/>
        <v>186.99805599999999</v>
      </c>
      <c r="AF62" s="449"/>
    </row>
    <row r="63" spans="1:32" ht="18.75" customHeight="1" x14ac:dyDescent="0.2">
      <c r="A63" s="787">
        <v>50</v>
      </c>
      <c r="B63" s="461" t="s">
        <v>64</v>
      </c>
      <c r="C63" s="787" t="s">
        <v>46</v>
      </c>
      <c r="D63" s="787">
        <v>672.5</v>
      </c>
      <c r="E63" s="787" t="s">
        <v>234</v>
      </c>
      <c r="F63" s="787">
        <v>177.8</v>
      </c>
      <c r="G63" s="787" t="s">
        <v>28</v>
      </c>
      <c r="H63" s="655" t="s">
        <v>406</v>
      </c>
      <c r="I63" s="786">
        <v>534.14</v>
      </c>
      <c r="J63" s="787">
        <v>330</v>
      </c>
      <c r="K63" s="787"/>
      <c r="L63" s="787">
        <v>460</v>
      </c>
      <c r="M63" s="787"/>
      <c r="N63" s="787">
        <v>8.1999999999999993</v>
      </c>
      <c r="O63" s="787"/>
      <c r="P63" s="668">
        <v>17.372593034586771</v>
      </c>
      <c r="Q63" s="772">
        <f>J63*20/100</f>
        <v>66</v>
      </c>
      <c r="R63" s="432">
        <v>10.997999999999999</v>
      </c>
      <c r="S63" s="432">
        <v>14.858000000000001</v>
      </c>
      <c r="T63" s="670">
        <v>1273</v>
      </c>
      <c r="U63" s="668">
        <f t="shared" si="10"/>
        <v>115.74831787597746</v>
      </c>
      <c r="V63" s="668">
        <f t="shared" si="7"/>
        <v>25.979270426706158</v>
      </c>
      <c r="W63" s="668">
        <v>0.2</v>
      </c>
      <c r="X63" s="432">
        <f t="shared" si="1"/>
        <v>0.22512121212121214</v>
      </c>
      <c r="Y63" s="432">
        <f t="shared" si="4"/>
        <v>10.811033999999999</v>
      </c>
      <c r="Z63" s="432">
        <f t="shared" si="4"/>
        <v>14.605414</v>
      </c>
      <c r="AA63" s="670">
        <f t="shared" si="4"/>
        <v>1251.3589999999999</v>
      </c>
      <c r="AB63" s="432">
        <f t="shared" si="5"/>
        <v>115.74831787597746</v>
      </c>
      <c r="AC63" s="670">
        <f t="shared" si="2"/>
        <v>25.979270426706158</v>
      </c>
      <c r="AD63" s="787">
        <v>28</v>
      </c>
      <c r="AE63" s="432">
        <f t="shared" si="11"/>
        <v>302.70895199999995</v>
      </c>
      <c r="AF63" s="449"/>
    </row>
    <row r="64" spans="1:32" ht="18.75" customHeight="1" x14ac:dyDescent="0.2">
      <c r="A64" s="787">
        <v>51</v>
      </c>
      <c r="B64" s="461" t="s">
        <v>156</v>
      </c>
      <c r="C64" s="787" t="s">
        <v>46</v>
      </c>
      <c r="D64" s="787">
        <v>679.54</v>
      </c>
      <c r="E64" s="787" t="s">
        <v>166</v>
      </c>
      <c r="F64" s="787">
        <v>177.8</v>
      </c>
      <c r="G64" s="787" t="s">
        <v>28</v>
      </c>
      <c r="H64" s="787" t="s">
        <v>52</v>
      </c>
      <c r="I64" s="786">
        <v>530.98</v>
      </c>
      <c r="J64" s="787">
        <v>210</v>
      </c>
      <c r="K64" s="787"/>
      <c r="L64" s="787">
        <v>449</v>
      </c>
      <c r="M64" s="787"/>
      <c r="N64" s="787">
        <v>7.4</v>
      </c>
      <c r="O64" s="787"/>
      <c r="P64" s="668">
        <v>17.369221860582385</v>
      </c>
      <c r="Q64" s="772">
        <f t="shared" si="8"/>
        <v>46.2</v>
      </c>
      <c r="R64" s="432">
        <v>6.5839999999999996</v>
      </c>
      <c r="S64" s="432">
        <v>9.5960000000000001</v>
      </c>
      <c r="T64" s="670">
        <v>155</v>
      </c>
      <c r="U64" s="668">
        <f t="shared" si="10"/>
        <v>23.541919805589309</v>
      </c>
      <c r="V64" s="668">
        <f t="shared" si="7"/>
        <v>31.388078365985834</v>
      </c>
      <c r="W64" s="668">
        <v>0.2</v>
      </c>
      <c r="X64" s="432">
        <f t="shared" si="1"/>
        <v>0.2077056277056277</v>
      </c>
      <c r="Y64" s="432">
        <f t="shared" si="4"/>
        <v>6.4720719999999998</v>
      </c>
      <c r="Z64" s="432">
        <f t="shared" si="4"/>
        <v>9.4328679999999991</v>
      </c>
      <c r="AA64" s="670">
        <f t="shared" si="4"/>
        <v>152.36500000000001</v>
      </c>
      <c r="AB64" s="432">
        <f t="shared" si="5"/>
        <v>23.541919805589309</v>
      </c>
      <c r="AC64" s="670">
        <f t="shared" si="2"/>
        <v>31.388078365985834</v>
      </c>
      <c r="AD64" s="787">
        <v>28</v>
      </c>
      <c r="AE64" s="432">
        <f t="shared" si="11"/>
        <v>181.21801600000001</v>
      </c>
      <c r="AF64" s="449"/>
    </row>
    <row r="65" spans="1:32" ht="18.75" customHeight="1" x14ac:dyDescent="0.2">
      <c r="A65" s="787">
        <v>52</v>
      </c>
      <c r="B65" s="461" t="s">
        <v>169</v>
      </c>
      <c r="C65" s="787" t="s">
        <v>46</v>
      </c>
      <c r="D65" s="787">
        <v>673</v>
      </c>
      <c r="E65" s="787" t="s">
        <v>170</v>
      </c>
      <c r="F65" s="787">
        <v>177.8</v>
      </c>
      <c r="G65" s="787" t="s">
        <v>28</v>
      </c>
      <c r="H65" s="787" t="s">
        <v>52</v>
      </c>
      <c r="I65" s="786">
        <v>541.48</v>
      </c>
      <c r="J65" s="787">
        <v>175</v>
      </c>
      <c r="K65" s="787"/>
      <c r="L65" s="787">
        <v>433</v>
      </c>
      <c r="M65" s="787"/>
      <c r="N65" s="787">
        <v>6.4</v>
      </c>
      <c r="O65" s="787"/>
      <c r="P65" s="668">
        <v>19.064745509485714</v>
      </c>
      <c r="Q65" s="772">
        <f t="shared" si="8"/>
        <v>38.5</v>
      </c>
      <c r="R65" s="432">
        <v>4.4009999999999998</v>
      </c>
      <c r="S65" s="432">
        <v>5.7050000000000001</v>
      </c>
      <c r="T65" s="670">
        <v>105</v>
      </c>
      <c r="U65" s="668">
        <f t="shared" si="10"/>
        <v>23.858214042263125</v>
      </c>
      <c r="V65" s="668">
        <f t="shared" si="7"/>
        <v>22.857142857142861</v>
      </c>
      <c r="W65" s="668">
        <v>0.3</v>
      </c>
      <c r="X65" s="432">
        <f t="shared" si="1"/>
        <v>0.14818181818181819</v>
      </c>
      <c r="Y65" s="432">
        <f t="shared" si="4"/>
        <v>4.3261829999999994</v>
      </c>
      <c r="Z65" s="432">
        <f t="shared" si="4"/>
        <v>5.608015</v>
      </c>
      <c r="AA65" s="670">
        <f t="shared" si="4"/>
        <v>103.215</v>
      </c>
      <c r="AB65" s="432">
        <f t="shared" si="5"/>
        <v>23.858214042263125</v>
      </c>
      <c r="AC65" s="670">
        <f t="shared" si="2"/>
        <v>22.857142857142861</v>
      </c>
      <c r="AD65" s="787">
        <v>28</v>
      </c>
      <c r="AE65" s="432">
        <f>Y65*AD65</f>
        <v>121.13312399999998</v>
      </c>
      <c r="AF65" s="449"/>
    </row>
    <row r="66" spans="1:32" ht="18.75" customHeight="1" x14ac:dyDescent="0.2">
      <c r="A66" s="787">
        <v>53</v>
      </c>
      <c r="B66" s="461" t="s">
        <v>62</v>
      </c>
      <c r="C66" s="787" t="s">
        <v>46</v>
      </c>
      <c r="D66" s="787">
        <v>673.73</v>
      </c>
      <c r="E66" s="787" t="s">
        <v>97</v>
      </c>
      <c r="F66" s="787">
        <v>177.8</v>
      </c>
      <c r="G66" s="787" t="s">
        <v>28</v>
      </c>
      <c r="H66" s="787" t="s">
        <v>218</v>
      </c>
      <c r="I66" s="786">
        <v>543</v>
      </c>
      <c r="J66" s="787">
        <v>235</v>
      </c>
      <c r="K66" s="787"/>
      <c r="L66" s="787">
        <v>446</v>
      </c>
      <c r="M66" s="787"/>
      <c r="N66" s="787">
        <v>8.3000000000000007</v>
      </c>
      <c r="O66" s="787"/>
      <c r="P66" s="668">
        <v>19.11661869529409</v>
      </c>
      <c r="Q66" s="772">
        <f t="shared" si="8"/>
        <v>75.2</v>
      </c>
      <c r="R66" s="432">
        <v>7.29</v>
      </c>
      <c r="S66" s="432">
        <v>8.9469999999999992</v>
      </c>
      <c r="T66" s="670">
        <v>732</v>
      </c>
      <c r="U66" s="668">
        <f t="shared" si="0"/>
        <v>100.41152263374485</v>
      </c>
      <c r="V66" s="668">
        <f t="shared" si="7"/>
        <v>18.520174360120702</v>
      </c>
      <c r="W66" s="668">
        <v>0.3</v>
      </c>
      <c r="X66" s="432">
        <f t="shared" si="1"/>
        <v>0.11897606382978722</v>
      </c>
      <c r="Y66" s="432">
        <f t="shared" si="4"/>
        <v>7.1660699999999995</v>
      </c>
      <c r="Z66" s="432">
        <f t="shared" si="4"/>
        <v>8.7949009999999994</v>
      </c>
      <c r="AA66" s="670">
        <f t="shared" si="4"/>
        <v>719.55600000000004</v>
      </c>
      <c r="AB66" s="432">
        <f t="shared" si="5"/>
        <v>100.41152263374485</v>
      </c>
      <c r="AC66" s="670">
        <f t="shared" si="2"/>
        <v>18.520174360120702</v>
      </c>
      <c r="AD66" s="787">
        <v>28</v>
      </c>
      <c r="AE66" s="432">
        <f t="shared" si="11"/>
        <v>200.64995999999999</v>
      </c>
      <c r="AF66" s="669"/>
    </row>
    <row r="67" spans="1:32" ht="18.75" customHeight="1" x14ac:dyDescent="0.2">
      <c r="A67" s="787">
        <v>54</v>
      </c>
      <c r="B67" s="461" t="s">
        <v>157</v>
      </c>
      <c r="C67" s="787" t="s">
        <v>46</v>
      </c>
      <c r="D67" s="787">
        <v>676.73</v>
      </c>
      <c r="E67" s="787" t="s">
        <v>179</v>
      </c>
      <c r="F67" s="787">
        <v>177.8</v>
      </c>
      <c r="G67" s="787" t="s">
        <v>28</v>
      </c>
      <c r="H67" s="787" t="s">
        <v>218</v>
      </c>
      <c r="I67" s="786">
        <v>579.14</v>
      </c>
      <c r="J67" s="787">
        <v>160</v>
      </c>
      <c r="K67" s="787"/>
      <c r="L67" s="787">
        <v>158</v>
      </c>
      <c r="M67" s="787"/>
      <c r="N67" s="787">
        <v>8.6</v>
      </c>
      <c r="O67" s="787"/>
      <c r="P67" s="668">
        <v>45.836392808777909</v>
      </c>
      <c r="Q67" s="772">
        <f t="shared" si="8"/>
        <v>51.2</v>
      </c>
      <c r="R67" s="432">
        <v>17.853999999999999</v>
      </c>
      <c r="S67" s="432">
        <v>41.975999999999999</v>
      </c>
      <c r="T67" s="670">
        <v>178</v>
      </c>
      <c r="U67" s="668">
        <f t="shared" si="0"/>
        <v>9.969754676823122</v>
      </c>
      <c r="V67" s="668">
        <f t="shared" si="7"/>
        <v>57.466171145416432</v>
      </c>
      <c r="W67" s="668">
        <v>0.2</v>
      </c>
      <c r="X67" s="432">
        <f t="shared" si="1"/>
        <v>0.81984374999999998</v>
      </c>
      <c r="Y67" s="432">
        <f t="shared" si="4"/>
        <v>17.550481999999999</v>
      </c>
      <c r="Z67" s="432">
        <f t="shared" si="4"/>
        <v>41.262408000000001</v>
      </c>
      <c r="AA67" s="670">
        <f t="shared" si="4"/>
        <v>174.97399999999999</v>
      </c>
      <c r="AB67" s="432">
        <f t="shared" si="5"/>
        <v>9.969754676823122</v>
      </c>
      <c r="AC67" s="670">
        <f t="shared" si="2"/>
        <v>57.466171145416432</v>
      </c>
      <c r="AD67" s="787">
        <v>28</v>
      </c>
      <c r="AE67" s="432">
        <f t="shared" si="11"/>
        <v>491.41349599999995</v>
      </c>
      <c r="AF67" s="676"/>
    </row>
    <row r="68" spans="1:32" ht="18.75" customHeight="1" x14ac:dyDescent="0.2">
      <c r="A68" s="787">
        <v>55</v>
      </c>
      <c r="B68" s="461" t="s">
        <v>159</v>
      </c>
      <c r="C68" s="787" t="s">
        <v>46</v>
      </c>
      <c r="D68" s="787">
        <v>676</v>
      </c>
      <c r="E68" s="787" t="s">
        <v>167</v>
      </c>
      <c r="F68" s="787">
        <v>177.8</v>
      </c>
      <c r="G68" s="787" t="s">
        <v>28</v>
      </c>
      <c r="H68" s="787" t="s">
        <v>218</v>
      </c>
      <c r="I68" s="786">
        <v>508.57</v>
      </c>
      <c r="J68" s="787">
        <v>410</v>
      </c>
      <c r="K68" s="787"/>
      <c r="L68" s="787">
        <v>476</v>
      </c>
      <c r="M68" s="787"/>
      <c r="N68" s="787">
        <v>9.1</v>
      </c>
      <c r="O68" s="787"/>
      <c r="P68" s="668">
        <v>13.11404403736158</v>
      </c>
      <c r="Q68" s="772">
        <f t="shared" si="8"/>
        <v>131.19999999999999</v>
      </c>
      <c r="R68" s="432">
        <v>21.904</v>
      </c>
      <c r="S68" s="432">
        <v>25.420999999999999</v>
      </c>
      <c r="T68" s="670">
        <v>517.6</v>
      </c>
      <c r="U68" s="668">
        <f t="shared" si="0"/>
        <v>23.630387143900659</v>
      </c>
      <c r="V68" s="668">
        <f t="shared" si="7"/>
        <v>13.835018291963335</v>
      </c>
      <c r="W68" s="668">
        <v>0.2</v>
      </c>
      <c r="X68" s="432">
        <f t="shared" si="1"/>
        <v>0.19375762195121951</v>
      </c>
      <c r="Y68" s="432">
        <f t="shared" si="4"/>
        <v>21.531631999999998</v>
      </c>
      <c r="Z68" s="432">
        <f t="shared" si="4"/>
        <v>24.988842999999999</v>
      </c>
      <c r="AA68" s="670">
        <f t="shared" si="4"/>
        <v>508.80080000000004</v>
      </c>
      <c r="AB68" s="432">
        <f t="shared" si="5"/>
        <v>23.630387143900659</v>
      </c>
      <c r="AC68" s="670">
        <f t="shared" si="2"/>
        <v>13.835018291963335</v>
      </c>
      <c r="AD68" s="787">
        <v>28</v>
      </c>
      <c r="AE68" s="432">
        <f t="shared" si="11"/>
        <v>602.88569599999994</v>
      </c>
      <c r="AF68" s="669"/>
    </row>
    <row r="69" spans="1:32" ht="18.75" customHeight="1" x14ac:dyDescent="0.2">
      <c r="A69" s="787">
        <v>56</v>
      </c>
      <c r="B69" s="461" t="s">
        <v>330</v>
      </c>
      <c r="C69" s="787" t="s">
        <v>46</v>
      </c>
      <c r="D69" s="787">
        <v>595</v>
      </c>
      <c r="E69" s="787" t="s">
        <v>367</v>
      </c>
      <c r="F69" s="787">
        <v>178.8</v>
      </c>
      <c r="G69" s="787" t="s">
        <v>28</v>
      </c>
      <c r="H69" s="241" t="s">
        <v>366</v>
      </c>
      <c r="I69" s="786">
        <v>505</v>
      </c>
      <c r="J69" s="787">
        <v>280</v>
      </c>
      <c r="K69" s="787"/>
      <c r="L69" s="787">
        <v>381</v>
      </c>
      <c r="M69" s="787"/>
      <c r="N69" s="787">
        <v>12</v>
      </c>
      <c r="O69" s="787"/>
      <c r="P69" s="668">
        <v>24.234427552447318</v>
      </c>
      <c r="Q69" s="772">
        <f>(33*J69)/100</f>
        <v>92.4</v>
      </c>
      <c r="R69" s="432">
        <v>27.167000000000002</v>
      </c>
      <c r="S69" s="432">
        <v>30.95</v>
      </c>
      <c r="T69" s="670">
        <v>704</v>
      </c>
      <c r="U69" s="668">
        <f t="shared" si="0"/>
        <v>25.913792468804061</v>
      </c>
      <c r="V69" s="668">
        <f t="shared" si="7"/>
        <v>12.222940226171236</v>
      </c>
      <c r="W69" s="668">
        <v>0.3</v>
      </c>
      <c r="X69" s="432">
        <f t="shared" si="1"/>
        <v>0.33495670995670995</v>
      </c>
      <c r="Y69" s="432">
        <f t="shared" si="4"/>
        <v>26.705161</v>
      </c>
      <c r="Z69" s="432">
        <f t="shared" si="4"/>
        <v>30.423849999999998</v>
      </c>
      <c r="AA69" s="670">
        <f t="shared" si="4"/>
        <v>692.03200000000004</v>
      </c>
      <c r="AB69" s="432">
        <v>20</v>
      </c>
      <c r="AC69" s="670">
        <v>17</v>
      </c>
      <c r="AD69" s="787">
        <v>28</v>
      </c>
      <c r="AE69" s="432">
        <f t="shared" si="11"/>
        <v>747.744508</v>
      </c>
      <c r="AF69" s="669"/>
    </row>
    <row r="70" spans="1:32" ht="18.75" customHeight="1" x14ac:dyDescent="0.2">
      <c r="A70" s="787">
        <v>57</v>
      </c>
      <c r="B70" s="461" t="s">
        <v>210</v>
      </c>
      <c r="C70" s="787" t="s">
        <v>46</v>
      </c>
      <c r="D70" s="787">
        <v>728.32</v>
      </c>
      <c r="E70" s="787" t="s">
        <v>226</v>
      </c>
      <c r="F70" s="787">
        <v>177.8</v>
      </c>
      <c r="G70" s="787" t="s">
        <v>28</v>
      </c>
      <c r="H70" s="787" t="s">
        <v>218</v>
      </c>
      <c r="I70" s="786">
        <v>519.38</v>
      </c>
      <c r="J70" s="787">
        <v>150</v>
      </c>
      <c r="K70" s="787"/>
      <c r="L70" s="787">
        <v>197</v>
      </c>
      <c r="M70" s="787"/>
      <c r="N70" s="787">
        <v>12</v>
      </c>
      <c r="O70" s="787"/>
      <c r="P70" s="668">
        <v>44.253544623671672</v>
      </c>
      <c r="Q70" s="772">
        <f t="shared" si="8"/>
        <v>48</v>
      </c>
      <c r="R70" s="432">
        <v>14.609</v>
      </c>
      <c r="S70" s="432">
        <v>35.017000000000003</v>
      </c>
      <c r="T70" s="670">
        <v>218</v>
      </c>
      <c r="U70" s="668">
        <f t="shared" si="0"/>
        <v>14.922308166198919</v>
      </c>
      <c r="V70" s="668">
        <f t="shared" si="7"/>
        <v>58.280263871833682</v>
      </c>
      <c r="W70" s="668">
        <v>0.3</v>
      </c>
      <c r="X70" s="432">
        <f t="shared" si="1"/>
        <v>0.7295208333333334</v>
      </c>
      <c r="Y70" s="432">
        <f t="shared" si="4"/>
        <v>14.360647</v>
      </c>
      <c r="Z70" s="432">
        <f t="shared" si="4"/>
        <v>34.421711000000002</v>
      </c>
      <c r="AA70" s="670">
        <f t="shared" si="4"/>
        <v>214.29399999999998</v>
      </c>
      <c r="AB70" s="432">
        <f t="shared" si="5"/>
        <v>14.922308166198919</v>
      </c>
      <c r="AC70" s="670">
        <f t="shared" si="2"/>
        <v>58.280263871833682</v>
      </c>
      <c r="AD70" s="787">
        <v>28</v>
      </c>
      <c r="AE70" s="432">
        <f t="shared" si="11"/>
        <v>402.098116</v>
      </c>
      <c r="AF70" s="449"/>
    </row>
    <row r="71" spans="1:32" ht="18.75" customHeight="1" x14ac:dyDescent="0.2">
      <c r="A71" s="787">
        <v>58</v>
      </c>
      <c r="B71" s="461" t="s">
        <v>63</v>
      </c>
      <c r="C71" s="787" t="s">
        <v>46</v>
      </c>
      <c r="D71" s="787">
        <v>672.99</v>
      </c>
      <c r="E71" s="787" t="s">
        <v>98</v>
      </c>
      <c r="F71" s="787">
        <v>177.8</v>
      </c>
      <c r="G71" s="787" t="s">
        <v>28</v>
      </c>
      <c r="H71" s="787" t="s">
        <v>310</v>
      </c>
      <c r="I71" s="786">
        <v>536.32000000000005</v>
      </c>
      <c r="J71" s="787">
        <v>290</v>
      </c>
      <c r="K71" s="787"/>
      <c r="L71" s="787">
        <v>382</v>
      </c>
      <c r="M71" s="787"/>
      <c r="N71" s="787">
        <v>9</v>
      </c>
      <c r="O71" s="787"/>
      <c r="P71" s="668">
        <v>25.308912434533777</v>
      </c>
      <c r="Q71" s="772">
        <f t="shared" si="8"/>
        <v>63.8</v>
      </c>
      <c r="R71" s="432">
        <v>12.711</v>
      </c>
      <c r="S71" s="432">
        <v>16.413</v>
      </c>
      <c r="T71" s="670">
        <v>1224</v>
      </c>
      <c r="U71" s="668">
        <f t="shared" si="0"/>
        <v>96.294548029265982</v>
      </c>
      <c r="V71" s="668">
        <f t="shared" si="7"/>
        <v>22.555291537196123</v>
      </c>
      <c r="W71" s="668">
        <v>0.2</v>
      </c>
      <c r="X71" s="432">
        <f t="shared" si="1"/>
        <v>0.25725705329153609</v>
      </c>
      <c r="Y71" s="432">
        <f t="shared" si="4"/>
        <v>12.494913</v>
      </c>
      <c r="Z71" s="432">
        <f t="shared" si="4"/>
        <v>16.133979</v>
      </c>
      <c r="AA71" s="670">
        <f t="shared" si="4"/>
        <v>1203.192</v>
      </c>
      <c r="AB71" s="432">
        <f t="shared" si="5"/>
        <v>96.294548029265982</v>
      </c>
      <c r="AC71" s="670">
        <f t="shared" si="2"/>
        <v>22.555291537196123</v>
      </c>
      <c r="AD71" s="787">
        <v>28</v>
      </c>
      <c r="AE71" s="432">
        <f t="shared" si="11"/>
        <v>349.85756400000002</v>
      </c>
      <c r="AF71" s="449"/>
    </row>
    <row r="72" spans="1:32" ht="18.75" customHeight="1" x14ac:dyDescent="0.2">
      <c r="A72" s="787">
        <v>59</v>
      </c>
      <c r="B72" s="461" t="s">
        <v>217</v>
      </c>
      <c r="C72" s="787" t="s">
        <v>46</v>
      </c>
      <c r="D72" s="787">
        <v>684.57</v>
      </c>
      <c r="E72" s="787" t="s">
        <v>359</v>
      </c>
      <c r="F72" s="787">
        <v>177.8</v>
      </c>
      <c r="G72" s="787" t="s">
        <v>28</v>
      </c>
      <c r="H72" s="787" t="s">
        <v>219</v>
      </c>
      <c r="I72" s="786">
        <v>555.95000000000005</v>
      </c>
      <c r="J72" s="787">
        <v>300</v>
      </c>
      <c r="K72" s="787"/>
      <c r="L72" s="787">
        <v>372</v>
      </c>
      <c r="M72" s="787"/>
      <c r="N72" s="787">
        <v>11.1</v>
      </c>
      <c r="O72" s="787"/>
      <c r="P72" s="668">
        <v>30.813366162190508</v>
      </c>
      <c r="Q72" s="772">
        <f t="shared" si="8"/>
        <v>36</v>
      </c>
      <c r="R72" s="432">
        <v>2.7530000000000001</v>
      </c>
      <c r="S72" s="432">
        <v>11.975</v>
      </c>
      <c r="T72" s="670">
        <v>21.7</v>
      </c>
      <c r="U72" s="668">
        <f t="shared" si="0"/>
        <v>7.8823102070468574</v>
      </c>
      <c r="V72" s="668">
        <f t="shared" si="7"/>
        <v>77.010438413361172</v>
      </c>
      <c r="W72" s="668">
        <v>0.3</v>
      </c>
      <c r="X72" s="432">
        <f t="shared" si="1"/>
        <v>0.33263888888888887</v>
      </c>
      <c r="Y72" s="432">
        <f t="shared" si="4"/>
        <v>2.7061990000000002</v>
      </c>
      <c r="Z72" s="432">
        <f t="shared" si="4"/>
        <v>11.771424999999999</v>
      </c>
      <c r="AA72" s="670">
        <f t="shared" si="4"/>
        <v>21.331099999999999</v>
      </c>
      <c r="AB72" s="432">
        <f t="shared" si="5"/>
        <v>7.8823102070468574</v>
      </c>
      <c r="AC72" s="670">
        <f t="shared" si="2"/>
        <v>77.010438413361172</v>
      </c>
      <c r="AD72" s="787">
        <v>28</v>
      </c>
      <c r="AE72" s="432">
        <f t="shared" si="11"/>
        <v>75.773572000000001</v>
      </c>
      <c r="AF72" s="449"/>
    </row>
    <row r="73" spans="1:32" ht="18.75" customHeight="1" x14ac:dyDescent="0.2">
      <c r="A73" s="787">
        <v>60</v>
      </c>
      <c r="B73" s="461" t="s">
        <v>211</v>
      </c>
      <c r="C73" s="787" t="s">
        <v>46</v>
      </c>
      <c r="D73" s="787">
        <v>675.29</v>
      </c>
      <c r="E73" s="787" t="s">
        <v>224</v>
      </c>
      <c r="F73" s="787">
        <v>177.8</v>
      </c>
      <c r="G73" s="787" t="s">
        <v>28</v>
      </c>
      <c r="H73" s="787" t="s">
        <v>384</v>
      </c>
      <c r="I73" s="786">
        <v>554.95999999999981</v>
      </c>
      <c r="J73" s="787">
        <v>170</v>
      </c>
      <c r="K73" s="787"/>
      <c r="L73" s="787">
        <v>428</v>
      </c>
      <c r="M73" s="787"/>
      <c r="N73" s="787">
        <v>1.6</v>
      </c>
      <c r="O73" s="787"/>
      <c r="P73" s="668">
        <v>15.679879153069709</v>
      </c>
      <c r="Q73" s="772">
        <f>(22*J73)/100</f>
        <v>37.4</v>
      </c>
      <c r="R73" s="432">
        <v>2.9990000000000001</v>
      </c>
      <c r="S73" s="432">
        <v>5.5910000000000002</v>
      </c>
      <c r="T73" s="670">
        <v>69</v>
      </c>
      <c r="U73" s="668">
        <f t="shared" si="0"/>
        <v>23.007669223074359</v>
      </c>
      <c r="V73" s="668">
        <f t="shared" si="7"/>
        <v>46.360221785011625</v>
      </c>
      <c r="W73" s="668">
        <v>0.4</v>
      </c>
      <c r="X73" s="432">
        <f t="shared" si="1"/>
        <v>0.14949197860962568</v>
      </c>
      <c r="Y73" s="432">
        <f t="shared" si="4"/>
        <v>2.9480170000000001</v>
      </c>
      <c r="Z73" s="432">
        <f t="shared" si="4"/>
        <v>5.4959530000000001</v>
      </c>
      <c r="AA73" s="670">
        <f t="shared" si="4"/>
        <v>67.826999999999998</v>
      </c>
      <c r="AB73" s="432">
        <f t="shared" si="5"/>
        <v>23.007669223074359</v>
      </c>
      <c r="AC73" s="670">
        <f t="shared" si="2"/>
        <v>46.360221785011625</v>
      </c>
      <c r="AD73" s="787">
        <v>28</v>
      </c>
      <c r="AE73" s="432">
        <f t="shared" si="11"/>
        <v>82.544476000000003</v>
      </c>
      <c r="AF73" s="449"/>
    </row>
    <row r="74" spans="1:32" ht="18.75" customHeight="1" x14ac:dyDescent="0.2">
      <c r="A74" s="787">
        <v>61</v>
      </c>
      <c r="B74" s="461" t="s">
        <v>341</v>
      </c>
      <c r="C74" s="787" t="s">
        <v>46</v>
      </c>
      <c r="D74" s="787">
        <v>683.16</v>
      </c>
      <c r="E74" s="787" t="s">
        <v>343</v>
      </c>
      <c r="F74" s="787">
        <v>177.8</v>
      </c>
      <c r="G74" s="787" t="s">
        <v>28</v>
      </c>
      <c r="H74" s="766" t="s">
        <v>342</v>
      </c>
      <c r="I74" s="786">
        <v>571.9</v>
      </c>
      <c r="J74" s="787">
        <v>215</v>
      </c>
      <c r="K74" s="787"/>
      <c r="L74" s="787">
        <v>422</v>
      </c>
      <c r="M74" s="787"/>
      <c r="N74" s="787">
        <v>10.199999999999999</v>
      </c>
      <c r="O74" s="787"/>
      <c r="P74" s="668">
        <v>21.526576411919642</v>
      </c>
      <c r="Q74" s="772">
        <f>(20*J74)/100</f>
        <v>43</v>
      </c>
      <c r="R74" s="432">
        <v>22.431999999999999</v>
      </c>
      <c r="S74" s="432">
        <v>34.299999999999997</v>
      </c>
      <c r="T74" s="670">
        <v>431.9</v>
      </c>
      <c r="U74" s="668">
        <f t="shared" si="0"/>
        <v>19.253744650499286</v>
      </c>
      <c r="V74" s="668">
        <f t="shared" si="7"/>
        <v>34.600583090379004</v>
      </c>
      <c r="W74" s="668">
        <v>0.2</v>
      </c>
      <c r="X74" s="432">
        <f t="shared" si="1"/>
        <v>0.79767441860465105</v>
      </c>
      <c r="Y74" s="432">
        <f t="shared" si="4"/>
        <v>22.050656</v>
      </c>
      <c r="Z74" s="432">
        <f t="shared" si="4"/>
        <v>33.716899999999995</v>
      </c>
      <c r="AA74" s="670">
        <f t="shared" si="4"/>
        <v>424.55769999999995</v>
      </c>
      <c r="AB74" s="432">
        <f t="shared" si="5"/>
        <v>19.253744650499286</v>
      </c>
      <c r="AC74" s="670">
        <f t="shared" si="2"/>
        <v>34.600583090379004</v>
      </c>
      <c r="AD74" s="787">
        <v>28</v>
      </c>
      <c r="AE74" s="432">
        <f t="shared" si="11"/>
        <v>617.41836799999999</v>
      </c>
      <c r="AF74" s="449"/>
    </row>
    <row r="75" spans="1:32" ht="18.75" customHeight="1" x14ac:dyDescent="0.3">
      <c r="A75" s="787">
        <v>62</v>
      </c>
      <c r="B75" s="461" t="s">
        <v>354</v>
      </c>
      <c r="C75" s="787" t="s">
        <v>46</v>
      </c>
      <c r="D75" s="787">
        <v>634.29</v>
      </c>
      <c r="E75" s="656" t="s">
        <v>356</v>
      </c>
      <c r="F75" s="787">
        <v>178.8</v>
      </c>
      <c r="G75" s="787" t="s">
        <v>28</v>
      </c>
      <c r="H75" s="241" t="s">
        <v>366</v>
      </c>
      <c r="I75" s="786">
        <v>540.14</v>
      </c>
      <c r="J75" s="787">
        <v>120</v>
      </c>
      <c r="K75" s="787"/>
      <c r="L75" s="787">
        <v>311</v>
      </c>
      <c r="M75" s="787"/>
      <c r="N75" s="787">
        <v>12.6</v>
      </c>
      <c r="O75" s="787"/>
      <c r="P75" s="668">
        <v>35.080070806708726</v>
      </c>
      <c r="Q75" s="772">
        <f>(33*J75)/100</f>
        <v>39.6</v>
      </c>
      <c r="R75" s="432">
        <v>22.145</v>
      </c>
      <c r="S75" s="432">
        <v>35.448</v>
      </c>
      <c r="T75" s="670">
        <v>100</v>
      </c>
      <c r="U75" s="668">
        <f t="shared" si="0"/>
        <v>4.5156920298035672</v>
      </c>
      <c r="V75" s="668">
        <f t="shared" si="7"/>
        <v>37.528210336267207</v>
      </c>
      <c r="W75" s="668">
        <v>0.3</v>
      </c>
      <c r="X75" s="432">
        <f t="shared" si="1"/>
        <v>0.89515151515151514</v>
      </c>
      <c r="Y75" s="432">
        <f t="shared" si="4"/>
        <v>21.768535</v>
      </c>
      <c r="Z75" s="432">
        <f t="shared" si="4"/>
        <v>34.845384000000003</v>
      </c>
      <c r="AA75" s="670">
        <f t="shared" si="4"/>
        <v>98.3</v>
      </c>
      <c r="AB75" s="432">
        <f t="shared" si="5"/>
        <v>4.5156920298035672</v>
      </c>
      <c r="AC75" s="670">
        <f t="shared" si="2"/>
        <v>37.528210336267207</v>
      </c>
      <c r="AD75" s="787">
        <v>28</v>
      </c>
      <c r="AE75" s="432">
        <f t="shared" si="11"/>
        <v>609.51898000000006</v>
      </c>
      <c r="AF75" s="449"/>
    </row>
    <row r="76" spans="1:32" ht="18.75" customHeight="1" x14ac:dyDescent="0.2">
      <c r="A76" s="787">
        <v>63</v>
      </c>
      <c r="B76" s="461" t="s">
        <v>213</v>
      </c>
      <c r="C76" s="787" t="s">
        <v>46</v>
      </c>
      <c r="D76" s="787">
        <v>679.2</v>
      </c>
      <c r="E76" s="787" t="s">
        <v>225</v>
      </c>
      <c r="F76" s="787">
        <v>177.8</v>
      </c>
      <c r="G76" s="787" t="s">
        <v>28</v>
      </c>
      <c r="H76" s="787" t="s">
        <v>48</v>
      </c>
      <c r="I76" s="786">
        <v>559.19000000000005</v>
      </c>
      <c r="J76" s="787">
        <v>130</v>
      </c>
      <c r="K76" s="787"/>
      <c r="L76" s="787">
        <v>435</v>
      </c>
      <c r="M76" s="787"/>
      <c r="N76" s="787">
        <v>1.7</v>
      </c>
      <c r="O76" s="787"/>
      <c r="P76" s="668">
        <v>15.270590481477031</v>
      </c>
      <c r="Q76" s="772">
        <f t="shared" si="8"/>
        <v>16.899999999999999</v>
      </c>
      <c r="R76" s="432">
        <v>1.643</v>
      </c>
      <c r="S76" s="432">
        <v>5.0359999999999996</v>
      </c>
      <c r="T76" s="670">
        <v>0.5</v>
      </c>
      <c r="U76" s="668">
        <f t="shared" si="0"/>
        <v>0.30432136335970783</v>
      </c>
      <c r="V76" s="668">
        <f t="shared" si="7"/>
        <v>67.374900714853055</v>
      </c>
      <c r="W76" s="668">
        <v>0.3</v>
      </c>
      <c r="X76" s="432">
        <f t="shared" si="1"/>
        <v>0.29798816568047337</v>
      </c>
      <c r="Y76" s="432">
        <f t="shared" si="4"/>
        <v>1.6150690000000001</v>
      </c>
      <c r="Z76" s="432">
        <f t="shared" si="4"/>
        <v>4.9503879999999993</v>
      </c>
      <c r="AA76" s="670">
        <f t="shared" si="4"/>
        <v>0.49149999999999999</v>
      </c>
      <c r="AB76" s="432">
        <f t="shared" si="5"/>
        <v>0.30432136335970783</v>
      </c>
      <c r="AC76" s="670">
        <f t="shared" si="2"/>
        <v>67.374900714853055</v>
      </c>
      <c r="AD76" s="787">
        <v>28</v>
      </c>
      <c r="AE76" s="432">
        <f t="shared" si="11"/>
        <v>45.221932000000002</v>
      </c>
      <c r="AF76" s="449"/>
    </row>
    <row r="77" spans="1:32" ht="18.75" customHeight="1" x14ac:dyDescent="0.2">
      <c r="A77" s="787">
        <v>64</v>
      </c>
      <c r="B77" s="461" t="s">
        <v>172</v>
      </c>
      <c r="C77" s="787" t="s">
        <v>46</v>
      </c>
      <c r="D77" s="787">
        <v>673</v>
      </c>
      <c r="E77" s="787" t="s">
        <v>173</v>
      </c>
      <c r="F77" s="787">
        <v>177.8</v>
      </c>
      <c r="G77" s="787" t="s">
        <v>28</v>
      </c>
      <c r="H77" s="787" t="s">
        <v>50</v>
      </c>
      <c r="I77" s="786">
        <v>560.79</v>
      </c>
      <c r="J77" s="787">
        <v>365</v>
      </c>
      <c r="K77" s="787"/>
      <c r="L77" s="787">
        <v>297</v>
      </c>
      <c r="M77" s="787"/>
      <c r="N77" s="787">
        <v>8.1</v>
      </c>
      <c r="O77" s="787"/>
      <c r="P77" s="448">
        <v>35.664176013005623</v>
      </c>
      <c r="Q77" s="772">
        <f>LEFT(H77,(FIND("K",H77,1)-1))*J77/100</f>
        <v>21.9</v>
      </c>
      <c r="R77" s="432">
        <v>0.32300000000000001</v>
      </c>
      <c r="S77" s="432">
        <v>3.5569999999999999</v>
      </c>
      <c r="T77" s="670">
        <v>4.2</v>
      </c>
      <c r="U77" s="668">
        <f t="shared" si="0"/>
        <v>13.003095975232199</v>
      </c>
      <c r="V77" s="668">
        <f t="shared" si="7"/>
        <v>90.919314028675842</v>
      </c>
      <c r="W77" s="668">
        <v>0.2</v>
      </c>
      <c r="X77" s="432">
        <f t="shared" si="1"/>
        <v>0.16242009132420093</v>
      </c>
      <c r="Y77" s="432">
        <f t="shared" si="4"/>
        <v>0.31750899999999999</v>
      </c>
      <c r="Z77" s="432">
        <f t="shared" si="4"/>
        <v>3.4965310000000001</v>
      </c>
      <c r="AA77" s="670">
        <f t="shared" si="4"/>
        <v>4.1286000000000005</v>
      </c>
      <c r="AB77" s="432">
        <f t="shared" si="5"/>
        <v>13.003095975232199</v>
      </c>
      <c r="AC77" s="670">
        <f t="shared" si="2"/>
        <v>90.919314028675842</v>
      </c>
      <c r="AD77" s="787">
        <v>28</v>
      </c>
      <c r="AE77" s="432">
        <f>Y77*AD77</f>
        <v>8.8902520000000003</v>
      </c>
      <c r="AF77" s="449"/>
    </row>
    <row r="78" spans="1:32" ht="18.75" customHeight="1" x14ac:dyDescent="0.2">
      <c r="A78" s="787">
        <v>65</v>
      </c>
      <c r="B78" s="461" t="s">
        <v>171</v>
      </c>
      <c r="C78" s="787" t="s">
        <v>46</v>
      </c>
      <c r="D78" s="786">
        <v>646</v>
      </c>
      <c r="E78" s="786" t="s">
        <v>191</v>
      </c>
      <c r="F78" s="787">
        <v>177.8</v>
      </c>
      <c r="G78" s="787"/>
      <c r="H78" s="787"/>
      <c r="I78" s="786">
        <v>9.5</v>
      </c>
      <c r="J78" s="786"/>
      <c r="K78" s="786">
        <v>260</v>
      </c>
      <c r="L78" s="786"/>
      <c r="M78" s="786">
        <v>0.4</v>
      </c>
      <c r="N78" s="787"/>
      <c r="O78" s="786"/>
      <c r="P78" s="668"/>
      <c r="Q78" s="771"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si="4"/>
        <v>0</v>
      </c>
      <c r="Z78" s="432">
        <f t="shared" si="4"/>
        <v>0</v>
      </c>
      <c r="AA78" s="670">
        <f t="shared" si="4"/>
        <v>0</v>
      </c>
      <c r="AB78" s="432">
        <f t="shared" si="5"/>
        <v>0</v>
      </c>
      <c r="AC78" s="432">
        <f t="shared" si="2"/>
        <v>0</v>
      </c>
      <c r="AD78" s="787">
        <v>28</v>
      </c>
      <c r="AE78" s="432">
        <f>Y78*AD78</f>
        <v>0</v>
      </c>
      <c r="AF78" s="669" t="s">
        <v>418</v>
      </c>
    </row>
    <row r="79" spans="1:32" ht="18.75" customHeight="1" x14ac:dyDescent="0.2">
      <c r="A79" s="677"/>
      <c r="B79" s="787"/>
      <c r="C79" s="787"/>
      <c r="D79" s="786"/>
      <c r="E79" s="786"/>
      <c r="F79" s="461"/>
      <c r="G79" s="787"/>
      <c r="H79" s="787"/>
      <c r="I79" s="786"/>
      <c r="J79" s="786"/>
      <c r="K79" s="786"/>
      <c r="L79" s="786"/>
      <c r="M79" s="786"/>
      <c r="N79" s="787"/>
      <c r="O79" s="786"/>
      <c r="P79" s="668"/>
      <c r="Q79" s="771"/>
      <c r="R79" s="466">
        <f>SUM(R14:R78)</f>
        <v>375.53399999999993</v>
      </c>
      <c r="S79" s="466">
        <f>SUM(S14:S78)</f>
        <v>722.11699999999996</v>
      </c>
      <c r="T79" s="512">
        <f>SUM(T14:T78)</f>
        <v>11511.100000000002</v>
      </c>
      <c r="U79" s="466">
        <f>T79/R79</f>
        <v>30.652617339575123</v>
      </c>
      <c r="V79" s="466"/>
      <c r="W79" s="466"/>
      <c r="X79" s="466"/>
      <c r="Y79" s="466">
        <f>SUM(Y14:Y78)</f>
        <v>369.14992199999995</v>
      </c>
      <c r="Z79" s="466">
        <f>SUM(Z14:Z78)</f>
        <v>709.84101099999987</v>
      </c>
      <c r="AA79" s="678">
        <f>SUM(AA14:AA78)</f>
        <v>11315.4113</v>
      </c>
      <c r="AB79" s="466">
        <f>AA79/Y79</f>
        <v>30.652617339575116</v>
      </c>
      <c r="AC79" s="466"/>
      <c r="AD79" s="783"/>
      <c r="AE79" s="466">
        <f>SUM(AE14:AE78)</f>
        <v>10336.197816</v>
      </c>
      <c r="AF79" s="669"/>
    </row>
    <row r="80" spans="1:32" ht="18.75" customHeight="1" x14ac:dyDescent="0.2">
      <c r="A80" s="677"/>
      <c r="B80" s="787"/>
      <c r="C80" s="787"/>
      <c r="D80" s="786"/>
      <c r="E80" s="786"/>
      <c r="F80" s="461"/>
      <c r="G80" s="787"/>
      <c r="H80" s="787"/>
      <c r="I80" s="786"/>
      <c r="J80" s="786"/>
      <c r="K80" s="786"/>
      <c r="L80" s="786"/>
      <c r="M80" s="786"/>
      <c r="N80" s="787"/>
      <c r="O80" s="786"/>
      <c r="P80" s="668"/>
      <c r="Q80" s="771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783"/>
      <c r="AE80" s="466"/>
      <c r="AF80" s="669"/>
    </row>
    <row r="81" spans="1:32" ht="18.75" customHeight="1" x14ac:dyDescent="0.2">
      <c r="A81" s="677"/>
      <c r="B81" s="787"/>
      <c r="C81" s="787"/>
      <c r="D81" s="786"/>
      <c r="E81" s="778" t="s">
        <v>388</v>
      </c>
      <c r="F81" s="461"/>
      <c r="G81" s="787"/>
      <c r="H81" s="787"/>
      <c r="I81" s="786"/>
      <c r="J81" s="786"/>
      <c r="K81" s="786"/>
      <c r="L81" s="786"/>
      <c r="M81" s="786"/>
      <c r="N81" s="787"/>
      <c r="O81" s="786"/>
      <c r="P81" s="668"/>
      <c r="Q81" s="771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783"/>
      <c r="AE81" s="466"/>
      <c r="AF81" s="669"/>
    </row>
    <row r="82" spans="1:32" ht="18.75" customHeight="1" x14ac:dyDescent="0.2">
      <c r="A82" s="787">
        <v>66</v>
      </c>
      <c r="B82" s="461" t="s">
        <v>423</v>
      </c>
      <c r="C82" s="787" t="s">
        <v>295</v>
      </c>
      <c r="D82" s="786"/>
      <c r="E82" s="778"/>
      <c r="F82" s="461"/>
      <c r="G82" s="787"/>
      <c r="H82" s="787"/>
      <c r="I82" s="786"/>
      <c r="J82" s="786"/>
      <c r="K82" s="786"/>
      <c r="L82" s="786"/>
      <c r="M82" s="786"/>
      <c r="N82" s="787"/>
      <c r="O82" s="786"/>
      <c r="P82" s="668"/>
      <c r="Q82" s="771"/>
      <c r="R82" s="466"/>
      <c r="S82" s="466"/>
      <c r="T82" s="512"/>
      <c r="U82" s="466"/>
      <c r="V82" s="466"/>
      <c r="W82" s="466"/>
      <c r="X82" s="466"/>
      <c r="Y82" s="466">
        <v>8</v>
      </c>
      <c r="Z82" s="708"/>
      <c r="AA82" s="678"/>
      <c r="AB82" s="466"/>
      <c r="AC82" s="466"/>
      <c r="AD82" s="783"/>
      <c r="AE82" s="466"/>
      <c r="AF82" s="669" t="s">
        <v>425</v>
      </c>
    </row>
    <row r="83" spans="1:32" ht="18.75" customHeight="1" x14ac:dyDescent="0.2">
      <c r="A83" s="787">
        <v>67</v>
      </c>
      <c r="B83" s="461" t="s">
        <v>424</v>
      </c>
      <c r="C83" s="787" t="s">
        <v>295</v>
      </c>
      <c r="D83" s="786"/>
      <c r="E83" s="778"/>
      <c r="F83" s="461"/>
      <c r="G83" s="787"/>
      <c r="H83" s="787"/>
      <c r="I83" s="786"/>
      <c r="J83" s="786"/>
      <c r="K83" s="786"/>
      <c r="L83" s="786"/>
      <c r="M83" s="786"/>
      <c r="N83" s="787"/>
      <c r="O83" s="786"/>
      <c r="P83" s="668"/>
      <c r="Q83" s="771"/>
      <c r="R83" s="466"/>
      <c r="S83" s="466"/>
      <c r="T83" s="512"/>
      <c r="U83" s="466"/>
      <c r="V83" s="466"/>
      <c r="W83" s="466"/>
      <c r="X83" s="466"/>
      <c r="Y83" s="466">
        <v>8</v>
      </c>
      <c r="Z83" s="708"/>
      <c r="AA83" s="678"/>
      <c r="AB83" s="466"/>
      <c r="AC83" s="466"/>
      <c r="AD83" s="783"/>
      <c r="AE83" s="466"/>
      <c r="AF83" s="669" t="s">
        <v>425</v>
      </c>
    </row>
    <row r="84" spans="1:32" ht="18.75" customHeight="1" x14ac:dyDescent="0.2">
      <c r="A84" s="787">
        <v>68</v>
      </c>
      <c r="B84" s="461" t="s">
        <v>155</v>
      </c>
      <c r="C84" s="787" t="s">
        <v>415</v>
      </c>
      <c r="D84" s="787">
        <v>513.9</v>
      </c>
      <c r="E84" s="787" t="s">
        <v>416</v>
      </c>
      <c r="F84" s="787">
        <v>177.8</v>
      </c>
      <c r="G84" s="787"/>
      <c r="H84" s="165"/>
      <c r="I84" s="786">
        <v>9.5</v>
      </c>
      <c r="J84" s="786"/>
      <c r="K84" s="786"/>
      <c r="L84" s="786"/>
      <c r="M84" s="786"/>
      <c r="N84" s="787"/>
      <c r="O84" s="786"/>
      <c r="P84" s="668"/>
      <c r="Q84" s="771"/>
      <c r="R84" s="466"/>
      <c r="S84" s="466"/>
      <c r="T84" s="512"/>
      <c r="U84" s="466"/>
      <c r="V84" s="466"/>
      <c r="W84" s="466"/>
      <c r="X84" s="466"/>
      <c r="Y84" s="682">
        <v>0</v>
      </c>
      <c r="Z84" s="711"/>
      <c r="AA84" s="678"/>
      <c r="AB84" s="466"/>
      <c r="AC84" s="466"/>
      <c r="AD84" s="783"/>
      <c r="AE84" s="466"/>
      <c r="AF84" s="669" t="s">
        <v>417</v>
      </c>
    </row>
    <row r="85" spans="1:32" ht="18.75" customHeight="1" x14ac:dyDescent="0.2">
      <c r="A85" s="677"/>
      <c r="B85" s="1913"/>
      <c r="C85" s="1913"/>
      <c r="D85" s="1913"/>
      <c r="E85" s="1913"/>
      <c r="F85" s="461"/>
      <c r="G85" s="787"/>
      <c r="H85" s="787"/>
      <c r="I85" s="787"/>
      <c r="J85" s="786"/>
      <c r="K85" s="786"/>
      <c r="L85" s="786"/>
      <c r="M85" s="786"/>
      <c r="N85" s="786"/>
      <c r="O85" s="786"/>
      <c r="P85" s="448"/>
      <c r="Q85" s="771"/>
      <c r="R85" s="786"/>
      <c r="S85" s="786"/>
      <c r="T85" s="786"/>
      <c r="U85" s="780"/>
      <c r="V85" s="780"/>
      <c r="W85" s="780"/>
      <c r="X85" s="780"/>
      <c r="Y85" s="682"/>
      <c r="Z85" s="682"/>
      <c r="AA85" s="778"/>
      <c r="AB85" s="780"/>
      <c r="AC85" s="786"/>
      <c r="AD85" s="787"/>
      <c r="AE85" s="432"/>
      <c r="AF85" s="669"/>
    </row>
    <row r="86" spans="1:32" ht="18.75" customHeight="1" x14ac:dyDescent="0.2">
      <c r="B86" s="1914" t="s">
        <v>389</v>
      </c>
      <c r="C86" s="1915"/>
      <c r="D86" s="1915"/>
      <c r="E86" s="1915"/>
      <c r="F86" s="1902"/>
      <c r="G86" s="780"/>
      <c r="H86" s="778"/>
      <c r="I86" s="778"/>
      <c r="J86" s="786"/>
      <c r="K86" s="786"/>
      <c r="L86" s="786"/>
      <c r="M86" s="786"/>
      <c r="N86" s="786"/>
      <c r="O86" s="786"/>
      <c r="P86" s="448"/>
      <c r="Q86" s="771"/>
      <c r="R86" s="786"/>
      <c r="S86" s="437"/>
      <c r="T86" s="786"/>
      <c r="U86" s="780"/>
      <c r="V86" s="780"/>
      <c r="W86" s="780"/>
      <c r="X86" s="421"/>
      <c r="Y86" s="786"/>
      <c r="Z86" s="786"/>
      <c r="AA86" s="786"/>
      <c r="AB86" s="780"/>
      <c r="AC86" s="780"/>
      <c r="AD86" s="786"/>
      <c r="AE86" s="786"/>
      <c r="AF86" s="778"/>
    </row>
    <row r="87" spans="1:32" ht="18.75" customHeight="1" x14ac:dyDescent="0.2">
      <c r="A87" s="781">
        <v>69</v>
      </c>
      <c r="B87" s="787" t="s">
        <v>131</v>
      </c>
      <c r="C87" s="781" t="s">
        <v>313</v>
      </c>
      <c r="D87" s="787">
        <v>389.74</v>
      </c>
      <c r="E87" s="679" t="s">
        <v>136</v>
      </c>
      <c r="F87" s="787">
        <v>177.8</v>
      </c>
      <c r="G87" s="787" t="s">
        <v>28</v>
      </c>
      <c r="H87" s="787" t="s">
        <v>58</v>
      </c>
      <c r="I87" s="786">
        <v>142.80000000000001</v>
      </c>
      <c r="J87" s="786">
        <v>270</v>
      </c>
      <c r="K87" s="787"/>
      <c r="L87" s="787">
        <v>29</v>
      </c>
      <c r="M87" s="787"/>
      <c r="N87" s="787">
        <v>0</v>
      </c>
      <c r="O87" s="787"/>
      <c r="P87" s="668">
        <v>14.904599036485147</v>
      </c>
      <c r="Q87" s="771">
        <f>(3*J87)/100</f>
        <v>8.1</v>
      </c>
      <c r="R87" s="432">
        <v>1.0409999999999999</v>
      </c>
      <c r="S87" s="432">
        <v>1.7629999999999999</v>
      </c>
      <c r="T87" s="432">
        <v>0</v>
      </c>
      <c r="U87" s="432">
        <f>T87/R87</f>
        <v>0</v>
      </c>
      <c r="V87" s="432">
        <f t="shared" ref="V87:V90" si="12">(S87-R87)/S87*100</f>
        <v>40.952921157118553</v>
      </c>
      <c r="W87" s="432">
        <v>0.3</v>
      </c>
      <c r="X87" s="432">
        <f t="shared" ref="X87:X90" si="13">S87/Q87</f>
        <v>0.21765432098765433</v>
      </c>
      <c r="Y87" s="432">
        <f>R87*0.988</f>
        <v>1.028508</v>
      </c>
      <c r="Z87" s="432">
        <f>S87*0.988</f>
        <v>1.7418439999999999</v>
      </c>
      <c r="AA87" s="432">
        <f>T87*0.988</f>
        <v>0</v>
      </c>
      <c r="AB87" s="432">
        <f t="shared" ref="AB87:AC90" si="14">U87</f>
        <v>0</v>
      </c>
      <c r="AC87" s="432">
        <f t="shared" si="14"/>
        <v>40.952921157118553</v>
      </c>
      <c r="AD87" s="787">
        <v>31</v>
      </c>
      <c r="AE87" s="432">
        <f t="shared" ref="AE87:AE90" si="15">Y87*AD87</f>
        <v>31.883748000000001</v>
      </c>
      <c r="AF87" s="449"/>
    </row>
    <row r="88" spans="1:32" ht="18.75" customHeight="1" x14ac:dyDescent="0.2">
      <c r="A88" s="781">
        <v>70</v>
      </c>
      <c r="B88" s="787" t="s">
        <v>132</v>
      </c>
      <c r="C88" s="781" t="s">
        <v>313</v>
      </c>
      <c r="D88" s="787">
        <v>387.72</v>
      </c>
      <c r="E88" s="679" t="s">
        <v>135</v>
      </c>
      <c r="F88" s="787">
        <v>177.8</v>
      </c>
      <c r="G88" s="787" t="s">
        <v>28</v>
      </c>
      <c r="H88" s="787" t="s">
        <v>58</v>
      </c>
      <c r="I88" s="786">
        <v>136.03</v>
      </c>
      <c r="J88" s="787">
        <v>240</v>
      </c>
      <c r="K88" s="787"/>
      <c r="L88" s="787">
        <v>36</v>
      </c>
      <c r="M88" s="787"/>
      <c r="N88" s="787">
        <v>0</v>
      </c>
      <c r="O88" s="787"/>
      <c r="P88" s="668">
        <v>13.058197959426124</v>
      </c>
      <c r="Q88" s="771">
        <f>(3*J88)/100</f>
        <v>7.2</v>
      </c>
      <c r="R88" s="432">
        <v>2.5409999999999999</v>
      </c>
      <c r="S88" s="432">
        <v>4.7949999999999999</v>
      </c>
      <c r="T88" s="432">
        <v>1</v>
      </c>
      <c r="U88" s="432">
        <f>T88/R88</f>
        <v>0.39354584809130266</v>
      </c>
      <c r="V88" s="432">
        <f t="shared" si="12"/>
        <v>47.007299270072991</v>
      </c>
      <c r="W88" s="432">
        <v>0.5</v>
      </c>
      <c r="X88" s="432">
        <f t="shared" si="13"/>
        <v>0.66597222222222219</v>
      </c>
      <c r="Y88" s="432">
        <f t="shared" ref="Y88:AA90" si="16">R88*0.988</f>
        <v>2.5105079999999997</v>
      </c>
      <c r="Z88" s="432">
        <f t="shared" si="16"/>
        <v>4.7374599999999996</v>
      </c>
      <c r="AA88" s="432">
        <f t="shared" si="16"/>
        <v>0.98799999999999999</v>
      </c>
      <c r="AB88" s="432">
        <v>0</v>
      </c>
      <c r="AC88" s="432">
        <f>V88</f>
        <v>47.007299270072991</v>
      </c>
      <c r="AD88" s="787">
        <v>31</v>
      </c>
      <c r="AE88" s="432">
        <f t="shared" si="15"/>
        <v>77.82574799999999</v>
      </c>
      <c r="AF88" s="449"/>
    </row>
    <row r="89" spans="1:32" ht="18.75" customHeight="1" x14ac:dyDescent="0.25">
      <c r="A89" s="781">
        <v>71</v>
      </c>
      <c r="B89" s="787" t="s">
        <v>121</v>
      </c>
      <c r="C89" s="781" t="s">
        <v>313</v>
      </c>
      <c r="D89" s="787">
        <v>389.57</v>
      </c>
      <c r="E89" s="787" t="s">
        <v>137</v>
      </c>
      <c r="F89" s="787">
        <v>177.8</v>
      </c>
      <c r="G89" s="787" t="s">
        <v>28</v>
      </c>
      <c r="H89" s="707" t="s">
        <v>363</v>
      </c>
      <c r="I89" s="786">
        <v>138.22999999999999</v>
      </c>
      <c r="J89" s="787">
        <v>105</v>
      </c>
      <c r="K89" s="787"/>
      <c r="L89" s="787">
        <v>28</v>
      </c>
      <c r="M89" s="787"/>
      <c r="N89" s="787">
        <v>0</v>
      </c>
      <c r="O89" s="787"/>
      <c r="P89" s="668">
        <v>13.495394617027005</v>
      </c>
      <c r="Q89" s="771">
        <f>(3*J89)/100</f>
        <v>3.15</v>
      </c>
      <c r="R89" s="432">
        <v>3.1680000000000001</v>
      </c>
      <c r="S89" s="432">
        <v>5.9109999999999996</v>
      </c>
      <c r="T89" s="432">
        <v>0</v>
      </c>
      <c r="U89" s="432">
        <v>0</v>
      </c>
      <c r="V89" s="432">
        <f t="shared" si="12"/>
        <v>46.405007612925047</v>
      </c>
      <c r="W89" s="432">
        <v>1</v>
      </c>
      <c r="X89" s="432">
        <f t="shared" si="13"/>
        <v>1.8765079365079365</v>
      </c>
      <c r="Y89" s="432">
        <f t="shared" si="16"/>
        <v>3.1299840000000003</v>
      </c>
      <c r="Z89" s="432">
        <f t="shared" si="16"/>
        <v>5.8400679999999996</v>
      </c>
      <c r="AA89" s="432">
        <f t="shared" si="16"/>
        <v>0</v>
      </c>
      <c r="AB89" s="432">
        <v>0</v>
      </c>
      <c r="AC89" s="432">
        <f>V89</f>
        <v>46.405007612925047</v>
      </c>
      <c r="AD89" s="787">
        <v>31</v>
      </c>
      <c r="AE89" s="432">
        <f t="shared" si="15"/>
        <v>97.029504000000003</v>
      </c>
      <c r="AF89" s="669"/>
    </row>
    <row r="90" spans="1:32" ht="18.75" customHeight="1" x14ac:dyDescent="0.2">
      <c r="A90" s="781">
        <v>72</v>
      </c>
      <c r="B90" s="787" t="s">
        <v>122</v>
      </c>
      <c r="C90" s="781" t="s">
        <v>313</v>
      </c>
      <c r="D90" s="787">
        <v>391.06</v>
      </c>
      <c r="E90" s="787" t="s">
        <v>138</v>
      </c>
      <c r="F90" s="787">
        <v>177.8</v>
      </c>
      <c r="G90" s="787" t="s">
        <v>28</v>
      </c>
      <c r="H90" s="787" t="s">
        <v>58</v>
      </c>
      <c r="I90" s="432">
        <v>151.72999999999999</v>
      </c>
      <c r="J90" s="787">
        <v>290</v>
      </c>
      <c r="K90" s="783"/>
      <c r="L90" s="787">
        <v>54</v>
      </c>
      <c r="M90" s="783"/>
      <c r="N90" s="787">
        <v>0</v>
      </c>
      <c r="O90" s="783"/>
      <c r="P90" s="668">
        <v>12.386631306286226</v>
      </c>
      <c r="Q90" s="771">
        <f>(3*J90)/100</f>
        <v>8.6999999999999993</v>
      </c>
      <c r="R90" s="432">
        <v>2.125</v>
      </c>
      <c r="S90" s="432">
        <v>2.5139999999999998</v>
      </c>
      <c r="T90" s="432">
        <v>0.2</v>
      </c>
      <c r="U90" s="432">
        <f>T90/R90</f>
        <v>9.4117647058823528E-2</v>
      </c>
      <c r="V90" s="432">
        <f t="shared" si="12"/>
        <v>15.473349244232292</v>
      </c>
      <c r="W90" s="432">
        <v>0.3</v>
      </c>
      <c r="X90" s="432">
        <f t="shared" si="13"/>
        <v>0.28896551724137931</v>
      </c>
      <c r="Y90" s="432">
        <f t="shared" si="16"/>
        <v>2.0994999999999999</v>
      </c>
      <c r="Z90" s="432">
        <f t="shared" si="16"/>
        <v>2.4838319999999996</v>
      </c>
      <c r="AA90" s="432">
        <f t="shared" si="16"/>
        <v>0.1976</v>
      </c>
      <c r="AB90" s="432">
        <f t="shared" si="14"/>
        <v>9.4117647058823528E-2</v>
      </c>
      <c r="AC90" s="432">
        <f t="shared" si="14"/>
        <v>15.473349244232292</v>
      </c>
      <c r="AD90" s="787">
        <v>31</v>
      </c>
      <c r="AE90" s="432">
        <f t="shared" si="15"/>
        <v>65.084499999999991</v>
      </c>
      <c r="AF90" s="680"/>
    </row>
    <row r="91" spans="1:32" ht="18.75" customHeight="1" x14ac:dyDescent="0.2">
      <c r="A91" s="781">
        <v>73</v>
      </c>
      <c r="B91" s="787" t="s">
        <v>188</v>
      </c>
      <c r="C91" s="781" t="s">
        <v>344</v>
      </c>
      <c r="D91" s="787">
        <v>400.5</v>
      </c>
      <c r="E91" s="787" t="s">
        <v>345</v>
      </c>
      <c r="F91" s="787">
        <v>177.8</v>
      </c>
      <c r="G91" s="787"/>
      <c r="H91" s="787"/>
      <c r="I91" s="432"/>
      <c r="J91" s="787"/>
      <c r="K91" s="783"/>
      <c r="L91" s="787"/>
      <c r="M91" s="783"/>
      <c r="N91" s="787"/>
      <c r="O91" s="783"/>
      <c r="P91" s="668"/>
      <c r="Q91" s="771"/>
      <c r="R91" s="432"/>
      <c r="S91" s="432"/>
      <c r="T91" s="432"/>
      <c r="U91" s="432"/>
      <c r="V91" s="432"/>
      <c r="W91" s="432"/>
      <c r="X91" s="432"/>
      <c r="Y91" s="432"/>
      <c r="Z91" s="432"/>
      <c r="AA91" s="432"/>
      <c r="AB91" s="432"/>
      <c r="AC91" s="432"/>
      <c r="AD91" s="787"/>
      <c r="AE91" s="432"/>
      <c r="AF91" s="669"/>
    </row>
    <row r="92" spans="1:32" ht="18.75" customHeight="1" x14ac:dyDescent="0.2">
      <c r="A92" s="781">
        <v>74</v>
      </c>
      <c r="B92" s="787" t="s">
        <v>186</v>
      </c>
      <c r="C92" s="781" t="s">
        <v>346</v>
      </c>
      <c r="D92" s="787">
        <v>349.5</v>
      </c>
      <c r="E92" s="461" t="s">
        <v>347</v>
      </c>
      <c r="F92" s="787">
        <v>177.8</v>
      </c>
      <c r="G92" s="787"/>
      <c r="H92" s="787"/>
      <c r="I92" s="432"/>
      <c r="J92" s="787"/>
      <c r="K92" s="787"/>
      <c r="L92" s="787"/>
      <c r="M92" s="783"/>
      <c r="N92" s="787"/>
      <c r="O92" s="783"/>
      <c r="P92" s="668"/>
      <c r="Q92" s="771"/>
      <c r="R92" s="432"/>
      <c r="S92" s="432"/>
      <c r="T92" s="432"/>
      <c r="U92" s="432"/>
      <c r="V92" s="432"/>
      <c r="W92" s="432"/>
      <c r="X92" s="432"/>
      <c r="Y92" s="432"/>
      <c r="Z92" s="432"/>
      <c r="AA92" s="432"/>
      <c r="AB92" s="432"/>
      <c r="AC92" s="432"/>
      <c r="AD92" s="787"/>
      <c r="AE92" s="432"/>
      <c r="AF92" s="669"/>
    </row>
    <row r="93" spans="1:32" ht="18.75" customHeight="1" x14ac:dyDescent="0.2">
      <c r="A93" s="677"/>
      <c r="B93" s="1939"/>
      <c r="C93" s="1939"/>
      <c r="D93" s="1939"/>
      <c r="E93" s="1940"/>
      <c r="F93" s="786"/>
      <c r="G93" s="780"/>
      <c r="H93" s="778"/>
      <c r="I93" s="778"/>
      <c r="J93" s="786"/>
      <c r="K93" s="786"/>
      <c r="L93" s="786"/>
      <c r="M93" s="786"/>
      <c r="N93" s="786"/>
      <c r="O93" s="786"/>
      <c r="P93" s="448"/>
      <c r="Q93" s="771"/>
      <c r="R93" s="466">
        <f>SUM(R87:R92)</f>
        <v>8.875</v>
      </c>
      <c r="S93" s="466">
        <f>SUM(S87:S92)</f>
        <v>14.982999999999999</v>
      </c>
      <c r="T93" s="466">
        <f>SUM(T87:T90)</f>
        <v>1.2</v>
      </c>
      <c r="U93" s="466">
        <f>SUM(U87:U90)</f>
        <v>0.48766349515012619</v>
      </c>
      <c r="V93" s="780"/>
      <c r="W93" s="780"/>
      <c r="X93" s="780"/>
      <c r="Y93" s="466">
        <f>SUM(Y87:Y92)</f>
        <v>8.7684999999999995</v>
      </c>
      <c r="Z93" s="466">
        <f>SUM(Z87:Z92)</f>
        <v>14.803203999999997</v>
      </c>
      <c r="AA93" s="466">
        <f>SUM(AA87:AA90)</f>
        <v>1.1856</v>
      </c>
      <c r="AB93" s="466">
        <v>0</v>
      </c>
      <c r="AC93" s="780"/>
      <c r="AD93" s="786"/>
      <c r="AE93" s="466">
        <f>SUM(AE87:AE92)</f>
        <v>271.82349999999997</v>
      </c>
      <c r="AF93" s="471"/>
    </row>
    <row r="94" spans="1:32" ht="18.75" customHeight="1" x14ac:dyDescent="0.2">
      <c r="A94" s="677"/>
      <c r="B94" s="1939"/>
      <c r="C94" s="1939"/>
      <c r="D94" s="1939"/>
      <c r="E94" s="1940"/>
      <c r="F94" s="783"/>
      <c r="G94" s="787"/>
      <c r="H94" s="787"/>
      <c r="I94" s="432"/>
      <c r="J94" s="787"/>
      <c r="K94" s="783"/>
      <c r="L94" s="787"/>
      <c r="M94" s="783"/>
      <c r="N94" s="668"/>
      <c r="O94" s="783"/>
      <c r="P94" s="682"/>
      <c r="Q94" s="774"/>
      <c r="R94" s="466"/>
      <c r="S94" s="466"/>
      <c r="T94" s="466"/>
      <c r="U94" s="466"/>
      <c r="V94" s="466"/>
      <c r="W94" s="466"/>
      <c r="X94" s="466"/>
      <c r="Y94" s="466"/>
      <c r="Z94" s="678"/>
      <c r="AA94" s="466"/>
      <c r="AB94" s="466"/>
      <c r="AC94" s="466"/>
      <c r="AD94" s="466"/>
      <c r="AE94" s="466"/>
      <c r="AF94" s="680"/>
    </row>
    <row r="95" spans="1:32" ht="18.75" customHeight="1" x14ac:dyDescent="0.2">
      <c r="A95" s="677"/>
      <c r="B95" s="1894" t="s">
        <v>390</v>
      </c>
      <c r="C95" s="1912"/>
      <c r="D95" s="1912"/>
      <c r="E95" s="1912"/>
      <c r="F95" s="1912"/>
      <c r="G95" s="780"/>
      <c r="H95" s="778"/>
      <c r="I95" s="778"/>
      <c r="J95" s="786"/>
      <c r="K95" s="786"/>
      <c r="L95" s="786"/>
      <c r="M95" s="786"/>
      <c r="N95" s="786"/>
      <c r="O95" s="786"/>
      <c r="P95" s="448"/>
      <c r="Q95" s="771"/>
      <c r="R95" s="786"/>
      <c r="S95" s="786"/>
      <c r="T95" s="786"/>
      <c r="U95" s="780"/>
      <c r="V95" s="780"/>
      <c r="W95" s="780"/>
      <c r="X95" s="780"/>
      <c r="Y95" s="786"/>
      <c r="Z95" s="786"/>
      <c r="AA95" s="786"/>
      <c r="AB95" s="780"/>
      <c r="AC95" s="780"/>
      <c r="AD95" s="786"/>
      <c r="AE95" s="786"/>
      <c r="AF95" s="778"/>
    </row>
    <row r="96" spans="1:32" ht="18.75" customHeight="1" x14ac:dyDescent="0.2">
      <c r="A96" s="787">
        <v>75</v>
      </c>
      <c r="B96" s="779" t="s">
        <v>107</v>
      </c>
      <c r="C96" s="786" t="s">
        <v>109</v>
      </c>
      <c r="D96" s="786"/>
      <c r="E96" s="786"/>
      <c r="F96" s="786"/>
      <c r="G96" s="780"/>
      <c r="H96" s="778"/>
      <c r="I96" s="778"/>
      <c r="J96" s="786"/>
      <c r="K96" s="786"/>
      <c r="L96" s="786"/>
      <c r="M96" s="786"/>
      <c r="N96" s="786"/>
      <c r="O96" s="786"/>
      <c r="P96" s="448"/>
      <c r="Q96" s="771"/>
      <c r="R96" s="786"/>
      <c r="S96" s="786"/>
      <c r="T96" s="786"/>
      <c r="U96" s="780"/>
      <c r="V96" s="780"/>
      <c r="W96" s="780"/>
      <c r="X96" s="780"/>
      <c r="Y96" s="778"/>
      <c r="Z96" s="778"/>
      <c r="AA96" s="786"/>
      <c r="AB96" s="780"/>
      <c r="AC96" s="780"/>
      <c r="AD96" s="493"/>
      <c r="AE96" s="786"/>
      <c r="AF96" s="778"/>
    </row>
    <row r="97" spans="1:32" ht="18.75" customHeight="1" x14ac:dyDescent="0.2">
      <c r="A97" s="787">
        <v>76</v>
      </c>
      <c r="B97" s="779" t="s">
        <v>108</v>
      </c>
      <c r="C97" s="786" t="s">
        <v>109</v>
      </c>
      <c r="D97" s="786"/>
      <c r="E97" s="786"/>
      <c r="F97" s="786"/>
      <c r="G97" s="780"/>
      <c r="H97" s="778"/>
      <c r="I97" s="778"/>
      <c r="J97" s="786"/>
      <c r="K97" s="786"/>
      <c r="L97" s="786"/>
      <c r="M97" s="786"/>
      <c r="N97" s="786"/>
      <c r="O97" s="786"/>
      <c r="P97" s="448"/>
      <c r="Q97" s="771"/>
      <c r="R97" s="786"/>
      <c r="S97" s="786"/>
      <c r="T97" s="786"/>
      <c r="U97" s="780"/>
      <c r="V97" s="780"/>
      <c r="W97" s="780"/>
      <c r="X97" s="780"/>
      <c r="Y97" s="778"/>
      <c r="Z97" s="778"/>
      <c r="AA97" s="786"/>
      <c r="AB97" s="780"/>
      <c r="AC97" s="780"/>
      <c r="AD97" s="493"/>
      <c r="AE97" s="786"/>
      <c r="AF97" s="778"/>
    </row>
    <row r="98" spans="1:32" ht="18.75" customHeight="1" x14ac:dyDescent="0.2">
      <c r="A98" s="787">
        <v>77</v>
      </c>
      <c r="B98" s="779" t="s">
        <v>195</v>
      </c>
      <c r="C98" s="781" t="s">
        <v>193</v>
      </c>
      <c r="D98" s="786"/>
      <c r="E98" s="786"/>
      <c r="F98" s="786"/>
      <c r="G98" s="780"/>
      <c r="H98" s="778"/>
      <c r="I98" s="778"/>
      <c r="J98" s="786"/>
      <c r="K98" s="786"/>
      <c r="L98" s="786"/>
      <c r="M98" s="786"/>
      <c r="N98" s="786"/>
      <c r="O98" s="786"/>
      <c r="P98" s="448"/>
      <c r="Q98" s="771"/>
      <c r="R98" s="786"/>
      <c r="S98" s="786"/>
      <c r="T98" s="786"/>
      <c r="U98" s="780"/>
      <c r="V98" s="780"/>
      <c r="W98" s="780"/>
      <c r="X98" s="780"/>
      <c r="Y98" s="778"/>
      <c r="Z98" s="778"/>
      <c r="AA98" s="786"/>
      <c r="AB98" s="780"/>
      <c r="AC98" s="780"/>
      <c r="AD98" s="493"/>
      <c r="AE98" s="786"/>
      <c r="AF98" s="778"/>
    </row>
    <row r="99" spans="1:32" ht="18.75" customHeight="1" x14ac:dyDescent="0.2">
      <c r="A99" s="787">
        <v>78</v>
      </c>
      <c r="B99" s="779" t="s">
        <v>192</v>
      </c>
      <c r="C99" s="781" t="s">
        <v>193</v>
      </c>
      <c r="D99" s="786"/>
      <c r="E99" s="786"/>
      <c r="F99" s="786"/>
      <c r="G99" s="780"/>
      <c r="H99" s="778"/>
      <c r="I99" s="778"/>
      <c r="J99" s="786"/>
      <c r="K99" s="786"/>
      <c r="L99" s="786"/>
      <c r="M99" s="786"/>
      <c r="N99" s="786"/>
      <c r="O99" s="786"/>
      <c r="P99" s="448"/>
      <c r="Q99" s="771"/>
      <c r="R99" s="786"/>
      <c r="S99" s="786"/>
      <c r="T99" s="786"/>
      <c r="U99" s="780"/>
      <c r="V99" s="780"/>
      <c r="W99" s="780"/>
      <c r="X99" s="780"/>
      <c r="Y99" s="778"/>
      <c r="Z99" s="778"/>
      <c r="AA99" s="786"/>
      <c r="AB99" s="780"/>
      <c r="AC99" s="780"/>
      <c r="AD99" s="493"/>
      <c r="AE99" s="786"/>
      <c r="AF99" s="778"/>
    </row>
    <row r="100" spans="1:32" ht="18.75" customHeight="1" x14ac:dyDescent="0.2">
      <c r="A100" s="787"/>
      <c r="B100" s="1894" t="s">
        <v>391</v>
      </c>
      <c r="C100" s="1912"/>
      <c r="D100" s="1912"/>
      <c r="E100" s="1912"/>
      <c r="F100" s="1912"/>
      <c r="G100" s="780"/>
      <c r="H100" s="778"/>
      <c r="I100" s="778"/>
      <c r="J100" s="786"/>
      <c r="K100" s="786"/>
      <c r="L100" s="786"/>
      <c r="M100" s="786"/>
      <c r="N100" s="786"/>
      <c r="O100" s="786"/>
      <c r="P100" s="448"/>
      <c r="Q100" s="771"/>
      <c r="R100" s="786"/>
      <c r="S100" s="786"/>
      <c r="T100" s="786"/>
      <c r="U100" s="780"/>
      <c r="V100" s="780"/>
      <c r="W100" s="780"/>
      <c r="X100" s="780"/>
      <c r="Y100" s="786"/>
      <c r="Z100" s="786"/>
      <c r="AA100" s="786"/>
      <c r="AB100" s="780"/>
      <c r="AC100" s="780"/>
      <c r="AD100" s="786"/>
      <c r="AE100" s="786"/>
      <c r="AF100" s="778"/>
    </row>
    <row r="101" spans="1:32" ht="18.75" customHeight="1" x14ac:dyDescent="0.2">
      <c r="A101" s="787">
        <v>79</v>
      </c>
      <c r="B101" s="461" t="s">
        <v>189</v>
      </c>
      <c r="C101" s="787" t="s">
        <v>46</v>
      </c>
      <c r="D101" s="787">
        <v>673</v>
      </c>
      <c r="E101" s="787" t="s">
        <v>190</v>
      </c>
      <c r="F101" s="787">
        <v>177.8</v>
      </c>
      <c r="G101" s="787"/>
      <c r="H101" s="787"/>
      <c r="I101" s="786"/>
      <c r="J101" s="786"/>
      <c r="K101" s="786"/>
      <c r="L101" s="786"/>
      <c r="M101" s="786"/>
      <c r="N101" s="786"/>
      <c r="O101" s="786"/>
      <c r="P101" s="448"/>
      <c r="Q101" s="771"/>
      <c r="R101" s="786"/>
      <c r="S101" s="786"/>
      <c r="T101" s="786"/>
      <c r="U101" s="780"/>
      <c r="V101" s="780"/>
      <c r="W101" s="780"/>
      <c r="X101" s="780"/>
      <c r="Y101" s="473"/>
      <c r="Z101" s="683"/>
      <c r="AA101" s="778"/>
      <c r="AB101" s="780"/>
      <c r="AC101" s="786"/>
      <c r="AD101" s="787"/>
      <c r="AE101" s="432"/>
      <c r="AF101" s="449"/>
    </row>
    <row r="102" spans="1:32" ht="18.75" customHeight="1" x14ac:dyDescent="0.3">
      <c r="A102" s="787">
        <v>80</v>
      </c>
      <c r="B102" s="461" t="s">
        <v>181</v>
      </c>
      <c r="C102" s="684" t="s">
        <v>183</v>
      </c>
      <c r="D102" s="787">
        <v>374.5</v>
      </c>
      <c r="E102" s="787" t="s">
        <v>182</v>
      </c>
      <c r="F102" s="787">
        <v>177.8</v>
      </c>
      <c r="G102" s="787"/>
      <c r="H102" s="787"/>
      <c r="I102" s="786"/>
      <c r="J102" s="787"/>
      <c r="K102" s="787"/>
      <c r="L102" s="787"/>
      <c r="M102" s="787"/>
      <c r="N102" s="668"/>
      <c r="O102" s="787"/>
      <c r="P102" s="432"/>
      <c r="Q102" s="772"/>
      <c r="R102" s="432"/>
      <c r="S102" s="432"/>
      <c r="T102" s="432"/>
      <c r="U102" s="432"/>
      <c r="V102" s="432"/>
      <c r="W102" s="432"/>
      <c r="X102" s="685"/>
      <c r="Y102" s="432"/>
      <c r="Z102" s="432"/>
      <c r="AA102" s="432"/>
      <c r="AB102" s="432"/>
      <c r="AC102" s="432"/>
      <c r="AD102" s="787"/>
      <c r="AE102" s="432"/>
      <c r="AF102" s="449"/>
    </row>
    <row r="103" spans="1:32" ht="18.75" customHeight="1" x14ac:dyDescent="0.2">
      <c r="A103" s="787">
        <v>81</v>
      </c>
      <c r="B103" s="461" t="s">
        <v>174</v>
      </c>
      <c r="C103" s="787" t="s">
        <v>46</v>
      </c>
      <c r="D103" s="787">
        <v>672</v>
      </c>
      <c r="E103" s="787" t="s">
        <v>175</v>
      </c>
      <c r="F103" s="787">
        <v>177.8</v>
      </c>
      <c r="G103" s="787"/>
      <c r="H103" s="787"/>
      <c r="I103" s="786"/>
      <c r="J103" s="787"/>
      <c r="K103" s="787"/>
      <c r="L103" s="787"/>
      <c r="M103" s="787"/>
      <c r="N103" s="668"/>
      <c r="O103" s="787"/>
      <c r="P103" s="668"/>
      <c r="Q103" s="772"/>
      <c r="R103" s="432"/>
      <c r="S103" s="432"/>
      <c r="T103" s="432"/>
      <c r="U103" s="432"/>
      <c r="V103" s="432"/>
      <c r="W103" s="432"/>
      <c r="X103" s="432"/>
      <c r="Y103" s="432"/>
      <c r="Z103" s="432"/>
      <c r="AA103" s="432"/>
      <c r="AB103" s="432"/>
      <c r="AC103" s="432"/>
      <c r="AD103" s="787"/>
      <c r="AE103" s="432"/>
      <c r="AF103" s="449"/>
    </row>
    <row r="104" spans="1:32" ht="18.75" customHeight="1" x14ac:dyDescent="0.2">
      <c r="A104" s="787">
        <v>82</v>
      </c>
      <c r="B104" s="779" t="s">
        <v>103</v>
      </c>
      <c r="C104" s="787" t="s">
        <v>46</v>
      </c>
      <c r="D104" s="786">
        <v>582</v>
      </c>
      <c r="E104" s="786" t="s">
        <v>112</v>
      </c>
      <c r="F104" s="787">
        <v>177.8</v>
      </c>
      <c r="G104" s="787"/>
      <c r="H104" s="787"/>
      <c r="I104" s="786"/>
      <c r="J104" s="786"/>
      <c r="K104" s="786"/>
      <c r="L104" s="786"/>
      <c r="M104" s="786"/>
      <c r="N104" s="786"/>
      <c r="O104" s="786"/>
      <c r="P104" s="448"/>
      <c r="Q104" s="771"/>
      <c r="R104" s="786"/>
      <c r="S104" s="786"/>
      <c r="T104" s="786"/>
      <c r="U104" s="780"/>
      <c r="V104" s="780"/>
      <c r="W104" s="780"/>
      <c r="X104" s="421"/>
      <c r="Y104" s="492"/>
      <c r="Z104" s="786"/>
      <c r="AA104" s="786"/>
      <c r="AB104" s="780"/>
      <c r="AC104" s="786"/>
      <c r="AD104" s="493"/>
      <c r="AE104" s="437"/>
      <c r="AF104" s="449"/>
    </row>
    <row r="105" spans="1:32" ht="18.75" customHeight="1" x14ac:dyDescent="0.2">
      <c r="A105" s="787">
        <v>83</v>
      </c>
      <c r="B105" s="787" t="s">
        <v>57</v>
      </c>
      <c r="C105" s="781" t="s">
        <v>314</v>
      </c>
      <c r="D105" s="787">
        <v>376.58</v>
      </c>
      <c r="E105" s="461" t="s">
        <v>93</v>
      </c>
      <c r="F105" s="787">
        <v>177.8</v>
      </c>
      <c r="G105" s="787"/>
      <c r="H105" s="787"/>
      <c r="I105" s="786"/>
      <c r="J105" s="786"/>
      <c r="K105" s="786"/>
      <c r="L105" s="786"/>
      <c r="M105" s="786"/>
      <c r="N105" s="786"/>
      <c r="O105" s="786"/>
      <c r="P105" s="448"/>
      <c r="Q105" s="771"/>
      <c r="R105" s="786"/>
      <c r="S105" s="786"/>
      <c r="T105" s="786"/>
      <c r="U105" s="780"/>
      <c r="V105" s="780"/>
      <c r="W105" s="780"/>
      <c r="X105" s="421"/>
      <c r="Y105" s="492"/>
      <c r="Z105" s="786"/>
      <c r="AA105" s="786"/>
      <c r="AB105" s="780"/>
      <c r="AC105" s="786"/>
      <c r="AD105" s="493"/>
      <c r="AE105" s="437"/>
      <c r="AF105" s="449"/>
    </row>
    <row r="106" spans="1:32" ht="18.75" customHeight="1" x14ac:dyDescent="0.2">
      <c r="A106" s="787">
        <v>84</v>
      </c>
      <c r="B106" s="787" t="s">
        <v>184</v>
      </c>
      <c r="C106" s="781" t="s">
        <v>314</v>
      </c>
      <c r="D106" s="787">
        <v>422.78</v>
      </c>
      <c r="E106" s="461" t="s">
        <v>185</v>
      </c>
      <c r="F106" s="787">
        <v>177.8</v>
      </c>
      <c r="G106" s="787"/>
      <c r="H106" s="787"/>
      <c r="I106" s="432"/>
      <c r="J106" s="786"/>
      <c r="K106" s="786"/>
      <c r="L106" s="786"/>
      <c r="M106" s="786"/>
      <c r="N106" s="786"/>
      <c r="O106" s="786"/>
      <c r="P106" s="448"/>
      <c r="Q106" s="771"/>
      <c r="R106" s="786"/>
      <c r="S106" s="786"/>
      <c r="T106" s="786"/>
      <c r="U106" s="780"/>
      <c r="V106" s="780"/>
      <c r="W106" s="780"/>
      <c r="X106" s="421"/>
      <c r="Y106" s="492"/>
      <c r="Z106" s="786"/>
      <c r="AA106" s="786"/>
      <c r="AB106" s="780"/>
      <c r="AC106" s="786"/>
      <c r="AD106" s="493"/>
      <c r="AE106" s="437"/>
      <c r="AF106" s="449"/>
    </row>
    <row r="107" spans="1:32" ht="18.75" customHeight="1" x14ac:dyDescent="0.2">
      <c r="A107" s="787">
        <v>85</v>
      </c>
      <c r="B107" s="779" t="s">
        <v>220</v>
      </c>
      <c r="C107" s="787" t="s">
        <v>46</v>
      </c>
      <c r="D107" s="786">
        <v>685.69</v>
      </c>
      <c r="E107" s="786" t="s">
        <v>222</v>
      </c>
      <c r="F107" s="787">
        <v>177.8</v>
      </c>
      <c r="G107" s="787"/>
      <c r="H107" s="787"/>
      <c r="I107" s="786"/>
      <c r="J107" s="786"/>
      <c r="K107" s="786"/>
      <c r="L107" s="786"/>
      <c r="M107" s="786"/>
      <c r="N107" s="786"/>
      <c r="O107" s="786"/>
      <c r="P107" s="448"/>
      <c r="Q107" s="771"/>
      <c r="R107" s="786"/>
      <c r="S107" s="786"/>
      <c r="T107" s="786"/>
      <c r="U107" s="780"/>
      <c r="V107" s="780"/>
      <c r="W107" s="780"/>
      <c r="X107" s="421"/>
      <c r="Y107" s="492"/>
      <c r="Z107" s="786"/>
      <c r="AA107" s="786"/>
      <c r="AB107" s="780"/>
      <c r="AC107" s="786"/>
      <c r="AD107" s="493"/>
      <c r="AE107" s="437"/>
      <c r="AF107" s="449"/>
    </row>
    <row r="108" spans="1:32" ht="18.75" customHeight="1" x14ac:dyDescent="0.2">
      <c r="A108" s="787"/>
      <c r="B108" s="1894" t="s">
        <v>430</v>
      </c>
      <c r="C108" s="1912"/>
      <c r="D108" s="1912"/>
      <c r="E108" s="1912"/>
      <c r="F108" s="1912"/>
      <c r="G108" s="787"/>
      <c r="H108" s="787"/>
      <c r="I108" s="786"/>
      <c r="J108" s="787"/>
      <c r="K108" s="787"/>
      <c r="L108" s="787"/>
      <c r="M108" s="787"/>
      <c r="N108" s="668"/>
      <c r="O108" s="787"/>
      <c r="P108" s="668"/>
      <c r="Q108" s="772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787"/>
      <c r="AE108" s="432"/>
      <c r="AF108" s="449"/>
    </row>
    <row r="109" spans="1:32" ht="18.75" customHeight="1" x14ac:dyDescent="0.2">
      <c r="A109" s="787">
        <v>86</v>
      </c>
      <c r="B109" s="461" t="s">
        <v>56</v>
      </c>
      <c r="C109" s="787" t="s">
        <v>46</v>
      </c>
      <c r="D109" s="787">
        <v>680.52</v>
      </c>
      <c r="E109" s="787" t="s">
        <v>92</v>
      </c>
      <c r="F109" s="787">
        <v>177.8</v>
      </c>
      <c r="G109" s="787"/>
      <c r="H109" s="787"/>
      <c r="I109" s="786">
        <v>555.95000000000005</v>
      </c>
      <c r="J109" s="787"/>
      <c r="K109" s="787"/>
      <c r="L109" s="787"/>
      <c r="M109" s="787"/>
      <c r="N109" s="668"/>
      <c r="O109" s="787"/>
      <c r="P109" s="432"/>
      <c r="Q109" s="772"/>
      <c r="R109" s="432"/>
      <c r="S109" s="432"/>
      <c r="T109" s="432"/>
      <c r="U109" s="432"/>
      <c r="V109" s="432"/>
      <c r="W109" s="432"/>
      <c r="X109" s="685"/>
      <c r="Y109" s="432"/>
      <c r="Z109" s="432"/>
      <c r="AA109" s="432"/>
      <c r="AB109" s="432"/>
      <c r="AC109" s="432"/>
      <c r="AD109" s="787"/>
      <c r="AE109" s="432"/>
      <c r="AF109" s="449"/>
    </row>
    <row r="110" spans="1:32" ht="18.75" x14ac:dyDescent="0.2">
      <c r="A110" s="745"/>
      <c r="B110" s="782"/>
      <c r="C110" s="782"/>
      <c r="D110" s="782"/>
      <c r="E110" s="461"/>
      <c r="F110" s="787"/>
      <c r="G110" s="787"/>
      <c r="H110" s="787"/>
      <c r="I110" s="786"/>
      <c r="J110" s="787"/>
      <c r="K110" s="787"/>
      <c r="L110" s="787"/>
      <c r="M110" s="787"/>
      <c r="N110" s="668"/>
      <c r="O110" s="787"/>
      <c r="P110" s="432"/>
      <c r="Q110" s="772"/>
      <c r="R110" s="432"/>
      <c r="S110" s="432"/>
      <c r="T110" s="432"/>
      <c r="U110" s="432"/>
      <c r="V110" s="432"/>
      <c r="W110" s="432"/>
      <c r="X110" s="685"/>
      <c r="Y110" s="432"/>
      <c r="Z110" s="432"/>
      <c r="AA110" s="432"/>
      <c r="AB110" s="432"/>
      <c r="AC110" s="432"/>
      <c r="AD110" s="787"/>
      <c r="AE110" s="432"/>
      <c r="AF110" s="449"/>
    </row>
    <row r="111" spans="1:32" ht="18.75" x14ac:dyDescent="0.2">
      <c r="A111" s="710"/>
      <c r="B111" s="1939"/>
      <c r="C111" s="1939"/>
      <c r="D111" s="1939"/>
      <c r="E111" s="1940"/>
      <c r="F111" s="783"/>
      <c r="G111" s="787"/>
      <c r="H111" s="787"/>
      <c r="I111" s="432"/>
      <c r="J111" s="787"/>
      <c r="K111" s="783"/>
      <c r="L111" s="787"/>
      <c r="M111" s="783"/>
      <c r="N111" s="668"/>
      <c r="O111" s="783"/>
      <c r="P111" s="682"/>
      <c r="Q111" s="774"/>
      <c r="R111" s="466">
        <f>R79+R93</f>
        <v>384.40899999999993</v>
      </c>
      <c r="S111" s="466">
        <f>S79+S93</f>
        <v>737.09999999999991</v>
      </c>
      <c r="T111" s="678">
        <f>T79+T93</f>
        <v>11512.300000000003</v>
      </c>
      <c r="U111" s="466">
        <f>T111/R111</f>
        <v>29.948050123696387</v>
      </c>
      <c r="V111" s="466"/>
      <c r="W111" s="466"/>
      <c r="X111" s="466"/>
      <c r="Y111" s="466">
        <f>Y79+Y93+Y84+Y82+Y83</f>
        <v>393.91842199999996</v>
      </c>
      <c r="Z111" s="466">
        <f>Z79+Z93+Z84</f>
        <v>724.64421499999992</v>
      </c>
      <c r="AA111" s="678">
        <f>AA79+AA93</f>
        <v>11316.5969</v>
      </c>
      <c r="AB111" s="466">
        <f>AB79+AB93</f>
        <v>30.652617339575116</v>
      </c>
      <c r="AC111" s="466"/>
      <c r="AD111" s="466"/>
      <c r="AE111" s="686">
        <f>AE79+AE93</f>
        <v>10608.021316</v>
      </c>
      <c r="AF111" s="680"/>
    </row>
    <row r="112" spans="1:32" ht="18.75" x14ac:dyDescent="0.2">
      <c r="B112" s="497"/>
      <c r="C112" s="497"/>
      <c r="D112" s="497"/>
      <c r="E112" s="497"/>
      <c r="F112" s="497"/>
      <c r="G112" s="498"/>
      <c r="H112" s="499"/>
      <c r="I112" s="499"/>
      <c r="J112" s="497"/>
      <c r="K112" s="497"/>
      <c r="L112" s="497"/>
      <c r="M112" s="497"/>
      <c r="N112" s="497"/>
      <c r="O112" s="497"/>
      <c r="P112" s="500"/>
      <c r="Q112" s="775"/>
      <c r="R112" s="497"/>
      <c r="S112" s="497"/>
      <c r="T112" s="497"/>
      <c r="U112" s="498"/>
      <c r="V112" s="498"/>
      <c r="W112" s="498"/>
      <c r="X112" s="498"/>
      <c r="Y112" s="497"/>
      <c r="Z112" s="497"/>
      <c r="AA112" s="497"/>
      <c r="AB112" s="498"/>
      <c r="AC112" s="498"/>
      <c r="AD112" s="497"/>
      <c r="AE112" s="497"/>
      <c r="AF112" s="499"/>
    </row>
    <row r="113" spans="2:32" ht="18.75" x14ac:dyDescent="0.2">
      <c r="B113" s="412"/>
      <c r="C113" s="460"/>
      <c r="D113" s="412"/>
      <c r="E113" s="687">
        <v>0.95</v>
      </c>
      <c r="F113" s="412"/>
      <c r="G113" s="412" t="s">
        <v>102</v>
      </c>
      <c r="H113" s="460"/>
      <c r="I113" s="688"/>
      <c r="J113" s="412"/>
      <c r="K113" s="1941">
        <f>AE111*E113</f>
        <v>10077.6202502</v>
      </c>
      <c r="L113" s="1897"/>
      <c r="M113" s="1897"/>
      <c r="N113" s="460" t="s">
        <v>27</v>
      </c>
      <c r="O113" s="497"/>
      <c r="P113" s="500"/>
      <c r="Q113" s="775"/>
      <c r="R113" s="497"/>
      <c r="S113" s="497"/>
      <c r="T113" s="497"/>
      <c r="U113" s="498"/>
      <c r="V113" s="498"/>
      <c r="W113" s="498"/>
      <c r="X113" s="498"/>
      <c r="Y113" s="497"/>
      <c r="Z113" s="497"/>
      <c r="AA113" s="497"/>
      <c r="AB113" s="498"/>
      <c r="AC113" s="498"/>
      <c r="AD113" s="497"/>
      <c r="AE113" s="497"/>
      <c r="AF113" s="499"/>
    </row>
    <row r="114" spans="2:32" ht="18.75" x14ac:dyDescent="0.2">
      <c r="B114" s="412"/>
      <c r="C114" s="460"/>
      <c r="D114" s="412"/>
      <c r="E114" s="687"/>
      <c r="F114" s="412"/>
      <c r="G114" s="460"/>
      <c r="H114" s="460"/>
      <c r="I114" s="688"/>
      <c r="J114" s="412"/>
      <c r="K114" s="460"/>
      <c r="L114" s="689"/>
      <c r="M114" s="412"/>
      <c r="N114" s="412"/>
      <c r="O114" s="412"/>
      <c r="P114" s="690"/>
      <c r="Q114" s="776"/>
      <c r="R114" s="412"/>
      <c r="S114" s="412"/>
      <c r="T114" s="412"/>
      <c r="U114" s="412"/>
      <c r="V114" s="412"/>
      <c r="W114" s="412"/>
      <c r="X114" s="788"/>
      <c r="Y114" s="788"/>
      <c r="Z114" s="788"/>
      <c r="AA114" s="788"/>
      <c r="AB114" s="788"/>
      <c r="AC114" s="788"/>
      <c r="AD114" s="788"/>
      <c r="AE114" s="788"/>
      <c r="AF114" s="692"/>
    </row>
    <row r="115" spans="2:32" ht="18.75" x14ac:dyDescent="0.2">
      <c r="B115" s="412"/>
      <c r="C115" s="412"/>
      <c r="D115" s="412"/>
      <c r="E115" s="693" t="s">
        <v>214</v>
      </c>
      <c r="F115" s="1911" t="s">
        <v>268</v>
      </c>
      <c r="G115" s="1911"/>
      <c r="H115" s="1911"/>
      <c r="I115" s="412"/>
      <c r="J115" s="412"/>
      <c r="K115" s="460"/>
      <c r="L115" s="460"/>
      <c r="M115" s="412"/>
      <c r="N115" s="412"/>
      <c r="O115" s="412"/>
      <c r="P115" s="412"/>
      <c r="Q115" s="776"/>
      <c r="R115" s="412"/>
      <c r="S115" s="412"/>
      <c r="T115" s="412"/>
      <c r="U115" s="412"/>
      <c r="V115" s="412"/>
      <c r="W115" s="412"/>
      <c r="X115" s="1938" t="s">
        <v>352</v>
      </c>
      <c r="Y115" s="1937"/>
      <c r="Z115" s="1937"/>
      <c r="AA115" s="1937"/>
      <c r="AB115" s="788" t="s">
        <v>282</v>
      </c>
      <c r="AC115" s="788"/>
      <c r="AD115" s="788"/>
      <c r="AE115" s="788"/>
      <c r="AF115" s="788"/>
    </row>
  </sheetData>
  <mergeCells count="40">
    <mergeCell ref="B9:E9"/>
    <mergeCell ref="I1:X1"/>
    <mergeCell ref="J2:W2"/>
    <mergeCell ref="A3:D3"/>
    <mergeCell ref="A7:E7"/>
    <mergeCell ref="A8:E8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15:AA115"/>
    <mergeCell ref="AF12:AF13"/>
    <mergeCell ref="B85:E85"/>
    <mergeCell ref="B86:F86"/>
    <mergeCell ref="B93:E93"/>
    <mergeCell ref="B94:E94"/>
    <mergeCell ref="B95:F9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100:F100"/>
    <mergeCell ref="B108:F108"/>
    <mergeCell ref="B111:E111"/>
    <mergeCell ref="K113:M113"/>
    <mergeCell ref="F115:H11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F116"/>
  <sheetViews>
    <sheetView topLeftCell="A73" zoomScale="70" zoomScaleNormal="70" workbookViewId="0">
      <selection activeCell="A82" sqref="A82:XFD84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85.14062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777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821" t="s">
        <v>65</v>
      </c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403"/>
      <c r="G2" s="662"/>
      <c r="H2" s="662"/>
      <c r="I2" s="403"/>
      <c r="J2" s="1909" t="s">
        <v>438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403"/>
      <c r="Y2" s="403"/>
      <c r="Z2" s="403"/>
      <c r="AA2" s="403"/>
      <c r="AB2" s="403"/>
      <c r="AC2" s="403"/>
      <c r="AD2" s="403"/>
      <c r="AE2" s="403"/>
      <c r="AF2" s="405"/>
    </row>
    <row r="3" spans="1:32" ht="18.75" x14ac:dyDescent="0.2">
      <c r="A3" s="1910" t="s">
        <v>54</v>
      </c>
      <c r="B3" s="1910"/>
      <c r="C3" s="1910"/>
      <c r="D3" s="1910"/>
      <c r="E3" s="403"/>
      <c r="F3" s="403"/>
      <c r="G3" s="662"/>
      <c r="H3" s="406"/>
      <c r="I3" s="406"/>
      <c r="J3" s="406"/>
      <c r="K3" s="406"/>
      <c r="L3" s="406"/>
      <c r="M3" s="406"/>
      <c r="N3" s="406"/>
      <c r="O3" s="406"/>
      <c r="P3" s="792"/>
      <c r="Q3" s="767"/>
      <c r="R3" s="403"/>
      <c r="S3" s="403"/>
      <c r="T3" s="403"/>
      <c r="U3" s="403"/>
      <c r="V3" s="403"/>
      <c r="W3" s="403"/>
      <c r="X3" s="403"/>
      <c r="Y3" s="403"/>
      <c r="Z3" s="403"/>
      <c r="AA3" s="403"/>
      <c r="AB3" s="403"/>
      <c r="AC3" s="403"/>
      <c r="AD3" s="403"/>
      <c r="AE3" s="403"/>
      <c r="AF3" s="408" t="s">
        <v>55</v>
      </c>
    </row>
    <row r="4" spans="1:32" ht="18.75" x14ac:dyDescent="0.2">
      <c r="A4" s="663" t="s">
        <v>311</v>
      </c>
      <c r="B4" s="663"/>
      <c r="C4" s="663"/>
      <c r="D4" s="663"/>
      <c r="E4" s="663"/>
      <c r="F4" s="403"/>
      <c r="G4" s="662"/>
      <c r="H4" s="662"/>
      <c r="I4" s="406"/>
      <c r="J4" s="406"/>
      <c r="K4" s="406"/>
      <c r="L4" s="406"/>
      <c r="M4" s="406"/>
      <c r="N4" s="406"/>
      <c r="O4" s="406"/>
      <c r="P4" s="792"/>
      <c r="Q4" s="767"/>
      <c r="R4" s="410"/>
      <c r="S4" s="410"/>
      <c r="T4" s="410"/>
      <c r="U4" s="410"/>
      <c r="V4" s="410"/>
      <c r="W4" s="410"/>
      <c r="X4" s="403"/>
      <c r="Y4" s="403"/>
      <c r="Z4" s="403"/>
      <c r="AA4" s="403"/>
      <c r="AB4" s="403"/>
      <c r="AC4" s="403"/>
      <c r="AD4" s="403"/>
      <c r="AE4" s="403"/>
      <c r="AF4" s="411" t="s">
        <v>338</v>
      </c>
    </row>
    <row r="5" spans="1:32" ht="18.75" x14ac:dyDescent="0.2">
      <c r="A5" s="663" t="s">
        <v>428</v>
      </c>
      <c r="B5" s="412"/>
      <c r="C5" s="412"/>
      <c r="D5" s="412"/>
      <c r="E5" s="403"/>
      <c r="F5" s="403"/>
      <c r="G5" s="662"/>
      <c r="H5" s="662"/>
      <c r="I5" s="403"/>
      <c r="J5" s="403"/>
      <c r="K5" s="662"/>
      <c r="L5" s="662"/>
      <c r="M5" s="403"/>
      <c r="N5" s="403"/>
      <c r="O5" s="403"/>
      <c r="P5" s="413"/>
      <c r="Q5" s="768"/>
      <c r="R5" s="403"/>
      <c r="S5" s="403"/>
      <c r="T5" s="403"/>
      <c r="U5" s="403"/>
      <c r="V5" s="403"/>
      <c r="W5" s="403"/>
      <c r="X5" s="403"/>
      <c r="Y5" s="403"/>
      <c r="Z5" s="403"/>
      <c r="AA5" s="403"/>
      <c r="AB5" s="403"/>
      <c r="AC5" s="403"/>
      <c r="AD5" s="403"/>
      <c r="AE5" s="403"/>
      <c r="AF5" s="415" t="s">
        <v>429</v>
      </c>
    </row>
    <row r="6" spans="1:32" ht="18.75" x14ac:dyDescent="0.2">
      <c r="A6" s="403"/>
      <c r="B6" s="663"/>
      <c r="C6" s="663"/>
      <c r="D6" s="663"/>
      <c r="E6" s="403"/>
      <c r="F6" s="403"/>
      <c r="G6" s="662"/>
      <c r="H6" s="662"/>
      <c r="I6" s="405"/>
      <c r="J6" s="403"/>
      <c r="K6" s="662"/>
      <c r="L6" s="662"/>
      <c r="M6" s="403"/>
      <c r="N6" s="403"/>
      <c r="O6" s="403"/>
      <c r="P6" s="413"/>
      <c r="Q6" s="768"/>
      <c r="R6" s="403"/>
      <c r="S6" s="403"/>
      <c r="T6" s="403"/>
      <c r="U6" s="403"/>
      <c r="V6" s="403"/>
      <c r="W6" s="411"/>
      <c r="X6" s="403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403"/>
      <c r="G7" s="662"/>
      <c r="H7" s="662"/>
      <c r="I7" s="405"/>
      <c r="J7" s="403"/>
      <c r="K7" s="662"/>
      <c r="L7" s="662"/>
      <c r="M7" s="403"/>
      <c r="N7" s="403"/>
      <c r="O7" s="403"/>
      <c r="P7" s="413"/>
      <c r="Q7" s="768"/>
      <c r="R7" s="403"/>
      <c r="S7" s="403"/>
      <c r="T7" s="403"/>
      <c r="U7" s="403"/>
      <c r="V7" s="403"/>
      <c r="W7" s="411"/>
      <c r="X7" s="403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428</v>
      </c>
      <c r="B8" s="1911"/>
      <c r="C8" s="1911"/>
      <c r="D8" s="1911"/>
      <c r="E8" s="1911"/>
      <c r="F8" s="403"/>
      <c r="G8" s="662"/>
      <c r="H8" s="662"/>
      <c r="I8" s="405"/>
      <c r="J8" s="403"/>
      <c r="K8" s="662"/>
      <c r="L8" s="662"/>
      <c r="M8" s="403"/>
      <c r="N8" s="403"/>
      <c r="O8" s="403"/>
      <c r="P8" s="413"/>
      <c r="Q8" s="768"/>
      <c r="R8" s="403"/>
      <c r="S8" s="403"/>
      <c r="T8" s="403"/>
      <c r="U8" s="403"/>
      <c r="V8" s="403"/>
      <c r="W8" s="411"/>
      <c r="X8" s="403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403"/>
      <c r="G9" s="662"/>
      <c r="H9" s="662"/>
      <c r="I9" s="403"/>
      <c r="J9" s="403"/>
      <c r="K9" s="662"/>
      <c r="L9" s="662"/>
      <c r="M9" s="662"/>
      <c r="N9" s="662"/>
      <c r="O9" s="662"/>
      <c r="P9" s="790"/>
      <c r="Q9" s="769"/>
      <c r="R9" s="662"/>
      <c r="S9" s="662"/>
      <c r="T9" s="662"/>
      <c r="U9" s="662"/>
      <c r="V9" s="662"/>
      <c r="W9" s="403"/>
      <c r="X9" s="403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662"/>
      <c r="C10" s="662"/>
      <c r="D10" s="662"/>
      <c r="E10" s="403"/>
      <c r="F10" s="403"/>
      <c r="G10" s="662"/>
      <c r="H10" s="662"/>
      <c r="I10" s="405"/>
      <c r="J10" s="403"/>
      <c r="K10" s="662"/>
      <c r="L10" s="662"/>
      <c r="M10" s="403"/>
      <c r="N10" s="403"/>
      <c r="O10" s="403"/>
      <c r="P10" s="413"/>
      <c r="Q10" s="768"/>
      <c r="R10" s="403"/>
      <c r="S10" s="403"/>
      <c r="T10" s="403"/>
      <c r="U10" s="403"/>
      <c r="V10" s="403"/>
      <c r="W10" s="411"/>
      <c r="X10" s="403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659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770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659" t="s">
        <v>18</v>
      </c>
      <c r="AE12" s="659" t="s">
        <v>20</v>
      </c>
      <c r="AF12" s="1891" t="s">
        <v>21</v>
      </c>
    </row>
    <row r="13" spans="1:32" ht="37.5" x14ac:dyDescent="0.2">
      <c r="A13" s="1891"/>
      <c r="B13" s="1891"/>
      <c r="C13" s="1903"/>
      <c r="D13" s="664" t="s">
        <v>3</v>
      </c>
      <c r="E13" s="664" t="s">
        <v>3</v>
      </c>
      <c r="F13" s="664" t="s">
        <v>4</v>
      </c>
      <c r="G13" s="1903"/>
      <c r="H13" s="1903"/>
      <c r="I13" s="1891"/>
      <c r="J13" s="664" t="s">
        <v>7</v>
      </c>
      <c r="K13" s="664" t="s">
        <v>30</v>
      </c>
      <c r="L13" s="664" t="s">
        <v>29</v>
      </c>
      <c r="M13" s="664" t="s">
        <v>31</v>
      </c>
      <c r="N13" s="664" t="s">
        <v>32</v>
      </c>
      <c r="O13" s="664" t="s">
        <v>12</v>
      </c>
      <c r="P13" s="448" t="s">
        <v>13</v>
      </c>
      <c r="Q13" s="771" t="s">
        <v>26</v>
      </c>
      <c r="R13" s="664" t="s">
        <v>14</v>
      </c>
      <c r="S13" s="664" t="s">
        <v>25</v>
      </c>
      <c r="T13" s="664" t="s">
        <v>113</v>
      </c>
      <c r="U13" s="1903"/>
      <c r="V13" s="1903"/>
      <c r="W13" s="1903"/>
      <c r="X13" s="1903"/>
      <c r="Y13" s="664" t="s">
        <v>14</v>
      </c>
      <c r="Z13" s="664" t="s">
        <v>25</v>
      </c>
      <c r="AA13" s="664" t="s">
        <v>113</v>
      </c>
      <c r="AB13" s="1903"/>
      <c r="AC13" s="1903"/>
      <c r="AD13" s="664" t="s">
        <v>19</v>
      </c>
      <c r="AE13" s="664" t="s">
        <v>27</v>
      </c>
      <c r="AF13" s="1891"/>
    </row>
    <row r="14" spans="1:32" ht="18.75" customHeight="1" x14ac:dyDescent="0.2">
      <c r="A14" s="665">
        <v>1</v>
      </c>
      <c r="B14" s="461" t="s">
        <v>139</v>
      </c>
      <c r="C14" s="665" t="s">
        <v>46</v>
      </c>
      <c r="D14" s="665">
        <v>610.5</v>
      </c>
      <c r="E14" s="665" t="s">
        <v>203</v>
      </c>
      <c r="F14" s="665">
        <v>177.8</v>
      </c>
      <c r="G14" s="665" t="s">
        <v>28</v>
      </c>
      <c r="H14" s="195" t="s">
        <v>363</v>
      </c>
      <c r="I14" s="664">
        <v>558.54</v>
      </c>
      <c r="J14" s="665">
        <v>175</v>
      </c>
      <c r="K14" s="665"/>
      <c r="L14" s="665">
        <v>393</v>
      </c>
      <c r="M14" s="665"/>
      <c r="N14" s="665">
        <v>0</v>
      </c>
      <c r="O14" s="665"/>
      <c r="P14" s="668">
        <v>15.941108263775243</v>
      </c>
      <c r="Q14" s="772">
        <f>J14*7/100</f>
        <v>12.25</v>
      </c>
      <c r="R14" s="432">
        <v>1.9219999999999999</v>
      </c>
      <c r="S14" s="432">
        <v>6.2270000000000003</v>
      </c>
      <c r="T14" s="670">
        <v>6</v>
      </c>
      <c r="U14" s="668">
        <f t="shared" ref="U14:U77" si="0">T14/R14</f>
        <v>3.121748178980229</v>
      </c>
      <c r="V14" s="668">
        <f>(S14-R14)/S14*100</f>
        <v>69.134414645896896</v>
      </c>
      <c r="W14" s="668">
        <v>0.3</v>
      </c>
      <c r="X14" s="432">
        <f t="shared" ref="X14:X48" si="1">S14/Q14</f>
        <v>0.50832653061224498</v>
      </c>
      <c r="Y14" s="432">
        <f>R14*0.983</f>
        <v>1.8893259999999998</v>
      </c>
      <c r="Z14" s="432">
        <f>S14*0.983</f>
        <v>6.1211410000000006</v>
      </c>
      <c r="AA14" s="670">
        <f>T14*0.983</f>
        <v>5.8979999999999997</v>
      </c>
      <c r="AB14" s="432">
        <f>U14</f>
        <v>3.121748178980229</v>
      </c>
      <c r="AC14" s="670">
        <f t="shared" ref="AC14:AC78" si="2">V14</f>
        <v>69.134414645896896</v>
      </c>
      <c r="AD14" s="665">
        <v>28</v>
      </c>
      <c r="AE14" s="432">
        <f>Y14*AD14</f>
        <v>52.901127999999993</v>
      </c>
      <c r="AF14" s="669"/>
    </row>
    <row r="15" spans="1:32" ht="18.75" customHeight="1" x14ac:dyDescent="0.2">
      <c r="A15" s="705">
        <v>2</v>
      </c>
      <c r="B15" s="461" t="s">
        <v>140</v>
      </c>
      <c r="C15" s="665" t="s">
        <v>46</v>
      </c>
      <c r="D15" s="665">
        <v>585</v>
      </c>
      <c r="E15" s="665" t="s">
        <v>348</v>
      </c>
      <c r="F15" s="665">
        <v>177.8</v>
      </c>
      <c r="G15" s="665" t="s">
        <v>28</v>
      </c>
      <c r="H15" s="665" t="s">
        <v>50</v>
      </c>
      <c r="I15" s="664">
        <v>579.99</v>
      </c>
      <c r="J15" s="665" t="s">
        <v>254</v>
      </c>
      <c r="K15" s="665"/>
      <c r="L15" s="665">
        <v>411</v>
      </c>
      <c r="M15" s="665"/>
      <c r="N15" s="665">
        <v>0.6</v>
      </c>
      <c r="O15" s="665"/>
      <c r="P15" s="668">
        <v>16.141144060938966</v>
      </c>
      <c r="Q15" s="772">
        <f t="shared" ref="Q15:Q38" si="3">LEFT(H15,(FIND("K",H15,1)-1))*J15/100</f>
        <v>15</v>
      </c>
      <c r="R15" s="432">
        <v>0.84899999999999998</v>
      </c>
      <c r="S15" s="432">
        <v>1.1819999999999999</v>
      </c>
      <c r="T15" s="670">
        <v>0</v>
      </c>
      <c r="U15" s="668">
        <f t="shared" si="0"/>
        <v>0</v>
      </c>
      <c r="V15" s="668">
        <f>(S15-R15)/S15*100</f>
        <v>28.172588832487307</v>
      </c>
      <c r="W15" s="668">
        <v>0.3</v>
      </c>
      <c r="X15" s="432">
        <f t="shared" si="1"/>
        <v>7.8799999999999995E-2</v>
      </c>
      <c r="Y15" s="432">
        <f t="shared" ref="Y15:Y78" si="4">R15*0.983</f>
        <v>0.83456699999999995</v>
      </c>
      <c r="Z15" s="432">
        <f t="shared" ref="Z15:Z78" si="5">S15*0.983</f>
        <v>1.1619059999999999</v>
      </c>
      <c r="AA15" s="670">
        <f t="shared" ref="AA15:AA78" si="6">T15*0.983</f>
        <v>0</v>
      </c>
      <c r="AB15" s="432">
        <f t="shared" ref="AB15:AB78" si="7">U15</f>
        <v>0</v>
      </c>
      <c r="AC15" s="670">
        <f t="shared" si="2"/>
        <v>28.172588832487307</v>
      </c>
      <c r="AD15" s="787">
        <v>28</v>
      </c>
      <c r="AE15" s="432">
        <f t="shared" ref="AE15:AE58" si="8">Y15*AD15</f>
        <v>23.367875999999999</v>
      </c>
      <c r="AF15" s="669"/>
    </row>
    <row r="16" spans="1:32" ht="18.75" customHeight="1" x14ac:dyDescent="0.2">
      <c r="A16" s="705">
        <v>3</v>
      </c>
      <c r="B16" s="461" t="s">
        <v>141</v>
      </c>
      <c r="C16" s="665" t="s">
        <v>46</v>
      </c>
      <c r="D16" s="665">
        <v>670</v>
      </c>
      <c r="E16" s="665" t="s">
        <v>68</v>
      </c>
      <c r="F16" s="665">
        <v>177.8</v>
      </c>
      <c r="G16" s="665" t="s">
        <v>28</v>
      </c>
      <c r="H16" s="665" t="s">
        <v>218</v>
      </c>
      <c r="I16" s="664">
        <v>565.94000000000005</v>
      </c>
      <c r="J16" s="665">
        <v>210</v>
      </c>
      <c r="K16" s="665"/>
      <c r="L16" s="665">
        <v>492</v>
      </c>
      <c r="M16" s="665"/>
      <c r="N16" s="668">
        <v>9.8000000000000007</v>
      </c>
      <c r="O16" s="665"/>
      <c r="P16" s="668">
        <v>14.05623930361876</v>
      </c>
      <c r="Q16" s="772">
        <f>LEFT(H16,(FIND("K",H16,1)-1))*J16/100</f>
        <v>67.2</v>
      </c>
      <c r="R16" s="432">
        <v>11.281000000000001</v>
      </c>
      <c r="S16" s="432">
        <v>18.846</v>
      </c>
      <c r="T16" s="670">
        <v>932</v>
      </c>
      <c r="U16" s="668">
        <f t="shared" si="0"/>
        <v>82.616789291729447</v>
      </c>
      <c r="V16" s="668">
        <f t="shared" ref="V16:V77" si="9">(S16-R16)/S16*100</f>
        <v>40.141144009338845</v>
      </c>
      <c r="W16" s="668">
        <v>0.2</v>
      </c>
      <c r="X16" s="432">
        <f t="shared" si="1"/>
        <v>0.28044642857142854</v>
      </c>
      <c r="Y16" s="432">
        <f t="shared" si="4"/>
        <v>11.089223</v>
      </c>
      <c r="Z16" s="432">
        <f t="shared" si="5"/>
        <v>18.525618000000001</v>
      </c>
      <c r="AA16" s="670">
        <f t="shared" si="6"/>
        <v>916.15599999999995</v>
      </c>
      <c r="AB16" s="432">
        <f t="shared" si="7"/>
        <v>82.616789291729447</v>
      </c>
      <c r="AC16" s="670">
        <f t="shared" si="2"/>
        <v>40.141144009338845</v>
      </c>
      <c r="AD16" s="787">
        <v>28</v>
      </c>
      <c r="AE16" s="432">
        <f>Y16*AD16</f>
        <v>310.498244</v>
      </c>
      <c r="AF16" s="669"/>
    </row>
    <row r="17" spans="1:32" ht="18.75" customHeight="1" x14ac:dyDescent="0.2">
      <c r="A17" s="705">
        <v>4</v>
      </c>
      <c r="B17" s="461" t="s">
        <v>142</v>
      </c>
      <c r="C17" s="665" t="s">
        <v>46</v>
      </c>
      <c r="D17" s="665">
        <v>628</v>
      </c>
      <c r="E17" s="665" t="s">
        <v>297</v>
      </c>
      <c r="F17" s="665">
        <v>177.8</v>
      </c>
      <c r="G17" s="665" t="s">
        <v>28</v>
      </c>
      <c r="H17" s="165" t="s">
        <v>376</v>
      </c>
      <c r="I17" s="664">
        <v>540.74000000000024</v>
      </c>
      <c r="J17" s="665">
        <v>330</v>
      </c>
      <c r="K17" s="665"/>
      <c r="L17" s="665">
        <v>456</v>
      </c>
      <c r="M17" s="665"/>
      <c r="N17" s="668">
        <v>6.2</v>
      </c>
      <c r="O17" s="665"/>
      <c r="P17" s="668">
        <v>16.248099353670771</v>
      </c>
      <c r="Q17" s="772">
        <f>14*J17/100</f>
        <v>46.2</v>
      </c>
      <c r="R17" s="432">
        <v>4.12</v>
      </c>
      <c r="S17" s="432">
        <v>5.91</v>
      </c>
      <c r="T17" s="670">
        <v>22</v>
      </c>
      <c r="U17" s="668">
        <f t="shared" si="0"/>
        <v>5.3398058252427187</v>
      </c>
      <c r="V17" s="668">
        <f t="shared" si="9"/>
        <v>30.287648054145517</v>
      </c>
      <c r="W17" s="668">
        <v>0.3</v>
      </c>
      <c r="X17" s="432">
        <f t="shared" si="1"/>
        <v>0.12792207792207791</v>
      </c>
      <c r="Y17" s="432">
        <f t="shared" si="4"/>
        <v>4.0499600000000004</v>
      </c>
      <c r="Z17" s="432">
        <f t="shared" si="5"/>
        <v>5.8095299999999996</v>
      </c>
      <c r="AA17" s="670">
        <f t="shared" si="6"/>
        <v>21.626000000000001</v>
      </c>
      <c r="AB17" s="432">
        <f t="shared" si="7"/>
        <v>5.3398058252427187</v>
      </c>
      <c r="AC17" s="670">
        <f t="shared" si="2"/>
        <v>30.287648054145517</v>
      </c>
      <c r="AD17" s="787">
        <v>28</v>
      </c>
      <c r="AE17" s="432">
        <f t="shared" si="8"/>
        <v>113.39888000000002</v>
      </c>
      <c r="AF17" s="669"/>
    </row>
    <row r="18" spans="1:32" ht="18.75" customHeight="1" x14ac:dyDescent="0.2">
      <c r="A18" s="787">
        <v>5</v>
      </c>
      <c r="B18" s="461" t="s">
        <v>143</v>
      </c>
      <c r="C18" s="787" t="s">
        <v>46</v>
      </c>
      <c r="D18" s="787">
        <v>576.6</v>
      </c>
      <c r="E18" s="787" t="s">
        <v>70</v>
      </c>
      <c r="F18" s="787">
        <v>177.8</v>
      </c>
      <c r="G18" s="787" t="s">
        <v>28</v>
      </c>
      <c r="H18" s="550" t="s">
        <v>53</v>
      </c>
      <c r="I18" s="786">
        <v>546</v>
      </c>
      <c r="J18" s="787">
        <v>140</v>
      </c>
      <c r="K18" s="787"/>
      <c r="L18" s="787">
        <v>438</v>
      </c>
      <c r="M18" s="787"/>
      <c r="N18" s="787">
        <v>6.9</v>
      </c>
      <c r="O18" s="787"/>
      <c r="P18" s="668">
        <v>18.18493915082669</v>
      </c>
      <c r="Q18" s="772">
        <f t="shared" si="3"/>
        <v>18.2</v>
      </c>
      <c r="R18" s="432">
        <v>6.5709999999999997</v>
      </c>
      <c r="S18" s="432">
        <v>7.3460000000000001</v>
      </c>
      <c r="T18" s="670">
        <v>67</v>
      </c>
      <c r="U18" s="668">
        <f t="shared" si="0"/>
        <v>10.196317151118551</v>
      </c>
      <c r="V18" s="668">
        <f t="shared" si="9"/>
        <v>10.549959161448411</v>
      </c>
      <c r="W18" s="668">
        <v>0.2</v>
      </c>
      <c r="X18" s="432">
        <f>S18/Q18</f>
        <v>0.40362637362637366</v>
      </c>
      <c r="Y18" s="432">
        <f t="shared" si="4"/>
        <v>6.4592929999999997</v>
      </c>
      <c r="Z18" s="432">
        <f t="shared" si="5"/>
        <v>7.2211179999999997</v>
      </c>
      <c r="AA18" s="670">
        <f t="shared" si="6"/>
        <v>65.861000000000004</v>
      </c>
      <c r="AB18" s="432">
        <f t="shared" si="7"/>
        <v>10.196317151118551</v>
      </c>
      <c r="AC18" s="670">
        <f t="shared" si="2"/>
        <v>10.549959161448411</v>
      </c>
      <c r="AD18" s="787">
        <v>28</v>
      </c>
      <c r="AE18" s="432">
        <f t="shared" si="8"/>
        <v>180.86020399999998</v>
      </c>
      <c r="AF18" s="669"/>
    </row>
    <row r="19" spans="1:32" ht="18.75" customHeight="1" x14ac:dyDescent="0.2">
      <c r="A19" s="787">
        <v>6</v>
      </c>
      <c r="B19" s="461" t="s">
        <v>144</v>
      </c>
      <c r="C19" s="787" t="s">
        <v>46</v>
      </c>
      <c r="D19" s="787">
        <v>676.6</v>
      </c>
      <c r="E19" s="787" t="s">
        <v>71</v>
      </c>
      <c r="F19" s="787">
        <v>177.8</v>
      </c>
      <c r="G19" s="787" t="s">
        <v>28</v>
      </c>
      <c r="H19" s="787" t="s">
        <v>50</v>
      </c>
      <c r="I19" s="786">
        <v>584.32000000000005</v>
      </c>
      <c r="J19" s="787">
        <v>358</v>
      </c>
      <c r="K19" s="787"/>
      <c r="L19" s="787">
        <v>399</v>
      </c>
      <c r="M19" s="787"/>
      <c r="N19" s="787">
        <v>0.2</v>
      </c>
      <c r="O19" s="787"/>
      <c r="P19" s="668">
        <v>16.890867923491491</v>
      </c>
      <c r="Q19" s="772">
        <f t="shared" si="3"/>
        <v>21.48</v>
      </c>
      <c r="R19" s="432">
        <v>2.82</v>
      </c>
      <c r="S19" s="432">
        <v>3.6909999999999998</v>
      </c>
      <c r="T19" s="670">
        <v>0</v>
      </c>
      <c r="U19" s="668">
        <f t="shared" si="0"/>
        <v>0</v>
      </c>
      <c r="V19" s="668">
        <f t="shared" si="9"/>
        <v>23.597940937415334</v>
      </c>
      <c r="W19" s="668">
        <v>0.2</v>
      </c>
      <c r="X19" s="432">
        <f>S19/Q19</f>
        <v>0.17183426443202979</v>
      </c>
      <c r="Y19" s="432">
        <f t="shared" si="4"/>
        <v>2.7720599999999997</v>
      </c>
      <c r="Z19" s="432">
        <f t="shared" si="5"/>
        <v>3.628253</v>
      </c>
      <c r="AA19" s="670">
        <f t="shared" si="6"/>
        <v>0</v>
      </c>
      <c r="AB19" s="432">
        <v>14.613</v>
      </c>
      <c r="AC19" s="670">
        <f t="shared" si="2"/>
        <v>23.597940937415334</v>
      </c>
      <c r="AD19" s="787">
        <v>28</v>
      </c>
      <c r="AE19" s="432">
        <f t="shared" si="8"/>
        <v>77.617679999999993</v>
      </c>
      <c r="AF19" s="669"/>
    </row>
    <row r="20" spans="1:32" ht="18.75" customHeight="1" x14ac:dyDescent="0.2">
      <c r="A20" s="787">
        <v>7</v>
      </c>
      <c r="B20" s="461" t="s">
        <v>145</v>
      </c>
      <c r="C20" s="787" t="s">
        <v>46</v>
      </c>
      <c r="D20" s="787" t="s">
        <v>47</v>
      </c>
      <c r="E20" s="787" t="s">
        <v>72</v>
      </c>
      <c r="F20" s="787">
        <v>177.8</v>
      </c>
      <c r="G20" s="787" t="s">
        <v>28</v>
      </c>
      <c r="H20" s="787" t="s">
        <v>52</v>
      </c>
      <c r="I20" s="786">
        <v>560</v>
      </c>
      <c r="J20" s="787">
        <v>190</v>
      </c>
      <c r="K20" s="787"/>
      <c r="L20" s="787">
        <v>455</v>
      </c>
      <c r="M20" s="787"/>
      <c r="N20" s="787">
        <v>7.6</v>
      </c>
      <c r="O20" s="787"/>
      <c r="P20" s="668">
        <v>18.156602309959883</v>
      </c>
      <c r="Q20" s="772">
        <f t="shared" si="3"/>
        <v>41.8</v>
      </c>
      <c r="R20" s="432">
        <v>9.8170000000000002</v>
      </c>
      <c r="S20" s="432">
        <v>12.912000000000001</v>
      </c>
      <c r="T20" s="670">
        <v>120</v>
      </c>
      <c r="U20" s="668">
        <f t="shared" si="0"/>
        <v>12.223693592747274</v>
      </c>
      <c r="V20" s="668">
        <f t="shared" si="9"/>
        <v>23.969950433705083</v>
      </c>
      <c r="W20" s="668">
        <v>0.3</v>
      </c>
      <c r="X20" s="432">
        <f t="shared" si="1"/>
        <v>0.30889952153110051</v>
      </c>
      <c r="Y20" s="432">
        <f t="shared" si="4"/>
        <v>9.6501110000000008</v>
      </c>
      <c r="Z20" s="432">
        <f t="shared" si="5"/>
        <v>12.692496</v>
      </c>
      <c r="AA20" s="670">
        <f t="shared" si="6"/>
        <v>117.96</v>
      </c>
      <c r="AB20" s="432">
        <f t="shared" si="7"/>
        <v>12.223693592747274</v>
      </c>
      <c r="AC20" s="670">
        <f t="shared" si="2"/>
        <v>23.969950433705083</v>
      </c>
      <c r="AD20" s="787">
        <v>28</v>
      </c>
      <c r="AE20" s="432">
        <f t="shared" si="8"/>
        <v>270.20310800000004</v>
      </c>
      <c r="AF20" s="669"/>
    </row>
    <row r="21" spans="1:32" ht="18.75" customHeight="1" x14ac:dyDescent="0.2">
      <c r="A21" s="787">
        <v>8</v>
      </c>
      <c r="B21" s="461" t="s">
        <v>146</v>
      </c>
      <c r="C21" s="787" t="s">
        <v>46</v>
      </c>
      <c r="D21" s="787">
        <v>764</v>
      </c>
      <c r="E21" s="436" t="s">
        <v>73</v>
      </c>
      <c r="F21" s="787">
        <v>177.8</v>
      </c>
      <c r="G21" s="787" t="s">
        <v>28</v>
      </c>
      <c r="H21" s="787" t="s">
        <v>52</v>
      </c>
      <c r="I21" s="437">
        <v>550</v>
      </c>
      <c r="J21" s="787">
        <v>155</v>
      </c>
      <c r="K21" s="783"/>
      <c r="L21" s="787">
        <v>435</v>
      </c>
      <c r="M21" s="783"/>
      <c r="N21" s="787">
        <v>6.8</v>
      </c>
      <c r="O21" s="783"/>
      <c r="P21" s="668">
        <v>19.694115157832627</v>
      </c>
      <c r="Q21" s="772">
        <f t="shared" si="3"/>
        <v>34.1</v>
      </c>
      <c r="R21" s="432">
        <v>6.0739999999999998</v>
      </c>
      <c r="S21" s="432">
        <v>15.564</v>
      </c>
      <c r="T21" s="670">
        <v>89</v>
      </c>
      <c r="U21" s="668">
        <f t="shared" si="0"/>
        <v>14.652617714850182</v>
      </c>
      <c r="V21" s="668">
        <f t="shared" si="9"/>
        <v>60.974042662554616</v>
      </c>
      <c r="W21" s="668">
        <v>0.3</v>
      </c>
      <c r="X21" s="432">
        <f t="shared" si="1"/>
        <v>0.45642228739002932</v>
      </c>
      <c r="Y21" s="432">
        <f t="shared" si="4"/>
        <v>5.9707419999999995</v>
      </c>
      <c r="Z21" s="432">
        <f t="shared" si="5"/>
        <v>15.299412</v>
      </c>
      <c r="AA21" s="670">
        <f t="shared" si="6"/>
        <v>87.486999999999995</v>
      </c>
      <c r="AB21" s="432">
        <f t="shared" si="7"/>
        <v>14.652617714850182</v>
      </c>
      <c r="AC21" s="670">
        <f t="shared" si="2"/>
        <v>60.974042662554616</v>
      </c>
      <c r="AD21" s="787">
        <v>28</v>
      </c>
      <c r="AE21" s="432">
        <f t="shared" si="8"/>
        <v>167.18077599999998</v>
      </c>
      <c r="AF21" s="669"/>
    </row>
    <row r="22" spans="1:32" ht="18.75" customHeight="1" x14ac:dyDescent="0.2">
      <c r="A22" s="787">
        <v>9</v>
      </c>
      <c r="B22" s="461" t="s">
        <v>147</v>
      </c>
      <c r="C22" s="787" t="s">
        <v>46</v>
      </c>
      <c r="D22" s="787">
        <v>650.1</v>
      </c>
      <c r="E22" s="787" t="s">
        <v>74</v>
      </c>
      <c r="F22" s="787">
        <v>177.8</v>
      </c>
      <c r="G22" s="787" t="s">
        <v>28</v>
      </c>
      <c r="H22" s="787" t="s">
        <v>52</v>
      </c>
      <c r="I22" s="786">
        <v>591.98</v>
      </c>
      <c r="J22" s="787">
        <v>150</v>
      </c>
      <c r="K22" s="787"/>
      <c r="L22" s="787">
        <v>470</v>
      </c>
      <c r="M22" s="787"/>
      <c r="N22" s="787">
        <v>4.4000000000000004</v>
      </c>
      <c r="O22" s="787"/>
      <c r="P22" s="668">
        <v>13.670685903181594</v>
      </c>
      <c r="Q22" s="772">
        <f t="shared" si="3"/>
        <v>33</v>
      </c>
      <c r="R22" s="432">
        <v>4.8479999999999999</v>
      </c>
      <c r="S22" s="432">
        <v>8.5530000000000008</v>
      </c>
      <c r="T22" s="670">
        <v>14.3</v>
      </c>
      <c r="U22" s="668">
        <f t="shared" si="0"/>
        <v>2.9496699669966997</v>
      </c>
      <c r="V22" s="668">
        <f t="shared" si="9"/>
        <v>43.318133988074365</v>
      </c>
      <c r="W22" s="668">
        <v>0.2</v>
      </c>
      <c r="X22" s="432">
        <f t="shared" si="1"/>
        <v>0.25918181818181818</v>
      </c>
      <c r="Y22" s="432">
        <f t="shared" si="4"/>
        <v>4.7655839999999996</v>
      </c>
      <c r="Z22" s="432">
        <f t="shared" si="5"/>
        <v>8.4075990000000012</v>
      </c>
      <c r="AA22" s="670">
        <f t="shared" si="6"/>
        <v>14.056900000000001</v>
      </c>
      <c r="AB22" s="432">
        <f t="shared" si="7"/>
        <v>2.9496699669966997</v>
      </c>
      <c r="AC22" s="670">
        <f t="shared" si="2"/>
        <v>43.318133988074365</v>
      </c>
      <c r="AD22" s="787">
        <v>28</v>
      </c>
      <c r="AE22" s="432">
        <f t="shared" si="8"/>
        <v>133.436352</v>
      </c>
      <c r="AF22" s="669"/>
    </row>
    <row r="23" spans="1:32" ht="18.75" customHeight="1" x14ac:dyDescent="0.2">
      <c r="A23" s="732">
        <v>10</v>
      </c>
      <c r="B23" s="461" t="s">
        <v>148</v>
      </c>
      <c r="C23" s="728" t="s">
        <v>46</v>
      </c>
      <c r="D23" s="728">
        <v>580.5</v>
      </c>
      <c r="E23" s="732" t="s">
        <v>398</v>
      </c>
      <c r="F23" s="728">
        <v>177.8</v>
      </c>
      <c r="G23" s="728" t="s">
        <v>28</v>
      </c>
      <c r="H23" s="165" t="s">
        <v>399</v>
      </c>
      <c r="I23" s="754">
        <v>572.4</v>
      </c>
      <c r="J23" s="728"/>
      <c r="K23" s="728">
        <v>200</v>
      </c>
      <c r="L23" s="728"/>
      <c r="M23" s="728">
        <v>5</v>
      </c>
      <c r="N23" s="728"/>
      <c r="O23" s="728"/>
      <c r="P23" s="668"/>
      <c r="Q23" s="772">
        <f>J23*13/100</f>
        <v>0</v>
      </c>
      <c r="R23" s="432">
        <v>0</v>
      </c>
      <c r="S23" s="432">
        <v>0</v>
      </c>
      <c r="T23" s="670">
        <v>0</v>
      </c>
      <c r="U23" s="668">
        <f>IF(R23=0,0,T23/R23)</f>
        <v>0</v>
      </c>
      <c r="V23" s="668">
        <v>0</v>
      </c>
      <c r="W23" s="668">
        <v>0</v>
      </c>
      <c r="X23" s="432">
        <v>0</v>
      </c>
      <c r="Y23" s="432">
        <f t="shared" si="4"/>
        <v>0</v>
      </c>
      <c r="Z23" s="432">
        <f t="shared" si="5"/>
        <v>0</v>
      </c>
      <c r="AA23" s="670">
        <f t="shared" si="6"/>
        <v>0</v>
      </c>
      <c r="AB23" s="432">
        <f t="shared" ref="AB23" si="10">U23</f>
        <v>0</v>
      </c>
      <c r="AC23" s="670">
        <f t="shared" ref="AC23" si="11">V23</f>
        <v>0</v>
      </c>
      <c r="AD23" s="787">
        <v>0</v>
      </c>
      <c r="AE23" s="432">
        <f t="shared" ref="AE23" si="12">Y23*AD23</f>
        <v>0</v>
      </c>
      <c r="AF23" s="669"/>
    </row>
    <row r="24" spans="1:32" ht="18.75" customHeight="1" x14ac:dyDescent="0.2">
      <c r="A24" s="787">
        <v>11</v>
      </c>
      <c r="B24" s="461" t="s">
        <v>149</v>
      </c>
      <c r="C24" s="787" t="s">
        <v>46</v>
      </c>
      <c r="D24" s="787">
        <v>606.29999999999995</v>
      </c>
      <c r="E24" s="787" t="s">
        <v>76</v>
      </c>
      <c r="F24" s="787">
        <v>177.8</v>
      </c>
      <c r="G24" s="787" t="s">
        <v>28</v>
      </c>
      <c r="H24" s="787" t="s">
        <v>52</v>
      </c>
      <c r="I24" s="786">
        <v>585.29999999999995</v>
      </c>
      <c r="J24" s="787">
        <v>360</v>
      </c>
      <c r="K24" s="787"/>
      <c r="L24" s="787">
        <v>299</v>
      </c>
      <c r="M24" s="787"/>
      <c r="N24" s="787">
        <v>7.5</v>
      </c>
      <c r="O24" s="787"/>
      <c r="P24" s="668">
        <v>32.209557048424202</v>
      </c>
      <c r="Q24" s="772">
        <f t="shared" si="3"/>
        <v>79.2</v>
      </c>
      <c r="R24" s="432">
        <v>0.70099999999999996</v>
      </c>
      <c r="S24" s="432">
        <v>2.0640000000000001</v>
      </c>
      <c r="T24" s="670">
        <v>0</v>
      </c>
      <c r="U24" s="668">
        <f t="shared" si="0"/>
        <v>0</v>
      </c>
      <c r="V24" s="668">
        <f t="shared" si="9"/>
        <v>66.036821705426348</v>
      </c>
      <c r="W24" s="668">
        <v>0.3</v>
      </c>
      <c r="X24" s="432">
        <f t="shared" si="1"/>
        <v>2.6060606060606062E-2</v>
      </c>
      <c r="Y24" s="432">
        <f t="shared" si="4"/>
        <v>0.689083</v>
      </c>
      <c r="Z24" s="432">
        <f t="shared" si="5"/>
        <v>2.028912</v>
      </c>
      <c r="AA24" s="670">
        <f t="shared" si="6"/>
        <v>0</v>
      </c>
      <c r="AB24" s="432">
        <f t="shared" si="7"/>
        <v>0</v>
      </c>
      <c r="AC24" s="670">
        <f t="shared" si="2"/>
        <v>66.036821705426348</v>
      </c>
      <c r="AD24" s="787">
        <v>28</v>
      </c>
      <c r="AE24" s="432">
        <f t="shared" si="8"/>
        <v>19.294324</v>
      </c>
      <c r="AF24" s="449"/>
    </row>
    <row r="25" spans="1:32" ht="37.5" customHeight="1" x14ac:dyDescent="0.2">
      <c r="A25" s="787">
        <v>12</v>
      </c>
      <c r="B25" s="461" t="s">
        <v>150</v>
      </c>
      <c r="C25" s="787" t="s">
        <v>46</v>
      </c>
      <c r="D25" s="787">
        <v>661</v>
      </c>
      <c r="E25" s="796" t="s">
        <v>433</v>
      </c>
      <c r="F25" s="787">
        <v>177.8</v>
      </c>
      <c r="G25" s="787" t="s">
        <v>28</v>
      </c>
      <c r="H25" s="787" t="s">
        <v>53</v>
      </c>
      <c r="I25" s="786">
        <v>555.72</v>
      </c>
      <c r="J25" s="787">
        <v>200</v>
      </c>
      <c r="K25" s="787"/>
      <c r="L25" s="787">
        <v>425</v>
      </c>
      <c r="M25" s="787"/>
      <c r="N25" s="787">
        <v>0.1</v>
      </c>
      <c r="O25" s="787"/>
      <c r="P25" s="668">
        <v>14.274873102927472</v>
      </c>
      <c r="Q25" s="772">
        <f t="shared" si="3"/>
        <v>26</v>
      </c>
      <c r="R25" s="432">
        <v>0.97899999999999998</v>
      </c>
      <c r="S25" s="432">
        <v>2.089</v>
      </c>
      <c r="T25" s="670">
        <v>9</v>
      </c>
      <c r="U25" s="668">
        <f t="shared" si="0"/>
        <v>9.1930541368743626</v>
      </c>
      <c r="V25" s="668">
        <f t="shared" si="9"/>
        <v>53.135471517472467</v>
      </c>
      <c r="W25" s="668">
        <v>0.2</v>
      </c>
      <c r="X25" s="432">
        <f t="shared" si="1"/>
        <v>8.0346153846153845E-2</v>
      </c>
      <c r="Y25" s="432">
        <f t="shared" si="4"/>
        <v>0.96235700000000002</v>
      </c>
      <c r="Z25" s="432">
        <f t="shared" si="5"/>
        <v>2.0534870000000001</v>
      </c>
      <c r="AA25" s="670">
        <f t="shared" si="6"/>
        <v>8.8469999999999995</v>
      </c>
      <c r="AB25" s="432">
        <f t="shared" si="7"/>
        <v>9.1930541368743626</v>
      </c>
      <c r="AC25" s="670">
        <f t="shared" si="2"/>
        <v>53.135471517472467</v>
      </c>
      <c r="AD25" s="787">
        <v>28</v>
      </c>
      <c r="AE25" s="432">
        <f t="shared" si="8"/>
        <v>26.945996000000001</v>
      </c>
      <c r="AF25" s="669"/>
    </row>
    <row r="26" spans="1:32" ht="18.75" customHeight="1" x14ac:dyDescent="0.2">
      <c r="A26" s="787">
        <v>13</v>
      </c>
      <c r="B26" s="461" t="s">
        <v>151</v>
      </c>
      <c r="C26" s="787" t="s">
        <v>46</v>
      </c>
      <c r="D26" s="787">
        <v>675.4</v>
      </c>
      <c r="E26" s="786" t="s">
        <v>298</v>
      </c>
      <c r="F26" s="787">
        <v>177.8</v>
      </c>
      <c r="G26" s="787" t="s">
        <v>28</v>
      </c>
      <c r="H26" s="787" t="s">
        <v>52</v>
      </c>
      <c r="I26" s="786">
        <v>553.5</v>
      </c>
      <c r="J26" s="787">
        <v>300</v>
      </c>
      <c r="K26" s="787"/>
      <c r="L26" s="787">
        <v>365</v>
      </c>
      <c r="M26" s="787"/>
      <c r="N26" s="787">
        <v>6.4</v>
      </c>
      <c r="O26" s="787"/>
      <c r="P26" s="668">
        <v>25.819672484382629</v>
      </c>
      <c r="Q26" s="772">
        <f t="shared" si="3"/>
        <v>66</v>
      </c>
      <c r="R26" s="432">
        <v>10.435</v>
      </c>
      <c r="S26" s="432">
        <v>22.55</v>
      </c>
      <c r="T26" s="670">
        <v>262</v>
      </c>
      <c r="U26" s="668">
        <f t="shared" si="0"/>
        <v>25.107810253953041</v>
      </c>
      <c r="V26" s="668">
        <f t="shared" si="9"/>
        <v>53.725055432372507</v>
      </c>
      <c r="W26" s="668">
        <v>0.3</v>
      </c>
      <c r="X26" s="432">
        <f t="shared" si="1"/>
        <v>0.34166666666666667</v>
      </c>
      <c r="Y26" s="432">
        <f t="shared" si="4"/>
        <v>10.257605</v>
      </c>
      <c r="Z26" s="432">
        <f t="shared" si="5"/>
        <v>22.166650000000001</v>
      </c>
      <c r="AA26" s="670">
        <f t="shared" si="6"/>
        <v>257.54599999999999</v>
      </c>
      <c r="AB26" s="432">
        <f t="shared" si="7"/>
        <v>25.107810253953041</v>
      </c>
      <c r="AC26" s="670">
        <f t="shared" si="2"/>
        <v>53.725055432372507</v>
      </c>
      <c r="AD26" s="787">
        <v>28</v>
      </c>
      <c r="AE26" s="432">
        <f t="shared" si="8"/>
        <v>287.21294</v>
      </c>
      <c r="AF26" s="669"/>
    </row>
    <row r="27" spans="1:32" ht="18.75" customHeight="1" x14ac:dyDescent="0.2">
      <c r="A27" s="787">
        <v>14</v>
      </c>
      <c r="B27" s="461" t="s">
        <v>36</v>
      </c>
      <c r="C27" s="787" t="s">
        <v>46</v>
      </c>
      <c r="D27" s="787">
        <v>584.5</v>
      </c>
      <c r="E27" s="786" t="s">
        <v>79</v>
      </c>
      <c r="F27" s="787">
        <v>177.8</v>
      </c>
      <c r="G27" s="787" t="s">
        <v>28</v>
      </c>
      <c r="H27" s="787" t="s">
        <v>49</v>
      </c>
      <c r="I27" s="786">
        <v>525.03</v>
      </c>
      <c r="J27" s="787">
        <v>120</v>
      </c>
      <c r="K27" s="787"/>
      <c r="L27" s="787">
        <v>344</v>
      </c>
      <c r="M27" s="787"/>
      <c r="N27" s="787">
        <v>7.3</v>
      </c>
      <c r="O27" s="787"/>
      <c r="P27" s="668">
        <v>25.505868669411338</v>
      </c>
      <c r="Q27" s="772">
        <f t="shared" si="3"/>
        <v>38.4</v>
      </c>
      <c r="R27" s="432">
        <v>15.083</v>
      </c>
      <c r="S27" s="432">
        <v>25.015999999999998</v>
      </c>
      <c r="T27" s="670">
        <v>184</v>
      </c>
      <c r="U27" s="668">
        <f t="shared" si="0"/>
        <v>12.199164622422595</v>
      </c>
      <c r="V27" s="668">
        <f t="shared" si="9"/>
        <v>39.706587783818357</v>
      </c>
      <c r="W27" s="668">
        <v>0.2</v>
      </c>
      <c r="X27" s="432">
        <f t="shared" si="1"/>
        <v>0.65145833333333336</v>
      </c>
      <c r="Y27" s="432">
        <f t="shared" si="4"/>
        <v>14.826589</v>
      </c>
      <c r="Z27" s="432">
        <f t="shared" si="5"/>
        <v>24.590727999999999</v>
      </c>
      <c r="AA27" s="670">
        <f t="shared" si="6"/>
        <v>180.87199999999999</v>
      </c>
      <c r="AB27" s="432">
        <f t="shared" si="7"/>
        <v>12.199164622422595</v>
      </c>
      <c r="AC27" s="670">
        <f t="shared" si="2"/>
        <v>39.706587783818357</v>
      </c>
      <c r="AD27" s="787">
        <v>28</v>
      </c>
      <c r="AE27" s="432">
        <f t="shared" si="8"/>
        <v>415.14449200000001</v>
      </c>
      <c r="AF27" s="669"/>
    </row>
    <row r="28" spans="1:32" ht="18.75" customHeight="1" x14ac:dyDescent="0.2">
      <c r="A28" s="787">
        <v>15</v>
      </c>
      <c r="B28" s="461" t="s">
        <v>152</v>
      </c>
      <c r="C28" s="787" t="s">
        <v>46</v>
      </c>
      <c r="D28" s="787">
        <v>565</v>
      </c>
      <c r="E28" s="786" t="s">
        <v>80</v>
      </c>
      <c r="F28" s="787">
        <v>177.8</v>
      </c>
      <c r="G28" s="787" t="s">
        <v>28</v>
      </c>
      <c r="H28" s="165" t="s">
        <v>399</v>
      </c>
      <c r="I28" s="437">
        <v>520.03</v>
      </c>
      <c r="J28" s="787">
        <v>245</v>
      </c>
      <c r="K28" s="787"/>
      <c r="L28" s="787">
        <v>405</v>
      </c>
      <c r="M28" s="787"/>
      <c r="N28" s="787">
        <v>9.4</v>
      </c>
      <c r="O28" s="787"/>
      <c r="P28" s="668">
        <v>21.552946254039007</v>
      </c>
      <c r="Q28" s="772">
        <f>J28*13/100</f>
        <v>31.85</v>
      </c>
      <c r="R28" s="432">
        <v>10.337</v>
      </c>
      <c r="S28" s="432">
        <v>17.056999999999999</v>
      </c>
      <c r="T28" s="670">
        <v>1359</v>
      </c>
      <c r="U28" s="668">
        <f t="shared" si="0"/>
        <v>131.46947857211958</v>
      </c>
      <c r="V28" s="668">
        <f t="shared" si="9"/>
        <v>39.39731488538429</v>
      </c>
      <c r="W28" s="668">
        <v>0.2</v>
      </c>
      <c r="X28" s="432">
        <f t="shared" si="1"/>
        <v>0.5355416012558869</v>
      </c>
      <c r="Y28" s="432">
        <f t="shared" si="4"/>
        <v>10.161270999999999</v>
      </c>
      <c r="Z28" s="432">
        <f t="shared" si="5"/>
        <v>16.767030999999999</v>
      </c>
      <c r="AA28" s="670">
        <f t="shared" si="6"/>
        <v>1335.8969999999999</v>
      </c>
      <c r="AB28" s="432">
        <f t="shared" si="7"/>
        <v>131.46947857211958</v>
      </c>
      <c r="AC28" s="670">
        <f t="shared" si="2"/>
        <v>39.39731488538429</v>
      </c>
      <c r="AD28" s="787">
        <v>28</v>
      </c>
      <c r="AE28" s="432">
        <f t="shared" si="8"/>
        <v>284.51558799999998</v>
      </c>
      <c r="AF28" s="669"/>
    </row>
    <row r="29" spans="1:32" ht="18.75" customHeight="1" x14ac:dyDescent="0.2">
      <c r="A29" s="787">
        <v>16</v>
      </c>
      <c r="B29" s="461" t="s">
        <v>37</v>
      </c>
      <c r="C29" s="787" t="s">
        <v>46</v>
      </c>
      <c r="D29" s="787">
        <v>670</v>
      </c>
      <c r="E29" s="787" t="s">
        <v>81</v>
      </c>
      <c r="F29" s="787">
        <v>177.8</v>
      </c>
      <c r="G29" s="787" t="s">
        <v>28</v>
      </c>
      <c r="H29" s="787" t="s">
        <v>48</v>
      </c>
      <c r="I29" s="786">
        <v>570.95000000000005</v>
      </c>
      <c r="J29" s="787">
        <v>85</v>
      </c>
      <c r="K29" s="787"/>
      <c r="L29" s="787">
        <v>449</v>
      </c>
      <c r="M29" s="787"/>
      <c r="N29" s="787">
        <v>5.7</v>
      </c>
      <c r="O29" s="787"/>
      <c r="P29" s="668">
        <v>18.298641959785716</v>
      </c>
      <c r="Q29" s="772">
        <f t="shared" si="3"/>
        <v>11.05</v>
      </c>
      <c r="R29" s="432">
        <v>3.0659999999999998</v>
      </c>
      <c r="S29" s="432">
        <v>6.0369999999999999</v>
      </c>
      <c r="T29" s="670">
        <v>6.7</v>
      </c>
      <c r="U29" s="668">
        <f t="shared" si="0"/>
        <v>2.1852576647097197</v>
      </c>
      <c r="V29" s="668">
        <f t="shared" si="9"/>
        <v>49.213185356965383</v>
      </c>
      <c r="W29" s="668">
        <v>0.4</v>
      </c>
      <c r="X29" s="432">
        <f t="shared" si="1"/>
        <v>0.54633484162895929</v>
      </c>
      <c r="Y29" s="432">
        <f t="shared" si="4"/>
        <v>3.0138779999999996</v>
      </c>
      <c r="Z29" s="432">
        <f t="shared" si="5"/>
        <v>5.9343709999999996</v>
      </c>
      <c r="AA29" s="670">
        <f t="shared" si="6"/>
        <v>6.5861000000000001</v>
      </c>
      <c r="AB29" s="432">
        <f t="shared" si="7"/>
        <v>2.1852576647097197</v>
      </c>
      <c r="AC29" s="670">
        <f t="shared" si="2"/>
        <v>49.213185356965383</v>
      </c>
      <c r="AD29" s="787">
        <v>28</v>
      </c>
      <c r="AE29" s="432">
        <f>Y29*AD29</f>
        <v>84.388583999999994</v>
      </c>
      <c r="AF29" s="449"/>
    </row>
    <row r="30" spans="1:32" ht="18.75" customHeight="1" x14ac:dyDescent="0.2">
      <c r="A30" s="787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295</v>
      </c>
      <c r="K30" s="461"/>
      <c r="L30" s="461">
        <v>504</v>
      </c>
      <c r="M30" s="461"/>
      <c r="N30" s="461">
        <v>11.9</v>
      </c>
      <c r="O30" s="461"/>
      <c r="P30" s="671">
        <v>17.046964725797302</v>
      </c>
      <c r="Q30" s="772">
        <f>J30*33/100</f>
        <v>97.35</v>
      </c>
      <c r="R30" s="672">
        <v>13.244999999999999</v>
      </c>
      <c r="S30" s="432">
        <v>17.649000000000001</v>
      </c>
      <c r="T30" s="699">
        <v>285</v>
      </c>
      <c r="U30" s="671">
        <f t="shared" si="0"/>
        <v>21.517553793884485</v>
      </c>
      <c r="V30" s="668">
        <f t="shared" si="9"/>
        <v>24.953255141934395</v>
      </c>
      <c r="W30" s="671">
        <v>0.3</v>
      </c>
      <c r="X30" s="672">
        <f t="shared" si="1"/>
        <v>0.18129429892141757</v>
      </c>
      <c r="Y30" s="432">
        <f t="shared" si="4"/>
        <v>13.019834999999999</v>
      </c>
      <c r="Z30" s="432">
        <f t="shared" si="5"/>
        <v>17.348967000000002</v>
      </c>
      <c r="AA30" s="670">
        <f t="shared" si="6"/>
        <v>280.15499999999997</v>
      </c>
      <c r="AB30" s="672">
        <f t="shared" si="7"/>
        <v>21.517553793884485</v>
      </c>
      <c r="AC30" s="699">
        <f t="shared" si="2"/>
        <v>24.953255141934395</v>
      </c>
      <c r="AD30" s="787">
        <v>28</v>
      </c>
      <c r="AE30" s="672">
        <f>Y30*AD30</f>
        <v>364.55537999999996</v>
      </c>
      <c r="AF30" s="461"/>
    </row>
    <row r="31" spans="1:32" ht="18.75" customHeight="1" x14ac:dyDescent="0.2">
      <c r="A31" s="787">
        <v>18</v>
      </c>
      <c r="B31" s="461" t="s">
        <v>154</v>
      </c>
      <c r="C31" s="461" t="s">
        <v>46</v>
      </c>
      <c r="D31" s="443">
        <v>644.79999999999995</v>
      </c>
      <c r="E31" s="436" t="s">
        <v>421</v>
      </c>
      <c r="F31" s="787">
        <v>177.8</v>
      </c>
      <c r="G31" s="787" t="s">
        <v>28</v>
      </c>
      <c r="H31" s="241" t="s">
        <v>364</v>
      </c>
      <c r="I31" s="437">
        <v>565.80999999999995</v>
      </c>
      <c r="J31" s="787">
        <v>205</v>
      </c>
      <c r="K31" s="787"/>
      <c r="L31" s="787">
        <v>492</v>
      </c>
      <c r="M31" s="787"/>
      <c r="N31" s="787">
        <v>9.6</v>
      </c>
      <c r="O31" s="787"/>
      <c r="P31" s="668">
        <v>17.484023962538895</v>
      </c>
      <c r="Q31" s="772">
        <f>J31*13/100</f>
        <v>26.65</v>
      </c>
      <c r="R31" s="432">
        <v>4.3040000000000003</v>
      </c>
      <c r="S31" s="432">
        <v>9.3049999999999997</v>
      </c>
      <c r="T31" s="670">
        <v>147</v>
      </c>
      <c r="U31" s="671">
        <f t="shared" si="0"/>
        <v>34.1542750929368</v>
      </c>
      <c r="V31" s="668">
        <f t="shared" si="9"/>
        <v>53.7452982267598</v>
      </c>
      <c r="W31" s="668">
        <v>0.2</v>
      </c>
      <c r="X31" s="672">
        <f t="shared" si="1"/>
        <v>0.34915572232645403</v>
      </c>
      <c r="Y31" s="432">
        <f t="shared" si="4"/>
        <v>4.2308320000000004</v>
      </c>
      <c r="Z31" s="432">
        <f t="shared" si="5"/>
        <v>9.1468150000000001</v>
      </c>
      <c r="AA31" s="670">
        <f t="shared" si="6"/>
        <v>144.501</v>
      </c>
      <c r="AB31" s="432">
        <v>0</v>
      </c>
      <c r="AC31" s="699">
        <f t="shared" si="2"/>
        <v>53.7452982267598</v>
      </c>
      <c r="AD31" s="787">
        <v>28</v>
      </c>
      <c r="AE31" s="672">
        <f>Y31*AD31</f>
        <v>118.46329600000001</v>
      </c>
      <c r="AF31" s="669"/>
    </row>
    <row r="32" spans="1:32" ht="18.75" customHeight="1" x14ac:dyDescent="0.2">
      <c r="A32" s="787">
        <v>19</v>
      </c>
      <c r="B32" s="461" t="s">
        <v>38</v>
      </c>
      <c r="C32" s="787" t="s">
        <v>46</v>
      </c>
      <c r="D32" s="668">
        <v>580</v>
      </c>
      <c r="E32" s="787" t="s">
        <v>84</v>
      </c>
      <c r="F32" s="787">
        <v>177.8</v>
      </c>
      <c r="G32" s="787" t="s">
        <v>28</v>
      </c>
      <c r="H32" s="165" t="s">
        <v>379</v>
      </c>
      <c r="I32" s="786">
        <v>563.79</v>
      </c>
      <c r="J32" s="787">
        <v>195</v>
      </c>
      <c r="K32" s="787"/>
      <c r="L32" s="787">
        <v>505</v>
      </c>
      <c r="M32" s="787"/>
      <c r="N32" s="787">
        <v>0.2</v>
      </c>
      <c r="O32" s="787"/>
      <c r="P32" s="668">
        <v>4.8084675668304335</v>
      </c>
      <c r="Q32" s="772">
        <f>J32*7/100</f>
        <v>13.65</v>
      </c>
      <c r="R32" s="432">
        <v>1.1200000000000001</v>
      </c>
      <c r="S32" s="432">
        <v>3.1909999999999998</v>
      </c>
      <c r="T32" s="670">
        <v>0</v>
      </c>
      <c r="U32" s="671">
        <f t="shared" si="0"/>
        <v>0</v>
      </c>
      <c r="V32" s="668">
        <f t="shared" si="9"/>
        <v>64.901284863679081</v>
      </c>
      <c r="W32" s="668">
        <v>0.2</v>
      </c>
      <c r="X32" s="672">
        <f t="shared" si="1"/>
        <v>0.23377289377289376</v>
      </c>
      <c r="Y32" s="432">
        <f t="shared" si="4"/>
        <v>1.1009600000000002</v>
      </c>
      <c r="Z32" s="432">
        <f t="shared" si="5"/>
        <v>3.1367529999999997</v>
      </c>
      <c r="AA32" s="670">
        <f t="shared" si="6"/>
        <v>0</v>
      </c>
      <c r="AB32" s="432">
        <f>U32</f>
        <v>0</v>
      </c>
      <c r="AC32" s="699">
        <f t="shared" si="2"/>
        <v>64.901284863679081</v>
      </c>
      <c r="AD32" s="787">
        <v>28</v>
      </c>
      <c r="AE32" s="432">
        <f t="shared" si="8"/>
        <v>30.826880000000003</v>
      </c>
      <c r="AF32" s="669"/>
    </row>
    <row r="33" spans="1:32" ht="18.75" customHeight="1" x14ac:dyDescent="0.2">
      <c r="A33" s="787">
        <v>20</v>
      </c>
      <c r="B33" s="461" t="s">
        <v>39</v>
      </c>
      <c r="C33" s="787" t="s">
        <v>46</v>
      </c>
      <c r="D33" s="787">
        <v>728.6</v>
      </c>
      <c r="E33" s="165" t="s">
        <v>411</v>
      </c>
      <c r="F33" s="787">
        <v>177.8</v>
      </c>
      <c r="G33" s="787" t="s">
        <v>28</v>
      </c>
      <c r="H33" s="165" t="s">
        <v>380</v>
      </c>
      <c r="I33" s="786">
        <v>551.77</v>
      </c>
      <c r="J33" s="787">
        <v>350</v>
      </c>
      <c r="K33" s="787"/>
      <c r="L33" s="787">
        <v>466</v>
      </c>
      <c r="M33" s="787"/>
      <c r="N33" s="787">
        <v>5.2</v>
      </c>
      <c r="O33" s="787"/>
      <c r="P33" s="668">
        <v>14.517758702373023</v>
      </c>
      <c r="Q33" s="772">
        <f>J33*23/100</f>
        <v>80.5</v>
      </c>
      <c r="R33" s="432">
        <v>4.0519999999999996</v>
      </c>
      <c r="S33" s="432">
        <v>10.128</v>
      </c>
      <c r="T33" s="670">
        <v>283.5</v>
      </c>
      <c r="U33" s="671">
        <f t="shared" si="0"/>
        <v>69.965449160908207</v>
      </c>
      <c r="V33" s="668">
        <f t="shared" si="9"/>
        <v>59.992101105845187</v>
      </c>
      <c r="W33" s="668">
        <v>0.2</v>
      </c>
      <c r="X33" s="672">
        <f t="shared" si="1"/>
        <v>0.1258136645962733</v>
      </c>
      <c r="Y33" s="432">
        <f t="shared" si="4"/>
        <v>3.9831159999999994</v>
      </c>
      <c r="Z33" s="432">
        <f t="shared" si="5"/>
        <v>9.9558239999999998</v>
      </c>
      <c r="AA33" s="670">
        <f t="shared" si="6"/>
        <v>278.68049999999999</v>
      </c>
      <c r="AB33" s="432">
        <f t="shared" si="7"/>
        <v>69.965449160908207</v>
      </c>
      <c r="AC33" s="699">
        <f t="shared" si="2"/>
        <v>59.992101105845187</v>
      </c>
      <c r="AD33" s="787">
        <v>28</v>
      </c>
      <c r="AE33" s="432">
        <f t="shared" si="8"/>
        <v>111.52724799999999</v>
      </c>
      <c r="AF33" s="669"/>
    </row>
    <row r="34" spans="1:32" ht="18.75" customHeight="1" x14ac:dyDescent="0.2">
      <c r="A34" s="732">
        <v>21</v>
      </c>
      <c r="B34" s="461" t="s">
        <v>40</v>
      </c>
      <c r="C34" s="665" t="s">
        <v>46</v>
      </c>
      <c r="D34" s="665">
        <v>679.7</v>
      </c>
      <c r="E34" s="665" t="s">
        <v>86</v>
      </c>
      <c r="F34" s="665">
        <v>177.8</v>
      </c>
      <c r="G34" s="665" t="s">
        <v>28</v>
      </c>
      <c r="H34" s="165" t="s">
        <v>379</v>
      </c>
      <c r="I34" s="664">
        <v>592.84</v>
      </c>
      <c r="J34" s="665">
        <v>0</v>
      </c>
      <c r="K34" s="665"/>
      <c r="L34" s="665"/>
      <c r="M34" s="665"/>
      <c r="N34" s="665"/>
      <c r="O34" s="665"/>
      <c r="P34" s="668"/>
      <c r="Q34" s="772">
        <f>J34*7/100</f>
        <v>0</v>
      </c>
      <c r="R34" s="432">
        <v>0</v>
      </c>
      <c r="S34" s="432">
        <v>0</v>
      </c>
      <c r="T34" s="670">
        <v>0</v>
      </c>
      <c r="U34" s="668">
        <f>IF(R34=0,0,T34/R34)</f>
        <v>0</v>
      </c>
      <c r="V34" s="668">
        <v>0</v>
      </c>
      <c r="W34" s="668">
        <v>0</v>
      </c>
      <c r="X34" s="672">
        <v>0</v>
      </c>
      <c r="Y34" s="432">
        <f t="shared" si="4"/>
        <v>0</v>
      </c>
      <c r="Z34" s="432">
        <f t="shared" si="5"/>
        <v>0</v>
      </c>
      <c r="AA34" s="670">
        <f t="shared" si="6"/>
        <v>0</v>
      </c>
      <c r="AB34" s="432">
        <f t="shared" si="7"/>
        <v>0</v>
      </c>
      <c r="AC34" s="699">
        <f t="shared" si="2"/>
        <v>0</v>
      </c>
      <c r="AD34" s="787">
        <v>0</v>
      </c>
      <c r="AE34" s="432">
        <f>Y34*AD34</f>
        <v>0</v>
      </c>
      <c r="AF34" s="449" t="s">
        <v>431</v>
      </c>
    </row>
    <row r="35" spans="1:32" ht="18.75" customHeight="1" x14ac:dyDescent="0.2">
      <c r="A35" s="732">
        <v>22</v>
      </c>
      <c r="B35" s="461" t="s">
        <v>41</v>
      </c>
      <c r="C35" s="665" t="s">
        <v>46</v>
      </c>
      <c r="D35" s="665">
        <v>573.70000000000005</v>
      </c>
      <c r="E35" s="665" t="s">
        <v>87</v>
      </c>
      <c r="F35" s="665">
        <v>177.8</v>
      </c>
      <c r="G35" s="665" t="s">
        <v>28</v>
      </c>
      <c r="H35" s="665" t="s">
        <v>52</v>
      </c>
      <c r="I35" s="664">
        <v>554.30999999999995</v>
      </c>
      <c r="J35" s="665">
        <v>320</v>
      </c>
      <c r="K35" s="665"/>
      <c r="L35" s="665">
        <v>472</v>
      </c>
      <c r="M35" s="665"/>
      <c r="N35" s="665">
        <v>6.5</v>
      </c>
      <c r="O35" s="665"/>
      <c r="P35" s="668">
        <v>13.686556093688546</v>
      </c>
      <c r="Q35" s="772">
        <f t="shared" si="3"/>
        <v>70.400000000000006</v>
      </c>
      <c r="R35" s="432">
        <v>9.0779999999999994</v>
      </c>
      <c r="S35" s="432">
        <v>11.885999999999999</v>
      </c>
      <c r="T35" s="670">
        <v>315</v>
      </c>
      <c r="U35" s="668">
        <f t="shared" si="0"/>
        <v>34.699272967614014</v>
      </c>
      <c r="V35" s="668">
        <f t="shared" si="9"/>
        <v>23.624432104997474</v>
      </c>
      <c r="W35" s="668">
        <v>0.2</v>
      </c>
      <c r="X35" s="432">
        <f t="shared" si="1"/>
        <v>0.16883522727272726</v>
      </c>
      <c r="Y35" s="432">
        <f t="shared" si="4"/>
        <v>8.9236740000000001</v>
      </c>
      <c r="Z35" s="432">
        <f t="shared" si="5"/>
        <v>11.683937999999999</v>
      </c>
      <c r="AA35" s="670">
        <f t="shared" si="6"/>
        <v>309.64499999999998</v>
      </c>
      <c r="AB35" s="432">
        <v>89.536086956521729</v>
      </c>
      <c r="AC35" s="699">
        <f t="shared" si="2"/>
        <v>23.624432104997474</v>
      </c>
      <c r="AD35" s="787">
        <v>28</v>
      </c>
      <c r="AE35" s="432">
        <f t="shared" si="8"/>
        <v>249.86287200000001</v>
      </c>
      <c r="AF35" s="673"/>
    </row>
    <row r="36" spans="1:32" ht="18.75" customHeight="1" x14ac:dyDescent="0.2">
      <c r="A36" s="787">
        <v>23</v>
      </c>
      <c r="B36" s="461" t="s">
        <v>42</v>
      </c>
      <c r="C36" s="787" t="s">
        <v>46</v>
      </c>
      <c r="D36" s="787">
        <v>583.20000000000005</v>
      </c>
      <c r="E36" s="787" t="s">
        <v>434</v>
      </c>
      <c r="F36" s="787">
        <v>177.8</v>
      </c>
      <c r="G36" s="787" t="s">
        <v>28</v>
      </c>
      <c r="H36" s="787" t="s">
        <v>48</v>
      </c>
      <c r="I36" s="786">
        <v>565.09</v>
      </c>
      <c r="J36" s="787">
        <v>120</v>
      </c>
      <c r="K36" s="787"/>
      <c r="L36" s="787">
        <v>201</v>
      </c>
      <c r="M36" s="787"/>
      <c r="N36" s="787">
        <v>6.6</v>
      </c>
      <c r="O36" s="787"/>
      <c r="P36" s="668">
        <v>42.840669229642408</v>
      </c>
      <c r="Q36" s="772">
        <f t="shared" si="3"/>
        <v>15.6</v>
      </c>
      <c r="R36" s="432">
        <v>1.992</v>
      </c>
      <c r="S36" s="432">
        <v>10.641</v>
      </c>
      <c r="T36" s="670">
        <v>0</v>
      </c>
      <c r="U36" s="668">
        <f t="shared" si="0"/>
        <v>0</v>
      </c>
      <c r="V36" s="668">
        <f t="shared" si="9"/>
        <v>81.279954891457578</v>
      </c>
      <c r="W36" s="668">
        <v>7</v>
      </c>
      <c r="X36" s="432">
        <f t="shared" si="1"/>
        <v>0.68211538461538468</v>
      </c>
      <c r="Y36" s="432">
        <f t="shared" si="4"/>
        <v>1.9581359999999999</v>
      </c>
      <c r="Z36" s="432">
        <f t="shared" si="5"/>
        <v>10.460103</v>
      </c>
      <c r="AA36" s="670">
        <f t="shared" si="6"/>
        <v>0</v>
      </c>
      <c r="AB36" s="432">
        <f t="shared" si="7"/>
        <v>0</v>
      </c>
      <c r="AC36" s="670">
        <f t="shared" si="2"/>
        <v>81.279954891457578</v>
      </c>
      <c r="AD36" s="787">
        <v>28</v>
      </c>
      <c r="AE36" s="432">
        <f t="shared" si="8"/>
        <v>54.827807999999997</v>
      </c>
      <c r="AF36" s="449"/>
    </row>
    <row r="37" spans="1:32" ht="18.75" customHeight="1" x14ac:dyDescent="0.2">
      <c r="A37" s="787">
        <v>24</v>
      </c>
      <c r="B37" s="461" t="s">
        <v>43</v>
      </c>
      <c r="C37" s="787" t="s">
        <v>46</v>
      </c>
      <c r="D37" s="787">
        <v>682.7</v>
      </c>
      <c r="E37" s="787" t="s">
        <v>435</v>
      </c>
      <c r="F37" s="787">
        <v>177.8</v>
      </c>
      <c r="G37" s="787" t="s">
        <v>28</v>
      </c>
      <c r="H37" s="165" t="s">
        <v>399</v>
      </c>
      <c r="I37" s="446">
        <v>550.47</v>
      </c>
      <c r="J37" s="787">
        <v>200</v>
      </c>
      <c r="K37" s="787"/>
      <c r="L37" s="787">
        <v>345</v>
      </c>
      <c r="M37" s="787"/>
      <c r="N37" s="787">
        <v>6.8</v>
      </c>
      <c r="O37" s="787"/>
      <c r="P37" s="668">
        <v>28.561507146045461</v>
      </c>
      <c r="Q37" s="772">
        <f>J37*13/100</f>
        <v>26</v>
      </c>
      <c r="R37" s="432">
        <v>3.6059999999999999</v>
      </c>
      <c r="S37" s="432">
        <v>24.484999999999999</v>
      </c>
      <c r="T37" s="670">
        <v>19</v>
      </c>
      <c r="U37" s="668">
        <f t="shared" si="0"/>
        <v>5.2689961175818079</v>
      </c>
      <c r="V37" s="668">
        <f t="shared" si="9"/>
        <v>85.272615887277908</v>
      </c>
      <c r="W37" s="668">
        <v>0.3</v>
      </c>
      <c r="X37" s="432">
        <f t="shared" si="1"/>
        <v>0.94173076923076926</v>
      </c>
      <c r="Y37" s="432">
        <f t="shared" si="4"/>
        <v>3.5446979999999999</v>
      </c>
      <c r="Z37" s="432">
        <f t="shared" si="5"/>
        <v>24.068754999999999</v>
      </c>
      <c r="AA37" s="670">
        <f t="shared" si="6"/>
        <v>18.677</v>
      </c>
      <c r="AB37" s="432">
        <f t="shared" si="7"/>
        <v>5.2689961175818079</v>
      </c>
      <c r="AC37" s="670">
        <f t="shared" si="2"/>
        <v>85.272615887277908</v>
      </c>
      <c r="AD37" s="787">
        <v>28</v>
      </c>
      <c r="AE37" s="432">
        <f t="shared" si="8"/>
        <v>99.251543999999996</v>
      </c>
      <c r="AF37" s="669"/>
    </row>
    <row r="38" spans="1:32" ht="18.75" customHeight="1" x14ac:dyDescent="0.2">
      <c r="A38" s="787">
        <v>25</v>
      </c>
      <c r="B38" s="461" t="s">
        <v>44</v>
      </c>
      <c r="C38" s="787" t="s">
        <v>46</v>
      </c>
      <c r="D38" s="787">
        <v>614.20000000000005</v>
      </c>
      <c r="E38" s="787" t="s">
        <v>90</v>
      </c>
      <c r="F38" s="787">
        <v>177.8</v>
      </c>
      <c r="G38" s="787" t="s">
        <v>28</v>
      </c>
      <c r="H38" s="787" t="s">
        <v>52</v>
      </c>
      <c r="I38" s="446">
        <v>573.37</v>
      </c>
      <c r="J38" s="787">
        <v>285</v>
      </c>
      <c r="K38" s="787"/>
      <c r="L38" s="787">
        <v>269</v>
      </c>
      <c r="M38" s="787"/>
      <c r="N38" s="787">
        <v>7.7</v>
      </c>
      <c r="O38" s="787"/>
      <c r="P38" s="668">
        <v>37.36471128477514</v>
      </c>
      <c r="Q38" s="772">
        <f t="shared" si="3"/>
        <v>62.7</v>
      </c>
      <c r="R38" s="432">
        <v>10.683</v>
      </c>
      <c r="S38" s="432">
        <v>49.427999999999997</v>
      </c>
      <c r="T38" s="670">
        <v>216</v>
      </c>
      <c r="U38" s="668">
        <f t="shared" si="0"/>
        <v>20.219039595619208</v>
      </c>
      <c r="V38" s="668">
        <f t="shared" si="9"/>
        <v>78.386744355426075</v>
      </c>
      <c r="W38" s="668">
        <v>0.4</v>
      </c>
      <c r="X38" s="432">
        <f t="shared" si="1"/>
        <v>0.78832535885167454</v>
      </c>
      <c r="Y38" s="432">
        <f t="shared" si="4"/>
        <v>10.501389</v>
      </c>
      <c r="Z38" s="432">
        <f t="shared" si="5"/>
        <v>48.587723999999994</v>
      </c>
      <c r="AA38" s="670">
        <f t="shared" si="6"/>
        <v>212.328</v>
      </c>
      <c r="AB38" s="432">
        <f t="shared" si="7"/>
        <v>20.219039595619208</v>
      </c>
      <c r="AC38" s="670">
        <f t="shared" si="2"/>
        <v>78.386744355426075</v>
      </c>
      <c r="AD38" s="787">
        <v>28</v>
      </c>
      <c r="AE38" s="432">
        <f t="shared" si="8"/>
        <v>294.03889199999998</v>
      </c>
      <c r="AF38" s="669"/>
    </row>
    <row r="39" spans="1:32" ht="18.75" customHeight="1" x14ac:dyDescent="0.2">
      <c r="A39" s="787">
        <v>26</v>
      </c>
      <c r="B39" s="461" t="s">
        <v>45</v>
      </c>
      <c r="C39" s="787" t="s">
        <v>46</v>
      </c>
      <c r="D39" s="787">
        <v>636.4</v>
      </c>
      <c r="E39" s="787" t="s">
        <v>91</v>
      </c>
      <c r="F39" s="787">
        <v>177.8</v>
      </c>
      <c r="G39" s="787" t="s">
        <v>28</v>
      </c>
      <c r="H39" s="787" t="s">
        <v>52</v>
      </c>
      <c r="I39" s="786">
        <v>592.95000000000005</v>
      </c>
      <c r="J39" s="787">
        <v>300</v>
      </c>
      <c r="K39" s="787"/>
      <c r="L39" s="787">
        <v>501</v>
      </c>
      <c r="M39" s="787"/>
      <c r="N39" s="787">
        <v>10.4</v>
      </c>
      <c r="O39" s="787"/>
      <c r="P39" s="668">
        <v>16.632950788597405</v>
      </c>
      <c r="Q39" s="772">
        <f>LEFT(H39,(FIND("K",H39,1)-1))*J39/100</f>
        <v>66</v>
      </c>
      <c r="R39" s="432">
        <v>9.8190000000000008</v>
      </c>
      <c r="S39" s="432">
        <v>27.991</v>
      </c>
      <c r="T39" s="670">
        <v>303</v>
      </c>
      <c r="U39" s="668">
        <f t="shared" si="0"/>
        <v>30.858539566147265</v>
      </c>
      <c r="V39" s="668">
        <f t="shared" si="9"/>
        <v>64.920867421671247</v>
      </c>
      <c r="W39" s="668">
        <v>0.2</v>
      </c>
      <c r="X39" s="432">
        <f t="shared" si="1"/>
        <v>0.4241060606060606</v>
      </c>
      <c r="Y39" s="432">
        <f t="shared" si="4"/>
        <v>9.6520770000000002</v>
      </c>
      <c r="Z39" s="432">
        <f t="shared" si="5"/>
        <v>27.515152999999998</v>
      </c>
      <c r="AA39" s="670">
        <f t="shared" si="6"/>
        <v>297.84899999999999</v>
      </c>
      <c r="AB39" s="432">
        <f t="shared" si="7"/>
        <v>30.858539566147265</v>
      </c>
      <c r="AC39" s="670">
        <f t="shared" si="2"/>
        <v>64.920867421671247</v>
      </c>
      <c r="AD39" s="787">
        <v>28</v>
      </c>
      <c r="AE39" s="432">
        <f t="shared" si="8"/>
        <v>270.25815599999999</v>
      </c>
      <c r="AF39" s="669"/>
    </row>
    <row r="40" spans="1:32" ht="18.75" customHeight="1" x14ac:dyDescent="0.2">
      <c r="A40" s="787">
        <v>27</v>
      </c>
      <c r="B40" s="461" t="s">
        <v>206</v>
      </c>
      <c r="C40" s="787" t="s">
        <v>46</v>
      </c>
      <c r="D40" s="787">
        <v>660.2</v>
      </c>
      <c r="E40" s="787" t="s">
        <v>436</v>
      </c>
      <c r="F40" s="787">
        <v>177.8</v>
      </c>
      <c r="G40" s="787" t="s">
        <v>28</v>
      </c>
      <c r="H40" s="787" t="s">
        <v>212</v>
      </c>
      <c r="I40" s="786">
        <v>547.63</v>
      </c>
      <c r="J40" s="787">
        <v>160</v>
      </c>
      <c r="K40" s="787"/>
      <c r="L40" s="787">
        <v>207</v>
      </c>
      <c r="M40" s="787"/>
      <c r="N40" s="787">
        <v>8.5</v>
      </c>
      <c r="O40" s="787"/>
      <c r="P40" s="668">
        <v>41.819856746170139</v>
      </c>
      <c r="Q40" s="772">
        <f t="shared" ref="Q40:Q76" si="13">LEFT(H40,(FIND("K",H40,1)-1))*J40/100</f>
        <v>12.8</v>
      </c>
      <c r="R40" s="432">
        <v>5.625</v>
      </c>
      <c r="S40" s="432">
        <v>10.34</v>
      </c>
      <c r="T40" s="670">
        <v>21</v>
      </c>
      <c r="U40" s="668">
        <f t="shared" si="0"/>
        <v>3.7333333333333334</v>
      </c>
      <c r="V40" s="668">
        <f t="shared" si="9"/>
        <v>45.599613152804643</v>
      </c>
      <c r="W40" s="668">
        <v>0.2</v>
      </c>
      <c r="X40" s="432">
        <f t="shared" si="1"/>
        <v>0.80781249999999993</v>
      </c>
      <c r="Y40" s="432">
        <f t="shared" si="4"/>
        <v>5.5293749999999999</v>
      </c>
      <c r="Z40" s="432">
        <f t="shared" si="5"/>
        <v>10.16422</v>
      </c>
      <c r="AA40" s="670">
        <f t="shared" si="6"/>
        <v>20.643000000000001</v>
      </c>
      <c r="AB40" s="432">
        <f t="shared" si="7"/>
        <v>3.7333333333333334</v>
      </c>
      <c r="AC40" s="670">
        <f t="shared" si="2"/>
        <v>45.599613152804643</v>
      </c>
      <c r="AD40" s="787">
        <v>28</v>
      </c>
      <c r="AE40" s="432">
        <f t="shared" si="8"/>
        <v>154.82249999999999</v>
      </c>
      <c r="AF40" s="669"/>
    </row>
    <row r="41" spans="1:32" ht="18.75" customHeight="1" x14ac:dyDescent="0.2">
      <c r="A41" s="795">
        <v>28</v>
      </c>
      <c r="B41" s="793" t="s">
        <v>161</v>
      </c>
      <c r="C41" s="795" t="s">
        <v>46</v>
      </c>
      <c r="D41" s="794">
        <v>677</v>
      </c>
      <c r="E41" s="795" t="s">
        <v>178</v>
      </c>
      <c r="F41" s="795">
        <v>177.8</v>
      </c>
      <c r="G41" s="795" t="s">
        <v>28</v>
      </c>
      <c r="H41" s="795" t="s">
        <v>52</v>
      </c>
      <c r="I41" s="794">
        <v>535.41</v>
      </c>
      <c r="J41" s="794">
        <v>0</v>
      </c>
      <c r="K41" s="794"/>
      <c r="L41" s="794">
        <v>0</v>
      </c>
      <c r="M41" s="794"/>
      <c r="N41" s="795">
        <v>0</v>
      </c>
      <c r="O41" s="794"/>
      <c r="P41" s="448">
        <v>0</v>
      </c>
      <c r="Q41" s="772">
        <f t="shared" si="13"/>
        <v>0</v>
      </c>
      <c r="R41" s="432">
        <v>0</v>
      </c>
      <c r="S41" s="432">
        <v>0</v>
      </c>
      <c r="T41" s="492">
        <v>0</v>
      </c>
      <c r="U41" s="668">
        <v>0</v>
      </c>
      <c r="V41" s="668">
        <v>0</v>
      </c>
      <c r="W41" s="668">
        <v>0</v>
      </c>
      <c r="X41" s="432">
        <v>0</v>
      </c>
      <c r="Y41" s="432">
        <v>2.6</v>
      </c>
      <c r="Z41" s="432">
        <v>2.8</v>
      </c>
      <c r="AA41" s="670">
        <v>124</v>
      </c>
      <c r="AB41" s="432">
        <f>AA41/Y41</f>
        <v>47.692307692307693</v>
      </c>
      <c r="AC41" s="670">
        <v>8</v>
      </c>
      <c r="AD41" s="795">
        <v>28</v>
      </c>
      <c r="AE41" s="432">
        <f t="shared" si="8"/>
        <v>72.8</v>
      </c>
      <c r="AF41" s="449" t="s">
        <v>439</v>
      </c>
    </row>
    <row r="42" spans="1:32" ht="18.75" customHeight="1" x14ac:dyDescent="0.2">
      <c r="A42" s="787">
        <v>29</v>
      </c>
      <c r="B42" s="791" t="s">
        <v>162</v>
      </c>
      <c r="C42" s="787" t="s">
        <v>46</v>
      </c>
      <c r="D42" s="786">
        <v>676</v>
      </c>
      <c r="E42" s="787" t="s">
        <v>437</v>
      </c>
      <c r="F42" s="787">
        <v>177.8</v>
      </c>
      <c r="G42" s="787" t="s">
        <v>28</v>
      </c>
      <c r="H42" s="787" t="s">
        <v>50</v>
      </c>
      <c r="I42" s="786">
        <v>549.20000000000005</v>
      </c>
      <c r="J42" s="786">
        <v>150</v>
      </c>
      <c r="K42" s="786"/>
      <c r="L42" s="787">
        <v>435</v>
      </c>
      <c r="M42" s="786"/>
      <c r="N42" s="787">
        <v>7.6</v>
      </c>
      <c r="O42" s="786"/>
      <c r="P42" s="448">
        <v>13.583858399850939</v>
      </c>
      <c r="Q42" s="772">
        <f t="shared" si="13"/>
        <v>9</v>
      </c>
      <c r="R42" s="432">
        <v>1.2350000000000001</v>
      </c>
      <c r="S42" s="432">
        <v>2.3330000000000002</v>
      </c>
      <c r="T42" s="492">
        <v>0</v>
      </c>
      <c r="U42" s="668">
        <v>0</v>
      </c>
      <c r="V42" s="668">
        <f t="shared" si="9"/>
        <v>47.063866266609516</v>
      </c>
      <c r="W42" s="668">
        <v>0.3</v>
      </c>
      <c r="X42" s="432">
        <f t="shared" si="1"/>
        <v>0.25922222222222224</v>
      </c>
      <c r="Y42" s="432">
        <f t="shared" si="4"/>
        <v>1.214005</v>
      </c>
      <c r="Z42" s="432">
        <f t="shared" si="5"/>
        <v>2.293339</v>
      </c>
      <c r="AA42" s="670">
        <f t="shared" si="6"/>
        <v>0</v>
      </c>
      <c r="AB42" s="432">
        <f t="shared" si="7"/>
        <v>0</v>
      </c>
      <c r="AC42" s="670">
        <f t="shared" si="2"/>
        <v>47.063866266609516</v>
      </c>
      <c r="AD42" s="787">
        <v>28</v>
      </c>
      <c r="AE42" s="432">
        <f t="shared" si="8"/>
        <v>33.992139999999999</v>
      </c>
      <c r="AF42" s="449"/>
    </row>
    <row r="43" spans="1:32" ht="18.75" customHeight="1" x14ac:dyDescent="0.2">
      <c r="A43" s="732">
        <v>30</v>
      </c>
      <c r="B43" s="791" t="s">
        <v>163</v>
      </c>
      <c r="C43" s="665" t="s">
        <v>46</v>
      </c>
      <c r="D43" s="664">
        <v>677.27</v>
      </c>
      <c r="E43" s="665" t="s">
        <v>194</v>
      </c>
      <c r="F43" s="665">
        <v>177.8</v>
      </c>
      <c r="G43" s="665" t="s">
        <v>28</v>
      </c>
      <c r="H43" s="665" t="s">
        <v>187</v>
      </c>
      <c r="I43" s="664">
        <v>553.82000000000005</v>
      </c>
      <c r="J43" s="664">
        <v>230</v>
      </c>
      <c r="K43" s="664"/>
      <c r="L43" s="664">
        <v>208</v>
      </c>
      <c r="M43" s="664"/>
      <c r="N43" s="665">
        <v>0.8</v>
      </c>
      <c r="O43" s="664"/>
      <c r="P43" s="448">
        <v>39.065807905134854</v>
      </c>
      <c r="Q43" s="772">
        <f t="shared" si="13"/>
        <v>13.8</v>
      </c>
      <c r="R43" s="432">
        <v>2.028</v>
      </c>
      <c r="S43" s="432">
        <v>5.6319999999999997</v>
      </c>
      <c r="T43" s="492">
        <v>1</v>
      </c>
      <c r="U43" s="668">
        <f>T43/R43</f>
        <v>0.49309664694280081</v>
      </c>
      <c r="V43" s="668">
        <f t="shared" si="9"/>
        <v>63.991477272727273</v>
      </c>
      <c r="W43" s="668">
        <v>0.3</v>
      </c>
      <c r="X43" s="432">
        <f t="shared" si="1"/>
        <v>0.40811594202898549</v>
      </c>
      <c r="Y43" s="432">
        <f t="shared" si="4"/>
        <v>1.9935240000000001</v>
      </c>
      <c r="Z43" s="432">
        <f t="shared" si="5"/>
        <v>5.5362559999999998</v>
      </c>
      <c r="AA43" s="670">
        <f t="shared" si="6"/>
        <v>0.98299999999999998</v>
      </c>
      <c r="AB43" s="432">
        <f t="shared" si="7"/>
        <v>0.49309664694280081</v>
      </c>
      <c r="AC43" s="670">
        <f t="shared" si="2"/>
        <v>63.991477272727273</v>
      </c>
      <c r="AD43" s="665">
        <v>28</v>
      </c>
      <c r="AE43" s="432">
        <f t="shared" si="8"/>
        <v>55.818671999999999</v>
      </c>
      <c r="AF43" s="449"/>
    </row>
    <row r="44" spans="1:32" ht="18.75" customHeight="1" x14ac:dyDescent="0.2">
      <c r="A44" s="732">
        <v>31</v>
      </c>
      <c r="B44" s="461" t="s">
        <v>59</v>
      </c>
      <c r="C44" s="665" t="s">
        <v>46</v>
      </c>
      <c r="D44" s="665">
        <v>643</v>
      </c>
      <c r="E44" s="665" t="s">
        <v>94</v>
      </c>
      <c r="F44" s="665">
        <v>177.8</v>
      </c>
      <c r="G44" s="665" t="s">
        <v>28</v>
      </c>
      <c r="H44" s="665" t="s">
        <v>48</v>
      </c>
      <c r="I44" s="664">
        <v>540.79999999999995</v>
      </c>
      <c r="J44" s="665">
        <v>260</v>
      </c>
      <c r="K44" s="665"/>
      <c r="L44" s="665">
        <v>388</v>
      </c>
      <c r="M44" s="665"/>
      <c r="N44" s="665">
        <v>0</v>
      </c>
      <c r="O44" s="665"/>
      <c r="P44" s="668">
        <v>16.328363895368494</v>
      </c>
      <c r="Q44" s="772">
        <f t="shared" si="13"/>
        <v>33.799999999999997</v>
      </c>
      <c r="R44" s="432">
        <v>1.266</v>
      </c>
      <c r="S44" s="432">
        <v>2.2970000000000002</v>
      </c>
      <c r="T44" s="670">
        <v>1.2</v>
      </c>
      <c r="U44" s="668">
        <f t="shared" si="0"/>
        <v>0.94786729857819896</v>
      </c>
      <c r="V44" s="668">
        <f t="shared" si="9"/>
        <v>44.884632128863736</v>
      </c>
      <c r="W44" s="668">
        <v>0.2</v>
      </c>
      <c r="X44" s="432">
        <f t="shared" si="1"/>
        <v>6.7958579881656808E-2</v>
      </c>
      <c r="Y44" s="432">
        <f t="shared" si="4"/>
        <v>1.244478</v>
      </c>
      <c r="Z44" s="432">
        <f t="shared" si="5"/>
        <v>2.2579510000000003</v>
      </c>
      <c r="AA44" s="670">
        <f t="shared" si="6"/>
        <v>1.1796</v>
      </c>
      <c r="AB44" s="432">
        <f>U44</f>
        <v>0.94786729857819896</v>
      </c>
      <c r="AC44" s="670">
        <f t="shared" si="2"/>
        <v>44.884632128863736</v>
      </c>
      <c r="AD44" s="787">
        <v>28</v>
      </c>
      <c r="AE44" s="432">
        <f t="shared" si="8"/>
        <v>34.845383999999996</v>
      </c>
      <c r="AF44" s="449"/>
    </row>
    <row r="45" spans="1:32" ht="18.75" customHeight="1" x14ac:dyDescent="0.2">
      <c r="A45" s="787">
        <v>32</v>
      </c>
      <c r="B45" s="461" t="s">
        <v>207</v>
      </c>
      <c r="C45" s="787" t="s">
        <v>46</v>
      </c>
      <c r="D45" s="787">
        <v>673</v>
      </c>
      <c r="E45" s="787" t="s">
        <v>420</v>
      </c>
      <c r="F45" s="787">
        <v>177.8</v>
      </c>
      <c r="G45" s="787" t="s">
        <v>28</v>
      </c>
      <c r="H45" s="787" t="s">
        <v>50</v>
      </c>
      <c r="I45" s="786">
        <v>564.41999999999996</v>
      </c>
      <c r="J45" s="787">
        <v>195</v>
      </c>
      <c r="K45" s="787"/>
      <c r="L45" s="787">
        <v>230</v>
      </c>
      <c r="M45" s="787"/>
      <c r="N45" s="668">
        <v>0</v>
      </c>
      <c r="O45" s="787"/>
      <c r="P45" s="668">
        <v>32.909857816776736</v>
      </c>
      <c r="Q45" s="772">
        <f t="shared" si="13"/>
        <v>11.7</v>
      </c>
      <c r="R45" s="432">
        <v>3.9620000000000002</v>
      </c>
      <c r="S45" s="432">
        <v>8.8209999999999997</v>
      </c>
      <c r="T45" s="670">
        <v>0.5</v>
      </c>
      <c r="U45" s="668">
        <f t="shared" si="0"/>
        <v>0.12619888944977284</v>
      </c>
      <c r="V45" s="668">
        <f t="shared" si="9"/>
        <v>55.08445754449609</v>
      </c>
      <c r="W45" s="668">
        <v>0.5</v>
      </c>
      <c r="X45" s="432">
        <f t="shared" si="1"/>
        <v>0.75393162393162394</v>
      </c>
      <c r="Y45" s="432">
        <f t="shared" si="4"/>
        <v>3.8946460000000003</v>
      </c>
      <c r="Z45" s="432">
        <f t="shared" si="5"/>
        <v>8.6710429999999992</v>
      </c>
      <c r="AA45" s="670">
        <f t="shared" si="6"/>
        <v>0.49149999999999999</v>
      </c>
      <c r="AB45" s="432">
        <f>U45</f>
        <v>0.12619888944977284</v>
      </c>
      <c r="AC45" s="670">
        <f t="shared" si="2"/>
        <v>55.08445754449609</v>
      </c>
      <c r="AD45" s="787">
        <v>28</v>
      </c>
      <c r="AE45" s="432">
        <f t="shared" si="8"/>
        <v>109.050088</v>
      </c>
      <c r="AF45" s="449"/>
    </row>
    <row r="46" spans="1:32" ht="18.75" customHeight="1" x14ac:dyDescent="0.2">
      <c r="A46" s="732">
        <v>33</v>
      </c>
      <c r="B46" s="461" t="s">
        <v>196</v>
      </c>
      <c r="C46" s="665" t="s">
        <v>304</v>
      </c>
      <c r="D46" s="665">
        <v>641</v>
      </c>
      <c r="E46" s="665" t="s">
        <v>296</v>
      </c>
      <c r="F46" s="665">
        <v>177.8</v>
      </c>
      <c r="G46" s="665" t="s">
        <v>28</v>
      </c>
      <c r="H46" s="732" t="s">
        <v>50</v>
      </c>
      <c r="I46" s="664">
        <v>611.92999999999995</v>
      </c>
      <c r="J46" s="665">
        <v>0</v>
      </c>
      <c r="K46" s="665">
        <v>496</v>
      </c>
      <c r="M46" s="668">
        <v>0.3</v>
      </c>
      <c r="O46" s="665"/>
      <c r="P46" s="668"/>
      <c r="Q46" s="772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5"/>
        <v>0</v>
      </c>
      <c r="AA46" s="670">
        <f t="shared" si="6"/>
        <v>0</v>
      </c>
      <c r="AB46" s="432">
        <f>U46</f>
        <v>0</v>
      </c>
      <c r="AC46" s="670">
        <f t="shared" si="2"/>
        <v>0</v>
      </c>
      <c r="AD46" s="787">
        <v>0</v>
      </c>
      <c r="AE46" s="432">
        <f t="shared" si="8"/>
        <v>0</v>
      </c>
      <c r="AF46" s="449" t="s">
        <v>335</v>
      </c>
    </row>
    <row r="47" spans="1:32" ht="18.75" customHeight="1" x14ac:dyDescent="0.2">
      <c r="A47" s="732">
        <v>34</v>
      </c>
      <c r="B47" s="461" t="s">
        <v>60</v>
      </c>
      <c r="C47" s="665" t="s">
        <v>46</v>
      </c>
      <c r="D47" s="665">
        <v>638.9</v>
      </c>
      <c r="E47" s="665" t="s">
        <v>95</v>
      </c>
      <c r="F47" s="665">
        <v>177.8</v>
      </c>
      <c r="G47" s="665" t="s">
        <v>28</v>
      </c>
      <c r="H47" s="665" t="s">
        <v>48</v>
      </c>
      <c r="I47" s="664">
        <v>546.64</v>
      </c>
      <c r="J47" s="665">
        <v>120</v>
      </c>
      <c r="K47" s="665"/>
      <c r="L47" s="665">
        <v>462</v>
      </c>
      <c r="M47" s="665"/>
      <c r="N47" s="665">
        <v>8.3000000000000007</v>
      </c>
      <c r="O47" s="665"/>
      <c r="P47" s="668">
        <v>17.074704325132913</v>
      </c>
      <c r="Q47" s="772">
        <f t="shared" si="13"/>
        <v>15.6</v>
      </c>
      <c r="R47" s="432">
        <v>3.5720000000000001</v>
      </c>
      <c r="S47" s="432">
        <v>7.2130000000000001</v>
      </c>
      <c r="T47" s="670">
        <v>19</v>
      </c>
      <c r="U47" s="668">
        <f t="shared" si="0"/>
        <v>5.3191489361702127</v>
      </c>
      <c r="V47" s="668">
        <f t="shared" si="9"/>
        <v>50.478303063912378</v>
      </c>
      <c r="W47" s="668">
        <v>0.3</v>
      </c>
      <c r="X47" s="432">
        <f t="shared" si="1"/>
        <v>0.46237179487179486</v>
      </c>
      <c r="Y47" s="432">
        <f t="shared" si="4"/>
        <v>3.5112760000000001</v>
      </c>
      <c r="Z47" s="432">
        <f t="shared" si="5"/>
        <v>7.0903789999999995</v>
      </c>
      <c r="AA47" s="670">
        <f t="shared" si="6"/>
        <v>18.677</v>
      </c>
      <c r="AB47" s="432">
        <f t="shared" si="7"/>
        <v>5.3191489361702127</v>
      </c>
      <c r="AC47" s="670">
        <f t="shared" si="2"/>
        <v>50.478303063912378</v>
      </c>
      <c r="AD47" s="787">
        <v>28</v>
      </c>
      <c r="AE47" s="432">
        <f t="shared" si="8"/>
        <v>98.315728000000007</v>
      </c>
      <c r="AF47" s="449"/>
    </row>
    <row r="48" spans="1:32" ht="18.75" customHeight="1" x14ac:dyDescent="0.2">
      <c r="A48" s="732">
        <v>35</v>
      </c>
      <c r="B48" s="461" t="s">
        <v>119</v>
      </c>
      <c r="C48" s="665" t="s">
        <v>427</v>
      </c>
      <c r="D48" s="665">
        <v>654.07000000000005</v>
      </c>
      <c r="E48" s="665" t="s">
        <v>410</v>
      </c>
      <c r="F48" s="665">
        <v>177.8</v>
      </c>
      <c r="G48" s="665" t="s">
        <v>28</v>
      </c>
      <c r="H48" s="165" t="s">
        <v>399</v>
      </c>
      <c r="I48" s="746">
        <v>521.47</v>
      </c>
      <c r="J48" s="665">
        <v>250</v>
      </c>
      <c r="K48" s="665"/>
      <c r="L48" s="665">
        <v>478</v>
      </c>
      <c r="M48" s="665"/>
      <c r="N48" s="665">
        <v>7.9</v>
      </c>
      <c r="O48" s="665"/>
      <c r="P48" s="668">
        <v>10.733646909047387</v>
      </c>
      <c r="Q48" s="772">
        <f>J48*13/100</f>
        <v>32.5</v>
      </c>
      <c r="R48" s="432">
        <v>5.8999999999999997E-2</v>
      </c>
      <c r="S48" s="432">
        <v>1.05</v>
      </c>
      <c r="T48" s="670">
        <v>0</v>
      </c>
      <c r="U48" s="668">
        <f t="shared" ref="U48" si="14">T48/R48</f>
        <v>0</v>
      </c>
      <c r="V48" s="668">
        <f t="shared" ref="V48" si="15">(S48-R48)/S48*100</f>
        <v>94.380952380952394</v>
      </c>
      <c r="W48" s="668">
        <v>0</v>
      </c>
      <c r="X48" s="432">
        <f t="shared" si="1"/>
        <v>3.2307692307692308E-2</v>
      </c>
      <c r="Y48" s="432">
        <f t="shared" si="4"/>
        <v>5.7996999999999993E-2</v>
      </c>
      <c r="Z48" s="432">
        <f t="shared" si="5"/>
        <v>1.0321500000000001</v>
      </c>
      <c r="AA48" s="670">
        <f t="shared" si="6"/>
        <v>0</v>
      </c>
      <c r="AB48" s="432">
        <f t="shared" si="7"/>
        <v>0</v>
      </c>
      <c r="AC48" s="670">
        <f t="shared" si="2"/>
        <v>94.380952380952394</v>
      </c>
      <c r="AD48" s="787">
        <v>0</v>
      </c>
      <c r="AE48" s="432">
        <f t="shared" si="8"/>
        <v>0</v>
      </c>
      <c r="AF48" s="449" t="s">
        <v>432</v>
      </c>
    </row>
    <row r="49" spans="1:32" ht="18.75" customHeight="1" x14ac:dyDescent="0.2">
      <c r="A49" s="732">
        <v>36</v>
      </c>
      <c r="B49" s="461" t="s">
        <v>118</v>
      </c>
      <c r="C49" s="665" t="s">
        <v>408</v>
      </c>
      <c r="D49" s="665">
        <v>728.77</v>
      </c>
      <c r="E49" s="665" t="s">
        <v>133</v>
      </c>
      <c r="F49" s="665">
        <v>177.8</v>
      </c>
      <c r="G49" s="665" t="s">
        <v>28</v>
      </c>
      <c r="H49" s="747" t="s">
        <v>219</v>
      </c>
      <c r="I49" s="746">
        <v>556.4</v>
      </c>
      <c r="J49" s="665">
        <v>0</v>
      </c>
      <c r="K49" s="665"/>
      <c r="L49" s="665">
        <v>0</v>
      </c>
      <c r="M49" s="665"/>
      <c r="N49" s="665">
        <v>0</v>
      </c>
      <c r="O49" s="665"/>
      <c r="P49" s="668"/>
      <c r="Q49" s="772">
        <f t="shared" si="13"/>
        <v>0</v>
      </c>
      <c r="R49" s="432">
        <v>0</v>
      </c>
      <c r="S49" s="432">
        <v>0</v>
      </c>
      <c r="T49" s="670">
        <v>0</v>
      </c>
      <c r="U49" s="668">
        <v>0</v>
      </c>
      <c r="V49" s="668">
        <v>0</v>
      </c>
      <c r="W49" s="668">
        <v>0</v>
      </c>
      <c r="X49" s="432">
        <v>0</v>
      </c>
      <c r="Y49" s="432">
        <f t="shared" si="4"/>
        <v>0</v>
      </c>
      <c r="Z49" s="432">
        <f t="shared" si="5"/>
        <v>0</v>
      </c>
      <c r="AA49" s="670">
        <f t="shared" si="6"/>
        <v>0</v>
      </c>
      <c r="AB49" s="432">
        <f t="shared" si="7"/>
        <v>0</v>
      </c>
      <c r="AC49" s="670">
        <f t="shared" si="2"/>
        <v>0</v>
      </c>
      <c r="AD49" s="787">
        <v>0</v>
      </c>
      <c r="AE49" s="432">
        <f t="shared" si="8"/>
        <v>0</v>
      </c>
      <c r="AF49" s="449" t="s">
        <v>431</v>
      </c>
    </row>
    <row r="50" spans="1:32" ht="18.75" customHeight="1" x14ac:dyDescent="0.2">
      <c r="A50" s="787">
        <v>37</v>
      </c>
      <c r="B50" s="461" t="s">
        <v>117</v>
      </c>
      <c r="C50" s="787" t="s">
        <v>46</v>
      </c>
      <c r="D50" s="787">
        <v>671.45</v>
      </c>
      <c r="E50" s="787" t="s">
        <v>128</v>
      </c>
      <c r="F50" s="787">
        <v>177.8</v>
      </c>
      <c r="G50" s="787" t="s">
        <v>28</v>
      </c>
      <c r="H50" s="787" t="s">
        <v>187</v>
      </c>
      <c r="I50" s="786">
        <v>559.39</v>
      </c>
      <c r="J50" s="787">
        <v>275</v>
      </c>
      <c r="K50" s="787"/>
      <c r="L50" s="787">
        <v>303</v>
      </c>
      <c r="M50" s="787"/>
      <c r="N50" s="787">
        <v>2.2000000000000002</v>
      </c>
      <c r="O50" s="787"/>
      <c r="P50" s="668">
        <v>28.467137079549744</v>
      </c>
      <c r="Q50" s="772">
        <f t="shared" si="13"/>
        <v>16.5</v>
      </c>
      <c r="R50" s="432">
        <v>1.218</v>
      </c>
      <c r="S50" s="432">
        <v>5.1210000000000004</v>
      </c>
      <c r="T50" s="670">
        <v>0</v>
      </c>
      <c r="U50" s="668">
        <f t="shared" ref="U50:U56" si="16">T50/R50</f>
        <v>0</v>
      </c>
      <c r="V50" s="668">
        <f t="shared" si="9"/>
        <v>76.21558289396603</v>
      </c>
      <c r="W50" s="668">
        <v>0.3</v>
      </c>
      <c r="X50" s="432">
        <f t="shared" ref="X50:X58" si="17">S50/Q50</f>
        <v>0.3103636363636364</v>
      </c>
      <c r="Y50" s="432">
        <f t="shared" si="4"/>
        <v>1.1972939999999999</v>
      </c>
      <c r="Z50" s="432">
        <f t="shared" si="5"/>
        <v>5.0339430000000007</v>
      </c>
      <c r="AA50" s="670">
        <f t="shared" si="6"/>
        <v>0</v>
      </c>
      <c r="AB50" s="432">
        <f t="shared" si="7"/>
        <v>0</v>
      </c>
      <c r="AC50" s="670">
        <f t="shared" si="2"/>
        <v>76.21558289396603</v>
      </c>
      <c r="AD50" s="787">
        <v>28</v>
      </c>
      <c r="AE50" s="432">
        <f t="shared" si="8"/>
        <v>33.524231999999998</v>
      </c>
      <c r="AF50" s="669"/>
    </row>
    <row r="51" spans="1:32" ht="18.75" customHeight="1" x14ac:dyDescent="0.2">
      <c r="A51" s="787">
        <v>38</v>
      </c>
      <c r="B51" s="461" t="s">
        <v>130</v>
      </c>
      <c r="C51" s="787" t="s">
        <v>46</v>
      </c>
      <c r="D51" s="787">
        <v>622.6</v>
      </c>
      <c r="E51" s="787" t="s">
        <v>134</v>
      </c>
      <c r="F51" s="787">
        <v>177.8</v>
      </c>
      <c r="G51" s="787" t="s">
        <v>28</v>
      </c>
      <c r="H51" s="787" t="s">
        <v>48</v>
      </c>
      <c r="I51" s="786">
        <v>551.79999999999995</v>
      </c>
      <c r="J51" s="787">
        <v>185</v>
      </c>
      <c r="K51" s="787"/>
      <c r="L51" s="787">
        <v>92</v>
      </c>
      <c r="M51" s="787"/>
      <c r="N51" s="787">
        <v>2.6</v>
      </c>
      <c r="O51" s="787"/>
      <c r="P51" s="668">
        <v>49.481970725534609</v>
      </c>
      <c r="Q51" s="772">
        <f t="shared" si="13"/>
        <v>24.05</v>
      </c>
      <c r="R51" s="432">
        <v>1.177</v>
      </c>
      <c r="S51" s="432">
        <v>15.664999999999999</v>
      </c>
      <c r="T51" s="670">
        <v>0</v>
      </c>
      <c r="U51" s="668">
        <f t="shared" si="16"/>
        <v>0</v>
      </c>
      <c r="V51" s="668">
        <f t="shared" si="9"/>
        <v>92.486434727098626</v>
      </c>
      <c r="W51" s="668">
        <v>0</v>
      </c>
      <c r="X51" s="432">
        <f t="shared" si="17"/>
        <v>0.65135135135135125</v>
      </c>
      <c r="Y51" s="432">
        <f t="shared" si="4"/>
        <v>1.1569910000000001</v>
      </c>
      <c r="Z51" s="432">
        <f t="shared" si="5"/>
        <v>15.398694999999998</v>
      </c>
      <c r="AA51" s="670">
        <f t="shared" si="6"/>
        <v>0</v>
      </c>
      <c r="AB51" s="432">
        <f t="shared" si="7"/>
        <v>0</v>
      </c>
      <c r="AC51" s="670">
        <f t="shared" si="2"/>
        <v>92.486434727098626</v>
      </c>
      <c r="AD51" s="787">
        <v>28</v>
      </c>
      <c r="AE51" s="432">
        <f t="shared" si="8"/>
        <v>32.395748000000005</v>
      </c>
      <c r="AF51" s="669"/>
    </row>
    <row r="52" spans="1:32" ht="18.75" customHeight="1" x14ac:dyDescent="0.2">
      <c r="A52" s="787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787">
        <v>177.8</v>
      </c>
      <c r="G52" s="452" t="s">
        <v>28</v>
      </c>
      <c r="H52" s="655" t="s">
        <v>363</v>
      </c>
      <c r="I52" s="453">
        <v>565.65</v>
      </c>
      <c r="J52" s="452">
        <v>160</v>
      </c>
      <c r="K52" s="452"/>
      <c r="L52" s="452">
        <v>438</v>
      </c>
      <c r="M52" s="452"/>
      <c r="N52" s="787">
        <v>0.8</v>
      </c>
      <c r="O52" s="452"/>
      <c r="P52" s="675">
        <v>13.407590076154001</v>
      </c>
      <c r="Q52" s="772">
        <f>J52*7/100</f>
        <v>11.2</v>
      </c>
      <c r="R52" s="456">
        <v>1.99</v>
      </c>
      <c r="S52" s="432">
        <v>2.1150000000000002</v>
      </c>
      <c r="T52" s="700">
        <v>0</v>
      </c>
      <c r="U52" s="668">
        <f t="shared" si="16"/>
        <v>0</v>
      </c>
      <c r="V52" s="668">
        <f t="shared" si="9"/>
        <v>5.9101654846335796</v>
      </c>
      <c r="W52" s="675">
        <v>0.3</v>
      </c>
      <c r="X52" s="432">
        <f t="shared" si="17"/>
        <v>0.18883928571428574</v>
      </c>
      <c r="Y52" s="432">
        <f t="shared" si="4"/>
        <v>1.95617</v>
      </c>
      <c r="Z52" s="432">
        <f t="shared" si="5"/>
        <v>2.0790450000000003</v>
      </c>
      <c r="AA52" s="670">
        <f t="shared" si="6"/>
        <v>0</v>
      </c>
      <c r="AB52" s="456">
        <f t="shared" si="7"/>
        <v>0</v>
      </c>
      <c r="AC52" s="670">
        <f t="shared" si="2"/>
        <v>5.9101654846335796</v>
      </c>
      <c r="AD52" s="787">
        <v>28</v>
      </c>
      <c r="AE52" s="456">
        <f t="shared" si="8"/>
        <v>54.772759999999998</v>
      </c>
      <c r="AF52" s="449"/>
    </row>
    <row r="53" spans="1:32" ht="18.75" customHeight="1" x14ac:dyDescent="0.2">
      <c r="A53" s="787">
        <v>40</v>
      </c>
      <c r="B53" s="461" t="s">
        <v>116</v>
      </c>
      <c r="C53" s="787" t="s">
        <v>46</v>
      </c>
      <c r="D53" s="787">
        <v>681.27</v>
      </c>
      <c r="E53" s="787" t="s">
        <v>124</v>
      </c>
      <c r="F53" s="787">
        <v>177.8</v>
      </c>
      <c r="G53" s="787" t="s">
        <v>28</v>
      </c>
      <c r="H53" s="787" t="s">
        <v>53</v>
      </c>
      <c r="I53" s="786">
        <v>558.35</v>
      </c>
      <c r="J53" s="787">
        <v>285</v>
      </c>
      <c r="K53" s="787"/>
      <c r="L53" s="787">
        <v>306</v>
      </c>
      <c r="M53" s="787"/>
      <c r="N53" s="787">
        <v>8.1999999999999993</v>
      </c>
      <c r="O53" s="787"/>
      <c r="P53" s="668">
        <v>33.357237274461852</v>
      </c>
      <c r="Q53" s="773">
        <f t="shared" si="13"/>
        <v>37.049999999999997</v>
      </c>
      <c r="R53" s="432">
        <v>1.3089999999999999</v>
      </c>
      <c r="S53" s="432">
        <v>2.9319999999999999</v>
      </c>
      <c r="T53" s="670">
        <v>0</v>
      </c>
      <c r="U53" s="668">
        <f t="shared" si="16"/>
        <v>0</v>
      </c>
      <c r="V53" s="668">
        <f t="shared" si="9"/>
        <v>55.354706684856758</v>
      </c>
      <c r="W53" s="668">
        <v>0.3</v>
      </c>
      <c r="X53" s="432">
        <f t="shared" si="17"/>
        <v>7.9136302294197033E-2</v>
      </c>
      <c r="Y53" s="432">
        <f t="shared" si="4"/>
        <v>1.2867469999999999</v>
      </c>
      <c r="Z53" s="432">
        <f t="shared" si="5"/>
        <v>2.8821559999999997</v>
      </c>
      <c r="AA53" s="670">
        <f t="shared" si="6"/>
        <v>0</v>
      </c>
      <c r="AB53" s="432">
        <f t="shared" si="7"/>
        <v>0</v>
      </c>
      <c r="AC53" s="670">
        <f t="shared" si="2"/>
        <v>55.354706684856758</v>
      </c>
      <c r="AD53" s="787">
        <v>28</v>
      </c>
      <c r="AE53" s="432">
        <f t="shared" si="8"/>
        <v>36.028915999999995</v>
      </c>
      <c r="AF53" s="449"/>
    </row>
    <row r="54" spans="1:32" ht="18.75" customHeight="1" x14ac:dyDescent="0.2">
      <c r="A54" s="732">
        <v>41</v>
      </c>
      <c r="B54" s="461" t="s">
        <v>120</v>
      </c>
      <c r="C54" s="665" t="s">
        <v>46</v>
      </c>
      <c r="D54" s="665">
        <v>668.57</v>
      </c>
      <c r="E54" s="665" t="s">
        <v>285</v>
      </c>
      <c r="F54" s="665">
        <v>177.8</v>
      </c>
      <c r="G54" s="665" t="s">
        <v>28</v>
      </c>
      <c r="H54" s="665" t="s">
        <v>48</v>
      </c>
      <c r="I54" s="664">
        <v>567.08000000000004</v>
      </c>
      <c r="J54" s="665">
        <v>239</v>
      </c>
      <c r="K54" s="665"/>
      <c r="L54" s="665">
        <v>418</v>
      </c>
      <c r="M54" s="665"/>
      <c r="N54" s="665">
        <v>0.6</v>
      </c>
      <c r="O54" s="665"/>
      <c r="P54" s="668">
        <v>15.623416925857979</v>
      </c>
      <c r="Q54" s="772">
        <f t="shared" si="13"/>
        <v>31.07</v>
      </c>
      <c r="R54" s="432">
        <v>2.9630000000000001</v>
      </c>
      <c r="S54" s="432">
        <v>4.3239999999999998</v>
      </c>
      <c r="T54" s="670">
        <v>0.2</v>
      </c>
      <c r="U54" s="668">
        <f t="shared" si="16"/>
        <v>6.7499156260546742E-2</v>
      </c>
      <c r="V54" s="668">
        <f t="shared" si="9"/>
        <v>31.475485661424603</v>
      </c>
      <c r="W54" s="668">
        <v>0.3</v>
      </c>
      <c r="X54" s="432">
        <f t="shared" si="17"/>
        <v>0.13916961699388478</v>
      </c>
      <c r="Y54" s="432">
        <f t="shared" si="4"/>
        <v>2.9126289999999999</v>
      </c>
      <c r="Z54" s="432">
        <f t="shared" si="5"/>
        <v>4.2504919999999995</v>
      </c>
      <c r="AA54" s="670">
        <f t="shared" si="6"/>
        <v>0.1966</v>
      </c>
      <c r="AB54" s="432">
        <f t="shared" si="7"/>
        <v>6.7499156260546742E-2</v>
      </c>
      <c r="AC54" s="670">
        <f t="shared" si="2"/>
        <v>31.475485661424603</v>
      </c>
      <c r="AD54" s="787">
        <v>28</v>
      </c>
      <c r="AE54" s="432">
        <f t="shared" si="8"/>
        <v>81.553612000000001</v>
      </c>
      <c r="AF54" s="669"/>
    </row>
    <row r="55" spans="1:32" ht="18.75" customHeight="1" x14ac:dyDescent="0.2">
      <c r="A55" s="787">
        <v>42</v>
      </c>
      <c r="B55" s="461" t="s">
        <v>114</v>
      </c>
      <c r="C55" s="787" t="s">
        <v>46</v>
      </c>
      <c r="D55" s="787">
        <v>584.25</v>
      </c>
      <c r="E55" s="787" t="s">
        <v>419</v>
      </c>
      <c r="F55" s="787">
        <v>177.8</v>
      </c>
      <c r="G55" s="787" t="s">
        <v>28</v>
      </c>
      <c r="H55" s="165" t="s">
        <v>383</v>
      </c>
      <c r="I55" s="786">
        <v>560.79999999999995</v>
      </c>
      <c r="J55" s="787">
        <v>325</v>
      </c>
      <c r="K55" s="787"/>
      <c r="L55" s="787">
        <v>242</v>
      </c>
      <c r="M55" s="787"/>
      <c r="N55" s="787">
        <v>4.7</v>
      </c>
      <c r="O55" s="787"/>
      <c r="P55" s="668">
        <v>36.158083499752287</v>
      </c>
      <c r="Q55" s="772">
        <f>J55*3/100</f>
        <v>9.75</v>
      </c>
      <c r="R55" s="432">
        <v>1.633</v>
      </c>
      <c r="S55" s="432">
        <v>3.5339999999999998</v>
      </c>
      <c r="T55" s="670">
        <v>0.4</v>
      </c>
      <c r="U55" s="668">
        <f t="shared" si="16"/>
        <v>0.24494794856093083</v>
      </c>
      <c r="V55" s="668">
        <f t="shared" si="9"/>
        <v>53.791737408036219</v>
      </c>
      <c r="W55" s="668">
        <v>0.3</v>
      </c>
      <c r="X55" s="432">
        <f t="shared" si="17"/>
        <v>0.36246153846153845</v>
      </c>
      <c r="Y55" s="432">
        <f t="shared" si="4"/>
        <v>1.6052390000000001</v>
      </c>
      <c r="Z55" s="432">
        <f t="shared" si="5"/>
        <v>3.473922</v>
      </c>
      <c r="AA55" s="670">
        <f t="shared" si="6"/>
        <v>0.39319999999999999</v>
      </c>
      <c r="AB55" s="432">
        <f t="shared" si="7"/>
        <v>0.24494794856093083</v>
      </c>
      <c r="AC55" s="670">
        <f t="shared" si="2"/>
        <v>53.791737408036219</v>
      </c>
      <c r="AD55" s="787">
        <v>28</v>
      </c>
      <c r="AE55" s="432">
        <f t="shared" si="8"/>
        <v>44.946691999999999</v>
      </c>
      <c r="AF55" s="457"/>
    </row>
    <row r="56" spans="1:32" ht="18.75" customHeight="1" x14ac:dyDescent="0.2">
      <c r="A56" s="787">
        <v>43</v>
      </c>
      <c r="B56" s="461" t="s">
        <v>106</v>
      </c>
      <c r="C56" s="787" t="s">
        <v>46</v>
      </c>
      <c r="D56" s="787">
        <v>642.52</v>
      </c>
      <c r="E56" s="787" t="s">
        <v>111</v>
      </c>
      <c r="F56" s="787">
        <v>177.8</v>
      </c>
      <c r="G56" s="787" t="s">
        <v>28</v>
      </c>
      <c r="H56" s="787" t="s">
        <v>52</v>
      </c>
      <c r="I56" s="786">
        <v>556.65</v>
      </c>
      <c r="J56" s="787">
        <v>240</v>
      </c>
      <c r="K56" s="787"/>
      <c r="L56" s="787">
        <v>201</v>
      </c>
      <c r="M56" s="787"/>
      <c r="N56" s="787">
        <v>7.7</v>
      </c>
      <c r="O56" s="787"/>
      <c r="P56" s="668">
        <v>43.975501117133035</v>
      </c>
      <c r="Q56" s="772">
        <f t="shared" si="13"/>
        <v>52.8</v>
      </c>
      <c r="R56" s="432">
        <v>1.917</v>
      </c>
      <c r="S56" s="432">
        <v>14.994999999999999</v>
      </c>
      <c r="T56" s="670">
        <v>22</v>
      </c>
      <c r="U56" s="668">
        <f t="shared" si="16"/>
        <v>11.476264997391757</v>
      </c>
      <c r="V56" s="668">
        <f t="shared" si="9"/>
        <v>87.215738579526516</v>
      </c>
      <c r="W56" s="668">
        <v>0.3</v>
      </c>
      <c r="X56" s="432">
        <f t="shared" si="17"/>
        <v>0.28399621212121212</v>
      </c>
      <c r="Y56" s="432">
        <f t="shared" si="4"/>
        <v>1.8844110000000001</v>
      </c>
      <c r="Z56" s="432">
        <f t="shared" si="5"/>
        <v>14.740084999999999</v>
      </c>
      <c r="AA56" s="670">
        <f t="shared" si="6"/>
        <v>21.626000000000001</v>
      </c>
      <c r="AB56" s="432">
        <f t="shared" si="7"/>
        <v>11.476264997391757</v>
      </c>
      <c r="AC56" s="670">
        <f t="shared" si="2"/>
        <v>87.215738579526516</v>
      </c>
      <c r="AD56" s="787">
        <v>28</v>
      </c>
      <c r="AE56" s="432">
        <f t="shared" si="8"/>
        <v>52.763508000000002</v>
      </c>
      <c r="AF56" s="449"/>
    </row>
    <row r="57" spans="1:32" ht="18.75" customHeight="1" x14ac:dyDescent="0.2">
      <c r="A57" s="732">
        <v>44</v>
      </c>
      <c r="B57" s="461" t="s">
        <v>105</v>
      </c>
      <c r="C57" s="795" t="s">
        <v>46</v>
      </c>
      <c r="D57" s="665">
        <v>609.6</v>
      </c>
      <c r="E57" s="665" t="s">
        <v>110</v>
      </c>
      <c r="F57" s="665">
        <v>177.8</v>
      </c>
      <c r="G57" s="665" t="s">
        <v>28</v>
      </c>
      <c r="H57" s="655" t="s">
        <v>406</v>
      </c>
      <c r="I57" s="754">
        <v>512.69000000000005</v>
      </c>
      <c r="J57" s="665">
        <v>135</v>
      </c>
      <c r="K57" s="665"/>
      <c r="L57" s="665">
        <v>366</v>
      </c>
      <c r="M57" s="665"/>
      <c r="N57" s="665">
        <v>0.4</v>
      </c>
      <c r="O57" s="665"/>
      <c r="P57" s="668">
        <v>14.447050090026371</v>
      </c>
      <c r="Q57" s="772">
        <f>J57*20/100</f>
        <v>27</v>
      </c>
      <c r="R57" s="432">
        <v>1.3979999999999999</v>
      </c>
      <c r="S57" s="432">
        <v>1.53</v>
      </c>
      <c r="T57" s="670">
        <v>0</v>
      </c>
      <c r="U57" s="668">
        <f>IF(R57=0,0,T57/R57)</f>
        <v>0</v>
      </c>
      <c r="V57" s="668">
        <f t="shared" si="9"/>
        <v>8.6274509803921635</v>
      </c>
      <c r="W57" s="668">
        <v>0.2</v>
      </c>
      <c r="X57" s="432">
        <f t="shared" si="17"/>
        <v>5.6666666666666671E-2</v>
      </c>
      <c r="Y57" s="432">
        <f t="shared" si="4"/>
        <v>1.374234</v>
      </c>
      <c r="Z57" s="432">
        <f t="shared" si="5"/>
        <v>1.5039899999999999</v>
      </c>
      <c r="AA57" s="670">
        <f t="shared" si="6"/>
        <v>0</v>
      </c>
      <c r="AB57" s="432">
        <f t="shared" si="7"/>
        <v>0</v>
      </c>
      <c r="AC57" s="670">
        <f t="shared" si="2"/>
        <v>8.6274509803921635</v>
      </c>
      <c r="AD57" s="787">
        <v>28</v>
      </c>
      <c r="AE57" s="432">
        <f t="shared" si="8"/>
        <v>38.478552000000001</v>
      </c>
      <c r="AF57" s="449"/>
    </row>
    <row r="58" spans="1:32" ht="18.75" customHeight="1" x14ac:dyDescent="0.2">
      <c r="A58" s="787">
        <v>45</v>
      </c>
      <c r="B58" s="461" t="s">
        <v>104</v>
      </c>
      <c r="C58" s="787" t="s">
        <v>381</v>
      </c>
      <c r="D58" s="787">
        <v>707.14</v>
      </c>
      <c r="E58" s="786" t="s">
        <v>382</v>
      </c>
      <c r="F58" s="787">
        <v>177.8</v>
      </c>
      <c r="G58" s="787" t="s">
        <v>28</v>
      </c>
      <c r="H58" s="165" t="s">
        <v>383</v>
      </c>
      <c r="I58" s="786">
        <v>682.43000000000052</v>
      </c>
      <c r="J58" s="787">
        <v>200</v>
      </c>
      <c r="K58" s="787"/>
      <c r="L58" s="787">
        <v>570</v>
      </c>
      <c r="M58" s="787"/>
      <c r="N58" s="787">
        <v>6</v>
      </c>
      <c r="O58" s="787"/>
      <c r="P58" s="668">
        <v>14.096512675310315</v>
      </c>
      <c r="Q58" s="772">
        <f>J58*3/100</f>
        <v>6</v>
      </c>
      <c r="R58" s="432">
        <v>1.84</v>
      </c>
      <c r="S58" s="432">
        <v>2.0529999999999999</v>
      </c>
      <c r="T58" s="670">
        <v>4</v>
      </c>
      <c r="U58" s="668">
        <f>IF(T58=0,0,T58/R58)</f>
        <v>2.1739130434782608</v>
      </c>
      <c r="V58" s="668">
        <f t="shared" si="9"/>
        <v>10.375060886507544</v>
      </c>
      <c r="W58" s="668">
        <v>0.2</v>
      </c>
      <c r="X58" s="432">
        <f t="shared" si="17"/>
        <v>0.34216666666666667</v>
      </c>
      <c r="Y58" s="432">
        <f t="shared" si="4"/>
        <v>1.8087200000000001</v>
      </c>
      <c r="Z58" s="432">
        <f t="shared" si="5"/>
        <v>2.0180989999999999</v>
      </c>
      <c r="AA58" s="670">
        <f t="shared" si="6"/>
        <v>3.9319999999999999</v>
      </c>
      <c r="AB58" s="432">
        <f t="shared" si="7"/>
        <v>2.1739130434782608</v>
      </c>
      <c r="AC58" s="670">
        <f t="shared" si="2"/>
        <v>10.375060886507544</v>
      </c>
      <c r="AD58" s="787">
        <v>28</v>
      </c>
      <c r="AE58" s="432">
        <f t="shared" si="8"/>
        <v>50.644159999999999</v>
      </c>
      <c r="AF58" s="669"/>
    </row>
    <row r="59" spans="1:32" ht="18.75" customHeight="1" x14ac:dyDescent="0.3">
      <c r="A59" s="732">
        <v>46</v>
      </c>
      <c r="B59" s="658" t="s">
        <v>158</v>
      </c>
      <c r="C59" s="665" t="s">
        <v>46</v>
      </c>
      <c r="D59" s="664">
        <v>621.12</v>
      </c>
      <c r="E59" s="664" t="s">
        <v>232</v>
      </c>
      <c r="F59" s="665">
        <v>177.8</v>
      </c>
      <c r="G59" s="665" t="s">
        <v>28</v>
      </c>
      <c r="H59" s="165" t="s">
        <v>403</v>
      </c>
      <c r="I59" s="664">
        <v>544.41999999999996</v>
      </c>
      <c r="J59" s="664">
        <v>155</v>
      </c>
      <c r="K59" s="664"/>
      <c r="L59" s="664">
        <v>454</v>
      </c>
      <c r="M59" s="664"/>
      <c r="N59" s="665">
        <v>9.1999999999999993</v>
      </c>
      <c r="O59" s="664"/>
      <c r="P59" s="448">
        <v>18.856155331292296</v>
      </c>
      <c r="Q59" s="772">
        <f>J59*23/100</f>
        <v>35.65</v>
      </c>
      <c r="R59" s="432">
        <v>7.0209999999999999</v>
      </c>
      <c r="S59" s="432">
        <v>10.509</v>
      </c>
      <c r="T59" s="492">
        <v>237</v>
      </c>
      <c r="U59" s="668">
        <f t="shared" ref="U59:U65" si="18">T59/R59</f>
        <v>33.755875231448513</v>
      </c>
      <c r="V59" s="668">
        <f t="shared" si="9"/>
        <v>33.190598534589405</v>
      </c>
      <c r="W59" s="668">
        <v>0.2</v>
      </c>
      <c r="X59" s="432">
        <f t="shared" ref="X59:X77" si="19">S59/Q59</f>
        <v>0.2947826086956522</v>
      </c>
      <c r="Y59" s="432">
        <f t="shared" si="4"/>
        <v>6.901643</v>
      </c>
      <c r="Z59" s="432">
        <f t="shared" si="5"/>
        <v>10.330347</v>
      </c>
      <c r="AA59" s="670">
        <f t="shared" si="6"/>
        <v>232.971</v>
      </c>
      <c r="AB59" s="432">
        <f t="shared" si="7"/>
        <v>33.755875231448513</v>
      </c>
      <c r="AC59" s="670">
        <f t="shared" si="2"/>
        <v>33.190598534589405</v>
      </c>
      <c r="AD59" s="787">
        <v>28</v>
      </c>
      <c r="AE59" s="432">
        <f>Y59*AD59</f>
        <v>193.246004</v>
      </c>
      <c r="AF59" s="458"/>
    </row>
    <row r="60" spans="1:32" ht="18.75" customHeight="1" x14ac:dyDescent="0.2">
      <c r="A60" s="787">
        <v>47</v>
      </c>
      <c r="B60" s="779" t="s">
        <v>160</v>
      </c>
      <c r="C60" s="787" t="s">
        <v>304</v>
      </c>
      <c r="D60" s="786">
        <v>677.33</v>
      </c>
      <c r="E60" s="786" t="s">
        <v>315</v>
      </c>
      <c r="F60" s="787">
        <v>177.8</v>
      </c>
      <c r="G60" s="787" t="s">
        <v>28</v>
      </c>
      <c r="H60" s="787" t="s">
        <v>50</v>
      </c>
      <c r="I60" s="786">
        <v>619</v>
      </c>
      <c r="J60" s="786">
        <v>350</v>
      </c>
      <c r="K60" s="786"/>
      <c r="L60" s="787">
        <v>0</v>
      </c>
      <c r="M60" s="786"/>
      <c r="N60" s="787">
        <v>0</v>
      </c>
      <c r="O60" s="786"/>
      <c r="P60" s="448">
        <v>49.653747264671267</v>
      </c>
      <c r="Q60" s="772">
        <f t="shared" si="13"/>
        <v>21</v>
      </c>
      <c r="R60" s="432">
        <v>0.17199999999999999</v>
      </c>
      <c r="S60" s="432">
        <v>0.17299999999999999</v>
      </c>
      <c r="T60" s="492">
        <v>0</v>
      </c>
      <c r="U60" s="668">
        <f t="shared" si="18"/>
        <v>0</v>
      </c>
      <c r="V60" s="668">
        <f t="shared" si="9"/>
        <v>0.57803468208092545</v>
      </c>
      <c r="W60" s="668">
        <v>0.2</v>
      </c>
      <c r="X60" s="432">
        <f t="shared" si="19"/>
        <v>8.2380952380952371E-3</v>
      </c>
      <c r="Y60" s="432">
        <f t="shared" si="4"/>
        <v>0.16907599999999998</v>
      </c>
      <c r="Z60" s="432">
        <f t="shared" si="5"/>
        <v>0.17005899999999999</v>
      </c>
      <c r="AA60" s="670">
        <f t="shared" si="6"/>
        <v>0</v>
      </c>
      <c r="AB60" s="432">
        <f t="shared" si="7"/>
        <v>0</v>
      </c>
      <c r="AC60" s="670">
        <f t="shared" si="2"/>
        <v>0.57803468208092545</v>
      </c>
      <c r="AD60" s="787">
        <v>28</v>
      </c>
      <c r="AE60" s="432">
        <f>Y60*AD60</f>
        <v>4.7341279999999992</v>
      </c>
      <c r="AF60" s="669"/>
    </row>
    <row r="61" spans="1:32" ht="18.75" customHeight="1" x14ac:dyDescent="0.2">
      <c r="A61" s="787">
        <v>48</v>
      </c>
      <c r="B61" s="461" t="s">
        <v>164</v>
      </c>
      <c r="C61" s="787" t="s">
        <v>46</v>
      </c>
      <c r="D61" s="786">
        <v>678.47</v>
      </c>
      <c r="E61" s="786" t="s">
        <v>233</v>
      </c>
      <c r="F61" s="787">
        <v>177.8</v>
      </c>
      <c r="G61" s="787" t="s">
        <v>28</v>
      </c>
      <c r="H61" s="787" t="s">
        <v>48</v>
      </c>
      <c r="I61" s="786">
        <v>563.11</v>
      </c>
      <c r="J61" s="786">
        <v>250</v>
      </c>
      <c r="K61" s="786"/>
      <c r="L61" s="786">
        <v>370</v>
      </c>
      <c r="M61" s="786"/>
      <c r="N61" s="787">
        <v>0.1</v>
      </c>
      <c r="O61" s="786"/>
      <c r="P61" s="668">
        <v>19.651460059784799</v>
      </c>
      <c r="Q61" s="772">
        <f t="shared" si="13"/>
        <v>32.5</v>
      </c>
      <c r="R61" s="432">
        <v>3.972</v>
      </c>
      <c r="S61" s="432">
        <v>5.069</v>
      </c>
      <c r="T61" s="670">
        <v>5.0999999999999996</v>
      </c>
      <c r="U61" s="668">
        <f t="shared" si="18"/>
        <v>1.2839879154078548</v>
      </c>
      <c r="V61" s="668">
        <f t="shared" si="9"/>
        <v>21.641349378575654</v>
      </c>
      <c r="W61" s="668">
        <v>0.3</v>
      </c>
      <c r="X61" s="432">
        <f t="shared" si="19"/>
        <v>0.15596923076923078</v>
      </c>
      <c r="Y61" s="432">
        <f t="shared" si="4"/>
        <v>3.9044759999999998</v>
      </c>
      <c r="Z61" s="432">
        <f t="shared" si="5"/>
        <v>4.9828269999999995</v>
      </c>
      <c r="AA61" s="670">
        <f t="shared" si="6"/>
        <v>5.0132999999999992</v>
      </c>
      <c r="AB61" s="432">
        <f t="shared" si="7"/>
        <v>1.2839879154078548</v>
      </c>
      <c r="AC61" s="670">
        <f t="shared" si="2"/>
        <v>21.641349378575654</v>
      </c>
      <c r="AD61" s="787">
        <v>28</v>
      </c>
      <c r="AE61" s="432">
        <f t="shared" ref="AE61:AE76" si="20">Y61*AD61</f>
        <v>109.325328</v>
      </c>
      <c r="AF61" s="669" t="s">
        <v>418</v>
      </c>
    </row>
    <row r="62" spans="1:32" ht="18.75" customHeight="1" x14ac:dyDescent="0.2">
      <c r="A62" s="787">
        <v>49</v>
      </c>
      <c r="B62" s="461" t="s">
        <v>61</v>
      </c>
      <c r="C62" s="787" t="s">
        <v>46</v>
      </c>
      <c r="D62" s="787">
        <v>667.18</v>
      </c>
      <c r="E62" s="787" t="s">
        <v>96</v>
      </c>
      <c r="F62" s="787">
        <v>177.8</v>
      </c>
      <c r="G62" s="787" t="s">
        <v>28</v>
      </c>
      <c r="H62" s="787" t="s">
        <v>52</v>
      </c>
      <c r="I62" s="786">
        <v>534.21</v>
      </c>
      <c r="J62" s="787">
        <v>200</v>
      </c>
      <c r="K62" s="787"/>
      <c r="L62" s="787">
        <v>444</v>
      </c>
      <c r="M62" s="787"/>
      <c r="N62" s="787">
        <v>5.7</v>
      </c>
      <c r="O62" s="787"/>
      <c r="P62" s="668">
        <v>16.298995579050843</v>
      </c>
      <c r="Q62" s="772">
        <f t="shared" si="13"/>
        <v>44</v>
      </c>
      <c r="R62" s="432">
        <v>7.7549999999999999</v>
      </c>
      <c r="S62" s="432">
        <v>12.006</v>
      </c>
      <c r="T62" s="670">
        <v>151.5</v>
      </c>
      <c r="U62" s="668">
        <f t="shared" si="18"/>
        <v>19.535783365570598</v>
      </c>
      <c r="V62" s="668">
        <f t="shared" si="9"/>
        <v>35.407296351824094</v>
      </c>
      <c r="W62" s="668">
        <v>0.2</v>
      </c>
      <c r="X62" s="432">
        <f t="shared" si="19"/>
        <v>0.27286363636363636</v>
      </c>
      <c r="Y62" s="432">
        <f t="shared" si="4"/>
        <v>7.6231650000000002</v>
      </c>
      <c r="Z62" s="432">
        <f t="shared" si="5"/>
        <v>11.801898</v>
      </c>
      <c r="AA62" s="670">
        <f t="shared" si="6"/>
        <v>148.92449999999999</v>
      </c>
      <c r="AB62" s="432">
        <f t="shared" si="7"/>
        <v>19.535783365570598</v>
      </c>
      <c r="AC62" s="670">
        <f t="shared" si="2"/>
        <v>35.407296351824094</v>
      </c>
      <c r="AD62" s="787">
        <v>28</v>
      </c>
      <c r="AE62" s="432">
        <f t="shared" si="20"/>
        <v>213.44862000000001</v>
      </c>
      <c r="AF62" s="449"/>
    </row>
    <row r="63" spans="1:32" ht="18.75" customHeight="1" x14ac:dyDescent="0.2">
      <c r="A63" s="787">
        <v>50</v>
      </c>
      <c r="B63" s="461" t="s">
        <v>64</v>
      </c>
      <c r="C63" s="787" t="s">
        <v>46</v>
      </c>
      <c r="D63" s="787">
        <v>672.5</v>
      </c>
      <c r="E63" s="787" t="s">
        <v>234</v>
      </c>
      <c r="F63" s="787">
        <v>177.8</v>
      </c>
      <c r="G63" s="787" t="s">
        <v>28</v>
      </c>
      <c r="H63" s="655" t="s">
        <v>406</v>
      </c>
      <c r="I63" s="786">
        <v>534.14</v>
      </c>
      <c r="J63" s="787">
        <v>330</v>
      </c>
      <c r="K63" s="787"/>
      <c r="L63" s="787">
        <v>464</v>
      </c>
      <c r="M63" s="787"/>
      <c r="N63" s="787">
        <v>9</v>
      </c>
      <c r="O63" s="787"/>
      <c r="P63" s="668">
        <v>17.84824124401317</v>
      </c>
      <c r="Q63" s="772">
        <f>J63*20/100</f>
        <v>66</v>
      </c>
      <c r="R63" s="432">
        <v>9.2799999999999994</v>
      </c>
      <c r="S63" s="432">
        <v>13.702999999999999</v>
      </c>
      <c r="T63" s="670">
        <v>1356</v>
      </c>
      <c r="U63" s="668">
        <f t="shared" si="18"/>
        <v>146.12068965517241</v>
      </c>
      <c r="V63" s="668">
        <f t="shared" si="9"/>
        <v>32.27760344450121</v>
      </c>
      <c r="W63" s="668">
        <v>0.2</v>
      </c>
      <c r="X63" s="432">
        <f t="shared" si="19"/>
        <v>0.20762121212121212</v>
      </c>
      <c r="Y63" s="432">
        <f t="shared" si="4"/>
        <v>9.1222399999999997</v>
      </c>
      <c r="Z63" s="432">
        <f t="shared" si="5"/>
        <v>13.470048999999999</v>
      </c>
      <c r="AA63" s="670">
        <f t="shared" si="6"/>
        <v>1332.9480000000001</v>
      </c>
      <c r="AB63" s="432">
        <f t="shared" si="7"/>
        <v>146.12068965517241</v>
      </c>
      <c r="AC63" s="670">
        <f t="shared" si="2"/>
        <v>32.27760344450121</v>
      </c>
      <c r="AD63" s="787">
        <v>28</v>
      </c>
      <c r="AE63" s="432">
        <f t="shared" si="20"/>
        <v>255.42272</v>
      </c>
      <c r="AF63" s="449"/>
    </row>
    <row r="64" spans="1:32" ht="18.75" customHeight="1" x14ac:dyDescent="0.2">
      <c r="A64" s="787">
        <v>51</v>
      </c>
      <c r="B64" s="461" t="s">
        <v>156</v>
      </c>
      <c r="C64" s="787" t="s">
        <v>46</v>
      </c>
      <c r="D64" s="787">
        <v>679.54</v>
      </c>
      <c r="E64" s="787" t="s">
        <v>166</v>
      </c>
      <c r="F64" s="787">
        <v>177.8</v>
      </c>
      <c r="G64" s="787" t="s">
        <v>28</v>
      </c>
      <c r="H64" s="787" t="s">
        <v>52</v>
      </c>
      <c r="I64" s="786">
        <v>530.98</v>
      </c>
      <c r="J64" s="787">
        <v>210</v>
      </c>
      <c r="K64" s="787"/>
      <c r="L64" s="787">
        <v>455</v>
      </c>
      <c r="M64" s="787"/>
      <c r="N64" s="787">
        <v>7.4</v>
      </c>
      <c r="O64" s="787"/>
      <c r="P64" s="668">
        <v>16.794939939354045</v>
      </c>
      <c r="Q64" s="772">
        <f t="shared" si="13"/>
        <v>46.2</v>
      </c>
      <c r="R64" s="432">
        <v>6.1680000000000001</v>
      </c>
      <c r="S64" s="432">
        <v>8.8409999999999993</v>
      </c>
      <c r="T64" s="670">
        <v>144</v>
      </c>
      <c r="U64" s="668">
        <f t="shared" si="18"/>
        <v>23.346303501945524</v>
      </c>
      <c r="V64" s="668">
        <f t="shared" si="9"/>
        <v>30.234136409908373</v>
      </c>
      <c r="W64" s="668">
        <v>0.2</v>
      </c>
      <c r="X64" s="432">
        <f t="shared" si="19"/>
        <v>0.19136363636363635</v>
      </c>
      <c r="Y64" s="432">
        <f t="shared" si="4"/>
        <v>6.0631440000000003</v>
      </c>
      <c r="Z64" s="432">
        <f t="shared" si="5"/>
        <v>8.6907029999999992</v>
      </c>
      <c r="AA64" s="670">
        <f t="shared" si="6"/>
        <v>141.55199999999999</v>
      </c>
      <c r="AB64" s="432">
        <f t="shared" si="7"/>
        <v>23.346303501945524</v>
      </c>
      <c r="AC64" s="670">
        <f t="shared" si="2"/>
        <v>30.234136409908373</v>
      </c>
      <c r="AD64" s="787">
        <v>28</v>
      </c>
      <c r="AE64" s="432">
        <f t="shared" si="20"/>
        <v>169.76803200000001</v>
      </c>
      <c r="AF64" s="449"/>
    </row>
    <row r="65" spans="1:32" ht="18.75" customHeight="1" x14ac:dyDescent="0.2">
      <c r="A65" s="787">
        <v>52</v>
      </c>
      <c r="B65" s="461" t="s">
        <v>169</v>
      </c>
      <c r="C65" s="787" t="s">
        <v>46</v>
      </c>
      <c r="D65" s="787">
        <v>673</v>
      </c>
      <c r="E65" s="787" t="s">
        <v>170</v>
      </c>
      <c r="F65" s="787">
        <v>177.8</v>
      </c>
      <c r="G65" s="787" t="s">
        <v>28</v>
      </c>
      <c r="H65" s="787" t="s">
        <v>52</v>
      </c>
      <c r="I65" s="786">
        <v>541.48</v>
      </c>
      <c r="J65" s="787">
        <v>175</v>
      </c>
      <c r="K65" s="787"/>
      <c r="L65" s="787">
        <v>424</v>
      </c>
      <c r="M65" s="787"/>
      <c r="N65" s="787">
        <v>4.7</v>
      </c>
      <c r="O65" s="787"/>
      <c r="P65" s="668">
        <v>18.292196822889682</v>
      </c>
      <c r="Q65" s="772">
        <f t="shared" si="13"/>
        <v>38.5</v>
      </c>
      <c r="R65" s="432">
        <v>3.5419999999999998</v>
      </c>
      <c r="S65" s="432">
        <v>4.7629999999999999</v>
      </c>
      <c r="T65" s="670">
        <v>63</v>
      </c>
      <c r="U65" s="668">
        <f t="shared" si="18"/>
        <v>17.786561264822137</v>
      </c>
      <c r="V65" s="668">
        <f t="shared" si="9"/>
        <v>25.635103926097003</v>
      </c>
      <c r="W65" s="668">
        <v>0.3</v>
      </c>
      <c r="X65" s="432">
        <f t="shared" si="19"/>
        <v>0.12371428571428571</v>
      </c>
      <c r="Y65" s="432">
        <f t="shared" si="4"/>
        <v>3.4817859999999996</v>
      </c>
      <c r="Z65" s="432">
        <f t="shared" si="5"/>
        <v>4.682029</v>
      </c>
      <c r="AA65" s="670">
        <f t="shared" si="6"/>
        <v>61.929000000000002</v>
      </c>
      <c r="AB65" s="432">
        <f t="shared" si="7"/>
        <v>17.786561264822137</v>
      </c>
      <c r="AC65" s="670">
        <f t="shared" si="2"/>
        <v>25.635103926097003</v>
      </c>
      <c r="AD65" s="787">
        <v>28</v>
      </c>
      <c r="AE65" s="432">
        <f>Y65*AD65</f>
        <v>97.490007999999989</v>
      </c>
      <c r="AF65" s="449"/>
    </row>
    <row r="66" spans="1:32" ht="18.75" customHeight="1" x14ac:dyDescent="0.2">
      <c r="A66" s="787">
        <v>53</v>
      </c>
      <c r="B66" s="461" t="s">
        <v>62</v>
      </c>
      <c r="C66" s="787" t="s">
        <v>46</v>
      </c>
      <c r="D66" s="787">
        <v>673.73</v>
      </c>
      <c r="E66" s="787" t="s">
        <v>97</v>
      </c>
      <c r="F66" s="787">
        <v>177.8</v>
      </c>
      <c r="G66" s="787" t="s">
        <v>28</v>
      </c>
      <c r="H66" s="787" t="s">
        <v>218</v>
      </c>
      <c r="I66" s="786">
        <v>543</v>
      </c>
      <c r="J66" s="787">
        <v>235</v>
      </c>
      <c r="K66" s="787"/>
      <c r="L66" s="787">
        <v>440</v>
      </c>
      <c r="M66" s="787"/>
      <c r="N66" s="787">
        <v>8.1999999999999993</v>
      </c>
      <c r="O66" s="787"/>
      <c r="P66" s="668">
        <v>19.566280233262713</v>
      </c>
      <c r="Q66" s="772">
        <f t="shared" si="13"/>
        <v>75.2</v>
      </c>
      <c r="R66" s="432">
        <v>7.7809999999999997</v>
      </c>
      <c r="S66" s="432">
        <v>9.3970000000000002</v>
      </c>
      <c r="T66" s="670">
        <v>505</v>
      </c>
      <c r="U66" s="668">
        <f t="shared" si="0"/>
        <v>64.901683588227741</v>
      </c>
      <c r="V66" s="668">
        <f t="shared" si="9"/>
        <v>17.196977758859216</v>
      </c>
      <c r="W66" s="668">
        <v>0.4</v>
      </c>
      <c r="X66" s="432">
        <f t="shared" si="19"/>
        <v>0.12496010638297872</v>
      </c>
      <c r="Y66" s="432">
        <f t="shared" si="4"/>
        <v>7.6487229999999995</v>
      </c>
      <c r="Z66" s="432">
        <f t="shared" si="5"/>
        <v>9.2372510000000005</v>
      </c>
      <c r="AA66" s="670">
        <f t="shared" si="6"/>
        <v>496.41500000000002</v>
      </c>
      <c r="AB66" s="432">
        <f t="shared" si="7"/>
        <v>64.901683588227741</v>
      </c>
      <c r="AC66" s="670">
        <f t="shared" si="2"/>
        <v>17.196977758859216</v>
      </c>
      <c r="AD66" s="787">
        <v>28</v>
      </c>
      <c r="AE66" s="432">
        <f t="shared" si="20"/>
        <v>214.164244</v>
      </c>
      <c r="AF66" s="669"/>
    </row>
    <row r="67" spans="1:32" ht="18.75" customHeight="1" x14ac:dyDescent="0.2">
      <c r="A67" s="732">
        <v>54</v>
      </c>
      <c r="B67" s="461" t="s">
        <v>157</v>
      </c>
      <c r="C67" s="665" t="s">
        <v>46</v>
      </c>
      <c r="D67" s="665">
        <v>676.73</v>
      </c>
      <c r="E67" s="665" t="s">
        <v>179</v>
      </c>
      <c r="F67" s="665">
        <v>177.8</v>
      </c>
      <c r="G67" s="665" t="s">
        <v>28</v>
      </c>
      <c r="H67" s="665" t="s">
        <v>218</v>
      </c>
      <c r="I67" s="664">
        <v>579.14</v>
      </c>
      <c r="J67" s="665">
        <v>160</v>
      </c>
      <c r="K67" s="665"/>
      <c r="L67" s="665">
        <v>172</v>
      </c>
      <c r="M67" s="665"/>
      <c r="N67" s="665">
        <v>9.4</v>
      </c>
      <c r="O67" s="665"/>
      <c r="P67" s="668">
        <v>45.269294916429132</v>
      </c>
      <c r="Q67" s="772">
        <f t="shared" si="13"/>
        <v>51.2</v>
      </c>
      <c r="R67" s="432">
        <v>17.795999999999999</v>
      </c>
      <c r="S67" s="432">
        <v>42.186</v>
      </c>
      <c r="T67" s="670">
        <v>199</v>
      </c>
      <c r="U67" s="668">
        <f t="shared" si="0"/>
        <v>11.182288154641492</v>
      </c>
      <c r="V67" s="668">
        <f t="shared" si="9"/>
        <v>57.815388991608593</v>
      </c>
      <c r="W67" s="668">
        <v>0.2</v>
      </c>
      <c r="X67" s="432">
        <f t="shared" si="19"/>
        <v>0.82394531249999992</v>
      </c>
      <c r="Y67" s="432">
        <f t="shared" si="4"/>
        <v>17.493468</v>
      </c>
      <c r="Z67" s="432">
        <f t="shared" si="5"/>
        <v>41.468837999999998</v>
      </c>
      <c r="AA67" s="670">
        <f t="shared" si="6"/>
        <v>195.61699999999999</v>
      </c>
      <c r="AB67" s="432">
        <f t="shared" si="7"/>
        <v>11.182288154641492</v>
      </c>
      <c r="AC67" s="670">
        <f t="shared" si="2"/>
        <v>57.815388991608593</v>
      </c>
      <c r="AD67" s="787">
        <v>28</v>
      </c>
      <c r="AE67" s="432">
        <f t="shared" si="20"/>
        <v>489.81710399999997</v>
      </c>
      <c r="AF67" s="676"/>
    </row>
    <row r="68" spans="1:32" ht="18.75" customHeight="1" x14ac:dyDescent="0.2">
      <c r="A68" s="787">
        <v>55</v>
      </c>
      <c r="B68" s="461" t="s">
        <v>159</v>
      </c>
      <c r="C68" s="787" t="s">
        <v>46</v>
      </c>
      <c r="D68" s="787">
        <v>676</v>
      </c>
      <c r="E68" s="787" t="s">
        <v>167</v>
      </c>
      <c r="F68" s="787">
        <v>177.8</v>
      </c>
      <c r="G68" s="787" t="s">
        <v>28</v>
      </c>
      <c r="H68" s="787" t="s">
        <v>218</v>
      </c>
      <c r="I68" s="786">
        <v>508.57</v>
      </c>
      <c r="J68" s="787">
        <v>410</v>
      </c>
      <c r="K68" s="787"/>
      <c r="L68" s="787">
        <v>472</v>
      </c>
      <c r="M68" s="787"/>
      <c r="N68" s="787">
        <v>8.3000000000000007</v>
      </c>
      <c r="O68" s="787"/>
      <c r="P68" s="668">
        <v>12.671066541475401</v>
      </c>
      <c r="Q68" s="772">
        <f t="shared" si="13"/>
        <v>131.19999999999999</v>
      </c>
      <c r="R68" s="432">
        <v>23.401</v>
      </c>
      <c r="S68" s="432">
        <v>26.584</v>
      </c>
      <c r="T68" s="670">
        <v>479</v>
      </c>
      <c r="U68" s="668">
        <f t="shared" si="0"/>
        <v>20.469210717490707</v>
      </c>
      <c r="V68" s="668">
        <f t="shared" si="9"/>
        <v>11.973367439061089</v>
      </c>
      <c r="W68" s="668">
        <v>0.3</v>
      </c>
      <c r="X68" s="432">
        <f t="shared" si="19"/>
        <v>0.20262195121951221</v>
      </c>
      <c r="Y68" s="432">
        <f t="shared" si="4"/>
        <v>23.003183</v>
      </c>
      <c r="Z68" s="432">
        <f t="shared" si="5"/>
        <v>26.132072000000001</v>
      </c>
      <c r="AA68" s="670">
        <f t="shared" si="6"/>
        <v>470.85699999999997</v>
      </c>
      <c r="AB68" s="432">
        <f t="shared" si="7"/>
        <v>20.469210717490707</v>
      </c>
      <c r="AC68" s="670">
        <f t="shared" si="2"/>
        <v>11.973367439061089</v>
      </c>
      <c r="AD68" s="787">
        <v>28</v>
      </c>
      <c r="AE68" s="432">
        <f t="shared" si="20"/>
        <v>644.08912399999997</v>
      </c>
      <c r="AF68" s="669"/>
    </row>
    <row r="69" spans="1:32" ht="18.75" customHeight="1" x14ac:dyDescent="0.2">
      <c r="A69" s="787">
        <v>56</v>
      </c>
      <c r="B69" s="461" t="s">
        <v>330</v>
      </c>
      <c r="C69" s="787" t="s">
        <v>46</v>
      </c>
      <c r="D69" s="787">
        <v>595</v>
      </c>
      <c r="E69" s="787" t="s">
        <v>367</v>
      </c>
      <c r="F69" s="787">
        <v>178.8</v>
      </c>
      <c r="G69" s="787" t="s">
        <v>28</v>
      </c>
      <c r="H69" s="241" t="s">
        <v>366</v>
      </c>
      <c r="I69" s="786">
        <v>505</v>
      </c>
      <c r="J69" s="787">
        <v>280</v>
      </c>
      <c r="K69" s="787"/>
      <c r="L69" s="787">
        <v>373</v>
      </c>
      <c r="M69" s="787"/>
      <c r="N69" s="787">
        <v>11.5</v>
      </c>
      <c r="O69" s="787"/>
      <c r="P69" s="668">
        <v>24.552877839732158</v>
      </c>
      <c r="Q69" s="772">
        <f>(33*J69)/100</f>
        <v>92.4</v>
      </c>
      <c r="R69" s="432">
        <v>24.922999999999998</v>
      </c>
      <c r="S69" s="432">
        <v>30.559000000000001</v>
      </c>
      <c r="T69" s="670">
        <v>904.8</v>
      </c>
      <c r="U69" s="668">
        <f t="shared" si="0"/>
        <v>36.303815752517757</v>
      </c>
      <c r="V69" s="668">
        <f t="shared" si="9"/>
        <v>18.443011878660958</v>
      </c>
      <c r="W69" s="668">
        <v>0.3</v>
      </c>
      <c r="X69" s="432">
        <f t="shared" si="19"/>
        <v>0.3307251082251082</v>
      </c>
      <c r="Y69" s="432">
        <f t="shared" si="4"/>
        <v>24.499308999999997</v>
      </c>
      <c r="Z69" s="432">
        <f t="shared" si="5"/>
        <v>30.039497000000001</v>
      </c>
      <c r="AA69" s="670">
        <f t="shared" si="6"/>
        <v>889.41839999999991</v>
      </c>
      <c r="AB69" s="432">
        <v>20</v>
      </c>
      <c r="AC69" s="670">
        <v>17</v>
      </c>
      <c r="AD69" s="787">
        <v>28</v>
      </c>
      <c r="AE69" s="432">
        <f t="shared" si="20"/>
        <v>685.98065199999996</v>
      </c>
      <c r="AF69" s="669"/>
    </row>
    <row r="70" spans="1:32" ht="18.75" customHeight="1" x14ac:dyDescent="0.2">
      <c r="A70" s="787">
        <v>57</v>
      </c>
      <c r="B70" s="461" t="s">
        <v>210</v>
      </c>
      <c r="C70" s="787" t="s">
        <v>46</v>
      </c>
      <c r="D70" s="787">
        <v>728.32</v>
      </c>
      <c r="E70" s="787" t="s">
        <v>226</v>
      </c>
      <c r="F70" s="787">
        <v>177.8</v>
      </c>
      <c r="G70" s="787" t="s">
        <v>28</v>
      </c>
      <c r="H70" s="787" t="s">
        <v>218</v>
      </c>
      <c r="I70" s="786">
        <v>519.38</v>
      </c>
      <c r="J70" s="787">
        <v>150</v>
      </c>
      <c r="K70" s="787"/>
      <c r="L70" s="787">
        <v>211</v>
      </c>
      <c r="M70" s="787"/>
      <c r="N70" s="787">
        <v>12</v>
      </c>
      <c r="O70" s="787"/>
      <c r="P70" s="668">
        <v>43.284557520725429</v>
      </c>
      <c r="Q70" s="772">
        <f t="shared" si="13"/>
        <v>48</v>
      </c>
      <c r="R70" s="432">
        <v>13.276</v>
      </c>
      <c r="S70" s="432">
        <v>39.488</v>
      </c>
      <c r="T70" s="670">
        <v>157</v>
      </c>
      <c r="U70" s="668">
        <f t="shared" si="0"/>
        <v>11.825851159987948</v>
      </c>
      <c r="V70" s="668">
        <f t="shared" si="9"/>
        <v>66.379659643435986</v>
      </c>
      <c r="W70" s="668">
        <v>0.4</v>
      </c>
      <c r="X70" s="432">
        <f t="shared" si="19"/>
        <v>0.82266666666666666</v>
      </c>
      <c r="Y70" s="432">
        <f t="shared" si="4"/>
        <v>13.050307999999999</v>
      </c>
      <c r="Z70" s="432">
        <f t="shared" si="5"/>
        <v>38.816704000000001</v>
      </c>
      <c r="AA70" s="670">
        <f t="shared" si="6"/>
        <v>154.33099999999999</v>
      </c>
      <c r="AB70" s="432">
        <f t="shared" si="7"/>
        <v>11.825851159987948</v>
      </c>
      <c r="AC70" s="670">
        <f t="shared" si="2"/>
        <v>66.379659643435986</v>
      </c>
      <c r="AD70" s="787">
        <v>28</v>
      </c>
      <c r="AE70" s="432">
        <f t="shared" si="20"/>
        <v>365.40862399999997</v>
      </c>
      <c r="AF70" s="449"/>
    </row>
    <row r="71" spans="1:32" ht="18.75" customHeight="1" x14ac:dyDescent="0.2">
      <c r="A71" s="787">
        <v>58</v>
      </c>
      <c r="B71" s="461" t="s">
        <v>63</v>
      </c>
      <c r="C71" s="787" t="s">
        <v>46</v>
      </c>
      <c r="D71" s="787">
        <v>672.99</v>
      </c>
      <c r="E71" s="787" t="s">
        <v>98</v>
      </c>
      <c r="F71" s="787">
        <v>177.8</v>
      </c>
      <c r="G71" s="787" t="s">
        <v>28</v>
      </c>
      <c r="H71" s="787" t="s">
        <v>310</v>
      </c>
      <c r="I71" s="786">
        <v>536.32000000000005</v>
      </c>
      <c r="J71" s="787">
        <v>290</v>
      </c>
      <c r="K71" s="787"/>
      <c r="L71" s="787">
        <v>388</v>
      </c>
      <c r="M71" s="787"/>
      <c r="N71" s="787">
        <v>9.3000000000000007</v>
      </c>
      <c r="O71" s="787"/>
      <c r="P71" s="668">
        <v>24.950726601924902</v>
      </c>
      <c r="Q71" s="772">
        <f t="shared" si="13"/>
        <v>63.8</v>
      </c>
      <c r="R71" s="432">
        <v>13.747999999999999</v>
      </c>
      <c r="S71" s="432">
        <v>16.568000000000001</v>
      </c>
      <c r="T71" s="670">
        <v>1168</v>
      </c>
      <c r="U71" s="668">
        <f t="shared" si="0"/>
        <v>84.957812045388422</v>
      </c>
      <c r="V71" s="668">
        <f t="shared" si="9"/>
        <v>17.020762916465486</v>
      </c>
      <c r="W71" s="668">
        <v>0.3</v>
      </c>
      <c r="X71" s="432">
        <f t="shared" si="19"/>
        <v>0.25968652037617557</v>
      </c>
      <c r="Y71" s="432">
        <f t="shared" si="4"/>
        <v>13.514284</v>
      </c>
      <c r="Z71" s="432">
        <f t="shared" si="5"/>
        <v>16.286344</v>
      </c>
      <c r="AA71" s="670">
        <f t="shared" si="6"/>
        <v>1148.144</v>
      </c>
      <c r="AB71" s="432">
        <f t="shared" si="7"/>
        <v>84.957812045388422</v>
      </c>
      <c r="AC71" s="670">
        <f t="shared" si="2"/>
        <v>17.020762916465486</v>
      </c>
      <c r="AD71" s="787">
        <v>28</v>
      </c>
      <c r="AE71" s="432">
        <f t="shared" si="20"/>
        <v>378.39995199999998</v>
      </c>
      <c r="AF71" s="449"/>
    </row>
    <row r="72" spans="1:32" ht="18.75" customHeight="1" x14ac:dyDescent="0.2">
      <c r="A72" s="732">
        <v>59</v>
      </c>
      <c r="B72" s="461" t="s">
        <v>217</v>
      </c>
      <c r="C72" s="665" t="s">
        <v>46</v>
      </c>
      <c r="D72" s="665">
        <v>684.57</v>
      </c>
      <c r="E72" s="665" t="s">
        <v>359</v>
      </c>
      <c r="F72" s="665">
        <v>177.8</v>
      </c>
      <c r="G72" s="665" t="s">
        <v>28</v>
      </c>
      <c r="H72" s="665" t="s">
        <v>219</v>
      </c>
      <c r="I72" s="664">
        <v>555.95000000000005</v>
      </c>
      <c r="J72" s="665">
        <v>300</v>
      </c>
      <c r="K72" s="665"/>
      <c r="L72" s="665">
        <v>338</v>
      </c>
      <c r="M72" s="665"/>
      <c r="N72" s="665">
        <v>10.7</v>
      </c>
      <c r="O72" s="665"/>
      <c r="P72" s="668">
        <v>33.547346996247022</v>
      </c>
      <c r="Q72" s="772">
        <f t="shared" si="13"/>
        <v>36</v>
      </c>
      <c r="R72" s="432">
        <v>3.35</v>
      </c>
      <c r="S72" s="432">
        <v>12.055</v>
      </c>
      <c r="T72" s="670">
        <v>17.399999999999999</v>
      </c>
      <c r="U72" s="668">
        <f t="shared" si="0"/>
        <v>5.1940298507462677</v>
      </c>
      <c r="V72" s="668">
        <f t="shared" si="9"/>
        <v>72.210700953961009</v>
      </c>
      <c r="W72" s="668">
        <v>1</v>
      </c>
      <c r="X72" s="432">
        <f t="shared" si="19"/>
        <v>0.33486111111111111</v>
      </c>
      <c r="Y72" s="432">
        <f t="shared" si="4"/>
        <v>3.29305</v>
      </c>
      <c r="Z72" s="432">
        <f t="shared" si="5"/>
        <v>11.850064999999999</v>
      </c>
      <c r="AA72" s="670">
        <f t="shared" si="6"/>
        <v>17.104199999999999</v>
      </c>
      <c r="AB72" s="432">
        <f t="shared" si="7"/>
        <v>5.1940298507462677</v>
      </c>
      <c r="AC72" s="670">
        <f t="shared" si="2"/>
        <v>72.210700953961009</v>
      </c>
      <c r="AD72" s="787">
        <v>28</v>
      </c>
      <c r="AE72" s="432">
        <f t="shared" si="20"/>
        <v>92.205399999999997</v>
      </c>
      <c r="AF72" s="449"/>
    </row>
    <row r="73" spans="1:32" ht="18.75" customHeight="1" x14ac:dyDescent="0.2">
      <c r="A73" s="787">
        <v>60</v>
      </c>
      <c r="B73" s="461" t="s">
        <v>211</v>
      </c>
      <c r="C73" s="787" t="s">
        <v>46</v>
      </c>
      <c r="D73" s="787">
        <v>675.29</v>
      </c>
      <c r="E73" s="787" t="s">
        <v>224</v>
      </c>
      <c r="F73" s="787">
        <v>177.8</v>
      </c>
      <c r="G73" s="787" t="s">
        <v>28</v>
      </c>
      <c r="H73" s="787" t="s">
        <v>384</v>
      </c>
      <c r="I73" s="786">
        <v>554.95999999999981</v>
      </c>
      <c r="J73" s="787">
        <v>170</v>
      </c>
      <c r="K73" s="787"/>
      <c r="L73" s="787">
        <v>415</v>
      </c>
      <c r="M73" s="787"/>
      <c r="N73" s="787">
        <v>0.4</v>
      </c>
      <c r="O73" s="787"/>
      <c r="P73" s="668">
        <v>15.79066340685325</v>
      </c>
      <c r="Q73" s="772">
        <f>(22*J73)/100</f>
        <v>37.4</v>
      </c>
      <c r="R73" s="432">
        <v>2.99</v>
      </c>
      <c r="S73" s="432">
        <v>5.1360000000000001</v>
      </c>
      <c r="T73" s="670">
        <v>28</v>
      </c>
      <c r="U73" s="668">
        <f t="shared" si="0"/>
        <v>9.3645484949832767</v>
      </c>
      <c r="V73" s="668">
        <f t="shared" si="9"/>
        <v>41.783489096573206</v>
      </c>
      <c r="W73" s="668">
        <v>0.3</v>
      </c>
      <c r="X73" s="432">
        <f t="shared" si="19"/>
        <v>0.13732620320855615</v>
      </c>
      <c r="Y73" s="432">
        <f t="shared" si="4"/>
        <v>2.9391700000000003</v>
      </c>
      <c r="Z73" s="432">
        <f t="shared" si="5"/>
        <v>5.0486880000000003</v>
      </c>
      <c r="AA73" s="670">
        <f t="shared" si="6"/>
        <v>27.524000000000001</v>
      </c>
      <c r="AB73" s="432">
        <f t="shared" si="7"/>
        <v>9.3645484949832767</v>
      </c>
      <c r="AC73" s="670">
        <f t="shared" si="2"/>
        <v>41.783489096573206</v>
      </c>
      <c r="AD73" s="787">
        <v>28</v>
      </c>
      <c r="AE73" s="432">
        <f t="shared" si="20"/>
        <v>82.296760000000006</v>
      </c>
      <c r="AF73" s="449"/>
    </row>
    <row r="74" spans="1:32" ht="18.75" customHeight="1" x14ac:dyDescent="0.2">
      <c r="A74" s="732">
        <v>61</v>
      </c>
      <c r="B74" s="461" t="s">
        <v>341</v>
      </c>
      <c r="C74" s="665" t="s">
        <v>46</v>
      </c>
      <c r="D74" s="665">
        <v>683.16</v>
      </c>
      <c r="E74" s="665" t="s">
        <v>343</v>
      </c>
      <c r="F74" s="665">
        <v>177.8</v>
      </c>
      <c r="G74" s="665" t="s">
        <v>28</v>
      </c>
      <c r="H74" s="766" t="s">
        <v>342</v>
      </c>
      <c r="I74" s="664">
        <v>571.9</v>
      </c>
      <c r="J74" s="665">
        <v>225</v>
      </c>
      <c r="K74" s="665"/>
      <c r="L74" s="665">
        <v>234</v>
      </c>
      <c r="M74" s="665"/>
      <c r="N74" s="665">
        <v>11.2</v>
      </c>
      <c r="O74" s="665"/>
      <c r="P74" s="668">
        <v>39.114369127885645</v>
      </c>
      <c r="Q74" s="772">
        <f>(20*J74)/100</f>
        <v>45</v>
      </c>
      <c r="R74" s="432">
        <v>26.06</v>
      </c>
      <c r="S74" s="432">
        <v>32.970999999999997</v>
      </c>
      <c r="T74" s="670">
        <v>514</v>
      </c>
      <c r="U74" s="668">
        <f t="shared" si="0"/>
        <v>19.723714504988489</v>
      </c>
      <c r="V74" s="668">
        <f t="shared" si="9"/>
        <v>20.96084437839313</v>
      </c>
      <c r="W74" s="668">
        <v>0.3</v>
      </c>
      <c r="X74" s="432">
        <f t="shared" si="19"/>
        <v>0.73268888888888883</v>
      </c>
      <c r="Y74" s="432">
        <f t="shared" si="4"/>
        <v>25.616979999999998</v>
      </c>
      <c r="Z74" s="432">
        <f t="shared" si="5"/>
        <v>32.410492999999995</v>
      </c>
      <c r="AA74" s="670">
        <f t="shared" si="6"/>
        <v>505.262</v>
      </c>
      <c r="AB74" s="432">
        <f t="shared" si="7"/>
        <v>19.723714504988489</v>
      </c>
      <c r="AC74" s="670">
        <f t="shared" si="2"/>
        <v>20.96084437839313</v>
      </c>
      <c r="AD74" s="787">
        <v>28</v>
      </c>
      <c r="AE74" s="432">
        <f t="shared" si="20"/>
        <v>717.27543999999989</v>
      </c>
      <c r="AF74" s="449"/>
    </row>
    <row r="75" spans="1:32" ht="18.75" customHeight="1" x14ac:dyDescent="0.3">
      <c r="A75" s="787">
        <v>62</v>
      </c>
      <c r="B75" s="461" t="s">
        <v>354</v>
      </c>
      <c r="C75" s="787" t="s">
        <v>46</v>
      </c>
      <c r="D75" s="787">
        <v>634.29</v>
      </c>
      <c r="E75" s="656" t="s">
        <v>356</v>
      </c>
      <c r="F75" s="787">
        <v>178.8</v>
      </c>
      <c r="G75" s="787" t="s">
        <v>28</v>
      </c>
      <c r="H75" s="241" t="s">
        <v>366</v>
      </c>
      <c r="I75" s="786">
        <v>540.14</v>
      </c>
      <c r="J75" s="787">
        <v>120</v>
      </c>
      <c r="K75" s="787"/>
      <c r="L75" s="787">
        <v>275</v>
      </c>
      <c r="M75" s="787"/>
      <c r="N75" s="787">
        <v>12.4</v>
      </c>
      <c r="O75" s="787"/>
      <c r="P75" s="668">
        <v>38.056683044594564</v>
      </c>
      <c r="Q75" s="772">
        <f>(33*J75)/100</f>
        <v>39.6</v>
      </c>
      <c r="R75" s="432">
        <v>19.489999999999998</v>
      </c>
      <c r="S75" s="432">
        <v>30.167999999999999</v>
      </c>
      <c r="T75" s="670">
        <v>117</v>
      </c>
      <c r="U75" s="668">
        <f t="shared" si="0"/>
        <v>6.0030785017957928</v>
      </c>
      <c r="V75" s="668">
        <f t="shared" si="9"/>
        <v>35.395120657650494</v>
      </c>
      <c r="W75" s="668">
        <v>0.2</v>
      </c>
      <c r="X75" s="432">
        <f t="shared" si="19"/>
        <v>0.76181818181818173</v>
      </c>
      <c r="Y75" s="432">
        <f t="shared" si="4"/>
        <v>19.158669999999997</v>
      </c>
      <c r="Z75" s="432">
        <f t="shared" si="5"/>
        <v>29.655144</v>
      </c>
      <c r="AA75" s="670">
        <f t="shared" si="6"/>
        <v>115.011</v>
      </c>
      <c r="AB75" s="432">
        <f t="shared" si="7"/>
        <v>6.0030785017957928</v>
      </c>
      <c r="AC75" s="670">
        <f t="shared" si="2"/>
        <v>35.395120657650494</v>
      </c>
      <c r="AD75" s="787">
        <v>28</v>
      </c>
      <c r="AE75" s="432">
        <f t="shared" si="20"/>
        <v>536.44275999999991</v>
      </c>
      <c r="AF75" s="449"/>
    </row>
    <row r="76" spans="1:32" ht="18.75" customHeight="1" x14ac:dyDescent="0.2">
      <c r="A76" s="787">
        <v>63</v>
      </c>
      <c r="B76" s="461" t="s">
        <v>213</v>
      </c>
      <c r="C76" s="787" t="s">
        <v>46</v>
      </c>
      <c r="D76" s="787">
        <v>679.2</v>
      </c>
      <c r="E76" s="787" t="s">
        <v>225</v>
      </c>
      <c r="F76" s="787">
        <v>177.8</v>
      </c>
      <c r="G76" s="787" t="s">
        <v>28</v>
      </c>
      <c r="H76" s="787" t="s">
        <v>48</v>
      </c>
      <c r="I76" s="786">
        <v>559.19000000000005</v>
      </c>
      <c r="J76" s="787">
        <v>130</v>
      </c>
      <c r="K76" s="787"/>
      <c r="L76" s="787">
        <v>437</v>
      </c>
      <c r="M76" s="787"/>
      <c r="N76" s="787">
        <v>1.5</v>
      </c>
      <c r="O76" s="787"/>
      <c r="P76" s="668">
        <v>14.783676572302131</v>
      </c>
      <c r="Q76" s="772">
        <f t="shared" si="13"/>
        <v>16.899999999999999</v>
      </c>
      <c r="R76" s="432">
        <v>2.1429999999999998</v>
      </c>
      <c r="S76" s="432">
        <v>4.8730000000000002</v>
      </c>
      <c r="T76" s="670">
        <v>11</v>
      </c>
      <c r="U76" s="668">
        <f t="shared" si="0"/>
        <v>5.1329911339244054</v>
      </c>
      <c r="V76" s="668">
        <f t="shared" si="9"/>
        <v>56.022983788220813</v>
      </c>
      <c r="W76" s="668">
        <v>0.2</v>
      </c>
      <c r="X76" s="432">
        <f t="shared" si="19"/>
        <v>0.28834319526627222</v>
      </c>
      <c r="Y76" s="432">
        <f t="shared" si="4"/>
        <v>2.1065689999999999</v>
      </c>
      <c r="Z76" s="432">
        <f t="shared" si="5"/>
        <v>4.7901590000000001</v>
      </c>
      <c r="AA76" s="670">
        <f t="shared" si="6"/>
        <v>10.813000000000001</v>
      </c>
      <c r="AB76" s="432">
        <f t="shared" si="7"/>
        <v>5.1329911339244054</v>
      </c>
      <c r="AC76" s="670">
        <f t="shared" si="2"/>
        <v>56.022983788220813</v>
      </c>
      <c r="AD76" s="787">
        <v>28</v>
      </c>
      <c r="AE76" s="432">
        <f t="shared" si="20"/>
        <v>58.983931999999996</v>
      </c>
      <c r="AF76" s="449"/>
    </row>
    <row r="77" spans="1:32" ht="18.75" customHeight="1" x14ac:dyDescent="0.2">
      <c r="A77" s="787">
        <v>64</v>
      </c>
      <c r="B77" s="461" t="s">
        <v>172</v>
      </c>
      <c r="C77" s="787" t="s">
        <v>46</v>
      </c>
      <c r="D77" s="787">
        <v>673</v>
      </c>
      <c r="E77" s="787" t="s">
        <v>173</v>
      </c>
      <c r="F77" s="787">
        <v>177.8</v>
      </c>
      <c r="G77" s="787" t="s">
        <v>28</v>
      </c>
      <c r="H77" s="787" t="s">
        <v>50</v>
      </c>
      <c r="I77" s="786">
        <v>560.79</v>
      </c>
      <c r="J77" s="787">
        <v>365</v>
      </c>
      <c r="K77" s="787"/>
      <c r="L77" s="787">
        <v>260</v>
      </c>
      <c r="M77" s="787"/>
      <c r="N77" s="787">
        <v>8.4</v>
      </c>
      <c r="O77" s="787"/>
      <c r="P77" s="448">
        <v>39.609579248369513</v>
      </c>
      <c r="Q77" s="772">
        <f>LEFT(H77,(FIND("K",H77,1)-1))*J77/100</f>
        <v>21.9</v>
      </c>
      <c r="R77" s="432">
        <v>0.28799999999999998</v>
      </c>
      <c r="S77" s="432">
        <v>3.7280000000000002</v>
      </c>
      <c r="T77" s="670">
        <v>6.8</v>
      </c>
      <c r="U77" s="668">
        <f t="shared" si="0"/>
        <v>23.611111111111111</v>
      </c>
      <c r="V77" s="668">
        <f t="shared" si="9"/>
        <v>92.274678111587988</v>
      </c>
      <c r="W77" s="668">
        <v>0.3</v>
      </c>
      <c r="X77" s="432">
        <f t="shared" si="19"/>
        <v>0.17022831050228313</v>
      </c>
      <c r="Y77" s="432">
        <f t="shared" si="4"/>
        <v>0.28310399999999997</v>
      </c>
      <c r="Z77" s="432">
        <f t="shared" si="5"/>
        <v>3.6646240000000003</v>
      </c>
      <c r="AA77" s="670">
        <f t="shared" si="6"/>
        <v>6.6844000000000001</v>
      </c>
      <c r="AB77" s="432">
        <f t="shared" si="7"/>
        <v>23.611111111111111</v>
      </c>
      <c r="AC77" s="670">
        <f t="shared" si="2"/>
        <v>92.274678111587988</v>
      </c>
      <c r="AD77" s="787">
        <v>28</v>
      </c>
      <c r="AE77" s="432">
        <f>Y77*AD77</f>
        <v>7.9269119999999988</v>
      </c>
      <c r="AF77" s="449"/>
    </row>
    <row r="78" spans="1:32" ht="18.75" customHeight="1" x14ac:dyDescent="0.2">
      <c r="A78" s="732">
        <v>65</v>
      </c>
      <c r="B78" s="461" t="s">
        <v>171</v>
      </c>
      <c r="C78" s="665" t="s">
        <v>46</v>
      </c>
      <c r="D78" s="664">
        <v>646</v>
      </c>
      <c r="E78" s="664" t="s">
        <v>191</v>
      </c>
      <c r="F78" s="665">
        <v>177.8</v>
      </c>
      <c r="G78" s="665"/>
      <c r="H78" s="665"/>
      <c r="I78" s="664">
        <v>9.5</v>
      </c>
      <c r="J78" s="664"/>
      <c r="K78" s="664">
        <v>260</v>
      </c>
      <c r="L78" s="664"/>
      <c r="M78" s="664">
        <v>0.4</v>
      </c>
      <c r="N78" s="665"/>
      <c r="O78" s="664"/>
      <c r="P78" s="668"/>
      <c r="Q78" s="771"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si="4"/>
        <v>0</v>
      </c>
      <c r="Z78" s="432">
        <f t="shared" si="5"/>
        <v>0</v>
      </c>
      <c r="AA78" s="670">
        <f t="shared" si="6"/>
        <v>0</v>
      </c>
      <c r="AB78" s="432">
        <f t="shared" si="7"/>
        <v>0</v>
      </c>
      <c r="AC78" s="432">
        <f t="shared" si="2"/>
        <v>0</v>
      </c>
      <c r="AD78" s="787">
        <v>28</v>
      </c>
      <c r="AE78" s="432">
        <f>Y78*AD78</f>
        <v>0</v>
      </c>
      <c r="AF78" s="669" t="s">
        <v>418</v>
      </c>
    </row>
    <row r="79" spans="1:32" ht="18.75" customHeight="1" x14ac:dyDescent="0.2">
      <c r="A79" s="677"/>
      <c r="B79" s="665"/>
      <c r="C79" s="665"/>
      <c r="D79" s="664"/>
      <c r="E79" s="664"/>
      <c r="F79" s="461"/>
      <c r="G79" s="665"/>
      <c r="H79" s="665"/>
      <c r="I79" s="664"/>
      <c r="J79" s="664"/>
      <c r="K79" s="664"/>
      <c r="L79" s="664"/>
      <c r="M79" s="664"/>
      <c r="N79" s="665"/>
      <c r="O79" s="664"/>
      <c r="P79" s="668"/>
      <c r="Q79" s="771"/>
      <c r="R79" s="466">
        <f>SUM(R14:R78)</f>
        <v>373.15000000000003</v>
      </c>
      <c r="S79" s="466">
        <f>SUM(S14:S78)</f>
        <v>718.4799999999999</v>
      </c>
      <c r="T79" s="512">
        <f>SUM(T14:T78)</f>
        <v>10772.399999999998</v>
      </c>
      <c r="U79" s="466">
        <f>T79/R79</f>
        <v>28.86881950958059</v>
      </c>
      <c r="V79" s="466"/>
      <c r="W79" s="466"/>
      <c r="X79" s="466"/>
      <c r="Y79" s="466">
        <f>SUM(Y14:Y78)</f>
        <v>369.40644999999978</v>
      </c>
      <c r="Z79" s="466">
        <f>SUM(Z14:Z78)</f>
        <v>709.06583999999987</v>
      </c>
      <c r="AA79" s="678">
        <f>SUM(AA14:AA78)</f>
        <v>10713.269200000002</v>
      </c>
      <c r="AB79" s="466">
        <f>AA79/Y79</f>
        <v>29.001305201898909</v>
      </c>
      <c r="AC79" s="466"/>
      <c r="AD79" s="661"/>
      <c r="AE79" s="466">
        <f>SUM(AE14:AE78)</f>
        <v>10341.756683999996</v>
      </c>
      <c r="AF79" s="669"/>
    </row>
    <row r="80" spans="1:32" ht="18.75" customHeight="1" x14ac:dyDescent="0.2">
      <c r="A80" s="677"/>
      <c r="B80" s="705"/>
      <c r="C80" s="705"/>
      <c r="D80" s="702"/>
      <c r="E80" s="702"/>
      <c r="F80" s="461"/>
      <c r="G80" s="705"/>
      <c r="H80" s="705"/>
      <c r="I80" s="702"/>
      <c r="J80" s="702"/>
      <c r="K80" s="702"/>
      <c r="L80" s="702"/>
      <c r="M80" s="702"/>
      <c r="N80" s="705"/>
      <c r="O80" s="702"/>
      <c r="P80" s="668"/>
      <c r="Q80" s="771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704"/>
      <c r="AE80" s="466"/>
      <c r="AF80" s="669"/>
    </row>
    <row r="81" spans="1:32" ht="18.75" customHeight="1" x14ac:dyDescent="0.2">
      <c r="A81" s="677"/>
      <c r="B81" s="705"/>
      <c r="C81" s="705"/>
      <c r="D81" s="702"/>
      <c r="E81" s="701" t="s">
        <v>388</v>
      </c>
      <c r="F81" s="461"/>
      <c r="G81" s="705"/>
      <c r="H81" s="705"/>
      <c r="I81" s="702"/>
      <c r="J81" s="702"/>
      <c r="K81" s="702"/>
      <c r="L81" s="702"/>
      <c r="M81" s="702"/>
      <c r="N81" s="705"/>
      <c r="O81" s="702"/>
      <c r="P81" s="668"/>
      <c r="Q81" s="771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704"/>
      <c r="AE81" s="466"/>
      <c r="AF81" s="669"/>
    </row>
    <row r="82" spans="1:32" ht="18.75" customHeight="1" x14ac:dyDescent="0.2">
      <c r="A82" s="765">
        <v>66</v>
      </c>
      <c r="B82" s="461" t="s">
        <v>423</v>
      </c>
      <c r="C82" s="765" t="s">
        <v>295</v>
      </c>
      <c r="D82" s="764"/>
      <c r="E82" s="762"/>
      <c r="F82" s="461"/>
      <c r="G82" s="765"/>
      <c r="H82" s="765"/>
      <c r="I82" s="764"/>
      <c r="J82" s="764"/>
      <c r="K82" s="764"/>
      <c r="L82" s="764"/>
      <c r="M82" s="764"/>
      <c r="N82" s="765"/>
      <c r="O82" s="764"/>
      <c r="P82" s="668"/>
      <c r="Q82" s="771"/>
      <c r="R82" s="466"/>
      <c r="S82" s="466"/>
      <c r="T82" s="512"/>
      <c r="U82" s="466"/>
      <c r="V82" s="466"/>
      <c r="W82" s="466"/>
      <c r="X82" s="466"/>
      <c r="Y82" s="466">
        <v>5</v>
      </c>
      <c r="Z82" s="708"/>
      <c r="AA82" s="678"/>
      <c r="AB82" s="466"/>
      <c r="AC82" s="466"/>
      <c r="AD82" s="763"/>
      <c r="AE82" s="466"/>
      <c r="AF82" s="669" t="s">
        <v>425</v>
      </c>
    </row>
    <row r="83" spans="1:32" ht="18.75" customHeight="1" x14ac:dyDescent="0.2">
      <c r="A83" s="765">
        <v>67</v>
      </c>
      <c r="B83" s="461" t="s">
        <v>424</v>
      </c>
      <c r="C83" s="765" t="s">
        <v>295</v>
      </c>
      <c r="D83" s="764"/>
      <c r="E83" s="762"/>
      <c r="F83" s="461"/>
      <c r="G83" s="765"/>
      <c r="H83" s="765"/>
      <c r="I83" s="764"/>
      <c r="J83" s="764"/>
      <c r="K83" s="764"/>
      <c r="L83" s="764"/>
      <c r="M83" s="764"/>
      <c r="N83" s="765"/>
      <c r="O83" s="764"/>
      <c r="P83" s="668"/>
      <c r="Q83" s="771"/>
      <c r="R83" s="466"/>
      <c r="S83" s="466"/>
      <c r="T83" s="512"/>
      <c r="U83" s="466"/>
      <c r="V83" s="466"/>
      <c r="W83" s="466"/>
      <c r="X83" s="466"/>
      <c r="Y83" s="466">
        <v>5</v>
      </c>
      <c r="Z83" s="708"/>
      <c r="AA83" s="678"/>
      <c r="AB83" s="466"/>
      <c r="AC83" s="466"/>
      <c r="AD83" s="763"/>
      <c r="AE83" s="466"/>
      <c r="AF83" s="669" t="s">
        <v>425</v>
      </c>
    </row>
    <row r="84" spans="1:32" ht="18.75" customHeight="1" x14ac:dyDescent="0.2">
      <c r="A84" s="705">
        <v>68</v>
      </c>
      <c r="B84" s="461" t="s">
        <v>155</v>
      </c>
      <c r="C84" s="749" t="s">
        <v>415</v>
      </c>
      <c r="D84" s="759">
        <v>513.9</v>
      </c>
      <c r="E84" s="705" t="s">
        <v>416</v>
      </c>
      <c r="F84" s="705">
        <v>177.8</v>
      </c>
      <c r="G84" s="749"/>
      <c r="H84" s="165"/>
      <c r="I84" s="748">
        <v>9.5</v>
      </c>
      <c r="J84" s="702"/>
      <c r="K84" s="702"/>
      <c r="L84" s="702"/>
      <c r="M84" s="702"/>
      <c r="N84" s="705"/>
      <c r="O84" s="702"/>
      <c r="P84" s="668"/>
      <c r="Q84" s="771"/>
      <c r="R84" s="466"/>
      <c r="S84" s="466"/>
      <c r="T84" s="512"/>
      <c r="U84" s="466"/>
      <c r="V84" s="466"/>
      <c r="W84" s="466"/>
      <c r="X84" s="466"/>
      <c r="Y84" s="682">
        <v>0</v>
      </c>
      <c r="Z84" s="711"/>
      <c r="AA84" s="678"/>
      <c r="AB84" s="466"/>
      <c r="AC84" s="466"/>
      <c r="AD84" s="704"/>
      <c r="AE84" s="466"/>
      <c r="AF84" s="669" t="s">
        <v>417</v>
      </c>
    </row>
    <row r="85" spans="1:32" ht="18.75" customHeight="1" x14ac:dyDescent="0.2">
      <c r="A85" s="677"/>
      <c r="B85" s="1913"/>
      <c r="C85" s="1913"/>
      <c r="D85" s="1913"/>
      <c r="E85" s="1913"/>
      <c r="F85" s="461"/>
      <c r="G85" s="665"/>
      <c r="H85" s="665"/>
      <c r="I85" s="665"/>
      <c r="J85" s="664"/>
      <c r="K85" s="664"/>
      <c r="L85" s="664"/>
      <c r="M85" s="664"/>
      <c r="N85" s="664"/>
      <c r="O85" s="664"/>
      <c r="P85" s="448"/>
      <c r="Q85" s="771"/>
      <c r="R85" s="664"/>
      <c r="S85" s="664"/>
      <c r="T85" s="664"/>
      <c r="U85" s="659"/>
      <c r="V85" s="659"/>
      <c r="W85" s="659"/>
      <c r="X85" s="659"/>
      <c r="Y85" s="682"/>
      <c r="Z85" s="682"/>
      <c r="AA85" s="657"/>
      <c r="AB85" s="659"/>
      <c r="AC85" s="664"/>
      <c r="AD85" s="665"/>
      <c r="AE85" s="432"/>
      <c r="AF85" s="669"/>
    </row>
    <row r="86" spans="1:32" ht="18.75" customHeight="1" x14ac:dyDescent="0.2">
      <c r="B86" s="1914" t="s">
        <v>389</v>
      </c>
      <c r="C86" s="1915"/>
      <c r="D86" s="1915"/>
      <c r="E86" s="1915"/>
      <c r="F86" s="1902"/>
      <c r="G86" s="659"/>
      <c r="H86" s="657"/>
      <c r="I86" s="657"/>
      <c r="J86" s="664"/>
      <c r="K86" s="664"/>
      <c r="L86" s="664"/>
      <c r="M86" s="664"/>
      <c r="N86" s="664"/>
      <c r="O86" s="664"/>
      <c r="P86" s="448"/>
      <c r="Q86" s="771"/>
      <c r="R86" s="664"/>
      <c r="S86" s="437"/>
      <c r="T86" s="664"/>
      <c r="U86" s="659"/>
      <c r="V86" s="659"/>
      <c r="W86" s="659"/>
      <c r="X86" s="421"/>
      <c r="Y86" s="664"/>
      <c r="Z86" s="664"/>
      <c r="AA86" s="664"/>
      <c r="AB86" s="659"/>
      <c r="AC86" s="659"/>
      <c r="AD86" s="664"/>
      <c r="AE86" s="664"/>
      <c r="AF86" s="657"/>
    </row>
    <row r="87" spans="1:32" ht="18.75" customHeight="1" x14ac:dyDescent="0.2">
      <c r="A87" s="660">
        <v>69</v>
      </c>
      <c r="B87" s="665" t="s">
        <v>131</v>
      </c>
      <c r="C87" s="660" t="s">
        <v>313</v>
      </c>
      <c r="D87" s="665">
        <v>389.74</v>
      </c>
      <c r="E87" s="679" t="s">
        <v>136</v>
      </c>
      <c r="F87" s="665">
        <v>177.8</v>
      </c>
      <c r="G87" s="665" t="s">
        <v>28</v>
      </c>
      <c r="H87" s="665" t="s">
        <v>58</v>
      </c>
      <c r="I87" s="664">
        <v>142.80000000000001</v>
      </c>
      <c r="J87" s="664">
        <v>260</v>
      </c>
      <c r="K87" s="665"/>
      <c r="L87" s="665">
        <v>25</v>
      </c>
      <c r="M87" s="665"/>
      <c r="N87" s="665">
        <v>0</v>
      </c>
      <c r="O87" s="665"/>
      <c r="P87" s="668">
        <v>15.210240877137331</v>
      </c>
      <c r="Q87" s="771">
        <f>(3*J87)/100</f>
        <v>7.8</v>
      </c>
      <c r="R87" s="432">
        <v>1.204</v>
      </c>
      <c r="S87" s="432">
        <v>1.524</v>
      </c>
      <c r="T87" s="432">
        <v>0</v>
      </c>
      <c r="U87" s="432">
        <f>T87/R87</f>
        <v>0</v>
      </c>
      <c r="V87" s="432">
        <f t="shared" ref="V87:V90" si="21">(S87-R87)/S87*100</f>
        <v>20.997375328083994</v>
      </c>
      <c r="W87" s="432">
        <v>0.2</v>
      </c>
      <c r="X87" s="432">
        <f t="shared" ref="X87:X89" si="22">S87/Q87</f>
        <v>0.19538461538461538</v>
      </c>
      <c r="Y87" s="432">
        <f>R87*0.988</f>
        <v>1.1895519999999999</v>
      </c>
      <c r="Z87" s="432">
        <f>S87*0.988</f>
        <v>1.5057119999999999</v>
      </c>
      <c r="AA87" s="432">
        <f>T87*0.988</f>
        <v>0</v>
      </c>
      <c r="AB87" s="432">
        <f t="shared" ref="AB87:AC90" si="23">U87</f>
        <v>0</v>
      </c>
      <c r="AC87" s="432">
        <f t="shared" si="23"/>
        <v>20.997375328083994</v>
      </c>
      <c r="AD87" s="665">
        <v>28</v>
      </c>
      <c r="AE87" s="432">
        <f t="shared" ref="AE87:AE90" si="24">Y87*AD87</f>
        <v>33.307456000000002</v>
      </c>
      <c r="AF87" s="449"/>
    </row>
    <row r="88" spans="1:32" ht="18.75" customHeight="1" x14ac:dyDescent="0.2">
      <c r="A88" s="696">
        <v>70</v>
      </c>
      <c r="B88" s="665" t="s">
        <v>132</v>
      </c>
      <c r="C88" s="660" t="s">
        <v>313</v>
      </c>
      <c r="D88" s="665">
        <v>387.72</v>
      </c>
      <c r="E88" s="679" t="s">
        <v>135</v>
      </c>
      <c r="F88" s="665">
        <v>177.8</v>
      </c>
      <c r="G88" s="665" t="s">
        <v>28</v>
      </c>
      <c r="H88" s="665" t="s">
        <v>58</v>
      </c>
      <c r="I88" s="664">
        <v>136.03</v>
      </c>
      <c r="J88" s="665">
        <v>240</v>
      </c>
      <c r="K88" s="665"/>
      <c r="L88" s="665">
        <v>35</v>
      </c>
      <c r="M88" s="665"/>
      <c r="N88" s="665">
        <v>0</v>
      </c>
      <c r="O88" s="665"/>
      <c r="P88" s="668">
        <v>13.058328815770624</v>
      </c>
      <c r="Q88" s="771">
        <f>(3*J88)/100</f>
        <v>7.2</v>
      </c>
      <c r="R88" s="432">
        <v>2.923</v>
      </c>
      <c r="S88" s="432">
        <v>4.7770000000000001</v>
      </c>
      <c r="T88" s="432">
        <v>0.3</v>
      </c>
      <c r="U88" s="432">
        <f>T88/R88</f>
        <v>0.10263427984946971</v>
      </c>
      <c r="V88" s="432">
        <f t="shared" si="21"/>
        <v>38.810969227548668</v>
      </c>
      <c r="W88" s="432">
        <v>0.2</v>
      </c>
      <c r="X88" s="432">
        <f t="shared" si="22"/>
        <v>0.66347222222222224</v>
      </c>
      <c r="Y88" s="432">
        <f t="shared" ref="Y88:Y90" si="25">R88*0.988</f>
        <v>2.8879239999999999</v>
      </c>
      <c r="Z88" s="432">
        <f t="shared" ref="Z88:Z90" si="26">S88*0.988</f>
        <v>4.7196759999999998</v>
      </c>
      <c r="AA88" s="432">
        <f t="shared" ref="AA88:AA90" si="27">T88*0.988</f>
        <v>0.2964</v>
      </c>
      <c r="AB88" s="432">
        <v>0</v>
      </c>
      <c r="AC88" s="432">
        <f>V88</f>
        <v>38.810969227548668</v>
      </c>
      <c r="AD88" s="742">
        <v>28</v>
      </c>
      <c r="AE88" s="432">
        <f t="shared" si="24"/>
        <v>80.861872000000005</v>
      </c>
      <c r="AF88" s="449"/>
    </row>
    <row r="89" spans="1:32" ht="18.75" customHeight="1" x14ac:dyDescent="0.25">
      <c r="A89" s="731">
        <v>71</v>
      </c>
      <c r="B89" s="665" t="s">
        <v>121</v>
      </c>
      <c r="C89" s="660" t="s">
        <v>313</v>
      </c>
      <c r="D89" s="665">
        <v>389.57</v>
      </c>
      <c r="E89" s="665" t="s">
        <v>137</v>
      </c>
      <c r="F89" s="665">
        <v>177.8</v>
      </c>
      <c r="G89" s="665" t="s">
        <v>28</v>
      </c>
      <c r="H89" s="707" t="s">
        <v>363</v>
      </c>
      <c r="I89" s="746">
        <v>138.22999999999999</v>
      </c>
      <c r="J89" s="665">
        <v>105</v>
      </c>
      <c r="K89" s="665"/>
      <c r="L89" s="665">
        <v>24</v>
      </c>
      <c r="M89" s="665"/>
      <c r="N89" s="665">
        <v>0</v>
      </c>
      <c r="O89" s="665"/>
      <c r="P89" s="668">
        <v>14.062161008594618</v>
      </c>
      <c r="Q89" s="771">
        <f>(3*J89)/100</f>
        <v>3.15</v>
      </c>
      <c r="R89" s="432">
        <v>2.25</v>
      </c>
      <c r="S89" s="432">
        <v>5.94</v>
      </c>
      <c r="T89" s="432">
        <v>0</v>
      </c>
      <c r="U89" s="432">
        <v>0</v>
      </c>
      <c r="V89" s="432">
        <f t="shared" si="21"/>
        <v>62.121212121212125</v>
      </c>
      <c r="W89" s="432">
        <v>0.3</v>
      </c>
      <c r="X89" s="432">
        <f t="shared" si="22"/>
        <v>1.8857142857142859</v>
      </c>
      <c r="Y89" s="432">
        <f t="shared" si="25"/>
        <v>2.2229999999999999</v>
      </c>
      <c r="Z89" s="432">
        <f t="shared" si="26"/>
        <v>5.8687200000000006</v>
      </c>
      <c r="AA89" s="432">
        <f t="shared" si="27"/>
        <v>0</v>
      </c>
      <c r="AB89" s="432">
        <v>0</v>
      </c>
      <c r="AC89" s="432">
        <f>V89</f>
        <v>62.121212121212125</v>
      </c>
      <c r="AD89" s="742">
        <v>28</v>
      </c>
      <c r="AE89" s="432">
        <f t="shared" si="24"/>
        <v>62.244</v>
      </c>
      <c r="AF89" s="669"/>
    </row>
    <row r="90" spans="1:32" ht="18.75" customHeight="1" x14ac:dyDescent="0.2">
      <c r="A90" s="731">
        <v>72</v>
      </c>
      <c r="B90" s="665" t="s">
        <v>122</v>
      </c>
      <c r="C90" s="660" t="s">
        <v>313</v>
      </c>
      <c r="D90" s="665">
        <v>391.06</v>
      </c>
      <c r="E90" s="665" t="s">
        <v>138</v>
      </c>
      <c r="F90" s="665">
        <v>177.8</v>
      </c>
      <c r="G90" s="665" t="s">
        <v>28</v>
      </c>
      <c r="H90" s="665" t="s">
        <v>58</v>
      </c>
      <c r="I90" s="432">
        <v>151.72999999999999</v>
      </c>
      <c r="J90" s="665">
        <v>280</v>
      </c>
      <c r="K90" s="661"/>
      <c r="L90" s="665">
        <v>55</v>
      </c>
      <c r="M90" s="661"/>
      <c r="N90" s="742">
        <v>0</v>
      </c>
      <c r="O90" s="661"/>
      <c r="P90" s="668">
        <v>12.284125179173214</v>
      </c>
      <c r="Q90" s="771">
        <f>(3*J90)/100</f>
        <v>8.4</v>
      </c>
      <c r="R90" s="432">
        <v>1.921</v>
      </c>
      <c r="S90" s="432">
        <v>2.2410000000000001</v>
      </c>
      <c r="T90" s="432">
        <v>0.1</v>
      </c>
      <c r="U90" s="432">
        <f>T90/R90</f>
        <v>5.2056220718375845E-2</v>
      </c>
      <c r="V90" s="432">
        <f t="shared" si="21"/>
        <v>14.2793395805444</v>
      </c>
      <c r="W90" s="432">
        <v>0.2</v>
      </c>
      <c r="X90" s="432">
        <f t="shared" ref="X90" si="28">S90/Q90</f>
        <v>0.26678571428571429</v>
      </c>
      <c r="Y90" s="432">
        <f t="shared" si="25"/>
        <v>1.897948</v>
      </c>
      <c r="Z90" s="432">
        <f t="shared" si="26"/>
        <v>2.214108</v>
      </c>
      <c r="AA90" s="432">
        <f t="shared" si="27"/>
        <v>9.8799999999999999E-2</v>
      </c>
      <c r="AB90" s="432">
        <f t="shared" si="23"/>
        <v>5.2056220718375845E-2</v>
      </c>
      <c r="AC90" s="432">
        <f t="shared" si="23"/>
        <v>14.2793395805444</v>
      </c>
      <c r="AD90" s="742">
        <v>28</v>
      </c>
      <c r="AE90" s="432">
        <f t="shared" si="24"/>
        <v>53.142544000000001</v>
      </c>
      <c r="AF90" s="680"/>
    </row>
    <row r="91" spans="1:32" ht="18.75" customHeight="1" x14ac:dyDescent="0.2">
      <c r="A91" s="731">
        <v>73</v>
      </c>
      <c r="B91" s="665" t="s">
        <v>188</v>
      </c>
      <c r="C91" s="660" t="s">
        <v>344</v>
      </c>
      <c r="D91" s="665">
        <v>400.5</v>
      </c>
      <c r="E91" s="665" t="s">
        <v>345</v>
      </c>
      <c r="F91" s="665">
        <v>177.8</v>
      </c>
      <c r="G91" s="665"/>
      <c r="H91" s="665"/>
      <c r="I91" s="432"/>
      <c r="J91" s="665"/>
      <c r="K91" s="661"/>
      <c r="L91" s="665"/>
      <c r="M91" s="661"/>
      <c r="N91" s="665"/>
      <c r="O91" s="661"/>
      <c r="P91" s="668"/>
      <c r="Q91" s="771"/>
      <c r="R91" s="432"/>
      <c r="S91" s="432"/>
      <c r="T91" s="432"/>
      <c r="U91" s="432"/>
      <c r="V91" s="432"/>
      <c r="W91" s="432"/>
      <c r="X91" s="432"/>
      <c r="Y91" s="432"/>
      <c r="Z91" s="432"/>
      <c r="AA91" s="432"/>
      <c r="AB91" s="432"/>
      <c r="AC91" s="432"/>
      <c r="AD91" s="665"/>
      <c r="AE91" s="432"/>
      <c r="AF91" s="669"/>
    </row>
    <row r="92" spans="1:32" ht="18.75" customHeight="1" x14ac:dyDescent="0.2">
      <c r="A92" s="731">
        <v>74</v>
      </c>
      <c r="B92" s="665" t="s">
        <v>186</v>
      </c>
      <c r="C92" s="660" t="s">
        <v>346</v>
      </c>
      <c r="D92" s="665">
        <v>349.5</v>
      </c>
      <c r="E92" s="461" t="s">
        <v>347</v>
      </c>
      <c r="F92" s="665">
        <v>177.8</v>
      </c>
      <c r="G92" s="665"/>
      <c r="H92" s="665"/>
      <c r="I92" s="432"/>
      <c r="J92" s="665"/>
      <c r="K92" s="665"/>
      <c r="L92" s="665"/>
      <c r="M92" s="661"/>
      <c r="N92" s="665"/>
      <c r="O92" s="661"/>
      <c r="P92" s="668"/>
      <c r="Q92" s="771"/>
      <c r="R92" s="432"/>
      <c r="S92" s="432"/>
      <c r="T92" s="432"/>
      <c r="U92" s="432"/>
      <c r="V92" s="432"/>
      <c r="W92" s="432"/>
      <c r="X92" s="432"/>
      <c r="Y92" s="432"/>
      <c r="Z92" s="432"/>
      <c r="AA92" s="432"/>
      <c r="AB92" s="432"/>
      <c r="AC92" s="432"/>
      <c r="AD92" s="665"/>
      <c r="AE92" s="432"/>
      <c r="AF92" s="669"/>
    </row>
    <row r="93" spans="1:32" ht="18.75" customHeight="1" x14ac:dyDescent="0.2">
      <c r="A93" s="677"/>
      <c r="B93" s="1939"/>
      <c r="C93" s="1939"/>
      <c r="D93" s="1939"/>
      <c r="E93" s="1940"/>
      <c r="F93" s="664"/>
      <c r="G93" s="659"/>
      <c r="H93" s="657"/>
      <c r="I93" s="657"/>
      <c r="J93" s="664"/>
      <c r="K93" s="664"/>
      <c r="L93" s="664"/>
      <c r="M93" s="664"/>
      <c r="N93" s="664"/>
      <c r="O93" s="664"/>
      <c r="P93" s="448"/>
      <c r="Q93" s="771"/>
      <c r="R93" s="466">
        <f>SUM(R87:R92)</f>
        <v>8.298</v>
      </c>
      <c r="S93" s="466">
        <f>SUM(S87:S92)</f>
        <v>14.481999999999999</v>
      </c>
      <c r="T93" s="466">
        <f>SUM(T87:T90)</f>
        <v>0.4</v>
      </c>
      <c r="U93" s="466">
        <f>SUM(U87:U90)</f>
        <v>0.15469050056784556</v>
      </c>
      <c r="V93" s="659"/>
      <c r="W93" s="659"/>
      <c r="X93" s="659"/>
      <c r="Y93" s="466">
        <f>SUM(Y87:Y92)</f>
        <v>8.1984239999999993</v>
      </c>
      <c r="Z93" s="466">
        <f>SUM(Z87:Z92)</f>
        <v>14.308216</v>
      </c>
      <c r="AA93" s="466">
        <f>SUM(AA87:AA90)</f>
        <v>0.3952</v>
      </c>
      <c r="AB93" s="466">
        <v>0</v>
      </c>
      <c r="AC93" s="659"/>
      <c r="AD93" s="664"/>
      <c r="AE93" s="466">
        <f>SUM(AE87:AE92)</f>
        <v>229.55587200000002</v>
      </c>
      <c r="AF93" s="471"/>
    </row>
    <row r="94" spans="1:32" ht="18.75" customHeight="1" x14ac:dyDescent="0.2">
      <c r="A94" s="677"/>
      <c r="B94" s="1939"/>
      <c r="C94" s="1939"/>
      <c r="D94" s="1939"/>
      <c r="E94" s="1940"/>
      <c r="F94" s="661"/>
      <c r="G94" s="665"/>
      <c r="H94" s="665"/>
      <c r="I94" s="432"/>
      <c r="J94" s="665"/>
      <c r="K94" s="661"/>
      <c r="L94" s="665"/>
      <c r="M94" s="661"/>
      <c r="N94" s="668"/>
      <c r="O94" s="661"/>
      <c r="P94" s="682"/>
      <c r="Q94" s="774"/>
      <c r="R94" s="466"/>
      <c r="S94" s="466"/>
      <c r="T94" s="466"/>
      <c r="U94" s="466"/>
      <c r="V94" s="466"/>
      <c r="W94" s="466"/>
      <c r="X94" s="466"/>
      <c r="Y94" s="466"/>
      <c r="Z94" s="678"/>
      <c r="AA94" s="466"/>
      <c r="AB94" s="466"/>
      <c r="AC94" s="466"/>
      <c r="AD94" s="466"/>
      <c r="AE94" s="466"/>
      <c r="AF94" s="680"/>
    </row>
    <row r="95" spans="1:32" ht="18.75" customHeight="1" x14ac:dyDescent="0.2">
      <c r="A95" s="677"/>
      <c r="B95" s="1894" t="s">
        <v>390</v>
      </c>
      <c r="C95" s="1912"/>
      <c r="D95" s="1912"/>
      <c r="E95" s="1912"/>
      <c r="F95" s="1912"/>
      <c r="G95" s="659"/>
      <c r="H95" s="657"/>
      <c r="I95" s="657"/>
      <c r="J95" s="664"/>
      <c r="K95" s="664"/>
      <c r="L95" s="664"/>
      <c r="M95" s="664"/>
      <c r="N95" s="664"/>
      <c r="O95" s="664"/>
      <c r="P95" s="448"/>
      <c r="Q95" s="771"/>
      <c r="R95" s="664"/>
      <c r="S95" s="664"/>
      <c r="T95" s="664"/>
      <c r="U95" s="659"/>
      <c r="V95" s="659"/>
      <c r="W95" s="659"/>
      <c r="X95" s="659"/>
      <c r="Y95" s="664"/>
      <c r="Z95" s="664"/>
      <c r="AA95" s="664"/>
      <c r="AB95" s="659"/>
      <c r="AC95" s="659"/>
      <c r="AD95" s="664"/>
      <c r="AE95" s="664"/>
      <c r="AF95" s="657"/>
    </row>
    <row r="96" spans="1:32" ht="18.75" customHeight="1" x14ac:dyDescent="0.2">
      <c r="A96" s="665">
        <v>75</v>
      </c>
      <c r="B96" s="658" t="s">
        <v>107</v>
      </c>
      <c r="C96" s="664" t="s">
        <v>109</v>
      </c>
      <c r="D96" s="664"/>
      <c r="E96" s="664"/>
      <c r="F96" s="664"/>
      <c r="G96" s="659"/>
      <c r="H96" s="657"/>
      <c r="I96" s="657"/>
      <c r="J96" s="664"/>
      <c r="K96" s="664"/>
      <c r="L96" s="664"/>
      <c r="M96" s="664"/>
      <c r="N96" s="664"/>
      <c r="O96" s="664"/>
      <c r="P96" s="448"/>
      <c r="Q96" s="771"/>
      <c r="R96" s="664"/>
      <c r="S96" s="664"/>
      <c r="T96" s="664"/>
      <c r="U96" s="659"/>
      <c r="V96" s="659"/>
      <c r="W96" s="659"/>
      <c r="X96" s="659"/>
      <c r="Y96" s="657"/>
      <c r="Z96" s="657"/>
      <c r="AA96" s="664"/>
      <c r="AB96" s="659"/>
      <c r="AC96" s="659"/>
      <c r="AD96" s="493"/>
      <c r="AE96" s="664"/>
      <c r="AF96" s="657"/>
    </row>
    <row r="97" spans="1:32" ht="18.75" customHeight="1" x14ac:dyDescent="0.2">
      <c r="A97" s="698">
        <v>76</v>
      </c>
      <c r="B97" s="658" t="s">
        <v>108</v>
      </c>
      <c r="C97" s="664" t="s">
        <v>109</v>
      </c>
      <c r="D97" s="664"/>
      <c r="E97" s="664"/>
      <c r="F97" s="664"/>
      <c r="G97" s="659"/>
      <c r="H97" s="657"/>
      <c r="I97" s="657"/>
      <c r="J97" s="664"/>
      <c r="K97" s="664"/>
      <c r="L97" s="664"/>
      <c r="M97" s="664"/>
      <c r="N97" s="664"/>
      <c r="O97" s="664"/>
      <c r="P97" s="448"/>
      <c r="Q97" s="771"/>
      <c r="R97" s="664"/>
      <c r="S97" s="664"/>
      <c r="T97" s="664"/>
      <c r="U97" s="659"/>
      <c r="V97" s="659"/>
      <c r="W97" s="659"/>
      <c r="X97" s="659"/>
      <c r="Y97" s="657"/>
      <c r="Z97" s="657"/>
      <c r="AA97" s="664"/>
      <c r="AB97" s="659"/>
      <c r="AC97" s="659"/>
      <c r="AD97" s="493"/>
      <c r="AE97" s="664"/>
      <c r="AF97" s="657"/>
    </row>
    <row r="98" spans="1:32" ht="18.75" customHeight="1" x14ac:dyDescent="0.2">
      <c r="A98" s="732">
        <v>77</v>
      </c>
      <c r="B98" s="658" t="s">
        <v>195</v>
      </c>
      <c r="C98" s="660" t="s">
        <v>193</v>
      </c>
      <c r="D98" s="664"/>
      <c r="E98" s="664"/>
      <c r="F98" s="664"/>
      <c r="G98" s="659"/>
      <c r="H98" s="657"/>
      <c r="I98" s="657"/>
      <c r="J98" s="664"/>
      <c r="K98" s="664"/>
      <c r="L98" s="664"/>
      <c r="M98" s="664"/>
      <c r="N98" s="664"/>
      <c r="O98" s="664"/>
      <c r="P98" s="448"/>
      <c r="Q98" s="771"/>
      <c r="R98" s="664"/>
      <c r="S98" s="664"/>
      <c r="T98" s="664"/>
      <c r="U98" s="659"/>
      <c r="V98" s="659"/>
      <c r="W98" s="659"/>
      <c r="X98" s="659"/>
      <c r="Y98" s="657"/>
      <c r="Z98" s="657"/>
      <c r="AA98" s="664"/>
      <c r="AB98" s="659"/>
      <c r="AC98" s="659"/>
      <c r="AD98" s="493"/>
      <c r="AE98" s="664"/>
      <c r="AF98" s="657"/>
    </row>
    <row r="99" spans="1:32" ht="18.75" customHeight="1" x14ac:dyDescent="0.2">
      <c r="A99" s="732">
        <v>78</v>
      </c>
      <c r="B99" s="658" t="s">
        <v>192</v>
      </c>
      <c r="C99" s="660" t="s">
        <v>193</v>
      </c>
      <c r="D99" s="664"/>
      <c r="E99" s="664"/>
      <c r="F99" s="664"/>
      <c r="G99" s="659"/>
      <c r="H99" s="657"/>
      <c r="I99" s="657"/>
      <c r="J99" s="664"/>
      <c r="K99" s="664"/>
      <c r="L99" s="664"/>
      <c r="M99" s="664"/>
      <c r="N99" s="664"/>
      <c r="O99" s="664"/>
      <c r="P99" s="448"/>
      <c r="Q99" s="771"/>
      <c r="R99" s="664"/>
      <c r="S99" s="664"/>
      <c r="T99" s="664"/>
      <c r="U99" s="659"/>
      <c r="V99" s="659"/>
      <c r="W99" s="659"/>
      <c r="X99" s="659"/>
      <c r="Y99" s="657"/>
      <c r="Z99" s="657"/>
      <c r="AA99" s="664"/>
      <c r="AB99" s="659"/>
      <c r="AC99" s="659"/>
      <c r="AD99" s="493"/>
      <c r="AE99" s="664"/>
      <c r="AF99" s="657"/>
    </row>
    <row r="100" spans="1:32" ht="18.75" customHeight="1" x14ac:dyDescent="0.2">
      <c r="A100" s="665"/>
      <c r="B100" s="1894" t="s">
        <v>391</v>
      </c>
      <c r="C100" s="1912"/>
      <c r="D100" s="1912"/>
      <c r="E100" s="1912"/>
      <c r="F100" s="1912"/>
      <c r="G100" s="659"/>
      <c r="H100" s="657"/>
      <c r="I100" s="657"/>
      <c r="J100" s="664"/>
      <c r="K100" s="664"/>
      <c r="L100" s="664"/>
      <c r="M100" s="664"/>
      <c r="N100" s="664"/>
      <c r="O100" s="664"/>
      <c r="P100" s="448"/>
      <c r="Q100" s="771"/>
      <c r="R100" s="664"/>
      <c r="S100" s="664"/>
      <c r="T100" s="664"/>
      <c r="U100" s="659"/>
      <c r="V100" s="659"/>
      <c r="W100" s="659"/>
      <c r="X100" s="659"/>
      <c r="Y100" s="664"/>
      <c r="Z100" s="664"/>
      <c r="AA100" s="664"/>
      <c r="AB100" s="659"/>
      <c r="AC100" s="659"/>
      <c r="AD100" s="664"/>
      <c r="AE100" s="664"/>
      <c r="AF100" s="657"/>
    </row>
    <row r="101" spans="1:32" ht="18.75" customHeight="1" x14ac:dyDescent="0.2">
      <c r="A101" s="665">
        <v>79</v>
      </c>
      <c r="B101" s="461" t="s">
        <v>189</v>
      </c>
      <c r="C101" s="665" t="s">
        <v>46</v>
      </c>
      <c r="D101" s="665">
        <v>673</v>
      </c>
      <c r="E101" s="665" t="s">
        <v>190</v>
      </c>
      <c r="F101" s="665">
        <v>177.8</v>
      </c>
      <c r="G101" s="665"/>
      <c r="H101" s="665"/>
      <c r="I101" s="664"/>
      <c r="J101" s="664"/>
      <c r="K101" s="664"/>
      <c r="L101" s="664"/>
      <c r="M101" s="664"/>
      <c r="N101" s="664"/>
      <c r="O101" s="664"/>
      <c r="P101" s="448"/>
      <c r="Q101" s="771"/>
      <c r="R101" s="664"/>
      <c r="S101" s="664"/>
      <c r="T101" s="664"/>
      <c r="U101" s="659"/>
      <c r="V101" s="659"/>
      <c r="W101" s="659"/>
      <c r="X101" s="659"/>
      <c r="Y101" s="473"/>
      <c r="Z101" s="683"/>
      <c r="AA101" s="657"/>
      <c r="AB101" s="659"/>
      <c r="AC101" s="664"/>
      <c r="AD101" s="665"/>
      <c r="AE101" s="432"/>
      <c r="AF101" s="449"/>
    </row>
    <row r="102" spans="1:32" ht="18.75" customHeight="1" x14ac:dyDescent="0.3">
      <c r="A102" s="698">
        <v>80</v>
      </c>
      <c r="B102" s="461" t="s">
        <v>181</v>
      </c>
      <c r="C102" s="684" t="s">
        <v>183</v>
      </c>
      <c r="D102" s="665">
        <v>374.5</v>
      </c>
      <c r="E102" s="665" t="s">
        <v>182</v>
      </c>
      <c r="F102" s="665">
        <v>177.8</v>
      </c>
      <c r="G102" s="665"/>
      <c r="H102" s="665"/>
      <c r="I102" s="664"/>
      <c r="J102" s="665"/>
      <c r="K102" s="665"/>
      <c r="L102" s="665"/>
      <c r="M102" s="665"/>
      <c r="N102" s="668"/>
      <c r="O102" s="665"/>
      <c r="P102" s="432"/>
      <c r="Q102" s="772"/>
      <c r="R102" s="432"/>
      <c r="S102" s="432"/>
      <c r="T102" s="432"/>
      <c r="U102" s="432"/>
      <c r="V102" s="432"/>
      <c r="W102" s="432"/>
      <c r="X102" s="685"/>
      <c r="Y102" s="432"/>
      <c r="Z102" s="432"/>
      <c r="AA102" s="432"/>
      <c r="AB102" s="432"/>
      <c r="AC102" s="432"/>
      <c r="AD102" s="665"/>
      <c r="AE102" s="432"/>
      <c r="AF102" s="449"/>
    </row>
    <row r="103" spans="1:32" ht="18.75" customHeight="1" x14ac:dyDescent="0.2">
      <c r="A103" s="732">
        <v>81</v>
      </c>
      <c r="B103" s="461" t="s">
        <v>174</v>
      </c>
      <c r="C103" s="665" t="s">
        <v>46</v>
      </c>
      <c r="D103" s="665">
        <v>672</v>
      </c>
      <c r="E103" s="665" t="s">
        <v>175</v>
      </c>
      <c r="F103" s="665">
        <v>177.8</v>
      </c>
      <c r="G103" s="665"/>
      <c r="H103" s="665"/>
      <c r="I103" s="664"/>
      <c r="J103" s="665"/>
      <c r="K103" s="665"/>
      <c r="L103" s="665"/>
      <c r="M103" s="665"/>
      <c r="N103" s="668"/>
      <c r="O103" s="665"/>
      <c r="P103" s="668"/>
      <c r="Q103" s="772"/>
      <c r="R103" s="432"/>
      <c r="S103" s="432"/>
      <c r="T103" s="432"/>
      <c r="U103" s="432"/>
      <c r="V103" s="432"/>
      <c r="W103" s="432"/>
      <c r="X103" s="432"/>
      <c r="Y103" s="432"/>
      <c r="Z103" s="432"/>
      <c r="AA103" s="432"/>
      <c r="AB103" s="432"/>
      <c r="AC103" s="432"/>
      <c r="AD103" s="665"/>
      <c r="AE103" s="432"/>
      <c r="AF103" s="449"/>
    </row>
    <row r="104" spans="1:32" ht="18.75" customHeight="1" x14ac:dyDescent="0.2">
      <c r="A104" s="732">
        <v>82</v>
      </c>
      <c r="B104" s="658" t="s">
        <v>103</v>
      </c>
      <c r="C104" s="665" t="s">
        <v>46</v>
      </c>
      <c r="D104" s="664">
        <v>582</v>
      </c>
      <c r="E104" s="664" t="s">
        <v>112</v>
      </c>
      <c r="F104" s="665">
        <v>177.8</v>
      </c>
      <c r="G104" s="665"/>
      <c r="H104" s="665"/>
      <c r="I104" s="664"/>
      <c r="J104" s="664"/>
      <c r="K104" s="664"/>
      <c r="L104" s="664"/>
      <c r="M104" s="664"/>
      <c r="N104" s="664"/>
      <c r="O104" s="664"/>
      <c r="P104" s="448"/>
      <c r="Q104" s="771"/>
      <c r="R104" s="664"/>
      <c r="S104" s="664"/>
      <c r="T104" s="664"/>
      <c r="U104" s="659"/>
      <c r="V104" s="659"/>
      <c r="W104" s="659"/>
      <c r="X104" s="421"/>
      <c r="Y104" s="492"/>
      <c r="Z104" s="664"/>
      <c r="AA104" s="664"/>
      <c r="AB104" s="659"/>
      <c r="AC104" s="664"/>
      <c r="AD104" s="493"/>
      <c r="AE104" s="437"/>
      <c r="AF104" s="449"/>
    </row>
    <row r="105" spans="1:32" ht="18.75" customHeight="1" x14ac:dyDescent="0.2">
      <c r="A105" s="732">
        <v>83</v>
      </c>
      <c r="B105" s="698" t="s">
        <v>57</v>
      </c>
      <c r="C105" s="696" t="s">
        <v>314</v>
      </c>
      <c r="D105" s="698">
        <v>376.58</v>
      </c>
      <c r="E105" s="461" t="s">
        <v>93</v>
      </c>
      <c r="F105" s="698">
        <v>177.8</v>
      </c>
      <c r="G105" s="698"/>
      <c r="H105" s="698"/>
      <c r="I105" s="697"/>
      <c r="J105" s="697"/>
      <c r="K105" s="697"/>
      <c r="L105" s="697"/>
      <c r="M105" s="697"/>
      <c r="N105" s="697"/>
      <c r="O105" s="697"/>
      <c r="P105" s="448"/>
      <c r="Q105" s="771"/>
      <c r="R105" s="697"/>
      <c r="S105" s="697"/>
      <c r="T105" s="697"/>
      <c r="U105" s="695"/>
      <c r="V105" s="695"/>
      <c r="W105" s="695"/>
      <c r="X105" s="421"/>
      <c r="Y105" s="492"/>
      <c r="Z105" s="697"/>
      <c r="AA105" s="697"/>
      <c r="AB105" s="695"/>
      <c r="AC105" s="697"/>
      <c r="AD105" s="493"/>
      <c r="AE105" s="437"/>
      <c r="AF105" s="449"/>
    </row>
    <row r="106" spans="1:32" ht="18.75" customHeight="1" x14ac:dyDescent="0.2">
      <c r="A106" s="732">
        <v>84</v>
      </c>
      <c r="B106" s="698" t="s">
        <v>184</v>
      </c>
      <c r="C106" s="696" t="s">
        <v>314</v>
      </c>
      <c r="D106" s="698">
        <v>422.78</v>
      </c>
      <c r="E106" s="461" t="s">
        <v>185</v>
      </c>
      <c r="F106" s="698">
        <v>177.8</v>
      </c>
      <c r="G106" s="698"/>
      <c r="H106" s="698"/>
      <c r="I106" s="432"/>
      <c r="J106" s="697"/>
      <c r="K106" s="697"/>
      <c r="L106" s="697"/>
      <c r="M106" s="697"/>
      <c r="N106" s="697"/>
      <c r="O106" s="697"/>
      <c r="P106" s="448"/>
      <c r="Q106" s="771"/>
      <c r="R106" s="697"/>
      <c r="S106" s="697"/>
      <c r="T106" s="697"/>
      <c r="U106" s="695"/>
      <c r="V106" s="695"/>
      <c r="W106" s="695"/>
      <c r="X106" s="421"/>
      <c r="Y106" s="492"/>
      <c r="Z106" s="697"/>
      <c r="AA106" s="697"/>
      <c r="AB106" s="695"/>
      <c r="AC106" s="697"/>
      <c r="AD106" s="493"/>
      <c r="AE106" s="437"/>
      <c r="AF106" s="449"/>
    </row>
    <row r="107" spans="1:32" ht="18.75" customHeight="1" x14ac:dyDescent="0.2">
      <c r="A107" s="732">
        <v>85</v>
      </c>
      <c r="B107" s="658" t="s">
        <v>220</v>
      </c>
      <c r="C107" s="665" t="s">
        <v>46</v>
      </c>
      <c r="D107" s="664">
        <v>685.69</v>
      </c>
      <c r="E107" s="664" t="s">
        <v>222</v>
      </c>
      <c r="F107" s="665">
        <v>177.8</v>
      </c>
      <c r="G107" s="665"/>
      <c r="H107" s="665"/>
      <c r="I107" s="664"/>
      <c r="J107" s="664"/>
      <c r="K107" s="664"/>
      <c r="L107" s="664"/>
      <c r="M107" s="664"/>
      <c r="N107" s="664"/>
      <c r="O107" s="664"/>
      <c r="P107" s="448"/>
      <c r="Q107" s="771"/>
      <c r="R107" s="664"/>
      <c r="S107" s="664"/>
      <c r="T107" s="664"/>
      <c r="U107" s="659"/>
      <c r="V107" s="659"/>
      <c r="W107" s="659"/>
      <c r="X107" s="421"/>
      <c r="Y107" s="492"/>
      <c r="Z107" s="664"/>
      <c r="AA107" s="664"/>
      <c r="AB107" s="659"/>
      <c r="AC107" s="664"/>
      <c r="AD107" s="493"/>
      <c r="AE107" s="437"/>
      <c r="AF107" s="449"/>
    </row>
    <row r="108" spans="1:32" ht="18.75" customHeight="1" x14ac:dyDescent="0.2">
      <c r="A108" s="694"/>
      <c r="B108" s="1894" t="s">
        <v>430</v>
      </c>
      <c r="C108" s="1912"/>
      <c r="D108" s="1912"/>
      <c r="E108" s="1912"/>
      <c r="F108" s="1912"/>
      <c r="G108" s="665"/>
      <c r="H108" s="665"/>
      <c r="I108" s="664"/>
      <c r="J108" s="665"/>
      <c r="K108" s="665"/>
      <c r="L108" s="665"/>
      <c r="M108" s="665"/>
      <c r="N108" s="668"/>
      <c r="O108" s="665"/>
      <c r="P108" s="668"/>
      <c r="Q108" s="772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665"/>
      <c r="AE108" s="432"/>
      <c r="AF108" s="449"/>
    </row>
    <row r="109" spans="1:32" ht="18.75" customHeight="1" x14ac:dyDescent="0.2">
      <c r="A109" s="795">
        <v>86</v>
      </c>
      <c r="B109" s="461" t="s">
        <v>56</v>
      </c>
      <c r="C109" s="795" t="s">
        <v>46</v>
      </c>
      <c r="D109" s="795">
        <v>680.52</v>
      </c>
      <c r="E109" s="795" t="s">
        <v>92</v>
      </c>
      <c r="F109" s="795">
        <v>177.8</v>
      </c>
      <c r="G109" s="795"/>
      <c r="H109" s="795"/>
      <c r="I109" s="794"/>
      <c r="J109" s="795"/>
      <c r="K109" s="795"/>
      <c r="L109" s="795"/>
      <c r="M109" s="795"/>
      <c r="N109" s="668"/>
      <c r="O109" s="795"/>
      <c r="P109" s="668"/>
      <c r="Q109" s="772"/>
      <c r="R109" s="432"/>
      <c r="S109" s="432"/>
      <c r="T109" s="432"/>
      <c r="U109" s="432"/>
      <c r="V109" s="432"/>
      <c r="W109" s="432"/>
      <c r="X109" s="432"/>
      <c r="Y109" s="432"/>
      <c r="Z109" s="432"/>
      <c r="AA109" s="432"/>
      <c r="AB109" s="432"/>
      <c r="AC109" s="432"/>
      <c r="AD109" s="795"/>
      <c r="AE109" s="432"/>
      <c r="AF109" s="449"/>
    </row>
    <row r="110" spans="1:32" ht="18.75" customHeight="1" x14ac:dyDescent="0.2">
      <c r="A110" s="698"/>
      <c r="B110" s="461"/>
      <c r="C110" s="665"/>
      <c r="D110" s="665"/>
      <c r="E110" s="665"/>
      <c r="F110" s="665"/>
      <c r="G110" s="665"/>
      <c r="H110" s="665"/>
      <c r="I110" s="664"/>
      <c r="J110" s="665"/>
      <c r="K110" s="665"/>
      <c r="L110" s="665"/>
      <c r="M110" s="665"/>
      <c r="N110" s="668"/>
      <c r="O110" s="665"/>
      <c r="P110" s="432"/>
      <c r="Q110" s="772"/>
      <c r="R110" s="432"/>
      <c r="S110" s="432"/>
      <c r="T110" s="432"/>
      <c r="U110" s="432"/>
      <c r="V110" s="432"/>
      <c r="W110" s="432"/>
      <c r="X110" s="685"/>
      <c r="Y110" s="432"/>
      <c r="Z110" s="432"/>
      <c r="AA110" s="432"/>
      <c r="AB110" s="432"/>
      <c r="AC110" s="432"/>
      <c r="AD110" s="665"/>
      <c r="AE110" s="432"/>
      <c r="AF110" s="449"/>
    </row>
    <row r="111" spans="1:32" ht="18.75" x14ac:dyDescent="0.2">
      <c r="A111" s="745"/>
      <c r="B111" s="703"/>
      <c r="C111" s="703"/>
      <c r="D111" s="703"/>
      <c r="E111" s="461"/>
      <c r="F111" s="665"/>
      <c r="G111" s="665"/>
      <c r="H111" s="665"/>
      <c r="I111" s="664"/>
      <c r="J111" s="665"/>
      <c r="K111" s="665"/>
      <c r="L111" s="665"/>
      <c r="M111" s="665"/>
      <c r="N111" s="668"/>
      <c r="O111" s="665"/>
      <c r="P111" s="432"/>
      <c r="Q111" s="772"/>
      <c r="R111" s="432"/>
      <c r="S111" s="432"/>
      <c r="T111" s="432"/>
      <c r="U111" s="432"/>
      <c r="V111" s="432"/>
      <c r="W111" s="432"/>
      <c r="X111" s="685"/>
      <c r="Y111" s="432"/>
      <c r="Z111" s="432"/>
      <c r="AA111" s="432"/>
      <c r="AB111" s="432"/>
      <c r="AC111" s="432"/>
      <c r="AD111" s="665"/>
      <c r="AE111" s="432"/>
      <c r="AF111" s="449"/>
    </row>
    <row r="112" spans="1:32" ht="18.75" x14ac:dyDescent="0.2">
      <c r="A112" s="710"/>
      <c r="B112" s="1939"/>
      <c r="C112" s="1939"/>
      <c r="D112" s="1939"/>
      <c r="E112" s="1940"/>
      <c r="F112" s="661"/>
      <c r="G112" s="665"/>
      <c r="H112" s="665"/>
      <c r="I112" s="432"/>
      <c r="J112" s="665"/>
      <c r="K112" s="661"/>
      <c r="L112" s="665"/>
      <c r="M112" s="661"/>
      <c r="N112" s="668"/>
      <c r="O112" s="661"/>
      <c r="P112" s="682"/>
      <c r="Q112" s="774"/>
      <c r="R112" s="466">
        <f>R79+R93</f>
        <v>381.44800000000004</v>
      </c>
      <c r="S112" s="466">
        <f>S79+S93</f>
        <v>732.96199999999988</v>
      </c>
      <c r="T112" s="678">
        <f>T79+T93</f>
        <v>10772.799999999997</v>
      </c>
      <c r="U112" s="466">
        <f>T112/R112</f>
        <v>28.241857343595971</v>
      </c>
      <c r="V112" s="466"/>
      <c r="W112" s="466"/>
      <c r="X112" s="466"/>
      <c r="Y112" s="466">
        <f>Y79+Y93+Y84+Y82+Y83</f>
        <v>387.60487399999977</v>
      </c>
      <c r="Z112" s="466">
        <f>Z79+Z93+Z84</f>
        <v>723.37405599999988</v>
      </c>
      <c r="AA112" s="678">
        <f>AA79+AA93</f>
        <v>10713.664400000003</v>
      </c>
      <c r="AB112" s="466">
        <f>AB79+AB93</f>
        <v>29.001305201898909</v>
      </c>
      <c r="AC112" s="466"/>
      <c r="AD112" s="466"/>
      <c r="AE112" s="686">
        <f>AE79+AE93</f>
        <v>10571.312555999997</v>
      </c>
      <c r="AF112" s="680"/>
    </row>
    <row r="113" spans="2:32" ht="18.75" x14ac:dyDescent="0.2">
      <c r="B113" s="497"/>
      <c r="C113" s="497"/>
      <c r="D113" s="497"/>
      <c r="E113" s="497"/>
      <c r="F113" s="497"/>
      <c r="G113" s="498"/>
      <c r="H113" s="499"/>
      <c r="I113" s="499"/>
      <c r="J113" s="497"/>
      <c r="K113" s="497"/>
      <c r="L113" s="497"/>
      <c r="M113" s="497"/>
      <c r="N113" s="497"/>
      <c r="O113" s="497"/>
      <c r="P113" s="500"/>
      <c r="Q113" s="775"/>
      <c r="R113" s="497"/>
      <c r="S113" s="497"/>
      <c r="T113" s="497"/>
      <c r="U113" s="498"/>
      <c r="V113" s="498"/>
      <c r="W113" s="498"/>
      <c r="X113" s="498"/>
      <c r="Y113" s="497"/>
      <c r="Z113" s="497"/>
      <c r="AA113" s="497"/>
      <c r="AB113" s="498"/>
      <c r="AC113" s="498"/>
      <c r="AD113" s="497"/>
      <c r="AE113" s="497"/>
      <c r="AF113" s="499"/>
    </row>
    <row r="114" spans="2:32" ht="18.75" x14ac:dyDescent="0.2">
      <c r="B114" s="412"/>
      <c r="C114" s="460"/>
      <c r="D114" s="412"/>
      <c r="E114" s="687">
        <v>0.95</v>
      </c>
      <c r="F114" s="412"/>
      <c r="G114" s="412" t="s">
        <v>102</v>
      </c>
      <c r="H114" s="460"/>
      <c r="I114" s="688"/>
      <c r="J114" s="412"/>
      <c r="K114" s="1941">
        <f>AE112*E114</f>
        <v>10042.746928199997</v>
      </c>
      <c r="L114" s="1897"/>
      <c r="M114" s="1897"/>
      <c r="N114" s="460" t="s">
        <v>27</v>
      </c>
      <c r="O114" s="497"/>
      <c r="P114" s="500"/>
      <c r="Q114" s="775"/>
      <c r="R114" s="497"/>
      <c r="S114" s="497"/>
      <c r="T114" s="497"/>
      <c r="U114" s="498"/>
      <c r="V114" s="498"/>
      <c r="W114" s="498"/>
      <c r="X114" s="498"/>
      <c r="Y114" s="497"/>
      <c r="Z114" s="497"/>
      <c r="AA114" s="497"/>
      <c r="AB114" s="498"/>
      <c r="AC114" s="498"/>
      <c r="AD114" s="497"/>
      <c r="AE114" s="497"/>
      <c r="AF114" s="499"/>
    </row>
    <row r="115" spans="2:32" ht="18.75" x14ac:dyDescent="0.2">
      <c r="B115" s="412"/>
      <c r="C115" s="460"/>
      <c r="D115" s="412"/>
      <c r="E115" s="687"/>
      <c r="F115" s="412"/>
      <c r="G115" s="460"/>
      <c r="H115" s="460"/>
      <c r="I115" s="688"/>
      <c r="J115" s="412"/>
      <c r="K115" s="460"/>
      <c r="L115" s="689"/>
      <c r="M115" s="412"/>
      <c r="N115" s="412"/>
      <c r="O115" s="412"/>
      <c r="P115" s="690"/>
      <c r="Q115" s="776"/>
      <c r="R115" s="412"/>
      <c r="S115" s="412"/>
      <c r="T115" s="412"/>
      <c r="U115" s="412"/>
      <c r="V115" s="412"/>
      <c r="W115" s="412"/>
      <c r="X115" s="403"/>
      <c r="Y115" s="403"/>
      <c r="Z115" s="403"/>
      <c r="AA115" s="403"/>
      <c r="AB115" s="403"/>
      <c r="AC115" s="403"/>
      <c r="AD115" s="403"/>
      <c r="AE115" s="403"/>
      <c r="AF115" s="692"/>
    </row>
    <row r="116" spans="2:32" ht="18.75" x14ac:dyDescent="0.2">
      <c r="B116" s="412"/>
      <c r="C116" s="412"/>
      <c r="D116" s="412"/>
      <c r="E116" s="693" t="s">
        <v>214</v>
      </c>
      <c r="F116" s="1911" t="s">
        <v>264</v>
      </c>
      <c r="G116" s="1911"/>
      <c r="H116" s="1911"/>
      <c r="I116" s="412"/>
      <c r="J116" s="412"/>
      <c r="K116" s="460"/>
      <c r="L116" s="460"/>
      <c r="M116" s="412"/>
      <c r="N116" s="412"/>
      <c r="O116" s="412"/>
      <c r="P116" s="412"/>
      <c r="Q116" s="776"/>
      <c r="R116" s="412"/>
      <c r="S116" s="412"/>
      <c r="T116" s="412"/>
      <c r="U116" s="412"/>
      <c r="V116" s="412"/>
      <c r="W116" s="412"/>
      <c r="X116" s="1938" t="s">
        <v>352</v>
      </c>
      <c r="Y116" s="1937"/>
      <c r="Z116" s="1937"/>
      <c r="AA116" s="1937"/>
      <c r="AB116" s="403" t="s">
        <v>282</v>
      </c>
      <c r="AC116" s="403"/>
      <c r="AD116" s="403"/>
      <c r="AE116" s="403"/>
      <c r="AF116" s="403"/>
    </row>
  </sheetData>
  <mergeCells count="40">
    <mergeCell ref="B9:E9"/>
    <mergeCell ref="I1:X1"/>
    <mergeCell ref="J2:W2"/>
    <mergeCell ref="A3:D3"/>
    <mergeCell ref="A7:E7"/>
    <mergeCell ref="A8:E8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X116:AA116"/>
    <mergeCell ref="AF12:AF13"/>
    <mergeCell ref="B85:E85"/>
    <mergeCell ref="B86:F86"/>
    <mergeCell ref="B93:E93"/>
    <mergeCell ref="B94:E94"/>
    <mergeCell ref="B95:F9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B100:F100"/>
    <mergeCell ref="B108:F108"/>
    <mergeCell ref="B112:E112"/>
    <mergeCell ref="K114:M114"/>
    <mergeCell ref="F116:H116"/>
  </mergeCells>
  <pageMargins left="0.7" right="0.7" top="0.75" bottom="0.75" header="0.3" footer="0.3"/>
  <pageSetup paperSize="9" orientation="portrait" r:id="rId1"/>
  <ignoredErrors>
    <ignoredError sqref="Q17 Q23 Q52 Q58 Q55 Q63 Q33 Q28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F116"/>
  <sheetViews>
    <sheetView topLeftCell="A67" zoomScale="70" zoomScaleNormal="70" workbookViewId="0">
      <selection activeCell="E83" sqref="E83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1.8554687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777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808"/>
      <c r="G2" s="798"/>
      <c r="H2" s="798"/>
      <c r="I2" s="808"/>
      <c r="J2" s="1909" t="s">
        <v>440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808"/>
      <c r="Y2" s="808"/>
      <c r="Z2" s="808"/>
      <c r="AA2" s="808"/>
      <c r="AB2" s="808"/>
      <c r="AC2" s="808"/>
      <c r="AD2" s="808"/>
      <c r="AE2" s="808"/>
      <c r="AF2" s="405"/>
    </row>
    <row r="3" spans="1:32" ht="18.75" x14ac:dyDescent="0.2">
      <c r="A3" s="1910" t="s">
        <v>54</v>
      </c>
      <c r="B3" s="1910"/>
      <c r="C3" s="1910"/>
      <c r="D3" s="1910"/>
      <c r="E3" s="808"/>
      <c r="F3" s="808"/>
      <c r="G3" s="798"/>
      <c r="H3" s="807"/>
      <c r="I3" s="807"/>
      <c r="J3" s="807"/>
      <c r="K3" s="807"/>
      <c r="L3" s="807"/>
      <c r="M3" s="807"/>
      <c r="N3" s="807"/>
      <c r="O3" s="807"/>
      <c r="P3" s="807"/>
      <c r="Q3" s="767"/>
      <c r="R3" s="808"/>
      <c r="S3" s="808"/>
      <c r="T3" s="808"/>
      <c r="U3" s="808"/>
      <c r="V3" s="808"/>
      <c r="W3" s="808"/>
      <c r="X3" s="808"/>
      <c r="Y3" s="808"/>
      <c r="Z3" s="808"/>
      <c r="AA3" s="808"/>
      <c r="AB3" s="808"/>
      <c r="AC3" s="808"/>
      <c r="AD3" s="808"/>
      <c r="AE3" s="808"/>
      <c r="AF3" s="408" t="s">
        <v>55</v>
      </c>
    </row>
    <row r="4" spans="1:32" ht="18.75" x14ac:dyDescent="0.2">
      <c r="A4" s="799" t="s">
        <v>311</v>
      </c>
      <c r="B4" s="799"/>
      <c r="C4" s="799"/>
      <c r="D4" s="799"/>
      <c r="E4" s="799"/>
      <c r="F4" s="808"/>
      <c r="G4" s="798"/>
      <c r="H4" s="798"/>
      <c r="I4" s="807"/>
      <c r="J4" s="807"/>
      <c r="K4" s="807"/>
      <c r="L4" s="807"/>
      <c r="M4" s="807"/>
      <c r="N4" s="807"/>
      <c r="O4" s="807"/>
      <c r="P4" s="807"/>
      <c r="Q4" s="767"/>
      <c r="R4" s="410"/>
      <c r="S4" s="410"/>
      <c r="T4" s="410"/>
      <c r="U4" s="410"/>
      <c r="V4" s="410"/>
      <c r="W4" s="410"/>
      <c r="X4" s="808"/>
      <c r="Y4" s="808"/>
      <c r="Z4" s="808"/>
      <c r="AA4" s="808"/>
      <c r="AB4" s="808"/>
      <c r="AC4" s="808"/>
      <c r="AD4" s="808"/>
      <c r="AE4" s="808"/>
      <c r="AF4" s="411" t="s">
        <v>338</v>
      </c>
    </row>
    <row r="5" spans="1:32" ht="18.75" x14ac:dyDescent="0.2">
      <c r="A5" s="799" t="s">
        <v>428</v>
      </c>
      <c r="B5" s="412"/>
      <c r="C5" s="412"/>
      <c r="D5" s="412"/>
      <c r="E5" s="808"/>
      <c r="F5" s="808"/>
      <c r="G5" s="798"/>
      <c r="H5" s="798"/>
      <c r="I5" s="808"/>
      <c r="J5" s="808"/>
      <c r="K5" s="798"/>
      <c r="L5" s="798"/>
      <c r="M5" s="808"/>
      <c r="N5" s="808"/>
      <c r="O5" s="808"/>
      <c r="P5" s="413"/>
      <c r="Q5" s="768"/>
      <c r="R5" s="808"/>
      <c r="S5" s="808"/>
      <c r="T5" s="808"/>
      <c r="U5" s="808"/>
      <c r="V5" s="808"/>
      <c r="W5" s="808"/>
      <c r="X5" s="808"/>
      <c r="Y5" s="808"/>
      <c r="Z5" s="808"/>
      <c r="AA5" s="808"/>
      <c r="AB5" s="808"/>
      <c r="AC5" s="808"/>
      <c r="AD5" s="808"/>
      <c r="AE5" s="808"/>
      <c r="AF5" s="415" t="s">
        <v>429</v>
      </c>
    </row>
    <row r="6" spans="1:32" ht="18.75" x14ac:dyDescent="0.2">
      <c r="A6" s="808"/>
      <c r="B6" s="799"/>
      <c r="C6" s="799"/>
      <c r="D6" s="799"/>
      <c r="E6" s="808"/>
      <c r="F6" s="808"/>
      <c r="G6" s="798"/>
      <c r="H6" s="798"/>
      <c r="I6" s="405"/>
      <c r="J6" s="808"/>
      <c r="K6" s="798"/>
      <c r="L6" s="798"/>
      <c r="M6" s="808"/>
      <c r="N6" s="808"/>
      <c r="O6" s="808"/>
      <c r="P6" s="413"/>
      <c r="Q6" s="768"/>
      <c r="R6" s="808"/>
      <c r="S6" s="808"/>
      <c r="T6" s="808"/>
      <c r="U6" s="808"/>
      <c r="V6" s="808"/>
      <c r="W6" s="411"/>
      <c r="X6" s="808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808"/>
      <c r="G7" s="798"/>
      <c r="H7" s="798"/>
      <c r="I7" s="405"/>
      <c r="J7" s="808"/>
      <c r="K7" s="798"/>
      <c r="L7" s="798"/>
      <c r="M7" s="808"/>
      <c r="N7" s="808"/>
      <c r="O7" s="808"/>
      <c r="P7" s="413"/>
      <c r="Q7" s="768"/>
      <c r="R7" s="808"/>
      <c r="S7" s="808"/>
      <c r="T7" s="808"/>
      <c r="U7" s="808"/>
      <c r="V7" s="808"/>
      <c r="W7" s="411"/>
      <c r="X7" s="808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428</v>
      </c>
      <c r="B8" s="1911"/>
      <c r="C8" s="1911"/>
      <c r="D8" s="1911"/>
      <c r="E8" s="1911"/>
      <c r="F8" s="808"/>
      <c r="G8" s="798"/>
      <c r="H8" s="798"/>
      <c r="I8" s="405"/>
      <c r="J8" s="808"/>
      <c r="K8" s="798"/>
      <c r="L8" s="798"/>
      <c r="M8" s="808"/>
      <c r="N8" s="808"/>
      <c r="O8" s="808"/>
      <c r="P8" s="413"/>
      <c r="Q8" s="768"/>
      <c r="R8" s="808"/>
      <c r="S8" s="808"/>
      <c r="T8" s="808"/>
      <c r="U8" s="808"/>
      <c r="V8" s="808"/>
      <c r="W8" s="411"/>
      <c r="X8" s="808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808"/>
      <c r="G9" s="798"/>
      <c r="H9" s="798"/>
      <c r="I9" s="808"/>
      <c r="J9" s="808"/>
      <c r="K9" s="798"/>
      <c r="L9" s="798"/>
      <c r="M9" s="798"/>
      <c r="N9" s="798"/>
      <c r="O9" s="798"/>
      <c r="P9" s="798"/>
      <c r="Q9" s="769"/>
      <c r="R9" s="798"/>
      <c r="S9" s="798"/>
      <c r="T9" s="798"/>
      <c r="U9" s="798"/>
      <c r="V9" s="798"/>
      <c r="W9" s="808"/>
      <c r="X9" s="808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798"/>
      <c r="C10" s="798"/>
      <c r="D10" s="798"/>
      <c r="E10" s="808"/>
      <c r="F10" s="808"/>
      <c r="G10" s="798"/>
      <c r="H10" s="798"/>
      <c r="I10" s="405"/>
      <c r="J10" s="808"/>
      <c r="K10" s="798"/>
      <c r="L10" s="798"/>
      <c r="M10" s="808"/>
      <c r="N10" s="808"/>
      <c r="O10" s="808"/>
      <c r="P10" s="413"/>
      <c r="Q10" s="768"/>
      <c r="R10" s="808"/>
      <c r="S10" s="808"/>
      <c r="T10" s="808"/>
      <c r="U10" s="808"/>
      <c r="V10" s="808"/>
      <c r="W10" s="411"/>
      <c r="X10" s="808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797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770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797" t="s">
        <v>18</v>
      </c>
      <c r="AE12" s="797" t="s">
        <v>20</v>
      </c>
      <c r="AF12" s="1891" t="s">
        <v>21</v>
      </c>
    </row>
    <row r="13" spans="1:32" ht="37.5" x14ac:dyDescent="0.2">
      <c r="A13" s="1891"/>
      <c r="B13" s="1891"/>
      <c r="C13" s="1903"/>
      <c r="D13" s="801" t="s">
        <v>3</v>
      </c>
      <c r="E13" s="801" t="s">
        <v>3</v>
      </c>
      <c r="F13" s="801" t="s">
        <v>4</v>
      </c>
      <c r="G13" s="1903"/>
      <c r="H13" s="1903"/>
      <c r="I13" s="1891"/>
      <c r="J13" s="801" t="s">
        <v>7</v>
      </c>
      <c r="K13" s="801" t="s">
        <v>30</v>
      </c>
      <c r="L13" s="801" t="s">
        <v>29</v>
      </c>
      <c r="M13" s="801" t="s">
        <v>31</v>
      </c>
      <c r="N13" s="801" t="s">
        <v>32</v>
      </c>
      <c r="O13" s="801" t="s">
        <v>12</v>
      </c>
      <c r="P13" s="448" t="s">
        <v>13</v>
      </c>
      <c r="Q13" s="771" t="s">
        <v>26</v>
      </c>
      <c r="R13" s="801" t="s">
        <v>14</v>
      </c>
      <c r="S13" s="801" t="s">
        <v>25</v>
      </c>
      <c r="T13" s="801" t="s">
        <v>113</v>
      </c>
      <c r="U13" s="1903"/>
      <c r="V13" s="1903"/>
      <c r="W13" s="1903"/>
      <c r="X13" s="1903"/>
      <c r="Y13" s="801" t="s">
        <v>14</v>
      </c>
      <c r="Z13" s="801" t="s">
        <v>25</v>
      </c>
      <c r="AA13" s="801" t="s">
        <v>113</v>
      </c>
      <c r="AB13" s="1903"/>
      <c r="AC13" s="1903"/>
      <c r="AD13" s="801" t="s">
        <v>19</v>
      </c>
      <c r="AE13" s="801" t="s">
        <v>27</v>
      </c>
      <c r="AF13" s="1891"/>
    </row>
    <row r="14" spans="1:32" ht="18.75" customHeight="1" x14ac:dyDescent="0.2">
      <c r="A14" s="806">
        <v>1</v>
      </c>
      <c r="B14" s="461" t="s">
        <v>139</v>
      </c>
      <c r="C14" s="806" t="s">
        <v>46</v>
      </c>
      <c r="D14" s="806">
        <v>610.5</v>
      </c>
      <c r="E14" s="806" t="s">
        <v>203</v>
      </c>
      <c r="F14" s="806">
        <v>177.8</v>
      </c>
      <c r="G14" s="806" t="s">
        <v>28</v>
      </c>
      <c r="H14" s="195" t="s">
        <v>363</v>
      </c>
      <c r="I14" s="801">
        <v>558.54</v>
      </c>
      <c r="J14" s="806">
        <v>175</v>
      </c>
      <c r="K14" s="806"/>
      <c r="L14" s="806">
        <v>388</v>
      </c>
      <c r="M14" s="806"/>
      <c r="N14" s="806">
        <v>0.2</v>
      </c>
      <c r="O14" s="806"/>
      <c r="P14" s="668">
        <v>16.608917959752389</v>
      </c>
      <c r="Q14" s="668">
        <f>J14*7/100</f>
        <v>12.25</v>
      </c>
      <c r="R14" s="432">
        <v>2.3279999999999998</v>
      </c>
      <c r="S14" s="432">
        <v>7.4480000000000004</v>
      </c>
      <c r="T14" s="670">
        <v>3.4</v>
      </c>
      <c r="U14" s="668">
        <f t="shared" ref="U14:U77" si="0">T14/R14</f>
        <v>1.4604810996563575</v>
      </c>
      <c r="V14" s="668">
        <f>(S14-R14)/S14*100</f>
        <v>68.743286788399587</v>
      </c>
      <c r="W14" s="668">
        <v>0.3</v>
      </c>
      <c r="X14" s="432">
        <f t="shared" ref="X14:X47" si="1">S14/Q14</f>
        <v>0.60799999999999998</v>
      </c>
      <c r="Y14" s="432">
        <f>R14*0.983</f>
        <v>2.288424</v>
      </c>
      <c r="Z14" s="432">
        <f>S14*0.983</f>
        <v>7.3213840000000001</v>
      </c>
      <c r="AA14" s="670">
        <f>T14*0.983</f>
        <v>3.3422000000000001</v>
      </c>
      <c r="AB14" s="432">
        <f>U14</f>
        <v>1.4604810996563575</v>
      </c>
      <c r="AC14" s="670">
        <f t="shared" ref="AC14:AC78" si="2">V14</f>
        <v>68.743286788399587</v>
      </c>
      <c r="AD14" s="806">
        <v>31</v>
      </c>
      <c r="AE14" s="432">
        <f>Y14*AD14</f>
        <v>70.941143999999994</v>
      </c>
      <c r="AF14" s="669"/>
    </row>
    <row r="15" spans="1:32" ht="18.75" customHeight="1" x14ac:dyDescent="0.2">
      <c r="A15" s="806">
        <v>2</v>
      </c>
      <c r="B15" s="461" t="s">
        <v>140</v>
      </c>
      <c r="C15" s="806" t="s">
        <v>46</v>
      </c>
      <c r="D15" s="806">
        <v>585</v>
      </c>
      <c r="E15" s="806" t="s">
        <v>348</v>
      </c>
      <c r="F15" s="806">
        <v>177.8</v>
      </c>
      <c r="G15" s="806" t="s">
        <v>28</v>
      </c>
      <c r="H15" s="806" t="s">
        <v>50</v>
      </c>
      <c r="I15" s="801">
        <v>579.99</v>
      </c>
      <c r="J15" s="806" t="s">
        <v>254</v>
      </c>
      <c r="K15" s="806"/>
      <c r="L15" s="806">
        <v>410</v>
      </c>
      <c r="M15" s="806"/>
      <c r="N15" s="806">
        <v>1</v>
      </c>
      <c r="O15" s="806"/>
      <c r="P15" s="668">
        <v>16.60866901468469</v>
      </c>
      <c r="Q15" s="668">
        <f t="shared" ref="Q15:Q38" si="3">LEFT(H15,(FIND("K",H15,1)-1))*J15/100</f>
        <v>15</v>
      </c>
      <c r="R15" s="432">
        <v>1.7509999999999999</v>
      </c>
      <c r="S15" s="432">
        <v>2.4049999999999998</v>
      </c>
      <c r="T15" s="670">
        <v>0</v>
      </c>
      <c r="U15" s="668">
        <f t="shared" si="0"/>
        <v>0</v>
      </c>
      <c r="V15" s="668">
        <f>(S15-R15)/S15*100</f>
        <v>27.19334719334719</v>
      </c>
      <c r="W15" s="668">
        <v>0.2</v>
      </c>
      <c r="X15" s="432">
        <f t="shared" si="1"/>
        <v>0.16033333333333333</v>
      </c>
      <c r="Y15" s="432">
        <f t="shared" ref="Y15:AA78" si="4">R15*0.983</f>
        <v>1.7212329999999998</v>
      </c>
      <c r="Z15" s="432">
        <f t="shared" si="4"/>
        <v>2.364115</v>
      </c>
      <c r="AA15" s="670">
        <f t="shared" si="4"/>
        <v>0</v>
      </c>
      <c r="AB15" s="432">
        <f t="shared" ref="AB15:AB78" si="5">U15</f>
        <v>0</v>
      </c>
      <c r="AC15" s="670">
        <f t="shared" si="2"/>
        <v>27.19334719334719</v>
      </c>
      <c r="AD15" s="806">
        <v>31</v>
      </c>
      <c r="AE15" s="432">
        <f t="shared" ref="AE15:AE58" si="6">Y15*AD15</f>
        <v>53.358222999999995</v>
      </c>
      <c r="AF15" s="669"/>
    </row>
    <row r="16" spans="1:32" ht="18.75" customHeight="1" x14ac:dyDescent="0.2">
      <c r="A16" s="806">
        <v>3</v>
      </c>
      <c r="B16" s="461" t="s">
        <v>141</v>
      </c>
      <c r="C16" s="806" t="s">
        <v>46</v>
      </c>
      <c r="D16" s="806">
        <v>670</v>
      </c>
      <c r="E16" s="806" t="s">
        <v>68</v>
      </c>
      <c r="F16" s="806">
        <v>177.8</v>
      </c>
      <c r="G16" s="806" t="s">
        <v>28</v>
      </c>
      <c r="H16" s="806" t="s">
        <v>218</v>
      </c>
      <c r="I16" s="801">
        <v>565.94000000000005</v>
      </c>
      <c r="J16" s="806">
        <v>210</v>
      </c>
      <c r="K16" s="806"/>
      <c r="L16" s="806">
        <v>492</v>
      </c>
      <c r="M16" s="806"/>
      <c r="N16" s="668">
        <v>9.6</v>
      </c>
      <c r="O16" s="806"/>
      <c r="P16" s="668">
        <v>13.885975118370432</v>
      </c>
      <c r="Q16" s="668">
        <f>LEFT(H16,(FIND("K",H16,1)-1))*J16/100</f>
        <v>67.2</v>
      </c>
      <c r="R16" s="432">
        <v>12.307</v>
      </c>
      <c r="S16" s="432">
        <v>21.956</v>
      </c>
      <c r="T16" s="670">
        <v>1347</v>
      </c>
      <c r="U16" s="668">
        <f t="shared" si="0"/>
        <v>109.44990655724384</v>
      </c>
      <c r="V16" s="668">
        <f t="shared" ref="V16:V77" si="7">(S16-R16)/S16*100</f>
        <v>43.946984878848603</v>
      </c>
      <c r="W16" s="668">
        <v>0.2</v>
      </c>
      <c r="X16" s="432">
        <f t="shared" si="1"/>
        <v>0.32672619047619045</v>
      </c>
      <c r="Y16" s="432">
        <f t="shared" si="4"/>
        <v>12.097780999999999</v>
      </c>
      <c r="Z16" s="432">
        <f t="shared" si="4"/>
        <v>21.582747999999999</v>
      </c>
      <c r="AA16" s="670">
        <f t="shared" si="4"/>
        <v>1324.1009999999999</v>
      </c>
      <c r="AB16" s="432">
        <f t="shared" si="5"/>
        <v>109.44990655724384</v>
      </c>
      <c r="AC16" s="670">
        <f t="shared" si="2"/>
        <v>43.946984878848603</v>
      </c>
      <c r="AD16" s="806">
        <v>31</v>
      </c>
      <c r="AE16" s="432">
        <f>Y16*AD16</f>
        <v>375.03121099999998</v>
      </c>
      <c r="AF16" s="669"/>
    </row>
    <row r="17" spans="1:32" ht="18.75" customHeight="1" x14ac:dyDescent="0.2">
      <c r="A17" s="806">
        <v>4</v>
      </c>
      <c r="B17" s="461" t="s">
        <v>142</v>
      </c>
      <c r="C17" s="806" t="s">
        <v>46</v>
      </c>
      <c r="D17" s="806">
        <v>628</v>
      </c>
      <c r="E17" s="806" t="s">
        <v>297</v>
      </c>
      <c r="F17" s="806">
        <v>177.8</v>
      </c>
      <c r="G17" s="806" t="s">
        <v>28</v>
      </c>
      <c r="H17" s="165" t="s">
        <v>376</v>
      </c>
      <c r="I17" s="801">
        <v>540.74000000000024</v>
      </c>
      <c r="J17" s="806">
        <v>330</v>
      </c>
      <c r="K17" s="806"/>
      <c r="L17" s="806">
        <v>450</v>
      </c>
      <c r="M17" s="806"/>
      <c r="N17" s="668">
        <v>3.6</v>
      </c>
      <c r="O17" s="806"/>
      <c r="P17" s="668">
        <v>14.283834246594678</v>
      </c>
      <c r="Q17" s="668">
        <f>14*J17/100</f>
        <v>46.2</v>
      </c>
      <c r="R17" s="432">
        <v>4.4640000000000004</v>
      </c>
      <c r="S17" s="432">
        <v>6.4269999999999996</v>
      </c>
      <c r="T17" s="670">
        <v>31.75</v>
      </c>
      <c r="U17" s="668">
        <f t="shared" si="0"/>
        <v>7.1124551971326158</v>
      </c>
      <c r="V17" s="668">
        <f t="shared" si="7"/>
        <v>30.543021627508939</v>
      </c>
      <c r="W17" s="668">
        <v>0.2</v>
      </c>
      <c r="X17" s="432">
        <f t="shared" si="1"/>
        <v>0.1391125541125541</v>
      </c>
      <c r="Y17" s="432">
        <f t="shared" si="4"/>
        <v>4.3881120000000005</v>
      </c>
      <c r="Z17" s="432">
        <f t="shared" si="4"/>
        <v>6.3177409999999998</v>
      </c>
      <c r="AA17" s="670">
        <f t="shared" si="4"/>
        <v>31.210249999999998</v>
      </c>
      <c r="AB17" s="432">
        <f t="shared" si="5"/>
        <v>7.1124551971326158</v>
      </c>
      <c r="AC17" s="670">
        <f t="shared" si="2"/>
        <v>30.543021627508939</v>
      </c>
      <c r="AD17" s="806">
        <v>31</v>
      </c>
      <c r="AE17" s="432">
        <f t="shared" si="6"/>
        <v>136.03147200000001</v>
      </c>
      <c r="AF17" s="669"/>
    </row>
    <row r="18" spans="1:32" ht="18.75" customHeight="1" x14ac:dyDescent="0.2">
      <c r="A18" s="806">
        <v>5</v>
      </c>
      <c r="B18" s="461" t="s">
        <v>143</v>
      </c>
      <c r="C18" s="806" t="s">
        <v>46</v>
      </c>
      <c r="D18" s="806">
        <v>576.6</v>
      </c>
      <c r="E18" s="806" t="s">
        <v>70</v>
      </c>
      <c r="F18" s="806">
        <v>177.8</v>
      </c>
      <c r="G18" s="806" t="s">
        <v>28</v>
      </c>
      <c r="H18" s="550" t="s">
        <v>53</v>
      </c>
      <c r="I18" s="801">
        <v>546</v>
      </c>
      <c r="J18" s="806">
        <v>140</v>
      </c>
      <c r="K18" s="806"/>
      <c r="L18" s="806">
        <v>441</v>
      </c>
      <c r="M18" s="806"/>
      <c r="N18" s="806">
        <v>6.9</v>
      </c>
      <c r="O18" s="806"/>
      <c r="P18" s="668">
        <v>17.915685904791072</v>
      </c>
      <c r="Q18" s="668">
        <f t="shared" si="3"/>
        <v>18.2</v>
      </c>
      <c r="R18" s="432">
        <v>6.8470000000000004</v>
      </c>
      <c r="S18" s="432">
        <v>7.6740000000000004</v>
      </c>
      <c r="T18" s="670">
        <v>50.7</v>
      </c>
      <c r="U18" s="668">
        <f t="shared" si="0"/>
        <v>7.4047027895428652</v>
      </c>
      <c r="V18" s="668">
        <f t="shared" si="7"/>
        <v>10.776648423247327</v>
      </c>
      <c r="W18" s="668">
        <v>0.2</v>
      </c>
      <c r="X18" s="432">
        <f>S18/Q18</f>
        <v>0.42164835164835168</v>
      </c>
      <c r="Y18" s="432">
        <f t="shared" si="4"/>
        <v>6.7306010000000001</v>
      </c>
      <c r="Z18" s="432">
        <f t="shared" si="4"/>
        <v>7.5435420000000004</v>
      </c>
      <c r="AA18" s="670">
        <f t="shared" si="4"/>
        <v>49.838100000000004</v>
      </c>
      <c r="AB18" s="432">
        <f t="shared" si="5"/>
        <v>7.4047027895428652</v>
      </c>
      <c r="AC18" s="670">
        <f t="shared" si="2"/>
        <v>10.776648423247327</v>
      </c>
      <c r="AD18" s="806">
        <v>31</v>
      </c>
      <c r="AE18" s="432">
        <f t="shared" si="6"/>
        <v>208.64863099999999</v>
      </c>
      <c r="AF18" s="669"/>
    </row>
    <row r="19" spans="1:32" ht="18.75" customHeight="1" x14ac:dyDescent="0.2">
      <c r="A19" s="806">
        <v>6</v>
      </c>
      <c r="B19" s="461" t="s">
        <v>144</v>
      </c>
      <c r="C19" s="806" t="s">
        <v>46</v>
      </c>
      <c r="D19" s="806">
        <v>676.6</v>
      </c>
      <c r="E19" s="806" t="s">
        <v>71</v>
      </c>
      <c r="F19" s="806">
        <v>177.8</v>
      </c>
      <c r="G19" s="806" t="s">
        <v>28</v>
      </c>
      <c r="H19" s="806" t="s">
        <v>50</v>
      </c>
      <c r="I19" s="801">
        <v>584.32000000000005</v>
      </c>
      <c r="J19" s="806">
        <v>358</v>
      </c>
      <c r="K19" s="806"/>
      <c r="L19" s="806">
        <v>410</v>
      </c>
      <c r="M19" s="806"/>
      <c r="N19" s="806">
        <v>0.7</v>
      </c>
      <c r="O19" s="806"/>
      <c r="P19" s="668">
        <v>16.362432726473816</v>
      </c>
      <c r="Q19" s="668">
        <f t="shared" si="3"/>
        <v>21.48</v>
      </c>
      <c r="R19" s="432">
        <v>2.589</v>
      </c>
      <c r="S19" s="432">
        <v>3.44</v>
      </c>
      <c r="T19" s="670">
        <v>0</v>
      </c>
      <c r="U19" s="668">
        <f t="shared" si="0"/>
        <v>0</v>
      </c>
      <c r="V19" s="668">
        <f t="shared" si="7"/>
        <v>24.738372093023255</v>
      </c>
      <c r="W19" s="668">
        <v>0.2</v>
      </c>
      <c r="X19" s="432">
        <f>S19/Q19</f>
        <v>0.16014897579143389</v>
      </c>
      <c r="Y19" s="432">
        <f t="shared" si="4"/>
        <v>2.5449869999999999</v>
      </c>
      <c r="Z19" s="432">
        <f t="shared" si="4"/>
        <v>3.3815200000000001</v>
      </c>
      <c r="AA19" s="670">
        <f t="shared" si="4"/>
        <v>0</v>
      </c>
      <c r="AB19" s="432">
        <v>14.613</v>
      </c>
      <c r="AC19" s="670">
        <f t="shared" si="2"/>
        <v>24.738372093023255</v>
      </c>
      <c r="AD19" s="806">
        <v>31</v>
      </c>
      <c r="AE19" s="432">
        <f t="shared" si="6"/>
        <v>78.89459699999999</v>
      </c>
      <c r="AF19" s="669"/>
    </row>
    <row r="20" spans="1:32" ht="18.75" customHeight="1" x14ac:dyDescent="0.2">
      <c r="A20" s="806">
        <v>7</v>
      </c>
      <c r="B20" s="461" t="s">
        <v>145</v>
      </c>
      <c r="C20" s="806" t="s">
        <v>46</v>
      </c>
      <c r="D20" s="806" t="s">
        <v>47</v>
      </c>
      <c r="E20" s="806" t="s">
        <v>72</v>
      </c>
      <c r="F20" s="806">
        <v>177.8</v>
      </c>
      <c r="G20" s="806" t="s">
        <v>28</v>
      </c>
      <c r="H20" s="806" t="s">
        <v>52</v>
      </c>
      <c r="I20" s="801">
        <v>560</v>
      </c>
      <c r="J20" s="806">
        <v>190</v>
      </c>
      <c r="K20" s="806"/>
      <c r="L20" s="806">
        <v>449</v>
      </c>
      <c r="M20" s="806"/>
      <c r="N20" s="806">
        <v>7.4</v>
      </c>
      <c r="O20" s="806"/>
      <c r="P20" s="668">
        <v>18.501683058915003</v>
      </c>
      <c r="Q20" s="668">
        <f t="shared" si="3"/>
        <v>41.8</v>
      </c>
      <c r="R20" s="432">
        <v>9.2929999999999993</v>
      </c>
      <c r="S20" s="432">
        <v>11.992000000000001</v>
      </c>
      <c r="T20" s="670">
        <v>102</v>
      </c>
      <c r="U20" s="668">
        <f t="shared" si="0"/>
        <v>10.976003443452061</v>
      </c>
      <c r="V20" s="668">
        <f t="shared" si="7"/>
        <v>22.506671114076063</v>
      </c>
      <c r="W20" s="668">
        <v>0.2</v>
      </c>
      <c r="X20" s="432">
        <f t="shared" si="1"/>
        <v>0.28688995215311008</v>
      </c>
      <c r="Y20" s="432">
        <f t="shared" si="4"/>
        <v>9.1350189999999998</v>
      </c>
      <c r="Z20" s="432">
        <f t="shared" si="4"/>
        <v>11.788136000000002</v>
      </c>
      <c r="AA20" s="670">
        <f t="shared" si="4"/>
        <v>100.26600000000001</v>
      </c>
      <c r="AB20" s="432">
        <f t="shared" si="5"/>
        <v>10.976003443452061</v>
      </c>
      <c r="AC20" s="670">
        <f t="shared" si="2"/>
        <v>22.506671114076063</v>
      </c>
      <c r="AD20" s="806">
        <v>31</v>
      </c>
      <c r="AE20" s="432">
        <f t="shared" si="6"/>
        <v>283.18558899999999</v>
      </c>
      <c r="AF20" s="669"/>
    </row>
    <row r="21" spans="1:32" ht="18.75" customHeight="1" x14ac:dyDescent="0.2">
      <c r="A21" s="806">
        <v>8</v>
      </c>
      <c r="B21" s="461" t="s">
        <v>146</v>
      </c>
      <c r="C21" s="806" t="s">
        <v>46</v>
      </c>
      <c r="D21" s="806">
        <v>764</v>
      </c>
      <c r="E21" s="436" t="s">
        <v>73</v>
      </c>
      <c r="F21" s="806">
        <v>177.8</v>
      </c>
      <c r="G21" s="806" t="s">
        <v>28</v>
      </c>
      <c r="H21" s="806" t="s">
        <v>52</v>
      </c>
      <c r="I21" s="437">
        <v>550</v>
      </c>
      <c r="J21" s="806">
        <v>155</v>
      </c>
      <c r="K21" s="805"/>
      <c r="L21" s="806">
        <v>429</v>
      </c>
      <c r="M21" s="805"/>
      <c r="N21" s="806">
        <v>5.7</v>
      </c>
      <c r="O21" s="805"/>
      <c r="P21" s="668">
        <v>19.09521751906734</v>
      </c>
      <c r="Q21" s="668">
        <f t="shared" si="3"/>
        <v>34.1</v>
      </c>
      <c r="R21" s="432">
        <v>6.6689999999999996</v>
      </c>
      <c r="S21" s="432">
        <v>14.313000000000001</v>
      </c>
      <c r="T21" s="670">
        <v>73.8</v>
      </c>
      <c r="U21" s="668">
        <f t="shared" si="0"/>
        <v>11.06612685560054</v>
      </c>
      <c r="V21" s="668">
        <f t="shared" si="7"/>
        <v>53.405994550408721</v>
      </c>
      <c r="W21" s="668">
        <v>0.4</v>
      </c>
      <c r="X21" s="432">
        <f t="shared" si="1"/>
        <v>0.41973607038123167</v>
      </c>
      <c r="Y21" s="432">
        <f t="shared" si="4"/>
        <v>6.5556269999999994</v>
      </c>
      <c r="Z21" s="432">
        <f t="shared" si="4"/>
        <v>14.069679000000001</v>
      </c>
      <c r="AA21" s="670">
        <f t="shared" si="4"/>
        <v>72.545400000000001</v>
      </c>
      <c r="AB21" s="432">
        <f t="shared" si="5"/>
        <v>11.06612685560054</v>
      </c>
      <c r="AC21" s="670">
        <f t="shared" si="2"/>
        <v>53.405994550408721</v>
      </c>
      <c r="AD21" s="806">
        <v>31</v>
      </c>
      <c r="AE21" s="432">
        <f t="shared" si="6"/>
        <v>203.22443699999999</v>
      </c>
      <c r="AF21" s="669"/>
    </row>
    <row r="22" spans="1:32" ht="18.75" customHeight="1" x14ac:dyDescent="0.2">
      <c r="A22" s="806">
        <v>9</v>
      </c>
      <c r="B22" s="461" t="s">
        <v>147</v>
      </c>
      <c r="C22" s="806" t="s">
        <v>46</v>
      </c>
      <c r="D22" s="806">
        <v>650.1</v>
      </c>
      <c r="E22" s="806" t="s">
        <v>74</v>
      </c>
      <c r="F22" s="806">
        <v>177.8</v>
      </c>
      <c r="G22" s="806" t="s">
        <v>28</v>
      </c>
      <c r="H22" s="806" t="s">
        <v>52</v>
      </c>
      <c r="I22" s="801">
        <v>591.98</v>
      </c>
      <c r="J22" s="806">
        <v>150</v>
      </c>
      <c r="K22" s="806"/>
      <c r="L22" s="806">
        <v>463</v>
      </c>
      <c r="M22" s="806"/>
      <c r="N22" s="806">
        <v>4.2</v>
      </c>
      <c r="O22" s="806"/>
      <c r="P22" s="668">
        <v>14.104148754058775</v>
      </c>
      <c r="Q22" s="668">
        <f t="shared" si="3"/>
        <v>33</v>
      </c>
      <c r="R22" s="432">
        <v>6.7060000000000004</v>
      </c>
      <c r="S22" s="432">
        <v>11.246</v>
      </c>
      <c r="T22" s="670">
        <v>21.8</v>
      </c>
      <c r="U22" s="668">
        <f t="shared" si="0"/>
        <v>3.250820161049806</v>
      </c>
      <c r="V22" s="668">
        <f t="shared" si="7"/>
        <v>40.369909301084824</v>
      </c>
      <c r="W22" s="668">
        <v>0.3</v>
      </c>
      <c r="X22" s="432">
        <f t="shared" si="1"/>
        <v>0.34078787878787881</v>
      </c>
      <c r="Y22" s="432">
        <f t="shared" si="4"/>
        <v>6.5919980000000002</v>
      </c>
      <c r="Z22" s="432">
        <f t="shared" si="4"/>
        <v>11.054818000000001</v>
      </c>
      <c r="AA22" s="670">
        <f t="shared" si="4"/>
        <v>21.429400000000001</v>
      </c>
      <c r="AB22" s="432">
        <f t="shared" si="5"/>
        <v>3.250820161049806</v>
      </c>
      <c r="AC22" s="670">
        <f t="shared" si="2"/>
        <v>40.369909301084824</v>
      </c>
      <c r="AD22" s="806">
        <v>31</v>
      </c>
      <c r="AE22" s="432">
        <f t="shared" si="6"/>
        <v>204.35193800000002</v>
      </c>
      <c r="AF22" s="669"/>
    </row>
    <row r="23" spans="1:32" ht="18.75" customHeight="1" x14ac:dyDescent="0.2">
      <c r="A23" s="806">
        <v>10</v>
      </c>
      <c r="B23" s="461" t="s">
        <v>148</v>
      </c>
      <c r="C23" s="806" t="s">
        <v>46</v>
      </c>
      <c r="D23" s="806">
        <v>580.5</v>
      </c>
      <c r="E23" s="806" t="s">
        <v>398</v>
      </c>
      <c r="F23" s="806">
        <v>177.8</v>
      </c>
      <c r="G23" s="806" t="s">
        <v>28</v>
      </c>
      <c r="H23" s="165" t="s">
        <v>399</v>
      </c>
      <c r="I23" s="801">
        <v>572.4</v>
      </c>
      <c r="J23" s="806"/>
      <c r="K23" s="806">
        <v>200</v>
      </c>
      <c r="L23" s="806"/>
      <c r="M23" s="806">
        <v>5</v>
      </c>
      <c r="N23" s="806"/>
      <c r="O23" s="806"/>
      <c r="P23" s="668"/>
      <c r="Q23" s="668">
        <f>J23*13/100</f>
        <v>0</v>
      </c>
      <c r="R23" s="432">
        <v>0</v>
      </c>
      <c r="S23" s="432">
        <v>0</v>
      </c>
      <c r="T23" s="670">
        <v>0</v>
      </c>
      <c r="U23" s="668">
        <f>IF(R23=0,0,T23/R23)</f>
        <v>0</v>
      </c>
      <c r="V23" s="668">
        <v>0</v>
      </c>
      <c r="W23" s="668">
        <v>0</v>
      </c>
      <c r="X23" s="432">
        <v>0</v>
      </c>
      <c r="Y23" s="432">
        <f t="shared" si="4"/>
        <v>0</v>
      </c>
      <c r="Z23" s="432">
        <f t="shared" si="4"/>
        <v>0</v>
      </c>
      <c r="AA23" s="670">
        <f t="shared" si="4"/>
        <v>0</v>
      </c>
      <c r="AB23" s="432">
        <f t="shared" si="5"/>
        <v>0</v>
      </c>
      <c r="AC23" s="670">
        <f t="shared" si="2"/>
        <v>0</v>
      </c>
      <c r="AD23" s="806">
        <v>0</v>
      </c>
      <c r="AE23" s="432">
        <f t="shared" si="6"/>
        <v>0</v>
      </c>
      <c r="AF23" s="669" t="s">
        <v>417</v>
      </c>
    </row>
    <row r="24" spans="1:32" ht="18.75" customHeight="1" x14ac:dyDescent="0.2">
      <c r="A24" s="806">
        <v>11</v>
      </c>
      <c r="B24" s="461" t="s">
        <v>149</v>
      </c>
      <c r="C24" s="806" t="s">
        <v>46</v>
      </c>
      <c r="D24" s="806">
        <v>606.29999999999995</v>
      </c>
      <c r="E24" s="806" t="s">
        <v>76</v>
      </c>
      <c r="F24" s="806">
        <v>177.8</v>
      </c>
      <c r="G24" s="806" t="s">
        <v>28</v>
      </c>
      <c r="H24" s="806" t="s">
        <v>52</v>
      </c>
      <c r="I24" s="801">
        <v>585.29999999999995</v>
      </c>
      <c r="J24" s="806">
        <v>360</v>
      </c>
      <c r="K24" s="806"/>
      <c r="L24" s="806">
        <v>291</v>
      </c>
      <c r="M24" s="806"/>
      <c r="N24" s="806">
        <v>6.9</v>
      </c>
      <c r="O24" s="806"/>
      <c r="P24" s="668">
        <v>32.51630566228679</v>
      </c>
      <c r="Q24" s="668">
        <f t="shared" si="3"/>
        <v>79.2</v>
      </c>
      <c r="R24" s="432">
        <v>0.65700000000000003</v>
      </c>
      <c r="S24" s="432">
        <v>2.3290000000000002</v>
      </c>
      <c r="T24" s="670">
        <v>0</v>
      </c>
      <c r="U24" s="668">
        <f t="shared" si="0"/>
        <v>0</v>
      </c>
      <c r="V24" s="668">
        <f t="shared" si="7"/>
        <v>71.79046801202233</v>
      </c>
      <c r="W24" s="668">
        <v>0.4</v>
      </c>
      <c r="X24" s="432">
        <f t="shared" si="1"/>
        <v>2.9406565656565659E-2</v>
      </c>
      <c r="Y24" s="432">
        <f t="shared" si="4"/>
        <v>0.64583100000000004</v>
      </c>
      <c r="Z24" s="432">
        <f t="shared" si="4"/>
        <v>2.2894070000000002</v>
      </c>
      <c r="AA24" s="670">
        <f t="shared" si="4"/>
        <v>0</v>
      </c>
      <c r="AB24" s="432">
        <f t="shared" si="5"/>
        <v>0</v>
      </c>
      <c r="AC24" s="670">
        <f t="shared" si="2"/>
        <v>71.79046801202233</v>
      </c>
      <c r="AD24" s="806">
        <v>31</v>
      </c>
      <c r="AE24" s="432">
        <f t="shared" si="6"/>
        <v>20.020761</v>
      </c>
      <c r="AF24" s="449"/>
    </row>
    <row r="25" spans="1:32" ht="18.75" customHeight="1" x14ac:dyDescent="0.2">
      <c r="A25" s="806">
        <v>12</v>
      </c>
      <c r="B25" s="461" t="s">
        <v>150</v>
      </c>
      <c r="C25" s="806" t="s">
        <v>46</v>
      </c>
      <c r="D25" s="806">
        <v>661</v>
      </c>
      <c r="E25" s="796" t="s">
        <v>433</v>
      </c>
      <c r="F25" s="806">
        <v>177.8</v>
      </c>
      <c r="G25" s="806" t="s">
        <v>28</v>
      </c>
      <c r="H25" s="806" t="s">
        <v>53</v>
      </c>
      <c r="I25" s="801">
        <v>555.72</v>
      </c>
      <c r="J25" s="806">
        <v>200</v>
      </c>
      <c r="K25" s="806"/>
      <c r="L25" s="806">
        <v>383</v>
      </c>
      <c r="M25" s="806"/>
      <c r="N25" s="806">
        <v>0</v>
      </c>
      <c r="O25" s="806"/>
      <c r="P25" s="668">
        <v>18.078671208143664</v>
      </c>
      <c r="Q25" s="668">
        <f t="shared" si="3"/>
        <v>26</v>
      </c>
      <c r="R25" s="432">
        <v>1.0660000000000001</v>
      </c>
      <c r="S25" s="432">
        <v>2.0289999999999999</v>
      </c>
      <c r="T25" s="670">
        <v>1.5</v>
      </c>
      <c r="U25" s="668">
        <f t="shared" si="0"/>
        <v>1.4071294559099436</v>
      </c>
      <c r="V25" s="668">
        <f t="shared" si="7"/>
        <v>47.461803844258249</v>
      </c>
      <c r="W25" s="668">
        <v>0.3</v>
      </c>
      <c r="X25" s="432">
        <f t="shared" si="1"/>
        <v>7.8038461538461529E-2</v>
      </c>
      <c r="Y25" s="432">
        <f t="shared" si="4"/>
        <v>1.0478780000000001</v>
      </c>
      <c r="Z25" s="432">
        <f t="shared" si="4"/>
        <v>1.9945069999999998</v>
      </c>
      <c r="AA25" s="670">
        <f t="shared" si="4"/>
        <v>1.4744999999999999</v>
      </c>
      <c r="AB25" s="432">
        <f t="shared" si="5"/>
        <v>1.4071294559099436</v>
      </c>
      <c r="AC25" s="670">
        <f t="shared" si="2"/>
        <v>47.461803844258249</v>
      </c>
      <c r="AD25" s="806">
        <v>31</v>
      </c>
      <c r="AE25" s="432">
        <f t="shared" si="6"/>
        <v>32.484218000000006</v>
      </c>
      <c r="AF25" s="669"/>
    </row>
    <row r="26" spans="1:32" ht="18.75" customHeight="1" x14ac:dyDescent="0.2">
      <c r="A26" s="806">
        <v>13</v>
      </c>
      <c r="B26" s="461" t="s">
        <v>151</v>
      </c>
      <c r="C26" s="806" t="s">
        <v>46</v>
      </c>
      <c r="D26" s="806">
        <v>675.4</v>
      </c>
      <c r="E26" s="801" t="s">
        <v>298</v>
      </c>
      <c r="F26" s="806">
        <v>177.8</v>
      </c>
      <c r="G26" s="806" t="s">
        <v>28</v>
      </c>
      <c r="H26" s="806" t="s">
        <v>52</v>
      </c>
      <c r="I26" s="801">
        <v>553.5</v>
      </c>
      <c r="J26" s="806">
        <v>300</v>
      </c>
      <c r="K26" s="806"/>
      <c r="L26" s="806">
        <v>325</v>
      </c>
      <c r="M26" s="806"/>
      <c r="N26" s="806">
        <v>6.1</v>
      </c>
      <c r="O26" s="806"/>
      <c r="P26" s="668">
        <v>29.676855103905972</v>
      </c>
      <c r="Q26" s="668">
        <f t="shared" si="3"/>
        <v>66</v>
      </c>
      <c r="R26" s="432">
        <v>5.3959999999999999</v>
      </c>
      <c r="S26" s="432">
        <v>17.715</v>
      </c>
      <c r="T26" s="670">
        <v>89</v>
      </c>
      <c r="U26" s="668">
        <f t="shared" si="0"/>
        <v>16.493699036323203</v>
      </c>
      <c r="V26" s="668">
        <f t="shared" si="7"/>
        <v>69.539937905729602</v>
      </c>
      <c r="W26" s="668">
        <v>0.3</v>
      </c>
      <c r="X26" s="432">
        <f t="shared" si="1"/>
        <v>0.26840909090909093</v>
      </c>
      <c r="Y26" s="432">
        <f t="shared" si="4"/>
        <v>5.3042679999999995</v>
      </c>
      <c r="Z26" s="432">
        <f t="shared" si="4"/>
        <v>17.413844999999998</v>
      </c>
      <c r="AA26" s="670">
        <f t="shared" si="4"/>
        <v>87.486999999999995</v>
      </c>
      <c r="AB26" s="432">
        <f t="shared" si="5"/>
        <v>16.493699036323203</v>
      </c>
      <c r="AC26" s="670">
        <f t="shared" si="2"/>
        <v>69.539937905729602</v>
      </c>
      <c r="AD26" s="806">
        <v>25</v>
      </c>
      <c r="AE26" s="432">
        <f t="shared" si="6"/>
        <v>132.60669999999999</v>
      </c>
      <c r="AF26" s="449" t="s">
        <v>335</v>
      </c>
    </row>
    <row r="27" spans="1:32" ht="18.75" customHeight="1" x14ac:dyDescent="0.2">
      <c r="A27" s="806">
        <v>14</v>
      </c>
      <c r="B27" s="461" t="s">
        <v>36</v>
      </c>
      <c r="C27" s="806" t="s">
        <v>46</v>
      </c>
      <c r="D27" s="806">
        <v>584.5</v>
      </c>
      <c r="E27" s="801" t="s">
        <v>79</v>
      </c>
      <c r="F27" s="806">
        <v>177.8</v>
      </c>
      <c r="G27" s="806" t="s">
        <v>28</v>
      </c>
      <c r="H27" s="806" t="s">
        <v>49</v>
      </c>
      <c r="I27" s="801">
        <v>525.03</v>
      </c>
      <c r="J27" s="806">
        <v>150</v>
      </c>
      <c r="K27" s="806"/>
      <c r="L27" s="806">
        <v>336</v>
      </c>
      <c r="M27" s="806"/>
      <c r="N27" s="806">
        <v>7.1</v>
      </c>
      <c r="O27" s="806"/>
      <c r="P27" s="668">
        <v>26.201599202141743</v>
      </c>
      <c r="Q27" s="668">
        <f t="shared" si="3"/>
        <v>48</v>
      </c>
      <c r="R27" s="432">
        <v>14.544</v>
      </c>
      <c r="S27" s="432">
        <v>26.981000000000002</v>
      </c>
      <c r="T27" s="670">
        <v>232</v>
      </c>
      <c r="U27" s="668">
        <f t="shared" si="0"/>
        <v>15.951595159515952</v>
      </c>
      <c r="V27" s="668">
        <f t="shared" si="7"/>
        <v>46.095400466995294</v>
      </c>
      <c r="W27" s="668">
        <v>0.2</v>
      </c>
      <c r="X27" s="432">
        <f t="shared" si="1"/>
        <v>0.56210416666666674</v>
      </c>
      <c r="Y27" s="432">
        <f t="shared" si="4"/>
        <v>14.296752</v>
      </c>
      <c r="Z27" s="432">
        <f t="shared" si="4"/>
        <v>26.522323</v>
      </c>
      <c r="AA27" s="670">
        <f t="shared" si="4"/>
        <v>228.05599999999998</v>
      </c>
      <c r="AB27" s="432">
        <f t="shared" si="5"/>
        <v>15.951595159515952</v>
      </c>
      <c r="AC27" s="670">
        <f t="shared" si="2"/>
        <v>46.095400466995294</v>
      </c>
      <c r="AD27" s="806">
        <v>31</v>
      </c>
      <c r="AE27" s="432">
        <f t="shared" si="6"/>
        <v>443.19931199999996</v>
      </c>
      <c r="AF27" s="669"/>
    </row>
    <row r="28" spans="1:32" ht="18.75" customHeight="1" x14ac:dyDescent="0.2">
      <c r="A28" s="806">
        <v>15</v>
      </c>
      <c r="B28" s="461" t="s">
        <v>152</v>
      </c>
      <c r="C28" s="806" t="s">
        <v>46</v>
      </c>
      <c r="D28" s="806">
        <v>565</v>
      </c>
      <c r="E28" s="801" t="s">
        <v>80</v>
      </c>
      <c r="F28" s="806">
        <v>177.8</v>
      </c>
      <c r="G28" s="806" t="s">
        <v>28</v>
      </c>
      <c r="H28" s="165" t="s">
        <v>399</v>
      </c>
      <c r="I28" s="437">
        <v>520.03</v>
      </c>
      <c r="J28" s="806">
        <v>295</v>
      </c>
      <c r="K28" s="806"/>
      <c r="L28" s="806">
        <v>416</v>
      </c>
      <c r="M28" s="806"/>
      <c r="N28" s="806">
        <v>9.6999999999999993</v>
      </c>
      <c r="O28" s="806"/>
      <c r="P28" s="668">
        <v>21.074841733985231</v>
      </c>
      <c r="Q28" s="668">
        <f>J28*13/100</f>
        <v>38.35</v>
      </c>
      <c r="R28" s="432">
        <v>7.2969999999999997</v>
      </c>
      <c r="S28" s="432">
        <v>16.413</v>
      </c>
      <c r="T28" s="670">
        <v>1878</v>
      </c>
      <c r="U28" s="668">
        <f t="shared" si="0"/>
        <v>257.36604083870083</v>
      </c>
      <c r="V28" s="668">
        <f t="shared" si="7"/>
        <v>55.541339182355443</v>
      </c>
      <c r="W28" s="668">
        <v>0.2</v>
      </c>
      <c r="X28" s="432">
        <f t="shared" si="1"/>
        <v>0.42797913950456323</v>
      </c>
      <c r="Y28" s="432">
        <f t="shared" si="4"/>
        <v>7.1729509999999994</v>
      </c>
      <c r="Z28" s="432">
        <f t="shared" si="4"/>
        <v>16.133979</v>
      </c>
      <c r="AA28" s="670">
        <f t="shared" si="4"/>
        <v>1846.0740000000001</v>
      </c>
      <c r="AB28" s="432">
        <f t="shared" si="5"/>
        <v>257.36604083870083</v>
      </c>
      <c r="AC28" s="670">
        <f t="shared" si="2"/>
        <v>55.541339182355443</v>
      </c>
      <c r="AD28" s="806">
        <v>31</v>
      </c>
      <c r="AE28" s="432">
        <f t="shared" si="6"/>
        <v>222.36148099999997</v>
      </c>
      <c r="AF28" s="669"/>
    </row>
    <row r="29" spans="1:32" ht="18.75" customHeight="1" x14ac:dyDescent="0.2">
      <c r="A29" s="806">
        <v>16</v>
      </c>
      <c r="B29" s="461" t="s">
        <v>37</v>
      </c>
      <c r="C29" s="806" t="s">
        <v>46</v>
      </c>
      <c r="D29" s="806">
        <v>670</v>
      </c>
      <c r="E29" s="806" t="s">
        <v>81</v>
      </c>
      <c r="F29" s="806">
        <v>177.8</v>
      </c>
      <c r="G29" s="806" t="s">
        <v>28</v>
      </c>
      <c r="H29" s="806" t="s">
        <v>48</v>
      </c>
      <c r="I29" s="801">
        <v>570.95000000000005</v>
      </c>
      <c r="J29" s="806">
        <v>95</v>
      </c>
      <c r="K29" s="806"/>
      <c r="L29" s="806">
        <v>448</v>
      </c>
      <c r="M29" s="806"/>
      <c r="N29" s="806">
        <v>6.4</v>
      </c>
      <c r="O29" s="806"/>
      <c r="P29" s="668">
        <v>19.099343680300979</v>
      </c>
      <c r="Q29" s="668">
        <f t="shared" si="3"/>
        <v>12.35</v>
      </c>
      <c r="R29" s="432">
        <v>2.8620000000000001</v>
      </c>
      <c r="S29" s="432">
        <v>5.9409999999999998</v>
      </c>
      <c r="T29" s="670">
        <v>18.875</v>
      </c>
      <c r="U29" s="668">
        <f t="shared" si="0"/>
        <v>6.5950384346610758</v>
      </c>
      <c r="V29" s="668">
        <f t="shared" si="7"/>
        <v>51.826291870055542</v>
      </c>
      <c r="W29" s="668">
        <v>0.2</v>
      </c>
      <c r="X29" s="432">
        <f t="shared" si="1"/>
        <v>0.48105263157894734</v>
      </c>
      <c r="Y29" s="432">
        <f t="shared" si="4"/>
        <v>2.8133460000000001</v>
      </c>
      <c r="Z29" s="432">
        <f t="shared" si="4"/>
        <v>5.8400029999999994</v>
      </c>
      <c r="AA29" s="670">
        <f t="shared" si="4"/>
        <v>18.554124999999999</v>
      </c>
      <c r="AB29" s="432">
        <f t="shared" si="5"/>
        <v>6.5950384346610758</v>
      </c>
      <c r="AC29" s="670">
        <f t="shared" si="2"/>
        <v>51.826291870055542</v>
      </c>
      <c r="AD29" s="806">
        <v>31</v>
      </c>
      <c r="AE29" s="432">
        <f>Y29*AD29</f>
        <v>87.213726000000008</v>
      </c>
      <c r="AF29" s="449"/>
    </row>
    <row r="30" spans="1:32" ht="18.75" customHeight="1" x14ac:dyDescent="0.2">
      <c r="A30" s="806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320</v>
      </c>
      <c r="K30" s="461"/>
      <c r="L30" s="461">
        <v>503</v>
      </c>
      <c r="M30" s="461"/>
      <c r="N30" s="461">
        <v>11.2</v>
      </c>
      <c r="O30" s="461"/>
      <c r="P30" s="671">
        <v>16.420174048500286</v>
      </c>
      <c r="Q30" s="668">
        <f>J30*33/100</f>
        <v>105.6</v>
      </c>
      <c r="R30" s="672">
        <v>13.007999999999999</v>
      </c>
      <c r="S30" s="432">
        <v>16.056999999999999</v>
      </c>
      <c r="T30" s="699">
        <v>245</v>
      </c>
      <c r="U30" s="671">
        <f t="shared" si="0"/>
        <v>18.834563345633459</v>
      </c>
      <c r="V30" s="668">
        <f t="shared" si="7"/>
        <v>18.98860310145108</v>
      </c>
      <c r="W30" s="671">
        <v>0.2</v>
      </c>
      <c r="X30" s="672">
        <f t="shared" si="1"/>
        <v>0.15205492424242423</v>
      </c>
      <c r="Y30" s="432">
        <f t="shared" si="4"/>
        <v>12.786864</v>
      </c>
      <c r="Z30" s="432">
        <f t="shared" si="4"/>
        <v>15.784030999999999</v>
      </c>
      <c r="AA30" s="670">
        <f t="shared" si="4"/>
        <v>240.83500000000001</v>
      </c>
      <c r="AB30" s="672">
        <f t="shared" si="5"/>
        <v>18.834563345633459</v>
      </c>
      <c r="AC30" s="699">
        <f t="shared" si="2"/>
        <v>18.98860310145108</v>
      </c>
      <c r="AD30" s="806">
        <v>31</v>
      </c>
      <c r="AE30" s="672">
        <f>Y30*AD30</f>
        <v>396.39278400000001</v>
      </c>
      <c r="AF30" s="461"/>
    </row>
    <row r="31" spans="1:32" ht="18.75" customHeight="1" x14ac:dyDescent="0.2">
      <c r="A31" s="806">
        <v>18</v>
      </c>
      <c r="B31" s="461" t="s">
        <v>154</v>
      </c>
      <c r="C31" s="461" t="s">
        <v>46</v>
      </c>
      <c r="D31" s="443">
        <v>644.79999999999995</v>
      </c>
      <c r="E31" s="436" t="s">
        <v>421</v>
      </c>
      <c r="F31" s="806">
        <v>177.8</v>
      </c>
      <c r="G31" s="806" t="s">
        <v>28</v>
      </c>
      <c r="H31" s="241" t="s">
        <v>364</v>
      </c>
      <c r="I31" s="437">
        <v>565.80999999999995</v>
      </c>
      <c r="J31" s="806">
        <v>245</v>
      </c>
      <c r="K31" s="806"/>
      <c r="L31" s="806">
        <v>493</v>
      </c>
      <c r="M31" s="806"/>
      <c r="N31" s="806">
        <v>11.6</v>
      </c>
      <c r="O31" s="806"/>
      <c r="P31" s="668">
        <v>19.304755076369943</v>
      </c>
      <c r="Q31" s="668">
        <f>J31*13/100</f>
        <v>31.85</v>
      </c>
      <c r="R31" s="432">
        <v>4.8209999999999997</v>
      </c>
      <c r="S31" s="432">
        <v>10.009</v>
      </c>
      <c r="T31" s="670">
        <v>133.5</v>
      </c>
      <c r="U31" s="671">
        <f t="shared" si="0"/>
        <v>27.691350342252647</v>
      </c>
      <c r="V31" s="668">
        <f t="shared" si="7"/>
        <v>51.833349985013491</v>
      </c>
      <c r="W31" s="668">
        <v>0.2</v>
      </c>
      <c r="X31" s="672">
        <f t="shared" si="1"/>
        <v>0.31425431711145996</v>
      </c>
      <c r="Y31" s="432">
        <f t="shared" si="4"/>
        <v>4.7390429999999997</v>
      </c>
      <c r="Z31" s="432">
        <f t="shared" si="4"/>
        <v>9.8388469999999995</v>
      </c>
      <c r="AA31" s="670">
        <f t="shared" si="4"/>
        <v>131.23050000000001</v>
      </c>
      <c r="AB31" s="432">
        <v>0</v>
      </c>
      <c r="AC31" s="699">
        <f t="shared" si="2"/>
        <v>51.833349985013491</v>
      </c>
      <c r="AD31" s="806">
        <v>31</v>
      </c>
      <c r="AE31" s="672">
        <f>Y31*AD31</f>
        <v>146.91033299999998</v>
      </c>
      <c r="AF31" s="669"/>
    </row>
    <row r="32" spans="1:32" ht="18.75" customHeight="1" x14ac:dyDescent="0.2">
      <c r="A32" s="806">
        <v>19</v>
      </c>
      <c r="B32" s="461" t="s">
        <v>38</v>
      </c>
      <c r="C32" s="806" t="s">
        <v>46</v>
      </c>
      <c r="D32" s="668">
        <v>580</v>
      </c>
      <c r="E32" s="806" t="s">
        <v>84</v>
      </c>
      <c r="F32" s="806">
        <v>177.8</v>
      </c>
      <c r="G32" s="806" t="s">
        <v>28</v>
      </c>
      <c r="H32" s="165" t="s">
        <v>379</v>
      </c>
      <c r="I32" s="801">
        <v>563.79</v>
      </c>
      <c r="J32" s="806">
        <v>195</v>
      </c>
      <c r="K32" s="806"/>
      <c r="L32" s="806">
        <v>505</v>
      </c>
      <c r="M32" s="806"/>
      <c r="N32" s="806">
        <v>0</v>
      </c>
      <c r="O32" s="806"/>
      <c r="P32" s="668">
        <v>4.2651119658928724</v>
      </c>
      <c r="Q32" s="668">
        <f>J32*7/100</f>
        <v>13.65</v>
      </c>
      <c r="R32" s="432">
        <v>1.339</v>
      </c>
      <c r="S32" s="432">
        <v>3.3460000000000001</v>
      </c>
      <c r="T32" s="670">
        <v>0</v>
      </c>
      <c r="U32" s="671">
        <f t="shared" si="0"/>
        <v>0</v>
      </c>
      <c r="V32" s="668">
        <f t="shared" si="7"/>
        <v>59.982068141063962</v>
      </c>
      <c r="W32" s="668">
        <v>0.2</v>
      </c>
      <c r="X32" s="672">
        <f t="shared" si="1"/>
        <v>0.24512820512820513</v>
      </c>
      <c r="Y32" s="432">
        <f t="shared" si="4"/>
        <v>1.3162369999999999</v>
      </c>
      <c r="Z32" s="432">
        <f t="shared" si="4"/>
        <v>3.2891180000000002</v>
      </c>
      <c r="AA32" s="670">
        <f t="shared" si="4"/>
        <v>0</v>
      </c>
      <c r="AB32" s="432">
        <f>U32</f>
        <v>0</v>
      </c>
      <c r="AC32" s="699">
        <f t="shared" si="2"/>
        <v>59.982068141063962</v>
      </c>
      <c r="AD32" s="806">
        <v>31</v>
      </c>
      <c r="AE32" s="432">
        <f t="shared" si="6"/>
        <v>40.803346999999995</v>
      </c>
      <c r="AF32" s="669"/>
    </row>
    <row r="33" spans="1:32" ht="18.75" customHeight="1" x14ac:dyDescent="0.2">
      <c r="A33" s="806">
        <v>20</v>
      </c>
      <c r="B33" s="461" t="s">
        <v>39</v>
      </c>
      <c r="C33" s="806" t="s">
        <v>46</v>
      </c>
      <c r="D33" s="806">
        <v>728.6</v>
      </c>
      <c r="E33" s="165" t="s">
        <v>411</v>
      </c>
      <c r="F33" s="806">
        <v>177.8</v>
      </c>
      <c r="G33" s="806" t="s">
        <v>28</v>
      </c>
      <c r="H33" s="165" t="s">
        <v>380</v>
      </c>
      <c r="I33" s="801">
        <v>551.77</v>
      </c>
      <c r="J33" s="806">
        <v>350</v>
      </c>
      <c r="K33" s="806"/>
      <c r="L33" s="806">
        <v>447</v>
      </c>
      <c r="M33" s="806"/>
      <c r="N33" s="806">
        <v>4.2</v>
      </c>
      <c r="O33" s="806"/>
      <c r="P33" s="668">
        <v>15.408027683079888</v>
      </c>
      <c r="Q33" s="668">
        <f>J33*23/100</f>
        <v>80.5</v>
      </c>
      <c r="R33" s="432">
        <v>3.5310000000000001</v>
      </c>
      <c r="S33" s="432">
        <v>10.108000000000001</v>
      </c>
      <c r="T33" s="670">
        <v>196</v>
      </c>
      <c r="U33" s="671">
        <f t="shared" si="0"/>
        <v>55.508354573775129</v>
      </c>
      <c r="V33" s="668">
        <f t="shared" si="7"/>
        <v>65.067273446774834</v>
      </c>
      <c r="W33" s="668">
        <v>0.2</v>
      </c>
      <c r="X33" s="672">
        <f t="shared" si="1"/>
        <v>0.12556521739130436</v>
      </c>
      <c r="Y33" s="432">
        <f t="shared" si="4"/>
        <v>3.4709729999999999</v>
      </c>
      <c r="Z33" s="432">
        <f t="shared" si="4"/>
        <v>9.9361639999999998</v>
      </c>
      <c r="AA33" s="670">
        <f t="shared" si="4"/>
        <v>192.66800000000001</v>
      </c>
      <c r="AB33" s="432">
        <f t="shared" si="5"/>
        <v>55.508354573775129</v>
      </c>
      <c r="AC33" s="699">
        <f t="shared" si="2"/>
        <v>65.067273446774834</v>
      </c>
      <c r="AD33" s="806">
        <v>31</v>
      </c>
      <c r="AE33" s="432">
        <f t="shared" si="6"/>
        <v>107.60016299999999</v>
      </c>
      <c r="AF33" s="669"/>
    </row>
    <row r="34" spans="1:32" ht="18.75" customHeight="1" x14ac:dyDescent="0.2">
      <c r="A34" s="806">
        <v>21</v>
      </c>
      <c r="B34" s="461" t="s">
        <v>40</v>
      </c>
      <c r="C34" s="806" t="s">
        <v>46</v>
      </c>
      <c r="D34" s="806">
        <v>679.7</v>
      </c>
      <c r="E34" s="806" t="s">
        <v>86</v>
      </c>
      <c r="F34" s="806">
        <v>177.8</v>
      </c>
      <c r="G34" s="806" t="s">
        <v>28</v>
      </c>
      <c r="H34" s="165" t="s">
        <v>379</v>
      </c>
      <c r="I34" s="801">
        <v>592.84</v>
      </c>
      <c r="J34" s="806">
        <v>0</v>
      </c>
      <c r="K34" s="806"/>
      <c r="L34" s="806"/>
      <c r="M34" s="806"/>
      <c r="N34" s="806"/>
      <c r="O34" s="806"/>
      <c r="P34" s="668">
        <v>51.60842979702857</v>
      </c>
      <c r="Q34" s="668">
        <f>J34*7/100</f>
        <v>0</v>
      </c>
      <c r="R34" s="432">
        <v>0</v>
      </c>
      <c r="S34" s="432">
        <v>0</v>
      </c>
      <c r="T34" s="670">
        <v>0</v>
      </c>
      <c r="U34" s="668">
        <f>IF(R34=0,0,T34/R34)</f>
        <v>0</v>
      </c>
      <c r="V34" s="668">
        <v>0</v>
      </c>
      <c r="W34" s="668">
        <v>0</v>
      </c>
      <c r="X34" s="672">
        <v>0</v>
      </c>
      <c r="Y34" s="432">
        <f t="shared" si="4"/>
        <v>0</v>
      </c>
      <c r="Z34" s="432">
        <f t="shared" si="4"/>
        <v>0</v>
      </c>
      <c r="AA34" s="670">
        <f t="shared" si="4"/>
        <v>0</v>
      </c>
      <c r="AB34" s="432">
        <f t="shared" si="5"/>
        <v>0</v>
      </c>
      <c r="AC34" s="699">
        <f t="shared" si="2"/>
        <v>0</v>
      </c>
      <c r="AD34" s="806">
        <v>0</v>
      </c>
      <c r="AE34" s="432">
        <f>Y34*AD34</f>
        <v>0</v>
      </c>
      <c r="AF34" s="449" t="s">
        <v>431</v>
      </c>
    </row>
    <row r="35" spans="1:32" ht="18.75" customHeight="1" x14ac:dyDescent="0.2">
      <c r="A35" s="806">
        <v>22</v>
      </c>
      <c r="B35" s="461" t="s">
        <v>41</v>
      </c>
      <c r="C35" s="806" t="s">
        <v>46</v>
      </c>
      <c r="D35" s="806">
        <v>573.70000000000005</v>
      </c>
      <c r="E35" s="806" t="s">
        <v>87</v>
      </c>
      <c r="F35" s="806">
        <v>177.8</v>
      </c>
      <c r="G35" s="806" t="s">
        <v>28</v>
      </c>
      <c r="H35" s="806" t="s">
        <v>52</v>
      </c>
      <c r="I35" s="801">
        <v>554.30999999999995</v>
      </c>
      <c r="J35" s="806">
        <v>320</v>
      </c>
      <c r="K35" s="806"/>
      <c r="L35" s="806">
        <v>472</v>
      </c>
      <c r="M35" s="806"/>
      <c r="N35" s="806">
        <v>6.5</v>
      </c>
      <c r="O35" s="806"/>
      <c r="P35" s="668">
        <v>13.592925773144824</v>
      </c>
      <c r="Q35" s="668">
        <f t="shared" si="3"/>
        <v>70.400000000000006</v>
      </c>
      <c r="R35" s="432">
        <v>10.936</v>
      </c>
      <c r="S35" s="432">
        <v>12.635</v>
      </c>
      <c r="T35" s="670">
        <v>312.60000000000002</v>
      </c>
      <c r="U35" s="668">
        <f t="shared" si="0"/>
        <v>28.584491587417705</v>
      </c>
      <c r="V35" s="668">
        <f t="shared" si="7"/>
        <v>13.446774831816382</v>
      </c>
      <c r="W35" s="668">
        <v>0.3</v>
      </c>
      <c r="X35" s="432">
        <f t="shared" si="1"/>
        <v>0.17947443181818179</v>
      </c>
      <c r="Y35" s="432">
        <f t="shared" si="4"/>
        <v>10.750088</v>
      </c>
      <c r="Z35" s="432">
        <f t="shared" si="4"/>
        <v>12.420204999999999</v>
      </c>
      <c r="AA35" s="670">
        <f t="shared" si="4"/>
        <v>307.28579999999999</v>
      </c>
      <c r="AB35" s="432">
        <v>89.536086956521729</v>
      </c>
      <c r="AC35" s="699">
        <f t="shared" si="2"/>
        <v>13.446774831816382</v>
      </c>
      <c r="AD35" s="806">
        <v>31</v>
      </c>
      <c r="AE35" s="432">
        <f t="shared" si="6"/>
        <v>333.25272799999999</v>
      </c>
      <c r="AF35" s="673"/>
    </row>
    <row r="36" spans="1:32" ht="18.75" customHeight="1" x14ac:dyDescent="0.2">
      <c r="A36" s="806">
        <v>23</v>
      </c>
      <c r="B36" s="461" t="s">
        <v>42</v>
      </c>
      <c r="C36" s="806" t="s">
        <v>46</v>
      </c>
      <c r="D36" s="806">
        <v>583.20000000000005</v>
      </c>
      <c r="E36" s="806" t="s">
        <v>434</v>
      </c>
      <c r="F36" s="806">
        <v>177.8</v>
      </c>
      <c r="G36" s="806" t="s">
        <v>28</v>
      </c>
      <c r="H36" s="806" t="s">
        <v>48</v>
      </c>
      <c r="I36" s="809">
        <v>565.09</v>
      </c>
      <c r="J36" s="806">
        <v>220</v>
      </c>
      <c r="K36" s="806"/>
      <c r="L36" s="806">
        <v>404</v>
      </c>
      <c r="M36" s="806"/>
      <c r="N36" s="806">
        <v>7.7</v>
      </c>
      <c r="O36" s="806"/>
      <c r="P36" s="668">
        <v>23.976205856276238</v>
      </c>
      <c r="Q36" s="668">
        <f t="shared" si="3"/>
        <v>28.6</v>
      </c>
      <c r="R36" s="432">
        <v>4.5629999999999997</v>
      </c>
      <c r="S36" s="432">
        <v>14.055</v>
      </c>
      <c r="T36" s="670">
        <v>0</v>
      </c>
      <c r="U36" s="668">
        <f t="shared" si="0"/>
        <v>0</v>
      </c>
      <c r="V36" s="668">
        <f t="shared" si="7"/>
        <v>67.534685165421564</v>
      </c>
      <c r="W36" s="668">
        <v>0.4</v>
      </c>
      <c r="X36" s="432">
        <f t="shared" si="1"/>
        <v>0.49143356643356639</v>
      </c>
      <c r="Y36" s="432">
        <f t="shared" si="4"/>
        <v>4.4854289999999999</v>
      </c>
      <c r="Z36" s="432">
        <f t="shared" si="4"/>
        <v>13.816065</v>
      </c>
      <c r="AA36" s="670">
        <f t="shared" si="4"/>
        <v>0</v>
      </c>
      <c r="AB36" s="432">
        <f t="shared" si="5"/>
        <v>0</v>
      </c>
      <c r="AC36" s="670">
        <f t="shared" si="2"/>
        <v>67.534685165421564</v>
      </c>
      <c r="AD36" s="806">
        <v>31</v>
      </c>
      <c r="AE36" s="432">
        <f t="shared" si="6"/>
        <v>139.04829899999999</v>
      </c>
      <c r="AF36" s="449"/>
    </row>
    <row r="37" spans="1:32" ht="18.75" customHeight="1" x14ac:dyDescent="0.2">
      <c r="A37" s="806">
        <v>24</v>
      </c>
      <c r="B37" s="461" t="s">
        <v>43</v>
      </c>
      <c r="C37" s="806" t="s">
        <v>46</v>
      </c>
      <c r="D37" s="806">
        <v>682.7</v>
      </c>
      <c r="E37" s="806" t="s">
        <v>435</v>
      </c>
      <c r="F37" s="806">
        <v>177.8</v>
      </c>
      <c r="G37" s="806" t="s">
        <v>28</v>
      </c>
      <c r="H37" s="165" t="s">
        <v>399</v>
      </c>
      <c r="I37" s="446">
        <v>575.91</v>
      </c>
      <c r="J37" s="806">
        <v>200</v>
      </c>
      <c r="K37" s="806"/>
      <c r="L37" s="806">
        <v>306</v>
      </c>
      <c r="M37" s="806"/>
      <c r="N37" s="806">
        <v>6.6</v>
      </c>
      <c r="O37" s="806"/>
      <c r="P37" s="668">
        <v>31.96965498630999</v>
      </c>
      <c r="Q37" s="668">
        <f>J37*13/100</f>
        <v>26</v>
      </c>
      <c r="R37" s="432">
        <v>6.5259999999999998</v>
      </c>
      <c r="S37" s="432">
        <v>27.916</v>
      </c>
      <c r="T37" s="670">
        <v>171</v>
      </c>
      <c r="U37" s="668">
        <f t="shared" si="0"/>
        <v>26.202880784554093</v>
      </c>
      <c r="V37" s="668">
        <f t="shared" si="7"/>
        <v>76.622725318813593</v>
      </c>
      <c r="W37" s="668">
        <v>0.3</v>
      </c>
      <c r="X37" s="432">
        <f t="shared" si="1"/>
        <v>1.0736923076923077</v>
      </c>
      <c r="Y37" s="432">
        <f t="shared" si="4"/>
        <v>6.4150580000000001</v>
      </c>
      <c r="Z37" s="432">
        <f t="shared" si="4"/>
        <v>27.441427999999998</v>
      </c>
      <c r="AA37" s="670">
        <f t="shared" si="4"/>
        <v>168.09299999999999</v>
      </c>
      <c r="AB37" s="432">
        <f t="shared" si="5"/>
        <v>26.202880784554093</v>
      </c>
      <c r="AC37" s="670">
        <f t="shared" si="2"/>
        <v>76.622725318813593</v>
      </c>
      <c r="AD37" s="806">
        <v>31</v>
      </c>
      <c r="AE37" s="432">
        <f t="shared" si="6"/>
        <v>198.86679800000002</v>
      </c>
      <c r="AF37" s="669"/>
    </row>
    <row r="38" spans="1:32" ht="18.75" customHeight="1" x14ac:dyDescent="0.2">
      <c r="A38" s="806">
        <v>25</v>
      </c>
      <c r="B38" s="461" t="s">
        <v>44</v>
      </c>
      <c r="C38" s="806" t="s">
        <v>46</v>
      </c>
      <c r="D38" s="806">
        <v>614.20000000000005</v>
      </c>
      <c r="E38" s="806" t="s">
        <v>90</v>
      </c>
      <c r="F38" s="806">
        <v>177.8</v>
      </c>
      <c r="G38" s="806" t="s">
        <v>28</v>
      </c>
      <c r="H38" s="806" t="s">
        <v>52</v>
      </c>
      <c r="I38" s="446">
        <v>573.37</v>
      </c>
      <c r="J38" s="806">
        <v>270</v>
      </c>
      <c r="K38" s="806"/>
      <c r="L38" s="806">
        <v>224</v>
      </c>
      <c r="M38" s="806"/>
      <c r="N38" s="806">
        <v>4.5</v>
      </c>
      <c r="O38" s="806"/>
      <c r="P38" s="668">
        <v>38.768483972179759</v>
      </c>
      <c r="Q38" s="668">
        <f t="shared" si="3"/>
        <v>59.4</v>
      </c>
      <c r="R38" s="432">
        <v>7.8579999999999997</v>
      </c>
      <c r="S38" s="432">
        <v>45.966000000000001</v>
      </c>
      <c r="T38" s="670">
        <v>143</v>
      </c>
      <c r="U38" s="668">
        <f t="shared" si="0"/>
        <v>18.198014762025963</v>
      </c>
      <c r="V38" s="668">
        <f t="shared" si="7"/>
        <v>82.904755688987521</v>
      </c>
      <c r="W38" s="668">
        <v>0.2</v>
      </c>
      <c r="X38" s="432">
        <f t="shared" si="1"/>
        <v>0.77383838383838388</v>
      </c>
      <c r="Y38" s="432">
        <f t="shared" si="4"/>
        <v>7.7244139999999994</v>
      </c>
      <c r="Z38" s="432">
        <f t="shared" si="4"/>
        <v>45.184578000000002</v>
      </c>
      <c r="AA38" s="670">
        <f t="shared" si="4"/>
        <v>140.56899999999999</v>
      </c>
      <c r="AB38" s="432">
        <f t="shared" si="5"/>
        <v>18.198014762025963</v>
      </c>
      <c r="AC38" s="670">
        <f t="shared" si="2"/>
        <v>82.904755688987521</v>
      </c>
      <c r="AD38" s="806">
        <v>31</v>
      </c>
      <c r="AE38" s="432">
        <f t="shared" si="6"/>
        <v>239.45683399999999</v>
      </c>
      <c r="AF38" s="669"/>
    </row>
    <row r="39" spans="1:32" ht="18.75" customHeight="1" x14ac:dyDescent="0.2">
      <c r="A39" s="806">
        <v>26</v>
      </c>
      <c r="B39" s="461" t="s">
        <v>45</v>
      </c>
      <c r="C39" s="806" t="s">
        <v>46</v>
      </c>
      <c r="D39" s="806">
        <v>636.4</v>
      </c>
      <c r="E39" s="806" t="s">
        <v>91</v>
      </c>
      <c r="F39" s="806">
        <v>177.8</v>
      </c>
      <c r="G39" s="806" t="s">
        <v>28</v>
      </c>
      <c r="H39" s="806" t="s">
        <v>52</v>
      </c>
      <c r="I39" s="801">
        <v>592.95000000000005</v>
      </c>
      <c r="J39" s="806">
        <v>300</v>
      </c>
      <c r="K39" s="806"/>
      <c r="L39" s="806">
        <v>496</v>
      </c>
      <c r="M39" s="806"/>
      <c r="N39" s="806">
        <v>10.199999999999999</v>
      </c>
      <c r="O39" s="806"/>
      <c r="P39" s="668">
        <v>16.888620118938885</v>
      </c>
      <c r="Q39" s="668">
        <f>LEFT(H39,(FIND("K",H39,1)-1))*J39/100</f>
        <v>66</v>
      </c>
      <c r="R39" s="432">
        <v>10.442</v>
      </c>
      <c r="S39" s="432">
        <v>27.044</v>
      </c>
      <c r="T39" s="670">
        <v>294</v>
      </c>
      <c r="U39" s="668">
        <f t="shared" si="0"/>
        <v>28.1555257613484</v>
      </c>
      <c r="V39" s="668">
        <f t="shared" si="7"/>
        <v>61.388847803579353</v>
      </c>
      <c r="W39" s="668">
        <v>0.2</v>
      </c>
      <c r="X39" s="432">
        <f t="shared" si="1"/>
        <v>0.40975757575757576</v>
      </c>
      <c r="Y39" s="432">
        <f t="shared" si="4"/>
        <v>10.264486</v>
      </c>
      <c r="Z39" s="432">
        <f t="shared" si="4"/>
        <v>26.584251999999999</v>
      </c>
      <c r="AA39" s="670">
        <f t="shared" si="4"/>
        <v>289.00200000000001</v>
      </c>
      <c r="AB39" s="432">
        <f t="shared" si="5"/>
        <v>28.1555257613484</v>
      </c>
      <c r="AC39" s="670">
        <f t="shared" si="2"/>
        <v>61.388847803579353</v>
      </c>
      <c r="AD39" s="806">
        <v>31</v>
      </c>
      <c r="AE39" s="432">
        <f t="shared" si="6"/>
        <v>318.19906600000002</v>
      </c>
      <c r="AF39" s="669"/>
    </row>
    <row r="40" spans="1:32" ht="18.75" customHeight="1" x14ac:dyDescent="0.2">
      <c r="A40" s="806">
        <v>27</v>
      </c>
      <c r="B40" s="461" t="s">
        <v>206</v>
      </c>
      <c r="C40" s="806" t="s">
        <v>46</v>
      </c>
      <c r="D40" s="806">
        <v>660.2</v>
      </c>
      <c r="E40" s="806" t="s">
        <v>436</v>
      </c>
      <c r="F40" s="806">
        <v>177.8</v>
      </c>
      <c r="G40" s="806" t="s">
        <v>28</v>
      </c>
      <c r="H40" s="806" t="s">
        <v>212</v>
      </c>
      <c r="I40" s="801">
        <v>547.63</v>
      </c>
      <c r="J40" s="806">
        <v>200</v>
      </c>
      <c r="K40" s="806"/>
      <c r="L40" s="806">
        <v>233</v>
      </c>
      <c r="M40" s="806"/>
      <c r="N40" s="806">
        <v>9.1999999999999993</v>
      </c>
      <c r="O40" s="806"/>
      <c r="P40" s="668">
        <v>40.233004631477698</v>
      </c>
      <c r="Q40" s="668">
        <f t="shared" ref="Q40:Q76" si="8">LEFT(H40,(FIND("K",H40,1)-1))*J40/100</f>
        <v>16</v>
      </c>
      <c r="R40" s="432">
        <v>6.3769999999999998</v>
      </c>
      <c r="S40" s="432">
        <v>12.991</v>
      </c>
      <c r="T40" s="670">
        <v>56</v>
      </c>
      <c r="U40" s="668">
        <f t="shared" si="0"/>
        <v>8.7815587266739854</v>
      </c>
      <c r="V40" s="668">
        <f t="shared" si="7"/>
        <v>50.912169963821107</v>
      </c>
      <c r="W40" s="668">
        <v>0.2</v>
      </c>
      <c r="X40" s="432">
        <f t="shared" si="1"/>
        <v>0.81193749999999998</v>
      </c>
      <c r="Y40" s="432">
        <f t="shared" si="4"/>
        <v>6.2685909999999998</v>
      </c>
      <c r="Z40" s="432">
        <f t="shared" si="4"/>
        <v>12.770152999999999</v>
      </c>
      <c r="AA40" s="670">
        <f t="shared" si="4"/>
        <v>55.048000000000002</v>
      </c>
      <c r="AB40" s="432">
        <f t="shared" si="5"/>
        <v>8.7815587266739854</v>
      </c>
      <c r="AC40" s="670">
        <f t="shared" si="2"/>
        <v>50.912169963821107</v>
      </c>
      <c r="AD40" s="806">
        <v>31</v>
      </c>
      <c r="AE40" s="432">
        <f t="shared" si="6"/>
        <v>194.32632100000001</v>
      </c>
      <c r="AF40" s="669"/>
    </row>
    <row r="41" spans="1:32" ht="18.75" customHeight="1" x14ac:dyDescent="0.2">
      <c r="A41" s="806">
        <v>28</v>
      </c>
      <c r="B41" s="802" t="s">
        <v>161</v>
      </c>
      <c r="C41" s="806" t="s">
        <v>46</v>
      </c>
      <c r="D41" s="801">
        <v>677</v>
      </c>
      <c r="E41" s="806" t="s">
        <v>178</v>
      </c>
      <c r="F41" s="806">
        <v>177.8</v>
      </c>
      <c r="G41" s="806" t="s">
        <v>28</v>
      </c>
      <c r="H41" s="806" t="s">
        <v>52</v>
      </c>
      <c r="I41" s="809">
        <v>571.98</v>
      </c>
      <c r="J41" s="801">
        <v>120</v>
      </c>
      <c r="K41" s="801"/>
      <c r="L41" s="801">
        <v>184</v>
      </c>
      <c r="M41" s="801"/>
      <c r="N41" s="806">
        <v>7</v>
      </c>
      <c r="O41" s="801"/>
      <c r="P41" s="448">
        <v>41.161654809922837</v>
      </c>
      <c r="Q41" s="668">
        <f t="shared" si="8"/>
        <v>26.4</v>
      </c>
      <c r="R41" s="432">
        <v>11.907999999999999</v>
      </c>
      <c r="S41" s="432">
        <v>23.15</v>
      </c>
      <c r="T41" s="492">
        <v>321</v>
      </c>
      <c r="U41" s="668">
        <f t="shared" si="0"/>
        <v>26.956667786362111</v>
      </c>
      <c r="V41" s="668">
        <f t="shared" si="7"/>
        <v>48.561555075593951</v>
      </c>
      <c r="W41" s="668">
        <v>0.2</v>
      </c>
      <c r="X41" s="432">
        <f t="shared" si="1"/>
        <v>0.87689393939393934</v>
      </c>
      <c r="Y41" s="432">
        <f t="shared" si="4"/>
        <v>11.705563999999999</v>
      </c>
      <c r="Z41" s="432">
        <f t="shared" si="4"/>
        <v>22.756449999999997</v>
      </c>
      <c r="AA41" s="670">
        <f t="shared" si="4"/>
        <v>315.54300000000001</v>
      </c>
      <c r="AB41" s="432">
        <f t="shared" si="5"/>
        <v>26.956667786362111</v>
      </c>
      <c r="AC41" s="670">
        <f t="shared" si="2"/>
        <v>48.561555075593951</v>
      </c>
      <c r="AD41" s="806">
        <v>31</v>
      </c>
      <c r="AE41" s="432">
        <f t="shared" si="6"/>
        <v>362.87248399999999</v>
      </c>
      <c r="AF41" s="449"/>
    </row>
    <row r="42" spans="1:32" ht="18.75" customHeight="1" x14ac:dyDescent="0.2">
      <c r="A42" s="806">
        <v>29</v>
      </c>
      <c r="B42" s="802" t="s">
        <v>162</v>
      </c>
      <c r="C42" s="806" t="s">
        <v>46</v>
      </c>
      <c r="D42" s="801">
        <v>676</v>
      </c>
      <c r="E42" s="806" t="s">
        <v>437</v>
      </c>
      <c r="F42" s="806">
        <v>177.8</v>
      </c>
      <c r="G42" s="806" t="s">
        <v>28</v>
      </c>
      <c r="H42" s="806" t="s">
        <v>50</v>
      </c>
      <c r="I42" s="801">
        <v>549.20000000000005</v>
      </c>
      <c r="J42" s="801">
        <v>150</v>
      </c>
      <c r="K42" s="801"/>
      <c r="L42" s="806">
        <v>425</v>
      </c>
      <c r="M42" s="801"/>
      <c r="N42" s="806">
        <v>3.2</v>
      </c>
      <c r="O42" s="801"/>
      <c r="P42" s="448">
        <v>9.7871437029343973</v>
      </c>
      <c r="Q42" s="668">
        <f t="shared" si="8"/>
        <v>9</v>
      </c>
      <c r="R42" s="432">
        <v>1.343</v>
      </c>
      <c r="S42" s="432">
        <v>2.536</v>
      </c>
      <c r="T42" s="492">
        <v>6.75</v>
      </c>
      <c r="U42" s="668">
        <f t="shared" si="0"/>
        <v>5.0260610573343261</v>
      </c>
      <c r="V42" s="668">
        <f t="shared" si="7"/>
        <v>47.042586750788644</v>
      </c>
      <c r="W42" s="668">
        <v>0.2</v>
      </c>
      <c r="X42" s="432">
        <f t="shared" si="1"/>
        <v>0.28177777777777779</v>
      </c>
      <c r="Y42" s="432">
        <f t="shared" si="4"/>
        <v>1.3201689999999999</v>
      </c>
      <c r="Z42" s="432">
        <f t="shared" si="4"/>
        <v>2.4928880000000002</v>
      </c>
      <c r="AA42" s="670">
        <f t="shared" si="4"/>
        <v>6.6352500000000001</v>
      </c>
      <c r="AB42" s="432">
        <f t="shared" si="5"/>
        <v>5.0260610573343261</v>
      </c>
      <c r="AC42" s="670">
        <f t="shared" si="2"/>
        <v>47.042586750788644</v>
      </c>
      <c r="AD42" s="806">
        <v>31</v>
      </c>
      <c r="AE42" s="432">
        <f t="shared" si="6"/>
        <v>40.925238999999998</v>
      </c>
      <c r="AF42" s="449"/>
    </row>
    <row r="43" spans="1:32" ht="18.75" customHeight="1" x14ac:dyDescent="0.2">
      <c r="A43" s="806">
        <v>30</v>
      </c>
      <c r="B43" s="802" t="s">
        <v>163</v>
      </c>
      <c r="C43" s="806" t="s">
        <v>46</v>
      </c>
      <c r="D43" s="801">
        <v>597</v>
      </c>
      <c r="E43" s="806" t="s">
        <v>443</v>
      </c>
      <c r="F43" s="806">
        <v>177.8</v>
      </c>
      <c r="G43" s="806" t="s">
        <v>28</v>
      </c>
      <c r="H43" s="810" t="s">
        <v>48</v>
      </c>
      <c r="I43" s="809">
        <v>555.89</v>
      </c>
      <c r="J43" s="801">
        <v>135</v>
      </c>
      <c r="K43" s="801"/>
      <c r="L43" s="801">
        <v>397</v>
      </c>
      <c r="M43" s="801"/>
      <c r="N43" s="806">
        <v>5</v>
      </c>
      <c r="O43" s="801"/>
      <c r="P43" s="448">
        <v>24.957022727283441</v>
      </c>
      <c r="Q43" s="668">
        <f t="shared" si="8"/>
        <v>17.55</v>
      </c>
      <c r="R43" s="432">
        <v>6.57</v>
      </c>
      <c r="S43" s="432">
        <v>14.847</v>
      </c>
      <c r="T43" s="492">
        <v>14</v>
      </c>
      <c r="U43" s="668">
        <f>T43/R43</f>
        <v>2.1308980213089801</v>
      </c>
      <c r="V43" s="668">
        <f t="shared" si="7"/>
        <v>55.7486360880986</v>
      </c>
      <c r="W43" s="668">
        <v>0.4</v>
      </c>
      <c r="X43" s="432">
        <f t="shared" si="1"/>
        <v>0.84598290598290593</v>
      </c>
      <c r="Y43" s="432">
        <f t="shared" si="4"/>
        <v>6.45831</v>
      </c>
      <c r="Z43" s="432">
        <f t="shared" si="4"/>
        <v>14.594600999999999</v>
      </c>
      <c r="AA43" s="670">
        <f t="shared" si="4"/>
        <v>13.762</v>
      </c>
      <c r="AB43" s="432">
        <f t="shared" si="5"/>
        <v>2.1308980213089801</v>
      </c>
      <c r="AC43" s="670">
        <f t="shared" si="2"/>
        <v>55.7486360880986</v>
      </c>
      <c r="AD43" s="806">
        <v>31</v>
      </c>
      <c r="AE43" s="432">
        <f t="shared" si="6"/>
        <v>200.20760999999999</v>
      </c>
      <c r="AF43" s="449"/>
    </row>
    <row r="44" spans="1:32" ht="18.75" customHeight="1" x14ac:dyDescent="0.2">
      <c r="A44" s="806">
        <v>31</v>
      </c>
      <c r="B44" s="461" t="s">
        <v>59</v>
      </c>
      <c r="C44" s="806" t="s">
        <v>46</v>
      </c>
      <c r="D44" s="806">
        <v>643</v>
      </c>
      <c r="E44" s="806" t="s">
        <v>94</v>
      </c>
      <c r="F44" s="806">
        <v>177.8</v>
      </c>
      <c r="G44" s="806" t="s">
        <v>28</v>
      </c>
      <c r="H44" s="806" t="s">
        <v>48</v>
      </c>
      <c r="I44" s="801">
        <v>540.79999999999995</v>
      </c>
      <c r="J44" s="806">
        <v>260</v>
      </c>
      <c r="K44" s="806"/>
      <c r="L44" s="806">
        <v>385</v>
      </c>
      <c r="M44" s="806"/>
      <c r="N44" s="806">
        <v>0.3</v>
      </c>
      <c r="O44" s="806"/>
      <c r="P44" s="668">
        <v>16.754809382448155</v>
      </c>
      <c r="Q44" s="668">
        <f t="shared" si="8"/>
        <v>33.799999999999997</v>
      </c>
      <c r="R44" s="432">
        <v>1.7130000000000001</v>
      </c>
      <c r="S44" s="432">
        <v>2.7069999999999999</v>
      </c>
      <c r="T44" s="670">
        <v>1.375</v>
      </c>
      <c r="U44" s="668">
        <f t="shared" si="0"/>
        <v>0.80268534734384123</v>
      </c>
      <c r="V44" s="668">
        <f t="shared" si="7"/>
        <v>36.719615810860724</v>
      </c>
      <c r="W44" s="668">
        <v>0.2</v>
      </c>
      <c r="X44" s="432">
        <f t="shared" si="1"/>
        <v>8.0088757396449703E-2</v>
      </c>
      <c r="Y44" s="432">
        <f t="shared" si="4"/>
        <v>1.6838790000000001</v>
      </c>
      <c r="Z44" s="432">
        <f t="shared" si="4"/>
        <v>2.6609809999999996</v>
      </c>
      <c r="AA44" s="670">
        <f t="shared" si="4"/>
        <v>1.3516250000000001</v>
      </c>
      <c r="AB44" s="432">
        <f>U44</f>
        <v>0.80268534734384123</v>
      </c>
      <c r="AC44" s="670">
        <f t="shared" si="2"/>
        <v>36.719615810860724</v>
      </c>
      <c r="AD44" s="806">
        <v>31</v>
      </c>
      <c r="AE44" s="432">
        <f t="shared" si="6"/>
        <v>52.200249000000007</v>
      </c>
      <c r="AF44" s="449"/>
    </row>
    <row r="45" spans="1:32" ht="18.75" customHeight="1" x14ac:dyDescent="0.2">
      <c r="A45" s="806">
        <v>32</v>
      </c>
      <c r="B45" s="461" t="s">
        <v>207</v>
      </c>
      <c r="C45" s="806" t="s">
        <v>46</v>
      </c>
      <c r="D45" s="806">
        <v>673</v>
      </c>
      <c r="E45" s="806" t="s">
        <v>420</v>
      </c>
      <c r="F45" s="806">
        <v>177.8</v>
      </c>
      <c r="G45" s="806" t="s">
        <v>28</v>
      </c>
      <c r="H45" s="806" t="s">
        <v>50</v>
      </c>
      <c r="I45" s="801">
        <v>564.41999999999996</v>
      </c>
      <c r="J45" s="806">
        <v>215</v>
      </c>
      <c r="K45" s="806"/>
      <c r="L45" s="806">
        <v>220</v>
      </c>
      <c r="M45" s="806"/>
      <c r="N45" s="668">
        <v>0.3</v>
      </c>
      <c r="O45" s="806"/>
      <c r="P45" s="668">
        <v>34.505748231605651</v>
      </c>
      <c r="Q45" s="668">
        <f t="shared" si="8"/>
        <v>12.9</v>
      </c>
      <c r="R45" s="432">
        <v>3.2160000000000002</v>
      </c>
      <c r="S45" s="432">
        <v>9.5129999999999999</v>
      </c>
      <c r="T45" s="670">
        <v>0.5</v>
      </c>
      <c r="U45" s="668">
        <f t="shared" si="0"/>
        <v>0.15547263681592038</v>
      </c>
      <c r="V45" s="668">
        <f t="shared" si="7"/>
        <v>66.193629769788714</v>
      </c>
      <c r="W45" s="668">
        <v>0.3</v>
      </c>
      <c r="X45" s="432">
        <f t="shared" si="1"/>
        <v>0.73744186046511628</v>
      </c>
      <c r="Y45" s="432">
        <f t="shared" si="4"/>
        <v>3.1613280000000001</v>
      </c>
      <c r="Z45" s="432">
        <f t="shared" si="4"/>
        <v>9.3512789999999999</v>
      </c>
      <c r="AA45" s="670">
        <f t="shared" si="4"/>
        <v>0.49149999999999999</v>
      </c>
      <c r="AB45" s="432">
        <f>U45</f>
        <v>0.15547263681592038</v>
      </c>
      <c r="AC45" s="670">
        <f t="shared" si="2"/>
        <v>66.193629769788714</v>
      </c>
      <c r="AD45" s="806">
        <v>31</v>
      </c>
      <c r="AE45" s="432">
        <f t="shared" si="6"/>
        <v>98.001168000000007</v>
      </c>
      <c r="AF45" s="449"/>
    </row>
    <row r="46" spans="1:32" ht="18.75" customHeight="1" x14ac:dyDescent="0.2">
      <c r="A46" s="806">
        <v>33</v>
      </c>
      <c r="B46" s="461" t="s">
        <v>196</v>
      </c>
      <c r="C46" s="806" t="s">
        <v>304</v>
      </c>
      <c r="D46" s="806">
        <v>641</v>
      </c>
      <c r="E46" s="806" t="s">
        <v>296</v>
      </c>
      <c r="F46" s="806">
        <v>177.8</v>
      </c>
      <c r="G46" s="806" t="s">
        <v>28</v>
      </c>
      <c r="H46" s="806" t="s">
        <v>50</v>
      </c>
      <c r="I46" s="801">
        <v>611.92999999999995</v>
      </c>
      <c r="J46" s="806">
        <v>0</v>
      </c>
      <c r="K46" s="806">
        <v>496</v>
      </c>
      <c r="M46" s="668">
        <v>0.3</v>
      </c>
      <c r="O46" s="806"/>
      <c r="P46" s="668"/>
      <c r="Q46" s="668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806">
        <v>0</v>
      </c>
      <c r="AE46" s="432">
        <f t="shared" si="6"/>
        <v>0</v>
      </c>
      <c r="AF46" s="449" t="s">
        <v>335</v>
      </c>
    </row>
    <row r="47" spans="1:32" ht="18.75" customHeight="1" x14ac:dyDescent="0.2">
      <c r="A47" s="806">
        <v>34</v>
      </c>
      <c r="B47" s="461" t="s">
        <v>60</v>
      </c>
      <c r="C47" s="806" t="s">
        <v>46</v>
      </c>
      <c r="D47" s="806">
        <v>638.9</v>
      </c>
      <c r="E47" s="806" t="s">
        <v>95</v>
      </c>
      <c r="F47" s="806">
        <v>177.8</v>
      </c>
      <c r="G47" s="806" t="s">
        <v>28</v>
      </c>
      <c r="H47" s="806" t="s">
        <v>48</v>
      </c>
      <c r="I47" s="801">
        <v>546.64</v>
      </c>
      <c r="J47" s="806">
        <v>120</v>
      </c>
      <c r="K47" s="806"/>
      <c r="L47" s="806">
        <v>462</v>
      </c>
      <c r="M47" s="806"/>
      <c r="N47" s="806">
        <v>7.9</v>
      </c>
      <c r="O47" s="806"/>
      <c r="P47" s="668">
        <v>16.673833201186735</v>
      </c>
      <c r="Q47" s="668">
        <f t="shared" si="8"/>
        <v>15.6</v>
      </c>
      <c r="R47" s="432">
        <v>3.327</v>
      </c>
      <c r="S47" s="432">
        <v>6.5510000000000002</v>
      </c>
      <c r="T47" s="670">
        <v>23.6</v>
      </c>
      <c r="U47" s="668">
        <f t="shared" si="0"/>
        <v>7.0934776074541634</v>
      </c>
      <c r="V47" s="668">
        <f t="shared" si="7"/>
        <v>49.213860479316132</v>
      </c>
      <c r="W47" s="668">
        <v>0.2</v>
      </c>
      <c r="X47" s="432">
        <f t="shared" si="1"/>
        <v>0.41993589743589743</v>
      </c>
      <c r="Y47" s="432">
        <f t="shared" si="4"/>
        <v>3.2704409999999999</v>
      </c>
      <c r="Z47" s="432">
        <f t="shared" si="4"/>
        <v>6.4396329999999997</v>
      </c>
      <c r="AA47" s="670">
        <f t="shared" si="4"/>
        <v>23.198800000000002</v>
      </c>
      <c r="AB47" s="432">
        <f t="shared" si="5"/>
        <v>7.0934776074541634</v>
      </c>
      <c r="AC47" s="670">
        <f t="shared" si="2"/>
        <v>49.213860479316132</v>
      </c>
      <c r="AD47" s="806">
        <v>31</v>
      </c>
      <c r="AE47" s="432">
        <f t="shared" si="6"/>
        <v>101.38367099999999</v>
      </c>
      <c r="AF47" s="449"/>
    </row>
    <row r="48" spans="1:32" ht="18.75" customHeight="1" x14ac:dyDescent="0.2">
      <c r="A48" s="806">
        <v>35</v>
      </c>
      <c r="B48" s="461" t="s">
        <v>119</v>
      </c>
      <c r="C48" s="806" t="s">
        <v>427</v>
      </c>
      <c r="D48" s="806">
        <v>654.07000000000005</v>
      </c>
      <c r="E48" s="806" t="s">
        <v>410</v>
      </c>
      <c r="F48" s="806">
        <v>177.8</v>
      </c>
      <c r="G48" s="806" t="s">
        <v>28</v>
      </c>
      <c r="H48" s="165" t="s">
        <v>399</v>
      </c>
      <c r="I48" s="801">
        <v>521.47</v>
      </c>
      <c r="J48" s="806">
        <v>0</v>
      </c>
      <c r="K48" s="806"/>
      <c r="L48" s="806">
        <v>478</v>
      </c>
      <c r="M48" s="806"/>
      <c r="N48" s="806">
        <v>0</v>
      </c>
      <c r="O48" s="806"/>
      <c r="P48" s="668">
        <v>0</v>
      </c>
      <c r="Q48" s="668">
        <f>J48*13/100</f>
        <v>0</v>
      </c>
      <c r="R48" s="432">
        <v>0</v>
      </c>
      <c r="S48" s="432">
        <v>0</v>
      </c>
      <c r="T48" s="670">
        <v>0</v>
      </c>
      <c r="U48" s="668">
        <v>0</v>
      </c>
      <c r="V48" s="668">
        <v>0</v>
      </c>
      <c r="W48" s="668">
        <v>0</v>
      </c>
      <c r="X48" s="432">
        <v>0</v>
      </c>
      <c r="Y48" s="432">
        <f t="shared" si="4"/>
        <v>0</v>
      </c>
      <c r="Z48" s="432">
        <f t="shared" si="4"/>
        <v>0</v>
      </c>
      <c r="AA48" s="670">
        <f t="shared" si="4"/>
        <v>0</v>
      </c>
      <c r="AB48" s="432">
        <f t="shared" si="5"/>
        <v>0</v>
      </c>
      <c r="AC48" s="670">
        <f t="shared" si="2"/>
        <v>0</v>
      </c>
      <c r="AD48" s="806">
        <v>0</v>
      </c>
      <c r="AE48" s="432">
        <f t="shared" si="6"/>
        <v>0</v>
      </c>
      <c r="AF48" s="449" t="s">
        <v>432</v>
      </c>
    </row>
    <row r="49" spans="1:32" ht="18.75" customHeight="1" x14ac:dyDescent="0.2">
      <c r="A49" s="806">
        <v>36</v>
      </c>
      <c r="B49" s="461" t="s">
        <v>118</v>
      </c>
      <c r="C49" s="806" t="s">
        <v>408</v>
      </c>
      <c r="D49" s="806">
        <v>728.77</v>
      </c>
      <c r="E49" s="806" t="s">
        <v>442</v>
      </c>
      <c r="F49" s="806">
        <v>177.8</v>
      </c>
      <c r="G49" s="806" t="s">
        <v>28</v>
      </c>
      <c r="H49" s="806" t="s">
        <v>52</v>
      </c>
      <c r="I49" s="801">
        <v>523.04999999999995</v>
      </c>
      <c r="J49" s="806">
        <v>100</v>
      </c>
      <c r="K49" s="806"/>
      <c r="L49" s="806">
        <v>250</v>
      </c>
      <c r="M49" s="806"/>
      <c r="N49" s="806">
        <v>0</v>
      </c>
      <c r="O49" s="806"/>
      <c r="P49" s="668">
        <v>27.521597645493063</v>
      </c>
      <c r="Q49" s="668">
        <f t="shared" si="8"/>
        <v>22</v>
      </c>
      <c r="R49" s="432">
        <v>0</v>
      </c>
      <c r="S49" s="432">
        <v>0</v>
      </c>
      <c r="T49" s="670">
        <v>0</v>
      </c>
      <c r="U49" s="668">
        <v>0</v>
      </c>
      <c r="V49" s="668">
        <v>0</v>
      </c>
      <c r="W49" s="668">
        <v>0</v>
      </c>
      <c r="X49" s="432"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2"/>
        <v>0</v>
      </c>
      <c r="AD49" s="806">
        <v>0</v>
      </c>
      <c r="AE49" s="432">
        <f t="shared" si="6"/>
        <v>0</v>
      </c>
      <c r="AF49" s="449"/>
    </row>
    <row r="50" spans="1:32" ht="18.75" customHeight="1" x14ac:dyDescent="0.2">
      <c r="A50" s="806">
        <v>37</v>
      </c>
      <c r="B50" s="461" t="s">
        <v>117</v>
      </c>
      <c r="C50" s="806" t="s">
        <v>46</v>
      </c>
      <c r="D50" s="806">
        <v>671.45</v>
      </c>
      <c r="E50" s="806" t="s">
        <v>128</v>
      </c>
      <c r="F50" s="806">
        <v>177.8</v>
      </c>
      <c r="G50" s="806" t="s">
        <v>28</v>
      </c>
      <c r="H50" s="806" t="s">
        <v>187</v>
      </c>
      <c r="I50" s="801">
        <v>559.39</v>
      </c>
      <c r="J50" s="806">
        <v>275</v>
      </c>
      <c r="K50" s="806"/>
      <c r="L50" s="806">
        <v>306</v>
      </c>
      <c r="M50" s="806"/>
      <c r="N50" s="806">
        <v>2.8</v>
      </c>
      <c r="O50" s="806"/>
      <c r="P50" s="668">
        <v>28.606076238418733</v>
      </c>
      <c r="Q50" s="668">
        <f t="shared" si="8"/>
        <v>16.5</v>
      </c>
      <c r="R50" s="432">
        <v>1.6339999999999999</v>
      </c>
      <c r="S50" s="432">
        <v>5.319</v>
      </c>
      <c r="T50" s="670">
        <v>7</v>
      </c>
      <c r="U50" s="668">
        <f t="shared" ref="U50:U56" si="9">T50/R50</f>
        <v>4.2839657282741737</v>
      </c>
      <c r="V50" s="668">
        <f t="shared" si="7"/>
        <v>69.279939838315471</v>
      </c>
      <c r="W50" s="668">
        <v>0.2</v>
      </c>
      <c r="X50" s="432">
        <f t="shared" ref="X50:X77" si="10">S50/Q50</f>
        <v>0.32236363636363635</v>
      </c>
      <c r="Y50" s="432">
        <f t="shared" si="4"/>
        <v>1.6062219999999998</v>
      </c>
      <c r="Z50" s="432">
        <f t="shared" si="4"/>
        <v>5.2285769999999996</v>
      </c>
      <c r="AA50" s="670">
        <f t="shared" si="4"/>
        <v>6.8810000000000002</v>
      </c>
      <c r="AB50" s="432">
        <f t="shared" si="5"/>
        <v>4.2839657282741737</v>
      </c>
      <c r="AC50" s="670">
        <f t="shared" si="2"/>
        <v>69.279939838315471</v>
      </c>
      <c r="AD50" s="806">
        <v>31</v>
      </c>
      <c r="AE50" s="432">
        <f t="shared" si="6"/>
        <v>49.792881999999992</v>
      </c>
      <c r="AF50" s="669"/>
    </row>
    <row r="51" spans="1:32" ht="18.75" customHeight="1" x14ac:dyDescent="0.2">
      <c r="A51" s="806">
        <v>38</v>
      </c>
      <c r="B51" s="461" t="s">
        <v>130</v>
      </c>
      <c r="C51" s="806" t="s">
        <v>46</v>
      </c>
      <c r="D51" s="806">
        <v>622.6</v>
      </c>
      <c r="E51" s="806" t="s">
        <v>134</v>
      </c>
      <c r="F51" s="806">
        <v>177.8</v>
      </c>
      <c r="G51" s="806" t="s">
        <v>28</v>
      </c>
      <c r="H51" s="806" t="s">
        <v>48</v>
      </c>
      <c r="I51" s="801">
        <v>551.79999999999995</v>
      </c>
      <c r="J51" s="806">
        <v>185</v>
      </c>
      <c r="K51" s="806"/>
      <c r="L51" s="806">
        <v>85</v>
      </c>
      <c r="M51" s="806"/>
      <c r="N51" s="806">
        <v>2.7</v>
      </c>
      <c r="O51" s="806"/>
      <c r="P51" s="668">
        <v>50.255709045439282</v>
      </c>
      <c r="Q51" s="668">
        <f t="shared" si="8"/>
        <v>24.05</v>
      </c>
      <c r="R51" s="432">
        <v>1.202</v>
      </c>
      <c r="S51" s="432">
        <v>15.32</v>
      </c>
      <c r="T51" s="670">
        <v>1.5</v>
      </c>
      <c r="U51" s="668">
        <f t="shared" si="9"/>
        <v>1.2479201331114809</v>
      </c>
      <c r="V51" s="668">
        <f t="shared" si="7"/>
        <v>92.154046997389045</v>
      </c>
      <c r="W51" s="668">
        <v>0.1</v>
      </c>
      <c r="X51" s="432">
        <f t="shared" si="10"/>
        <v>0.63700623700623704</v>
      </c>
      <c r="Y51" s="432">
        <f t="shared" si="4"/>
        <v>1.1815659999999999</v>
      </c>
      <c r="Z51" s="432">
        <f t="shared" si="4"/>
        <v>15.059559999999999</v>
      </c>
      <c r="AA51" s="670">
        <f t="shared" si="4"/>
        <v>1.4744999999999999</v>
      </c>
      <c r="AB51" s="432">
        <f t="shared" si="5"/>
        <v>1.2479201331114809</v>
      </c>
      <c r="AC51" s="670">
        <f t="shared" si="2"/>
        <v>92.154046997389045</v>
      </c>
      <c r="AD51" s="806">
        <v>31</v>
      </c>
      <c r="AE51" s="432">
        <f t="shared" si="6"/>
        <v>36.628546</v>
      </c>
      <c r="AF51" s="669"/>
    </row>
    <row r="52" spans="1:32" ht="18.75" customHeight="1" x14ac:dyDescent="0.2">
      <c r="A52" s="806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806">
        <v>177.8</v>
      </c>
      <c r="G52" s="452" t="s">
        <v>28</v>
      </c>
      <c r="H52" s="655" t="s">
        <v>363</v>
      </c>
      <c r="I52" s="453">
        <v>565.65</v>
      </c>
      <c r="J52" s="452">
        <v>160</v>
      </c>
      <c r="K52" s="452"/>
      <c r="L52" s="452">
        <v>444</v>
      </c>
      <c r="M52" s="452"/>
      <c r="N52" s="806">
        <v>3.1</v>
      </c>
      <c r="O52" s="452"/>
      <c r="P52" s="675">
        <v>15.083211596280497</v>
      </c>
      <c r="Q52" s="668">
        <f>J52*7/100</f>
        <v>11.2</v>
      </c>
      <c r="R52" s="456">
        <v>2.4209999999999998</v>
      </c>
      <c r="S52" s="432">
        <v>2.5529999999999999</v>
      </c>
      <c r="T52" s="700">
        <v>0</v>
      </c>
      <c r="U52" s="668">
        <f t="shared" si="9"/>
        <v>0</v>
      </c>
      <c r="V52" s="668">
        <f t="shared" si="7"/>
        <v>5.1703877790834358</v>
      </c>
      <c r="W52" s="675">
        <v>0.2</v>
      </c>
      <c r="X52" s="432">
        <f t="shared" si="10"/>
        <v>0.22794642857142858</v>
      </c>
      <c r="Y52" s="432">
        <f t="shared" si="4"/>
        <v>2.3798429999999997</v>
      </c>
      <c r="Z52" s="432">
        <f t="shared" si="4"/>
        <v>2.5095989999999997</v>
      </c>
      <c r="AA52" s="670">
        <f t="shared" si="4"/>
        <v>0</v>
      </c>
      <c r="AB52" s="456">
        <f t="shared" si="5"/>
        <v>0</v>
      </c>
      <c r="AC52" s="670">
        <f t="shared" si="2"/>
        <v>5.1703877790834358</v>
      </c>
      <c r="AD52" s="806">
        <v>31</v>
      </c>
      <c r="AE52" s="456">
        <f t="shared" si="6"/>
        <v>73.775132999999997</v>
      </c>
      <c r="AF52" s="449"/>
    </row>
    <row r="53" spans="1:32" ht="18.75" customHeight="1" x14ac:dyDescent="0.2">
      <c r="A53" s="806">
        <v>40</v>
      </c>
      <c r="B53" s="461" t="s">
        <v>116</v>
      </c>
      <c r="C53" s="806" t="s">
        <v>46</v>
      </c>
      <c r="D53" s="806">
        <v>681.27</v>
      </c>
      <c r="E53" s="806" t="s">
        <v>124</v>
      </c>
      <c r="F53" s="806">
        <v>177.8</v>
      </c>
      <c r="G53" s="806" t="s">
        <v>28</v>
      </c>
      <c r="H53" s="806" t="s">
        <v>53</v>
      </c>
      <c r="I53" s="801">
        <v>558.35</v>
      </c>
      <c r="J53" s="806">
        <v>285</v>
      </c>
      <c r="K53" s="806"/>
      <c r="L53" s="806">
        <v>297</v>
      </c>
      <c r="M53" s="806"/>
      <c r="N53" s="806">
        <v>7.7</v>
      </c>
      <c r="O53" s="806"/>
      <c r="P53" s="668">
        <v>33.712112365272681</v>
      </c>
      <c r="Q53" s="675">
        <f t="shared" si="8"/>
        <v>37.049999999999997</v>
      </c>
      <c r="R53" s="432">
        <v>1.621</v>
      </c>
      <c r="S53" s="432">
        <v>3.5649999999999999</v>
      </c>
      <c r="T53" s="670">
        <v>1</v>
      </c>
      <c r="U53" s="668">
        <f t="shared" si="9"/>
        <v>0.61690314620604569</v>
      </c>
      <c r="V53" s="668">
        <f t="shared" si="7"/>
        <v>54.530154277699857</v>
      </c>
      <c r="W53" s="668">
        <v>0.2</v>
      </c>
      <c r="X53" s="432">
        <f t="shared" si="10"/>
        <v>9.622132253711202E-2</v>
      </c>
      <c r="Y53" s="432">
        <f t="shared" si="4"/>
        <v>1.5934429999999999</v>
      </c>
      <c r="Z53" s="432">
        <f t="shared" si="4"/>
        <v>3.5043949999999997</v>
      </c>
      <c r="AA53" s="670">
        <f t="shared" si="4"/>
        <v>0.98299999999999998</v>
      </c>
      <c r="AB53" s="432">
        <f t="shared" si="5"/>
        <v>0.61690314620604569</v>
      </c>
      <c r="AC53" s="670">
        <f t="shared" si="2"/>
        <v>54.530154277699857</v>
      </c>
      <c r="AD53" s="806">
        <v>31</v>
      </c>
      <c r="AE53" s="432">
        <f t="shared" si="6"/>
        <v>49.396732999999998</v>
      </c>
      <c r="AF53" s="449"/>
    </row>
    <row r="54" spans="1:32" ht="18.75" customHeight="1" x14ac:dyDescent="0.2">
      <c r="A54" s="806">
        <v>41</v>
      </c>
      <c r="B54" s="461" t="s">
        <v>120</v>
      </c>
      <c r="C54" s="806" t="s">
        <v>46</v>
      </c>
      <c r="D54" s="806">
        <v>668.57</v>
      </c>
      <c r="E54" s="806" t="s">
        <v>285</v>
      </c>
      <c r="F54" s="806">
        <v>177.8</v>
      </c>
      <c r="G54" s="806" t="s">
        <v>28</v>
      </c>
      <c r="H54" s="806" t="s">
        <v>48</v>
      </c>
      <c r="I54" s="801">
        <v>567.08000000000004</v>
      </c>
      <c r="J54" s="806">
        <v>260</v>
      </c>
      <c r="K54" s="806"/>
      <c r="L54" s="806">
        <v>420</v>
      </c>
      <c r="M54" s="806"/>
      <c r="N54" s="806">
        <v>0</v>
      </c>
      <c r="O54" s="806"/>
      <c r="P54" s="668">
        <v>14.822301296929449</v>
      </c>
      <c r="Q54" s="668">
        <f t="shared" si="8"/>
        <v>33.799999999999997</v>
      </c>
      <c r="R54" s="432">
        <v>3.76</v>
      </c>
      <c r="S54" s="432">
        <v>5.2779999999999996</v>
      </c>
      <c r="T54" s="670">
        <v>0</v>
      </c>
      <c r="U54" s="668">
        <f t="shared" si="9"/>
        <v>0</v>
      </c>
      <c r="V54" s="668">
        <f t="shared" si="7"/>
        <v>28.760894278135655</v>
      </c>
      <c r="W54" s="668">
        <v>0.2</v>
      </c>
      <c r="X54" s="432">
        <f t="shared" si="10"/>
        <v>0.15615384615384614</v>
      </c>
      <c r="Y54" s="432">
        <f t="shared" si="4"/>
        <v>3.6960799999999998</v>
      </c>
      <c r="Z54" s="432">
        <f t="shared" si="4"/>
        <v>5.1882739999999998</v>
      </c>
      <c r="AA54" s="670">
        <f t="shared" si="4"/>
        <v>0</v>
      </c>
      <c r="AB54" s="432">
        <f t="shared" si="5"/>
        <v>0</v>
      </c>
      <c r="AC54" s="670">
        <f t="shared" si="2"/>
        <v>28.760894278135655</v>
      </c>
      <c r="AD54" s="806">
        <v>31</v>
      </c>
      <c r="AE54" s="432">
        <f t="shared" si="6"/>
        <v>114.57848</v>
      </c>
      <c r="AF54" s="669"/>
    </row>
    <row r="55" spans="1:32" ht="18.75" customHeight="1" x14ac:dyDescent="0.2">
      <c r="A55" s="806">
        <v>42</v>
      </c>
      <c r="B55" s="461" t="s">
        <v>114</v>
      </c>
      <c r="C55" s="806" t="s">
        <v>46</v>
      </c>
      <c r="D55" s="806">
        <v>584.25</v>
      </c>
      <c r="E55" s="806" t="s">
        <v>419</v>
      </c>
      <c r="F55" s="806">
        <v>177.8</v>
      </c>
      <c r="G55" s="806" t="s">
        <v>28</v>
      </c>
      <c r="H55" s="165" t="s">
        <v>383</v>
      </c>
      <c r="I55" s="801">
        <v>560.79999999999995</v>
      </c>
      <c r="J55" s="806">
        <v>325</v>
      </c>
      <c r="K55" s="806"/>
      <c r="L55" s="806">
        <v>150</v>
      </c>
      <c r="M55" s="806"/>
      <c r="N55" s="806">
        <v>2</v>
      </c>
      <c r="O55" s="806"/>
      <c r="P55" s="668">
        <v>42.203996739027275</v>
      </c>
      <c r="Q55" s="668">
        <f>J55*3/100</f>
        <v>9.75</v>
      </c>
      <c r="R55" s="432">
        <v>0.48</v>
      </c>
      <c r="S55" s="432">
        <v>0.97399999999999998</v>
      </c>
      <c r="T55" s="670">
        <v>0.5</v>
      </c>
      <c r="U55" s="668">
        <f t="shared" si="9"/>
        <v>1.0416666666666667</v>
      </c>
      <c r="V55" s="668">
        <f t="shared" si="7"/>
        <v>50.718685831622182</v>
      </c>
      <c r="W55" s="668">
        <v>0.2</v>
      </c>
      <c r="X55" s="432">
        <f t="shared" si="10"/>
        <v>9.9897435897435896E-2</v>
      </c>
      <c r="Y55" s="432">
        <v>0</v>
      </c>
      <c r="Z55" s="432">
        <v>0</v>
      </c>
      <c r="AA55" s="670">
        <v>0</v>
      </c>
      <c r="AB55" s="432">
        <v>0</v>
      </c>
      <c r="AC55" s="670">
        <v>0</v>
      </c>
      <c r="AD55" s="806">
        <v>0</v>
      </c>
      <c r="AE55" s="432">
        <f t="shared" si="6"/>
        <v>0</v>
      </c>
      <c r="AF55" s="669" t="s">
        <v>418</v>
      </c>
    </row>
    <row r="56" spans="1:32" ht="18.75" customHeight="1" x14ac:dyDescent="0.2">
      <c r="A56" s="806">
        <v>43</v>
      </c>
      <c r="B56" s="461" t="s">
        <v>106</v>
      </c>
      <c r="C56" s="806" t="s">
        <v>46</v>
      </c>
      <c r="D56" s="806">
        <v>642.52</v>
      </c>
      <c r="E56" s="806" t="s">
        <v>111</v>
      </c>
      <c r="F56" s="806">
        <v>177.8</v>
      </c>
      <c r="G56" s="806" t="s">
        <v>28</v>
      </c>
      <c r="H56" s="806" t="s">
        <v>52</v>
      </c>
      <c r="I56" s="801">
        <v>556.65</v>
      </c>
      <c r="J56" s="806">
        <v>240</v>
      </c>
      <c r="K56" s="806"/>
      <c r="L56" s="806">
        <v>178</v>
      </c>
      <c r="M56" s="806"/>
      <c r="N56" s="806">
        <v>7.1</v>
      </c>
      <c r="O56" s="806"/>
      <c r="P56" s="668">
        <v>45.758015221343747</v>
      </c>
      <c r="Q56" s="668">
        <f t="shared" si="8"/>
        <v>52.8</v>
      </c>
      <c r="R56" s="432">
        <v>1.4650000000000001</v>
      </c>
      <c r="S56" s="432">
        <v>15.641999999999999</v>
      </c>
      <c r="T56" s="670">
        <v>10.199999999999999</v>
      </c>
      <c r="U56" s="668">
        <f t="shared" si="9"/>
        <v>6.9624573378839578</v>
      </c>
      <c r="V56" s="668">
        <f t="shared" si="7"/>
        <v>90.634190001278611</v>
      </c>
      <c r="W56" s="668">
        <v>0.4</v>
      </c>
      <c r="X56" s="432">
        <f t="shared" si="10"/>
        <v>0.29625000000000001</v>
      </c>
      <c r="Y56" s="432">
        <f t="shared" si="4"/>
        <v>1.4400950000000001</v>
      </c>
      <c r="Z56" s="432">
        <f t="shared" si="4"/>
        <v>15.376085999999999</v>
      </c>
      <c r="AA56" s="670">
        <f t="shared" si="4"/>
        <v>10.026599999999998</v>
      </c>
      <c r="AB56" s="432">
        <f t="shared" si="5"/>
        <v>6.9624573378839578</v>
      </c>
      <c r="AC56" s="670">
        <f t="shared" si="2"/>
        <v>90.634190001278611</v>
      </c>
      <c r="AD56" s="806">
        <v>31</v>
      </c>
      <c r="AE56" s="432">
        <f t="shared" si="6"/>
        <v>44.642945000000005</v>
      </c>
      <c r="AF56" s="449"/>
    </row>
    <row r="57" spans="1:32" ht="18.75" customHeight="1" x14ac:dyDescent="0.2">
      <c r="A57" s="806">
        <v>44</v>
      </c>
      <c r="B57" s="461" t="s">
        <v>105</v>
      </c>
      <c r="C57" s="806" t="s">
        <v>46</v>
      </c>
      <c r="D57" s="806">
        <v>609.6</v>
      </c>
      <c r="E57" s="806" t="s">
        <v>110</v>
      </c>
      <c r="F57" s="806">
        <v>177.8</v>
      </c>
      <c r="G57" s="806" t="s">
        <v>28</v>
      </c>
      <c r="H57" s="655" t="s">
        <v>406</v>
      </c>
      <c r="I57" s="801">
        <v>512.69000000000005</v>
      </c>
      <c r="J57" s="806">
        <v>200</v>
      </c>
      <c r="K57" s="806"/>
      <c r="L57" s="806">
        <v>357</v>
      </c>
      <c r="M57" s="806"/>
      <c r="N57" s="806">
        <v>0</v>
      </c>
      <c r="O57" s="806"/>
      <c r="P57" s="668">
        <v>14.881303413443835</v>
      </c>
      <c r="Q57" s="668">
        <f>J57*20/100</f>
        <v>40</v>
      </c>
      <c r="R57" s="432">
        <v>2.1859999999999999</v>
      </c>
      <c r="S57" s="432">
        <v>2.379</v>
      </c>
      <c r="T57" s="670">
        <v>11.25</v>
      </c>
      <c r="U57" s="668">
        <f>IF(R57=0,0,T57/R57)</f>
        <v>5.1463860933211345</v>
      </c>
      <c r="V57" s="668">
        <f t="shared" si="7"/>
        <v>8.1126523749474604</v>
      </c>
      <c r="W57" s="668">
        <v>0.2</v>
      </c>
      <c r="X57" s="432">
        <f t="shared" si="10"/>
        <v>5.9475E-2</v>
      </c>
      <c r="Y57" s="432">
        <f t="shared" si="4"/>
        <v>2.148838</v>
      </c>
      <c r="Z57" s="432">
        <f t="shared" si="4"/>
        <v>2.3385569999999998</v>
      </c>
      <c r="AA57" s="670">
        <f t="shared" si="4"/>
        <v>11.05875</v>
      </c>
      <c r="AB57" s="432">
        <f t="shared" si="5"/>
        <v>5.1463860933211345</v>
      </c>
      <c r="AC57" s="670">
        <f t="shared" si="2"/>
        <v>8.1126523749474604</v>
      </c>
      <c r="AD57" s="806">
        <v>31</v>
      </c>
      <c r="AE57" s="432">
        <f t="shared" si="6"/>
        <v>66.613978000000003</v>
      </c>
      <c r="AF57" s="449"/>
    </row>
    <row r="58" spans="1:32" ht="18.75" customHeight="1" x14ac:dyDescent="0.2">
      <c r="A58" s="806">
        <v>45</v>
      </c>
      <c r="B58" s="461" t="s">
        <v>104</v>
      </c>
      <c r="C58" s="806" t="s">
        <v>381</v>
      </c>
      <c r="D58" s="806">
        <v>707.14</v>
      </c>
      <c r="E58" s="801" t="s">
        <v>382</v>
      </c>
      <c r="F58" s="806">
        <v>177.8</v>
      </c>
      <c r="G58" s="806" t="s">
        <v>28</v>
      </c>
      <c r="H58" s="165" t="s">
        <v>383</v>
      </c>
      <c r="I58" s="801">
        <v>682.43000000000052</v>
      </c>
      <c r="J58" s="806">
        <v>230</v>
      </c>
      <c r="K58" s="806"/>
      <c r="L58" s="806">
        <v>567</v>
      </c>
      <c r="M58" s="806"/>
      <c r="N58" s="806">
        <v>5.6</v>
      </c>
      <c r="O58" s="806"/>
      <c r="P58" s="668">
        <v>14.06053840132174</v>
      </c>
      <c r="Q58" s="668">
        <f>J58*3/100</f>
        <v>6.9</v>
      </c>
      <c r="R58" s="432">
        <v>1.01</v>
      </c>
      <c r="S58" s="432">
        <v>1.2210000000000001</v>
      </c>
      <c r="T58" s="670">
        <v>0.5</v>
      </c>
      <c r="U58" s="668">
        <f>IF(T58=0,0,T58/R58)</f>
        <v>0.49504950495049505</v>
      </c>
      <c r="V58" s="668">
        <f t="shared" si="7"/>
        <v>17.280917280917286</v>
      </c>
      <c r="W58" s="668">
        <v>0.2</v>
      </c>
      <c r="X58" s="432">
        <f t="shared" si="10"/>
        <v>0.17695652173913043</v>
      </c>
      <c r="Y58" s="432">
        <f t="shared" si="4"/>
        <v>0.99282999999999999</v>
      </c>
      <c r="Z58" s="432">
        <f t="shared" si="4"/>
        <v>1.2002430000000002</v>
      </c>
      <c r="AA58" s="670">
        <f t="shared" si="4"/>
        <v>0.49149999999999999</v>
      </c>
      <c r="AB58" s="432">
        <f t="shared" si="5"/>
        <v>0.49504950495049505</v>
      </c>
      <c r="AC58" s="670">
        <f t="shared" si="2"/>
        <v>17.280917280917286</v>
      </c>
      <c r="AD58" s="806">
        <v>31</v>
      </c>
      <c r="AE58" s="432">
        <f t="shared" si="6"/>
        <v>30.777729999999998</v>
      </c>
      <c r="AF58" s="669"/>
    </row>
    <row r="59" spans="1:32" ht="18.75" customHeight="1" x14ac:dyDescent="0.3">
      <c r="A59" s="806">
        <v>46</v>
      </c>
      <c r="B59" s="802" t="s">
        <v>158</v>
      </c>
      <c r="C59" s="806" t="s">
        <v>46</v>
      </c>
      <c r="D59" s="801">
        <v>621.12</v>
      </c>
      <c r="E59" s="801" t="s">
        <v>232</v>
      </c>
      <c r="F59" s="806">
        <v>177.8</v>
      </c>
      <c r="G59" s="806" t="s">
        <v>28</v>
      </c>
      <c r="H59" s="165" t="s">
        <v>403</v>
      </c>
      <c r="I59" s="801">
        <v>544.41999999999996</v>
      </c>
      <c r="J59" s="801">
        <v>175</v>
      </c>
      <c r="K59" s="801"/>
      <c r="L59" s="801">
        <v>456</v>
      </c>
      <c r="M59" s="801"/>
      <c r="N59" s="806">
        <v>8.9</v>
      </c>
      <c r="O59" s="801"/>
      <c r="P59" s="448">
        <v>18.324677972050278</v>
      </c>
      <c r="Q59" s="668">
        <f>J59*23/100</f>
        <v>40.25</v>
      </c>
      <c r="R59" s="432">
        <v>7.64</v>
      </c>
      <c r="S59" s="432">
        <v>10.654</v>
      </c>
      <c r="T59" s="492">
        <v>215.6</v>
      </c>
      <c r="U59" s="668">
        <f t="shared" ref="U59:U65" si="11">T59/R59</f>
        <v>28.219895287958117</v>
      </c>
      <c r="V59" s="668">
        <f t="shared" si="7"/>
        <v>28.2898441899756</v>
      </c>
      <c r="W59" s="668">
        <v>0.2</v>
      </c>
      <c r="X59" s="432">
        <f t="shared" si="10"/>
        <v>0.26469565217391305</v>
      </c>
      <c r="Y59" s="432">
        <f t="shared" si="4"/>
        <v>7.5101199999999997</v>
      </c>
      <c r="Z59" s="432">
        <f t="shared" si="4"/>
        <v>10.472882</v>
      </c>
      <c r="AA59" s="670">
        <f t="shared" si="4"/>
        <v>211.9348</v>
      </c>
      <c r="AB59" s="432">
        <f t="shared" si="5"/>
        <v>28.219895287958117</v>
      </c>
      <c r="AC59" s="670">
        <f t="shared" si="2"/>
        <v>28.2898441899756</v>
      </c>
      <c r="AD59" s="806">
        <v>31</v>
      </c>
      <c r="AE59" s="432">
        <f>Y59*AD59</f>
        <v>232.81371999999999</v>
      </c>
      <c r="AF59" s="458"/>
    </row>
    <row r="60" spans="1:32" ht="18.75" customHeight="1" x14ac:dyDescent="0.2">
      <c r="A60" s="806">
        <v>47</v>
      </c>
      <c r="B60" s="802" t="s">
        <v>160</v>
      </c>
      <c r="C60" s="806" t="s">
        <v>304</v>
      </c>
      <c r="D60" s="801">
        <v>677.33</v>
      </c>
      <c r="E60" s="801" t="s">
        <v>315</v>
      </c>
      <c r="F60" s="806">
        <v>177.8</v>
      </c>
      <c r="G60" s="806" t="s">
        <v>28</v>
      </c>
      <c r="H60" s="810" t="s">
        <v>52</v>
      </c>
      <c r="I60" s="801">
        <v>620.78</v>
      </c>
      <c r="J60" s="801">
        <v>85</v>
      </c>
      <c r="K60" s="801"/>
      <c r="L60" s="806">
        <v>0</v>
      </c>
      <c r="M60" s="801"/>
      <c r="N60" s="806">
        <v>0</v>
      </c>
      <c r="O60" s="801"/>
      <c r="P60" s="448">
        <v>52.482494084160642</v>
      </c>
      <c r="Q60" s="668">
        <f t="shared" si="8"/>
        <v>18.7</v>
      </c>
      <c r="R60" s="432">
        <v>0.72399999999999998</v>
      </c>
      <c r="S60" s="432">
        <v>1.1759999999999999</v>
      </c>
      <c r="T60" s="492">
        <v>5.625</v>
      </c>
      <c r="U60" s="668">
        <f t="shared" si="11"/>
        <v>7.7693370165745863</v>
      </c>
      <c r="V60" s="668">
        <f t="shared" si="7"/>
        <v>38.435374149659864</v>
      </c>
      <c r="W60" s="668">
        <v>0.2</v>
      </c>
      <c r="X60" s="432">
        <f t="shared" si="10"/>
        <v>6.2887700534759353E-2</v>
      </c>
      <c r="Y60" s="432">
        <f t="shared" si="4"/>
        <v>0.71169199999999999</v>
      </c>
      <c r="Z60" s="432">
        <f t="shared" si="4"/>
        <v>1.1560079999999999</v>
      </c>
      <c r="AA60" s="670">
        <f t="shared" si="4"/>
        <v>5.5293749999999999</v>
      </c>
      <c r="AB60" s="432">
        <f t="shared" si="5"/>
        <v>7.7693370165745863</v>
      </c>
      <c r="AC60" s="670">
        <f t="shared" si="2"/>
        <v>38.435374149659864</v>
      </c>
      <c r="AD60" s="806">
        <v>31</v>
      </c>
      <c r="AE60" s="432">
        <f>Y60*AD60</f>
        <v>22.062452</v>
      </c>
      <c r="AF60" s="669"/>
    </row>
    <row r="61" spans="1:32" ht="18.75" customHeight="1" x14ac:dyDescent="0.2">
      <c r="A61" s="806">
        <v>48</v>
      </c>
      <c r="B61" s="461" t="s">
        <v>164</v>
      </c>
      <c r="C61" s="806" t="s">
        <v>46</v>
      </c>
      <c r="D61" s="801">
        <v>678.47</v>
      </c>
      <c r="E61" s="801" t="s">
        <v>233</v>
      </c>
      <c r="F61" s="806">
        <v>177.8</v>
      </c>
      <c r="G61" s="806" t="s">
        <v>28</v>
      </c>
      <c r="H61" s="810" t="s">
        <v>48</v>
      </c>
      <c r="I61" s="801">
        <v>564.64</v>
      </c>
      <c r="J61" s="801">
        <v>210</v>
      </c>
      <c r="K61" s="801"/>
      <c r="L61" s="801">
        <v>417</v>
      </c>
      <c r="M61" s="801"/>
      <c r="N61" s="806">
        <v>0.8</v>
      </c>
      <c r="O61" s="801"/>
      <c r="P61" s="668">
        <v>15.896335442310944</v>
      </c>
      <c r="Q61" s="668">
        <f t="shared" si="8"/>
        <v>27.3</v>
      </c>
      <c r="R61" s="432">
        <v>4.4720000000000004</v>
      </c>
      <c r="S61" s="432">
        <v>5.3789999999999996</v>
      </c>
      <c r="T61" s="670">
        <v>4.5</v>
      </c>
      <c r="U61" s="668">
        <f t="shared" si="11"/>
        <v>1.0062611806797852</v>
      </c>
      <c r="V61" s="668">
        <f t="shared" si="7"/>
        <v>16.86187023610335</v>
      </c>
      <c r="W61" s="668">
        <v>0.4</v>
      </c>
      <c r="X61" s="432">
        <f t="shared" si="10"/>
        <v>0.19703296703296702</v>
      </c>
      <c r="Y61" s="432">
        <f t="shared" si="4"/>
        <v>4.3959760000000001</v>
      </c>
      <c r="Z61" s="432">
        <f t="shared" si="4"/>
        <v>5.2875569999999996</v>
      </c>
      <c r="AA61" s="670">
        <f t="shared" si="4"/>
        <v>4.4234999999999998</v>
      </c>
      <c r="AB61" s="432">
        <f t="shared" si="5"/>
        <v>1.0062611806797852</v>
      </c>
      <c r="AC61" s="670">
        <f t="shared" si="2"/>
        <v>16.86187023610335</v>
      </c>
      <c r="AD61" s="806">
        <v>31</v>
      </c>
      <c r="AE61" s="432">
        <f t="shared" ref="AE61:AE76" si="12">Y61*AD61</f>
        <v>136.27525600000001</v>
      </c>
      <c r="AF61" s="669" t="s">
        <v>418</v>
      </c>
    </row>
    <row r="62" spans="1:32" ht="18.75" customHeight="1" x14ac:dyDescent="0.2">
      <c r="A62" s="806">
        <v>49</v>
      </c>
      <c r="B62" s="461" t="s">
        <v>61</v>
      </c>
      <c r="C62" s="806" t="s">
        <v>46</v>
      </c>
      <c r="D62" s="806">
        <v>667.18</v>
      </c>
      <c r="E62" s="806" t="s">
        <v>96</v>
      </c>
      <c r="F62" s="806">
        <v>177.8</v>
      </c>
      <c r="G62" s="806" t="s">
        <v>28</v>
      </c>
      <c r="H62" s="806" t="s">
        <v>52</v>
      </c>
      <c r="I62" s="801">
        <v>534.21</v>
      </c>
      <c r="J62" s="806">
        <v>200</v>
      </c>
      <c r="K62" s="806"/>
      <c r="L62" s="806">
        <v>448</v>
      </c>
      <c r="M62" s="806"/>
      <c r="N62" s="806">
        <v>6.9</v>
      </c>
      <c r="O62" s="806"/>
      <c r="P62" s="668">
        <v>17.126274817462878</v>
      </c>
      <c r="Q62" s="668">
        <f t="shared" si="8"/>
        <v>44</v>
      </c>
      <c r="R62" s="432">
        <v>8.3789999999999996</v>
      </c>
      <c r="S62" s="432">
        <v>13.601000000000001</v>
      </c>
      <c r="T62" s="670">
        <v>172</v>
      </c>
      <c r="U62" s="668">
        <f t="shared" si="11"/>
        <v>20.527509249313763</v>
      </c>
      <c r="V62" s="668">
        <f t="shared" si="7"/>
        <v>38.394235717961919</v>
      </c>
      <c r="W62" s="668">
        <v>0.3</v>
      </c>
      <c r="X62" s="432">
        <f t="shared" si="10"/>
        <v>0.30911363636363637</v>
      </c>
      <c r="Y62" s="432">
        <f t="shared" si="4"/>
        <v>8.2365569999999995</v>
      </c>
      <c r="Z62" s="432">
        <f t="shared" si="4"/>
        <v>13.369783</v>
      </c>
      <c r="AA62" s="670">
        <f t="shared" si="4"/>
        <v>169.07599999999999</v>
      </c>
      <c r="AB62" s="432">
        <f t="shared" si="5"/>
        <v>20.527509249313763</v>
      </c>
      <c r="AC62" s="670">
        <f t="shared" si="2"/>
        <v>38.394235717961919</v>
      </c>
      <c r="AD62" s="806">
        <v>31</v>
      </c>
      <c r="AE62" s="432">
        <f t="shared" si="12"/>
        <v>255.33326699999998</v>
      </c>
      <c r="AF62" s="449"/>
    </row>
    <row r="63" spans="1:32" ht="18.75" customHeight="1" x14ac:dyDescent="0.2">
      <c r="A63" s="806">
        <v>50</v>
      </c>
      <c r="B63" s="461" t="s">
        <v>64</v>
      </c>
      <c r="C63" s="806" t="s">
        <v>46</v>
      </c>
      <c r="D63" s="806">
        <v>672.5</v>
      </c>
      <c r="E63" s="806" t="s">
        <v>444</v>
      </c>
      <c r="F63" s="806">
        <v>177.8</v>
      </c>
      <c r="G63" s="806" t="s">
        <v>28</v>
      </c>
      <c r="H63" s="810" t="s">
        <v>49</v>
      </c>
      <c r="I63" s="801">
        <v>524.02</v>
      </c>
      <c r="J63" s="806">
        <v>100</v>
      </c>
      <c r="K63" s="806"/>
      <c r="L63" s="806">
        <v>410</v>
      </c>
      <c r="M63" s="806"/>
      <c r="N63" s="806">
        <v>10.4</v>
      </c>
      <c r="O63" s="806"/>
      <c r="P63" s="668">
        <v>24.229365746807431</v>
      </c>
      <c r="Q63" s="668">
        <f t="shared" si="8"/>
        <v>32</v>
      </c>
      <c r="R63" s="432">
        <v>11.878</v>
      </c>
      <c r="S63" s="432">
        <v>19.696000000000002</v>
      </c>
      <c r="T63" s="670">
        <v>164</v>
      </c>
      <c r="U63" s="668">
        <f t="shared" si="11"/>
        <v>13.807038221922882</v>
      </c>
      <c r="V63" s="668">
        <f t="shared" si="7"/>
        <v>39.693338748984566</v>
      </c>
      <c r="W63" s="668">
        <v>0.3</v>
      </c>
      <c r="X63" s="432">
        <f t="shared" si="10"/>
        <v>0.61550000000000005</v>
      </c>
      <c r="Y63" s="432">
        <f t="shared" si="4"/>
        <v>11.676074</v>
      </c>
      <c r="Z63" s="432">
        <f t="shared" si="4"/>
        <v>19.361168000000003</v>
      </c>
      <c r="AA63" s="670">
        <f t="shared" si="4"/>
        <v>161.21199999999999</v>
      </c>
      <c r="AB63" s="432">
        <f t="shared" si="5"/>
        <v>13.807038221922882</v>
      </c>
      <c r="AC63" s="670">
        <f t="shared" si="2"/>
        <v>39.693338748984566</v>
      </c>
      <c r="AD63" s="806">
        <v>31</v>
      </c>
      <c r="AE63" s="432">
        <f t="shared" si="12"/>
        <v>361.95829400000002</v>
      </c>
      <c r="AF63" s="449"/>
    </row>
    <row r="64" spans="1:32" ht="18.75" customHeight="1" x14ac:dyDescent="0.2">
      <c r="A64" s="806">
        <v>51</v>
      </c>
      <c r="B64" s="461" t="s">
        <v>156</v>
      </c>
      <c r="C64" s="806" t="s">
        <v>46</v>
      </c>
      <c r="D64" s="806">
        <v>679.54</v>
      </c>
      <c r="E64" s="806" t="s">
        <v>166</v>
      </c>
      <c r="F64" s="806">
        <v>177.8</v>
      </c>
      <c r="G64" s="806" t="s">
        <v>28</v>
      </c>
      <c r="H64" s="806" t="s">
        <v>52</v>
      </c>
      <c r="I64" s="801">
        <v>530.98</v>
      </c>
      <c r="J64" s="806">
        <v>220</v>
      </c>
      <c r="K64" s="806"/>
      <c r="L64" s="806">
        <v>452</v>
      </c>
      <c r="M64" s="806"/>
      <c r="N64" s="806">
        <v>7.6</v>
      </c>
      <c r="O64" s="806"/>
      <c r="P64" s="668">
        <v>17.339110420798395</v>
      </c>
      <c r="Q64" s="668">
        <f t="shared" si="8"/>
        <v>48.4</v>
      </c>
      <c r="R64" s="432">
        <v>7.5620000000000003</v>
      </c>
      <c r="S64" s="432">
        <v>11.920999999999999</v>
      </c>
      <c r="T64" s="670">
        <v>162.5</v>
      </c>
      <c r="U64" s="668">
        <f t="shared" si="11"/>
        <v>21.489024067706954</v>
      </c>
      <c r="V64" s="668">
        <f t="shared" si="7"/>
        <v>36.565724351983889</v>
      </c>
      <c r="W64" s="668">
        <v>0.2</v>
      </c>
      <c r="X64" s="432">
        <f t="shared" si="10"/>
        <v>0.24630165289256198</v>
      </c>
      <c r="Y64" s="432">
        <f t="shared" si="4"/>
        <v>7.433446</v>
      </c>
      <c r="Z64" s="432">
        <f t="shared" si="4"/>
        <v>11.718342999999999</v>
      </c>
      <c r="AA64" s="670">
        <f t="shared" si="4"/>
        <v>159.73750000000001</v>
      </c>
      <c r="AB64" s="432">
        <f t="shared" si="5"/>
        <v>21.489024067706954</v>
      </c>
      <c r="AC64" s="670">
        <f t="shared" si="2"/>
        <v>36.565724351983889</v>
      </c>
      <c r="AD64" s="806">
        <v>31</v>
      </c>
      <c r="AE64" s="432">
        <f t="shared" si="12"/>
        <v>230.436826</v>
      </c>
      <c r="AF64" s="449"/>
    </row>
    <row r="65" spans="1:32" ht="18.75" customHeight="1" x14ac:dyDescent="0.2">
      <c r="A65" s="806">
        <v>52</v>
      </c>
      <c r="B65" s="461" t="s">
        <v>169</v>
      </c>
      <c r="C65" s="806" t="s">
        <v>46</v>
      </c>
      <c r="D65" s="806">
        <v>673</v>
      </c>
      <c r="E65" s="806" t="s">
        <v>170</v>
      </c>
      <c r="F65" s="806">
        <v>177.8</v>
      </c>
      <c r="G65" s="806" t="s">
        <v>28</v>
      </c>
      <c r="H65" s="806" t="s">
        <v>52</v>
      </c>
      <c r="I65" s="801">
        <v>541.48</v>
      </c>
      <c r="J65" s="806">
        <v>195</v>
      </c>
      <c r="K65" s="806"/>
      <c r="L65" s="806">
        <v>413</v>
      </c>
      <c r="M65" s="806"/>
      <c r="N65" s="806">
        <v>3.3</v>
      </c>
      <c r="O65" s="806"/>
      <c r="P65" s="668">
        <v>17.986538208944722</v>
      </c>
      <c r="Q65" s="668">
        <f t="shared" si="8"/>
        <v>42.9</v>
      </c>
      <c r="R65" s="432">
        <v>3.105</v>
      </c>
      <c r="S65" s="432">
        <v>4.319</v>
      </c>
      <c r="T65" s="670">
        <v>54</v>
      </c>
      <c r="U65" s="668">
        <f t="shared" si="11"/>
        <v>17.391304347826086</v>
      </c>
      <c r="V65" s="668">
        <f t="shared" si="7"/>
        <v>28.108358416300067</v>
      </c>
      <c r="W65" s="668">
        <v>0.2</v>
      </c>
      <c r="X65" s="432">
        <f t="shared" si="10"/>
        <v>0.10067599067599067</v>
      </c>
      <c r="Y65" s="432">
        <f t="shared" si="4"/>
        <v>3.0522149999999999</v>
      </c>
      <c r="Z65" s="432">
        <f t="shared" si="4"/>
        <v>4.2455769999999999</v>
      </c>
      <c r="AA65" s="670">
        <f t="shared" si="4"/>
        <v>53.082000000000001</v>
      </c>
      <c r="AB65" s="432">
        <f t="shared" si="5"/>
        <v>17.391304347826086</v>
      </c>
      <c r="AC65" s="670">
        <f t="shared" si="2"/>
        <v>28.108358416300067</v>
      </c>
      <c r="AD65" s="806">
        <v>31</v>
      </c>
      <c r="AE65" s="432">
        <f>Y65*AD65</f>
        <v>94.618664999999993</v>
      </c>
      <c r="AF65" s="449"/>
    </row>
    <row r="66" spans="1:32" ht="18.75" customHeight="1" x14ac:dyDescent="0.2">
      <c r="A66" s="806">
        <v>53</v>
      </c>
      <c r="B66" s="461" t="s">
        <v>62</v>
      </c>
      <c r="C66" s="806" t="s">
        <v>46</v>
      </c>
      <c r="D66" s="806">
        <v>673.73</v>
      </c>
      <c r="E66" s="806" t="s">
        <v>97</v>
      </c>
      <c r="F66" s="806">
        <v>177.8</v>
      </c>
      <c r="G66" s="806" t="s">
        <v>28</v>
      </c>
      <c r="H66" s="806" t="s">
        <v>218</v>
      </c>
      <c r="I66" s="801">
        <v>543</v>
      </c>
      <c r="J66" s="806">
        <v>255</v>
      </c>
      <c r="K66" s="806"/>
      <c r="L66" s="806">
        <v>438</v>
      </c>
      <c r="M66" s="806"/>
      <c r="N66" s="806">
        <v>6.5</v>
      </c>
      <c r="O66" s="806"/>
      <c r="P66" s="668">
        <v>18.152626052012767</v>
      </c>
      <c r="Q66" s="668">
        <f t="shared" si="8"/>
        <v>81.599999999999994</v>
      </c>
      <c r="R66" s="432">
        <v>8.8000000000000007</v>
      </c>
      <c r="S66" s="432">
        <v>11.170999999999999</v>
      </c>
      <c r="T66" s="670">
        <v>399.375</v>
      </c>
      <c r="U66" s="668">
        <f t="shared" si="0"/>
        <v>45.383522727272727</v>
      </c>
      <c r="V66" s="668">
        <f t="shared" si="7"/>
        <v>21.224599409184485</v>
      </c>
      <c r="W66" s="668">
        <v>0.2</v>
      </c>
      <c r="X66" s="432">
        <f t="shared" si="10"/>
        <v>0.13689950980392157</v>
      </c>
      <c r="Y66" s="432">
        <f t="shared" si="4"/>
        <v>8.6504000000000012</v>
      </c>
      <c r="Z66" s="432">
        <f t="shared" si="4"/>
        <v>10.981093</v>
      </c>
      <c r="AA66" s="670">
        <f t="shared" si="4"/>
        <v>392.58562499999999</v>
      </c>
      <c r="AB66" s="432">
        <f t="shared" si="5"/>
        <v>45.383522727272727</v>
      </c>
      <c r="AC66" s="670">
        <f t="shared" si="2"/>
        <v>21.224599409184485</v>
      </c>
      <c r="AD66" s="806">
        <v>31</v>
      </c>
      <c r="AE66" s="432">
        <f t="shared" si="12"/>
        <v>268.16240000000005</v>
      </c>
      <c r="AF66" s="669"/>
    </row>
    <row r="67" spans="1:32" ht="18.75" customHeight="1" x14ac:dyDescent="0.2">
      <c r="A67" s="806">
        <v>54</v>
      </c>
      <c r="B67" s="461" t="s">
        <v>157</v>
      </c>
      <c r="C67" s="806" t="s">
        <v>46</v>
      </c>
      <c r="D67" s="806">
        <v>676.73</v>
      </c>
      <c r="E67" s="806" t="s">
        <v>179</v>
      </c>
      <c r="F67" s="806">
        <v>177.8</v>
      </c>
      <c r="G67" s="806" t="s">
        <v>28</v>
      </c>
      <c r="H67" s="806" t="s">
        <v>218</v>
      </c>
      <c r="I67" s="801">
        <v>579.14</v>
      </c>
      <c r="J67" s="806">
        <v>160</v>
      </c>
      <c r="K67" s="806"/>
      <c r="L67" s="806">
        <v>163</v>
      </c>
      <c r="M67" s="806"/>
      <c r="N67" s="806">
        <v>9.6</v>
      </c>
      <c r="O67" s="806"/>
      <c r="P67" s="668">
        <v>46.326584273701286</v>
      </c>
      <c r="Q67" s="668">
        <f t="shared" si="8"/>
        <v>51.2</v>
      </c>
      <c r="R67" s="432">
        <v>17.885000000000002</v>
      </c>
      <c r="S67" s="432">
        <v>42.744</v>
      </c>
      <c r="T67" s="670">
        <v>230</v>
      </c>
      <c r="U67" s="668">
        <f t="shared" si="0"/>
        <v>12.859938495946322</v>
      </c>
      <c r="V67" s="668">
        <f t="shared" si="7"/>
        <v>58.157870110424845</v>
      </c>
      <c r="W67" s="668">
        <v>0.2</v>
      </c>
      <c r="X67" s="432">
        <f t="shared" si="10"/>
        <v>0.83484375</v>
      </c>
      <c r="Y67" s="432">
        <f t="shared" si="4"/>
        <v>17.580955000000003</v>
      </c>
      <c r="Z67" s="432">
        <f t="shared" si="4"/>
        <v>42.017352000000002</v>
      </c>
      <c r="AA67" s="670">
        <f t="shared" si="4"/>
        <v>226.09</v>
      </c>
      <c r="AB67" s="432">
        <f t="shared" si="5"/>
        <v>12.859938495946322</v>
      </c>
      <c r="AC67" s="670">
        <f t="shared" si="2"/>
        <v>58.157870110424845</v>
      </c>
      <c r="AD67" s="806">
        <v>31</v>
      </c>
      <c r="AE67" s="432">
        <f t="shared" si="12"/>
        <v>545.00960500000008</v>
      </c>
      <c r="AF67" s="676"/>
    </row>
    <row r="68" spans="1:32" ht="18.75" customHeight="1" x14ac:dyDescent="0.2">
      <c r="A68" s="806">
        <v>55</v>
      </c>
      <c r="B68" s="461" t="s">
        <v>159</v>
      </c>
      <c r="C68" s="806" t="s">
        <v>46</v>
      </c>
      <c r="D68" s="806">
        <v>676</v>
      </c>
      <c r="E68" s="806" t="s">
        <v>167</v>
      </c>
      <c r="F68" s="806">
        <v>177.8</v>
      </c>
      <c r="G68" s="806" t="s">
        <v>28</v>
      </c>
      <c r="H68" s="806" t="s">
        <v>218</v>
      </c>
      <c r="I68" s="801">
        <v>508.57</v>
      </c>
      <c r="J68" s="806">
        <v>410</v>
      </c>
      <c r="K68" s="806"/>
      <c r="L68" s="806">
        <v>469</v>
      </c>
      <c r="M68" s="806"/>
      <c r="N68" s="806">
        <v>8</v>
      </c>
      <c r="O68" s="806"/>
      <c r="P68" s="668">
        <v>12.665073313707223</v>
      </c>
      <c r="Q68" s="668">
        <f t="shared" si="8"/>
        <v>131.19999999999999</v>
      </c>
      <c r="R68" s="432">
        <v>23.558</v>
      </c>
      <c r="S68" s="432">
        <v>27.722999999999999</v>
      </c>
      <c r="T68" s="670">
        <v>507.5</v>
      </c>
      <c r="U68" s="668">
        <f t="shared" si="0"/>
        <v>21.542575770438916</v>
      </c>
      <c r="V68" s="668">
        <f t="shared" si="7"/>
        <v>15.023626591638708</v>
      </c>
      <c r="W68" s="668">
        <v>0.2</v>
      </c>
      <c r="X68" s="432">
        <f t="shared" si="10"/>
        <v>0.21130335365853659</v>
      </c>
      <c r="Y68" s="432">
        <f t="shared" si="4"/>
        <v>23.157513999999999</v>
      </c>
      <c r="Z68" s="432">
        <f t="shared" si="4"/>
        <v>27.251708999999998</v>
      </c>
      <c r="AA68" s="670">
        <f t="shared" si="4"/>
        <v>498.8725</v>
      </c>
      <c r="AB68" s="432">
        <f t="shared" si="5"/>
        <v>21.542575770438916</v>
      </c>
      <c r="AC68" s="670">
        <f t="shared" si="2"/>
        <v>15.023626591638708</v>
      </c>
      <c r="AD68" s="806">
        <v>31</v>
      </c>
      <c r="AE68" s="432">
        <f t="shared" si="12"/>
        <v>717.88293399999998</v>
      </c>
      <c r="AF68" s="669"/>
    </row>
    <row r="69" spans="1:32" ht="18.75" customHeight="1" x14ac:dyDescent="0.2">
      <c r="A69" s="806">
        <v>56</v>
      </c>
      <c r="B69" s="461" t="s">
        <v>330</v>
      </c>
      <c r="C69" s="806" t="s">
        <v>46</v>
      </c>
      <c r="D69" s="806">
        <v>595</v>
      </c>
      <c r="E69" s="806" t="s">
        <v>367</v>
      </c>
      <c r="F69" s="806">
        <v>178.8</v>
      </c>
      <c r="G69" s="806" t="s">
        <v>28</v>
      </c>
      <c r="H69" s="810" t="s">
        <v>52</v>
      </c>
      <c r="I69" s="801">
        <v>498.89</v>
      </c>
      <c r="J69" s="806">
        <v>180</v>
      </c>
      <c r="K69" s="806"/>
      <c r="L69" s="806">
        <v>323</v>
      </c>
      <c r="M69" s="806"/>
      <c r="N69" s="806">
        <v>11.6</v>
      </c>
      <c r="O69" s="806"/>
      <c r="P69" s="668">
        <v>28.965499675123084</v>
      </c>
      <c r="Q69" s="668">
        <f t="shared" si="8"/>
        <v>39.6</v>
      </c>
      <c r="R69" s="432">
        <v>20.228000000000002</v>
      </c>
      <c r="S69" s="432">
        <v>24.510999999999999</v>
      </c>
      <c r="T69" s="670">
        <v>518.25</v>
      </c>
      <c r="U69" s="668">
        <f t="shared" si="0"/>
        <v>25.620427130709906</v>
      </c>
      <c r="V69" s="668">
        <v>17.5</v>
      </c>
      <c r="W69" s="668">
        <v>0.3</v>
      </c>
      <c r="X69" s="432">
        <f t="shared" si="10"/>
        <v>0.61896464646464644</v>
      </c>
      <c r="Y69" s="432">
        <f t="shared" si="4"/>
        <v>19.884124</v>
      </c>
      <c r="Z69" s="432">
        <f t="shared" si="4"/>
        <v>24.094313</v>
      </c>
      <c r="AA69" s="670">
        <f t="shared" si="4"/>
        <v>509.43975</v>
      </c>
      <c r="AB69" s="432">
        <v>20</v>
      </c>
      <c r="AC69" s="670">
        <v>17</v>
      </c>
      <c r="AD69" s="806">
        <v>31</v>
      </c>
      <c r="AE69" s="432">
        <f t="shared" si="12"/>
        <v>616.40784399999995</v>
      </c>
      <c r="AF69" s="669"/>
    </row>
    <row r="70" spans="1:32" ht="18.75" customHeight="1" x14ac:dyDescent="0.2">
      <c r="A70" s="806">
        <v>57</v>
      </c>
      <c r="B70" s="461" t="s">
        <v>210</v>
      </c>
      <c r="C70" s="806" t="s">
        <v>46</v>
      </c>
      <c r="D70" s="806">
        <v>728.32</v>
      </c>
      <c r="E70" s="806" t="s">
        <v>226</v>
      </c>
      <c r="F70" s="806">
        <v>177.8</v>
      </c>
      <c r="G70" s="806" t="s">
        <v>28</v>
      </c>
      <c r="H70" s="806" t="s">
        <v>218</v>
      </c>
      <c r="I70" s="801">
        <v>519.38</v>
      </c>
      <c r="J70" s="806">
        <v>200</v>
      </c>
      <c r="K70" s="806"/>
      <c r="L70" s="806">
        <v>214</v>
      </c>
      <c r="M70" s="806"/>
      <c r="N70" s="806">
        <v>11.8</v>
      </c>
      <c r="O70" s="806"/>
      <c r="P70" s="668">
        <v>42.85905084993739</v>
      </c>
      <c r="Q70" s="668">
        <f t="shared" si="8"/>
        <v>64</v>
      </c>
      <c r="R70" s="432">
        <v>17.402000000000001</v>
      </c>
      <c r="S70" s="432">
        <v>54.158999999999999</v>
      </c>
      <c r="T70" s="670">
        <v>232</v>
      </c>
      <c r="U70" s="668">
        <f t="shared" si="0"/>
        <v>13.331800942420411</v>
      </c>
      <c r="V70" s="668">
        <f t="shared" si="7"/>
        <v>67.868682952048601</v>
      </c>
      <c r="W70" s="668">
        <v>0.4</v>
      </c>
      <c r="X70" s="432">
        <f t="shared" si="10"/>
        <v>0.84623437499999998</v>
      </c>
      <c r="Y70" s="432">
        <f t="shared" si="4"/>
        <v>17.106166000000002</v>
      </c>
      <c r="Z70" s="432">
        <f t="shared" si="4"/>
        <v>53.238296999999996</v>
      </c>
      <c r="AA70" s="670">
        <f t="shared" si="4"/>
        <v>228.05599999999998</v>
      </c>
      <c r="AB70" s="432">
        <f t="shared" si="5"/>
        <v>13.331800942420411</v>
      </c>
      <c r="AC70" s="670">
        <f t="shared" si="2"/>
        <v>67.868682952048601</v>
      </c>
      <c r="AD70" s="806">
        <v>31</v>
      </c>
      <c r="AE70" s="432">
        <f t="shared" si="12"/>
        <v>530.29114600000003</v>
      </c>
      <c r="AF70" s="449"/>
    </row>
    <row r="71" spans="1:32" ht="18.75" customHeight="1" x14ac:dyDescent="0.2">
      <c r="A71" s="806">
        <v>58</v>
      </c>
      <c r="B71" s="461" t="s">
        <v>63</v>
      </c>
      <c r="C71" s="806" t="s">
        <v>46</v>
      </c>
      <c r="D71" s="806">
        <v>672.99</v>
      </c>
      <c r="E71" s="806" t="s">
        <v>98</v>
      </c>
      <c r="F71" s="806">
        <v>177.8</v>
      </c>
      <c r="G71" s="806" t="s">
        <v>28</v>
      </c>
      <c r="H71" s="806" t="s">
        <v>310</v>
      </c>
      <c r="I71" s="801">
        <v>536.32000000000005</v>
      </c>
      <c r="J71" s="806">
        <v>310</v>
      </c>
      <c r="K71" s="806"/>
      <c r="L71" s="806">
        <v>390</v>
      </c>
      <c r="M71" s="806"/>
      <c r="N71" s="806">
        <v>9.5</v>
      </c>
      <c r="O71" s="806"/>
      <c r="P71" s="668">
        <v>25.055385541625096</v>
      </c>
      <c r="Q71" s="668">
        <f t="shared" si="8"/>
        <v>68.2</v>
      </c>
      <c r="R71" s="432">
        <v>12.819000000000001</v>
      </c>
      <c r="S71" s="432">
        <v>16.481999999999999</v>
      </c>
      <c r="T71" s="670">
        <v>1153</v>
      </c>
      <c r="U71" s="668">
        <f t="shared" si="0"/>
        <v>89.944613464388794</v>
      </c>
      <c r="V71" s="668">
        <f t="shared" si="7"/>
        <v>22.224244630506</v>
      </c>
      <c r="W71" s="668">
        <v>0.2</v>
      </c>
      <c r="X71" s="432">
        <f t="shared" si="10"/>
        <v>0.24167155425219938</v>
      </c>
      <c r="Y71" s="432">
        <f t="shared" si="4"/>
        <v>12.601077</v>
      </c>
      <c r="Z71" s="432">
        <f t="shared" si="4"/>
        <v>16.201805999999998</v>
      </c>
      <c r="AA71" s="670">
        <f t="shared" si="4"/>
        <v>1133.3989999999999</v>
      </c>
      <c r="AB71" s="432">
        <f t="shared" si="5"/>
        <v>89.944613464388794</v>
      </c>
      <c r="AC71" s="670">
        <f t="shared" si="2"/>
        <v>22.224244630506</v>
      </c>
      <c r="AD71" s="806">
        <v>31</v>
      </c>
      <c r="AE71" s="432">
        <f t="shared" si="12"/>
        <v>390.63338700000003</v>
      </c>
      <c r="AF71" s="449"/>
    </row>
    <row r="72" spans="1:32" ht="18.75" customHeight="1" x14ac:dyDescent="0.2">
      <c r="A72" s="806">
        <v>59</v>
      </c>
      <c r="B72" s="461" t="s">
        <v>217</v>
      </c>
      <c r="C72" s="806" t="s">
        <v>46</v>
      </c>
      <c r="D72" s="806">
        <v>684.57</v>
      </c>
      <c r="E72" s="806" t="s">
        <v>359</v>
      </c>
      <c r="F72" s="806">
        <v>177.8</v>
      </c>
      <c r="G72" s="806" t="s">
        <v>28</v>
      </c>
      <c r="H72" s="806" t="s">
        <v>219</v>
      </c>
      <c r="I72" s="801">
        <v>555.95000000000005</v>
      </c>
      <c r="J72" s="806">
        <v>300</v>
      </c>
      <c r="K72" s="806"/>
      <c r="L72" s="806">
        <v>283</v>
      </c>
      <c r="M72" s="806"/>
      <c r="N72" s="806">
        <v>10.8</v>
      </c>
      <c r="O72" s="806"/>
      <c r="P72" s="668">
        <v>39.430193419528955</v>
      </c>
      <c r="Q72" s="668">
        <f t="shared" si="8"/>
        <v>36</v>
      </c>
      <c r="R72" s="432">
        <v>1.2929999999999999</v>
      </c>
      <c r="S72" s="432">
        <v>12.36</v>
      </c>
      <c r="T72" s="670">
        <v>0</v>
      </c>
      <c r="U72" s="668">
        <f t="shared" si="0"/>
        <v>0</v>
      </c>
      <c r="V72" s="668">
        <f t="shared" si="7"/>
        <v>89.538834951456309</v>
      </c>
      <c r="W72" s="668">
        <v>0.4</v>
      </c>
      <c r="X72" s="432">
        <f t="shared" si="10"/>
        <v>0.34333333333333332</v>
      </c>
      <c r="Y72" s="432">
        <f t="shared" si="4"/>
        <v>1.2710189999999999</v>
      </c>
      <c r="Z72" s="432">
        <f t="shared" si="4"/>
        <v>12.14988</v>
      </c>
      <c r="AA72" s="670">
        <f t="shared" si="4"/>
        <v>0</v>
      </c>
      <c r="AB72" s="432">
        <f t="shared" si="5"/>
        <v>0</v>
      </c>
      <c r="AC72" s="670">
        <f t="shared" si="2"/>
        <v>89.538834951456309</v>
      </c>
      <c r="AD72" s="806">
        <v>31</v>
      </c>
      <c r="AE72" s="432">
        <f t="shared" si="12"/>
        <v>39.401588999999994</v>
      </c>
      <c r="AF72" s="449"/>
    </row>
    <row r="73" spans="1:32" ht="18.75" customHeight="1" x14ac:dyDescent="0.2">
      <c r="A73" s="806">
        <v>60</v>
      </c>
      <c r="B73" s="461" t="s">
        <v>211</v>
      </c>
      <c r="C73" s="806" t="s">
        <v>46</v>
      </c>
      <c r="D73" s="806">
        <v>675.29</v>
      </c>
      <c r="E73" s="806" t="s">
        <v>224</v>
      </c>
      <c r="F73" s="806">
        <v>177.8</v>
      </c>
      <c r="G73" s="806" t="s">
        <v>28</v>
      </c>
      <c r="H73" s="806" t="s">
        <v>384</v>
      </c>
      <c r="I73" s="801">
        <v>554.95999999999981</v>
      </c>
      <c r="J73" s="806">
        <v>170</v>
      </c>
      <c r="K73" s="806"/>
      <c r="L73" s="806">
        <v>418</v>
      </c>
      <c r="M73" s="806"/>
      <c r="N73" s="806">
        <v>0.9</v>
      </c>
      <c r="O73" s="806"/>
      <c r="P73" s="668">
        <v>16.032345567047958</v>
      </c>
      <c r="Q73" s="668">
        <f>(22*J73)/100</f>
        <v>37.4</v>
      </c>
      <c r="R73" s="432">
        <v>2.5270000000000001</v>
      </c>
      <c r="S73" s="432">
        <v>4.5949999999999998</v>
      </c>
      <c r="T73" s="670">
        <v>32</v>
      </c>
      <c r="U73" s="668">
        <f t="shared" si="0"/>
        <v>12.663237039968342</v>
      </c>
      <c r="V73" s="668">
        <f t="shared" si="7"/>
        <v>45.005440696409131</v>
      </c>
      <c r="W73" s="668">
        <v>0.2</v>
      </c>
      <c r="X73" s="432">
        <f t="shared" si="10"/>
        <v>0.12286096256684492</v>
      </c>
      <c r="Y73" s="432">
        <f t="shared" si="4"/>
        <v>2.4840409999999999</v>
      </c>
      <c r="Z73" s="432">
        <f t="shared" si="4"/>
        <v>4.5168849999999994</v>
      </c>
      <c r="AA73" s="670">
        <f t="shared" si="4"/>
        <v>31.456</v>
      </c>
      <c r="AB73" s="432">
        <f t="shared" si="5"/>
        <v>12.663237039968342</v>
      </c>
      <c r="AC73" s="670">
        <f t="shared" si="2"/>
        <v>45.005440696409131</v>
      </c>
      <c r="AD73" s="806">
        <v>31</v>
      </c>
      <c r="AE73" s="432">
        <f t="shared" si="12"/>
        <v>77.005270999999993</v>
      </c>
      <c r="AF73" s="449"/>
    </row>
    <row r="74" spans="1:32" ht="18.75" customHeight="1" x14ac:dyDescent="0.2">
      <c r="A74" s="806">
        <v>61</v>
      </c>
      <c r="B74" s="461" t="s">
        <v>341</v>
      </c>
      <c r="C74" s="806" t="s">
        <v>46</v>
      </c>
      <c r="D74" s="806">
        <v>683.16</v>
      </c>
      <c r="E74" s="806" t="s">
        <v>343</v>
      </c>
      <c r="F74" s="806">
        <v>177.8</v>
      </c>
      <c r="G74" s="806" t="s">
        <v>28</v>
      </c>
      <c r="H74" s="766" t="s">
        <v>342</v>
      </c>
      <c r="I74" s="801">
        <v>571.9</v>
      </c>
      <c r="J74" s="806">
        <v>225</v>
      </c>
      <c r="K74" s="806"/>
      <c r="L74" s="806">
        <v>219</v>
      </c>
      <c r="M74" s="806"/>
      <c r="N74" s="806">
        <v>11.4</v>
      </c>
      <c r="O74" s="806"/>
      <c r="P74" s="668">
        <v>40.627835916271749</v>
      </c>
      <c r="Q74" s="668">
        <f>(20*J74)/100</f>
        <v>45</v>
      </c>
      <c r="R74" s="432">
        <v>27.867000000000001</v>
      </c>
      <c r="S74" s="432">
        <v>34.975000000000001</v>
      </c>
      <c r="T74" s="670">
        <v>389</v>
      </c>
      <c r="U74" s="668">
        <f t="shared" si="0"/>
        <v>13.959163167904689</v>
      </c>
      <c r="V74" s="668">
        <f t="shared" si="7"/>
        <v>20.323087919942818</v>
      </c>
      <c r="W74" s="668">
        <v>0.2</v>
      </c>
      <c r="X74" s="432">
        <f t="shared" si="10"/>
        <v>0.77722222222222226</v>
      </c>
      <c r="Y74" s="432">
        <f t="shared" si="4"/>
        <v>27.393260999999999</v>
      </c>
      <c r="Z74" s="432">
        <f t="shared" si="4"/>
        <v>34.380425000000002</v>
      </c>
      <c r="AA74" s="670">
        <f t="shared" si="4"/>
        <v>382.387</v>
      </c>
      <c r="AB74" s="432">
        <f t="shared" si="5"/>
        <v>13.959163167904689</v>
      </c>
      <c r="AC74" s="670">
        <f t="shared" si="2"/>
        <v>20.323087919942818</v>
      </c>
      <c r="AD74" s="806">
        <v>31</v>
      </c>
      <c r="AE74" s="432">
        <f t="shared" si="12"/>
        <v>849.19109099999991</v>
      </c>
      <c r="AF74" s="449"/>
    </row>
    <row r="75" spans="1:32" ht="18.75" customHeight="1" x14ac:dyDescent="0.3">
      <c r="A75" s="806">
        <v>62</v>
      </c>
      <c r="B75" s="461" t="s">
        <v>354</v>
      </c>
      <c r="C75" s="806" t="s">
        <v>46</v>
      </c>
      <c r="D75" s="806">
        <v>634.29</v>
      </c>
      <c r="E75" s="656" t="s">
        <v>356</v>
      </c>
      <c r="F75" s="806">
        <v>178.8</v>
      </c>
      <c r="G75" s="806" t="s">
        <v>28</v>
      </c>
      <c r="H75" s="241" t="s">
        <v>366</v>
      </c>
      <c r="I75" s="801">
        <v>540.14</v>
      </c>
      <c r="J75" s="806">
        <v>120</v>
      </c>
      <c r="K75" s="806"/>
      <c r="L75" s="806">
        <v>273</v>
      </c>
      <c r="M75" s="806"/>
      <c r="N75" s="806">
        <v>12.1</v>
      </c>
      <c r="O75" s="806"/>
      <c r="P75" s="668">
        <v>37.816439126554798</v>
      </c>
      <c r="Q75" s="668">
        <f>(33*J75)/100</f>
        <v>39.6</v>
      </c>
      <c r="R75" s="432">
        <v>22.239000000000001</v>
      </c>
      <c r="S75" s="432">
        <v>32.220999999999997</v>
      </c>
      <c r="T75" s="670">
        <v>121</v>
      </c>
      <c r="U75" s="668">
        <f t="shared" si="0"/>
        <v>5.4408921264445338</v>
      </c>
      <c r="V75" s="668">
        <f t="shared" si="7"/>
        <v>30.979795785357368</v>
      </c>
      <c r="W75" s="668">
        <v>0.2</v>
      </c>
      <c r="X75" s="432">
        <f t="shared" si="10"/>
        <v>0.81366161616161603</v>
      </c>
      <c r="Y75" s="432">
        <f t="shared" si="4"/>
        <v>21.860937</v>
      </c>
      <c r="Z75" s="432">
        <f t="shared" si="4"/>
        <v>31.673242999999996</v>
      </c>
      <c r="AA75" s="670">
        <f t="shared" si="4"/>
        <v>118.943</v>
      </c>
      <c r="AB75" s="432">
        <f t="shared" si="5"/>
        <v>5.4408921264445338</v>
      </c>
      <c r="AC75" s="670">
        <f t="shared" si="2"/>
        <v>30.979795785357368</v>
      </c>
      <c r="AD75" s="806">
        <v>31</v>
      </c>
      <c r="AE75" s="432">
        <f t="shared" si="12"/>
        <v>677.68904699999996</v>
      </c>
      <c r="AF75" s="449"/>
    </row>
    <row r="76" spans="1:32" ht="18.75" customHeight="1" x14ac:dyDescent="0.2">
      <c r="A76" s="806">
        <v>63</v>
      </c>
      <c r="B76" s="461" t="s">
        <v>213</v>
      </c>
      <c r="C76" s="806" t="s">
        <v>46</v>
      </c>
      <c r="D76" s="806">
        <v>679.2</v>
      </c>
      <c r="E76" s="806" t="s">
        <v>225</v>
      </c>
      <c r="F76" s="806">
        <v>177.8</v>
      </c>
      <c r="G76" s="806" t="s">
        <v>28</v>
      </c>
      <c r="H76" s="806" t="s">
        <v>48</v>
      </c>
      <c r="I76" s="801">
        <v>559.19000000000005</v>
      </c>
      <c r="J76" s="806">
        <v>130</v>
      </c>
      <c r="K76" s="806"/>
      <c r="L76" s="806">
        <v>436</v>
      </c>
      <c r="M76" s="806"/>
      <c r="N76" s="806">
        <v>2</v>
      </c>
      <c r="O76" s="806"/>
      <c r="P76" s="668">
        <v>15.536084226076555</v>
      </c>
      <c r="Q76" s="668">
        <f t="shared" si="8"/>
        <v>16.899999999999999</v>
      </c>
      <c r="R76" s="432">
        <v>1.173</v>
      </c>
      <c r="S76" s="432">
        <v>4.0910000000000002</v>
      </c>
      <c r="T76" s="670">
        <v>0</v>
      </c>
      <c r="U76" s="668">
        <f t="shared" si="0"/>
        <v>0</v>
      </c>
      <c r="V76" s="668">
        <f t="shared" si="7"/>
        <v>71.327303837692497</v>
      </c>
      <c r="W76" s="668">
        <v>0.3</v>
      </c>
      <c r="X76" s="432">
        <f t="shared" si="10"/>
        <v>0.2420710059171598</v>
      </c>
      <c r="Y76" s="432">
        <f t="shared" si="4"/>
        <v>1.1530590000000001</v>
      </c>
      <c r="Z76" s="432">
        <f t="shared" si="4"/>
        <v>4.0214530000000002</v>
      </c>
      <c r="AA76" s="670">
        <f t="shared" si="4"/>
        <v>0</v>
      </c>
      <c r="AB76" s="432">
        <f t="shared" si="5"/>
        <v>0</v>
      </c>
      <c r="AC76" s="670">
        <f t="shared" si="2"/>
        <v>71.327303837692497</v>
      </c>
      <c r="AD76" s="806">
        <v>31</v>
      </c>
      <c r="AE76" s="432">
        <f t="shared" si="12"/>
        <v>35.744829000000003</v>
      </c>
      <c r="AF76" s="449"/>
    </row>
    <row r="77" spans="1:32" ht="18.75" customHeight="1" x14ac:dyDescent="0.2">
      <c r="A77" s="806">
        <v>64</v>
      </c>
      <c r="B77" s="461" t="s">
        <v>172</v>
      </c>
      <c r="C77" s="806" t="s">
        <v>46</v>
      </c>
      <c r="D77" s="806">
        <v>673</v>
      </c>
      <c r="E77" s="806" t="s">
        <v>173</v>
      </c>
      <c r="F77" s="806">
        <v>177.8</v>
      </c>
      <c r="G77" s="806" t="s">
        <v>28</v>
      </c>
      <c r="H77" s="806" t="s">
        <v>50</v>
      </c>
      <c r="I77" s="801">
        <v>560.79</v>
      </c>
      <c r="J77" s="806">
        <v>365</v>
      </c>
      <c r="K77" s="806"/>
      <c r="L77" s="806">
        <v>198</v>
      </c>
      <c r="M77" s="806"/>
      <c r="N77" s="806">
        <v>7</v>
      </c>
      <c r="O77" s="806"/>
      <c r="P77" s="448">
        <v>44.435753151045212</v>
      </c>
      <c r="Q77" s="668">
        <f>LEFT(H77,(FIND("K",H77,1)-1))*J77/100</f>
        <v>21.9</v>
      </c>
      <c r="R77" s="432">
        <v>0.28299999999999997</v>
      </c>
      <c r="S77" s="432">
        <v>5.9210000000000003</v>
      </c>
      <c r="T77" s="670">
        <v>0</v>
      </c>
      <c r="U77" s="668">
        <f t="shared" si="0"/>
        <v>0</v>
      </c>
      <c r="V77" s="668">
        <f t="shared" si="7"/>
        <v>95.220401959128523</v>
      </c>
      <c r="W77" s="668">
        <v>0</v>
      </c>
      <c r="X77" s="432">
        <f t="shared" si="10"/>
        <v>0.27036529680365301</v>
      </c>
      <c r="Y77" s="432">
        <f t="shared" si="4"/>
        <v>0.27818899999999996</v>
      </c>
      <c r="Z77" s="432">
        <f t="shared" si="4"/>
        <v>5.8203430000000003</v>
      </c>
      <c r="AA77" s="670">
        <f t="shared" si="4"/>
        <v>0</v>
      </c>
      <c r="AB77" s="432">
        <f t="shared" si="5"/>
        <v>0</v>
      </c>
      <c r="AC77" s="670">
        <f t="shared" si="2"/>
        <v>95.220401959128523</v>
      </c>
      <c r="AD77" s="806">
        <v>31</v>
      </c>
      <c r="AE77" s="432">
        <f>Y77*AD77</f>
        <v>8.6238589999999995</v>
      </c>
      <c r="AF77" s="449"/>
    </row>
    <row r="78" spans="1:32" ht="18.75" customHeight="1" x14ac:dyDescent="0.2">
      <c r="A78" s="806">
        <v>65</v>
      </c>
      <c r="B78" s="461" t="s">
        <v>171</v>
      </c>
      <c r="C78" s="806" t="s">
        <v>46</v>
      </c>
      <c r="D78" s="801">
        <v>646</v>
      </c>
      <c r="E78" s="801" t="s">
        <v>191</v>
      </c>
      <c r="F78" s="806">
        <v>177.8</v>
      </c>
      <c r="G78" s="806"/>
      <c r="H78" s="806"/>
      <c r="I78" s="801">
        <v>9.5</v>
      </c>
      <c r="J78" s="801"/>
      <c r="K78" s="801">
        <v>260</v>
      </c>
      <c r="L78" s="801"/>
      <c r="M78" s="801">
        <v>0.4</v>
      </c>
      <c r="N78" s="806"/>
      <c r="O78" s="801"/>
      <c r="P78" s="668"/>
      <c r="Q78" s="448">
        <v>0</v>
      </c>
      <c r="R78" s="432">
        <v>0</v>
      </c>
      <c r="S78" s="432">
        <v>0</v>
      </c>
      <c r="T78" s="492">
        <v>0</v>
      </c>
      <c r="U78" s="670">
        <v>0</v>
      </c>
      <c r="V78" s="670">
        <v>0</v>
      </c>
      <c r="W78" s="670">
        <v>0</v>
      </c>
      <c r="X78" s="432">
        <v>0</v>
      </c>
      <c r="Y78" s="432">
        <f t="shared" si="4"/>
        <v>0</v>
      </c>
      <c r="Z78" s="432">
        <f t="shared" si="4"/>
        <v>0</v>
      </c>
      <c r="AA78" s="670">
        <f t="shared" si="4"/>
        <v>0</v>
      </c>
      <c r="AB78" s="432">
        <f t="shared" si="5"/>
        <v>0</v>
      </c>
      <c r="AC78" s="432">
        <f t="shared" si="2"/>
        <v>0</v>
      </c>
      <c r="AD78" s="806">
        <v>31</v>
      </c>
      <c r="AE78" s="432">
        <f>Y78*AD78</f>
        <v>0</v>
      </c>
      <c r="AF78" s="669" t="s">
        <v>418</v>
      </c>
    </row>
    <row r="79" spans="1:32" ht="18.75" customHeight="1" x14ac:dyDescent="0.2">
      <c r="A79" s="677"/>
      <c r="B79" s="806"/>
      <c r="C79" s="806"/>
      <c r="D79" s="801"/>
      <c r="E79" s="801"/>
      <c r="F79" s="461"/>
      <c r="G79" s="806"/>
      <c r="H79" s="806"/>
      <c r="I79" s="801"/>
      <c r="J79" s="801"/>
      <c r="K79" s="801"/>
      <c r="L79" s="801"/>
      <c r="M79" s="801"/>
      <c r="N79" s="806"/>
      <c r="O79" s="801"/>
      <c r="P79" s="668"/>
      <c r="Q79" s="448"/>
      <c r="R79" s="466">
        <f>SUM(R14:R78)</f>
        <v>397.86699999999996</v>
      </c>
      <c r="S79" s="466">
        <f>SUM(S14:S78)</f>
        <v>787.69</v>
      </c>
      <c r="T79" s="512">
        <f>SUM(T14:T78)</f>
        <v>10160.450000000001</v>
      </c>
      <c r="U79" s="466">
        <f>T79/R79</f>
        <v>25.53730266646895</v>
      </c>
      <c r="V79" s="466"/>
      <c r="W79" s="466"/>
      <c r="X79" s="466"/>
      <c r="Y79" s="466">
        <f>SUM(Y14:Y78)</f>
        <v>390.63142099999993</v>
      </c>
      <c r="Z79" s="466">
        <f>SUM(Z14:Z78)</f>
        <v>773.34182799999985</v>
      </c>
      <c r="AA79" s="678">
        <f>SUM(AA14:AA78)</f>
        <v>9987.2308500000017</v>
      </c>
      <c r="AB79" s="466">
        <f>AA79/Y79</f>
        <v>25.566890713586513</v>
      </c>
      <c r="AC79" s="466"/>
      <c r="AD79" s="805"/>
      <c r="AE79" s="466">
        <f>SUM(AE14:AE78)</f>
        <v>12077.748442999997</v>
      </c>
      <c r="AF79" s="669"/>
    </row>
    <row r="80" spans="1:32" ht="18.75" customHeight="1" x14ac:dyDescent="0.2">
      <c r="A80" s="677"/>
      <c r="B80" s="806"/>
      <c r="C80" s="806"/>
      <c r="D80" s="801"/>
      <c r="E80" s="801"/>
      <c r="F80" s="461"/>
      <c r="G80" s="806"/>
      <c r="H80" s="806"/>
      <c r="I80" s="801"/>
      <c r="J80" s="801"/>
      <c r="K80" s="801"/>
      <c r="L80" s="801"/>
      <c r="M80" s="801"/>
      <c r="N80" s="806"/>
      <c r="O80" s="801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805"/>
      <c r="AE80" s="466"/>
      <c r="AF80" s="669"/>
    </row>
    <row r="81" spans="1:32" ht="18.75" customHeight="1" x14ac:dyDescent="0.2">
      <c r="A81" s="677"/>
      <c r="B81" s="806"/>
      <c r="C81" s="806"/>
      <c r="D81" s="801"/>
      <c r="E81" s="800" t="s">
        <v>388</v>
      </c>
      <c r="F81" s="461"/>
      <c r="G81" s="806"/>
      <c r="H81" s="806"/>
      <c r="I81" s="801"/>
      <c r="J81" s="801"/>
      <c r="K81" s="801"/>
      <c r="L81" s="801"/>
      <c r="M81" s="801"/>
      <c r="N81" s="806"/>
      <c r="O81" s="801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805"/>
      <c r="AE81" s="466"/>
      <c r="AF81" s="669"/>
    </row>
    <row r="82" spans="1:32" ht="18.75" customHeight="1" x14ac:dyDescent="0.2">
      <c r="A82" s="806">
        <v>66</v>
      </c>
      <c r="B82" s="461" t="s">
        <v>423</v>
      </c>
      <c r="C82" s="810" t="s">
        <v>445</v>
      </c>
      <c r="D82" s="809">
        <v>683.8</v>
      </c>
      <c r="E82" s="809" t="s">
        <v>446</v>
      </c>
      <c r="F82" s="810">
        <v>177.8</v>
      </c>
      <c r="G82" s="810" t="s">
        <v>28</v>
      </c>
      <c r="H82" s="810" t="s">
        <v>48</v>
      </c>
      <c r="I82" s="801">
        <v>590.46</v>
      </c>
      <c r="J82" s="801">
        <v>100</v>
      </c>
      <c r="K82" s="801"/>
      <c r="L82" s="801">
        <v>250</v>
      </c>
      <c r="M82" s="801"/>
      <c r="N82" s="806">
        <v>12</v>
      </c>
      <c r="O82" s="801"/>
      <c r="P82" s="668">
        <v>43.77</v>
      </c>
      <c r="Q82" s="668">
        <f t="shared" ref="Q82" si="13">LEFT(H82,(FIND("K",H82,1)-1))*J82/100</f>
        <v>13</v>
      </c>
      <c r="R82" s="466"/>
      <c r="S82" s="466"/>
      <c r="T82" s="512"/>
      <c r="U82" s="466"/>
      <c r="V82" s="466"/>
      <c r="W82" s="466"/>
      <c r="X82" s="466"/>
      <c r="Y82" s="466">
        <v>15</v>
      </c>
      <c r="Z82" s="708"/>
      <c r="AA82" s="678"/>
      <c r="AB82" s="466"/>
      <c r="AC82" s="466"/>
      <c r="AD82" s="805"/>
      <c r="AE82" s="466"/>
      <c r="AF82" s="669" t="s">
        <v>447</v>
      </c>
    </row>
    <row r="83" spans="1:32" ht="18.75" customHeight="1" x14ac:dyDescent="0.2">
      <c r="A83" s="806">
        <v>67</v>
      </c>
      <c r="B83" s="461" t="s">
        <v>424</v>
      </c>
      <c r="C83" s="810" t="s">
        <v>445</v>
      </c>
      <c r="D83" s="801">
        <v>689.4</v>
      </c>
      <c r="E83" s="811" t="s">
        <v>449</v>
      </c>
      <c r="F83" s="810">
        <v>177.8</v>
      </c>
      <c r="G83" s="810" t="s">
        <v>28</v>
      </c>
      <c r="H83" s="806"/>
      <c r="I83" s="801"/>
      <c r="J83" s="801"/>
      <c r="K83" s="801"/>
      <c r="L83" s="801"/>
      <c r="M83" s="801"/>
      <c r="N83" s="806"/>
      <c r="O83" s="801"/>
      <c r="P83" s="668"/>
      <c r="Q83" s="448"/>
      <c r="R83" s="466"/>
      <c r="S83" s="466"/>
      <c r="T83" s="512"/>
      <c r="U83" s="466"/>
      <c r="V83" s="466"/>
      <c r="W83" s="466"/>
      <c r="X83" s="466"/>
      <c r="Y83" s="466">
        <v>5</v>
      </c>
      <c r="Z83" s="708"/>
      <c r="AA83" s="678"/>
      <c r="AB83" s="466"/>
      <c r="AC83" s="466"/>
      <c r="AD83" s="805"/>
      <c r="AE83" s="466"/>
      <c r="AF83" s="669" t="s">
        <v>448</v>
      </c>
    </row>
    <row r="84" spans="1:32" ht="18.75" customHeight="1" x14ac:dyDescent="0.2">
      <c r="A84" s="806">
        <v>68</v>
      </c>
      <c r="B84" s="461" t="s">
        <v>155</v>
      </c>
      <c r="C84" s="806" t="s">
        <v>415</v>
      </c>
      <c r="D84" s="806">
        <v>513.9</v>
      </c>
      <c r="E84" s="806" t="s">
        <v>416</v>
      </c>
      <c r="F84" s="806">
        <v>177.8</v>
      </c>
      <c r="G84" s="806"/>
      <c r="H84" s="165"/>
      <c r="I84" s="801">
        <v>9.5</v>
      </c>
      <c r="J84" s="801"/>
      <c r="K84" s="801"/>
      <c r="L84" s="801"/>
      <c r="M84" s="801"/>
      <c r="N84" s="806"/>
      <c r="O84" s="801"/>
      <c r="P84" s="668"/>
      <c r="Q84" s="448"/>
      <c r="R84" s="466"/>
      <c r="S84" s="466"/>
      <c r="T84" s="512"/>
      <c r="U84" s="466"/>
      <c r="V84" s="466"/>
      <c r="W84" s="466"/>
      <c r="X84" s="466"/>
      <c r="Y84" s="682">
        <v>0</v>
      </c>
      <c r="Z84" s="711"/>
      <c r="AA84" s="678"/>
      <c r="AB84" s="466"/>
      <c r="AC84" s="466"/>
      <c r="AD84" s="805"/>
      <c r="AE84" s="466"/>
      <c r="AF84" s="669" t="s">
        <v>417</v>
      </c>
    </row>
    <row r="85" spans="1:32" ht="18.75" customHeight="1" x14ac:dyDescent="0.2">
      <c r="A85" s="677"/>
      <c r="B85" s="1913"/>
      <c r="C85" s="1913"/>
      <c r="D85" s="1913"/>
      <c r="E85" s="1913"/>
      <c r="F85" s="461"/>
      <c r="G85" s="806"/>
      <c r="H85" s="806"/>
      <c r="I85" s="806"/>
      <c r="J85" s="801"/>
      <c r="K85" s="801"/>
      <c r="L85" s="801"/>
      <c r="M85" s="801"/>
      <c r="N85" s="801"/>
      <c r="O85" s="801"/>
      <c r="P85" s="448"/>
      <c r="Q85" s="448"/>
      <c r="R85" s="801"/>
      <c r="S85" s="801"/>
      <c r="T85" s="801"/>
      <c r="U85" s="797"/>
      <c r="V85" s="797"/>
      <c r="W85" s="797"/>
      <c r="X85" s="797"/>
      <c r="Y85" s="682"/>
      <c r="Z85" s="682"/>
      <c r="AA85" s="800"/>
      <c r="AB85" s="797"/>
      <c r="AC85" s="801"/>
      <c r="AD85" s="806"/>
      <c r="AE85" s="432"/>
      <c r="AF85" s="669"/>
    </row>
    <row r="86" spans="1:32" ht="18.75" customHeight="1" x14ac:dyDescent="0.2">
      <c r="B86" s="1914" t="s">
        <v>389</v>
      </c>
      <c r="C86" s="1915"/>
      <c r="D86" s="1915"/>
      <c r="E86" s="1915"/>
      <c r="F86" s="1902"/>
      <c r="G86" s="797"/>
      <c r="H86" s="800"/>
      <c r="I86" s="800"/>
      <c r="J86" s="801"/>
      <c r="K86" s="801"/>
      <c r="L86" s="801"/>
      <c r="M86" s="801"/>
      <c r="N86" s="801"/>
      <c r="O86" s="801"/>
      <c r="P86" s="448"/>
      <c r="Q86" s="448"/>
      <c r="R86" s="801"/>
      <c r="S86" s="437"/>
      <c r="T86" s="801"/>
      <c r="U86" s="797"/>
      <c r="V86" s="797"/>
      <c r="W86" s="797"/>
      <c r="X86" s="421"/>
      <c r="Y86" s="801"/>
      <c r="Z86" s="801"/>
      <c r="AA86" s="801"/>
      <c r="AB86" s="797"/>
      <c r="AC86" s="797"/>
      <c r="AD86" s="801"/>
      <c r="AE86" s="801"/>
      <c r="AF86" s="800"/>
    </row>
    <row r="87" spans="1:32" ht="18.75" customHeight="1" x14ac:dyDescent="0.2">
      <c r="A87" s="803">
        <v>69</v>
      </c>
      <c r="B87" s="806" t="s">
        <v>131</v>
      </c>
      <c r="C87" s="803" t="s">
        <v>313</v>
      </c>
      <c r="D87" s="806">
        <v>389.74</v>
      </c>
      <c r="E87" s="679" t="s">
        <v>136</v>
      </c>
      <c r="F87" s="806">
        <v>177.8</v>
      </c>
      <c r="G87" s="806" t="s">
        <v>28</v>
      </c>
      <c r="H87" s="806" t="s">
        <v>58</v>
      </c>
      <c r="I87" s="801">
        <v>142.80000000000001</v>
      </c>
      <c r="J87" s="801">
        <v>360</v>
      </c>
      <c r="K87" s="806"/>
      <c r="L87" s="806">
        <v>28</v>
      </c>
      <c r="M87" s="806"/>
      <c r="N87" s="806">
        <v>0</v>
      </c>
      <c r="O87" s="806"/>
      <c r="P87" s="668">
        <v>15.082912696744094</v>
      </c>
      <c r="Q87" s="448">
        <f>(3*J87)/100</f>
        <v>10.8</v>
      </c>
      <c r="R87" s="432">
        <v>0.71599999999999997</v>
      </c>
      <c r="S87" s="432">
        <v>1.1319999999999999</v>
      </c>
      <c r="T87" s="432">
        <v>0</v>
      </c>
      <c r="U87" s="432">
        <f>T87/R87</f>
        <v>0</v>
      </c>
      <c r="V87" s="432">
        <f t="shared" ref="V87:V90" si="14">(S87-R87)/S87*100</f>
        <v>36.749116607773843</v>
      </c>
      <c r="W87" s="432">
        <v>0.3</v>
      </c>
      <c r="X87" s="432">
        <f t="shared" ref="X87:X90" si="15">S87/Q87</f>
        <v>0.10481481481481481</v>
      </c>
      <c r="Y87" s="432">
        <f>R87*0.988</f>
        <v>0.70740799999999993</v>
      </c>
      <c r="Z87" s="432">
        <f>S87*0.988</f>
        <v>1.1184159999999999</v>
      </c>
      <c r="AA87" s="432">
        <f>T87*0.988</f>
        <v>0</v>
      </c>
      <c r="AB87" s="432">
        <f t="shared" ref="AB87:AC90" si="16">U87</f>
        <v>0</v>
      </c>
      <c r="AC87" s="432">
        <f t="shared" si="16"/>
        <v>36.749116607773843</v>
      </c>
      <c r="AD87" s="806">
        <v>31</v>
      </c>
      <c r="AE87" s="432">
        <f t="shared" ref="AE87:AE90" si="17">Y87*AD87</f>
        <v>21.929647999999997</v>
      </c>
      <c r="AF87" s="449"/>
    </row>
    <row r="88" spans="1:32" ht="18.75" customHeight="1" x14ac:dyDescent="0.2">
      <c r="A88" s="803">
        <v>70</v>
      </c>
      <c r="B88" s="806" t="s">
        <v>132</v>
      </c>
      <c r="C88" s="803" t="s">
        <v>313</v>
      </c>
      <c r="D88" s="806">
        <v>387.72</v>
      </c>
      <c r="E88" s="679" t="s">
        <v>135</v>
      </c>
      <c r="F88" s="806">
        <v>177.8</v>
      </c>
      <c r="G88" s="806" t="s">
        <v>28</v>
      </c>
      <c r="H88" s="806" t="s">
        <v>58</v>
      </c>
      <c r="I88" s="801">
        <v>136.03</v>
      </c>
      <c r="J88" s="806">
        <v>240</v>
      </c>
      <c r="K88" s="806"/>
      <c r="L88" s="806">
        <v>39</v>
      </c>
      <c r="M88" s="806"/>
      <c r="N88" s="806">
        <v>0</v>
      </c>
      <c r="O88" s="806"/>
      <c r="P88" s="668">
        <v>12.648835194868022</v>
      </c>
      <c r="Q88" s="448">
        <f>(3*J88)/100</f>
        <v>7.2</v>
      </c>
      <c r="R88" s="432">
        <v>3.0619999999999998</v>
      </c>
      <c r="S88" s="432">
        <v>4.7389999999999999</v>
      </c>
      <c r="T88" s="432">
        <v>0.1</v>
      </c>
      <c r="U88" s="432">
        <f>T88/R88</f>
        <v>3.2658393207054215E-2</v>
      </c>
      <c r="V88" s="432">
        <f t="shared" si="14"/>
        <v>35.387212492086938</v>
      </c>
      <c r="W88" s="432">
        <v>0.3</v>
      </c>
      <c r="X88" s="432">
        <f t="shared" si="15"/>
        <v>0.65819444444444442</v>
      </c>
      <c r="Y88" s="432">
        <f t="shared" ref="Y88:AA90" si="18">R88*0.988</f>
        <v>3.0252559999999997</v>
      </c>
      <c r="Z88" s="432">
        <f t="shared" si="18"/>
        <v>4.6821320000000002</v>
      </c>
      <c r="AA88" s="432">
        <f t="shared" si="18"/>
        <v>9.8799999999999999E-2</v>
      </c>
      <c r="AB88" s="432">
        <v>0</v>
      </c>
      <c r="AC88" s="432">
        <f>V88</f>
        <v>35.387212492086938</v>
      </c>
      <c r="AD88" s="806">
        <v>31</v>
      </c>
      <c r="AE88" s="432">
        <f t="shared" si="17"/>
        <v>93.782935999999992</v>
      </c>
      <c r="AF88" s="449"/>
    </row>
    <row r="89" spans="1:32" ht="18.75" customHeight="1" x14ac:dyDescent="0.25">
      <c r="A89" s="803">
        <v>71</v>
      </c>
      <c r="B89" s="806" t="s">
        <v>121</v>
      </c>
      <c r="C89" s="803" t="s">
        <v>313</v>
      </c>
      <c r="D89" s="806">
        <v>389.57</v>
      </c>
      <c r="E89" s="806" t="s">
        <v>137</v>
      </c>
      <c r="F89" s="806">
        <v>177.8</v>
      </c>
      <c r="G89" s="806" t="s">
        <v>28</v>
      </c>
      <c r="H89" s="707" t="s">
        <v>363</v>
      </c>
      <c r="I89" s="801">
        <v>138.22999999999999</v>
      </c>
      <c r="J89" s="806">
        <v>85</v>
      </c>
      <c r="K89" s="806"/>
      <c r="L89" s="806">
        <v>20</v>
      </c>
      <c r="M89" s="806"/>
      <c r="N89" s="806">
        <v>0.2</v>
      </c>
      <c r="O89" s="806"/>
      <c r="P89" s="668">
        <v>14.637453174003252</v>
      </c>
      <c r="Q89" s="448">
        <f>(3*J89)/100</f>
        <v>2.5499999999999998</v>
      </c>
      <c r="R89" s="432">
        <v>1.5469999999999999</v>
      </c>
      <c r="S89" s="432">
        <v>4.0449999999999999</v>
      </c>
      <c r="T89" s="432">
        <v>0</v>
      </c>
      <c r="U89" s="432">
        <v>0</v>
      </c>
      <c r="V89" s="432">
        <f t="shared" si="14"/>
        <v>61.755253399258351</v>
      </c>
      <c r="W89" s="432">
        <v>0.5</v>
      </c>
      <c r="X89" s="432">
        <f t="shared" si="15"/>
        <v>1.5862745098039217</v>
      </c>
      <c r="Y89" s="432">
        <f t="shared" si="18"/>
        <v>1.5284359999999999</v>
      </c>
      <c r="Z89" s="432">
        <f t="shared" si="18"/>
        <v>3.9964599999999999</v>
      </c>
      <c r="AA89" s="432">
        <f t="shared" si="18"/>
        <v>0</v>
      </c>
      <c r="AB89" s="432">
        <v>0</v>
      </c>
      <c r="AC89" s="432">
        <f>V89</f>
        <v>61.755253399258351</v>
      </c>
      <c r="AD89" s="806">
        <v>25</v>
      </c>
      <c r="AE89" s="432">
        <f t="shared" si="17"/>
        <v>38.210899999999995</v>
      </c>
      <c r="AF89" s="669" t="s">
        <v>441</v>
      </c>
    </row>
    <row r="90" spans="1:32" ht="18.75" customHeight="1" x14ac:dyDescent="0.2">
      <c r="A90" s="803">
        <v>72</v>
      </c>
      <c r="B90" s="806" t="s">
        <v>122</v>
      </c>
      <c r="C90" s="803" t="s">
        <v>313</v>
      </c>
      <c r="D90" s="806">
        <v>391.06</v>
      </c>
      <c r="E90" s="806" t="s">
        <v>138</v>
      </c>
      <c r="F90" s="806">
        <v>177.8</v>
      </c>
      <c r="G90" s="806" t="s">
        <v>28</v>
      </c>
      <c r="H90" s="806" t="s">
        <v>58</v>
      </c>
      <c r="I90" s="432">
        <v>151.72999999999999</v>
      </c>
      <c r="J90" s="806">
        <v>330</v>
      </c>
      <c r="K90" s="805"/>
      <c r="L90" s="806">
        <v>51</v>
      </c>
      <c r="M90" s="805"/>
      <c r="N90" s="806">
        <v>0</v>
      </c>
      <c r="O90" s="805"/>
      <c r="P90" s="668">
        <v>12.726776815523797</v>
      </c>
      <c r="Q90" s="448">
        <f>(3*J90)/100</f>
        <v>9.9</v>
      </c>
      <c r="R90" s="432">
        <v>2.1930000000000001</v>
      </c>
      <c r="S90" s="432">
        <v>2.8140000000000001</v>
      </c>
      <c r="T90" s="432">
        <v>0</v>
      </c>
      <c r="U90" s="432">
        <f>T90/R90</f>
        <v>0</v>
      </c>
      <c r="V90" s="432">
        <f t="shared" si="14"/>
        <v>22.068230277185499</v>
      </c>
      <c r="W90" s="432">
        <v>0.3</v>
      </c>
      <c r="X90" s="432">
        <f t="shared" si="15"/>
        <v>0.28424242424242424</v>
      </c>
      <c r="Y90" s="432">
        <f t="shared" si="18"/>
        <v>2.1666840000000001</v>
      </c>
      <c r="Z90" s="432">
        <f t="shared" si="18"/>
        <v>2.7802319999999998</v>
      </c>
      <c r="AA90" s="432">
        <f t="shared" si="18"/>
        <v>0</v>
      </c>
      <c r="AB90" s="432">
        <f t="shared" si="16"/>
        <v>0</v>
      </c>
      <c r="AC90" s="432">
        <f t="shared" si="16"/>
        <v>22.068230277185499</v>
      </c>
      <c r="AD90" s="806">
        <v>31</v>
      </c>
      <c r="AE90" s="432">
        <f t="shared" si="17"/>
        <v>67.167203999999998</v>
      </c>
      <c r="AF90" s="680"/>
    </row>
    <row r="91" spans="1:32" ht="18.75" customHeight="1" x14ac:dyDescent="0.2">
      <c r="A91" s="803">
        <v>73</v>
      </c>
      <c r="B91" s="806" t="s">
        <v>188</v>
      </c>
      <c r="C91" s="803" t="s">
        <v>344</v>
      </c>
      <c r="D91" s="806">
        <v>400.5</v>
      </c>
      <c r="E91" s="806" t="s">
        <v>345</v>
      </c>
      <c r="F91" s="806">
        <v>177.8</v>
      </c>
      <c r="G91" s="806"/>
      <c r="H91" s="806"/>
      <c r="I91" s="432"/>
      <c r="J91" s="806"/>
      <c r="K91" s="805"/>
      <c r="L91" s="806"/>
      <c r="M91" s="805"/>
      <c r="N91" s="806"/>
      <c r="O91" s="805"/>
      <c r="P91" s="668"/>
      <c r="Q91" s="448"/>
      <c r="R91" s="432"/>
      <c r="S91" s="432"/>
      <c r="T91" s="432"/>
      <c r="U91" s="432"/>
      <c r="V91" s="432"/>
      <c r="W91" s="432"/>
      <c r="X91" s="432"/>
      <c r="Y91" s="432"/>
      <c r="Z91" s="432"/>
      <c r="AA91" s="432"/>
      <c r="AB91" s="432"/>
      <c r="AC91" s="432"/>
      <c r="AD91" s="806"/>
      <c r="AE91" s="432"/>
      <c r="AF91" s="669"/>
    </row>
    <row r="92" spans="1:32" ht="18.75" customHeight="1" x14ac:dyDescent="0.2">
      <c r="A92" s="803">
        <v>74</v>
      </c>
      <c r="B92" s="806" t="s">
        <v>186</v>
      </c>
      <c r="C92" s="803" t="s">
        <v>346</v>
      </c>
      <c r="D92" s="806">
        <v>349.5</v>
      </c>
      <c r="E92" s="461" t="s">
        <v>347</v>
      </c>
      <c r="F92" s="806">
        <v>177.8</v>
      </c>
      <c r="G92" s="806"/>
      <c r="H92" s="806"/>
      <c r="I92" s="432"/>
      <c r="J92" s="806"/>
      <c r="K92" s="806"/>
      <c r="L92" s="806"/>
      <c r="M92" s="805"/>
      <c r="N92" s="806"/>
      <c r="O92" s="805"/>
      <c r="P92" s="668"/>
      <c r="Q92" s="448"/>
      <c r="R92" s="432"/>
      <c r="S92" s="432"/>
      <c r="T92" s="432"/>
      <c r="U92" s="432"/>
      <c r="V92" s="432"/>
      <c r="W92" s="432"/>
      <c r="X92" s="432"/>
      <c r="Y92" s="432"/>
      <c r="Z92" s="432"/>
      <c r="AA92" s="432"/>
      <c r="AB92" s="432"/>
      <c r="AC92" s="432"/>
      <c r="AD92" s="806"/>
      <c r="AE92" s="432"/>
      <c r="AF92" s="669"/>
    </row>
    <row r="93" spans="1:32" ht="18.75" customHeight="1" x14ac:dyDescent="0.2">
      <c r="A93" s="677"/>
      <c r="B93" s="1939"/>
      <c r="C93" s="1939"/>
      <c r="D93" s="1939"/>
      <c r="E93" s="1940"/>
      <c r="F93" s="801"/>
      <c r="G93" s="797"/>
      <c r="H93" s="800"/>
      <c r="I93" s="800"/>
      <c r="J93" s="801"/>
      <c r="K93" s="801"/>
      <c r="L93" s="801"/>
      <c r="M93" s="801"/>
      <c r="N93" s="801"/>
      <c r="O93" s="801"/>
      <c r="P93" s="448"/>
      <c r="Q93" s="448"/>
      <c r="R93" s="466">
        <f>SUM(R87:R92)</f>
        <v>7.5179999999999989</v>
      </c>
      <c r="S93" s="466">
        <f>SUM(S87:S92)</f>
        <v>12.73</v>
      </c>
      <c r="T93" s="466">
        <f>SUM(T87:T90)</f>
        <v>0.1</v>
      </c>
      <c r="U93" s="466">
        <f>SUM(U87:U90)</f>
        <v>3.2658393207054215E-2</v>
      </c>
      <c r="V93" s="797"/>
      <c r="W93" s="797"/>
      <c r="X93" s="797"/>
      <c r="Y93" s="466">
        <f>SUM(Y87:Y92)</f>
        <v>7.4277839999999999</v>
      </c>
      <c r="Z93" s="466">
        <f>SUM(Z87:Z92)</f>
        <v>12.57724</v>
      </c>
      <c r="AA93" s="466">
        <f>SUM(AA87:AA90)</f>
        <v>9.8799999999999999E-2</v>
      </c>
      <c r="AB93" s="466">
        <v>0</v>
      </c>
      <c r="AC93" s="797"/>
      <c r="AD93" s="801"/>
      <c r="AE93" s="466">
        <f>SUM(AE87:AE92)</f>
        <v>221.09068799999997</v>
      </c>
      <c r="AF93" s="471"/>
    </row>
    <row r="94" spans="1:32" ht="18.75" customHeight="1" x14ac:dyDescent="0.2">
      <c r="A94" s="677"/>
      <c r="B94" s="1939"/>
      <c r="C94" s="1939"/>
      <c r="D94" s="1939"/>
      <c r="E94" s="1940"/>
      <c r="F94" s="805"/>
      <c r="G94" s="806"/>
      <c r="H94" s="806"/>
      <c r="I94" s="432"/>
      <c r="J94" s="806"/>
      <c r="K94" s="805"/>
      <c r="L94" s="806"/>
      <c r="M94" s="805"/>
      <c r="N94" s="668"/>
      <c r="O94" s="805"/>
      <c r="P94" s="682"/>
      <c r="Q94" s="682"/>
      <c r="R94" s="466"/>
      <c r="S94" s="466"/>
      <c r="T94" s="466"/>
      <c r="U94" s="466"/>
      <c r="V94" s="466"/>
      <c r="W94" s="466"/>
      <c r="X94" s="466"/>
      <c r="Y94" s="466"/>
      <c r="Z94" s="678"/>
      <c r="AA94" s="466"/>
      <c r="AB94" s="466"/>
      <c r="AC94" s="466"/>
      <c r="AD94" s="466"/>
      <c r="AE94" s="466"/>
      <c r="AF94" s="680"/>
    </row>
    <row r="95" spans="1:32" ht="18.75" customHeight="1" x14ac:dyDescent="0.2">
      <c r="A95" s="677"/>
      <c r="B95" s="1894" t="s">
        <v>390</v>
      </c>
      <c r="C95" s="1912"/>
      <c r="D95" s="1912"/>
      <c r="E95" s="1912"/>
      <c r="F95" s="1912"/>
      <c r="G95" s="797"/>
      <c r="H95" s="800"/>
      <c r="I95" s="800"/>
      <c r="J95" s="801"/>
      <c r="K95" s="801"/>
      <c r="L95" s="801"/>
      <c r="M95" s="801"/>
      <c r="N95" s="801"/>
      <c r="O95" s="801"/>
      <c r="P95" s="448"/>
      <c r="Q95" s="448"/>
      <c r="R95" s="801"/>
      <c r="S95" s="801"/>
      <c r="T95" s="801"/>
      <c r="U95" s="797"/>
      <c r="V95" s="797"/>
      <c r="W95" s="797"/>
      <c r="X95" s="797"/>
      <c r="Y95" s="801"/>
      <c r="Z95" s="801"/>
      <c r="AA95" s="801"/>
      <c r="AB95" s="797"/>
      <c r="AC95" s="797"/>
      <c r="AD95" s="801"/>
      <c r="AE95" s="801"/>
      <c r="AF95" s="800"/>
    </row>
    <row r="96" spans="1:32" ht="18.75" customHeight="1" x14ac:dyDescent="0.2">
      <c r="A96" s="806">
        <v>75</v>
      </c>
      <c r="B96" s="802" t="s">
        <v>107</v>
      </c>
      <c r="C96" s="801" t="s">
        <v>109</v>
      </c>
      <c r="D96" s="801"/>
      <c r="E96" s="801"/>
      <c r="F96" s="801"/>
      <c r="G96" s="797"/>
      <c r="H96" s="800"/>
      <c r="I96" s="800"/>
      <c r="J96" s="801"/>
      <c r="K96" s="801"/>
      <c r="L96" s="801"/>
      <c r="M96" s="801"/>
      <c r="N96" s="801"/>
      <c r="O96" s="801"/>
      <c r="P96" s="448"/>
      <c r="Q96" s="448"/>
      <c r="R96" s="801"/>
      <c r="S96" s="801"/>
      <c r="T96" s="801"/>
      <c r="U96" s="797"/>
      <c r="V96" s="797"/>
      <c r="W96" s="797"/>
      <c r="X96" s="797"/>
      <c r="Y96" s="800"/>
      <c r="Z96" s="800"/>
      <c r="AA96" s="801"/>
      <c r="AB96" s="797"/>
      <c r="AC96" s="797"/>
      <c r="AD96" s="493"/>
      <c r="AE96" s="801"/>
      <c r="AF96" s="800"/>
    </row>
    <row r="97" spans="1:32" ht="18.75" customHeight="1" x14ac:dyDescent="0.2">
      <c r="A97" s="806">
        <v>76</v>
      </c>
      <c r="B97" s="802" t="s">
        <v>108</v>
      </c>
      <c r="C97" s="801" t="s">
        <v>109</v>
      </c>
      <c r="D97" s="801"/>
      <c r="E97" s="801"/>
      <c r="F97" s="801"/>
      <c r="G97" s="797"/>
      <c r="H97" s="800"/>
      <c r="I97" s="800"/>
      <c r="J97" s="801"/>
      <c r="K97" s="801"/>
      <c r="L97" s="801"/>
      <c r="M97" s="801"/>
      <c r="N97" s="801"/>
      <c r="O97" s="801"/>
      <c r="P97" s="448"/>
      <c r="Q97" s="448"/>
      <c r="R97" s="801"/>
      <c r="S97" s="801"/>
      <c r="T97" s="801"/>
      <c r="U97" s="797"/>
      <c r="V97" s="797"/>
      <c r="W97" s="797"/>
      <c r="X97" s="797"/>
      <c r="Y97" s="800"/>
      <c r="Z97" s="800"/>
      <c r="AA97" s="801"/>
      <c r="AB97" s="797"/>
      <c r="AC97" s="797"/>
      <c r="AD97" s="493"/>
      <c r="AE97" s="801"/>
      <c r="AF97" s="800"/>
    </row>
    <row r="98" spans="1:32" ht="18.75" customHeight="1" x14ac:dyDescent="0.2">
      <c r="A98" s="806">
        <v>77</v>
      </c>
      <c r="B98" s="802" t="s">
        <v>195</v>
      </c>
      <c r="C98" s="803" t="s">
        <v>193</v>
      </c>
      <c r="D98" s="801"/>
      <c r="E98" s="801"/>
      <c r="F98" s="801"/>
      <c r="G98" s="797"/>
      <c r="H98" s="800"/>
      <c r="I98" s="800"/>
      <c r="J98" s="801"/>
      <c r="K98" s="801"/>
      <c r="L98" s="801"/>
      <c r="M98" s="801"/>
      <c r="N98" s="801"/>
      <c r="O98" s="801"/>
      <c r="P98" s="448"/>
      <c r="Q98" s="448"/>
      <c r="R98" s="801"/>
      <c r="S98" s="801"/>
      <c r="T98" s="801"/>
      <c r="U98" s="797"/>
      <c r="V98" s="797"/>
      <c r="W98" s="797"/>
      <c r="X98" s="797"/>
      <c r="Y98" s="800"/>
      <c r="Z98" s="800"/>
      <c r="AA98" s="801"/>
      <c r="AB98" s="797"/>
      <c r="AC98" s="797"/>
      <c r="AD98" s="493"/>
      <c r="AE98" s="801"/>
      <c r="AF98" s="800"/>
    </row>
    <row r="99" spans="1:32" ht="18.75" customHeight="1" x14ac:dyDescent="0.2">
      <c r="A99" s="806">
        <v>78</v>
      </c>
      <c r="B99" s="802" t="s">
        <v>192</v>
      </c>
      <c r="C99" s="803" t="s">
        <v>193</v>
      </c>
      <c r="D99" s="801"/>
      <c r="E99" s="801"/>
      <c r="F99" s="801"/>
      <c r="G99" s="797"/>
      <c r="H99" s="800"/>
      <c r="I99" s="800"/>
      <c r="J99" s="801"/>
      <c r="K99" s="801"/>
      <c r="L99" s="801"/>
      <c r="M99" s="801"/>
      <c r="N99" s="801"/>
      <c r="O99" s="801"/>
      <c r="P99" s="448"/>
      <c r="Q99" s="448"/>
      <c r="R99" s="801"/>
      <c r="S99" s="801"/>
      <c r="T99" s="801"/>
      <c r="U99" s="797"/>
      <c r="V99" s="797"/>
      <c r="W99" s="797"/>
      <c r="X99" s="797"/>
      <c r="Y99" s="800"/>
      <c r="Z99" s="800"/>
      <c r="AA99" s="801"/>
      <c r="AB99" s="797"/>
      <c r="AC99" s="797"/>
      <c r="AD99" s="493"/>
      <c r="AE99" s="801"/>
      <c r="AF99" s="800"/>
    </row>
    <row r="100" spans="1:32" ht="18.75" customHeight="1" x14ac:dyDescent="0.2">
      <c r="A100" s="806"/>
      <c r="B100" s="1894" t="s">
        <v>391</v>
      </c>
      <c r="C100" s="1912"/>
      <c r="D100" s="1912"/>
      <c r="E100" s="1912"/>
      <c r="F100" s="1912"/>
      <c r="G100" s="797"/>
      <c r="H100" s="800"/>
      <c r="I100" s="800"/>
      <c r="J100" s="801"/>
      <c r="K100" s="801"/>
      <c r="L100" s="801"/>
      <c r="M100" s="801"/>
      <c r="N100" s="801"/>
      <c r="O100" s="801"/>
      <c r="P100" s="448"/>
      <c r="Q100" s="448"/>
      <c r="R100" s="801"/>
      <c r="S100" s="801"/>
      <c r="T100" s="801"/>
      <c r="U100" s="797"/>
      <c r="V100" s="797"/>
      <c r="W100" s="797"/>
      <c r="X100" s="797"/>
      <c r="Y100" s="801"/>
      <c r="Z100" s="801"/>
      <c r="AA100" s="801"/>
      <c r="AB100" s="797"/>
      <c r="AC100" s="797"/>
      <c r="AD100" s="801"/>
      <c r="AE100" s="801"/>
      <c r="AF100" s="800"/>
    </row>
    <row r="101" spans="1:32" ht="18.75" customHeight="1" x14ac:dyDescent="0.2">
      <c r="A101" s="806">
        <v>79</v>
      </c>
      <c r="B101" s="461" t="s">
        <v>189</v>
      </c>
      <c r="C101" s="806" t="s">
        <v>46</v>
      </c>
      <c r="D101" s="806">
        <v>673</v>
      </c>
      <c r="E101" s="806" t="s">
        <v>190</v>
      </c>
      <c r="F101" s="806">
        <v>177.8</v>
      </c>
      <c r="G101" s="806"/>
      <c r="H101" s="806"/>
      <c r="I101" s="801"/>
      <c r="J101" s="801"/>
      <c r="K101" s="801"/>
      <c r="L101" s="801"/>
      <c r="M101" s="801"/>
      <c r="N101" s="801"/>
      <c r="O101" s="801"/>
      <c r="P101" s="448"/>
      <c r="Q101" s="448"/>
      <c r="R101" s="801"/>
      <c r="S101" s="801"/>
      <c r="T101" s="801"/>
      <c r="U101" s="797"/>
      <c r="V101" s="797"/>
      <c r="W101" s="797"/>
      <c r="X101" s="797"/>
      <c r="Y101" s="473"/>
      <c r="Z101" s="683"/>
      <c r="AA101" s="800"/>
      <c r="AB101" s="797"/>
      <c r="AC101" s="801"/>
      <c r="AD101" s="806"/>
      <c r="AE101" s="432"/>
      <c r="AF101" s="449"/>
    </row>
    <row r="102" spans="1:32" ht="18.75" customHeight="1" x14ac:dyDescent="0.3">
      <c r="A102" s="806">
        <v>80</v>
      </c>
      <c r="B102" s="461" t="s">
        <v>181</v>
      </c>
      <c r="C102" s="684" t="s">
        <v>183</v>
      </c>
      <c r="D102" s="806">
        <v>374.5</v>
      </c>
      <c r="E102" s="806" t="s">
        <v>182</v>
      </c>
      <c r="F102" s="806">
        <v>177.8</v>
      </c>
      <c r="G102" s="806"/>
      <c r="H102" s="806"/>
      <c r="I102" s="801"/>
      <c r="J102" s="806"/>
      <c r="K102" s="806"/>
      <c r="L102" s="806"/>
      <c r="M102" s="806"/>
      <c r="N102" s="668"/>
      <c r="O102" s="806"/>
      <c r="P102" s="432"/>
      <c r="Q102" s="668"/>
      <c r="R102" s="432"/>
      <c r="S102" s="432"/>
      <c r="T102" s="432"/>
      <c r="U102" s="432"/>
      <c r="V102" s="432"/>
      <c r="W102" s="432"/>
      <c r="X102" s="685"/>
      <c r="Y102" s="432"/>
      <c r="Z102" s="432"/>
      <c r="AA102" s="432"/>
      <c r="AB102" s="432"/>
      <c r="AC102" s="432"/>
      <c r="AD102" s="806"/>
      <c r="AE102" s="432"/>
      <c r="AF102" s="449"/>
    </row>
    <row r="103" spans="1:32" ht="18.75" customHeight="1" x14ac:dyDescent="0.2">
      <c r="A103" s="806">
        <v>81</v>
      </c>
      <c r="B103" s="461" t="s">
        <v>174</v>
      </c>
      <c r="C103" s="806" t="s">
        <v>46</v>
      </c>
      <c r="D103" s="806">
        <v>672</v>
      </c>
      <c r="E103" s="806" t="s">
        <v>175</v>
      </c>
      <c r="F103" s="806">
        <v>177.8</v>
      </c>
      <c r="G103" s="806"/>
      <c r="H103" s="806"/>
      <c r="I103" s="801"/>
      <c r="J103" s="806"/>
      <c r="K103" s="806"/>
      <c r="L103" s="806"/>
      <c r="M103" s="806"/>
      <c r="N103" s="668"/>
      <c r="O103" s="806"/>
      <c r="P103" s="668"/>
      <c r="Q103" s="668"/>
      <c r="R103" s="432"/>
      <c r="S103" s="432"/>
      <c r="T103" s="432"/>
      <c r="U103" s="432"/>
      <c r="V103" s="432"/>
      <c r="W103" s="432"/>
      <c r="X103" s="432"/>
      <c r="Y103" s="432"/>
      <c r="Z103" s="432"/>
      <c r="AA103" s="432"/>
      <c r="AB103" s="432"/>
      <c r="AC103" s="432"/>
      <c r="AD103" s="806"/>
      <c r="AE103" s="432"/>
      <c r="AF103" s="449"/>
    </row>
    <row r="104" spans="1:32" ht="18.75" customHeight="1" x14ac:dyDescent="0.2">
      <c r="A104" s="806">
        <v>82</v>
      </c>
      <c r="B104" s="802" t="s">
        <v>103</v>
      </c>
      <c r="C104" s="806" t="s">
        <v>46</v>
      </c>
      <c r="D104" s="801">
        <v>582</v>
      </c>
      <c r="E104" s="801" t="s">
        <v>112</v>
      </c>
      <c r="F104" s="806">
        <v>177.8</v>
      </c>
      <c r="G104" s="806"/>
      <c r="H104" s="806"/>
      <c r="I104" s="801"/>
      <c r="J104" s="801"/>
      <c r="K104" s="801"/>
      <c r="L104" s="801"/>
      <c r="M104" s="801"/>
      <c r="N104" s="801"/>
      <c r="O104" s="801"/>
      <c r="P104" s="448"/>
      <c r="Q104" s="448"/>
      <c r="R104" s="801"/>
      <c r="S104" s="801"/>
      <c r="T104" s="801"/>
      <c r="U104" s="797"/>
      <c r="V104" s="797"/>
      <c r="W104" s="797"/>
      <c r="X104" s="421"/>
      <c r="Y104" s="492"/>
      <c r="Z104" s="801"/>
      <c r="AA104" s="801"/>
      <c r="AB104" s="797"/>
      <c r="AC104" s="801"/>
      <c r="AD104" s="493"/>
      <c r="AE104" s="437"/>
      <c r="AF104" s="449"/>
    </row>
    <row r="105" spans="1:32" ht="18.75" customHeight="1" x14ac:dyDescent="0.2">
      <c r="A105" s="806">
        <v>83</v>
      </c>
      <c r="B105" s="806" t="s">
        <v>57</v>
      </c>
      <c r="C105" s="803" t="s">
        <v>314</v>
      </c>
      <c r="D105" s="806">
        <v>376.58</v>
      </c>
      <c r="E105" s="461" t="s">
        <v>93</v>
      </c>
      <c r="F105" s="806">
        <v>177.8</v>
      </c>
      <c r="G105" s="806"/>
      <c r="H105" s="806"/>
      <c r="I105" s="801"/>
      <c r="J105" s="801"/>
      <c r="K105" s="801"/>
      <c r="L105" s="801"/>
      <c r="M105" s="801"/>
      <c r="N105" s="801"/>
      <c r="O105" s="801"/>
      <c r="P105" s="448"/>
      <c r="Q105" s="448"/>
      <c r="R105" s="801"/>
      <c r="S105" s="801"/>
      <c r="T105" s="801"/>
      <c r="U105" s="797"/>
      <c r="V105" s="797"/>
      <c r="W105" s="797"/>
      <c r="X105" s="421"/>
      <c r="Y105" s="492"/>
      <c r="Z105" s="801"/>
      <c r="AA105" s="801"/>
      <c r="AB105" s="797"/>
      <c r="AC105" s="801"/>
      <c r="AD105" s="493"/>
      <c r="AE105" s="437"/>
      <c r="AF105" s="449"/>
    </row>
    <row r="106" spans="1:32" ht="18.75" customHeight="1" x14ac:dyDescent="0.2">
      <c r="A106" s="806">
        <v>84</v>
      </c>
      <c r="B106" s="806" t="s">
        <v>184</v>
      </c>
      <c r="C106" s="803" t="s">
        <v>314</v>
      </c>
      <c r="D106" s="806">
        <v>422.78</v>
      </c>
      <c r="E106" s="461" t="s">
        <v>185</v>
      </c>
      <c r="F106" s="806">
        <v>177.8</v>
      </c>
      <c r="G106" s="806"/>
      <c r="H106" s="806"/>
      <c r="I106" s="432"/>
      <c r="J106" s="801"/>
      <c r="K106" s="801"/>
      <c r="L106" s="801"/>
      <c r="M106" s="801"/>
      <c r="N106" s="801"/>
      <c r="O106" s="801"/>
      <c r="P106" s="448"/>
      <c r="Q106" s="448"/>
      <c r="R106" s="801"/>
      <c r="S106" s="801"/>
      <c r="T106" s="801"/>
      <c r="U106" s="797"/>
      <c r="V106" s="797"/>
      <c r="W106" s="797"/>
      <c r="X106" s="421"/>
      <c r="Y106" s="492"/>
      <c r="Z106" s="801"/>
      <c r="AA106" s="801"/>
      <c r="AB106" s="797"/>
      <c r="AC106" s="801"/>
      <c r="AD106" s="493"/>
      <c r="AE106" s="437"/>
      <c r="AF106" s="449"/>
    </row>
    <row r="107" spans="1:32" ht="18.75" customHeight="1" x14ac:dyDescent="0.2">
      <c r="A107" s="806">
        <v>85</v>
      </c>
      <c r="B107" s="802" t="s">
        <v>220</v>
      </c>
      <c r="C107" s="806" t="s">
        <v>46</v>
      </c>
      <c r="D107" s="801">
        <v>685.69</v>
      </c>
      <c r="E107" s="801" t="s">
        <v>222</v>
      </c>
      <c r="F107" s="806">
        <v>177.8</v>
      </c>
      <c r="G107" s="806"/>
      <c r="H107" s="806"/>
      <c r="I107" s="801"/>
      <c r="J107" s="801"/>
      <c r="K107" s="801"/>
      <c r="L107" s="801"/>
      <c r="M107" s="801"/>
      <c r="N107" s="801"/>
      <c r="O107" s="801"/>
      <c r="P107" s="448"/>
      <c r="Q107" s="771"/>
      <c r="R107" s="801"/>
      <c r="S107" s="801"/>
      <c r="T107" s="801"/>
      <c r="U107" s="797"/>
      <c r="V107" s="797"/>
      <c r="W107" s="797"/>
      <c r="X107" s="421"/>
      <c r="Y107" s="492"/>
      <c r="Z107" s="801"/>
      <c r="AA107" s="801"/>
      <c r="AB107" s="797"/>
      <c r="AC107" s="801"/>
      <c r="AD107" s="493"/>
      <c r="AE107" s="437"/>
      <c r="AF107" s="449"/>
    </row>
    <row r="108" spans="1:32" ht="18.75" customHeight="1" x14ac:dyDescent="0.2">
      <c r="A108" s="806"/>
      <c r="B108" s="1894" t="s">
        <v>430</v>
      </c>
      <c r="C108" s="1912"/>
      <c r="D108" s="1912"/>
      <c r="E108" s="1912"/>
      <c r="F108" s="1912"/>
      <c r="G108" s="806"/>
      <c r="H108" s="806"/>
      <c r="I108" s="801"/>
      <c r="J108" s="806"/>
      <c r="K108" s="806"/>
      <c r="L108" s="806"/>
      <c r="M108" s="806"/>
      <c r="N108" s="668"/>
      <c r="O108" s="806"/>
      <c r="P108" s="668"/>
      <c r="Q108" s="772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806"/>
      <c r="AE108" s="432"/>
      <c r="AF108" s="449"/>
    </row>
    <row r="109" spans="1:32" ht="18.75" customHeight="1" x14ac:dyDescent="0.2">
      <c r="A109" s="806">
        <v>86</v>
      </c>
      <c r="B109" s="461" t="s">
        <v>56</v>
      </c>
      <c r="C109" s="806" t="s">
        <v>46</v>
      </c>
      <c r="D109" s="806">
        <v>680.52</v>
      </c>
      <c r="E109" s="806" t="s">
        <v>92</v>
      </c>
      <c r="F109" s="806">
        <v>177.8</v>
      </c>
      <c r="G109" s="806"/>
      <c r="H109" s="806"/>
      <c r="I109" s="801"/>
      <c r="J109" s="806"/>
      <c r="K109" s="806"/>
      <c r="L109" s="806"/>
      <c r="M109" s="806"/>
      <c r="N109" s="668"/>
      <c r="O109" s="806"/>
      <c r="P109" s="668"/>
      <c r="Q109" s="772"/>
      <c r="R109" s="432"/>
      <c r="S109" s="432"/>
      <c r="T109" s="432"/>
      <c r="U109" s="432"/>
      <c r="V109" s="432"/>
      <c r="W109" s="432"/>
      <c r="X109" s="432"/>
      <c r="Y109" s="432"/>
      <c r="Z109" s="432"/>
      <c r="AA109" s="432"/>
      <c r="AB109" s="432"/>
      <c r="AC109" s="432"/>
      <c r="AD109" s="806"/>
      <c r="AE109" s="432"/>
      <c r="AF109" s="449"/>
    </row>
    <row r="110" spans="1:32" ht="18.75" customHeight="1" x14ac:dyDescent="0.2">
      <c r="A110" s="806"/>
      <c r="B110" s="461"/>
      <c r="C110" s="806"/>
      <c r="D110" s="806"/>
      <c r="E110" s="806"/>
      <c r="F110" s="806"/>
      <c r="G110" s="806"/>
      <c r="H110" s="806"/>
      <c r="I110" s="801"/>
      <c r="J110" s="806"/>
      <c r="K110" s="806"/>
      <c r="L110" s="806"/>
      <c r="M110" s="806"/>
      <c r="N110" s="668"/>
      <c r="O110" s="806"/>
      <c r="P110" s="432"/>
      <c r="Q110" s="772"/>
      <c r="R110" s="432"/>
      <c r="S110" s="432"/>
      <c r="T110" s="432"/>
      <c r="U110" s="432"/>
      <c r="V110" s="432"/>
      <c r="W110" s="432"/>
      <c r="X110" s="685"/>
      <c r="Y110" s="432"/>
      <c r="Z110" s="432"/>
      <c r="AA110" s="432"/>
      <c r="AB110" s="432"/>
      <c r="AC110" s="432"/>
      <c r="AD110" s="806"/>
      <c r="AE110" s="432"/>
      <c r="AF110" s="449"/>
    </row>
    <row r="111" spans="1:32" ht="18.75" x14ac:dyDescent="0.2">
      <c r="A111" s="745"/>
      <c r="B111" s="804"/>
      <c r="C111" s="804"/>
      <c r="D111" s="804"/>
      <c r="E111" s="461"/>
      <c r="F111" s="806"/>
      <c r="G111" s="806"/>
      <c r="H111" s="806"/>
      <c r="I111" s="801"/>
      <c r="J111" s="806"/>
      <c r="K111" s="806"/>
      <c r="L111" s="806"/>
      <c r="M111" s="806"/>
      <c r="N111" s="668"/>
      <c r="O111" s="806"/>
      <c r="P111" s="432"/>
      <c r="Q111" s="772"/>
      <c r="R111" s="432"/>
      <c r="S111" s="432"/>
      <c r="T111" s="432"/>
      <c r="U111" s="432"/>
      <c r="V111" s="432"/>
      <c r="W111" s="432"/>
      <c r="X111" s="685"/>
      <c r="Y111" s="432"/>
      <c r="Z111" s="432"/>
      <c r="AA111" s="432"/>
      <c r="AB111" s="432"/>
      <c r="AC111" s="432"/>
      <c r="AD111" s="806"/>
      <c r="AE111" s="432"/>
      <c r="AF111" s="449"/>
    </row>
    <row r="112" spans="1:32" ht="18.75" x14ac:dyDescent="0.2">
      <c r="A112" s="710"/>
      <c r="B112" s="1939"/>
      <c r="C112" s="1939"/>
      <c r="D112" s="1939"/>
      <c r="E112" s="1940"/>
      <c r="F112" s="805"/>
      <c r="G112" s="806"/>
      <c r="H112" s="806"/>
      <c r="I112" s="432"/>
      <c r="J112" s="806"/>
      <c r="K112" s="805"/>
      <c r="L112" s="806"/>
      <c r="M112" s="805"/>
      <c r="N112" s="668"/>
      <c r="O112" s="805"/>
      <c r="P112" s="682"/>
      <c r="Q112" s="774"/>
      <c r="R112" s="466">
        <f>R79+R93</f>
        <v>405.38499999999993</v>
      </c>
      <c r="S112" s="466">
        <f>S79+S93</f>
        <v>800.42000000000007</v>
      </c>
      <c r="T112" s="678">
        <f>T79+T93</f>
        <v>10160.550000000001</v>
      </c>
      <c r="U112" s="466">
        <f>T112/R112</f>
        <v>25.063951552228136</v>
      </c>
      <c r="V112" s="466"/>
      <c r="W112" s="466"/>
      <c r="X112" s="466"/>
      <c r="Y112" s="466">
        <f>Y79+Y93+Y84+Y82+Y83</f>
        <v>418.05920499999991</v>
      </c>
      <c r="Z112" s="466">
        <f>Z79+Z93+Z84</f>
        <v>785.91906799999981</v>
      </c>
      <c r="AA112" s="678">
        <f>AA79+AA93</f>
        <v>9987.3296500000015</v>
      </c>
      <c r="AB112" s="466">
        <f>AB79+AB93</f>
        <v>25.566890713586513</v>
      </c>
      <c r="AC112" s="466"/>
      <c r="AD112" s="466"/>
      <c r="AE112" s="686">
        <f>AE79+AE93</f>
        <v>12298.839130999997</v>
      </c>
      <c r="AF112" s="680"/>
    </row>
    <row r="113" spans="2:32" ht="18.75" x14ac:dyDescent="0.2">
      <c r="B113" s="497"/>
      <c r="C113" s="497"/>
      <c r="D113" s="497"/>
      <c r="E113" s="497"/>
      <c r="F113" s="497"/>
      <c r="G113" s="498"/>
      <c r="H113" s="499"/>
      <c r="I113" s="499"/>
      <c r="J113" s="497"/>
      <c r="K113" s="497"/>
      <c r="L113" s="497"/>
      <c r="M113" s="497"/>
      <c r="N113" s="497"/>
      <c r="O113" s="497"/>
      <c r="P113" s="500"/>
      <c r="Q113" s="775"/>
      <c r="R113" s="497"/>
      <c r="S113" s="497"/>
      <c r="T113" s="497"/>
      <c r="U113" s="498"/>
      <c r="V113" s="498"/>
      <c r="W113" s="498"/>
      <c r="X113" s="498"/>
      <c r="Y113" s="497"/>
      <c r="Z113" s="497"/>
      <c r="AA113" s="497"/>
      <c r="AB113" s="498"/>
      <c r="AC113" s="498"/>
      <c r="AD113" s="497"/>
      <c r="AE113" s="497"/>
      <c r="AF113" s="499"/>
    </row>
    <row r="114" spans="2:32" ht="18.75" x14ac:dyDescent="0.2">
      <c r="B114" s="412"/>
      <c r="C114" s="460"/>
      <c r="D114" s="412"/>
      <c r="E114" s="687">
        <v>0.95</v>
      </c>
      <c r="F114" s="412"/>
      <c r="G114" s="412" t="s">
        <v>102</v>
      </c>
      <c r="H114" s="460"/>
      <c r="I114" s="688"/>
      <c r="J114" s="412"/>
      <c r="K114" s="1941">
        <f>AE112*E114</f>
        <v>11683.897174449996</v>
      </c>
      <c r="L114" s="1897"/>
      <c r="M114" s="1897"/>
      <c r="N114" s="460" t="s">
        <v>27</v>
      </c>
      <c r="O114" s="497"/>
      <c r="P114" s="500"/>
      <c r="Q114" s="775"/>
      <c r="R114" s="497"/>
      <c r="S114" s="497"/>
      <c r="T114" s="497"/>
      <c r="U114" s="498"/>
      <c r="V114" s="498"/>
      <c r="W114" s="498"/>
      <c r="X114" s="498"/>
      <c r="Y114" s="497"/>
      <c r="Z114" s="497"/>
      <c r="AA114" s="497"/>
      <c r="AB114" s="498"/>
      <c r="AC114" s="498"/>
      <c r="AD114" s="497"/>
      <c r="AE114" s="497"/>
      <c r="AF114" s="499"/>
    </row>
    <row r="115" spans="2:32" ht="18.75" x14ac:dyDescent="0.2">
      <c r="B115" s="412"/>
      <c r="C115" s="460"/>
      <c r="D115" s="412"/>
      <c r="E115" s="687"/>
      <c r="F115" s="412"/>
      <c r="G115" s="460"/>
      <c r="H115" s="460"/>
      <c r="I115" s="688"/>
      <c r="J115" s="412"/>
      <c r="K115" s="460"/>
      <c r="L115" s="689"/>
      <c r="M115" s="412"/>
      <c r="N115" s="412"/>
      <c r="O115" s="412"/>
      <c r="P115" s="690"/>
      <c r="Q115" s="776"/>
      <c r="R115" s="412"/>
      <c r="S115" s="412"/>
      <c r="T115" s="412"/>
      <c r="U115" s="412"/>
      <c r="V115" s="412"/>
      <c r="W115" s="412"/>
      <c r="X115" s="808"/>
      <c r="Y115" s="808"/>
      <c r="Z115" s="808"/>
      <c r="AA115" s="808"/>
      <c r="AB115" s="808"/>
      <c r="AC115" s="808"/>
      <c r="AD115" s="808"/>
      <c r="AE115" s="808"/>
      <c r="AF115" s="692"/>
    </row>
    <row r="116" spans="2:32" ht="18.75" x14ac:dyDescent="0.2">
      <c r="B116" s="412"/>
      <c r="C116" s="412"/>
      <c r="D116" s="412"/>
      <c r="E116" s="693" t="s">
        <v>214</v>
      </c>
      <c r="F116" s="1911" t="s">
        <v>264</v>
      </c>
      <c r="G116" s="1911"/>
      <c r="H116" s="1911"/>
      <c r="I116" s="412"/>
      <c r="J116" s="412"/>
      <c r="K116" s="460"/>
      <c r="L116" s="460"/>
      <c r="M116" s="412"/>
      <c r="N116" s="412"/>
      <c r="O116" s="412"/>
      <c r="P116" s="412"/>
      <c r="Q116" s="776"/>
      <c r="R116" s="412"/>
      <c r="S116" s="412"/>
      <c r="T116" s="412"/>
      <c r="U116" s="412"/>
      <c r="V116" s="412"/>
      <c r="W116" s="412"/>
      <c r="X116" s="1938" t="s">
        <v>352</v>
      </c>
      <c r="Y116" s="1937"/>
      <c r="Z116" s="1937"/>
      <c r="AA116" s="1937"/>
      <c r="AB116" s="808" t="s">
        <v>282</v>
      </c>
      <c r="AC116" s="808"/>
      <c r="AD116" s="808"/>
      <c r="AE116" s="808"/>
      <c r="AF116" s="808"/>
    </row>
  </sheetData>
  <mergeCells count="40">
    <mergeCell ref="B100:F100"/>
    <mergeCell ref="B108:F108"/>
    <mergeCell ref="B112:E112"/>
    <mergeCell ref="K114:M114"/>
    <mergeCell ref="F116:H116"/>
    <mergeCell ref="X116:AA116"/>
    <mergeCell ref="AF12:AF13"/>
    <mergeCell ref="B85:E85"/>
    <mergeCell ref="B86:F86"/>
    <mergeCell ref="B93:E93"/>
    <mergeCell ref="B94:E94"/>
    <mergeCell ref="B95:F9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F116"/>
  <sheetViews>
    <sheetView topLeftCell="A70" zoomScale="70" zoomScaleNormal="70" workbookViewId="0">
      <selection activeCell="B84" sqref="B84"/>
    </sheetView>
  </sheetViews>
  <sheetFormatPr defaultColWidth="8.85546875" defaultRowHeight="12.75" x14ac:dyDescent="0.2"/>
  <cols>
    <col min="1" max="1" width="9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1.85546875" style="666" customWidth="1"/>
    <col min="6" max="6" width="9" style="666" bestFit="1" customWidth="1"/>
    <col min="7" max="7" width="8.85546875" style="666"/>
    <col min="8" max="8" width="17.7109375" style="666" customWidth="1"/>
    <col min="9" max="9" width="14.7109375" style="666" customWidth="1"/>
    <col min="10" max="14" width="9" style="666" bestFit="1" customWidth="1"/>
    <col min="15" max="15" width="8.85546875" style="666"/>
    <col min="16" max="16" width="9" style="666" bestFit="1" customWidth="1"/>
    <col min="17" max="17" width="9.7109375" style="777" customWidth="1"/>
    <col min="18" max="18" width="11.28515625" style="666" customWidth="1"/>
    <col min="19" max="19" width="9" style="666" bestFit="1" customWidth="1"/>
    <col min="20" max="20" width="9.85546875" style="666" customWidth="1"/>
    <col min="21" max="21" width="9" style="666" bestFit="1" customWidth="1"/>
    <col min="22" max="22" width="8.5703125" style="666" customWidth="1"/>
    <col min="23" max="23" width="9" style="666" bestFit="1" customWidth="1"/>
    <col min="24" max="26" width="9" style="666" customWidth="1"/>
    <col min="27" max="27" width="9.28515625" style="666" customWidth="1"/>
    <col min="28" max="30" width="9" style="666" bestFit="1" customWidth="1"/>
    <col min="31" max="31" width="14.28515625" style="666" customWidth="1"/>
    <col min="32" max="32" width="67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823"/>
      <c r="G2" s="813"/>
      <c r="H2" s="813"/>
      <c r="I2" s="823"/>
      <c r="J2" s="1909" t="s">
        <v>450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823"/>
      <c r="Y2" s="823"/>
      <c r="Z2" s="823"/>
      <c r="AA2" s="823"/>
      <c r="AB2" s="823"/>
      <c r="AC2" s="823"/>
      <c r="AD2" s="823"/>
      <c r="AE2" s="823"/>
      <c r="AF2" s="405"/>
    </row>
    <row r="3" spans="1:32" ht="18.75" x14ac:dyDescent="0.2">
      <c r="A3" s="1910" t="s">
        <v>54</v>
      </c>
      <c r="B3" s="1910"/>
      <c r="C3" s="1910"/>
      <c r="D3" s="1910"/>
      <c r="E3" s="823"/>
      <c r="F3" s="823"/>
      <c r="G3" s="813"/>
      <c r="H3" s="822"/>
      <c r="I3" s="822"/>
      <c r="J3" s="822"/>
      <c r="K3" s="822"/>
      <c r="L3" s="822"/>
      <c r="M3" s="822"/>
      <c r="N3" s="822"/>
      <c r="O3" s="822"/>
      <c r="P3" s="822"/>
      <c r="Q3" s="767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408" t="s">
        <v>55</v>
      </c>
    </row>
    <row r="4" spans="1:32" ht="18.75" x14ac:dyDescent="0.2">
      <c r="A4" s="814" t="s">
        <v>311</v>
      </c>
      <c r="B4" s="814"/>
      <c r="C4" s="814"/>
      <c r="D4" s="814"/>
      <c r="E4" s="814"/>
      <c r="F4" s="823"/>
      <c r="G4" s="813"/>
      <c r="H4" s="813"/>
      <c r="I4" s="822"/>
      <c r="J4" s="822"/>
      <c r="K4" s="822"/>
      <c r="L4" s="822"/>
      <c r="M4" s="822"/>
      <c r="N4" s="822"/>
      <c r="O4" s="822"/>
      <c r="P4" s="822"/>
      <c r="Q4" s="767"/>
      <c r="R4" s="824"/>
      <c r="S4" s="824"/>
      <c r="T4" s="824"/>
      <c r="U4" s="824"/>
      <c r="V4" s="824"/>
      <c r="W4" s="824"/>
      <c r="X4" s="823"/>
      <c r="Y4" s="823"/>
      <c r="Z4" s="823"/>
      <c r="AA4" s="823"/>
      <c r="AB4" s="823"/>
      <c r="AC4" s="823"/>
      <c r="AD4" s="823"/>
      <c r="AE4" s="823"/>
      <c r="AF4" s="411" t="s">
        <v>338</v>
      </c>
    </row>
    <row r="5" spans="1:32" ht="18.75" x14ac:dyDescent="0.2">
      <c r="A5" s="814" t="s">
        <v>428</v>
      </c>
      <c r="B5" s="412"/>
      <c r="C5" s="412"/>
      <c r="D5" s="412"/>
      <c r="E5" s="823"/>
      <c r="F5" s="823"/>
      <c r="G5" s="813"/>
      <c r="H5" s="813"/>
      <c r="I5" s="823"/>
      <c r="J5" s="823"/>
      <c r="K5" s="813"/>
      <c r="L5" s="813"/>
      <c r="M5" s="823"/>
      <c r="N5" s="823"/>
      <c r="O5" s="823"/>
      <c r="P5" s="413"/>
      <c r="Q5" s="768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3"/>
      <c r="AC5" s="823"/>
      <c r="AD5" s="823"/>
      <c r="AE5" s="823"/>
      <c r="AF5" s="415" t="s">
        <v>429</v>
      </c>
    </row>
    <row r="6" spans="1:32" ht="18.75" x14ac:dyDescent="0.2">
      <c r="A6" s="823"/>
      <c r="B6" s="814"/>
      <c r="C6" s="814"/>
      <c r="D6" s="814"/>
      <c r="E6" s="823"/>
      <c r="F6" s="823"/>
      <c r="G6" s="813"/>
      <c r="H6" s="813"/>
      <c r="I6" s="405"/>
      <c r="J6" s="823"/>
      <c r="K6" s="813"/>
      <c r="L6" s="813"/>
      <c r="M6" s="823"/>
      <c r="N6" s="823"/>
      <c r="O6" s="823"/>
      <c r="P6" s="413"/>
      <c r="Q6" s="768"/>
      <c r="R6" s="823"/>
      <c r="S6" s="823"/>
      <c r="T6" s="823"/>
      <c r="U6" s="823"/>
      <c r="V6" s="823"/>
      <c r="W6" s="411"/>
      <c r="X6" s="823"/>
      <c r="Y6" s="412"/>
      <c r="Z6" s="412"/>
      <c r="AA6" s="412"/>
      <c r="AB6" s="412"/>
      <c r="AC6" s="412"/>
      <c r="AD6" s="412"/>
      <c r="AE6" s="412"/>
      <c r="AF6" s="417"/>
    </row>
    <row r="7" spans="1:32" ht="18.75" x14ac:dyDescent="0.2">
      <c r="A7" s="1911" t="s">
        <v>261</v>
      </c>
      <c r="B7" s="1911"/>
      <c r="C7" s="1911"/>
      <c r="D7" s="1911"/>
      <c r="E7" s="1911"/>
      <c r="F7" s="823"/>
      <c r="G7" s="813"/>
      <c r="H7" s="813"/>
      <c r="I7" s="405"/>
      <c r="J7" s="823"/>
      <c r="K7" s="813"/>
      <c r="L7" s="813"/>
      <c r="M7" s="823"/>
      <c r="N7" s="823"/>
      <c r="O7" s="823"/>
      <c r="P7" s="413"/>
      <c r="Q7" s="768"/>
      <c r="R7" s="823"/>
      <c r="S7" s="823"/>
      <c r="T7" s="823"/>
      <c r="U7" s="823"/>
      <c r="V7" s="823"/>
      <c r="W7" s="411"/>
      <c r="X7" s="823"/>
      <c r="Y7" s="412"/>
      <c r="Z7" s="412"/>
      <c r="AA7" s="412"/>
      <c r="AB7" s="412"/>
      <c r="AC7" s="412"/>
      <c r="AD7" s="412"/>
      <c r="AE7" s="412"/>
      <c r="AF7" s="411"/>
    </row>
    <row r="8" spans="1:32" ht="18.75" x14ac:dyDescent="0.2">
      <c r="A8" s="1911" t="s">
        <v>428</v>
      </c>
      <c r="B8" s="1911"/>
      <c r="C8" s="1911"/>
      <c r="D8" s="1911"/>
      <c r="E8" s="1911"/>
      <c r="F8" s="823"/>
      <c r="G8" s="813"/>
      <c r="H8" s="813"/>
      <c r="I8" s="405"/>
      <c r="J8" s="823"/>
      <c r="K8" s="813"/>
      <c r="L8" s="813"/>
      <c r="M8" s="823"/>
      <c r="N8" s="823"/>
      <c r="O8" s="823"/>
      <c r="P8" s="413"/>
      <c r="Q8" s="768"/>
      <c r="R8" s="823"/>
      <c r="S8" s="823"/>
      <c r="T8" s="823"/>
      <c r="U8" s="823"/>
      <c r="V8" s="823"/>
      <c r="W8" s="411"/>
      <c r="X8" s="823"/>
      <c r="Y8" s="412"/>
      <c r="Z8" s="412"/>
      <c r="AA8" s="412"/>
      <c r="AB8" s="412"/>
      <c r="AC8" s="412"/>
      <c r="AD8" s="412"/>
      <c r="AE8" s="412"/>
      <c r="AF8" s="415"/>
    </row>
    <row r="9" spans="1:32" ht="18.75" x14ac:dyDescent="0.3">
      <c r="A9" s="667"/>
      <c r="B9" s="1911"/>
      <c r="C9" s="1911"/>
      <c r="D9" s="1911"/>
      <c r="E9" s="1911"/>
      <c r="F9" s="823"/>
      <c r="G9" s="813"/>
      <c r="H9" s="813"/>
      <c r="I9" s="823"/>
      <c r="J9" s="823"/>
      <c r="K9" s="813"/>
      <c r="L9" s="813"/>
      <c r="M9" s="813"/>
      <c r="N9" s="813"/>
      <c r="O9" s="813"/>
      <c r="P9" s="813"/>
      <c r="Q9" s="769"/>
      <c r="R9" s="813"/>
      <c r="S9" s="813"/>
      <c r="T9" s="813"/>
      <c r="U9" s="813"/>
      <c r="V9" s="813"/>
      <c r="W9" s="823"/>
      <c r="X9" s="823"/>
      <c r="Y9" s="412"/>
      <c r="Z9" s="412"/>
      <c r="AA9" s="412"/>
      <c r="AB9" s="412"/>
      <c r="AC9" s="412"/>
      <c r="AD9" s="412"/>
      <c r="AE9" s="412"/>
      <c r="AF9" s="417"/>
    </row>
    <row r="10" spans="1:32" ht="18.75" x14ac:dyDescent="0.2">
      <c r="B10" s="813"/>
      <c r="C10" s="813"/>
      <c r="D10" s="813"/>
      <c r="E10" s="823"/>
      <c r="F10" s="823"/>
      <c r="G10" s="813"/>
      <c r="H10" s="813"/>
      <c r="I10" s="405"/>
      <c r="J10" s="823"/>
      <c r="K10" s="813"/>
      <c r="L10" s="813"/>
      <c r="M10" s="823"/>
      <c r="N10" s="823"/>
      <c r="O10" s="823"/>
      <c r="P10" s="413"/>
      <c r="Q10" s="768"/>
      <c r="R10" s="823"/>
      <c r="S10" s="823"/>
      <c r="T10" s="823"/>
      <c r="U10" s="823"/>
      <c r="V10" s="823"/>
      <c r="W10" s="411"/>
      <c r="X10" s="823"/>
      <c r="Y10" s="412"/>
      <c r="Z10" s="412"/>
      <c r="AA10" s="412"/>
      <c r="AB10" s="412"/>
      <c r="AC10" s="412"/>
      <c r="AD10" s="412"/>
      <c r="AE10" s="412"/>
      <c r="AF10" s="415"/>
    </row>
    <row r="11" spans="1:32" ht="18.75" x14ac:dyDescent="0.2">
      <c r="A11" s="1891" t="s">
        <v>1</v>
      </c>
      <c r="B11" s="1891" t="s">
        <v>2</v>
      </c>
      <c r="C11" s="1903" t="s">
        <v>8</v>
      </c>
      <c r="D11" s="1903" t="s">
        <v>33</v>
      </c>
      <c r="E11" s="1891" t="s">
        <v>0</v>
      </c>
      <c r="F11" s="1903" t="s">
        <v>34</v>
      </c>
      <c r="G11" s="1903" t="s">
        <v>5</v>
      </c>
      <c r="H11" s="1908" t="s">
        <v>23</v>
      </c>
      <c r="I11" s="1908"/>
      <c r="J11" s="1908"/>
      <c r="K11" s="1908"/>
      <c r="L11" s="1908"/>
      <c r="M11" s="1908"/>
      <c r="N11" s="1908"/>
      <c r="O11" s="1908"/>
      <c r="P11" s="1908"/>
      <c r="Q11" s="1908"/>
      <c r="R11" s="1908"/>
      <c r="S11" s="1908"/>
      <c r="T11" s="1908"/>
      <c r="U11" s="1908"/>
      <c r="V11" s="1908"/>
      <c r="W11" s="1908"/>
      <c r="X11" s="1908" t="s">
        <v>22</v>
      </c>
      <c r="Y11" s="1908"/>
      <c r="Z11" s="1908"/>
      <c r="AA11" s="1908"/>
      <c r="AB11" s="1908"/>
      <c r="AC11" s="1908"/>
      <c r="AD11" s="1908"/>
      <c r="AE11" s="1908"/>
      <c r="AF11" s="1908"/>
    </row>
    <row r="12" spans="1:32" ht="196.15" customHeight="1" x14ac:dyDescent="0.2">
      <c r="A12" s="1891"/>
      <c r="B12" s="1891"/>
      <c r="C12" s="1903"/>
      <c r="D12" s="1903"/>
      <c r="E12" s="1891"/>
      <c r="F12" s="1903"/>
      <c r="G12" s="1903"/>
      <c r="H12" s="1903" t="s">
        <v>66</v>
      </c>
      <c r="I12" s="1891" t="s">
        <v>35</v>
      </c>
      <c r="J12" s="812" t="s">
        <v>6</v>
      </c>
      <c r="K12" s="1891" t="s">
        <v>9</v>
      </c>
      <c r="L12" s="1891"/>
      <c r="M12" s="1891" t="s">
        <v>10</v>
      </c>
      <c r="N12" s="1891"/>
      <c r="O12" s="1891" t="s">
        <v>11</v>
      </c>
      <c r="P12" s="1891"/>
      <c r="Q12" s="770" t="s">
        <v>67</v>
      </c>
      <c r="R12" s="1891" t="s">
        <v>15</v>
      </c>
      <c r="S12" s="1912"/>
      <c r="T12" s="1912"/>
      <c r="U12" s="1903" t="s">
        <v>100</v>
      </c>
      <c r="V12" s="1903" t="s">
        <v>16</v>
      </c>
      <c r="W12" s="1903" t="s">
        <v>17</v>
      </c>
      <c r="X12" s="1903" t="s">
        <v>24</v>
      </c>
      <c r="Y12" s="1891" t="s">
        <v>15</v>
      </c>
      <c r="Z12" s="1912"/>
      <c r="AA12" s="1912"/>
      <c r="AB12" s="1903" t="s">
        <v>100</v>
      </c>
      <c r="AC12" s="1903" t="s">
        <v>16</v>
      </c>
      <c r="AD12" s="812" t="s">
        <v>18</v>
      </c>
      <c r="AE12" s="812" t="s">
        <v>20</v>
      </c>
      <c r="AF12" s="1891" t="s">
        <v>21</v>
      </c>
    </row>
    <row r="13" spans="1:32" ht="37.5" x14ac:dyDescent="0.2">
      <c r="A13" s="1891"/>
      <c r="B13" s="1891"/>
      <c r="C13" s="1903"/>
      <c r="D13" s="816" t="s">
        <v>3</v>
      </c>
      <c r="E13" s="816" t="s">
        <v>3</v>
      </c>
      <c r="F13" s="816" t="s">
        <v>4</v>
      </c>
      <c r="G13" s="1903"/>
      <c r="H13" s="1903"/>
      <c r="I13" s="1891"/>
      <c r="J13" s="816" t="s">
        <v>7</v>
      </c>
      <c r="K13" s="816" t="s">
        <v>30</v>
      </c>
      <c r="L13" s="816" t="s">
        <v>29</v>
      </c>
      <c r="M13" s="816" t="s">
        <v>31</v>
      </c>
      <c r="N13" s="816" t="s">
        <v>32</v>
      </c>
      <c r="O13" s="816" t="s">
        <v>12</v>
      </c>
      <c r="P13" s="448" t="s">
        <v>13</v>
      </c>
      <c r="Q13" s="771" t="s">
        <v>26</v>
      </c>
      <c r="R13" s="816" t="s">
        <v>14</v>
      </c>
      <c r="S13" s="816" t="s">
        <v>25</v>
      </c>
      <c r="T13" s="816" t="s">
        <v>113</v>
      </c>
      <c r="U13" s="1903"/>
      <c r="V13" s="1903"/>
      <c r="W13" s="1903"/>
      <c r="X13" s="1903"/>
      <c r="Y13" s="816" t="s">
        <v>14</v>
      </c>
      <c r="Z13" s="816" t="s">
        <v>25</v>
      </c>
      <c r="AA13" s="816" t="s">
        <v>113</v>
      </c>
      <c r="AB13" s="1903"/>
      <c r="AC13" s="1903"/>
      <c r="AD13" s="816" t="s">
        <v>19</v>
      </c>
      <c r="AE13" s="816" t="s">
        <v>27</v>
      </c>
      <c r="AF13" s="1891"/>
    </row>
    <row r="14" spans="1:32" ht="18.75" customHeight="1" x14ac:dyDescent="0.2">
      <c r="A14" s="821">
        <v>1</v>
      </c>
      <c r="B14" s="461" t="s">
        <v>139</v>
      </c>
      <c r="C14" s="821" t="s">
        <v>46</v>
      </c>
      <c r="D14" s="821">
        <v>610.5</v>
      </c>
      <c r="E14" s="821" t="s">
        <v>203</v>
      </c>
      <c r="F14" s="821">
        <v>177.8</v>
      </c>
      <c r="G14" s="821" t="s">
        <v>28</v>
      </c>
      <c r="H14" s="195" t="s">
        <v>363</v>
      </c>
      <c r="I14" s="816">
        <v>558.54</v>
      </c>
      <c r="J14" s="821">
        <v>175</v>
      </c>
      <c r="K14" s="821"/>
      <c r="L14" s="821">
        <v>416</v>
      </c>
      <c r="M14" s="821"/>
      <c r="N14" s="821">
        <v>0.2</v>
      </c>
      <c r="O14" s="821"/>
      <c r="P14" s="668">
        <v>13.990443014918762</v>
      </c>
      <c r="Q14" s="668">
        <f>J14*7/100</f>
        <v>12.25</v>
      </c>
      <c r="R14" s="432">
        <v>1.7270000000000001</v>
      </c>
      <c r="S14" s="432">
        <v>6.7030000000000003</v>
      </c>
      <c r="T14" s="670">
        <v>5.7</v>
      </c>
      <c r="U14" s="668">
        <f t="shared" ref="U14:U77" si="0">T14/R14</f>
        <v>3.3005211349160395</v>
      </c>
      <c r="V14" s="668">
        <f>(S14-R14)/S14*100</f>
        <v>74.235416977472767</v>
      </c>
      <c r="W14" s="668">
        <v>0.3</v>
      </c>
      <c r="X14" s="432">
        <f t="shared" ref="X14:X49" si="1">S14/Q14</f>
        <v>0.54718367346938779</v>
      </c>
      <c r="Y14" s="432">
        <f>R14*0.983</f>
        <v>1.697641</v>
      </c>
      <c r="Z14" s="432">
        <f>S14*0.983</f>
        <v>6.5890490000000002</v>
      </c>
      <c r="AA14" s="670">
        <f>T14*0.983</f>
        <v>5.6031000000000004</v>
      </c>
      <c r="AB14" s="432">
        <f>U14</f>
        <v>3.3005211349160395</v>
      </c>
      <c r="AC14" s="670">
        <f t="shared" ref="AC14:AC77" si="2">V14</f>
        <v>74.235416977472767</v>
      </c>
      <c r="AD14" s="821">
        <v>30</v>
      </c>
      <c r="AE14" s="432">
        <f>Y14*AD14</f>
        <v>50.929229999999997</v>
      </c>
      <c r="AF14" s="669"/>
    </row>
    <row r="15" spans="1:32" ht="18.75" customHeight="1" x14ac:dyDescent="0.2">
      <c r="A15" s="821">
        <v>2</v>
      </c>
      <c r="B15" s="461" t="s">
        <v>140</v>
      </c>
      <c r="C15" s="821" t="s">
        <v>46</v>
      </c>
      <c r="D15" s="821">
        <v>585</v>
      </c>
      <c r="E15" s="821" t="s">
        <v>348</v>
      </c>
      <c r="F15" s="821">
        <v>177.8</v>
      </c>
      <c r="G15" s="821" t="s">
        <v>28</v>
      </c>
      <c r="H15" s="821" t="s">
        <v>50</v>
      </c>
      <c r="I15" s="816">
        <v>579.99</v>
      </c>
      <c r="J15" s="821" t="s">
        <v>254</v>
      </c>
      <c r="K15" s="821"/>
      <c r="L15" s="821">
        <v>420</v>
      </c>
      <c r="M15" s="821"/>
      <c r="N15" s="821">
        <v>1.7</v>
      </c>
      <c r="O15" s="821"/>
      <c r="P15" s="668">
        <v>16.4127927839174</v>
      </c>
      <c r="Q15" s="668">
        <f t="shared" ref="Q15:Q38" si="3">LEFT(H15,(FIND("K",H15,1)-1))*J15/100</f>
        <v>15</v>
      </c>
      <c r="R15" s="432">
        <v>1.35</v>
      </c>
      <c r="S15" s="432">
        <v>1.982</v>
      </c>
      <c r="T15" s="670">
        <v>1</v>
      </c>
      <c r="U15" s="668">
        <f t="shared" si="0"/>
        <v>0.7407407407407407</v>
      </c>
      <c r="V15" s="668">
        <f>(S15-R15)/S15*100</f>
        <v>31.88698284561049</v>
      </c>
      <c r="W15" s="668">
        <v>0.3</v>
      </c>
      <c r="X15" s="432">
        <f t="shared" si="1"/>
        <v>0.13213333333333332</v>
      </c>
      <c r="Y15" s="432">
        <f t="shared" ref="Y15:AA77" si="4">R15*0.983</f>
        <v>1.3270500000000001</v>
      </c>
      <c r="Z15" s="432">
        <f t="shared" si="4"/>
        <v>1.9483059999999999</v>
      </c>
      <c r="AA15" s="670">
        <f t="shared" si="4"/>
        <v>0.98299999999999998</v>
      </c>
      <c r="AB15" s="432">
        <f t="shared" ref="AB15:AB77" si="5">U15</f>
        <v>0.7407407407407407</v>
      </c>
      <c r="AC15" s="670">
        <f t="shared" si="2"/>
        <v>31.88698284561049</v>
      </c>
      <c r="AD15" s="821">
        <v>30</v>
      </c>
      <c r="AE15" s="432">
        <f t="shared" ref="AE15:AE58" si="6">Y15*AD15</f>
        <v>39.811500000000002</v>
      </c>
      <c r="AF15" s="669"/>
    </row>
    <row r="16" spans="1:32" ht="18.75" customHeight="1" x14ac:dyDescent="0.2">
      <c r="A16" s="821">
        <v>3</v>
      </c>
      <c r="B16" s="461" t="s">
        <v>141</v>
      </c>
      <c r="C16" s="821" t="s">
        <v>46</v>
      </c>
      <c r="D16" s="821">
        <v>670</v>
      </c>
      <c r="E16" s="821" t="s">
        <v>68</v>
      </c>
      <c r="F16" s="821">
        <v>177.8</v>
      </c>
      <c r="G16" s="821" t="s">
        <v>28</v>
      </c>
      <c r="H16" s="821" t="s">
        <v>218</v>
      </c>
      <c r="I16" s="816">
        <v>565.94000000000005</v>
      </c>
      <c r="J16" s="821">
        <v>210</v>
      </c>
      <c r="K16" s="821"/>
      <c r="L16" s="821">
        <v>491</v>
      </c>
      <c r="M16" s="821"/>
      <c r="N16" s="668">
        <v>9.4</v>
      </c>
      <c r="O16" s="821"/>
      <c r="P16" s="668">
        <v>13.733477214496121</v>
      </c>
      <c r="Q16" s="668">
        <f>LEFT(H16,(FIND("K",H16,1)-1))*J16/100</f>
        <v>67.2</v>
      </c>
      <c r="R16" s="432">
        <v>15.66</v>
      </c>
      <c r="S16" s="432">
        <v>24.396000000000001</v>
      </c>
      <c r="T16" s="670">
        <v>1537</v>
      </c>
      <c r="U16" s="668">
        <f t="shared" si="0"/>
        <v>98.148148148148152</v>
      </c>
      <c r="V16" s="668">
        <f t="shared" ref="V16:V77" si="7">(S16-R16)/S16*100</f>
        <v>35.809149040826362</v>
      </c>
      <c r="W16" s="668">
        <v>0.3</v>
      </c>
      <c r="X16" s="432">
        <f t="shared" si="1"/>
        <v>0.36303571428571429</v>
      </c>
      <c r="Y16" s="432">
        <f t="shared" si="4"/>
        <v>15.39378</v>
      </c>
      <c r="Z16" s="432">
        <f t="shared" si="4"/>
        <v>23.981268</v>
      </c>
      <c r="AA16" s="670">
        <f t="shared" si="4"/>
        <v>1510.8709999999999</v>
      </c>
      <c r="AB16" s="432">
        <f t="shared" si="5"/>
        <v>98.148148148148152</v>
      </c>
      <c r="AC16" s="670">
        <f t="shared" si="2"/>
        <v>35.809149040826362</v>
      </c>
      <c r="AD16" s="821">
        <v>30</v>
      </c>
      <c r="AE16" s="432">
        <f>Y16*AD16</f>
        <v>461.8134</v>
      </c>
      <c r="AF16" s="669"/>
    </row>
    <row r="17" spans="1:32" ht="18.75" customHeight="1" x14ac:dyDescent="0.2">
      <c r="A17" s="821">
        <v>4</v>
      </c>
      <c r="B17" s="461" t="s">
        <v>142</v>
      </c>
      <c r="C17" s="821" t="s">
        <v>46</v>
      </c>
      <c r="D17" s="821">
        <v>628</v>
      </c>
      <c r="E17" s="821" t="s">
        <v>297</v>
      </c>
      <c r="F17" s="821">
        <v>177.8</v>
      </c>
      <c r="G17" s="821" t="s">
        <v>28</v>
      </c>
      <c r="H17" s="165" t="s">
        <v>376</v>
      </c>
      <c r="I17" s="816">
        <v>540.74000000000024</v>
      </c>
      <c r="J17" s="821">
        <v>330</v>
      </c>
      <c r="K17" s="821"/>
      <c r="L17" s="821">
        <v>458</v>
      </c>
      <c r="M17" s="821"/>
      <c r="N17" s="668">
        <v>5.0999999999999996</v>
      </c>
      <c r="O17" s="821"/>
      <c r="P17" s="668">
        <v>15.061634600049992</v>
      </c>
      <c r="Q17" s="668">
        <f>14*J17/100</f>
        <v>46.2</v>
      </c>
      <c r="R17" s="432">
        <v>2.9710000000000001</v>
      </c>
      <c r="S17" s="432">
        <v>4.6150000000000002</v>
      </c>
      <c r="T17" s="670">
        <v>23</v>
      </c>
      <c r="U17" s="668">
        <f t="shared" si="0"/>
        <v>7.7415011780545271</v>
      </c>
      <c r="V17" s="668">
        <f t="shared" si="7"/>
        <v>35.62296858071506</v>
      </c>
      <c r="W17" s="668">
        <v>0.2</v>
      </c>
      <c r="X17" s="432">
        <f t="shared" si="1"/>
        <v>9.9891774891774893E-2</v>
      </c>
      <c r="Y17" s="432">
        <f t="shared" si="4"/>
        <v>2.920493</v>
      </c>
      <c r="Z17" s="432">
        <f t="shared" si="4"/>
        <v>4.5365450000000003</v>
      </c>
      <c r="AA17" s="670">
        <f t="shared" si="4"/>
        <v>22.608999999999998</v>
      </c>
      <c r="AB17" s="432">
        <f t="shared" si="5"/>
        <v>7.7415011780545271</v>
      </c>
      <c r="AC17" s="670">
        <f t="shared" si="2"/>
        <v>35.62296858071506</v>
      </c>
      <c r="AD17" s="821">
        <v>30</v>
      </c>
      <c r="AE17" s="432">
        <f t="shared" si="6"/>
        <v>87.614789999999999</v>
      </c>
      <c r="AF17" s="669"/>
    </row>
    <row r="18" spans="1:32" ht="18.75" customHeight="1" x14ac:dyDescent="0.2">
      <c r="A18" s="821">
        <v>5</v>
      </c>
      <c r="B18" s="461" t="s">
        <v>143</v>
      </c>
      <c r="C18" s="821" t="s">
        <v>46</v>
      </c>
      <c r="D18" s="821">
        <v>576.6</v>
      </c>
      <c r="E18" s="821" t="s">
        <v>70</v>
      </c>
      <c r="F18" s="821">
        <v>177.8</v>
      </c>
      <c r="G18" s="821" t="s">
        <v>28</v>
      </c>
      <c r="H18" s="550" t="s">
        <v>53</v>
      </c>
      <c r="I18" s="816">
        <v>546</v>
      </c>
      <c r="J18" s="821">
        <v>140</v>
      </c>
      <c r="K18" s="821"/>
      <c r="L18" s="821">
        <v>414</v>
      </c>
      <c r="M18" s="821"/>
      <c r="N18" s="821">
        <v>6.3</v>
      </c>
      <c r="O18" s="821"/>
      <c r="P18" s="668">
        <v>19.715336218929117</v>
      </c>
      <c r="Q18" s="668">
        <f t="shared" si="3"/>
        <v>18.2</v>
      </c>
      <c r="R18" s="432">
        <v>4.4480000000000004</v>
      </c>
      <c r="S18" s="432">
        <v>4.7290000000000001</v>
      </c>
      <c r="T18" s="670">
        <v>31</v>
      </c>
      <c r="U18" s="668">
        <f t="shared" si="0"/>
        <v>6.9694244604316538</v>
      </c>
      <c r="V18" s="668">
        <f t="shared" si="7"/>
        <v>5.9420596320575108</v>
      </c>
      <c r="W18" s="668">
        <v>0.2</v>
      </c>
      <c r="X18" s="432">
        <f>S18/Q18</f>
        <v>0.25983516483516483</v>
      </c>
      <c r="Y18" s="432">
        <f t="shared" si="4"/>
        <v>4.3723840000000003</v>
      </c>
      <c r="Z18" s="432">
        <f t="shared" si="4"/>
        <v>4.6486070000000002</v>
      </c>
      <c r="AA18" s="670">
        <f t="shared" si="4"/>
        <v>30.472999999999999</v>
      </c>
      <c r="AB18" s="432">
        <f t="shared" si="5"/>
        <v>6.9694244604316538</v>
      </c>
      <c r="AC18" s="670">
        <f t="shared" si="2"/>
        <v>5.9420596320575108</v>
      </c>
      <c r="AD18" s="821">
        <v>30</v>
      </c>
      <c r="AE18" s="432">
        <f t="shared" si="6"/>
        <v>131.17152000000002</v>
      </c>
      <c r="AF18" s="669"/>
    </row>
    <row r="19" spans="1:32" ht="18.75" customHeight="1" x14ac:dyDescent="0.2">
      <c r="A19" s="821">
        <v>6</v>
      </c>
      <c r="B19" s="461" t="s">
        <v>144</v>
      </c>
      <c r="C19" s="821" t="s">
        <v>46</v>
      </c>
      <c r="D19" s="821">
        <v>676.6</v>
      </c>
      <c r="E19" s="821" t="s">
        <v>71</v>
      </c>
      <c r="F19" s="821">
        <v>177.8</v>
      </c>
      <c r="G19" s="821" t="s">
        <v>28</v>
      </c>
      <c r="H19" s="821" t="s">
        <v>50</v>
      </c>
      <c r="I19" s="816">
        <v>584.32000000000005</v>
      </c>
      <c r="J19" s="821">
        <v>358</v>
      </c>
      <c r="K19" s="821"/>
      <c r="L19" s="821">
        <v>402</v>
      </c>
      <c r="M19" s="821"/>
      <c r="N19" s="821">
        <v>0.6</v>
      </c>
      <c r="O19" s="821"/>
      <c r="P19" s="668">
        <v>17.071634706711571</v>
      </c>
      <c r="Q19" s="668">
        <f t="shared" si="3"/>
        <v>21.48</v>
      </c>
      <c r="R19" s="432">
        <v>3.3370000000000002</v>
      </c>
      <c r="S19" s="432">
        <v>4.7279999999999998</v>
      </c>
      <c r="T19" s="670">
        <v>0</v>
      </c>
      <c r="U19" s="668">
        <f t="shared" si="0"/>
        <v>0</v>
      </c>
      <c r="V19" s="668">
        <f t="shared" si="7"/>
        <v>29.420473773265641</v>
      </c>
      <c r="W19" s="668">
        <v>0.6</v>
      </c>
      <c r="X19" s="432">
        <f>S19/Q19</f>
        <v>0.22011173184357541</v>
      </c>
      <c r="Y19" s="432">
        <f t="shared" si="4"/>
        <v>3.2802709999999999</v>
      </c>
      <c r="Z19" s="432">
        <f t="shared" si="4"/>
        <v>4.6476239999999995</v>
      </c>
      <c r="AA19" s="670">
        <f t="shared" si="4"/>
        <v>0</v>
      </c>
      <c r="AB19" s="432">
        <v>14.613</v>
      </c>
      <c r="AC19" s="670">
        <f t="shared" si="2"/>
        <v>29.420473773265641</v>
      </c>
      <c r="AD19" s="821">
        <v>30</v>
      </c>
      <c r="AE19" s="432">
        <f t="shared" si="6"/>
        <v>98.40813</v>
      </c>
      <c r="AF19" s="669"/>
    </row>
    <row r="20" spans="1:32" ht="18.75" customHeight="1" x14ac:dyDescent="0.2">
      <c r="A20" s="821">
        <v>7</v>
      </c>
      <c r="B20" s="461" t="s">
        <v>145</v>
      </c>
      <c r="C20" s="821" t="s">
        <v>46</v>
      </c>
      <c r="D20" s="821" t="s">
        <v>47</v>
      </c>
      <c r="E20" s="821" t="s">
        <v>72</v>
      </c>
      <c r="F20" s="821">
        <v>177.8</v>
      </c>
      <c r="G20" s="821" t="s">
        <v>28</v>
      </c>
      <c r="H20" s="821" t="s">
        <v>52</v>
      </c>
      <c r="I20" s="816">
        <v>560</v>
      </c>
      <c r="J20" s="821">
        <v>190</v>
      </c>
      <c r="K20" s="821"/>
      <c r="L20" s="821">
        <v>454</v>
      </c>
      <c r="M20" s="821"/>
      <c r="N20" s="821">
        <v>7.3</v>
      </c>
      <c r="O20" s="821"/>
      <c r="P20" s="668">
        <v>17.999324224563274</v>
      </c>
      <c r="Q20" s="668">
        <f t="shared" si="3"/>
        <v>41.8</v>
      </c>
      <c r="R20" s="432">
        <v>8.61</v>
      </c>
      <c r="S20" s="432">
        <v>11.965999999999999</v>
      </c>
      <c r="T20" s="670">
        <v>70</v>
      </c>
      <c r="U20" s="668">
        <f t="shared" si="0"/>
        <v>8.1300813008130088</v>
      </c>
      <c r="V20" s="668">
        <f t="shared" si="7"/>
        <v>28.046130703660371</v>
      </c>
      <c r="W20" s="668">
        <v>0.3</v>
      </c>
      <c r="X20" s="432">
        <f t="shared" si="1"/>
        <v>0.28626794258373206</v>
      </c>
      <c r="Y20" s="432">
        <f t="shared" si="4"/>
        <v>8.4636299999999984</v>
      </c>
      <c r="Z20" s="432">
        <f t="shared" si="4"/>
        <v>11.762578</v>
      </c>
      <c r="AA20" s="670">
        <f t="shared" si="4"/>
        <v>68.81</v>
      </c>
      <c r="AB20" s="432">
        <f t="shared" si="5"/>
        <v>8.1300813008130088</v>
      </c>
      <c r="AC20" s="670">
        <f t="shared" si="2"/>
        <v>28.046130703660371</v>
      </c>
      <c r="AD20" s="821">
        <v>30</v>
      </c>
      <c r="AE20" s="432">
        <f t="shared" si="6"/>
        <v>253.90889999999996</v>
      </c>
      <c r="AF20" s="669"/>
    </row>
    <row r="21" spans="1:32" ht="18.75" customHeight="1" x14ac:dyDescent="0.2">
      <c r="A21" s="821">
        <v>8</v>
      </c>
      <c r="B21" s="461" t="s">
        <v>146</v>
      </c>
      <c r="C21" s="821" t="s">
        <v>46</v>
      </c>
      <c r="D21" s="821">
        <v>764</v>
      </c>
      <c r="E21" s="436" t="s">
        <v>73</v>
      </c>
      <c r="F21" s="821">
        <v>177.8</v>
      </c>
      <c r="G21" s="821" t="s">
        <v>28</v>
      </c>
      <c r="H21" s="821" t="s">
        <v>52</v>
      </c>
      <c r="I21" s="437">
        <v>550</v>
      </c>
      <c r="J21" s="821">
        <v>155</v>
      </c>
      <c r="K21" s="820"/>
      <c r="L21" s="821">
        <v>432</v>
      </c>
      <c r="M21" s="820"/>
      <c r="N21" s="821">
        <v>5.3</v>
      </c>
      <c r="O21" s="820"/>
      <c r="P21" s="668">
        <v>18.619818270334168</v>
      </c>
      <c r="Q21" s="668">
        <f t="shared" si="3"/>
        <v>34.1</v>
      </c>
      <c r="R21" s="432">
        <v>5.5789999999999997</v>
      </c>
      <c r="S21" s="432">
        <v>17.334</v>
      </c>
      <c r="T21" s="670">
        <v>55</v>
      </c>
      <c r="U21" s="668">
        <f t="shared" si="0"/>
        <v>9.8583975622871485</v>
      </c>
      <c r="V21" s="668">
        <f t="shared" si="7"/>
        <v>67.81469943463712</v>
      </c>
      <c r="W21" s="668">
        <v>0.2</v>
      </c>
      <c r="X21" s="432">
        <f t="shared" si="1"/>
        <v>0.50832844574780056</v>
      </c>
      <c r="Y21" s="432">
        <f t="shared" si="4"/>
        <v>5.4841569999999997</v>
      </c>
      <c r="Z21" s="432">
        <f t="shared" si="4"/>
        <v>17.039321999999999</v>
      </c>
      <c r="AA21" s="670">
        <f t="shared" si="4"/>
        <v>54.064999999999998</v>
      </c>
      <c r="AB21" s="432">
        <f t="shared" si="5"/>
        <v>9.8583975622871485</v>
      </c>
      <c r="AC21" s="670">
        <f t="shared" si="2"/>
        <v>67.81469943463712</v>
      </c>
      <c r="AD21" s="821">
        <v>30</v>
      </c>
      <c r="AE21" s="432">
        <f t="shared" si="6"/>
        <v>164.52471</v>
      </c>
      <c r="AF21" s="669"/>
    </row>
    <row r="22" spans="1:32" ht="18.75" customHeight="1" x14ac:dyDescent="0.2">
      <c r="A22" s="821">
        <v>9</v>
      </c>
      <c r="B22" s="461" t="s">
        <v>147</v>
      </c>
      <c r="C22" s="821" t="s">
        <v>46</v>
      </c>
      <c r="D22" s="821">
        <v>650.1</v>
      </c>
      <c r="E22" s="821" t="s">
        <v>74</v>
      </c>
      <c r="F22" s="821">
        <v>177.8</v>
      </c>
      <c r="G22" s="821" t="s">
        <v>28</v>
      </c>
      <c r="H22" s="821" t="s">
        <v>52</v>
      </c>
      <c r="I22" s="816">
        <v>591.98</v>
      </c>
      <c r="J22" s="821">
        <v>150</v>
      </c>
      <c r="K22" s="821"/>
      <c r="L22" s="821">
        <v>470</v>
      </c>
      <c r="M22" s="821"/>
      <c r="N22" s="821">
        <v>4.3</v>
      </c>
      <c r="O22" s="821"/>
      <c r="P22" s="668">
        <v>13.60708720729969</v>
      </c>
      <c r="Q22" s="668">
        <f t="shared" si="3"/>
        <v>33</v>
      </c>
      <c r="R22" s="432">
        <v>4.3070000000000004</v>
      </c>
      <c r="S22" s="432">
        <v>8.1240000000000006</v>
      </c>
      <c r="T22" s="670">
        <v>15</v>
      </c>
      <c r="U22" s="668">
        <f t="shared" si="0"/>
        <v>3.4827025771999067</v>
      </c>
      <c r="V22" s="668">
        <f t="shared" si="7"/>
        <v>46.984244214672572</v>
      </c>
      <c r="W22" s="668">
        <v>0.2</v>
      </c>
      <c r="X22" s="432">
        <f t="shared" si="1"/>
        <v>0.2461818181818182</v>
      </c>
      <c r="Y22" s="432">
        <f t="shared" si="4"/>
        <v>4.2337810000000005</v>
      </c>
      <c r="Z22" s="432">
        <f t="shared" si="4"/>
        <v>7.9858920000000007</v>
      </c>
      <c r="AA22" s="670">
        <f t="shared" si="4"/>
        <v>14.744999999999999</v>
      </c>
      <c r="AB22" s="432">
        <f t="shared" si="5"/>
        <v>3.4827025771999067</v>
      </c>
      <c r="AC22" s="670">
        <f t="shared" si="2"/>
        <v>46.984244214672572</v>
      </c>
      <c r="AD22" s="821">
        <v>30</v>
      </c>
      <c r="AE22" s="432">
        <f t="shared" si="6"/>
        <v>127.01343000000001</v>
      </c>
      <c r="AF22" s="669"/>
    </row>
    <row r="23" spans="1:32" ht="18.75" customHeight="1" x14ac:dyDescent="0.2">
      <c r="A23" s="821">
        <v>10</v>
      </c>
      <c r="B23" s="461" t="s">
        <v>148</v>
      </c>
      <c r="C23" s="821" t="s">
        <v>46</v>
      </c>
      <c r="D23" s="821">
        <v>580.5</v>
      </c>
      <c r="E23" s="821" t="s">
        <v>398</v>
      </c>
      <c r="F23" s="821">
        <v>177.8</v>
      </c>
      <c r="G23" s="821" t="s">
        <v>28</v>
      </c>
      <c r="H23" s="165" t="s">
        <v>399</v>
      </c>
      <c r="I23" s="816">
        <v>572.4</v>
      </c>
      <c r="J23" s="821"/>
      <c r="K23" s="821">
        <v>200</v>
      </c>
      <c r="L23" s="821"/>
      <c r="M23" s="821">
        <v>5</v>
      </c>
      <c r="N23" s="821"/>
      <c r="O23" s="821"/>
      <c r="P23" s="668"/>
      <c r="Q23" s="668">
        <f>J23*13/100</f>
        <v>0</v>
      </c>
      <c r="R23" s="432">
        <v>0</v>
      </c>
      <c r="S23" s="432">
        <v>0</v>
      </c>
      <c r="T23" s="670">
        <v>0</v>
      </c>
      <c r="U23" s="668">
        <f>IF(R23=0,0,T23/R23)</f>
        <v>0</v>
      </c>
      <c r="V23" s="668">
        <v>0</v>
      </c>
      <c r="W23" s="668">
        <v>0</v>
      </c>
      <c r="X23" s="432">
        <v>0</v>
      </c>
      <c r="Y23" s="432">
        <f t="shared" si="4"/>
        <v>0</v>
      </c>
      <c r="Z23" s="432">
        <f t="shared" si="4"/>
        <v>0</v>
      </c>
      <c r="AA23" s="670">
        <f t="shared" si="4"/>
        <v>0</v>
      </c>
      <c r="AB23" s="432">
        <f t="shared" si="5"/>
        <v>0</v>
      </c>
      <c r="AC23" s="670">
        <f t="shared" si="2"/>
        <v>0</v>
      </c>
      <c r="AD23" s="821">
        <v>0</v>
      </c>
      <c r="AE23" s="432">
        <f t="shared" si="6"/>
        <v>0</v>
      </c>
      <c r="AF23" s="669" t="s">
        <v>417</v>
      </c>
    </row>
    <row r="24" spans="1:32" ht="18.75" customHeight="1" x14ac:dyDescent="0.2">
      <c r="A24" s="821">
        <v>11</v>
      </c>
      <c r="B24" s="461" t="s">
        <v>149</v>
      </c>
      <c r="C24" s="821" t="s">
        <v>46</v>
      </c>
      <c r="D24" s="821">
        <v>606.29999999999995</v>
      </c>
      <c r="E24" s="821" t="s">
        <v>76</v>
      </c>
      <c r="F24" s="821">
        <v>177.8</v>
      </c>
      <c r="G24" s="821" t="s">
        <v>28</v>
      </c>
      <c r="H24" s="821" t="s">
        <v>52</v>
      </c>
      <c r="I24" s="816">
        <v>585.29999999999995</v>
      </c>
      <c r="J24" s="821">
        <v>360</v>
      </c>
      <c r="K24" s="821"/>
      <c r="L24" s="821">
        <v>305</v>
      </c>
      <c r="M24" s="821"/>
      <c r="N24" s="821">
        <v>7</v>
      </c>
      <c r="O24" s="821"/>
      <c r="P24" s="668">
        <v>30.891695310232322</v>
      </c>
      <c r="Q24" s="668">
        <f t="shared" si="3"/>
        <v>79.2</v>
      </c>
      <c r="R24" s="432">
        <v>0.93</v>
      </c>
      <c r="S24" s="432">
        <v>1.972</v>
      </c>
      <c r="T24" s="670">
        <v>1.286</v>
      </c>
      <c r="U24" s="668">
        <f t="shared" si="0"/>
        <v>1.3827956989247312</v>
      </c>
      <c r="V24" s="668">
        <f t="shared" si="7"/>
        <v>52.839756592292076</v>
      </c>
      <c r="W24" s="668">
        <v>0.3</v>
      </c>
      <c r="X24" s="432">
        <f t="shared" si="1"/>
        <v>2.4898989898989896E-2</v>
      </c>
      <c r="Y24" s="432">
        <f t="shared" si="4"/>
        <v>0.91419000000000006</v>
      </c>
      <c r="Z24" s="432">
        <f t="shared" si="4"/>
        <v>1.9384759999999999</v>
      </c>
      <c r="AA24" s="670">
        <f t="shared" si="4"/>
        <v>1.264138</v>
      </c>
      <c r="AB24" s="432">
        <f t="shared" si="5"/>
        <v>1.3827956989247312</v>
      </c>
      <c r="AC24" s="670">
        <f t="shared" si="2"/>
        <v>52.839756592292076</v>
      </c>
      <c r="AD24" s="821">
        <v>30</v>
      </c>
      <c r="AE24" s="432">
        <f t="shared" si="6"/>
        <v>27.425700000000003</v>
      </c>
      <c r="AF24" s="449"/>
    </row>
    <row r="25" spans="1:32" ht="18.75" customHeight="1" x14ac:dyDescent="0.2">
      <c r="A25" s="821">
        <v>12</v>
      </c>
      <c r="B25" s="461" t="s">
        <v>150</v>
      </c>
      <c r="C25" s="821" t="s">
        <v>46</v>
      </c>
      <c r="D25" s="821">
        <v>661</v>
      </c>
      <c r="E25" s="796" t="s">
        <v>433</v>
      </c>
      <c r="F25" s="821">
        <v>177.8</v>
      </c>
      <c r="G25" s="821" t="s">
        <v>28</v>
      </c>
      <c r="H25" s="821" t="s">
        <v>53</v>
      </c>
      <c r="I25" s="816">
        <v>555.72</v>
      </c>
      <c r="J25" s="821">
        <v>200</v>
      </c>
      <c r="K25" s="821"/>
      <c r="L25" s="821">
        <v>314</v>
      </c>
      <c r="M25" s="821"/>
      <c r="N25" s="821">
        <v>2.1</v>
      </c>
      <c r="O25" s="821"/>
      <c r="P25" s="668">
        <v>26.734199182142042</v>
      </c>
      <c r="Q25" s="668">
        <f t="shared" si="3"/>
        <v>26</v>
      </c>
      <c r="R25" s="432">
        <v>0.505</v>
      </c>
      <c r="S25" s="432">
        <v>1.0589999999999999</v>
      </c>
      <c r="T25" s="670">
        <v>0</v>
      </c>
      <c r="U25" s="668">
        <f t="shared" si="0"/>
        <v>0</v>
      </c>
      <c r="V25" s="668">
        <f t="shared" si="7"/>
        <v>52.313503305004716</v>
      </c>
      <c r="W25" s="668">
        <v>0.4</v>
      </c>
      <c r="X25" s="432">
        <f t="shared" si="1"/>
        <v>4.073076923076923E-2</v>
      </c>
      <c r="Y25" s="432">
        <f t="shared" si="4"/>
        <v>0.496415</v>
      </c>
      <c r="Z25" s="432">
        <f t="shared" si="4"/>
        <v>1.040997</v>
      </c>
      <c r="AA25" s="670">
        <f t="shared" si="4"/>
        <v>0</v>
      </c>
      <c r="AB25" s="432">
        <f t="shared" si="5"/>
        <v>0</v>
      </c>
      <c r="AC25" s="670">
        <f t="shared" si="2"/>
        <v>52.313503305004716</v>
      </c>
      <c r="AD25" s="821">
        <v>30</v>
      </c>
      <c r="AE25" s="432">
        <f t="shared" si="6"/>
        <v>14.89245</v>
      </c>
      <c r="AF25" s="669"/>
    </row>
    <row r="26" spans="1:32" ht="18.75" customHeight="1" x14ac:dyDescent="0.2">
      <c r="A26" s="821">
        <v>13</v>
      </c>
      <c r="B26" s="461" t="s">
        <v>151</v>
      </c>
      <c r="C26" s="821" t="s">
        <v>46</v>
      </c>
      <c r="D26" s="821">
        <v>675.4</v>
      </c>
      <c r="E26" s="816" t="s">
        <v>298</v>
      </c>
      <c r="F26" s="821">
        <v>177.8</v>
      </c>
      <c r="G26" s="821" t="s">
        <v>28</v>
      </c>
      <c r="H26" s="821" t="s">
        <v>52</v>
      </c>
      <c r="I26" s="816">
        <v>552.47</v>
      </c>
      <c r="J26" s="821">
        <v>130</v>
      </c>
      <c r="K26" s="821"/>
      <c r="L26" s="821">
        <v>301</v>
      </c>
      <c r="M26" s="821"/>
      <c r="N26" s="821">
        <v>3.8</v>
      </c>
      <c r="O26" s="821"/>
      <c r="P26" s="668">
        <v>29.399381131919608</v>
      </c>
      <c r="Q26" s="668">
        <f t="shared" si="3"/>
        <v>28.6</v>
      </c>
      <c r="R26" s="432">
        <v>7.4669999999999996</v>
      </c>
      <c r="S26" s="432">
        <v>16.949000000000002</v>
      </c>
      <c r="T26" s="670">
        <v>3.286</v>
      </c>
      <c r="U26" s="668">
        <v>0.2</v>
      </c>
      <c r="V26" s="668">
        <f t="shared" si="7"/>
        <v>55.944303498731493</v>
      </c>
      <c r="W26" s="668">
        <v>0.2</v>
      </c>
      <c r="X26" s="432">
        <f t="shared" si="1"/>
        <v>0.59262237762237768</v>
      </c>
      <c r="Y26" s="432">
        <f t="shared" si="4"/>
        <v>7.3400609999999995</v>
      </c>
      <c r="Z26" s="432">
        <f t="shared" si="4"/>
        <v>16.660867</v>
      </c>
      <c r="AA26" s="670">
        <f t="shared" si="4"/>
        <v>3.2301380000000002</v>
      </c>
      <c r="AB26" s="432">
        <f t="shared" si="5"/>
        <v>0.2</v>
      </c>
      <c r="AC26" s="670">
        <f t="shared" si="2"/>
        <v>55.944303498731493</v>
      </c>
      <c r="AD26" s="821">
        <v>30</v>
      </c>
      <c r="AE26" s="432">
        <f t="shared" si="6"/>
        <v>220.20182999999997</v>
      </c>
      <c r="AF26" s="449" t="s">
        <v>335</v>
      </c>
    </row>
    <row r="27" spans="1:32" ht="18.75" customHeight="1" x14ac:dyDescent="0.2">
      <c r="A27" s="821">
        <v>14</v>
      </c>
      <c r="B27" s="461" t="s">
        <v>36</v>
      </c>
      <c r="C27" s="821" t="s">
        <v>46</v>
      </c>
      <c r="D27" s="821">
        <v>584.5</v>
      </c>
      <c r="E27" s="816" t="s">
        <v>79</v>
      </c>
      <c r="F27" s="821">
        <v>177.8</v>
      </c>
      <c r="G27" s="821" t="s">
        <v>28</v>
      </c>
      <c r="H27" s="821" t="s">
        <v>49</v>
      </c>
      <c r="I27" s="816">
        <v>525.03</v>
      </c>
      <c r="J27" s="821">
        <v>150</v>
      </c>
      <c r="K27" s="821"/>
      <c r="L27" s="821">
        <v>339</v>
      </c>
      <c r="M27" s="821"/>
      <c r="N27" s="821">
        <v>6.7</v>
      </c>
      <c r="O27" s="821"/>
      <c r="P27" s="668">
        <v>25.770523337071925</v>
      </c>
      <c r="Q27" s="668">
        <f t="shared" si="3"/>
        <v>48</v>
      </c>
      <c r="R27" s="432">
        <v>10.507999999999999</v>
      </c>
      <c r="S27" s="432">
        <v>23.795000000000002</v>
      </c>
      <c r="T27" s="670">
        <v>171</v>
      </c>
      <c r="U27" s="668">
        <f t="shared" si="0"/>
        <v>16.273315569090219</v>
      </c>
      <c r="V27" s="668">
        <f t="shared" si="7"/>
        <v>55.839462071863842</v>
      </c>
      <c r="W27" s="668">
        <v>0.2</v>
      </c>
      <c r="X27" s="432">
        <f t="shared" si="1"/>
        <v>0.49572916666666672</v>
      </c>
      <c r="Y27" s="432">
        <f t="shared" si="4"/>
        <v>10.329363999999998</v>
      </c>
      <c r="Z27" s="432">
        <f t="shared" si="4"/>
        <v>23.390485000000002</v>
      </c>
      <c r="AA27" s="670">
        <f t="shared" si="4"/>
        <v>168.09299999999999</v>
      </c>
      <c r="AB27" s="432">
        <f t="shared" si="5"/>
        <v>16.273315569090219</v>
      </c>
      <c r="AC27" s="670">
        <f t="shared" si="2"/>
        <v>55.839462071863842</v>
      </c>
      <c r="AD27" s="821">
        <v>30</v>
      </c>
      <c r="AE27" s="432">
        <f t="shared" si="6"/>
        <v>309.88091999999995</v>
      </c>
      <c r="AF27" s="669"/>
    </row>
    <row r="28" spans="1:32" ht="18.75" customHeight="1" x14ac:dyDescent="0.2">
      <c r="A28" s="821">
        <v>15</v>
      </c>
      <c r="B28" s="461" t="s">
        <v>152</v>
      </c>
      <c r="C28" s="821" t="s">
        <v>46</v>
      </c>
      <c r="D28" s="821">
        <v>565</v>
      </c>
      <c r="E28" s="816" t="s">
        <v>80</v>
      </c>
      <c r="F28" s="821">
        <v>177.8</v>
      </c>
      <c r="G28" s="821" t="s">
        <v>28</v>
      </c>
      <c r="H28" s="165" t="s">
        <v>399</v>
      </c>
      <c r="I28" s="437">
        <v>520.03</v>
      </c>
      <c r="J28" s="821">
        <v>295</v>
      </c>
      <c r="K28" s="821"/>
      <c r="L28" s="821">
        <v>423</v>
      </c>
      <c r="M28" s="821"/>
      <c r="N28" s="821">
        <v>10.1</v>
      </c>
      <c r="O28" s="821"/>
      <c r="P28" s="668">
        <v>20.863240907494667</v>
      </c>
      <c r="Q28" s="668">
        <f>J28*13/100</f>
        <v>38.35</v>
      </c>
      <c r="R28" s="432">
        <v>7.7249999999999996</v>
      </c>
      <c r="S28" s="432">
        <v>19.088000000000001</v>
      </c>
      <c r="T28" s="670">
        <v>1599</v>
      </c>
      <c r="U28" s="668">
        <f t="shared" si="0"/>
        <v>206.99029126213594</v>
      </c>
      <c r="V28" s="668">
        <f t="shared" si="7"/>
        <v>59.529547359597657</v>
      </c>
      <c r="W28" s="668">
        <v>0.2</v>
      </c>
      <c r="X28" s="432">
        <f t="shared" si="1"/>
        <v>0.49773142112125163</v>
      </c>
      <c r="Y28" s="432">
        <f t="shared" si="4"/>
        <v>7.5936749999999993</v>
      </c>
      <c r="Z28" s="432">
        <f t="shared" si="4"/>
        <v>18.763504000000001</v>
      </c>
      <c r="AA28" s="670">
        <f t="shared" si="4"/>
        <v>1571.817</v>
      </c>
      <c r="AB28" s="432">
        <f t="shared" si="5"/>
        <v>206.99029126213594</v>
      </c>
      <c r="AC28" s="670">
        <f t="shared" si="2"/>
        <v>59.529547359597657</v>
      </c>
      <c r="AD28" s="821">
        <v>30</v>
      </c>
      <c r="AE28" s="432">
        <f t="shared" si="6"/>
        <v>227.81024999999997</v>
      </c>
      <c r="AF28" s="669"/>
    </row>
    <row r="29" spans="1:32" ht="18.75" customHeight="1" x14ac:dyDescent="0.2">
      <c r="A29" s="821">
        <v>16</v>
      </c>
      <c r="B29" s="461" t="s">
        <v>37</v>
      </c>
      <c r="C29" s="821" t="s">
        <v>46</v>
      </c>
      <c r="D29" s="821">
        <v>670</v>
      </c>
      <c r="E29" s="821" t="s">
        <v>81</v>
      </c>
      <c r="F29" s="821">
        <v>177.8</v>
      </c>
      <c r="G29" s="821" t="s">
        <v>28</v>
      </c>
      <c r="H29" s="821" t="s">
        <v>48</v>
      </c>
      <c r="I29" s="816">
        <v>570.95000000000005</v>
      </c>
      <c r="J29" s="821">
        <v>95</v>
      </c>
      <c r="K29" s="821"/>
      <c r="L29" s="821">
        <v>450</v>
      </c>
      <c r="M29" s="821"/>
      <c r="N29" s="821">
        <v>6.3</v>
      </c>
      <c r="O29" s="821"/>
      <c r="P29" s="668">
        <v>18.756543466120561</v>
      </c>
      <c r="Q29" s="668">
        <f t="shared" si="3"/>
        <v>12.35</v>
      </c>
      <c r="R29" s="432">
        <v>3.9260000000000002</v>
      </c>
      <c r="S29" s="432">
        <v>7.3520000000000003</v>
      </c>
      <c r="T29" s="670">
        <v>19.571000000000002</v>
      </c>
      <c r="U29" s="668">
        <f t="shared" si="0"/>
        <v>4.9849719816607232</v>
      </c>
      <c r="V29" s="668">
        <f t="shared" si="7"/>
        <v>46.599564744287271</v>
      </c>
      <c r="W29" s="668">
        <v>0.3</v>
      </c>
      <c r="X29" s="432">
        <f t="shared" si="1"/>
        <v>0.59530364372469635</v>
      </c>
      <c r="Y29" s="432">
        <f t="shared" si="4"/>
        <v>3.8592580000000001</v>
      </c>
      <c r="Z29" s="432">
        <f t="shared" si="4"/>
        <v>7.2270159999999999</v>
      </c>
      <c r="AA29" s="670">
        <f t="shared" si="4"/>
        <v>19.238293000000002</v>
      </c>
      <c r="AB29" s="432">
        <f t="shared" si="5"/>
        <v>4.9849719816607232</v>
      </c>
      <c r="AC29" s="670">
        <f t="shared" si="2"/>
        <v>46.599564744287271</v>
      </c>
      <c r="AD29" s="821">
        <v>30</v>
      </c>
      <c r="AE29" s="432">
        <f>Y29*AD29</f>
        <v>115.77774000000001</v>
      </c>
      <c r="AF29" s="449"/>
    </row>
    <row r="30" spans="1:32" ht="18.75" customHeight="1" x14ac:dyDescent="0.2">
      <c r="A30" s="821">
        <v>17</v>
      </c>
      <c r="B30" s="461" t="s">
        <v>153</v>
      </c>
      <c r="C30" s="461" t="s">
        <v>46</v>
      </c>
      <c r="D30" s="461">
        <v>672</v>
      </c>
      <c r="E30" s="461" t="s">
        <v>82</v>
      </c>
      <c r="F30" s="461">
        <v>177.8</v>
      </c>
      <c r="G30" s="461" t="s">
        <v>28</v>
      </c>
      <c r="H30" s="165" t="s">
        <v>401</v>
      </c>
      <c r="I30" s="461">
        <v>587.75</v>
      </c>
      <c r="J30" s="461">
        <v>320</v>
      </c>
      <c r="K30" s="461"/>
      <c r="L30" s="461">
        <v>500</v>
      </c>
      <c r="M30" s="461"/>
      <c r="N30" s="461">
        <v>10.199999999999999</v>
      </c>
      <c r="O30" s="461"/>
      <c r="P30" s="671">
        <v>15.685402379653278</v>
      </c>
      <c r="Q30" s="668">
        <f>J30*33/100</f>
        <v>105.6</v>
      </c>
      <c r="R30" s="672">
        <v>19.006</v>
      </c>
      <c r="S30" s="432">
        <v>22.03</v>
      </c>
      <c r="T30" s="699">
        <v>286</v>
      </c>
      <c r="U30" s="671">
        <f t="shared" si="0"/>
        <v>15.047879616963064</v>
      </c>
      <c r="V30" s="668">
        <f t="shared" si="7"/>
        <v>13.726736268724471</v>
      </c>
      <c r="W30" s="671">
        <v>0.2</v>
      </c>
      <c r="X30" s="672">
        <f t="shared" si="1"/>
        <v>0.20861742424242427</v>
      </c>
      <c r="Y30" s="432">
        <f t="shared" si="4"/>
        <v>18.682898000000002</v>
      </c>
      <c r="Z30" s="432">
        <f t="shared" si="4"/>
        <v>21.65549</v>
      </c>
      <c r="AA30" s="670">
        <f t="shared" si="4"/>
        <v>281.13799999999998</v>
      </c>
      <c r="AB30" s="672">
        <f t="shared" si="5"/>
        <v>15.047879616963064</v>
      </c>
      <c r="AC30" s="699">
        <f t="shared" si="2"/>
        <v>13.726736268724471</v>
      </c>
      <c r="AD30" s="821">
        <v>30</v>
      </c>
      <c r="AE30" s="672">
        <f>Y30*AD30</f>
        <v>560.48694</v>
      </c>
      <c r="AF30" s="461"/>
    </row>
    <row r="31" spans="1:32" ht="18.75" customHeight="1" x14ac:dyDescent="0.2">
      <c r="A31" s="821">
        <v>18</v>
      </c>
      <c r="B31" s="461" t="s">
        <v>154</v>
      </c>
      <c r="C31" s="461" t="s">
        <v>46</v>
      </c>
      <c r="D31" s="443">
        <v>644.79999999999995</v>
      </c>
      <c r="E31" s="436" t="s">
        <v>421</v>
      </c>
      <c r="F31" s="821">
        <v>177.8</v>
      </c>
      <c r="G31" s="821" t="s">
        <v>28</v>
      </c>
      <c r="H31" s="241" t="s">
        <v>364</v>
      </c>
      <c r="I31" s="437">
        <v>565.80999999999995</v>
      </c>
      <c r="J31" s="821">
        <v>245</v>
      </c>
      <c r="K31" s="821"/>
      <c r="L31" s="821">
        <v>492</v>
      </c>
      <c r="M31" s="821"/>
      <c r="N31" s="821">
        <v>8.8000000000000007</v>
      </c>
      <c r="O31" s="821"/>
      <c r="P31" s="668">
        <v>16.699339266279949</v>
      </c>
      <c r="Q31" s="668">
        <f>J31*13/100</f>
        <v>31.85</v>
      </c>
      <c r="R31" s="432">
        <v>2.1549999999999998</v>
      </c>
      <c r="S31" s="432">
        <v>4.5720000000000001</v>
      </c>
      <c r="T31" s="670">
        <v>176.571</v>
      </c>
      <c r="U31" s="671">
        <f t="shared" si="0"/>
        <v>81.935498839907197</v>
      </c>
      <c r="V31" s="668">
        <f t="shared" si="7"/>
        <v>52.865266841644797</v>
      </c>
      <c r="W31" s="668">
        <v>0.3</v>
      </c>
      <c r="X31" s="672">
        <f t="shared" si="1"/>
        <v>0.14354788069073782</v>
      </c>
      <c r="Y31" s="432">
        <f t="shared" si="4"/>
        <v>2.1183649999999998</v>
      </c>
      <c r="Z31" s="432">
        <f t="shared" si="4"/>
        <v>4.4942760000000002</v>
      </c>
      <c r="AA31" s="670">
        <f t="shared" si="4"/>
        <v>173.56929299999999</v>
      </c>
      <c r="AB31" s="432">
        <v>0</v>
      </c>
      <c r="AC31" s="699">
        <f t="shared" si="2"/>
        <v>52.865266841644797</v>
      </c>
      <c r="AD31" s="821">
        <v>30</v>
      </c>
      <c r="AE31" s="672">
        <f>Y31*AD31</f>
        <v>63.550949999999993</v>
      </c>
      <c r="AF31" s="669"/>
    </row>
    <row r="32" spans="1:32" ht="18.75" customHeight="1" x14ac:dyDescent="0.2">
      <c r="A32" s="821">
        <v>19</v>
      </c>
      <c r="B32" s="461" t="s">
        <v>38</v>
      </c>
      <c r="C32" s="821" t="s">
        <v>46</v>
      </c>
      <c r="D32" s="668">
        <v>580</v>
      </c>
      <c r="E32" s="821" t="s">
        <v>84</v>
      </c>
      <c r="F32" s="821">
        <v>177.8</v>
      </c>
      <c r="G32" s="821" t="s">
        <v>28</v>
      </c>
      <c r="H32" s="165" t="s">
        <v>379</v>
      </c>
      <c r="I32" s="816">
        <v>563.79</v>
      </c>
      <c r="J32" s="821">
        <v>195</v>
      </c>
      <c r="K32" s="821"/>
      <c r="L32" s="821">
        <v>507</v>
      </c>
      <c r="M32" s="821"/>
      <c r="N32" s="821">
        <v>0.3</v>
      </c>
      <c r="O32" s="821"/>
      <c r="P32" s="668">
        <v>4.5958767500814428</v>
      </c>
      <c r="Q32" s="668">
        <f>J32*7/100</f>
        <v>13.65</v>
      </c>
      <c r="R32" s="432">
        <v>1.224</v>
      </c>
      <c r="S32" s="432">
        <v>3.2450000000000001</v>
      </c>
      <c r="T32" s="670">
        <v>0</v>
      </c>
      <c r="U32" s="671">
        <f t="shared" si="0"/>
        <v>0</v>
      </c>
      <c r="V32" s="668">
        <f t="shared" si="7"/>
        <v>62.280431432973806</v>
      </c>
      <c r="W32" s="668">
        <v>0.3</v>
      </c>
      <c r="X32" s="672">
        <f t="shared" si="1"/>
        <v>0.23772893772893772</v>
      </c>
      <c r="Y32" s="432">
        <f t="shared" si="4"/>
        <v>1.203192</v>
      </c>
      <c r="Z32" s="432">
        <f t="shared" si="4"/>
        <v>3.189835</v>
      </c>
      <c r="AA32" s="670">
        <f t="shared" si="4"/>
        <v>0</v>
      </c>
      <c r="AB32" s="432">
        <f>U32</f>
        <v>0</v>
      </c>
      <c r="AC32" s="699">
        <f t="shared" si="2"/>
        <v>62.280431432973806</v>
      </c>
      <c r="AD32" s="821">
        <v>30</v>
      </c>
      <c r="AE32" s="432">
        <f t="shared" si="6"/>
        <v>36.095759999999999</v>
      </c>
      <c r="AF32" s="669"/>
    </row>
    <row r="33" spans="1:32" ht="18.75" customHeight="1" x14ac:dyDescent="0.2">
      <c r="A33" s="821">
        <v>20</v>
      </c>
      <c r="B33" s="461" t="s">
        <v>39</v>
      </c>
      <c r="C33" s="821" t="s">
        <v>46</v>
      </c>
      <c r="D33" s="821">
        <v>728.6</v>
      </c>
      <c r="E33" s="165" t="s">
        <v>411</v>
      </c>
      <c r="F33" s="821">
        <v>177.8</v>
      </c>
      <c r="G33" s="821" t="s">
        <v>28</v>
      </c>
      <c r="H33" s="165" t="s">
        <v>380</v>
      </c>
      <c r="I33" s="816">
        <v>551.77</v>
      </c>
      <c r="J33" s="821">
        <v>350</v>
      </c>
      <c r="K33" s="821"/>
      <c r="L33" s="821">
        <v>444</v>
      </c>
      <c r="M33" s="821"/>
      <c r="N33" s="821">
        <v>3.7</v>
      </c>
      <c r="O33" s="821"/>
      <c r="P33" s="668">
        <v>15.218402288357751</v>
      </c>
      <c r="Q33" s="668">
        <f>J33*23/100</f>
        <v>80.5</v>
      </c>
      <c r="R33" s="432">
        <v>2.2149999999999999</v>
      </c>
      <c r="S33" s="432">
        <v>6.4740000000000002</v>
      </c>
      <c r="T33" s="670">
        <v>119</v>
      </c>
      <c r="U33" s="671">
        <f t="shared" si="0"/>
        <v>53.724604966139957</v>
      </c>
      <c r="V33" s="668">
        <f t="shared" si="7"/>
        <v>65.786221810318196</v>
      </c>
      <c r="W33" s="668">
        <v>0.2</v>
      </c>
      <c r="X33" s="672">
        <f t="shared" si="1"/>
        <v>8.0422360248447206E-2</v>
      </c>
      <c r="Y33" s="432">
        <f t="shared" si="4"/>
        <v>2.1773449999999999</v>
      </c>
      <c r="Z33" s="432">
        <f t="shared" si="4"/>
        <v>6.3639419999999998</v>
      </c>
      <c r="AA33" s="670">
        <f t="shared" si="4"/>
        <v>116.977</v>
      </c>
      <c r="AB33" s="432">
        <f t="shared" si="5"/>
        <v>53.724604966139957</v>
      </c>
      <c r="AC33" s="699">
        <f t="shared" si="2"/>
        <v>65.786221810318196</v>
      </c>
      <c r="AD33" s="821">
        <v>30</v>
      </c>
      <c r="AE33" s="432">
        <f t="shared" si="6"/>
        <v>65.320349999999991</v>
      </c>
      <c r="AF33" s="669"/>
    </row>
    <row r="34" spans="1:32" ht="18.75" customHeight="1" x14ac:dyDescent="0.2">
      <c r="A34" s="821">
        <v>21</v>
      </c>
      <c r="B34" s="461" t="s">
        <v>40</v>
      </c>
      <c r="C34" s="821" t="s">
        <v>46</v>
      </c>
      <c r="D34" s="821">
        <v>679.7</v>
      </c>
      <c r="E34" s="821" t="s">
        <v>86</v>
      </c>
      <c r="F34" s="821">
        <v>177.8</v>
      </c>
      <c r="G34" s="821" t="s">
        <v>28</v>
      </c>
      <c r="H34" s="165" t="s">
        <v>379</v>
      </c>
      <c r="I34" s="816">
        <v>592.84</v>
      </c>
      <c r="J34" s="821">
        <v>0</v>
      </c>
      <c r="K34" s="821"/>
      <c r="L34" s="821"/>
      <c r="M34" s="821"/>
      <c r="N34" s="821"/>
      <c r="O34" s="821"/>
      <c r="P34" s="668">
        <v>51.60842979702857</v>
      </c>
      <c r="Q34" s="668">
        <f>J34*7/100</f>
        <v>0</v>
      </c>
      <c r="R34" s="432">
        <v>0</v>
      </c>
      <c r="S34" s="432">
        <v>0</v>
      </c>
      <c r="T34" s="670">
        <v>0</v>
      </c>
      <c r="U34" s="668">
        <f>IF(R34=0,0,T34/R34)</f>
        <v>0</v>
      </c>
      <c r="V34" s="668">
        <v>0</v>
      </c>
      <c r="W34" s="668">
        <v>0</v>
      </c>
      <c r="X34" s="672">
        <v>0</v>
      </c>
      <c r="Y34" s="432">
        <f t="shared" si="4"/>
        <v>0</v>
      </c>
      <c r="Z34" s="432">
        <f t="shared" si="4"/>
        <v>0</v>
      </c>
      <c r="AA34" s="670">
        <f t="shared" si="4"/>
        <v>0</v>
      </c>
      <c r="AB34" s="432">
        <f t="shared" si="5"/>
        <v>0</v>
      </c>
      <c r="AC34" s="699">
        <f t="shared" si="2"/>
        <v>0</v>
      </c>
      <c r="AD34" s="821">
        <v>0</v>
      </c>
      <c r="AE34" s="432">
        <f>Y34*AD34</f>
        <v>0</v>
      </c>
      <c r="AF34" s="449" t="s">
        <v>431</v>
      </c>
    </row>
    <row r="35" spans="1:32" ht="18.75" customHeight="1" x14ac:dyDescent="0.2">
      <c r="A35" s="821">
        <v>22</v>
      </c>
      <c r="B35" s="461" t="s">
        <v>41</v>
      </c>
      <c r="C35" s="821" t="s">
        <v>46</v>
      </c>
      <c r="D35" s="821">
        <v>573.70000000000005</v>
      </c>
      <c r="E35" s="821" t="s">
        <v>87</v>
      </c>
      <c r="F35" s="821">
        <v>177.8</v>
      </c>
      <c r="G35" s="821" t="s">
        <v>28</v>
      </c>
      <c r="H35" s="821" t="s">
        <v>52</v>
      </c>
      <c r="I35" s="816">
        <v>554.30999999999995</v>
      </c>
      <c r="J35" s="821">
        <v>320</v>
      </c>
      <c r="K35" s="821"/>
      <c r="L35" s="821">
        <v>471</v>
      </c>
      <c r="M35" s="821"/>
      <c r="N35" s="821">
        <v>7.5</v>
      </c>
      <c r="O35" s="821"/>
      <c r="P35" s="668">
        <v>14.63727571250268</v>
      </c>
      <c r="Q35" s="668">
        <f t="shared" si="3"/>
        <v>70.400000000000006</v>
      </c>
      <c r="R35" s="432">
        <v>8.2230000000000008</v>
      </c>
      <c r="S35" s="432">
        <v>9.3550000000000004</v>
      </c>
      <c r="T35" s="670">
        <v>309.3</v>
      </c>
      <c r="U35" s="668">
        <f t="shared" si="0"/>
        <v>37.6140094855892</v>
      </c>
      <c r="V35" s="668">
        <f t="shared" si="7"/>
        <v>12.1004810261892</v>
      </c>
      <c r="W35" s="668">
        <v>0.2</v>
      </c>
      <c r="X35" s="432">
        <f t="shared" si="1"/>
        <v>0.13288352272727272</v>
      </c>
      <c r="Y35" s="432">
        <f t="shared" si="4"/>
        <v>8.0832090000000001</v>
      </c>
      <c r="Z35" s="432">
        <f t="shared" si="4"/>
        <v>9.1959650000000011</v>
      </c>
      <c r="AA35" s="670">
        <f t="shared" si="4"/>
        <v>304.0419</v>
      </c>
      <c r="AB35" s="432">
        <v>89.536086956521729</v>
      </c>
      <c r="AC35" s="699">
        <f t="shared" si="2"/>
        <v>12.1004810261892</v>
      </c>
      <c r="AD35" s="821">
        <v>30</v>
      </c>
      <c r="AE35" s="432">
        <f t="shared" si="6"/>
        <v>242.49627000000001</v>
      </c>
      <c r="AF35" s="673"/>
    </row>
    <row r="36" spans="1:32" ht="18.75" customHeight="1" x14ac:dyDescent="0.2">
      <c r="A36" s="821">
        <v>23</v>
      </c>
      <c r="B36" s="461" t="s">
        <v>42</v>
      </c>
      <c r="C36" s="821" t="s">
        <v>46</v>
      </c>
      <c r="D36" s="821">
        <v>583.20000000000005</v>
      </c>
      <c r="E36" s="821" t="s">
        <v>434</v>
      </c>
      <c r="F36" s="821">
        <v>177.8</v>
      </c>
      <c r="G36" s="821" t="s">
        <v>28</v>
      </c>
      <c r="H36" s="821" t="s">
        <v>48</v>
      </c>
      <c r="I36" s="816">
        <v>565.09</v>
      </c>
      <c r="J36" s="821">
        <v>220</v>
      </c>
      <c r="K36" s="821"/>
      <c r="L36" s="821">
        <v>404</v>
      </c>
      <c r="M36" s="821"/>
      <c r="N36" s="821">
        <v>7</v>
      </c>
      <c r="O36" s="821"/>
      <c r="P36" s="668">
        <v>23.378728775539013</v>
      </c>
      <c r="Q36" s="668">
        <f t="shared" si="3"/>
        <v>28.6</v>
      </c>
      <c r="R36" s="432">
        <v>2.23</v>
      </c>
      <c r="S36" s="432">
        <v>8.3049999999999997</v>
      </c>
      <c r="T36" s="670">
        <v>0</v>
      </c>
      <c r="U36" s="668">
        <f t="shared" si="0"/>
        <v>0</v>
      </c>
      <c r="V36" s="668">
        <f t="shared" si="7"/>
        <v>73.148705599036717</v>
      </c>
      <c r="W36" s="668">
        <v>0.7</v>
      </c>
      <c r="X36" s="432">
        <f t="shared" si="1"/>
        <v>0.29038461538461535</v>
      </c>
      <c r="Y36" s="432">
        <f t="shared" si="4"/>
        <v>2.1920899999999999</v>
      </c>
      <c r="Z36" s="432">
        <f t="shared" si="4"/>
        <v>8.1638149999999996</v>
      </c>
      <c r="AA36" s="670">
        <f t="shared" si="4"/>
        <v>0</v>
      </c>
      <c r="AB36" s="432">
        <f t="shared" si="5"/>
        <v>0</v>
      </c>
      <c r="AC36" s="670">
        <f t="shared" si="2"/>
        <v>73.148705599036717</v>
      </c>
      <c r="AD36" s="821">
        <v>30</v>
      </c>
      <c r="AE36" s="432">
        <f t="shared" si="6"/>
        <v>65.762699999999995</v>
      </c>
      <c r="AF36" s="449"/>
    </row>
    <row r="37" spans="1:32" ht="18.75" customHeight="1" x14ac:dyDescent="0.2">
      <c r="A37" s="821">
        <v>24</v>
      </c>
      <c r="B37" s="461" t="s">
        <v>43</v>
      </c>
      <c r="C37" s="821" t="s">
        <v>46</v>
      </c>
      <c r="D37" s="821">
        <v>682.7</v>
      </c>
      <c r="E37" s="821" t="s">
        <v>435</v>
      </c>
      <c r="F37" s="821">
        <v>177.8</v>
      </c>
      <c r="G37" s="821" t="s">
        <v>28</v>
      </c>
      <c r="H37" s="165" t="s">
        <v>399</v>
      </c>
      <c r="I37" s="446">
        <v>575.91</v>
      </c>
      <c r="J37" s="821">
        <v>200</v>
      </c>
      <c r="K37" s="821"/>
      <c r="L37" s="821">
        <v>256</v>
      </c>
      <c r="M37" s="821"/>
      <c r="N37" s="821">
        <v>6.3</v>
      </c>
      <c r="O37" s="821"/>
      <c r="P37" s="668">
        <v>36.498366038333934</v>
      </c>
      <c r="Q37" s="668">
        <f>J37*13/100</f>
        <v>26</v>
      </c>
      <c r="R37" s="432">
        <v>6.851</v>
      </c>
      <c r="S37" s="432">
        <v>28.556999999999999</v>
      </c>
      <c r="T37" s="670">
        <v>186.9</v>
      </c>
      <c r="U37" s="668">
        <f t="shared" si="0"/>
        <v>27.280688950518172</v>
      </c>
      <c r="V37" s="668">
        <f t="shared" si="7"/>
        <v>76.009384739293338</v>
      </c>
      <c r="W37" s="668">
        <v>0.3</v>
      </c>
      <c r="X37" s="432">
        <f t="shared" si="1"/>
        <v>1.0983461538461539</v>
      </c>
      <c r="Y37" s="432">
        <f t="shared" si="4"/>
        <v>6.7345329999999999</v>
      </c>
      <c r="Z37" s="432">
        <f t="shared" si="4"/>
        <v>28.071530999999997</v>
      </c>
      <c r="AA37" s="670">
        <f t="shared" si="4"/>
        <v>183.7227</v>
      </c>
      <c r="AB37" s="432">
        <f t="shared" si="5"/>
        <v>27.280688950518172</v>
      </c>
      <c r="AC37" s="670">
        <f t="shared" si="2"/>
        <v>76.009384739293338</v>
      </c>
      <c r="AD37" s="821">
        <v>30</v>
      </c>
      <c r="AE37" s="432">
        <f t="shared" si="6"/>
        <v>202.03599</v>
      </c>
      <c r="AF37" s="669"/>
    </row>
    <row r="38" spans="1:32" ht="18.75" customHeight="1" x14ac:dyDescent="0.2">
      <c r="A38" s="821">
        <v>25</v>
      </c>
      <c r="B38" s="461" t="s">
        <v>44</v>
      </c>
      <c r="C38" s="821" t="s">
        <v>46</v>
      </c>
      <c r="D38" s="821">
        <v>614.20000000000005</v>
      </c>
      <c r="E38" s="821" t="s">
        <v>90</v>
      </c>
      <c r="F38" s="821">
        <v>177.8</v>
      </c>
      <c r="G38" s="821" t="s">
        <v>28</v>
      </c>
      <c r="H38" s="821" t="s">
        <v>52</v>
      </c>
      <c r="I38" s="446">
        <v>573.37</v>
      </c>
      <c r="J38" s="821">
        <v>270</v>
      </c>
      <c r="K38" s="821"/>
      <c r="L38" s="821">
        <v>242</v>
      </c>
      <c r="M38" s="821"/>
      <c r="N38" s="821">
        <v>6.9</v>
      </c>
      <c r="O38" s="821"/>
      <c r="P38" s="668">
        <v>39.486098372159617</v>
      </c>
      <c r="Q38" s="668">
        <f t="shared" si="3"/>
        <v>59.4</v>
      </c>
      <c r="R38" s="432">
        <v>5.0350000000000001</v>
      </c>
      <c r="S38" s="432">
        <v>40.811999999999998</v>
      </c>
      <c r="T38" s="670">
        <v>107</v>
      </c>
      <c r="U38" s="668">
        <f t="shared" si="0"/>
        <v>21.251241310824231</v>
      </c>
      <c r="V38" s="668">
        <f t="shared" si="7"/>
        <v>87.662942271880823</v>
      </c>
      <c r="W38" s="668">
        <v>1.9</v>
      </c>
      <c r="X38" s="432">
        <f t="shared" si="1"/>
        <v>0.68707070707070705</v>
      </c>
      <c r="Y38" s="432">
        <f t="shared" si="4"/>
        <v>4.9494050000000005</v>
      </c>
      <c r="Z38" s="432">
        <f t="shared" si="4"/>
        <v>40.118195999999998</v>
      </c>
      <c r="AA38" s="670">
        <f t="shared" si="4"/>
        <v>105.181</v>
      </c>
      <c r="AB38" s="432">
        <f t="shared" si="5"/>
        <v>21.251241310824231</v>
      </c>
      <c r="AC38" s="670">
        <f t="shared" si="2"/>
        <v>87.662942271880823</v>
      </c>
      <c r="AD38" s="821">
        <v>30</v>
      </c>
      <c r="AE38" s="432">
        <f t="shared" si="6"/>
        <v>148.48215000000002</v>
      </c>
      <c r="AF38" s="669"/>
    </row>
    <row r="39" spans="1:32" ht="18.75" customHeight="1" x14ac:dyDescent="0.2">
      <c r="A39" s="821">
        <v>26</v>
      </c>
      <c r="B39" s="461" t="s">
        <v>45</v>
      </c>
      <c r="C39" s="821" t="s">
        <v>46</v>
      </c>
      <c r="D39" s="821">
        <v>636.4</v>
      </c>
      <c r="E39" s="821" t="s">
        <v>91</v>
      </c>
      <c r="F39" s="821">
        <v>177.8</v>
      </c>
      <c r="G39" s="821" t="s">
        <v>28</v>
      </c>
      <c r="H39" s="821" t="s">
        <v>52</v>
      </c>
      <c r="I39" s="816">
        <v>592.95000000000005</v>
      </c>
      <c r="J39" s="821">
        <v>300</v>
      </c>
      <c r="K39" s="821"/>
      <c r="L39" s="821">
        <v>504</v>
      </c>
      <c r="M39" s="821"/>
      <c r="N39" s="821">
        <v>9.85</v>
      </c>
      <c r="O39" s="821"/>
      <c r="P39" s="668">
        <v>15.754410704034262</v>
      </c>
      <c r="Q39" s="668">
        <f>LEFT(H39,(FIND("K",H39,1)-1))*J39/100</f>
        <v>66</v>
      </c>
      <c r="R39" s="432">
        <v>13.446</v>
      </c>
      <c r="S39" s="432">
        <v>30.495000000000001</v>
      </c>
      <c r="T39" s="670">
        <v>269.60000000000002</v>
      </c>
      <c r="U39" s="668">
        <f t="shared" si="0"/>
        <v>20.050572661014431</v>
      </c>
      <c r="V39" s="668">
        <f t="shared" si="7"/>
        <v>55.907525823905559</v>
      </c>
      <c r="W39" s="668">
        <v>0.3</v>
      </c>
      <c r="X39" s="432">
        <f t="shared" si="1"/>
        <v>0.46204545454545454</v>
      </c>
      <c r="Y39" s="432">
        <f t="shared" si="4"/>
        <v>13.217418</v>
      </c>
      <c r="Z39" s="432">
        <f t="shared" si="4"/>
        <v>29.976585</v>
      </c>
      <c r="AA39" s="670">
        <f t="shared" si="4"/>
        <v>265.01680000000005</v>
      </c>
      <c r="AB39" s="432">
        <f t="shared" si="5"/>
        <v>20.050572661014431</v>
      </c>
      <c r="AC39" s="670">
        <f t="shared" si="2"/>
        <v>55.907525823905559</v>
      </c>
      <c r="AD39" s="821">
        <v>30</v>
      </c>
      <c r="AE39" s="432">
        <f t="shared" si="6"/>
        <v>396.52253999999999</v>
      </c>
      <c r="AF39" s="669"/>
    </row>
    <row r="40" spans="1:32" ht="18.75" customHeight="1" x14ac:dyDescent="0.2">
      <c r="A40" s="821">
        <v>27</v>
      </c>
      <c r="B40" s="461" t="s">
        <v>206</v>
      </c>
      <c r="C40" s="821" t="s">
        <v>46</v>
      </c>
      <c r="D40" s="821">
        <v>660.2</v>
      </c>
      <c r="E40" s="821" t="s">
        <v>436</v>
      </c>
      <c r="F40" s="821">
        <v>177.8</v>
      </c>
      <c r="G40" s="821" t="s">
        <v>28</v>
      </c>
      <c r="H40" s="821" t="s">
        <v>212</v>
      </c>
      <c r="I40" s="816">
        <v>547.63</v>
      </c>
      <c r="J40" s="821">
        <v>200</v>
      </c>
      <c r="K40" s="821"/>
      <c r="L40" s="821">
        <v>220</v>
      </c>
      <c r="M40" s="821"/>
      <c r="N40" s="821">
        <v>8.6</v>
      </c>
      <c r="O40" s="821"/>
      <c r="P40" s="668">
        <v>41.127131017114728</v>
      </c>
      <c r="Q40" s="668">
        <f t="shared" ref="Q40:Q76" si="8">LEFT(H40,(FIND("K",H40,1)-1))*J40/100</f>
        <v>16</v>
      </c>
      <c r="R40" s="432">
        <v>3.5449999999999999</v>
      </c>
      <c r="S40" s="432">
        <v>8.5519999999999996</v>
      </c>
      <c r="T40" s="670">
        <v>23.856999999999999</v>
      </c>
      <c r="U40" s="668">
        <f t="shared" si="0"/>
        <v>6.729760225669958</v>
      </c>
      <c r="V40" s="668">
        <f t="shared" si="7"/>
        <v>58.547708138447142</v>
      </c>
      <c r="W40" s="668">
        <v>0.3</v>
      </c>
      <c r="X40" s="432">
        <f t="shared" si="1"/>
        <v>0.53449999999999998</v>
      </c>
      <c r="Y40" s="432">
        <f t="shared" si="4"/>
        <v>3.4847349999999997</v>
      </c>
      <c r="Z40" s="432">
        <f t="shared" si="4"/>
        <v>8.4066159999999996</v>
      </c>
      <c r="AA40" s="670">
        <f t="shared" si="4"/>
        <v>23.451430999999999</v>
      </c>
      <c r="AB40" s="432">
        <f t="shared" si="5"/>
        <v>6.729760225669958</v>
      </c>
      <c r="AC40" s="670">
        <f t="shared" si="2"/>
        <v>58.547708138447142</v>
      </c>
      <c r="AD40" s="821">
        <v>30</v>
      </c>
      <c r="AE40" s="432">
        <f t="shared" si="6"/>
        <v>104.54204999999999</v>
      </c>
      <c r="AF40" s="669"/>
    </row>
    <row r="41" spans="1:32" ht="18.75" customHeight="1" x14ac:dyDescent="0.2">
      <c r="A41" s="821">
        <v>28</v>
      </c>
      <c r="B41" s="817" t="s">
        <v>161</v>
      </c>
      <c r="C41" s="821" t="s">
        <v>46</v>
      </c>
      <c r="D41" s="816">
        <v>677</v>
      </c>
      <c r="E41" s="821" t="s">
        <v>178</v>
      </c>
      <c r="F41" s="821">
        <v>177.8</v>
      </c>
      <c r="G41" s="821" t="s">
        <v>28</v>
      </c>
      <c r="H41" s="821" t="s">
        <v>52</v>
      </c>
      <c r="I41" s="816">
        <v>571.98</v>
      </c>
      <c r="J41" s="816">
        <v>120</v>
      </c>
      <c r="K41" s="816"/>
      <c r="L41" s="816">
        <v>192</v>
      </c>
      <c r="M41" s="816"/>
      <c r="N41" s="821">
        <v>6.7</v>
      </c>
      <c r="O41" s="816"/>
      <c r="P41" s="448">
        <v>40.534789491752967</v>
      </c>
      <c r="Q41" s="668">
        <f t="shared" si="8"/>
        <v>26.4</v>
      </c>
      <c r="R41" s="432">
        <v>8.3130000000000006</v>
      </c>
      <c r="S41" s="432">
        <v>20.029</v>
      </c>
      <c r="T41" s="492">
        <v>287.14299999999997</v>
      </c>
      <c r="U41" s="668">
        <f t="shared" si="0"/>
        <v>34.541441116323824</v>
      </c>
      <c r="V41" s="668">
        <f t="shared" si="7"/>
        <v>58.495181986120123</v>
      </c>
      <c r="W41" s="668">
        <v>0.2</v>
      </c>
      <c r="X41" s="432">
        <f t="shared" si="1"/>
        <v>0.75867424242424242</v>
      </c>
      <c r="Y41" s="432">
        <f t="shared" si="4"/>
        <v>8.171679000000001</v>
      </c>
      <c r="Z41" s="432">
        <f t="shared" si="4"/>
        <v>19.688507000000001</v>
      </c>
      <c r="AA41" s="670">
        <f t="shared" si="4"/>
        <v>282.26156899999995</v>
      </c>
      <c r="AB41" s="432">
        <f t="shared" si="5"/>
        <v>34.541441116323824</v>
      </c>
      <c r="AC41" s="670">
        <f t="shared" si="2"/>
        <v>58.495181986120123</v>
      </c>
      <c r="AD41" s="821">
        <v>30</v>
      </c>
      <c r="AE41" s="432">
        <f t="shared" si="6"/>
        <v>245.15037000000004</v>
      </c>
      <c r="AF41" s="449"/>
    </row>
    <row r="42" spans="1:32" ht="18.75" customHeight="1" x14ac:dyDescent="0.2">
      <c r="A42" s="821">
        <v>29</v>
      </c>
      <c r="B42" s="817" t="s">
        <v>162</v>
      </c>
      <c r="C42" s="821" t="s">
        <v>46</v>
      </c>
      <c r="D42" s="816">
        <v>676</v>
      </c>
      <c r="E42" s="821" t="s">
        <v>437</v>
      </c>
      <c r="F42" s="821">
        <v>177.8</v>
      </c>
      <c r="G42" s="821" t="s">
        <v>28</v>
      </c>
      <c r="H42" s="821" t="s">
        <v>50</v>
      </c>
      <c r="I42" s="816">
        <v>549.20000000000005</v>
      </c>
      <c r="J42" s="816">
        <v>150</v>
      </c>
      <c r="K42" s="816"/>
      <c r="L42" s="821">
        <v>420</v>
      </c>
      <c r="M42" s="816"/>
      <c r="N42" s="821">
        <v>3.7</v>
      </c>
      <c r="O42" s="816"/>
      <c r="P42" s="448">
        <v>9.9965732154127558</v>
      </c>
      <c r="Q42" s="668">
        <f t="shared" si="8"/>
        <v>9</v>
      </c>
      <c r="R42" s="432">
        <v>0.81499999999999995</v>
      </c>
      <c r="S42" s="432">
        <v>1.4450000000000001</v>
      </c>
      <c r="T42" s="492">
        <v>6</v>
      </c>
      <c r="U42" s="668">
        <f t="shared" si="0"/>
        <v>7.3619631901840492</v>
      </c>
      <c r="V42" s="668">
        <f t="shared" si="7"/>
        <v>43.598615916955026</v>
      </c>
      <c r="W42" s="668">
        <v>0.3</v>
      </c>
      <c r="X42" s="432">
        <f t="shared" si="1"/>
        <v>0.16055555555555556</v>
      </c>
      <c r="Y42" s="432">
        <f t="shared" si="4"/>
        <v>0.80114499999999988</v>
      </c>
      <c r="Z42" s="432">
        <f t="shared" si="4"/>
        <v>1.4204350000000001</v>
      </c>
      <c r="AA42" s="670">
        <f t="shared" si="4"/>
        <v>5.8979999999999997</v>
      </c>
      <c r="AB42" s="432">
        <f t="shared" si="5"/>
        <v>7.3619631901840492</v>
      </c>
      <c r="AC42" s="670">
        <f t="shared" si="2"/>
        <v>43.598615916955026</v>
      </c>
      <c r="AD42" s="821">
        <v>30</v>
      </c>
      <c r="AE42" s="432">
        <f t="shared" si="6"/>
        <v>24.034349999999996</v>
      </c>
      <c r="AF42" s="449"/>
    </row>
    <row r="43" spans="1:32" ht="18.75" customHeight="1" x14ac:dyDescent="0.2">
      <c r="A43" s="821">
        <v>30</v>
      </c>
      <c r="B43" s="817" t="s">
        <v>163</v>
      </c>
      <c r="C43" s="821" t="s">
        <v>46</v>
      </c>
      <c r="D43" s="816">
        <v>597</v>
      </c>
      <c r="E43" s="821" t="s">
        <v>443</v>
      </c>
      <c r="F43" s="821">
        <v>177.8</v>
      </c>
      <c r="G43" s="821" t="s">
        <v>28</v>
      </c>
      <c r="H43" s="821" t="s">
        <v>48</v>
      </c>
      <c r="I43" s="816">
        <v>555.89</v>
      </c>
      <c r="J43" s="816">
        <v>215</v>
      </c>
      <c r="K43" s="816"/>
      <c r="L43" s="816">
        <v>404</v>
      </c>
      <c r="M43" s="816"/>
      <c r="N43" s="821">
        <v>4.7</v>
      </c>
      <c r="O43" s="816"/>
      <c r="P43" s="448">
        <v>20.650243156470449</v>
      </c>
      <c r="Q43" s="668">
        <f t="shared" si="8"/>
        <v>27.95</v>
      </c>
      <c r="R43" s="432">
        <v>1.302</v>
      </c>
      <c r="S43" s="432">
        <v>5.843</v>
      </c>
      <c r="T43" s="492">
        <v>1.7</v>
      </c>
      <c r="U43" s="668">
        <f>T43/R43</f>
        <v>1.3056835637480797</v>
      </c>
      <c r="V43" s="668">
        <f t="shared" si="7"/>
        <v>77.71692623652234</v>
      </c>
      <c r="W43" s="668">
        <v>0.4</v>
      </c>
      <c r="X43" s="432">
        <f t="shared" si="1"/>
        <v>0.20905187835420394</v>
      </c>
      <c r="Y43" s="432">
        <f t="shared" si="4"/>
        <v>1.2798659999999999</v>
      </c>
      <c r="Z43" s="432">
        <f t="shared" si="4"/>
        <v>5.7436689999999997</v>
      </c>
      <c r="AA43" s="670">
        <f t="shared" si="4"/>
        <v>1.6711</v>
      </c>
      <c r="AB43" s="432">
        <f t="shared" si="5"/>
        <v>1.3056835637480797</v>
      </c>
      <c r="AC43" s="670">
        <f t="shared" si="2"/>
        <v>77.71692623652234</v>
      </c>
      <c r="AD43" s="821">
        <v>30</v>
      </c>
      <c r="AE43" s="432">
        <f t="shared" si="6"/>
        <v>38.395980000000002</v>
      </c>
      <c r="AF43" s="449"/>
    </row>
    <row r="44" spans="1:32" ht="18.75" customHeight="1" x14ac:dyDescent="0.2">
      <c r="A44" s="821">
        <v>31</v>
      </c>
      <c r="B44" s="461" t="s">
        <v>59</v>
      </c>
      <c r="C44" s="821" t="s">
        <v>46</v>
      </c>
      <c r="D44" s="821">
        <v>643</v>
      </c>
      <c r="E44" s="821" t="s">
        <v>454</v>
      </c>
      <c r="F44" s="821">
        <v>177.8</v>
      </c>
      <c r="G44" s="821" t="s">
        <v>28</v>
      </c>
      <c r="H44" s="821" t="s">
        <v>48</v>
      </c>
      <c r="I44" s="816">
        <v>536.89</v>
      </c>
      <c r="J44" s="821">
        <v>85</v>
      </c>
      <c r="K44" s="821"/>
      <c r="L44" s="821">
        <v>166</v>
      </c>
      <c r="M44" s="821"/>
      <c r="N44" s="821">
        <v>5.9</v>
      </c>
      <c r="O44" s="821"/>
      <c r="P44" s="668">
        <v>43.919678856347495</v>
      </c>
      <c r="Q44" s="668">
        <f t="shared" si="8"/>
        <v>11.05</v>
      </c>
      <c r="R44" s="432">
        <v>0.752</v>
      </c>
      <c r="S44" s="432">
        <v>4.1790000000000003</v>
      </c>
      <c r="T44" s="670">
        <v>29</v>
      </c>
      <c r="U44" s="668">
        <f t="shared" si="0"/>
        <v>38.563829787234042</v>
      </c>
      <c r="V44" s="668">
        <f t="shared" si="7"/>
        <v>82.005264417324724</v>
      </c>
      <c r="W44" s="668">
        <v>0.3</v>
      </c>
      <c r="X44" s="432">
        <f t="shared" si="1"/>
        <v>0.37819004524886879</v>
      </c>
      <c r="Y44" s="432">
        <f t="shared" si="4"/>
        <v>0.73921599999999998</v>
      </c>
      <c r="Z44" s="432">
        <f t="shared" si="4"/>
        <v>4.1079569999999999</v>
      </c>
      <c r="AA44" s="670">
        <f t="shared" si="4"/>
        <v>28.506999999999998</v>
      </c>
      <c r="AB44" s="432">
        <f>U44</f>
        <v>38.563829787234042</v>
      </c>
      <c r="AC44" s="670">
        <f t="shared" si="2"/>
        <v>82.005264417324724</v>
      </c>
      <c r="AD44" s="821">
        <v>30</v>
      </c>
      <c r="AE44" s="432">
        <f t="shared" si="6"/>
        <v>22.176479999999998</v>
      </c>
      <c r="AF44" s="449"/>
    </row>
    <row r="45" spans="1:32" ht="18.75" customHeight="1" x14ac:dyDescent="0.2">
      <c r="A45" s="821">
        <v>32</v>
      </c>
      <c r="B45" s="461" t="s">
        <v>207</v>
      </c>
      <c r="C45" s="821" t="s">
        <v>46</v>
      </c>
      <c r="D45" s="821">
        <v>673</v>
      </c>
      <c r="E45" s="821" t="s">
        <v>420</v>
      </c>
      <c r="F45" s="821">
        <v>177.8</v>
      </c>
      <c r="G45" s="821" t="s">
        <v>28</v>
      </c>
      <c r="H45" s="821" t="s">
        <v>50</v>
      </c>
      <c r="I45" s="816">
        <v>564.41999999999996</v>
      </c>
      <c r="J45" s="821">
        <v>215</v>
      </c>
      <c r="K45" s="821"/>
      <c r="L45" s="821">
        <v>211</v>
      </c>
      <c r="M45" s="821"/>
      <c r="N45" s="668">
        <v>0.5</v>
      </c>
      <c r="O45" s="821"/>
      <c r="P45" s="668">
        <v>35.716407342485319</v>
      </c>
      <c r="Q45" s="668">
        <f t="shared" si="8"/>
        <v>12.9</v>
      </c>
      <c r="R45" s="432">
        <v>2.1739999999999999</v>
      </c>
      <c r="S45" s="432">
        <v>7.4710000000000001</v>
      </c>
      <c r="T45" s="670">
        <v>1</v>
      </c>
      <c r="U45" s="668">
        <f t="shared" si="0"/>
        <v>0.45998160073597055</v>
      </c>
      <c r="V45" s="668">
        <f t="shared" si="7"/>
        <v>70.900816490429662</v>
      </c>
      <c r="W45" s="668">
        <v>0.4</v>
      </c>
      <c r="X45" s="432">
        <f t="shared" si="1"/>
        <v>0.57914728682170546</v>
      </c>
      <c r="Y45" s="432">
        <f t="shared" si="4"/>
        <v>2.1370420000000001</v>
      </c>
      <c r="Z45" s="432">
        <f t="shared" si="4"/>
        <v>7.3439930000000002</v>
      </c>
      <c r="AA45" s="670">
        <f t="shared" si="4"/>
        <v>0.98299999999999998</v>
      </c>
      <c r="AB45" s="432">
        <f>U45</f>
        <v>0.45998160073597055</v>
      </c>
      <c r="AC45" s="670">
        <f t="shared" si="2"/>
        <v>70.900816490429662</v>
      </c>
      <c r="AD45" s="821">
        <v>30</v>
      </c>
      <c r="AE45" s="432">
        <f t="shared" si="6"/>
        <v>64.111260000000001</v>
      </c>
      <c r="AF45" s="449"/>
    </row>
    <row r="46" spans="1:32" ht="18.75" customHeight="1" x14ac:dyDescent="0.2">
      <c r="A46" s="821">
        <v>33</v>
      </c>
      <c r="B46" s="461" t="s">
        <v>196</v>
      </c>
      <c r="C46" s="821" t="s">
        <v>304</v>
      </c>
      <c r="D46" s="821">
        <v>641</v>
      </c>
      <c r="E46" s="821" t="s">
        <v>296</v>
      </c>
      <c r="F46" s="821">
        <v>177.8</v>
      </c>
      <c r="G46" s="821" t="s">
        <v>28</v>
      </c>
      <c r="H46" s="821" t="s">
        <v>50</v>
      </c>
      <c r="I46" s="816">
        <v>611.92999999999995</v>
      </c>
      <c r="J46" s="821">
        <v>0</v>
      </c>
      <c r="K46" s="821">
        <v>496</v>
      </c>
      <c r="M46" s="668">
        <v>0.3</v>
      </c>
      <c r="O46" s="821"/>
      <c r="P46" s="668"/>
      <c r="Q46" s="668">
        <f>LEFT(H46,(FIND("K",H46,1)-1))*J46/100</f>
        <v>0</v>
      </c>
      <c r="R46" s="432">
        <v>0</v>
      </c>
      <c r="S46" s="432">
        <v>0</v>
      </c>
      <c r="T46" s="670">
        <v>0</v>
      </c>
      <c r="U46" s="668">
        <v>0</v>
      </c>
      <c r="V46" s="668">
        <v>0</v>
      </c>
      <c r="W46" s="668">
        <v>0.3</v>
      </c>
      <c r="X46" s="432">
        <v>0</v>
      </c>
      <c r="Y46" s="432">
        <f t="shared" si="4"/>
        <v>0</v>
      </c>
      <c r="Z46" s="432">
        <f t="shared" si="4"/>
        <v>0</v>
      </c>
      <c r="AA46" s="670">
        <f t="shared" si="4"/>
        <v>0</v>
      </c>
      <c r="AB46" s="432">
        <f>U46</f>
        <v>0</v>
      </c>
      <c r="AC46" s="670">
        <f t="shared" si="2"/>
        <v>0</v>
      </c>
      <c r="AD46" s="821">
        <v>0</v>
      </c>
      <c r="AE46" s="432">
        <f t="shared" si="6"/>
        <v>0</v>
      </c>
      <c r="AF46" s="449" t="s">
        <v>335</v>
      </c>
    </row>
    <row r="47" spans="1:32" ht="18.75" customHeight="1" x14ac:dyDescent="0.2">
      <c r="A47" s="821">
        <v>34</v>
      </c>
      <c r="B47" s="461" t="s">
        <v>60</v>
      </c>
      <c r="C47" s="821" t="s">
        <v>46</v>
      </c>
      <c r="D47" s="821">
        <v>638.9</v>
      </c>
      <c r="E47" s="821" t="s">
        <v>95</v>
      </c>
      <c r="F47" s="821">
        <v>177.8</v>
      </c>
      <c r="G47" s="821" t="s">
        <v>28</v>
      </c>
      <c r="H47" s="821" t="s">
        <v>48</v>
      </c>
      <c r="I47" s="816">
        <v>546.64</v>
      </c>
      <c r="J47" s="821">
        <v>120</v>
      </c>
      <c r="K47" s="821"/>
      <c r="L47" s="821">
        <v>461</v>
      </c>
      <c r="M47" s="821"/>
      <c r="N47" s="821">
        <v>6.6</v>
      </c>
      <c r="O47" s="821"/>
      <c r="P47" s="668">
        <v>15.538923108282582</v>
      </c>
      <c r="Q47" s="668">
        <f t="shared" si="8"/>
        <v>15.6</v>
      </c>
      <c r="R47" s="432">
        <v>3.1269999999999998</v>
      </c>
      <c r="S47" s="432">
        <v>6.51</v>
      </c>
      <c r="T47" s="670">
        <v>95.5</v>
      </c>
      <c r="U47" s="668">
        <f t="shared" si="0"/>
        <v>30.540454109370007</v>
      </c>
      <c r="V47" s="668">
        <f t="shared" si="7"/>
        <v>51.966205837173582</v>
      </c>
      <c r="W47" s="668">
        <v>0.3</v>
      </c>
      <c r="X47" s="432">
        <f t="shared" si="1"/>
        <v>0.41730769230769232</v>
      </c>
      <c r="Y47" s="432">
        <f t="shared" si="4"/>
        <v>3.0738409999999998</v>
      </c>
      <c r="Z47" s="432">
        <f t="shared" si="4"/>
        <v>6.39933</v>
      </c>
      <c r="AA47" s="670">
        <f t="shared" si="4"/>
        <v>93.876499999999993</v>
      </c>
      <c r="AB47" s="432">
        <f t="shared" si="5"/>
        <v>30.540454109370007</v>
      </c>
      <c r="AC47" s="670">
        <f t="shared" si="2"/>
        <v>51.966205837173582</v>
      </c>
      <c r="AD47" s="821">
        <v>30</v>
      </c>
      <c r="AE47" s="432">
        <f t="shared" si="6"/>
        <v>92.215229999999991</v>
      </c>
      <c r="AF47" s="449"/>
    </row>
    <row r="48" spans="1:32" ht="18.75" customHeight="1" x14ac:dyDescent="0.2">
      <c r="A48" s="821">
        <v>35</v>
      </c>
      <c r="B48" s="461" t="s">
        <v>119</v>
      </c>
      <c r="C48" s="821" t="s">
        <v>427</v>
      </c>
      <c r="D48" s="821">
        <v>654.07000000000005</v>
      </c>
      <c r="E48" s="821" t="s">
        <v>410</v>
      </c>
      <c r="F48" s="821">
        <v>177.8</v>
      </c>
      <c r="G48" s="821" t="s">
        <v>28</v>
      </c>
      <c r="H48" s="165" t="s">
        <v>399</v>
      </c>
      <c r="I48" s="816">
        <v>521.47</v>
      </c>
      <c r="J48" s="821">
        <v>0</v>
      </c>
      <c r="K48" s="821"/>
      <c r="L48" s="821">
        <v>478</v>
      </c>
      <c r="M48" s="821"/>
      <c r="N48" s="821">
        <v>0</v>
      </c>
      <c r="O48" s="821"/>
      <c r="P48" s="668">
        <v>0</v>
      </c>
      <c r="Q48" s="668">
        <f>J48*13/100</f>
        <v>0</v>
      </c>
      <c r="R48" s="432">
        <v>0</v>
      </c>
      <c r="S48" s="432">
        <v>0</v>
      </c>
      <c r="T48" s="670">
        <v>0</v>
      </c>
      <c r="U48" s="668">
        <v>0</v>
      </c>
      <c r="V48" s="668">
        <v>0</v>
      </c>
      <c r="W48" s="668">
        <v>0</v>
      </c>
      <c r="X48" s="432">
        <v>0</v>
      </c>
      <c r="Y48" s="432">
        <f t="shared" si="4"/>
        <v>0</v>
      </c>
      <c r="Z48" s="432">
        <f t="shared" si="4"/>
        <v>0</v>
      </c>
      <c r="AA48" s="670">
        <f t="shared" si="4"/>
        <v>0</v>
      </c>
      <c r="AB48" s="432">
        <f t="shared" si="5"/>
        <v>0</v>
      </c>
      <c r="AC48" s="670">
        <f t="shared" si="2"/>
        <v>0</v>
      </c>
      <c r="AD48" s="821">
        <v>0</v>
      </c>
      <c r="AE48" s="432">
        <f t="shared" si="6"/>
        <v>0</v>
      </c>
      <c r="AF48" s="449" t="s">
        <v>432</v>
      </c>
    </row>
    <row r="49" spans="1:32" ht="18.75" customHeight="1" x14ac:dyDescent="0.2">
      <c r="A49" s="821">
        <v>36</v>
      </c>
      <c r="B49" s="461" t="s">
        <v>118</v>
      </c>
      <c r="C49" s="821" t="s">
        <v>408</v>
      </c>
      <c r="D49" s="821">
        <v>728.77</v>
      </c>
      <c r="E49" s="821" t="s">
        <v>442</v>
      </c>
      <c r="F49" s="821">
        <v>177.8</v>
      </c>
      <c r="G49" s="821" t="s">
        <v>28</v>
      </c>
      <c r="H49" s="821" t="s">
        <v>52</v>
      </c>
      <c r="I49" s="816">
        <v>523.04999999999995</v>
      </c>
      <c r="J49" s="821">
        <v>100</v>
      </c>
      <c r="K49" s="821"/>
      <c r="L49" s="821">
        <v>333</v>
      </c>
      <c r="M49" s="821"/>
      <c r="N49" s="821">
        <v>7.4</v>
      </c>
      <c r="O49" s="821"/>
      <c r="P49" s="668">
        <v>28.565287589877283</v>
      </c>
      <c r="Q49" s="668">
        <f t="shared" si="8"/>
        <v>22</v>
      </c>
      <c r="R49" s="432">
        <v>2.23</v>
      </c>
      <c r="S49" s="432">
        <v>10.416</v>
      </c>
      <c r="T49" s="670">
        <v>15.587</v>
      </c>
      <c r="U49" s="668">
        <f t="shared" si="0"/>
        <v>6.9896860986547082</v>
      </c>
      <c r="V49" s="668">
        <f t="shared" si="7"/>
        <v>78.590629800307227</v>
      </c>
      <c r="W49" s="668">
        <v>0.3</v>
      </c>
      <c r="X49" s="432">
        <f t="shared" si="1"/>
        <v>0.47345454545454546</v>
      </c>
      <c r="Y49" s="432">
        <f t="shared" si="4"/>
        <v>2.1920899999999999</v>
      </c>
      <c r="Z49" s="432">
        <f t="shared" si="4"/>
        <v>10.238928</v>
      </c>
      <c r="AA49" s="670">
        <f t="shared" si="4"/>
        <v>15.322020999999999</v>
      </c>
      <c r="AB49" s="432">
        <f t="shared" si="5"/>
        <v>6.9896860986547082</v>
      </c>
      <c r="AC49" s="670">
        <f t="shared" si="2"/>
        <v>78.590629800307227</v>
      </c>
      <c r="AD49" s="821">
        <v>30</v>
      </c>
      <c r="AE49" s="432">
        <f t="shared" si="6"/>
        <v>65.762699999999995</v>
      </c>
      <c r="AF49" s="449"/>
    </row>
    <row r="50" spans="1:32" ht="18.75" customHeight="1" x14ac:dyDescent="0.2">
      <c r="A50" s="821">
        <v>37</v>
      </c>
      <c r="B50" s="461" t="s">
        <v>117</v>
      </c>
      <c r="C50" s="821" t="s">
        <v>46</v>
      </c>
      <c r="D50" s="821">
        <v>671.45</v>
      </c>
      <c r="E50" s="821" t="s">
        <v>128</v>
      </c>
      <c r="F50" s="821">
        <v>177.8</v>
      </c>
      <c r="G50" s="821" t="s">
        <v>28</v>
      </c>
      <c r="H50" s="821" t="s">
        <v>187</v>
      </c>
      <c r="I50" s="816">
        <v>561.1</v>
      </c>
      <c r="J50" s="821">
        <v>200</v>
      </c>
      <c r="K50" s="821"/>
      <c r="L50" s="821">
        <v>244</v>
      </c>
      <c r="M50" s="821"/>
      <c r="N50" s="821">
        <v>0.3</v>
      </c>
      <c r="O50" s="821"/>
      <c r="P50" s="668">
        <v>32.866029626061909</v>
      </c>
      <c r="Q50" s="668">
        <f t="shared" si="8"/>
        <v>12</v>
      </c>
      <c r="R50" s="432">
        <v>5.8000000000000003E-2</v>
      </c>
      <c r="S50" s="432">
        <v>1.371</v>
      </c>
      <c r="T50" s="670">
        <v>0</v>
      </c>
      <c r="U50" s="668">
        <f t="shared" ref="U50:U56" si="9">T50/R50</f>
        <v>0</v>
      </c>
      <c r="V50" s="668">
        <f t="shared" si="7"/>
        <v>95.769511305616334</v>
      </c>
      <c r="W50" s="668">
        <v>2</v>
      </c>
      <c r="X50" s="432">
        <f t="shared" ref="X50:X77" si="10">S50/Q50</f>
        <v>0.11425</v>
      </c>
      <c r="Y50" s="432">
        <f t="shared" si="4"/>
        <v>5.7014000000000002E-2</v>
      </c>
      <c r="Z50" s="432">
        <f t="shared" si="4"/>
        <v>1.347693</v>
      </c>
      <c r="AA50" s="670">
        <f t="shared" si="4"/>
        <v>0</v>
      </c>
      <c r="AB50" s="432">
        <f t="shared" si="5"/>
        <v>0</v>
      </c>
      <c r="AC50" s="670">
        <f t="shared" si="2"/>
        <v>95.769511305616334</v>
      </c>
      <c r="AD50" s="821">
        <v>30</v>
      </c>
      <c r="AE50" s="432">
        <f t="shared" si="6"/>
        <v>1.7104200000000001</v>
      </c>
      <c r="AF50" s="669"/>
    </row>
    <row r="51" spans="1:32" ht="18.75" customHeight="1" x14ac:dyDescent="0.2">
      <c r="A51" s="821">
        <v>38</v>
      </c>
      <c r="B51" s="461" t="s">
        <v>130</v>
      </c>
      <c r="C51" s="821" t="s">
        <v>46</v>
      </c>
      <c r="D51" s="821">
        <v>622.6</v>
      </c>
      <c r="E51" s="821" t="s">
        <v>134</v>
      </c>
      <c r="F51" s="821">
        <v>177.8</v>
      </c>
      <c r="G51" s="821" t="s">
        <v>28</v>
      </c>
      <c r="H51" s="821" t="s">
        <v>48</v>
      </c>
      <c r="I51" s="816">
        <v>551.79999999999995</v>
      </c>
      <c r="J51" s="821">
        <v>185</v>
      </c>
      <c r="K51" s="821"/>
      <c r="L51" s="821">
        <v>83</v>
      </c>
      <c r="M51" s="821"/>
      <c r="N51" s="821">
        <v>4.2</v>
      </c>
      <c r="O51" s="821"/>
      <c r="P51" s="668">
        <v>51.911864804361848</v>
      </c>
      <c r="Q51" s="668">
        <f t="shared" si="8"/>
        <v>24.05</v>
      </c>
      <c r="R51" s="432">
        <v>1.4790000000000001</v>
      </c>
      <c r="S51" s="432">
        <v>19.452000000000002</v>
      </c>
      <c r="T51" s="670">
        <v>0</v>
      </c>
      <c r="U51" s="668">
        <f t="shared" si="9"/>
        <v>0</v>
      </c>
      <c r="V51" s="668">
        <f t="shared" si="7"/>
        <v>92.396668723010492</v>
      </c>
      <c r="W51" s="668">
        <v>0</v>
      </c>
      <c r="X51" s="432">
        <f t="shared" si="10"/>
        <v>0.80881496881496884</v>
      </c>
      <c r="Y51" s="432">
        <f t="shared" si="4"/>
        <v>1.4538570000000002</v>
      </c>
      <c r="Z51" s="432">
        <f t="shared" si="4"/>
        <v>19.121316</v>
      </c>
      <c r="AA51" s="670">
        <f t="shared" si="4"/>
        <v>0</v>
      </c>
      <c r="AB51" s="432">
        <f t="shared" si="5"/>
        <v>0</v>
      </c>
      <c r="AC51" s="670">
        <f t="shared" si="2"/>
        <v>92.396668723010492</v>
      </c>
      <c r="AD51" s="821">
        <v>30</v>
      </c>
      <c r="AE51" s="432">
        <f t="shared" si="6"/>
        <v>43.615710000000007</v>
      </c>
      <c r="AF51" s="669"/>
    </row>
    <row r="52" spans="1:32" ht="18.75" customHeight="1" x14ac:dyDescent="0.2">
      <c r="A52" s="821">
        <v>39</v>
      </c>
      <c r="B52" s="674" t="s">
        <v>115</v>
      </c>
      <c r="C52" s="452" t="s">
        <v>46</v>
      </c>
      <c r="D52" s="452">
        <v>671.43</v>
      </c>
      <c r="E52" s="452" t="s">
        <v>286</v>
      </c>
      <c r="F52" s="821">
        <v>177.8</v>
      </c>
      <c r="G52" s="452" t="s">
        <v>28</v>
      </c>
      <c r="H52" s="655" t="s">
        <v>363</v>
      </c>
      <c r="I52" s="453">
        <v>565.65</v>
      </c>
      <c r="J52" s="452">
        <v>160</v>
      </c>
      <c r="K52" s="452"/>
      <c r="L52" s="452">
        <v>444</v>
      </c>
      <c r="M52" s="452"/>
      <c r="N52" s="821">
        <v>3.4</v>
      </c>
      <c r="O52" s="452"/>
      <c r="P52" s="675">
        <v>15.354594791587322</v>
      </c>
      <c r="Q52" s="668">
        <f>J52*7/100</f>
        <v>11.2</v>
      </c>
      <c r="R52" s="456">
        <v>1.63</v>
      </c>
      <c r="S52" s="432">
        <v>1.6910000000000001</v>
      </c>
      <c r="T52" s="700">
        <v>0</v>
      </c>
      <c r="U52" s="668">
        <f t="shared" si="9"/>
        <v>0</v>
      </c>
      <c r="V52" s="668">
        <f t="shared" si="7"/>
        <v>3.6073329390893063</v>
      </c>
      <c r="W52" s="675">
        <v>0.4</v>
      </c>
      <c r="X52" s="432">
        <f t="shared" si="10"/>
        <v>0.15098214285714287</v>
      </c>
      <c r="Y52" s="432">
        <f t="shared" si="4"/>
        <v>1.6022899999999998</v>
      </c>
      <c r="Z52" s="432">
        <f t="shared" si="4"/>
        <v>1.662253</v>
      </c>
      <c r="AA52" s="670">
        <f t="shared" si="4"/>
        <v>0</v>
      </c>
      <c r="AB52" s="456">
        <f t="shared" si="5"/>
        <v>0</v>
      </c>
      <c r="AC52" s="670">
        <f t="shared" si="2"/>
        <v>3.6073329390893063</v>
      </c>
      <c r="AD52" s="821">
        <v>30</v>
      </c>
      <c r="AE52" s="456">
        <f t="shared" si="6"/>
        <v>48.068699999999993</v>
      </c>
      <c r="AF52" s="449"/>
    </row>
    <row r="53" spans="1:32" ht="18.75" customHeight="1" x14ac:dyDescent="0.2">
      <c r="A53" s="821">
        <v>40</v>
      </c>
      <c r="B53" s="461" t="s">
        <v>116</v>
      </c>
      <c r="C53" s="821" t="s">
        <v>46</v>
      </c>
      <c r="D53" s="821">
        <v>681.27</v>
      </c>
      <c r="E53" s="821" t="s">
        <v>455</v>
      </c>
      <c r="F53" s="821">
        <v>177.8</v>
      </c>
      <c r="G53" s="821" t="s">
        <v>28</v>
      </c>
      <c r="H53" s="821" t="s">
        <v>53</v>
      </c>
      <c r="I53" s="816">
        <v>559.23</v>
      </c>
      <c r="J53" s="821">
        <v>85</v>
      </c>
      <c r="K53" s="821"/>
      <c r="L53" s="821">
        <v>146</v>
      </c>
      <c r="M53" s="821"/>
      <c r="N53" s="821">
        <v>0.1</v>
      </c>
      <c r="O53" s="821"/>
      <c r="P53" s="668">
        <v>41.726822839639439</v>
      </c>
      <c r="Q53" s="675">
        <f t="shared" si="8"/>
        <v>11.05</v>
      </c>
      <c r="R53" s="432">
        <v>0.51</v>
      </c>
      <c r="S53" s="432">
        <v>2.5979999999999999</v>
      </c>
      <c r="T53" s="670">
        <v>1.143</v>
      </c>
      <c r="U53" s="668">
        <f t="shared" si="9"/>
        <v>2.2411764705882353</v>
      </c>
      <c r="V53" s="668">
        <f t="shared" si="7"/>
        <v>80.36951501154735</v>
      </c>
      <c r="W53" s="668">
        <v>2.5</v>
      </c>
      <c r="X53" s="432">
        <f t="shared" si="10"/>
        <v>0.23511312217194569</v>
      </c>
      <c r="Y53" s="432">
        <f t="shared" si="4"/>
        <v>0.50133000000000005</v>
      </c>
      <c r="Z53" s="432">
        <f t="shared" si="4"/>
        <v>2.5538339999999997</v>
      </c>
      <c r="AA53" s="670">
        <f t="shared" si="4"/>
        <v>1.123569</v>
      </c>
      <c r="AB53" s="432">
        <f t="shared" si="5"/>
        <v>2.2411764705882353</v>
      </c>
      <c r="AC53" s="670">
        <f t="shared" si="2"/>
        <v>80.36951501154735</v>
      </c>
      <c r="AD53" s="821">
        <v>30</v>
      </c>
      <c r="AE53" s="432">
        <f t="shared" si="6"/>
        <v>15.039900000000001</v>
      </c>
      <c r="AF53" s="449"/>
    </row>
    <row r="54" spans="1:32" ht="18.75" customHeight="1" x14ac:dyDescent="0.2">
      <c r="A54" s="821">
        <v>41</v>
      </c>
      <c r="B54" s="461" t="s">
        <v>120</v>
      </c>
      <c r="C54" s="821" t="s">
        <v>46</v>
      </c>
      <c r="D54" s="821">
        <v>668.57</v>
      </c>
      <c r="E54" s="821" t="s">
        <v>285</v>
      </c>
      <c r="F54" s="821">
        <v>177.8</v>
      </c>
      <c r="G54" s="821" t="s">
        <v>28</v>
      </c>
      <c r="H54" s="821" t="s">
        <v>48</v>
      </c>
      <c r="I54" s="816">
        <v>567.08000000000004</v>
      </c>
      <c r="J54" s="821">
        <v>260</v>
      </c>
      <c r="K54" s="821"/>
      <c r="L54" s="821">
        <v>400</v>
      </c>
      <c r="M54" s="821"/>
      <c r="N54" s="821">
        <v>0.3</v>
      </c>
      <c r="O54" s="821"/>
      <c r="P54" s="668">
        <v>16.991587922645504</v>
      </c>
      <c r="Q54" s="668">
        <f t="shared" si="8"/>
        <v>33.799999999999997</v>
      </c>
      <c r="R54" s="432">
        <v>2.5979999999999999</v>
      </c>
      <c r="S54" s="432">
        <v>3.7010000000000001</v>
      </c>
      <c r="T54" s="670">
        <v>0</v>
      </c>
      <c r="U54" s="668">
        <v>2.1429999999999998</v>
      </c>
      <c r="V54" s="668">
        <f t="shared" si="7"/>
        <v>29.802756011888683</v>
      </c>
      <c r="W54" s="668">
        <v>0.25</v>
      </c>
      <c r="X54" s="432">
        <f t="shared" si="10"/>
        <v>0.10949704142011836</v>
      </c>
      <c r="Y54" s="432">
        <f t="shared" si="4"/>
        <v>2.5538339999999997</v>
      </c>
      <c r="Z54" s="432">
        <f t="shared" si="4"/>
        <v>3.638083</v>
      </c>
      <c r="AA54" s="670">
        <f t="shared" si="4"/>
        <v>0</v>
      </c>
      <c r="AB54" s="432">
        <f t="shared" si="5"/>
        <v>2.1429999999999998</v>
      </c>
      <c r="AC54" s="670">
        <f t="shared" si="2"/>
        <v>29.802756011888683</v>
      </c>
      <c r="AD54" s="821">
        <v>30</v>
      </c>
      <c r="AE54" s="432">
        <f t="shared" si="6"/>
        <v>76.615019999999987</v>
      </c>
      <c r="AF54" s="669"/>
    </row>
    <row r="55" spans="1:32" ht="18.75" customHeight="1" x14ac:dyDescent="0.2">
      <c r="A55" s="821">
        <v>42</v>
      </c>
      <c r="B55" s="461" t="s">
        <v>114</v>
      </c>
      <c r="C55" s="821" t="s">
        <v>46</v>
      </c>
      <c r="D55" s="821">
        <v>584.25</v>
      </c>
      <c r="E55" s="821" t="s">
        <v>419</v>
      </c>
      <c r="F55" s="821">
        <v>177.8</v>
      </c>
      <c r="G55" s="821" t="s">
        <v>28</v>
      </c>
      <c r="H55" s="165" t="s">
        <v>383</v>
      </c>
      <c r="I55" s="816">
        <v>560.79999999999995</v>
      </c>
      <c r="J55" s="821">
        <v>0</v>
      </c>
      <c r="K55" s="821">
        <v>150</v>
      </c>
      <c r="L55" s="821"/>
      <c r="M55" s="821">
        <v>2</v>
      </c>
      <c r="N55" s="821"/>
      <c r="O55" s="821"/>
      <c r="P55" s="668">
        <v>42.203996739027275</v>
      </c>
      <c r="Q55" s="668">
        <f>J55*3/100</f>
        <v>0</v>
      </c>
      <c r="R55" s="432">
        <v>0</v>
      </c>
      <c r="S55" s="432">
        <v>0</v>
      </c>
      <c r="T55" s="670">
        <v>0</v>
      </c>
      <c r="U55" s="668" t="e">
        <f t="shared" si="9"/>
        <v>#DIV/0!</v>
      </c>
      <c r="V55" s="668" t="e">
        <f t="shared" si="7"/>
        <v>#DIV/0!</v>
      </c>
      <c r="W55" s="668">
        <v>0</v>
      </c>
      <c r="X55" s="432" t="e">
        <f t="shared" si="10"/>
        <v>#DIV/0!</v>
      </c>
      <c r="Y55" s="432">
        <v>0</v>
      </c>
      <c r="Z55" s="432">
        <v>0</v>
      </c>
      <c r="AA55" s="670">
        <v>0</v>
      </c>
      <c r="AB55" s="432">
        <v>0</v>
      </c>
      <c r="AC55" s="670">
        <v>0</v>
      </c>
      <c r="AD55" s="821">
        <v>0</v>
      </c>
      <c r="AE55" s="432">
        <f t="shared" si="6"/>
        <v>0</v>
      </c>
      <c r="AF55" s="669" t="s">
        <v>418</v>
      </c>
    </row>
    <row r="56" spans="1:32" ht="18.75" customHeight="1" x14ac:dyDescent="0.2">
      <c r="A56" s="821">
        <v>43</v>
      </c>
      <c r="B56" s="461" t="s">
        <v>106</v>
      </c>
      <c r="C56" s="821" t="s">
        <v>46</v>
      </c>
      <c r="D56" s="821">
        <v>642.52</v>
      </c>
      <c r="E56" s="821" t="s">
        <v>457</v>
      </c>
      <c r="F56" s="821">
        <v>177.8</v>
      </c>
      <c r="G56" s="821" t="s">
        <v>28</v>
      </c>
      <c r="H56" s="165" t="s">
        <v>456</v>
      </c>
      <c r="I56" s="816">
        <v>549.55999999999995</v>
      </c>
      <c r="J56" s="821">
        <v>150</v>
      </c>
      <c r="K56" s="821"/>
      <c r="L56" s="821">
        <v>205</v>
      </c>
      <c r="M56" s="821"/>
      <c r="N56" s="821">
        <v>7.1</v>
      </c>
      <c r="O56" s="821"/>
      <c r="P56" s="668">
        <v>42.470646755413469</v>
      </c>
      <c r="Q56" s="668">
        <f>J56*23/100</f>
        <v>34.5</v>
      </c>
      <c r="R56" s="432">
        <v>5.0339999999999998</v>
      </c>
      <c r="S56" s="432">
        <v>29.085000000000001</v>
      </c>
      <c r="T56" s="670">
        <v>40</v>
      </c>
      <c r="U56" s="668">
        <f t="shared" si="9"/>
        <v>7.9459674215335721</v>
      </c>
      <c r="V56" s="668">
        <f t="shared" si="7"/>
        <v>82.692109334708618</v>
      </c>
      <c r="W56" s="668">
        <v>0</v>
      </c>
      <c r="X56" s="432">
        <f t="shared" si="10"/>
        <v>0.84304347826086956</v>
      </c>
      <c r="Y56" s="432">
        <f t="shared" si="4"/>
        <v>4.9484219999999999</v>
      </c>
      <c r="Z56" s="432">
        <f t="shared" si="4"/>
        <v>28.590555000000002</v>
      </c>
      <c r="AA56" s="670">
        <f t="shared" si="4"/>
        <v>39.32</v>
      </c>
      <c r="AB56" s="432">
        <f t="shared" si="5"/>
        <v>7.9459674215335721</v>
      </c>
      <c r="AC56" s="670">
        <f t="shared" si="2"/>
        <v>82.692109334708618</v>
      </c>
      <c r="AD56" s="821">
        <v>30</v>
      </c>
      <c r="AE56" s="432">
        <f t="shared" si="6"/>
        <v>148.45266000000001</v>
      </c>
      <c r="AF56" s="449"/>
    </row>
    <row r="57" spans="1:32" ht="18.75" customHeight="1" x14ac:dyDescent="0.2">
      <c r="A57" s="821">
        <v>44</v>
      </c>
      <c r="B57" s="461" t="s">
        <v>105</v>
      </c>
      <c r="C57" s="821" t="s">
        <v>46</v>
      </c>
      <c r="D57" s="821">
        <v>609.6</v>
      </c>
      <c r="E57" s="821" t="s">
        <v>110</v>
      </c>
      <c r="F57" s="821">
        <v>177.8</v>
      </c>
      <c r="G57" s="821" t="s">
        <v>28</v>
      </c>
      <c r="H57" s="655" t="s">
        <v>406</v>
      </c>
      <c r="I57" s="816">
        <v>512.69000000000005</v>
      </c>
      <c r="J57" s="821">
        <v>200</v>
      </c>
      <c r="K57" s="821"/>
      <c r="L57" s="821">
        <v>377</v>
      </c>
      <c r="M57" s="821"/>
      <c r="N57" s="821">
        <v>0.4</v>
      </c>
      <c r="O57" s="821"/>
      <c r="P57" s="668">
        <v>13.384221354632501</v>
      </c>
      <c r="Q57" s="668">
        <f>J57*20/100</f>
        <v>40</v>
      </c>
      <c r="R57" s="432">
        <v>2.1440000000000001</v>
      </c>
      <c r="S57" s="432">
        <v>2.2280000000000002</v>
      </c>
      <c r="T57" s="670">
        <v>3</v>
      </c>
      <c r="U57" s="668">
        <f>IF(R57=0,0,T57/R57)</f>
        <v>1.3992537313432836</v>
      </c>
      <c r="V57" s="668">
        <f t="shared" si="7"/>
        <v>3.7701974865350119</v>
      </c>
      <c r="W57" s="668">
        <v>9</v>
      </c>
      <c r="X57" s="432">
        <f t="shared" si="10"/>
        <v>5.5700000000000006E-2</v>
      </c>
      <c r="Y57" s="432">
        <v>0</v>
      </c>
      <c r="Z57" s="432">
        <v>0</v>
      </c>
      <c r="AA57" s="670">
        <v>0</v>
      </c>
      <c r="AB57" s="432">
        <v>0</v>
      </c>
      <c r="AC57" s="670">
        <v>0</v>
      </c>
      <c r="AD57" s="821">
        <v>0</v>
      </c>
      <c r="AE57" s="432">
        <f t="shared" si="6"/>
        <v>0</v>
      </c>
      <c r="AF57" s="669" t="s">
        <v>441</v>
      </c>
    </row>
    <row r="58" spans="1:32" ht="18.75" customHeight="1" x14ac:dyDescent="0.2">
      <c r="A58" s="821">
        <v>45</v>
      </c>
      <c r="B58" s="461" t="s">
        <v>104</v>
      </c>
      <c r="C58" s="821" t="s">
        <v>381</v>
      </c>
      <c r="D58" s="821">
        <v>707.14</v>
      </c>
      <c r="E58" s="816" t="s">
        <v>382</v>
      </c>
      <c r="F58" s="821">
        <v>177.8</v>
      </c>
      <c r="G58" s="821" t="s">
        <v>28</v>
      </c>
      <c r="H58" s="165" t="s">
        <v>383</v>
      </c>
      <c r="I58" s="816">
        <v>682.43000000000052</v>
      </c>
      <c r="J58" s="821">
        <v>230</v>
      </c>
      <c r="K58" s="821"/>
      <c r="L58" s="821">
        <v>577</v>
      </c>
      <c r="M58" s="821"/>
      <c r="N58" s="821">
        <v>6.4</v>
      </c>
      <c r="O58" s="821"/>
      <c r="P58" s="668">
        <v>13.863496453455751</v>
      </c>
      <c r="Q58" s="668">
        <f>J58*3/100</f>
        <v>6.9</v>
      </c>
      <c r="R58" s="432">
        <v>0.40899999999999997</v>
      </c>
      <c r="S58" s="432">
        <v>0.45100000000000001</v>
      </c>
      <c r="T58" s="670">
        <v>7.3</v>
      </c>
      <c r="U58" s="668">
        <f>IF(T58=0,0,T58/R58)</f>
        <v>17.848410757946212</v>
      </c>
      <c r="V58" s="668">
        <f t="shared" si="7"/>
        <v>9.3126385809312726</v>
      </c>
      <c r="W58" s="668">
        <v>0.3</v>
      </c>
      <c r="X58" s="432">
        <f t="shared" si="10"/>
        <v>6.5362318840579706E-2</v>
      </c>
      <c r="Y58" s="432">
        <f t="shared" si="4"/>
        <v>0.40204699999999999</v>
      </c>
      <c r="Z58" s="432">
        <f t="shared" si="4"/>
        <v>0.44333300000000003</v>
      </c>
      <c r="AA58" s="670">
        <f t="shared" si="4"/>
        <v>7.1758999999999995</v>
      </c>
      <c r="AB58" s="432">
        <f t="shared" si="5"/>
        <v>17.848410757946212</v>
      </c>
      <c r="AC58" s="670">
        <f t="shared" si="2"/>
        <v>9.3126385809312726</v>
      </c>
      <c r="AD58" s="821">
        <v>30</v>
      </c>
      <c r="AE58" s="432">
        <f t="shared" si="6"/>
        <v>12.06141</v>
      </c>
      <c r="AF58" s="669"/>
    </row>
    <row r="59" spans="1:32" ht="18.75" customHeight="1" x14ac:dyDescent="0.3">
      <c r="A59" s="821">
        <v>46</v>
      </c>
      <c r="B59" s="817" t="s">
        <v>158</v>
      </c>
      <c r="C59" s="821" t="s">
        <v>46</v>
      </c>
      <c r="D59" s="816">
        <v>621.12</v>
      </c>
      <c r="E59" s="816" t="s">
        <v>232</v>
      </c>
      <c r="F59" s="821">
        <v>177.8</v>
      </c>
      <c r="G59" s="821" t="s">
        <v>28</v>
      </c>
      <c r="H59" s="165" t="s">
        <v>403</v>
      </c>
      <c r="I59" s="816">
        <v>544.41999999999996</v>
      </c>
      <c r="J59" s="816">
        <v>175</v>
      </c>
      <c r="K59" s="816"/>
      <c r="L59" s="816">
        <v>460</v>
      </c>
      <c r="M59" s="816"/>
      <c r="N59" s="821">
        <v>8.1999999999999993</v>
      </c>
      <c r="O59" s="816"/>
      <c r="P59" s="448">
        <v>17.342876736887117</v>
      </c>
      <c r="Q59" s="668">
        <f>J59*23/100</f>
        <v>40.25</v>
      </c>
      <c r="R59" s="432">
        <v>5.8810000000000002</v>
      </c>
      <c r="S59" s="432">
        <v>8.83</v>
      </c>
      <c r="T59" s="492">
        <v>212</v>
      </c>
      <c r="U59" s="668">
        <f t="shared" ref="U59:U65" si="11">T59/R59</f>
        <v>36.048291106954601</v>
      </c>
      <c r="V59" s="668">
        <f t="shared" si="7"/>
        <v>33.397508493771234</v>
      </c>
      <c r="W59" s="668">
        <v>0.3</v>
      </c>
      <c r="X59" s="432">
        <f t="shared" si="10"/>
        <v>0.21937888198757763</v>
      </c>
      <c r="Y59" s="432">
        <f t="shared" si="4"/>
        <v>5.7810230000000002</v>
      </c>
      <c r="Z59" s="432">
        <f t="shared" si="4"/>
        <v>8.6798900000000003</v>
      </c>
      <c r="AA59" s="670">
        <f t="shared" si="4"/>
        <v>208.39599999999999</v>
      </c>
      <c r="AB59" s="432">
        <f t="shared" si="5"/>
        <v>36.048291106954601</v>
      </c>
      <c r="AC59" s="670">
        <f t="shared" si="2"/>
        <v>33.397508493771234</v>
      </c>
      <c r="AD59" s="821">
        <v>30</v>
      </c>
      <c r="AE59" s="432">
        <f>Y59*AD59</f>
        <v>173.43069</v>
      </c>
      <c r="AF59" s="458"/>
    </row>
    <row r="60" spans="1:32" ht="18.75" customHeight="1" x14ac:dyDescent="0.2">
      <c r="A60" s="821">
        <v>47</v>
      </c>
      <c r="B60" s="817" t="s">
        <v>160</v>
      </c>
      <c r="C60" s="821" t="s">
        <v>304</v>
      </c>
      <c r="D60" s="816">
        <v>677.33</v>
      </c>
      <c r="E60" s="816" t="s">
        <v>315</v>
      </c>
      <c r="F60" s="821">
        <v>177.8</v>
      </c>
      <c r="G60" s="821" t="s">
        <v>28</v>
      </c>
      <c r="H60" s="821" t="s">
        <v>52</v>
      </c>
      <c r="I60" s="816">
        <v>620.78</v>
      </c>
      <c r="J60" s="816">
        <v>85</v>
      </c>
      <c r="K60" s="816"/>
      <c r="L60" s="821">
        <v>0</v>
      </c>
      <c r="M60" s="816"/>
      <c r="N60" s="821">
        <v>0</v>
      </c>
      <c r="O60" s="816"/>
      <c r="P60" s="448">
        <v>51.854887323295877</v>
      </c>
      <c r="Q60" s="668">
        <f t="shared" si="8"/>
        <v>18.7</v>
      </c>
      <c r="R60" s="432">
        <v>1.3580000000000001</v>
      </c>
      <c r="S60" s="432">
        <v>1.9410000000000001</v>
      </c>
      <c r="T60" s="492">
        <v>21</v>
      </c>
      <c r="U60" s="668">
        <f t="shared" si="11"/>
        <v>15.463917525773194</v>
      </c>
      <c r="V60" s="668">
        <f t="shared" si="7"/>
        <v>30.036063884595563</v>
      </c>
      <c r="W60" s="668">
        <v>0.4</v>
      </c>
      <c r="X60" s="432">
        <f t="shared" si="10"/>
        <v>0.10379679144385028</v>
      </c>
      <c r="Y60" s="432">
        <f t="shared" si="4"/>
        <v>1.3349140000000002</v>
      </c>
      <c r="Z60" s="432">
        <f t="shared" si="4"/>
        <v>1.9080030000000001</v>
      </c>
      <c r="AA60" s="670">
        <f t="shared" si="4"/>
        <v>20.643000000000001</v>
      </c>
      <c r="AB60" s="432">
        <f t="shared" si="5"/>
        <v>15.463917525773194</v>
      </c>
      <c r="AC60" s="670">
        <f t="shared" si="2"/>
        <v>30.036063884595563</v>
      </c>
      <c r="AD60" s="821">
        <v>30</v>
      </c>
      <c r="AE60" s="432">
        <f>Y60*AD60</f>
        <v>40.047420000000002</v>
      </c>
      <c r="AF60" s="669"/>
    </row>
    <row r="61" spans="1:32" ht="18.75" customHeight="1" x14ac:dyDescent="0.2">
      <c r="A61" s="821">
        <v>48</v>
      </c>
      <c r="B61" s="461" t="s">
        <v>164</v>
      </c>
      <c r="C61" s="821" t="s">
        <v>46</v>
      </c>
      <c r="D61" s="816">
        <v>678.47</v>
      </c>
      <c r="E61" s="816" t="s">
        <v>233</v>
      </c>
      <c r="F61" s="821">
        <v>177.8</v>
      </c>
      <c r="G61" s="821" t="s">
        <v>28</v>
      </c>
      <c r="H61" s="821" t="s">
        <v>48</v>
      </c>
      <c r="I61" s="816">
        <v>564.64</v>
      </c>
      <c r="J61" s="816">
        <v>210</v>
      </c>
      <c r="K61" s="816"/>
      <c r="L61" s="816">
        <v>397</v>
      </c>
      <c r="M61" s="816"/>
      <c r="N61" s="821">
        <v>0.6</v>
      </c>
      <c r="O61" s="816"/>
      <c r="P61" s="668">
        <v>17.65071196092358</v>
      </c>
      <c r="Q61" s="668">
        <f t="shared" si="8"/>
        <v>27.3</v>
      </c>
      <c r="R61" s="432">
        <v>4.5739999999999998</v>
      </c>
      <c r="S61" s="432">
        <v>6.0090000000000003</v>
      </c>
      <c r="T61" s="670">
        <v>7.1429999999999998</v>
      </c>
      <c r="U61" s="668">
        <f t="shared" si="11"/>
        <v>1.5616528202885878</v>
      </c>
      <c r="V61" s="668">
        <f t="shared" si="7"/>
        <v>23.88084539856882</v>
      </c>
      <c r="W61" s="668">
        <v>1.3</v>
      </c>
      <c r="X61" s="432">
        <f t="shared" si="10"/>
        <v>0.22010989010989013</v>
      </c>
      <c r="Y61" s="432">
        <f t="shared" si="4"/>
        <v>4.4962419999999996</v>
      </c>
      <c r="Z61" s="432">
        <f t="shared" si="4"/>
        <v>5.906847</v>
      </c>
      <c r="AA61" s="670">
        <f t="shared" si="4"/>
        <v>7.0215689999999995</v>
      </c>
      <c r="AB61" s="432">
        <f t="shared" si="5"/>
        <v>1.5616528202885878</v>
      </c>
      <c r="AC61" s="670">
        <f t="shared" si="2"/>
        <v>23.88084539856882</v>
      </c>
      <c r="AD61" s="821">
        <v>30</v>
      </c>
      <c r="AE61" s="432">
        <f t="shared" ref="AE61:AE76" si="12">Y61*AD61</f>
        <v>134.88726</v>
      </c>
      <c r="AF61" s="669"/>
    </row>
    <row r="62" spans="1:32" ht="18.75" customHeight="1" x14ac:dyDescent="0.2">
      <c r="A62" s="821">
        <v>49</v>
      </c>
      <c r="B62" s="461" t="s">
        <v>61</v>
      </c>
      <c r="C62" s="821" t="s">
        <v>46</v>
      </c>
      <c r="D62" s="821">
        <v>667.18</v>
      </c>
      <c r="E62" s="821" t="s">
        <v>96</v>
      </c>
      <c r="F62" s="821">
        <v>177.8</v>
      </c>
      <c r="G62" s="821" t="s">
        <v>28</v>
      </c>
      <c r="H62" s="821" t="s">
        <v>52</v>
      </c>
      <c r="I62" s="816">
        <v>534.21</v>
      </c>
      <c r="J62" s="821">
        <v>200</v>
      </c>
      <c r="K62" s="821"/>
      <c r="L62" s="821">
        <v>448</v>
      </c>
      <c r="M62" s="821"/>
      <c r="N62" s="821">
        <v>7.01</v>
      </c>
      <c r="O62" s="821"/>
      <c r="P62" s="668">
        <v>17.289709061752394</v>
      </c>
      <c r="Q62" s="668">
        <f t="shared" si="8"/>
        <v>44</v>
      </c>
      <c r="R62" s="432">
        <v>5.7240000000000002</v>
      </c>
      <c r="S62" s="432">
        <v>10.1</v>
      </c>
      <c r="T62" s="670">
        <v>198</v>
      </c>
      <c r="U62" s="668">
        <f t="shared" si="11"/>
        <v>34.591194968553459</v>
      </c>
      <c r="V62" s="668">
        <f t="shared" si="7"/>
        <v>43.326732673267323</v>
      </c>
      <c r="W62" s="668">
        <v>0.3</v>
      </c>
      <c r="X62" s="432">
        <f t="shared" si="10"/>
        <v>0.22954545454545452</v>
      </c>
      <c r="Y62" s="432">
        <f t="shared" si="4"/>
        <v>5.6266920000000002</v>
      </c>
      <c r="Z62" s="432">
        <f t="shared" si="4"/>
        <v>9.9283000000000001</v>
      </c>
      <c r="AA62" s="670">
        <f t="shared" si="4"/>
        <v>194.63399999999999</v>
      </c>
      <c r="AB62" s="432">
        <f t="shared" si="5"/>
        <v>34.591194968553459</v>
      </c>
      <c r="AC62" s="670">
        <f t="shared" si="2"/>
        <v>43.326732673267323</v>
      </c>
      <c r="AD62" s="821">
        <v>30</v>
      </c>
      <c r="AE62" s="432">
        <f t="shared" si="12"/>
        <v>168.80076</v>
      </c>
      <c r="AF62" s="449"/>
    </row>
    <row r="63" spans="1:32" ht="18.75" customHeight="1" x14ac:dyDescent="0.2">
      <c r="A63" s="821">
        <v>50</v>
      </c>
      <c r="B63" s="461" t="s">
        <v>64</v>
      </c>
      <c r="C63" s="821" t="s">
        <v>46</v>
      </c>
      <c r="D63" s="821">
        <v>672.5</v>
      </c>
      <c r="E63" s="821" t="s">
        <v>444</v>
      </c>
      <c r="F63" s="821">
        <v>177.8</v>
      </c>
      <c r="G63" s="821" t="s">
        <v>28</v>
      </c>
      <c r="H63" s="821" t="s">
        <v>49</v>
      </c>
      <c r="I63" s="816">
        <v>524.02</v>
      </c>
      <c r="J63" s="821">
        <v>100</v>
      </c>
      <c r="K63" s="821"/>
      <c r="L63" s="821">
        <v>448</v>
      </c>
      <c r="M63" s="821"/>
      <c r="N63" s="821">
        <v>9.9</v>
      </c>
      <c r="O63" s="821"/>
      <c r="P63" s="668">
        <v>20.327853795406931</v>
      </c>
      <c r="Q63" s="668">
        <f t="shared" si="8"/>
        <v>32</v>
      </c>
      <c r="R63" s="432">
        <v>8.6679999999999993</v>
      </c>
      <c r="S63" s="432">
        <v>15.348000000000001</v>
      </c>
      <c r="T63" s="670">
        <v>633</v>
      </c>
      <c r="U63" s="668">
        <f t="shared" si="11"/>
        <v>73.027226580526076</v>
      </c>
      <c r="V63" s="668">
        <f t="shared" si="7"/>
        <v>43.52358613500131</v>
      </c>
      <c r="W63" s="668">
        <v>0.3</v>
      </c>
      <c r="X63" s="432">
        <f t="shared" si="10"/>
        <v>0.47962500000000002</v>
      </c>
      <c r="Y63" s="432">
        <f t="shared" si="4"/>
        <v>8.520643999999999</v>
      </c>
      <c r="Z63" s="432">
        <f t="shared" si="4"/>
        <v>15.087084000000001</v>
      </c>
      <c r="AA63" s="670">
        <f t="shared" si="4"/>
        <v>622.23900000000003</v>
      </c>
      <c r="AB63" s="432">
        <f t="shared" si="5"/>
        <v>73.027226580526076</v>
      </c>
      <c r="AC63" s="670">
        <f t="shared" si="2"/>
        <v>43.52358613500131</v>
      </c>
      <c r="AD63" s="821">
        <v>30</v>
      </c>
      <c r="AE63" s="432">
        <f t="shared" si="12"/>
        <v>255.61931999999996</v>
      </c>
      <c r="AF63" s="449"/>
    </row>
    <row r="64" spans="1:32" ht="18.75" customHeight="1" x14ac:dyDescent="0.2">
      <c r="A64" s="821">
        <v>51</v>
      </c>
      <c r="B64" s="461" t="s">
        <v>156</v>
      </c>
      <c r="C64" s="821" t="s">
        <v>46</v>
      </c>
      <c r="D64" s="821">
        <v>679.54</v>
      </c>
      <c r="E64" s="821" t="s">
        <v>166</v>
      </c>
      <c r="F64" s="821">
        <v>177.8</v>
      </c>
      <c r="G64" s="821" t="s">
        <v>28</v>
      </c>
      <c r="H64" s="821" t="s">
        <v>52</v>
      </c>
      <c r="I64" s="816">
        <v>530.98</v>
      </c>
      <c r="J64" s="821">
        <v>220</v>
      </c>
      <c r="K64" s="821"/>
      <c r="L64" s="821">
        <v>457</v>
      </c>
      <c r="M64" s="821"/>
      <c r="N64" s="821">
        <v>7.7</v>
      </c>
      <c r="O64" s="821"/>
      <c r="P64" s="668">
        <v>17.056412727634257</v>
      </c>
      <c r="Q64" s="668">
        <f t="shared" si="8"/>
        <v>48.4</v>
      </c>
      <c r="R64" s="432">
        <v>4.8099999999999996</v>
      </c>
      <c r="S64" s="432">
        <v>8.4749999999999996</v>
      </c>
      <c r="T64" s="670">
        <v>160</v>
      </c>
      <c r="U64" s="668">
        <f t="shared" si="11"/>
        <v>33.264033264033266</v>
      </c>
      <c r="V64" s="668">
        <f t="shared" si="7"/>
        <v>43.244837758112098</v>
      </c>
      <c r="W64" s="668">
        <v>0.3</v>
      </c>
      <c r="X64" s="432">
        <f t="shared" si="10"/>
        <v>0.17510330578512395</v>
      </c>
      <c r="Y64" s="432">
        <f t="shared" si="4"/>
        <v>4.7282299999999999</v>
      </c>
      <c r="Z64" s="432">
        <f t="shared" si="4"/>
        <v>8.3309249999999988</v>
      </c>
      <c r="AA64" s="670">
        <f t="shared" si="4"/>
        <v>157.28</v>
      </c>
      <c r="AB64" s="432">
        <f t="shared" si="5"/>
        <v>33.264033264033266</v>
      </c>
      <c r="AC64" s="670">
        <f t="shared" si="2"/>
        <v>43.244837758112098</v>
      </c>
      <c r="AD64" s="821">
        <v>30</v>
      </c>
      <c r="AE64" s="432">
        <f t="shared" si="12"/>
        <v>141.84690000000001</v>
      </c>
      <c r="AF64" s="449"/>
    </row>
    <row r="65" spans="1:32" ht="18.75" customHeight="1" x14ac:dyDescent="0.2">
      <c r="A65" s="821">
        <v>52</v>
      </c>
      <c r="B65" s="461" t="s">
        <v>169</v>
      </c>
      <c r="C65" s="821" t="s">
        <v>46</v>
      </c>
      <c r="D65" s="821">
        <v>673</v>
      </c>
      <c r="E65" s="821" t="s">
        <v>170</v>
      </c>
      <c r="F65" s="821">
        <v>177.8</v>
      </c>
      <c r="G65" s="821" t="s">
        <v>28</v>
      </c>
      <c r="H65" s="821" t="s">
        <v>52</v>
      </c>
      <c r="I65" s="816">
        <v>541.48</v>
      </c>
      <c r="J65" s="821">
        <v>195</v>
      </c>
      <c r="K65" s="821"/>
      <c r="L65" s="821">
        <v>412</v>
      </c>
      <c r="M65" s="821"/>
      <c r="N65" s="821">
        <v>2.6</v>
      </c>
      <c r="O65" s="821"/>
      <c r="P65" s="668">
        <v>17.536614235526624</v>
      </c>
      <c r="Q65" s="668">
        <f t="shared" si="8"/>
        <v>42.9</v>
      </c>
      <c r="R65" s="432">
        <v>4.0410000000000004</v>
      </c>
      <c r="S65" s="432">
        <v>6.484</v>
      </c>
      <c r="T65" s="670">
        <v>63.7</v>
      </c>
      <c r="U65" s="668">
        <f t="shared" si="11"/>
        <v>15.763424894828011</v>
      </c>
      <c r="V65" s="668">
        <f t="shared" si="7"/>
        <v>37.677359654534229</v>
      </c>
      <c r="W65" s="668">
        <v>0.25</v>
      </c>
      <c r="X65" s="432">
        <f t="shared" si="10"/>
        <v>0.15114219114219116</v>
      </c>
      <c r="Y65" s="432">
        <f t="shared" si="4"/>
        <v>3.9723030000000001</v>
      </c>
      <c r="Z65" s="432">
        <f t="shared" si="4"/>
        <v>6.3737719999999998</v>
      </c>
      <c r="AA65" s="670">
        <f t="shared" si="4"/>
        <v>62.617100000000001</v>
      </c>
      <c r="AB65" s="432">
        <f t="shared" si="5"/>
        <v>15.763424894828011</v>
      </c>
      <c r="AC65" s="670">
        <f t="shared" si="2"/>
        <v>37.677359654534229</v>
      </c>
      <c r="AD65" s="821">
        <v>30</v>
      </c>
      <c r="AE65" s="432">
        <f>Y65*AD65</f>
        <v>119.16909000000001</v>
      </c>
      <c r="AF65" s="449"/>
    </row>
    <row r="66" spans="1:32" ht="18.75" customHeight="1" x14ac:dyDescent="0.2">
      <c r="A66" s="821">
        <v>53</v>
      </c>
      <c r="B66" s="461" t="s">
        <v>62</v>
      </c>
      <c r="C66" s="821" t="s">
        <v>46</v>
      </c>
      <c r="D66" s="821">
        <v>673.73</v>
      </c>
      <c r="E66" s="821" t="s">
        <v>97</v>
      </c>
      <c r="F66" s="821">
        <v>177.8</v>
      </c>
      <c r="G66" s="821" t="s">
        <v>28</v>
      </c>
      <c r="H66" s="821" t="s">
        <v>218</v>
      </c>
      <c r="I66" s="816">
        <v>543</v>
      </c>
      <c r="J66" s="821">
        <v>255</v>
      </c>
      <c r="K66" s="821"/>
      <c r="L66" s="821">
        <v>431</v>
      </c>
      <c r="M66" s="821"/>
      <c r="N66" s="821">
        <v>5.8</v>
      </c>
      <c r="O66" s="821"/>
      <c r="P66" s="668">
        <v>18.234568154317863</v>
      </c>
      <c r="Q66" s="668">
        <f t="shared" si="8"/>
        <v>81.599999999999994</v>
      </c>
      <c r="R66" s="432">
        <v>7.5380000000000003</v>
      </c>
      <c r="S66" s="432">
        <v>10.84</v>
      </c>
      <c r="T66" s="670">
        <v>260</v>
      </c>
      <c r="U66" s="668">
        <f t="shared" si="0"/>
        <v>34.491907667816399</v>
      </c>
      <c r="V66" s="668">
        <f t="shared" si="7"/>
        <v>30.461254612546124</v>
      </c>
      <c r="W66" s="668">
        <v>0.3</v>
      </c>
      <c r="X66" s="432">
        <f t="shared" si="10"/>
        <v>0.13284313725490196</v>
      </c>
      <c r="Y66" s="432">
        <f t="shared" si="4"/>
        <v>7.4098540000000002</v>
      </c>
      <c r="Z66" s="432">
        <f t="shared" si="4"/>
        <v>10.655720000000001</v>
      </c>
      <c r="AA66" s="670">
        <f t="shared" si="4"/>
        <v>255.57999999999998</v>
      </c>
      <c r="AB66" s="432">
        <f t="shared" si="5"/>
        <v>34.491907667816399</v>
      </c>
      <c r="AC66" s="670">
        <f t="shared" si="2"/>
        <v>30.461254612546124</v>
      </c>
      <c r="AD66" s="821">
        <v>30</v>
      </c>
      <c r="AE66" s="432">
        <f t="shared" si="12"/>
        <v>222.29562000000001</v>
      </c>
      <c r="AF66" s="669"/>
    </row>
    <row r="67" spans="1:32" ht="18.75" customHeight="1" x14ac:dyDescent="0.2">
      <c r="A67" s="821">
        <v>54</v>
      </c>
      <c r="B67" s="461" t="s">
        <v>157</v>
      </c>
      <c r="C67" s="821" t="s">
        <v>46</v>
      </c>
      <c r="D67" s="821">
        <v>676.73</v>
      </c>
      <c r="E67" s="821" t="s">
        <v>179</v>
      </c>
      <c r="F67" s="821">
        <v>177.8</v>
      </c>
      <c r="G67" s="821" t="s">
        <v>28</v>
      </c>
      <c r="H67" s="821" t="s">
        <v>218</v>
      </c>
      <c r="I67" s="816">
        <v>579.14</v>
      </c>
      <c r="J67" s="821">
        <v>160</v>
      </c>
      <c r="K67" s="821"/>
      <c r="L67" s="821">
        <v>168</v>
      </c>
      <c r="M67" s="821"/>
      <c r="N67" s="821">
        <v>7.9</v>
      </c>
      <c r="O67" s="821"/>
      <c r="P67" s="668">
        <v>44.378812243856878</v>
      </c>
      <c r="Q67" s="668">
        <f t="shared" si="8"/>
        <v>51.2</v>
      </c>
      <c r="R67" s="432">
        <v>18.047000000000001</v>
      </c>
      <c r="S67" s="432">
        <v>48.061</v>
      </c>
      <c r="T67" s="670">
        <v>199</v>
      </c>
      <c r="U67" s="668">
        <f t="shared" si="0"/>
        <v>11.026763450989083</v>
      </c>
      <c r="V67" s="668">
        <f t="shared" si="7"/>
        <v>62.449803374877753</v>
      </c>
      <c r="W67" s="668">
        <v>0.3</v>
      </c>
      <c r="X67" s="432">
        <f t="shared" si="10"/>
        <v>0.93869140624999992</v>
      </c>
      <c r="Y67" s="432">
        <f t="shared" si="4"/>
        <v>17.740200999999999</v>
      </c>
      <c r="Z67" s="432">
        <f t="shared" si="4"/>
        <v>47.243963000000001</v>
      </c>
      <c r="AA67" s="670">
        <f t="shared" si="4"/>
        <v>195.61699999999999</v>
      </c>
      <c r="AB67" s="432">
        <f t="shared" si="5"/>
        <v>11.026763450989083</v>
      </c>
      <c r="AC67" s="670">
        <f t="shared" si="2"/>
        <v>62.449803374877753</v>
      </c>
      <c r="AD67" s="821">
        <v>30</v>
      </c>
      <c r="AE67" s="432">
        <f t="shared" si="12"/>
        <v>532.20602999999994</v>
      </c>
      <c r="AF67" s="676"/>
    </row>
    <row r="68" spans="1:32" ht="18.75" customHeight="1" x14ac:dyDescent="0.2">
      <c r="A68" s="821">
        <v>55</v>
      </c>
      <c r="B68" s="461" t="s">
        <v>159</v>
      </c>
      <c r="C68" s="821" t="s">
        <v>46</v>
      </c>
      <c r="D68" s="821">
        <v>676</v>
      </c>
      <c r="E68" s="821" t="s">
        <v>167</v>
      </c>
      <c r="F68" s="821">
        <v>177.8</v>
      </c>
      <c r="G68" s="821" t="s">
        <v>28</v>
      </c>
      <c r="H68" s="821" t="s">
        <v>218</v>
      </c>
      <c r="I68" s="816">
        <v>508.57</v>
      </c>
      <c r="J68" s="821">
        <v>150</v>
      </c>
      <c r="K68" s="821"/>
      <c r="L68" s="821">
        <v>400</v>
      </c>
      <c r="M68" s="821"/>
      <c r="N68" s="821">
        <v>7.5</v>
      </c>
      <c r="O68" s="821"/>
      <c r="P68" s="668">
        <v>18.188977595635983</v>
      </c>
      <c r="Q68" s="668">
        <f t="shared" si="8"/>
        <v>48</v>
      </c>
      <c r="R68" s="432">
        <v>25.885999999999999</v>
      </c>
      <c r="S68" s="432">
        <v>29.23</v>
      </c>
      <c r="T68" s="670">
        <v>639</v>
      </c>
      <c r="U68" s="668">
        <f t="shared" si="0"/>
        <v>24.68515800046357</v>
      </c>
      <c r="V68" s="668">
        <f t="shared" si="7"/>
        <v>11.44030106055423</v>
      </c>
      <c r="W68" s="668">
        <v>0.2</v>
      </c>
      <c r="X68" s="432">
        <f t="shared" si="10"/>
        <v>0.60895833333333338</v>
      </c>
      <c r="Y68" s="432">
        <f t="shared" si="4"/>
        <v>25.445937999999998</v>
      </c>
      <c r="Z68" s="432">
        <f t="shared" si="4"/>
        <v>28.733090000000001</v>
      </c>
      <c r="AA68" s="670">
        <f t="shared" si="4"/>
        <v>628.13699999999994</v>
      </c>
      <c r="AB68" s="432">
        <f t="shared" si="5"/>
        <v>24.68515800046357</v>
      </c>
      <c r="AC68" s="670">
        <f t="shared" si="2"/>
        <v>11.44030106055423</v>
      </c>
      <c r="AD68" s="821">
        <v>30</v>
      </c>
      <c r="AE68" s="432">
        <f t="shared" si="12"/>
        <v>763.37813999999992</v>
      </c>
      <c r="AF68" s="669"/>
    </row>
    <row r="69" spans="1:32" ht="18.75" customHeight="1" x14ac:dyDescent="0.2">
      <c r="A69" s="821">
        <v>56</v>
      </c>
      <c r="B69" s="461" t="s">
        <v>330</v>
      </c>
      <c r="C69" s="821" t="s">
        <v>46</v>
      </c>
      <c r="D69" s="821">
        <v>595</v>
      </c>
      <c r="E69" s="821" t="s">
        <v>367</v>
      </c>
      <c r="F69" s="821">
        <v>178.8</v>
      </c>
      <c r="G69" s="821" t="s">
        <v>28</v>
      </c>
      <c r="H69" s="821" t="s">
        <v>52</v>
      </c>
      <c r="I69" s="816">
        <v>498.89</v>
      </c>
      <c r="J69" s="821">
        <v>180</v>
      </c>
      <c r="K69" s="821"/>
      <c r="L69" s="821">
        <v>330</v>
      </c>
      <c r="M69" s="821"/>
      <c r="N69" s="821">
        <v>11.9</v>
      </c>
      <c r="O69" s="821"/>
      <c r="P69" s="668">
        <v>28.648662416757013</v>
      </c>
      <c r="Q69" s="668">
        <f t="shared" si="8"/>
        <v>39.6</v>
      </c>
      <c r="R69" s="432">
        <v>22.762</v>
      </c>
      <c r="S69" s="432">
        <v>28.65</v>
      </c>
      <c r="T69" s="670">
        <v>625</v>
      </c>
      <c r="U69" s="668">
        <f t="shared" si="0"/>
        <v>27.458044108602056</v>
      </c>
      <c r="V69" s="668">
        <v>17.5</v>
      </c>
      <c r="W69" s="668">
        <v>0.3</v>
      </c>
      <c r="X69" s="432">
        <f t="shared" si="10"/>
        <v>0.7234848484848484</v>
      </c>
      <c r="Y69" s="432">
        <f t="shared" si="4"/>
        <v>22.375046000000001</v>
      </c>
      <c r="Z69" s="432">
        <f t="shared" si="4"/>
        <v>28.162949999999999</v>
      </c>
      <c r="AA69" s="670">
        <f t="shared" si="4"/>
        <v>614.375</v>
      </c>
      <c r="AB69" s="432">
        <v>20</v>
      </c>
      <c r="AC69" s="670">
        <v>17</v>
      </c>
      <c r="AD69" s="821">
        <v>30</v>
      </c>
      <c r="AE69" s="432">
        <f t="shared" si="12"/>
        <v>671.25138000000004</v>
      </c>
      <c r="AF69" s="669"/>
    </row>
    <row r="70" spans="1:32" ht="18.75" customHeight="1" x14ac:dyDescent="0.2">
      <c r="A70" s="821">
        <v>57</v>
      </c>
      <c r="B70" s="461" t="s">
        <v>210</v>
      </c>
      <c r="C70" s="821" t="s">
        <v>46</v>
      </c>
      <c r="D70" s="821">
        <v>728.32</v>
      </c>
      <c r="E70" s="821" t="s">
        <v>226</v>
      </c>
      <c r="F70" s="821">
        <v>177.8</v>
      </c>
      <c r="G70" s="821" t="s">
        <v>28</v>
      </c>
      <c r="H70" s="821" t="s">
        <v>218</v>
      </c>
      <c r="I70" s="816">
        <v>519.38</v>
      </c>
      <c r="J70" s="821">
        <v>230</v>
      </c>
      <c r="K70" s="821"/>
      <c r="L70" s="821">
        <v>193</v>
      </c>
      <c r="M70" s="821"/>
      <c r="N70" s="821">
        <v>10.9</v>
      </c>
      <c r="O70" s="821"/>
      <c r="P70" s="668">
        <v>44.478121956071924</v>
      </c>
      <c r="Q70" s="668">
        <f t="shared" si="8"/>
        <v>73.599999999999994</v>
      </c>
      <c r="R70" s="432">
        <v>9.6720000000000006</v>
      </c>
      <c r="S70" s="432">
        <v>50.128999999999998</v>
      </c>
      <c r="T70" s="670">
        <v>369</v>
      </c>
      <c r="U70" s="668">
        <f t="shared" si="0"/>
        <v>38.151364764267989</v>
      </c>
      <c r="V70" s="668">
        <f t="shared" si="7"/>
        <v>80.705779089947924</v>
      </c>
      <c r="W70" s="668">
        <v>0.6</v>
      </c>
      <c r="X70" s="432">
        <f t="shared" si="10"/>
        <v>0.68110054347826088</v>
      </c>
      <c r="Y70" s="432">
        <f t="shared" si="4"/>
        <v>9.5075760000000002</v>
      </c>
      <c r="Z70" s="432">
        <f t="shared" si="4"/>
        <v>49.276806999999998</v>
      </c>
      <c r="AA70" s="670">
        <f t="shared" si="4"/>
        <v>362.72699999999998</v>
      </c>
      <c r="AB70" s="432">
        <f t="shared" si="5"/>
        <v>38.151364764267989</v>
      </c>
      <c r="AC70" s="670">
        <f t="shared" si="2"/>
        <v>80.705779089947924</v>
      </c>
      <c r="AD70" s="821">
        <v>30</v>
      </c>
      <c r="AE70" s="432">
        <f t="shared" si="12"/>
        <v>285.22728000000001</v>
      </c>
      <c r="AF70" s="449"/>
    </row>
    <row r="71" spans="1:32" ht="18.75" customHeight="1" x14ac:dyDescent="0.2">
      <c r="A71" s="821">
        <v>58</v>
      </c>
      <c r="B71" s="461" t="s">
        <v>63</v>
      </c>
      <c r="C71" s="821" t="s">
        <v>46</v>
      </c>
      <c r="D71" s="821">
        <v>672.99</v>
      </c>
      <c r="E71" s="821" t="s">
        <v>98</v>
      </c>
      <c r="F71" s="821">
        <v>177.8</v>
      </c>
      <c r="G71" s="821" t="s">
        <v>28</v>
      </c>
      <c r="H71" s="821" t="s">
        <v>310</v>
      </c>
      <c r="I71" s="816">
        <v>536.32000000000005</v>
      </c>
      <c r="J71" s="821">
        <v>310</v>
      </c>
      <c r="K71" s="821"/>
      <c r="L71" s="821">
        <v>391</v>
      </c>
      <c r="M71" s="821"/>
      <c r="N71" s="821">
        <v>9.3000000000000007</v>
      </c>
      <c r="O71" s="821"/>
      <c r="P71" s="668">
        <v>24.869640572164599</v>
      </c>
      <c r="Q71" s="668">
        <f t="shared" si="8"/>
        <v>68.2</v>
      </c>
      <c r="R71" s="432">
        <v>13.465999999999999</v>
      </c>
      <c r="S71" s="432">
        <v>18.664000000000001</v>
      </c>
      <c r="T71" s="670">
        <v>1138</v>
      </c>
      <c r="U71" s="668">
        <f t="shared" si="0"/>
        <v>84.509134115550282</v>
      </c>
      <c r="V71" s="668">
        <f t="shared" si="7"/>
        <v>27.850407201028727</v>
      </c>
      <c r="W71" s="668">
        <v>0.2</v>
      </c>
      <c r="X71" s="432">
        <f t="shared" si="10"/>
        <v>0.27366568914956013</v>
      </c>
      <c r="Y71" s="432">
        <f t="shared" si="4"/>
        <v>13.237077999999999</v>
      </c>
      <c r="Z71" s="432">
        <f t="shared" si="4"/>
        <v>18.346712</v>
      </c>
      <c r="AA71" s="670">
        <f t="shared" si="4"/>
        <v>1118.654</v>
      </c>
      <c r="AB71" s="432">
        <f t="shared" si="5"/>
        <v>84.509134115550282</v>
      </c>
      <c r="AC71" s="670">
        <f t="shared" si="2"/>
        <v>27.850407201028727</v>
      </c>
      <c r="AD71" s="821">
        <v>30</v>
      </c>
      <c r="AE71" s="432">
        <f t="shared" si="12"/>
        <v>397.11233999999996</v>
      </c>
      <c r="AF71" s="449"/>
    </row>
    <row r="72" spans="1:32" ht="18.75" customHeight="1" x14ac:dyDescent="0.2">
      <c r="A72" s="821">
        <v>59</v>
      </c>
      <c r="B72" s="461" t="s">
        <v>217</v>
      </c>
      <c r="C72" s="821" t="s">
        <v>46</v>
      </c>
      <c r="D72" s="821">
        <v>684.57</v>
      </c>
      <c r="E72" s="821" t="s">
        <v>359</v>
      </c>
      <c r="F72" s="821">
        <v>177.8</v>
      </c>
      <c r="G72" s="821" t="s">
        <v>28</v>
      </c>
      <c r="H72" s="821" t="s">
        <v>219</v>
      </c>
      <c r="I72" s="816">
        <v>555.95000000000005</v>
      </c>
      <c r="J72" s="821">
        <v>300</v>
      </c>
      <c r="K72" s="821"/>
      <c r="L72" s="821">
        <v>235</v>
      </c>
      <c r="M72" s="821"/>
      <c r="N72" s="821">
        <v>8.8000000000000007</v>
      </c>
      <c r="O72" s="821"/>
      <c r="P72" s="668">
        <v>41.909148301420672</v>
      </c>
      <c r="Q72" s="668">
        <f t="shared" si="8"/>
        <v>36</v>
      </c>
      <c r="R72" s="432">
        <v>4.0759999999999996</v>
      </c>
      <c r="S72" s="432">
        <v>21.87</v>
      </c>
      <c r="T72" s="670">
        <v>0</v>
      </c>
      <c r="U72" s="668">
        <f t="shared" si="0"/>
        <v>0</v>
      </c>
      <c r="V72" s="668">
        <f t="shared" si="7"/>
        <v>81.36259716506629</v>
      </c>
      <c r="W72" s="668">
        <v>0.4</v>
      </c>
      <c r="X72" s="432">
        <f t="shared" si="10"/>
        <v>0.60750000000000004</v>
      </c>
      <c r="Y72" s="432">
        <f t="shared" si="4"/>
        <v>4.0067079999999997</v>
      </c>
      <c r="Z72" s="432">
        <f t="shared" si="4"/>
        <v>21.49821</v>
      </c>
      <c r="AA72" s="670">
        <f t="shared" si="4"/>
        <v>0</v>
      </c>
      <c r="AB72" s="432">
        <f t="shared" si="5"/>
        <v>0</v>
      </c>
      <c r="AC72" s="670">
        <f t="shared" si="2"/>
        <v>81.36259716506629</v>
      </c>
      <c r="AD72" s="821">
        <v>30</v>
      </c>
      <c r="AE72" s="432">
        <f t="shared" si="12"/>
        <v>120.20123999999998</v>
      </c>
      <c r="AF72" s="449"/>
    </row>
    <row r="73" spans="1:32" ht="18.75" customHeight="1" x14ac:dyDescent="0.2">
      <c r="A73" s="821">
        <v>60</v>
      </c>
      <c r="B73" s="461" t="s">
        <v>211</v>
      </c>
      <c r="C73" s="821" t="s">
        <v>46</v>
      </c>
      <c r="D73" s="821">
        <v>675.29</v>
      </c>
      <c r="E73" s="821" t="s">
        <v>224</v>
      </c>
      <c r="F73" s="821">
        <v>177.8</v>
      </c>
      <c r="G73" s="821" t="s">
        <v>28</v>
      </c>
      <c r="H73" s="821" t="s">
        <v>384</v>
      </c>
      <c r="I73" s="816">
        <v>554.95999999999981</v>
      </c>
      <c r="J73" s="821">
        <v>170</v>
      </c>
      <c r="K73" s="821"/>
      <c r="L73" s="821">
        <v>407</v>
      </c>
      <c r="M73" s="821"/>
      <c r="N73" s="821">
        <v>0.9</v>
      </c>
      <c r="O73" s="821"/>
      <c r="P73" s="668">
        <v>16.96563421634189</v>
      </c>
      <c r="Q73" s="668">
        <f>(22*J73)/100</f>
        <v>37.4</v>
      </c>
      <c r="R73" s="432">
        <v>5.0149999999999997</v>
      </c>
      <c r="S73" s="432">
        <v>7.9740000000000002</v>
      </c>
      <c r="T73" s="670">
        <v>15</v>
      </c>
      <c r="U73" s="668">
        <f t="shared" si="0"/>
        <v>2.9910269192422732</v>
      </c>
      <c r="V73" s="668">
        <f t="shared" si="7"/>
        <v>37.108101329320299</v>
      </c>
      <c r="W73" s="668">
        <v>0.5</v>
      </c>
      <c r="X73" s="432">
        <f t="shared" si="10"/>
        <v>0.21320855614973264</v>
      </c>
      <c r="Y73" s="432">
        <f t="shared" si="4"/>
        <v>4.9297449999999996</v>
      </c>
      <c r="Z73" s="432">
        <f t="shared" si="4"/>
        <v>7.8384419999999997</v>
      </c>
      <c r="AA73" s="670">
        <f t="shared" si="4"/>
        <v>14.744999999999999</v>
      </c>
      <c r="AB73" s="432">
        <f t="shared" si="5"/>
        <v>2.9910269192422732</v>
      </c>
      <c r="AC73" s="670">
        <f t="shared" si="2"/>
        <v>37.108101329320299</v>
      </c>
      <c r="AD73" s="821">
        <v>30</v>
      </c>
      <c r="AE73" s="432">
        <f t="shared" si="12"/>
        <v>147.89234999999999</v>
      </c>
      <c r="AF73" s="449"/>
    </row>
    <row r="74" spans="1:32" ht="18.75" customHeight="1" x14ac:dyDescent="0.2">
      <c r="A74" s="821">
        <v>61</v>
      </c>
      <c r="B74" s="461" t="s">
        <v>341</v>
      </c>
      <c r="C74" s="821" t="s">
        <v>46</v>
      </c>
      <c r="D74" s="821">
        <v>683.16</v>
      </c>
      <c r="E74" s="821" t="s">
        <v>343</v>
      </c>
      <c r="F74" s="821">
        <v>177.8</v>
      </c>
      <c r="G74" s="821" t="s">
        <v>28</v>
      </c>
      <c r="H74" s="766" t="s">
        <v>342</v>
      </c>
      <c r="I74" s="816">
        <v>571.9</v>
      </c>
      <c r="J74" s="821">
        <v>225</v>
      </c>
      <c r="K74" s="821"/>
      <c r="L74" s="821">
        <v>206</v>
      </c>
      <c r="M74" s="821"/>
      <c r="N74" s="821">
        <v>10.5</v>
      </c>
      <c r="O74" s="821"/>
      <c r="P74" s="668">
        <v>41.099903698414089</v>
      </c>
      <c r="Q74" s="668">
        <f>(20*J74)/100</f>
        <v>45</v>
      </c>
      <c r="R74" s="432">
        <v>24.896999999999998</v>
      </c>
      <c r="S74" s="432">
        <v>33.121000000000002</v>
      </c>
      <c r="T74" s="670">
        <v>561</v>
      </c>
      <c r="U74" s="668">
        <f t="shared" si="0"/>
        <v>22.532835281359201</v>
      </c>
      <c r="V74" s="668">
        <f t="shared" si="7"/>
        <v>24.830168171250875</v>
      </c>
      <c r="W74" s="668">
        <v>0.3</v>
      </c>
      <c r="X74" s="432">
        <f t="shared" si="10"/>
        <v>0.73602222222222224</v>
      </c>
      <c r="Y74" s="432">
        <f t="shared" si="4"/>
        <v>24.473750999999996</v>
      </c>
      <c r="Z74" s="432">
        <f t="shared" si="4"/>
        <v>32.557943000000002</v>
      </c>
      <c r="AA74" s="670">
        <f t="shared" si="4"/>
        <v>551.46299999999997</v>
      </c>
      <c r="AB74" s="432">
        <f t="shared" si="5"/>
        <v>22.532835281359201</v>
      </c>
      <c r="AC74" s="670">
        <f t="shared" si="2"/>
        <v>24.830168171250875</v>
      </c>
      <c r="AD74" s="821">
        <v>30</v>
      </c>
      <c r="AE74" s="432">
        <f t="shared" si="12"/>
        <v>734.2125299999999</v>
      </c>
      <c r="AF74" s="449"/>
    </row>
    <row r="75" spans="1:32" ht="18.75" customHeight="1" x14ac:dyDescent="0.3">
      <c r="A75" s="821">
        <v>62</v>
      </c>
      <c r="B75" s="461" t="s">
        <v>354</v>
      </c>
      <c r="C75" s="821" t="s">
        <v>46</v>
      </c>
      <c r="D75" s="821">
        <v>634.29</v>
      </c>
      <c r="E75" s="656" t="s">
        <v>356</v>
      </c>
      <c r="F75" s="821">
        <v>178.8</v>
      </c>
      <c r="G75" s="821" t="s">
        <v>28</v>
      </c>
      <c r="H75" s="241" t="s">
        <v>366</v>
      </c>
      <c r="I75" s="816">
        <v>540.14</v>
      </c>
      <c r="J75" s="821">
        <v>170</v>
      </c>
      <c r="K75" s="821"/>
      <c r="L75" s="821">
        <v>294</v>
      </c>
      <c r="M75" s="821"/>
      <c r="N75" s="821">
        <v>11.7</v>
      </c>
      <c r="O75" s="821"/>
      <c r="P75" s="668">
        <v>35.64568209847242</v>
      </c>
      <c r="Q75" s="668">
        <f>(33*J75)/100</f>
        <v>56.1</v>
      </c>
      <c r="R75" s="432">
        <v>22.253</v>
      </c>
      <c r="S75" s="432">
        <v>34.688000000000002</v>
      </c>
      <c r="T75" s="670">
        <v>323</v>
      </c>
      <c r="U75" s="668">
        <f t="shared" si="0"/>
        <v>14.514896867838043</v>
      </c>
      <c r="V75" s="668">
        <f t="shared" si="7"/>
        <v>35.848131918819192</v>
      </c>
      <c r="W75" s="668">
        <v>0.2</v>
      </c>
      <c r="X75" s="432">
        <f t="shared" si="10"/>
        <v>0.61832442067736193</v>
      </c>
      <c r="Y75" s="432">
        <f t="shared" si="4"/>
        <v>21.874699</v>
      </c>
      <c r="Z75" s="432">
        <f t="shared" si="4"/>
        <v>34.098303999999999</v>
      </c>
      <c r="AA75" s="670">
        <f t="shared" si="4"/>
        <v>317.50900000000001</v>
      </c>
      <c r="AB75" s="432">
        <f t="shared" si="5"/>
        <v>14.514896867838043</v>
      </c>
      <c r="AC75" s="670">
        <f t="shared" si="2"/>
        <v>35.848131918819192</v>
      </c>
      <c r="AD75" s="821">
        <v>30</v>
      </c>
      <c r="AE75" s="432">
        <f t="shared" si="12"/>
        <v>656.24096999999995</v>
      </c>
      <c r="AF75" s="449"/>
    </row>
    <row r="76" spans="1:32" ht="18.75" customHeight="1" x14ac:dyDescent="0.2">
      <c r="A76" s="821">
        <v>63</v>
      </c>
      <c r="B76" s="461" t="s">
        <v>213</v>
      </c>
      <c r="C76" s="825" t="s">
        <v>445</v>
      </c>
      <c r="D76" s="821">
        <v>690.8</v>
      </c>
      <c r="E76" s="821" t="s">
        <v>452</v>
      </c>
      <c r="F76" s="821">
        <v>177.8</v>
      </c>
      <c r="G76" s="821" t="s">
        <v>28</v>
      </c>
      <c r="H76" s="821" t="s">
        <v>48</v>
      </c>
      <c r="I76" s="816">
        <v>660.45</v>
      </c>
      <c r="J76" s="821">
        <v>150</v>
      </c>
      <c r="K76" s="821"/>
      <c r="L76" s="821">
        <v>265</v>
      </c>
      <c r="M76" s="821"/>
      <c r="N76" s="821">
        <v>9.3000000000000007</v>
      </c>
      <c r="O76" s="821"/>
      <c r="P76" s="668">
        <v>35.784900292304386</v>
      </c>
      <c r="Q76" s="668">
        <f t="shared" si="8"/>
        <v>19.5</v>
      </c>
      <c r="R76" s="432">
        <v>8.4960000000000004</v>
      </c>
      <c r="S76" s="432">
        <v>10.702</v>
      </c>
      <c r="T76" s="670">
        <v>278</v>
      </c>
      <c r="U76" s="668">
        <f t="shared" si="0"/>
        <v>32.721280602636533</v>
      </c>
      <c r="V76" s="668">
        <f t="shared" si="7"/>
        <v>20.612969538404034</v>
      </c>
      <c r="W76" s="668">
        <v>0.4</v>
      </c>
      <c r="X76" s="432">
        <f t="shared" si="10"/>
        <v>0.54882051282051281</v>
      </c>
      <c r="Y76" s="432">
        <f t="shared" si="4"/>
        <v>8.3515680000000003</v>
      </c>
      <c r="Z76" s="432">
        <f t="shared" si="4"/>
        <v>10.520066</v>
      </c>
      <c r="AA76" s="670">
        <f t="shared" si="4"/>
        <v>273.274</v>
      </c>
      <c r="AB76" s="432">
        <f t="shared" si="5"/>
        <v>32.721280602636533</v>
      </c>
      <c r="AC76" s="670">
        <f t="shared" si="2"/>
        <v>20.612969538404034</v>
      </c>
      <c r="AD76" s="821">
        <v>30</v>
      </c>
      <c r="AE76" s="432">
        <f t="shared" si="12"/>
        <v>250.54704000000001</v>
      </c>
      <c r="AF76" s="826" t="s">
        <v>453</v>
      </c>
    </row>
    <row r="77" spans="1:32" ht="18.75" customHeight="1" x14ac:dyDescent="0.2">
      <c r="A77" s="821">
        <v>64</v>
      </c>
      <c r="B77" s="461" t="s">
        <v>172</v>
      </c>
      <c r="C77" s="821" t="s">
        <v>46</v>
      </c>
      <c r="D77" s="821">
        <v>673</v>
      </c>
      <c r="E77" s="821" t="s">
        <v>173</v>
      </c>
      <c r="F77" s="821">
        <v>177.8</v>
      </c>
      <c r="G77" s="821" t="s">
        <v>28</v>
      </c>
      <c r="H77" s="821" t="s">
        <v>50</v>
      </c>
      <c r="I77" s="816">
        <v>560.79</v>
      </c>
      <c r="J77" s="821">
        <v>365</v>
      </c>
      <c r="K77" s="821"/>
      <c r="L77" s="821">
        <v>179</v>
      </c>
      <c r="M77" s="821"/>
      <c r="N77" s="821">
        <v>7.6</v>
      </c>
      <c r="O77" s="821"/>
      <c r="P77" s="448">
        <v>46.741256005362089</v>
      </c>
      <c r="Q77" s="668">
        <f>LEFT(H77,(FIND("K",H77,1)-1))*J77/100</f>
        <v>21.9</v>
      </c>
      <c r="R77" s="432">
        <v>0.104</v>
      </c>
      <c r="S77" s="432">
        <v>1.1859999999999999</v>
      </c>
      <c r="T77" s="670">
        <v>0</v>
      </c>
      <c r="U77" s="668">
        <f t="shared" si="0"/>
        <v>0</v>
      </c>
      <c r="V77" s="668">
        <f t="shared" si="7"/>
        <v>91.231028667790881</v>
      </c>
      <c r="W77" s="668">
        <v>0.2</v>
      </c>
      <c r="X77" s="432">
        <f t="shared" si="10"/>
        <v>5.4155251141552514E-2</v>
      </c>
      <c r="Y77" s="432">
        <f t="shared" si="4"/>
        <v>0.10223199999999999</v>
      </c>
      <c r="Z77" s="432">
        <f t="shared" si="4"/>
        <v>1.1658379999999999</v>
      </c>
      <c r="AA77" s="670">
        <f t="shared" si="4"/>
        <v>0</v>
      </c>
      <c r="AB77" s="432">
        <f t="shared" si="5"/>
        <v>0</v>
      </c>
      <c r="AC77" s="670">
        <f t="shared" si="2"/>
        <v>91.231028667790881</v>
      </c>
      <c r="AD77" s="821">
        <v>30</v>
      </c>
      <c r="AE77" s="432">
        <f>Y77*AD77</f>
        <v>3.0669599999999999</v>
      </c>
      <c r="AF77" s="449"/>
    </row>
    <row r="78" spans="1:32" ht="18.75" customHeight="1" x14ac:dyDescent="0.2">
      <c r="A78" s="677"/>
      <c r="B78" s="821"/>
      <c r="C78" s="821"/>
      <c r="D78" s="816"/>
      <c r="E78" s="816"/>
      <c r="F78" s="461"/>
      <c r="G78" s="821"/>
      <c r="H78" s="821"/>
      <c r="I78" s="816"/>
      <c r="J78" s="816"/>
      <c r="K78" s="816"/>
      <c r="L78" s="816"/>
      <c r="M78" s="816"/>
      <c r="N78" s="821"/>
      <c r="O78" s="816"/>
      <c r="P78" s="668"/>
      <c r="Q78" s="448"/>
      <c r="R78" s="466">
        <f>SUM(R14:R77)</f>
        <v>372.82299999999998</v>
      </c>
      <c r="S78" s="466">
        <f>SUM(S14:S77)</f>
        <v>785.96100000000001</v>
      </c>
      <c r="T78" s="512">
        <f>SUM(T14:T77)</f>
        <v>11199.287</v>
      </c>
      <c r="U78" s="466">
        <f>T78/R78</f>
        <v>30.039152627386187</v>
      </c>
      <c r="V78" s="466"/>
      <c r="W78" s="466"/>
      <c r="X78" s="466"/>
      <c r="Y78" s="466">
        <f>SUM(Y14:Y77)</f>
        <v>364.37745699999999</v>
      </c>
      <c r="Z78" s="466">
        <f>SUM(Z14:Z77)</f>
        <v>770.40953899999988</v>
      </c>
      <c r="AA78" s="678">
        <f>SUM(AA14:AA77)</f>
        <v>11005.950121</v>
      </c>
      <c r="AB78" s="466">
        <f>AA78/Y78</f>
        <v>30.204805235797011</v>
      </c>
      <c r="AC78" s="466"/>
      <c r="AD78" s="820"/>
      <c r="AE78" s="466">
        <f>SUM(AE14:AE77)</f>
        <v>10931.323710000001</v>
      </c>
      <c r="AF78" s="669"/>
    </row>
    <row r="79" spans="1:32" ht="18.75" customHeight="1" x14ac:dyDescent="0.2">
      <c r="A79" s="677"/>
      <c r="B79" s="821"/>
      <c r="C79" s="821"/>
      <c r="D79" s="816"/>
      <c r="E79" s="816"/>
      <c r="F79" s="461"/>
      <c r="G79" s="821"/>
      <c r="H79" s="821"/>
      <c r="I79" s="816"/>
      <c r="J79" s="816"/>
      <c r="K79" s="816"/>
      <c r="L79" s="816"/>
      <c r="M79" s="816"/>
      <c r="N79" s="821"/>
      <c r="O79" s="816"/>
      <c r="P79" s="668"/>
      <c r="Q79" s="448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820"/>
      <c r="AE79" s="466"/>
      <c r="AF79" s="669"/>
    </row>
    <row r="80" spans="1:32" ht="18.75" customHeight="1" x14ac:dyDescent="0.2">
      <c r="A80" s="677"/>
      <c r="B80" s="821"/>
      <c r="C80" s="821"/>
      <c r="D80" s="816"/>
      <c r="E80" s="815" t="s">
        <v>388</v>
      </c>
      <c r="F80" s="461"/>
      <c r="G80" s="821"/>
      <c r="H80" s="821"/>
      <c r="I80" s="816"/>
      <c r="J80" s="816"/>
      <c r="K80" s="816"/>
      <c r="L80" s="816"/>
      <c r="M80" s="816"/>
      <c r="N80" s="821"/>
      <c r="O80" s="816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820"/>
      <c r="AE80" s="466"/>
      <c r="AF80" s="669"/>
    </row>
    <row r="81" spans="1:32" ht="18.75" customHeight="1" x14ac:dyDescent="0.2">
      <c r="A81" s="821">
        <v>65</v>
      </c>
      <c r="B81" s="461" t="s">
        <v>423</v>
      </c>
      <c r="C81" s="821" t="s">
        <v>445</v>
      </c>
      <c r="D81" s="816">
        <v>683.8</v>
      </c>
      <c r="E81" s="816" t="s">
        <v>446</v>
      </c>
      <c r="F81" s="821">
        <v>177.8</v>
      </c>
      <c r="G81" s="821" t="s">
        <v>28</v>
      </c>
      <c r="H81" s="821" t="s">
        <v>48</v>
      </c>
      <c r="I81" s="816">
        <v>590.46</v>
      </c>
      <c r="J81" s="816">
        <v>180</v>
      </c>
      <c r="K81" s="816"/>
      <c r="L81" s="816">
        <v>155</v>
      </c>
      <c r="M81" s="816"/>
      <c r="N81" s="821">
        <v>11.6</v>
      </c>
      <c r="O81" s="816"/>
      <c r="P81" s="668">
        <v>49.465952003123633</v>
      </c>
      <c r="Q81" s="668">
        <f t="shared" ref="Q81" si="13">LEFT(H81,(FIND("K",H81,1)-1))*J81/100</f>
        <v>23.4</v>
      </c>
      <c r="R81" s="432">
        <v>17.710999999999999</v>
      </c>
      <c r="S81" s="432">
        <v>18.125</v>
      </c>
      <c r="T81" s="492">
        <v>779</v>
      </c>
      <c r="U81" s="668">
        <f t="shared" ref="U81" si="14">T81/R81</f>
        <v>43.98396476765852</v>
      </c>
      <c r="V81" s="668">
        <f t="shared" ref="V81" si="15">(S81-R81)/S81*100</f>
        <v>2.2841379310344907</v>
      </c>
      <c r="W81" s="668">
        <v>0.2</v>
      </c>
      <c r="X81" s="432">
        <f t="shared" ref="X81" si="16">S81/Q81</f>
        <v>0.7745726495726496</v>
      </c>
      <c r="Y81" s="432">
        <f t="shared" ref="Y81" si="17">R81*0.983</f>
        <v>17.409913</v>
      </c>
      <c r="Z81" s="432">
        <f t="shared" ref="Z81" si="18">S81*0.983</f>
        <v>17.816875</v>
      </c>
      <c r="AA81" s="670">
        <f t="shared" ref="AA81" si="19">T81*0.983</f>
        <v>765.75699999999995</v>
      </c>
      <c r="AB81" s="432">
        <f t="shared" ref="AB81" si="20">U81</f>
        <v>43.98396476765852</v>
      </c>
      <c r="AC81" s="670">
        <f t="shared" ref="AC81" si="21">V81</f>
        <v>2.2841379310344907</v>
      </c>
      <c r="AD81" s="821">
        <v>30</v>
      </c>
      <c r="AE81" s="432">
        <f>Y81*AD81</f>
        <v>522.29738999999995</v>
      </c>
      <c r="AF81" s="669" t="s">
        <v>447</v>
      </c>
    </row>
    <row r="82" spans="1:32" ht="18.75" customHeight="1" x14ac:dyDescent="0.2">
      <c r="A82" s="821">
        <v>66</v>
      </c>
      <c r="B82" s="461" t="s">
        <v>451</v>
      </c>
      <c r="C82" s="821" t="s">
        <v>445</v>
      </c>
      <c r="D82" s="816">
        <v>684.2</v>
      </c>
      <c r="E82" s="816" t="s">
        <v>458</v>
      </c>
      <c r="F82" s="821">
        <v>177.8</v>
      </c>
      <c r="G82" s="821" t="s">
        <v>28</v>
      </c>
      <c r="H82" s="821" t="s">
        <v>48</v>
      </c>
      <c r="I82" s="816"/>
      <c r="J82" s="816"/>
      <c r="K82" s="816"/>
      <c r="L82" s="816">
        <v>100</v>
      </c>
      <c r="M82" s="816"/>
      <c r="N82" s="821">
        <v>15</v>
      </c>
      <c r="O82" s="816"/>
      <c r="P82" s="668">
        <v>58.6</v>
      </c>
      <c r="Q82" s="668"/>
      <c r="R82" s="432"/>
      <c r="S82" s="432"/>
      <c r="T82" s="492"/>
      <c r="U82" s="466"/>
      <c r="V82" s="466"/>
      <c r="W82" s="466"/>
      <c r="X82" s="466"/>
      <c r="Y82" s="466">
        <v>25</v>
      </c>
      <c r="Z82" s="708">
        <v>10.5</v>
      </c>
      <c r="AA82" s="678">
        <v>350</v>
      </c>
      <c r="AB82" s="432"/>
      <c r="AC82" s="466"/>
      <c r="AD82" s="820"/>
      <c r="AE82" s="466"/>
      <c r="AF82" s="669" t="s">
        <v>448</v>
      </c>
    </row>
    <row r="83" spans="1:32" ht="18.75" customHeight="1" x14ac:dyDescent="0.2">
      <c r="A83" s="828">
        <v>67</v>
      </c>
      <c r="B83" s="461" t="s">
        <v>424</v>
      </c>
      <c r="C83" s="821" t="s">
        <v>445</v>
      </c>
      <c r="D83" s="816">
        <v>691</v>
      </c>
      <c r="E83" s="816" t="s">
        <v>449</v>
      </c>
      <c r="F83" s="821">
        <v>177.8</v>
      </c>
      <c r="G83" s="821" t="s">
        <v>28</v>
      </c>
      <c r="H83" s="821" t="s">
        <v>48</v>
      </c>
      <c r="I83" s="816">
        <v>588.74</v>
      </c>
      <c r="J83" s="816">
        <v>110</v>
      </c>
      <c r="K83" s="816"/>
      <c r="L83" s="816">
        <v>276</v>
      </c>
      <c r="M83" s="816"/>
      <c r="N83" s="821">
        <v>11.5</v>
      </c>
      <c r="O83" s="816"/>
      <c r="P83" s="668">
        <v>42.665010934438492</v>
      </c>
      <c r="Q83" s="668">
        <f t="shared" ref="Q83" si="22">LEFT(H83,(FIND("K",H83,1)-1))*J83/100</f>
        <v>14.3</v>
      </c>
      <c r="R83" s="432">
        <v>13.590999999999999</v>
      </c>
      <c r="S83" s="432">
        <v>13.882</v>
      </c>
      <c r="T83" s="492">
        <v>279.7</v>
      </c>
      <c r="U83" s="668">
        <f t="shared" ref="U83" si="23">T83/R83</f>
        <v>20.579795452873224</v>
      </c>
      <c r="V83" s="668">
        <f t="shared" ref="V83" si="24">(S83-R83)/S83*100</f>
        <v>2.0962397349085173</v>
      </c>
      <c r="W83" s="668">
        <v>0.2</v>
      </c>
      <c r="X83" s="432">
        <f t="shared" ref="X83" si="25">S83/Q83</f>
        <v>0.97076923076923072</v>
      </c>
      <c r="Y83" s="432">
        <f t="shared" ref="Y83" si="26">R83*0.983</f>
        <v>13.359952999999999</v>
      </c>
      <c r="Z83" s="432">
        <f t="shared" ref="Z83" si="27">S83*0.983</f>
        <v>13.646006</v>
      </c>
      <c r="AA83" s="670">
        <f t="shared" ref="AA83" si="28">T83*0.983</f>
        <v>274.94509999999997</v>
      </c>
      <c r="AB83" s="432">
        <f t="shared" ref="AB83" si="29">U83</f>
        <v>20.579795452873224</v>
      </c>
      <c r="AC83" s="670">
        <f t="shared" ref="AC83" si="30">V83</f>
        <v>2.0962397349085173</v>
      </c>
      <c r="AD83" s="821">
        <v>30</v>
      </c>
      <c r="AE83" s="432">
        <f>Y83*AD83</f>
        <v>400.79858999999999</v>
      </c>
      <c r="AF83" s="669" t="s">
        <v>448</v>
      </c>
    </row>
    <row r="84" spans="1:32" ht="18.75" customHeight="1" x14ac:dyDescent="0.2">
      <c r="A84" s="828">
        <v>68</v>
      </c>
      <c r="B84" s="461" t="s">
        <v>155</v>
      </c>
      <c r="C84" s="821" t="s">
        <v>415</v>
      </c>
      <c r="D84" s="821">
        <v>513.9</v>
      </c>
      <c r="E84" s="821" t="s">
        <v>416</v>
      </c>
      <c r="F84" s="821">
        <v>177.8</v>
      </c>
      <c r="G84" s="821"/>
      <c r="H84" s="165"/>
      <c r="I84" s="816">
        <v>9.5</v>
      </c>
      <c r="J84" s="816"/>
      <c r="K84" s="816"/>
      <c r="L84" s="816"/>
      <c r="M84" s="816"/>
      <c r="N84" s="821"/>
      <c r="O84" s="816"/>
      <c r="P84" s="668"/>
      <c r="Q84" s="448"/>
      <c r="R84" s="466">
        <f>SUM(R81:R83)</f>
        <v>31.302</v>
      </c>
      <c r="S84" s="466">
        <f>SUM(S81:S83)</f>
        <v>32.006999999999998</v>
      </c>
      <c r="T84" s="512">
        <f>SUM(T81:T83)</f>
        <v>1058.7</v>
      </c>
      <c r="U84" s="466">
        <f>T84/R84</f>
        <v>33.822119992332759</v>
      </c>
      <c r="V84" s="466"/>
      <c r="W84" s="466"/>
      <c r="X84" s="466"/>
      <c r="Y84" s="466">
        <f>SUM(Y81:Y83)</f>
        <v>55.769866</v>
      </c>
      <c r="Z84" s="466">
        <f>SUM(Z81:Z83)</f>
        <v>41.962880999999996</v>
      </c>
      <c r="AA84" s="678">
        <f>SUM(AA81:AA83)</f>
        <v>1390.7021</v>
      </c>
      <c r="AB84" s="466">
        <f>AA84/Y84</f>
        <v>24.936443275657144</v>
      </c>
      <c r="AC84" s="466"/>
      <c r="AD84" s="820"/>
      <c r="AE84" s="466">
        <f>SUM(AE81:AE83)</f>
        <v>923.09597999999994</v>
      </c>
      <c r="AF84" s="669" t="s">
        <v>417</v>
      </c>
    </row>
    <row r="85" spans="1:32" ht="18.75" customHeight="1" x14ac:dyDescent="0.2">
      <c r="A85" s="677"/>
      <c r="B85" s="1913"/>
      <c r="C85" s="1913"/>
      <c r="D85" s="1913"/>
      <c r="E85" s="1913"/>
      <c r="F85" s="461"/>
      <c r="G85" s="821"/>
      <c r="H85" s="821"/>
      <c r="I85" s="821"/>
      <c r="J85" s="816"/>
      <c r="K85" s="816"/>
      <c r="L85" s="816"/>
      <c r="M85" s="816"/>
      <c r="N85" s="816"/>
      <c r="O85" s="816"/>
      <c r="P85" s="448"/>
      <c r="Q85" s="448"/>
      <c r="R85" s="816"/>
      <c r="S85" s="816"/>
      <c r="T85" s="816"/>
      <c r="U85" s="812"/>
      <c r="V85" s="812"/>
      <c r="W85" s="812"/>
      <c r="X85" s="812"/>
      <c r="Y85" s="682"/>
      <c r="Z85" s="682"/>
      <c r="AA85" s="815"/>
      <c r="AB85" s="812"/>
      <c r="AC85" s="816"/>
      <c r="AD85" s="821"/>
      <c r="AE85" s="432"/>
      <c r="AF85" s="669"/>
    </row>
    <row r="86" spans="1:32" ht="18.75" customHeight="1" x14ac:dyDescent="0.2">
      <c r="B86" s="1914" t="s">
        <v>389</v>
      </c>
      <c r="C86" s="1915"/>
      <c r="D86" s="1915"/>
      <c r="E86" s="1915"/>
      <c r="F86" s="1902"/>
      <c r="G86" s="812"/>
      <c r="H86" s="815"/>
      <c r="I86" s="815"/>
      <c r="J86" s="816"/>
      <c r="K86" s="816"/>
      <c r="L86" s="816"/>
      <c r="M86" s="816"/>
      <c r="N86" s="816"/>
      <c r="O86" s="816"/>
      <c r="P86" s="448"/>
      <c r="Q86" s="448"/>
      <c r="R86" s="816"/>
      <c r="S86" s="437"/>
      <c r="T86" s="816"/>
      <c r="U86" s="812"/>
      <c r="V86" s="812"/>
      <c r="W86" s="812"/>
      <c r="X86" s="421"/>
      <c r="Y86" s="816"/>
      <c r="Z86" s="816"/>
      <c r="AA86" s="816"/>
      <c r="AB86" s="812"/>
      <c r="AC86" s="812"/>
      <c r="AD86" s="816"/>
      <c r="AE86" s="816"/>
      <c r="AF86" s="815"/>
    </row>
    <row r="87" spans="1:32" ht="18.75" customHeight="1" x14ac:dyDescent="0.2">
      <c r="A87" s="818">
        <v>69</v>
      </c>
      <c r="B87" s="821" t="s">
        <v>131</v>
      </c>
      <c r="C87" s="818" t="s">
        <v>313</v>
      </c>
      <c r="D87" s="821">
        <v>389.74</v>
      </c>
      <c r="E87" s="679" t="s">
        <v>136</v>
      </c>
      <c r="F87" s="821">
        <v>177.8</v>
      </c>
      <c r="G87" s="821" t="s">
        <v>28</v>
      </c>
      <c r="H87" s="821" t="s">
        <v>58</v>
      </c>
      <c r="I87" s="816">
        <v>142.80000000000001</v>
      </c>
      <c r="J87" s="816">
        <v>360</v>
      </c>
      <c r="K87" s="821"/>
      <c r="L87" s="821">
        <v>24</v>
      </c>
      <c r="M87" s="821"/>
      <c r="N87" s="821">
        <v>0</v>
      </c>
      <c r="O87" s="821"/>
      <c r="P87" s="668">
        <v>15.58160335564434</v>
      </c>
      <c r="Q87" s="448">
        <f>(3*J87)/100</f>
        <v>10.8</v>
      </c>
      <c r="R87" s="432">
        <v>0.54</v>
      </c>
      <c r="S87" s="432">
        <v>1.0509999999999999</v>
      </c>
      <c r="T87" s="432">
        <v>0</v>
      </c>
      <c r="U87" s="432">
        <f>T87/R87</f>
        <v>0</v>
      </c>
      <c r="V87" s="432">
        <f t="shared" ref="V87:V90" si="31">(S87-R87)/S87*100</f>
        <v>48.620361560418637</v>
      </c>
      <c r="W87" s="432">
        <v>0.3</v>
      </c>
      <c r="X87" s="432">
        <f t="shared" ref="X87:X90" si="32">S87/Q87</f>
        <v>9.7314814814814798E-2</v>
      </c>
      <c r="Y87" s="432">
        <f>R87*0.988</f>
        <v>0.53351999999999999</v>
      </c>
      <c r="Z87" s="432">
        <f>S87*0.988</f>
        <v>1.0383879999999999</v>
      </c>
      <c r="AA87" s="432">
        <f>T87*0.988</f>
        <v>0</v>
      </c>
      <c r="AB87" s="432">
        <f t="shared" ref="AB87:AC90" si="33">U87</f>
        <v>0</v>
      </c>
      <c r="AC87" s="432">
        <f t="shared" si="33"/>
        <v>48.620361560418637</v>
      </c>
      <c r="AD87" s="821">
        <v>30</v>
      </c>
      <c r="AE87" s="432">
        <f t="shared" ref="AE87:AE90" si="34">Y87*AD87</f>
        <v>16.005600000000001</v>
      </c>
      <c r="AF87" s="449"/>
    </row>
    <row r="88" spans="1:32" ht="18.75" customHeight="1" x14ac:dyDescent="0.2">
      <c r="A88" s="818">
        <v>70</v>
      </c>
      <c r="B88" s="821" t="s">
        <v>132</v>
      </c>
      <c r="C88" s="818" t="s">
        <v>313</v>
      </c>
      <c r="D88" s="821">
        <v>387.72</v>
      </c>
      <c r="E88" s="679" t="s">
        <v>135</v>
      </c>
      <c r="F88" s="821">
        <v>177.8</v>
      </c>
      <c r="G88" s="821" t="s">
        <v>28</v>
      </c>
      <c r="H88" s="821" t="s">
        <v>58</v>
      </c>
      <c r="I88" s="816">
        <v>136.03</v>
      </c>
      <c r="J88" s="821">
        <v>240</v>
      </c>
      <c r="K88" s="821"/>
      <c r="L88" s="821">
        <v>33</v>
      </c>
      <c r="M88" s="821"/>
      <c r="N88" s="821">
        <v>0</v>
      </c>
      <c r="O88" s="821"/>
      <c r="P88" s="668">
        <v>13.313927630153747</v>
      </c>
      <c r="Q88" s="448">
        <f>(3*J88)/100</f>
        <v>7.2</v>
      </c>
      <c r="R88" s="432">
        <v>3.0049999999999999</v>
      </c>
      <c r="S88" s="432">
        <v>5.5469999999999997</v>
      </c>
      <c r="T88" s="432">
        <v>0</v>
      </c>
      <c r="U88" s="432">
        <f>T88/R88</f>
        <v>0</v>
      </c>
      <c r="V88" s="432">
        <f t="shared" si="31"/>
        <v>45.826572922300343</v>
      </c>
      <c r="W88" s="432">
        <v>0.3</v>
      </c>
      <c r="X88" s="432">
        <f t="shared" si="32"/>
        <v>0.77041666666666664</v>
      </c>
      <c r="Y88" s="432">
        <f t="shared" ref="Y88:AA90" si="35">R88*0.988</f>
        <v>2.9689399999999999</v>
      </c>
      <c r="Z88" s="432">
        <f t="shared" si="35"/>
        <v>5.4804360000000001</v>
      </c>
      <c r="AA88" s="432">
        <f t="shared" si="35"/>
        <v>0</v>
      </c>
      <c r="AB88" s="432">
        <v>0</v>
      </c>
      <c r="AC88" s="432">
        <f>V88</f>
        <v>45.826572922300343</v>
      </c>
      <c r="AD88" s="821">
        <v>30</v>
      </c>
      <c r="AE88" s="432">
        <f t="shared" si="34"/>
        <v>89.06819999999999</v>
      </c>
      <c r="AF88" s="449"/>
    </row>
    <row r="89" spans="1:32" ht="18.75" customHeight="1" x14ac:dyDescent="0.25">
      <c r="A89" s="827">
        <v>71</v>
      </c>
      <c r="B89" s="821" t="s">
        <v>121</v>
      </c>
      <c r="C89" s="818" t="s">
        <v>313</v>
      </c>
      <c r="D89" s="821">
        <v>389.57</v>
      </c>
      <c r="E89" s="821" t="s">
        <v>137</v>
      </c>
      <c r="F89" s="821">
        <v>177.8</v>
      </c>
      <c r="G89" s="821" t="s">
        <v>28</v>
      </c>
      <c r="H89" s="707" t="s">
        <v>363</v>
      </c>
      <c r="I89" s="816">
        <v>138.22999999999999</v>
      </c>
      <c r="J89" s="821"/>
      <c r="K89" s="821"/>
      <c r="L89" s="821"/>
      <c r="M89" s="821"/>
      <c r="N89" s="821"/>
      <c r="O89" s="821"/>
      <c r="P89" s="668">
        <v>14.637453174003252</v>
      </c>
      <c r="Q89" s="448">
        <f>(3*J89)/100</f>
        <v>0</v>
      </c>
      <c r="R89" s="432">
        <v>0</v>
      </c>
      <c r="S89" s="432">
        <v>0</v>
      </c>
      <c r="T89" s="432">
        <v>0</v>
      </c>
      <c r="U89" s="432">
        <v>0</v>
      </c>
      <c r="V89" s="432" t="e">
        <f t="shared" si="31"/>
        <v>#DIV/0!</v>
      </c>
      <c r="W89" s="432">
        <v>0</v>
      </c>
      <c r="X89" s="432" t="e">
        <f t="shared" si="32"/>
        <v>#DIV/0!</v>
      </c>
      <c r="Y89" s="432">
        <f t="shared" si="35"/>
        <v>0</v>
      </c>
      <c r="Z89" s="432">
        <f t="shared" si="35"/>
        <v>0</v>
      </c>
      <c r="AA89" s="432">
        <f t="shared" si="35"/>
        <v>0</v>
      </c>
      <c r="AB89" s="432">
        <v>0</v>
      </c>
      <c r="AC89" s="432" t="e">
        <f>V89</f>
        <v>#DIV/0!</v>
      </c>
      <c r="AD89" s="821">
        <v>0</v>
      </c>
      <c r="AE89" s="432">
        <f t="shared" si="34"/>
        <v>0</v>
      </c>
      <c r="AF89" s="669" t="s">
        <v>441</v>
      </c>
    </row>
    <row r="90" spans="1:32" ht="18.75" customHeight="1" x14ac:dyDescent="0.2">
      <c r="A90" s="827">
        <v>72</v>
      </c>
      <c r="B90" s="821" t="s">
        <v>122</v>
      </c>
      <c r="C90" s="818" t="s">
        <v>313</v>
      </c>
      <c r="D90" s="821">
        <v>391.06</v>
      </c>
      <c r="E90" s="821" t="s">
        <v>138</v>
      </c>
      <c r="F90" s="821">
        <v>177.8</v>
      </c>
      <c r="G90" s="821" t="s">
        <v>28</v>
      </c>
      <c r="H90" s="821" t="s">
        <v>58</v>
      </c>
      <c r="I90" s="432">
        <v>151.72999999999999</v>
      </c>
      <c r="J90" s="821">
        <v>330</v>
      </c>
      <c r="K90" s="820"/>
      <c r="L90" s="821">
        <v>53</v>
      </c>
      <c r="M90" s="820"/>
      <c r="N90" s="821">
        <v>0</v>
      </c>
      <c r="O90" s="820"/>
      <c r="P90" s="668">
        <v>12.484141833892581</v>
      </c>
      <c r="Q90" s="448">
        <f>(3*J90)/100</f>
        <v>9.9</v>
      </c>
      <c r="R90" s="432">
        <v>2.9329999999999998</v>
      </c>
      <c r="S90" s="432">
        <v>3.4849999999999999</v>
      </c>
      <c r="T90" s="432">
        <v>0</v>
      </c>
      <c r="U90" s="432">
        <f>T90/R90</f>
        <v>0</v>
      </c>
      <c r="V90" s="432">
        <f t="shared" si="31"/>
        <v>15.839311334289816</v>
      </c>
      <c r="W90" s="432">
        <v>0.4</v>
      </c>
      <c r="X90" s="432">
        <f t="shared" si="32"/>
        <v>0.35202020202020201</v>
      </c>
      <c r="Y90" s="432">
        <f t="shared" si="35"/>
        <v>2.8978039999999998</v>
      </c>
      <c r="Z90" s="432">
        <f t="shared" si="35"/>
        <v>3.4431799999999999</v>
      </c>
      <c r="AA90" s="432">
        <f t="shared" si="35"/>
        <v>0</v>
      </c>
      <c r="AB90" s="432">
        <f t="shared" si="33"/>
        <v>0</v>
      </c>
      <c r="AC90" s="432">
        <f t="shared" si="33"/>
        <v>15.839311334289816</v>
      </c>
      <c r="AD90" s="821">
        <v>30</v>
      </c>
      <c r="AE90" s="432">
        <f t="shared" si="34"/>
        <v>86.934119999999993</v>
      </c>
      <c r="AF90" s="680"/>
    </row>
    <row r="91" spans="1:32" ht="18.75" customHeight="1" x14ac:dyDescent="0.2">
      <c r="A91" s="827">
        <v>73</v>
      </c>
      <c r="B91" s="821" t="s">
        <v>188</v>
      </c>
      <c r="C91" s="818" t="s">
        <v>344</v>
      </c>
      <c r="D91" s="821">
        <v>400.5</v>
      </c>
      <c r="E91" s="821" t="s">
        <v>345</v>
      </c>
      <c r="F91" s="821">
        <v>177.8</v>
      </c>
      <c r="G91" s="821"/>
      <c r="H91" s="821"/>
      <c r="I91" s="432"/>
      <c r="J91" s="821"/>
      <c r="K91" s="820"/>
      <c r="L91" s="821"/>
      <c r="M91" s="820"/>
      <c r="N91" s="821"/>
      <c r="O91" s="820"/>
      <c r="P91" s="668"/>
      <c r="Q91" s="448"/>
      <c r="R91" s="432"/>
      <c r="S91" s="432"/>
      <c r="T91" s="432"/>
      <c r="U91" s="432"/>
      <c r="V91" s="432"/>
      <c r="W91" s="432"/>
      <c r="X91" s="432"/>
      <c r="Y91" s="432"/>
      <c r="Z91" s="432"/>
      <c r="AA91" s="432"/>
      <c r="AB91" s="432"/>
      <c r="AC91" s="432"/>
      <c r="AD91" s="821"/>
      <c r="AE91" s="432"/>
      <c r="AF91" s="669"/>
    </row>
    <row r="92" spans="1:32" ht="18.75" customHeight="1" x14ac:dyDescent="0.2">
      <c r="A92" s="827">
        <v>74</v>
      </c>
      <c r="B92" s="821" t="s">
        <v>186</v>
      </c>
      <c r="C92" s="818" t="s">
        <v>346</v>
      </c>
      <c r="D92" s="821">
        <v>349.5</v>
      </c>
      <c r="E92" s="461" t="s">
        <v>347</v>
      </c>
      <c r="F92" s="821">
        <v>177.8</v>
      </c>
      <c r="G92" s="821"/>
      <c r="H92" s="821"/>
      <c r="I92" s="432"/>
      <c r="J92" s="821"/>
      <c r="K92" s="821"/>
      <c r="L92" s="821"/>
      <c r="M92" s="820"/>
      <c r="N92" s="821"/>
      <c r="O92" s="820"/>
      <c r="P92" s="668"/>
      <c r="Q92" s="448"/>
      <c r="R92" s="432"/>
      <c r="S92" s="432"/>
      <c r="T92" s="432"/>
      <c r="U92" s="432"/>
      <c r="V92" s="432"/>
      <c r="W92" s="432"/>
      <c r="X92" s="432"/>
      <c r="Y92" s="432"/>
      <c r="Z92" s="432"/>
      <c r="AA92" s="432"/>
      <c r="AB92" s="432"/>
      <c r="AC92" s="432"/>
      <c r="AD92" s="821"/>
      <c r="AE92" s="432"/>
      <c r="AF92" s="669"/>
    </row>
    <row r="93" spans="1:32" ht="18.75" customHeight="1" x14ac:dyDescent="0.2">
      <c r="A93" s="677"/>
      <c r="B93" s="1939"/>
      <c r="C93" s="1939"/>
      <c r="D93" s="1939"/>
      <c r="E93" s="1940"/>
      <c r="F93" s="816"/>
      <c r="G93" s="812"/>
      <c r="H93" s="815"/>
      <c r="I93" s="815"/>
      <c r="J93" s="816"/>
      <c r="K93" s="816"/>
      <c r="L93" s="816"/>
      <c r="M93" s="816"/>
      <c r="N93" s="816"/>
      <c r="O93" s="816"/>
      <c r="P93" s="448"/>
      <c r="Q93" s="448"/>
      <c r="R93" s="466">
        <f>SUM(R87:R92)</f>
        <v>6.4779999999999998</v>
      </c>
      <c r="S93" s="466">
        <f>SUM(S87:S92)</f>
        <v>10.083</v>
      </c>
      <c r="T93" s="466">
        <f>SUM(T87:T90)</f>
        <v>0</v>
      </c>
      <c r="U93" s="466">
        <f>SUM(U87:U90)</f>
        <v>0</v>
      </c>
      <c r="V93" s="812"/>
      <c r="W93" s="812"/>
      <c r="X93" s="812"/>
      <c r="Y93" s="466">
        <f>SUM(Y87:Y92)</f>
        <v>6.400264</v>
      </c>
      <c r="Z93" s="466">
        <f>SUM(Z87:Z92)</f>
        <v>9.9620040000000003</v>
      </c>
      <c r="AA93" s="466">
        <f>SUM(AA87:AA90)</f>
        <v>0</v>
      </c>
      <c r="AB93" s="466">
        <v>0</v>
      </c>
      <c r="AC93" s="812"/>
      <c r="AD93" s="816"/>
      <c r="AE93" s="466">
        <f>SUM(AE87:AE92)</f>
        <v>192.00791999999998</v>
      </c>
      <c r="AF93" s="471"/>
    </row>
    <row r="94" spans="1:32" ht="18.75" customHeight="1" x14ac:dyDescent="0.2">
      <c r="A94" s="677"/>
      <c r="B94" s="1939"/>
      <c r="C94" s="1939"/>
      <c r="D94" s="1939"/>
      <c r="E94" s="1940"/>
      <c r="F94" s="820"/>
      <c r="G94" s="821"/>
      <c r="H94" s="821"/>
      <c r="I94" s="432"/>
      <c r="J94" s="821"/>
      <c r="K94" s="820"/>
      <c r="L94" s="821"/>
      <c r="M94" s="820"/>
      <c r="N94" s="668"/>
      <c r="O94" s="820"/>
      <c r="P94" s="682"/>
      <c r="Q94" s="682"/>
      <c r="R94" s="466"/>
      <c r="S94" s="466"/>
      <c r="T94" s="466"/>
      <c r="U94" s="466"/>
      <c r="V94" s="466"/>
      <c r="W94" s="466"/>
      <c r="X94" s="466"/>
      <c r="Y94" s="466"/>
      <c r="Z94" s="678"/>
      <c r="AA94" s="466"/>
      <c r="AB94" s="466"/>
      <c r="AC94" s="466"/>
      <c r="AD94" s="466"/>
      <c r="AE94" s="466"/>
      <c r="AF94" s="680"/>
    </row>
    <row r="95" spans="1:32" ht="18.75" customHeight="1" x14ac:dyDescent="0.2">
      <c r="A95" s="677"/>
      <c r="B95" s="1894" t="s">
        <v>390</v>
      </c>
      <c r="C95" s="1912"/>
      <c r="D95" s="1912"/>
      <c r="E95" s="1912"/>
      <c r="F95" s="1912"/>
      <c r="G95" s="812"/>
      <c r="H95" s="815"/>
      <c r="I95" s="815"/>
      <c r="J95" s="816"/>
      <c r="K95" s="816"/>
      <c r="L95" s="816"/>
      <c r="M95" s="816"/>
      <c r="N95" s="816"/>
      <c r="O95" s="816"/>
      <c r="P95" s="448"/>
      <c r="Q95" s="448"/>
      <c r="R95" s="816"/>
      <c r="S95" s="816"/>
      <c r="T95" s="816"/>
      <c r="U95" s="812"/>
      <c r="V95" s="812"/>
      <c r="W95" s="812"/>
      <c r="X95" s="812"/>
      <c r="Y95" s="816"/>
      <c r="Z95" s="816"/>
      <c r="AA95" s="816"/>
      <c r="AB95" s="812"/>
      <c r="AC95" s="812"/>
      <c r="AD95" s="816"/>
      <c r="AE95" s="816"/>
      <c r="AF95" s="815"/>
    </row>
    <row r="96" spans="1:32" ht="18.75" customHeight="1" x14ac:dyDescent="0.2">
      <c r="A96" s="821">
        <v>75</v>
      </c>
      <c r="B96" s="817" t="s">
        <v>107</v>
      </c>
      <c r="C96" s="816" t="s">
        <v>109</v>
      </c>
      <c r="D96" s="816"/>
      <c r="E96" s="816"/>
      <c r="F96" s="816"/>
      <c r="G96" s="812"/>
      <c r="H96" s="815"/>
      <c r="I96" s="815"/>
      <c r="J96" s="816"/>
      <c r="K96" s="816"/>
      <c r="L96" s="816"/>
      <c r="M96" s="816"/>
      <c r="N96" s="816"/>
      <c r="O96" s="816"/>
      <c r="P96" s="448"/>
      <c r="Q96" s="448"/>
      <c r="R96" s="816"/>
      <c r="S96" s="816"/>
      <c r="T96" s="816"/>
      <c r="U96" s="812"/>
      <c r="V96" s="812"/>
      <c r="W96" s="812"/>
      <c r="X96" s="812"/>
      <c r="Y96" s="815"/>
      <c r="Z96" s="815"/>
      <c r="AA96" s="816"/>
      <c r="AB96" s="812"/>
      <c r="AC96" s="812"/>
      <c r="AD96" s="493"/>
      <c r="AE96" s="816"/>
      <c r="AF96" s="815"/>
    </row>
    <row r="97" spans="1:32" ht="18.75" customHeight="1" x14ac:dyDescent="0.2">
      <c r="A97" s="821">
        <v>76</v>
      </c>
      <c r="B97" s="817" t="s">
        <v>108</v>
      </c>
      <c r="C97" s="816" t="s">
        <v>109</v>
      </c>
      <c r="D97" s="816"/>
      <c r="E97" s="816"/>
      <c r="F97" s="816"/>
      <c r="G97" s="812"/>
      <c r="H97" s="815"/>
      <c r="I97" s="815"/>
      <c r="J97" s="816"/>
      <c r="K97" s="816"/>
      <c r="L97" s="816"/>
      <c r="M97" s="816"/>
      <c r="N97" s="816"/>
      <c r="O97" s="816"/>
      <c r="P97" s="448"/>
      <c r="Q97" s="448"/>
      <c r="R97" s="816"/>
      <c r="S97" s="816"/>
      <c r="T97" s="816"/>
      <c r="U97" s="812"/>
      <c r="V97" s="812"/>
      <c r="W97" s="812"/>
      <c r="X97" s="812"/>
      <c r="Y97" s="815"/>
      <c r="Z97" s="815"/>
      <c r="AA97" s="816"/>
      <c r="AB97" s="812"/>
      <c r="AC97" s="812"/>
      <c r="AD97" s="493"/>
      <c r="AE97" s="816"/>
      <c r="AF97" s="815"/>
    </row>
    <row r="98" spans="1:32" ht="18.75" customHeight="1" x14ac:dyDescent="0.2">
      <c r="A98" s="828">
        <v>77</v>
      </c>
      <c r="B98" s="817" t="s">
        <v>195</v>
      </c>
      <c r="C98" s="818" t="s">
        <v>193</v>
      </c>
      <c r="D98" s="816"/>
      <c r="E98" s="816"/>
      <c r="F98" s="816"/>
      <c r="G98" s="812"/>
      <c r="H98" s="815"/>
      <c r="I98" s="815"/>
      <c r="J98" s="816"/>
      <c r="K98" s="816"/>
      <c r="L98" s="816"/>
      <c r="M98" s="816"/>
      <c r="N98" s="816"/>
      <c r="O98" s="816"/>
      <c r="P98" s="448"/>
      <c r="Q98" s="448"/>
      <c r="R98" s="816"/>
      <c r="S98" s="816"/>
      <c r="T98" s="816"/>
      <c r="U98" s="812"/>
      <c r="V98" s="812"/>
      <c r="W98" s="812"/>
      <c r="X98" s="812"/>
      <c r="Y98" s="815"/>
      <c r="Z98" s="815"/>
      <c r="AA98" s="816"/>
      <c r="AB98" s="812"/>
      <c r="AC98" s="812"/>
      <c r="AD98" s="493"/>
      <c r="AE98" s="816"/>
      <c r="AF98" s="815"/>
    </row>
    <row r="99" spans="1:32" ht="18.75" customHeight="1" x14ac:dyDescent="0.2">
      <c r="A99" s="828">
        <v>78</v>
      </c>
      <c r="B99" s="817" t="s">
        <v>192</v>
      </c>
      <c r="C99" s="818" t="s">
        <v>193</v>
      </c>
      <c r="D99" s="816"/>
      <c r="E99" s="816"/>
      <c r="F99" s="816"/>
      <c r="G99" s="812"/>
      <c r="H99" s="815"/>
      <c r="I99" s="815"/>
      <c r="J99" s="816"/>
      <c r="K99" s="816"/>
      <c r="L99" s="816"/>
      <c r="M99" s="816"/>
      <c r="N99" s="816"/>
      <c r="O99" s="816"/>
      <c r="P99" s="448"/>
      <c r="Q99" s="448"/>
      <c r="R99" s="816"/>
      <c r="S99" s="816"/>
      <c r="T99" s="816"/>
      <c r="U99" s="812"/>
      <c r="V99" s="812"/>
      <c r="W99" s="812"/>
      <c r="X99" s="812"/>
      <c r="Y99" s="815"/>
      <c r="Z99" s="815"/>
      <c r="AA99" s="816"/>
      <c r="AB99" s="812"/>
      <c r="AC99" s="812"/>
      <c r="AD99" s="493"/>
      <c r="AE99" s="816"/>
      <c r="AF99" s="815"/>
    </row>
    <row r="100" spans="1:32" ht="18.75" customHeight="1" x14ac:dyDescent="0.2">
      <c r="A100" s="821"/>
      <c r="B100" s="1894" t="s">
        <v>391</v>
      </c>
      <c r="C100" s="1912"/>
      <c r="D100" s="1912"/>
      <c r="E100" s="1912"/>
      <c r="F100" s="1912"/>
      <c r="G100" s="812"/>
      <c r="H100" s="815"/>
      <c r="I100" s="815"/>
      <c r="J100" s="816"/>
      <c r="K100" s="816"/>
      <c r="L100" s="816"/>
      <c r="M100" s="816"/>
      <c r="N100" s="816"/>
      <c r="O100" s="816"/>
      <c r="P100" s="448"/>
      <c r="Q100" s="448"/>
      <c r="R100" s="816"/>
      <c r="S100" s="816"/>
      <c r="T100" s="816"/>
      <c r="U100" s="812"/>
      <c r="V100" s="812"/>
      <c r="W100" s="812"/>
      <c r="X100" s="812"/>
      <c r="Y100" s="816"/>
      <c r="Z100" s="816"/>
      <c r="AA100" s="816"/>
      <c r="AB100" s="812"/>
      <c r="AC100" s="812"/>
      <c r="AD100" s="816"/>
      <c r="AE100" s="816"/>
      <c r="AF100" s="815"/>
    </row>
    <row r="101" spans="1:32" ht="18.75" customHeight="1" x14ac:dyDescent="0.2">
      <c r="A101" s="821">
        <v>79</v>
      </c>
      <c r="B101" s="461" t="s">
        <v>189</v>
      </c>
      <c r="C101" s="821" t="s">
        <v>46</v>
      </c>
      <c r="D101" s="821">
        <v>673</v>
      </c>
      <c r="E101" s="821" t="s">
        <v>190</v>
      </c>
      <c r="F101" s="821">
        <v>177.8</v>
      </c>
      <c r="G101" s="821"/>
      <c r="H101" s="821"/>
      <c r="I101" s="816"/>
      <c r="J101" s="816"/>
      <c r="K101" s="816"/>
      <c r="L101" s="816"/>
      <c r="M101" s="816"/>
      <c r="N101" s="816"/>
      <c r="O101" s="816"/>
      <c r="P101" s="448"/>
      <c r="Q101" s="448"/>
      <c r="R101" s="816"/>
      <c r="S101" s="816"/>
      <c r="T101" s="816"/>
      <c r="U101" s="812"/>
      <c r="V101" s="812"/>
      <c r="W101" s="812"/>
      <c r="X101" s="812"/>
      <c r="Y101" s="473"/>
      <c r="Z101" s="683"/>
      <c r="AA101" s="815"/>
      <c r="AB101" s="812"/>
      <c r="AC101" s="816"/>
      <c r="AD101" s="821"/>
      <c r="AE101" s="432"/>
      <c r="AF101" s="449"/>
    </row>
    <row r="102" spans="1:32" ht="18.75" customHeight="1" x14ac:dyDescent="0.3">
      <c r="A102" s="821">
        <v>80</v>
      </c>
      <c r="B102" s="461" t="s">
        <v>181</v>
      </c>
      <c r="C102" s="684" t="s">
        <v>183</v>
      </c>
      <c r="D102" s="821">
        <v>374.5</v>
      </c>
      <c r="E102" s="821" t="s">
        <v>182</v>
      </c>
      <c r="F102" s="821">
        <v>177.8</v>
      </c>
      <c r="G102" s="821"/>
      <c r="H102" s="821"/>
      <c r="I102" s="816"/>
      <c r="J102" s="821"/>
      <c r="K102" s="821"/>
      <c r="L102" s="821"/>
      <c r="M102" s="821"/>
      <c r="N102" s="668"/>
      <c r="O102" s="821"/>
      <c r="P102" s="432"/>
      <c r="Q102" s="668"/>
      <c r="R102" s="432"/>
      <c r="S102" s="432"/>
      <c r="T102" s="432"/>
      <c r="U102" s="432"/>
      <c r="V102" s="432"/>
      <c r="W102" s="432"/>
      <c r="X102" s="685"/>
      <c r="Y102" s="432"/>
      <c r="Z102" s="432"/>
      <c r="AA102" s="432"/>
      <c r="AB102" s="432"/>
      <c r="AC102" s="432"/>
      <c r="AD102" s="821"/>
      <c r="AE102" s="432"/>
      <c r="AF102" s="449"/>
    </row>
    <row r="103" spans="1:32" ht="18.75" customHeight="1" x14ac:dyDescent="0.2">
      <c r="A103" s="828">
        <v>81</v>
      </c>
      <c r="B103" s="461" t="s">
        <v>174</v>
      </c>
      <c r="C103" s="821" t="s">
        <v>46</v>
      </c>
      <c r="D103" s="821">
        <v>672</v>
      </c>
      <c r="E103" s="821" t="s">
        <v>175</v>
      </c>
      <c r="F103" s="821">
        <v>177.8</v>
      </c>
      <c r="G103" s="821"/>
      <c r="H103" s="821"/>
      <c r="I103" s="816"/>
      <c r="J103" s="821"/>
      <c r="K103" s="821"/>
      <c r="L103" s="821"/>
      <c r="M103" s="821"/>
      <c r="N103" s="668"/>
      <c r="O103" s="821"/>
      <c r="P103" s="668"/>
      <c r="Q103" s="668"/>
      <c r="R103" s="432"/>
      <c r="S103" s="432"/>
      <c r="T103" s="432"/>
      <c r="U103" s="432"/>
      <c r="V103" s="432"/>
      <c r="W103" s="432"/>
      <c r="X103" s="432"/>
      <c r="Y103" s="432"/>
      <c r="Z103" s="432"/>
      <c r="AA103" s="432"/>
      <c r="AB103" s="432"/>
      <c r="AC103" s="432"/>
      <c r="AD103" s="821"/>
      <c r="AE103" s="432"/>
      <c r="AF103" s="449"/>
    </row>
    <row r="104" spans="1:32" ht="18.75" customHeight="1" x14ac:dyDescent="0.2">
      <c r="A104" s="828">
        <v>82</v>
      </c>
      <c r="B104" s="817" t="s">
        <v>103</v>
      </c>
      <c r="C104" s="821" t="s">
        <v>46</v>
      </c>
      <c r="D104" s="816">
        <v>582</v>
      </c>
      <c r="E104" s="816" t="s">
        <v>112</v>
      </c>
      <c r="F104" s="821">
        <v>177.8</v>
      </c>
      <c r="G104" s="821"/>
      <c r="H104" s="821"/>
      <c r="I104" s="816"/>
      <c r="J104" s="816"/>
      <c r="K104" s="816"/>
      <c r="L104" s="816"/>
      <c r="M104" s="816"/>
      <c r="N104" s="816"/>
      <c r="O104" s="816"/>
      <c r="P104" s="448"/>
      <c r="Q104" s="448"/>
      <c r="R104" s="816"/>
      <c r="S104" s="816"/>
      <c r="T104" s="816"/>
      <c r="U104" s="812"/>
      <c r="V104" s="812"/>
      <c r="W104" s="812"/>
      <c r="X104" s="421"/>
      <c r="Y104" s="492"/>
      <c r="Z104" s="816"/>
      <c r="AA104" s="816"/>
      <c r="AB104" s="812"/>
      <c r="AC104" s="816"/>
      <c r="AD104" s="493"/>
      <c r="AE104" s="437"/>
      <c r="AF104" s="449"/>
    </row>
    <row r="105" spans="1:32" ht="18.75" customHeight="1" x14ac:dyDescent="0.2">
      <c r="A105" s="828">
        <v>83</v>
      </c>
      <c r="B105" s="821" t="s">
        <v>57</v>
      </c>
      <c r="C105" s="818" t="s">
        <v>314</v>
      </c>
      <c r="D105" s="821">
        <v>376.58</v>
      </c>
      <c r="E105" s="461" t="s">
        <v>93</v>
      </c>
      <c r="F105" s="821">
        <v>177.8</v>
      </c>
      <c r="G105" s="821"/>
      <c r="H105" s="821"/>
      <c r="I105" s="816"/>
      <c r="J105" s="816"/>
      <c r="K105" s="816"/>
      <c r="L105" s="816"/>
      <c r="M105" s="816"/>
      <c r="N105" s="816"/>
      <c r="O105" s="816"/>
      <c r="P105" s="448"/>
      <c r="Q105" s="448"/>
      <c r="R105" s="816"/>
      <c r="S105" s="816"/>
      <c r="T105" s="816"/>
      <c r="U105" s="812"/>
      <c r="V105" s="812"/>
      <c r="W105" s="812"/>
      <c r="X105" s="421"/>
      <c r="Y105" s="492"/>
      <c r="Z105" s="816"/>
      <c r="AA105" s="816"/>
      <c r="AB105" s="812"/>
      <c r="AC105" s="816"/>
      <c r="AD105" s="493"/>
      <c r="AE105" s="437"/>
      <c r="AF105" s="449"/>
    </row>
    <row r="106" spans="1:32" ht="18.75" customHeight="1" x14ac:dyDescent="0.2">
      <c r="A106" s="828">
        <v>84</v>
      </c>
      <c r="B106" s="821" t="s">
        <v>184</v>
      </c>
      <c r="C106" s="818" t="s">
        <v>314</v>
      </c>
      <c r="D106" s="821">
        <v>422.78</v>
      </c>
      <c r="E106" s="461" t="s">
        <v>185</v>
      </c>
      <c r="F106" s="821">
        <v>177.8</v>
      </c>
      <c r="G106" s="821"/>
      <c r="H106" s="821"/>
      <c r="I106" s="432"/>
      <c r="J106" s="816"/>
      <c r="K106" s="816"/>
      <c r="L106" s="816"/>
      <c r="M106" s="816"/>
      <c r="N106" s="816"/>
      <c r="O106" s="816"/>
      <c r="P106" s="448"/>
      <c r="Q106" s="448"/>
      <c r="R106" s="816"/>
      <c r="S106" s="816"/>
      <c r="T106" s="816"/>
      <c r="U106" s="812"/>
      <c r="V106" s="812"/>
      <c r="W106" s="812"/>
      <c r="X106" s="421"/>
      <c r="Y106" s="492"/>
      <c r="Z106" s="816"/>
      <c r="AA106" s="816"/>
      <c r="AB106" s="812"/>
      <c r="AC106" s="816"/>
      <c r="AD106" s="493"/>
      <c r="AE106" s="437"/>
      <c r="AF106" s="449"/>
    </row>
    <row r="107" spans="1:32" ht="18.75" customHeight="1" x14ac:dyDescent="0.2">
      <c r="A107" s="828">
        <v>85</v>
      </c>
      <c r="B107" s="817" t="s">
        <v>220</v>
      </c>
      <c r="C107" s="821" t="s">
        <v>46</v>
      </c>
      <c r="D107" s="816">
        <v>685.69</v>
      </c>
      <c r="E107" s="816" t="s">
        <v>222</v>
      </c>
      <c r="F107" s="821">
        <v>177.8</v>
      </c>
      <c r="G107" s="821"/>
      <c r="H107" s="821"/>
      <c r="I107" s="816"/>
      <c r="J107" s="816"/>
      <c r="K107" s="816"/>
      <c r="L107" s="816"/>
      <c r="M107" s="816"/>
      <c r="N107" s="816"/>
      <c r="O107" s="816"/>
      <c r="P107" s="448"/>
      <c r="Q107" s="771"/>
      <c r="R107" s="816"/>
      <c r="S107" s="816"/>
      <c r="T107" s="816"/>
      <c r="U107" s="812"/>
      <c r="V107" s="812"/>
      <c r="W107" s="812"/>
      <c r="X107" s="421"/>
      <c r="Y107" s="492"/>
      <c r="Z107" s="816"/>
      <c r="AA107" s="816"/>
      <c r="AB107" s="812"/>
      <c r="AC107" s="816"/>
      <c r="AD107" s="493"/>
      <c r="AE107" s="437"/>
      <c r="AF107" s="449"/>
    </row>
    <row r="108" spans="1:32" ht="18.75" customHeight="1" x14ac:dyDescent="0.2">
      <c r="A108" s="821"/>
      <c r="B108" s="1894" t="s">
        <v>430</v>
      </c>
      <c r="C108" s="1912"/>
      <c r="D108" s="1912"/>
      <c r="E108" s="1912"/>
      <c r="F108" s="1912"/>
      <c r="G108" s="821"/>
      <c r="H108" s="821"/>
      <c r="I108" s="816"/>
      <c r="J108" s="821"/>
      <c r="K108" s="821"/>
      <c r="L108" s="821"/>
      <c r="M108" s="821"/>
      <c r="N108" s="668"/>
      <c r="O108" s="821"/>
      <c r="P108" s="668"/>
      <c r="Q108" s="772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821"/>
      <c r="AE108" s="432"/>
      <c r="AF108" s="449"/>
    </row>
    <row r="109" spans="1:32" ht="18.75" customHeight="1" x14ac:dyDescent="0.2">
      <c r="A109" s="821">
        <v>86</v>
      </c>
      <c r="B109" s="461" t="s">
        <v>56</v>
      </c>
      <c r="C109" s="821" t="s">
        <v>46</v>
      </c>
      <c r="D109" s="821">
        <v>680.52</v>
      </c>
      <c r="E109" s="821" t="s">
        <v>92</v>
      </c>
      <c r="F109" s="821">
        <v>177.8</v>
      </c>
      <c r="G109" s="821"/>
      <c r="H109" s="821"/>
      <c r="I109" s="816"/>
      <c r="J109" s="821"/>
      <c r="K109" s="821"/>
      <c r="L109" s="821"/>
      <c r="M109" s="821"/>
      <c r="N109" s="668"/>
      <c r="O109" s="821"/>
      <c r="P109" s="668"/>
      <c r="Q109" s="772"/>
      <c r="R109" s="432"/>
      <c r="S109" s="432"/>
      <c r="T109" s="432"/>
      <c r="U109" s="432"/>
      <c r="V109" s="432"/>
      <c r="W109" s="432"/>
      <c r="X109" s="432"/>
      <c r="Y109" s="432"/>
      <c r="Z109" s="432"/>
      <c r="AA109" s="432"/>
      <c r="AB109" s="432"/>
      <c r="AC109" s="432"/>
      <c r="AD109" s="821"/>
      <c r="AE109" s="432"/>
      <c r="AF109" s="449"/>
    </row>
    <row r="110" spans="1:32" ht="18.75" customHeight="1" x14ac:dyDescent="0.2">
      <c r="A110" s="821"/>
      <c r="B110" s="461"/>
      <c r="C110" s="821"/>
      <c r="D110" s="821"/>
      <c r="E110" s="821"/>
      <c r="F110" s="821"/>
      <c r="G110" s="821"/>
      <c r="H110" s="821"/>
      <c r="I110" s="816"/>
      <c r="J110" s="821"/>
      <c r="K110" s="821"/>
      <c r="L110" s="821"/>
      <c r="M110" s="821"/>
      <c r="N110" s="668"/>
      <c r="O110" s="821"/>
      <c r="P110" s="432"/>
      <c r="Q110" s="772"/>
      <c r="R110" s="432"/>
      <c r="S110" s="432"/>
      <c r="T110" s="432"/>
      <c r="U110" s="432"/>
      <c r="V110" s="432"/>
      <c r="W110" s="432"/>
      <c r="X110" s="685"/>
      <c r="Y110" s="432"/>
      <c r="Z110" s="432"/>
      <c r="AA110" s="432"/>
      <c r="AB110" s="432"/>
      <c r="AC110" s="432"/>
      <c r="AD110" s="821"/>
      <c r="AE110" s="432"/>
      <c r="AF110" s="449"/>
    </row>
    <row r="111" spans="1:32" ht="18.75" x14ac:dyDescent="0.2">
      <c r="A111" s="745"/>
      <c r="B111" s="819"/>
      <c r="C111" s="819"/>
      <c r="D111" s="819"/>
      <c r="E111" s="461"/>
      <c r="F111" s="821"/>
      <c r="G111" s="821"/>
      <c r="H111" s="821"/>
      <c r="I111" s="816"/>
      <c r="J111" s="821"/>
      <c r="K111" s="821"/>
      <c r="L111" s="821"/>
      <c r="M111" s="821"/>
      <c r="N111" s="668"/>
      <c r="O111" s="821"/>
      <c r="P111" s="432"/>
      <c r="Q111" s="772"/>
      <c r="R111" s="432"/>
      <c r="S111" s="432"/>
      <c r="T111" s="432"/>
      <c r="U111" s="432"/>
      <c r="V111" s="432"/>
      <c r="W111" s="432"/>
      <c r="X111" s="685"/>
      <c r="Y111" s="432"/>
      <c r="Z111" s="432"/>
      <c r="AA111" s="432"/>
      <c r="AB111" s="432"/>
      <c r="AC111" s="432"/>
      <c r="AD111" s="821"/>
      <c r="AE111" s="432"/>
      <c r="AF111" s="449"/>
    </row>
    <row r="112" spans="1:32" ht="18.75" x14ac:dyDescent="0.2">
      <c r="A112" s="710"/>
      <c r="B112" s="1939"/>
      <c r="C112" s="1939"/>
      <c r="D112" s="1939"/>
      <c r="E112" s="1940"/>
      <c r="F112" s="820"/>
      <c r="G112" s="821"/>
      <c r="H112" s="821"/>
      <c r="I112" s="432"/>
      <c r="J112" s="821"/>
      <c r="K112" s="820"/>
      <c r="L112" s="821"/>
      <c r="M112" s="820"/>
      <c r="N112" s="668"/>
      <c r="O112" s="820"/>
      <c r="P112" s="682"/>
      <c r="Q112" s="774"/>
      <c r="R112" s="466">
        <f>R78+R93+R84</f>
        <v>410.60300000000001</v>
      </c>
      <c r="S112" s="466">
        <f>S78+S93+S84</f>
        <v>828.05099999999993</v>
      </c>
      <c r="T112" s="678">
        <f>T78+T93+T84</f>
        <v>12257.987000000001</v>
      </c>
      <c r="U112" s="466">
        <f>T112/R112</f>
        <v>29.853622598958118</v>
      </c>
      <c r="V112" s="466"/>
      <c r="W112" s="466"/>
      <c r="X112" s="466"/>
      <c r="Y112" s="466">
        <f>Y78+Y93+Y84</f>
        <v>426.54758699999996</v>
      </c>
      <c r="Z112" s="466">
        <f>Z78+Z93+Z84</f>
        <v>822.3344239999999</v>
      </c>
      <c r="AA112" s="678">
        <f>AA78+AA93+AA84</f>
        <v>12396.652221</v>
      </c>
      <c r="AB112" s="466">
        <f>AB78+AB93+AB84</f>
        <v>55.141248511454151</v>
      </c>
      <c r="AC112" s="466"/>
      <c r="AD112" s="466"/>
      <c r="AE112" s="686">
        <f>AE78+AE93+AE84</f>
        <v>12046.427610000001</v>
      </c>
      <c r="AF112" s="680"/>
    </row>
    <row r="113" spans="2:32" ht="18.75" x14ac:dyDescent="0.2">
      <c r="B113" s="497"/>
      <c r="C113" s="497"/>
      <c r="D113" s="497"/>
      <c r="E113" s="497"/>
      <c r="F113" s="497"/>
      <c r="G113" s="498"/>
      <c r="H113" s="499"/>
      <c r="I113" s="499"/>
      <c r="J113" s="497"/>
      <c r="K113" s="497"/>
      <c r="L113" s="497"/>
      <c r="M113" s="497"/>
      <c r="N113" s="497"/>
      <c r="O113" s="497"/>
      <c r="P113" s="500"/>
      <c r="Q113" s="775"/>
      <c r="R113" s="497"/>
      <c r="S113" s="497"/>
      <c r="T113" s="497"/>
      <c r="U113" s="498"/>
      <c r="V113" s="498"/>
      <c r="W113" s="498"/>
      <c r="X113" s="498"/>
      <c r="Y113" s="497"/>
      <c r="Z113" s="497"/>
      <c r="AA113" s="497"/>
      <c r="AB113" s="498"/>
      <c r="AC113" s="498"/>
      <c r="AD113" s="497"/>
      <c r="AE113" s="497"/>
      <c r="AF113" s="499"/>
    </row>
    <row r="114" spans="2:32" ht="18.75" x14ac:dyDescent="0.2">
      <c r="B114" s="412"/>
      <c r="C114" s="460"/>
      <c r="D114" s="412"/>
      <c r="E114" s="687">
        <v>0.95</v>
      </c>
      <c r="F114" s="412"/>
      <c r="G114" s="412" t="s">
        <v>102</v>
      </c>
      <c r="H114" s="460"/>
      <c r="I114" s="688"/>
      <c r="J114" s="412"/>
      <c r="K114" s="1941">
        <f>AE112*E114</f>
        <v>11444.106229499999</v>
      </c>
      <c r="L114" s="1897"/>
      <c r="M114" s="1897"/>
      <c r="N114" s="460" t="s">
        <v>27</v>
      </c>
      <c r="O114" s="497"/>
      <c r="P114" s="500"/>
      <c r="Q114" s="775"/>
      <c r="R114" s="497"/>
      <c r="S114" s="497"/>
      <c r="T114" s="497"/>
      <c r="U114" s="498"/>
      <c r="V114" s="498"/>
      <c r="W114" s="498"/>
      <c r="X114" s="498"/>
      <c r="Y114" s="497"/>
      <c r="Z114" s="497"/>
      <c r="AA114" s="497"/>
      <c r="AB114" s="498"/>
      <c r="AC114" s="498"/>
      <c r="AD114" s="497"/>
      <c r="AE114" s="497"/>
      <c r="AF114" s="499"/>
    </row>
    <row r="115" spans="2:32" ht="18.75" x14ac:dyDescent="0.2">
      <c r="B115" s="412"/>
      <c r="C115" s="460"/>
      <c r="D115" s="412"/>
      <c r="E115" s="687"/>
      <c r="F115" s="412"/>
      <c r="G115" s="460"/>
      <c r="H115" s="460"/>
      <c r="I115" s="688"/>
      <c r="J115" s="412"/>
      <c r="K115" s="460"/>
      <c r="L115" s="689"/>
      <c r="M115" s="412"/>
      <c r="N115" s="412"/>
      <c r="O115" s="412"/>
      <c r="P115" s="690"/>
      <c r="Q115" s="776"/>
      <c r="R115" s="412"/>
      <c r="S115" s="412"/>
      <c r="T115" s="412"/>
      <c r="U115" s="412"/>
      <c r="V115" s="412"/>
      <c r="W115" s="412"/>
      <c r="X115" s="823"/>
      <c r="Y115" s="823"/>
      <c r="Z115" s="823"/>
      <c r="AA115" s="823"/>
      <c r="AB115" s="823"/>
      <c r="AC115" s="823"/>
      <c r="AD115" s="823"/>
      <c r="AE115" s="823"/>
      <c r="AF115" s="692"/>
    </row>
    <row r="116" spans="2:32" ht="18.75" x14ac:dyDescent="0.2">
      <c r="B116" s="412"/>
      <c r="C116" s="412"/>
      <c r="D116" s="412"/>
      <c r="E116" s="693" t="s">
        <v>214</v>
      </c>
      <c r="F116" s="1911" t="s">
        <v>264</v>
      </c>
      <c r="G116" s="1911"/>
      <c r="H116" s="1911"/>
      <c r="I116" s="412"/>
      <c r="J116" s="412"/>
      <c r="K116" s="460"/>
      <c r="L116" s="460"/>
      <c r="M116" s="412"/>
      <c r="N116" s="412"/>
      <c r="O116" s="412"/>
      <c r="P116" s="412"/>
      <c r="Q116" s="776"/>
      <c r="R116" s="412"/>
      <c r="S116" s="412"/>
      <c r="T116" s="412"/>
      <c r="U116" s="412"/>
      <c r="V116" s="412"/>
      <c r="W116" s="412"/>
      <c r="X116" s="1938" t="s">
        <v>352</v>
      </c>
      <c r="Y116" s="1937"/>
      <c r="Z116" s="1937"/>
      <c r="AA116" s="1937"/>
      <c r="AB116" s="823" t="s">
        <v>282</v>
      </c>
      <c r="AC116" s="823"/>
      <c r="AD116" s="823"/>
      <c r="AE116" s="823"/>
      <c r="AF116" s="823"/>
    </row>
  </sheetData>
  <mergeCells count="40">
    <mergeCell ref="B100:F100"/>
    <mergeCell ref="B108:F108"/>
    <mergeCell ref="B112:E112"/>
    <mergeCell ref="K114:M114"/>
    <mergeCell ref="F116:H116"/>
    <mergeCell ref="X116:AA116"/>
    <mergeCell ref="AF12:AF13"/>
    <mergeCell ref="B85:E85"/>
    <mergeCell ref="B86:F86"/>
    <mergeCell ref="B93:E93"/>
    <mergeCell ref="B94:E94"/>
    <mergeCell ref="B95:F95"/>
    <mergeCell ref="V12:V13"/>
    <mergeCell ref="W12:W13"/>
    <mergeCell ref="X12:X13"/>
    <mergeCell ref="Y12:AA12"/>
    <mergeCell ref="AB12:AB13"/>
    <mergeCell ref="AC12:AC13"/>
    <mergeCell ref="G11:G13"/>
    <mergeCell ref="H11:W11"/>
    <mergeCell ref="X11:AF11"/>
    <mergeCell ref="R12:T12"/>
    <mergeCell ref="U12:U13"/>
    <mergeCell ref="A11:A13"/>
    <mergeCell ref="B11:B13"/>
    <mergeCell ref="C11:C13"/>
    <mergeCell ref="D11:D12"/>
    <mergeCell ref="E11:E12"/>
    <mergeCell ref="F11:F12"/>
    <mergeCell ref="H12:H13"/>
    <mergeCell ref="I12:I13"/>
    <mergeCell ref="K12:L12"/>
    <mergeCell ref="M12:N12"/>
    <mergeCell ref="O12:P12"/>
    <mergeCell ref="B9:E9"/>
    <mergeCell ref="I1:X1"/>
    <mergeCell ref="J2:W2"/>
    <mergeCell ref="A3:D3"/>
    <mergeCell ref="A7:E7"/>
    <mergeCell ref="A8:E8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C1:AH118"/>
  <sheetViews>
    <sheetView topLeftCell="K1" zoomScale="66" zoomScaleNormal="66" workbookViewId="0">
      <selection activeCell="AA15" sqref="AA15"/>
    </sheetView>
  </sheetViews>
  <sheetFormatPr defaultColWidth="8.85546875" defaultRowHeight="12.75" x14ac:dyDescent="0.2"/>
  <cols>
    <col min="1" max="1" width="8.85546875" style="666"/>
    <col min="2" max="2" width="37.42578125" style="666" customWidth="1"/>
    <col min="3" max="3" width="9.28515625" style="666" bestFit="1" customWidth="1"/>
    <col min="4" max="4" width="15.140625" style="666" customWidth="1"/>
    <col min="5" max="5" width="16" style="666" customWidth="1"/>
    <col min="6" max="6" width="8.85546875" style="666" customWidth="1"/>
    <col min="7" max="7" width="97.85546875" style="666" customWidth="1"/>
    <col min="8" max="8" width="9.28515625" style="666" bestFit="1" customWidth="1"/>
    <col min="9" max="9" width="8.85546875" style="666"/>
    <col min="10" max="10" width="19.85546875" style="666" customWidth="1"/>
    <col min="11" max="11" width="14.7109375" style="666" customWidth="1"/>
    <col min="12" max="13" width="9.28515625" style="666" bestFit="1" customWidth="1"/>
    <col min="14" max="14" width="9.140625" style="666" bestFit="1" customWidth="1"/>
    <col min="15" max="15" width="9.28515625" style="666" bestFit="1" customWidth="1"/>
    <col min="16" max="16" width="9.140625" style="666" bestFit="1" customWidth="1"/>
    <col min="17" max="17" width="8.85546875" style="666"/>
    <col min="18" max="18" width="9.28515625" style="666" bestFit="1" customWidth="1"/>
    <col min="19" max="19" width="9.7109375" style="777" customWidth="1"/>
    <col min="20" max="20" width="11.28515625" style="666" customWidth="1"/>
    <col min="21" max="21" width="9.28515625" style="666" bestFit="1" customWidth="1"/>
    <col min="22" max="22" width="9.85546875" style="666" customWidth="1"/>
    <col min="23" max="23" width="10.28515625" style="666" bestFit="1" customWidth="1"/>
    <col min="24" max="24" width="8.5703125" style="666" customWidth="1"/>
    <col min="25" max="25" width="9.28515625" style="666" bestFit="1" customWidth="1"/>
    <col min="26" max="28" width="9" style="666" customWidth="1"/>
    <col min="29" max="29" width="9.28515625" style="666" customWidth="1"/>
    <col min="30" max="30" width="9.28515625" style="666" bestFit="1" customWidth="1"/>
    <col min="31" max="31" width="10.140625" style="666" bestFit="1" customWidth="1"/>
    <col min="32" max="32" width="9.28515625" style="666" bestFit="1" customWidth="1"/>
    <col min="33" max="33" width="14.28515625" style="666" customWidth="1"/>
    <col min="34" max="34" width="59.42578125" style="666" customWidth="1"/>
    <col min="35" max="16384" width="8.85546875" style="666"/>
  </cols>
  <sheetData>
    <row r="1" spans="3:34" ht="18.75" x14ac:dyDescent="0.3">
      <c r="C1" s="656"/>
      <c r="D1" s="656"/>
      <c r="E1" s="656"/>
      <c r="F1" s="656"/>
      <c r="G1" s="656"/>
      <c r="H1" s="656"/>
      <c r="I1" s="656"/>
      <c r="J1" s="656"/>
      <c r="K1" s="1942" t="s">
        <v>65</v>
      </c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1943"/>
      <c r="Z1" s="1943"/>
      <c r="AA1" s="656"/>
      <c r="AB1" s="656"/>
      <c r="AC1" s="656"/>
      <c r="AD1" s="656"/>
      <c r="AE1" s="656"/>
      <c r="AF1" s="656"/>
      <c r="AG1" s="656"/>
      <c r="AH1" s="656"/>
    </row>
    <row r="2" spans="3:34" ht="18.75" x14ac:dyDescent="0.3">
      <c r="C2" s="656"/>
      <c r="D2" s="656"/>
      <c r="E2" s="656"/>
      <c r="F2" s="656"/>
      <c r="G2" s="656"/>
      <c r="H2" s="830"/>
      <c r="I2" s="829"/>
      <c r="J2" s="829"/>
      <c r="K2" s="830"/>
      <c r="L2" s="1909" t="s">
        <v>459</v>
      </c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937"/>
      <c r="Y2" s="1937"/>
      <c r="Z2" s="830"/>
      <c r="AA2" s="830"/>
      <c r="AB2" s="830"/>
      <c r="AC2" s="830"/>
      <c r="AD2" s="830"/>
      <c r="AE2" s="830"/>
      <c r="AF2" s="830"/>
      <c r="AG2" s="830"/>
      <c r="AH2" s="405"/>
    </row>
    <row r="3" spans="3:34" ht="18.75" x14ac:dyDescent="0.2">
      <c r="C3" s="1910" t="s">
        <v>54</v>
      </c>
      <c r="D3" s="1910"/>
      <c r="E3" s="1910"/>
      <c r="F3" s="1910"/>
      <c r="G3" s="845"/>
      <c r="H3" s="845"/>
      <c r="I3" s="834"/>
      <c r="J3" s="844"/>
      <c r="K3" s="844"/>
      <c r="L3" s="844"/>
      <c r="M3" s="844"/>
      <c r="N3" s="844"/>
      <c r="O3" s="844"/>
      <c r="P3" s="844"/>
      <c r="Q3" s="844"/>
      <c r="R3" s="844"/>
      <c r="S3" s="767"/>
      <c r="T3" s="845"/>
      <c r="U3" s="845"/>
      <c r="V3" s="845"/>
      <c r="W3" s="845"/>
      <c r="X3" s="845"/>
      <c r="Y3" s="845"/>
      <c r="Z3" s="845"/>
      <c r="AA3" s="845"/>
      <c r="AB3" s="845"/>
      <c r="AC3" s="845"/>
      <c r="AD3" s="845"/>
      <c r="AE3" s="845"/>
      <c r="AF3" s="845"/>
      <c r="AG3" s="845"/>
      <c r="AH3" s="408" t="s">
        <v>55</v>
      </c>
    </row>
    <row r="4" spans="3:34" ht="18.75" x14ac:dyDescent="0.2">
      <c r="C4" s="835"/>
      <c r="D4" s="835"/>
      <c r="E4" s="835"/>
      <c r="F4" s="835"/>
      <c r="G4" s="845"/>
      <c r="H4" s="845"/>
      <c r="I4" s="834"/>
      <c r="J4" s="844"/>
      <c r="K4" s="844"/>
      <c r="L4" s="844"/>
      <c r="M4" s="844"/>
      <c r="N4" s="844"/>
      <c r="O4" s="844"/>
      <c r="P4" s="844"/>
      <c r="Q4" s="844"/>
      <c r="R4" s="844"/>
      <c r="S4" s="767"/>
      <c r="T4" s="845"/>
      <c r="U4" s="845"/>
      <c r="V4" s="845"/>
      <c r="W4" s="845"/>
      <c r="X4" s="845"/>
      <c r="Y4" s="845"/>
      <c r="Z4" s="845"/>
      <c r="AA4" s="845"/>
      <c r="AB4" s="845"/>
      <c r="AC4" s="845"/>
      <c r="AD4" s="845"/>
      <c r="AE4" s="845"/>
      <c r="AF4" s="845"/>
      <c r="AG4" s="845"/>
      <c r="AH4" s="408"/>
    </row>
    <row r="5" spans="3:34" ht="18.75" x14ac:dyDescent="0.2">
      <c r="C5" s="836" t="s">
        <v>311</v>
      </c>
      <c r="D5" s="836"/>
      <c r="E5" s="836"/>
      <c r="F5" s="836"/>
      <c r="G5" s="836"/>
      <c r="H5" s="845"/>
      <c r="I5" s="834"/>
      <c r="J5" s="834"/>
      <c r="K5" s="844"/>
      <c r="L5" s="844"/>
      <c r="M5" s="844"/>
      <c r="N5" s="844"/>
      <c r="O5" s="844"/>
      <c r="P5" s="844"/>
      <c r="Q5" s="844"/>
      <c r="R5" s="844"/>
      <c r="S5" s="767"/>
      <c r="T5" s="846"/>
      <c r="U5" s="846"/>
      <c r="V5" s="846"/>
      <c r="W5" s="846"/>
      <c r="X5" s="846"/>
      <c r="Y5" s="846"/>
      <c r="Z5" s="845"/>
      <c r="AA5" s="845"/>
      <c r="AB5" s="845"/>
      <c r="AC5" s="845"/>
      <c r="AD5" s="845"/>
      <c r="AE5" s="845"/>
      <c r="AF5" s="845"/>
      <c r="AG5" s="845"/>
      <c r="AH5" s="411" t="s">
        <v>468</v>
      </c>
    </row>
    <row r="6" spans="3:34" ht="18.75" x14ac:dyDescent="0.2">
      <c r="C6" s="836" t="s">
        <v>428</v>
      </c>
      <c r="D6" s="412"/>
      <c r="E6" s="412"/>
      <c r="F6" s="412"/>
      <c r="G6" s="845"/>
      <c r="H6" s="845"/>
      <c r="I6" s="834"/>
      <c r="J6" s="834"/>
      <c r="K6" s="845"/>
      <c r="L6" s="845"/>
      <c r="M6" s="834"/>
      <c r="N6" s="834"/>
      <c r="O6" s="845"/>
      <c r="P6" s="845"/>
      <c r="Q6" s="845"/>
      <c r="R6" s="413"/>
      <c r="S6" s="768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415" t="s">
        <v>429</v>
      </c>
    </row>
    <row r="7" spans="3:34" ht="18.75" x14ac:dyDescent="0.2">
      <c r="C7" s="845"/>
      <c r="D7" s="836"/>
      <c r="E7" s="836"/>
      <c r="F7" s="836"/>
      <c r="G7" s="845"/>
      <c r="H7" s="845"/>
      <c r="I7" s="834"/>
      <c r="J7" s="834"/>
      <c r="K7" s="405"/>
      <c r="L7" s="845"/>
      <c r="M7" s="834"/>
      <c r="N7" s="834"/>
      <c r="O7" s="845"/>
      <c r="P7" s="845"/>
      <c r="Q7" s="845"/>
      <c r="R7" s="413"/>
      <c r="S7" s="768"/>
      <c r="T7" s="845"/>
      <c r="U7" s="845"/>
      <c r="V7" s="845"/>
      <c r="W7" s="845"/>
      <c r="X7" s="845"/>
      <c r="Y7" s="411"/>
      <c r="Z7" s="845"/>
      <c r="AA7" s="412"/>
      <c r="AB7" s="412"/>
      <c r="AC7" s="412"/>
      <c r="AD7" s="412"/>
      <c r="AE7" s="412"/>
      <c r="AF7" s="412"/>
      <c r="AG7" s="412"/>
      <c r="AH7" s="417"/>
    </row>
    <row r="8" spans="3:34" ht="18.75" x14ac:dyDescent="0.2">
      <c r="C8" s="1911" t="s">
        <v>261</v>
      </c>
      <c r="D8" s="1911"/>
      <c r="E8" s="1911"/>
      <c r="F8" s="1911"/>
      <c r="G8" s="1911"/>
      <c r="H8" s="845"/>
      <c r="I8" s="834"/>
      <c r="J8" s="834"/>
      <c r="K8" s="405"/>
      <c r="L8" s="845"/>
      <c r="M8" s="834"/>
      <c r="N8" s="834"/>
      <c r="O8" s="845"/>
      <c r="P8" s="845"/>
      <c r="Q8" s="845"/>
      <c r="R8" s="413"/>
      <c r="S8" s="768"/>
      <c r="T8" s="845"/>
      <c r="U8" s="845"/>
      <c r="V8" s="845"/>
      <c r="W8" s="845"/>
      <c r="X8" s="845"/>
      <c r="Y8" s="411"/>
      <c r="Z8" s="845"/>
      <c r="AA8" s="412"/>
      <c r="AB8" s="412"/>
      <c r="AC8" s="412"/>
      <c r="AD8" s="412"/>
      <c r="AE8" s="412"/>
      <c r="AF8" s="412"/>
      <c r="AG8" s="412"/>
      <c r="AH8" s="411"/>
    </row>
    <row r="9" spans="3:34" ht="18.75" x14ac:dyDescent="0.2">
      <c r="C9" s="1911" t="s">
        <v>428</v>
      </c>
      <c r="D9" s="1911"/>
      <c r="E9" s="1911"/>
      <c r="F9" s="1911"/>
      <c r="G9" s="1911"/>
      <c r="H9" s="845"/>
      <c r="I9" s="834"/>
      <c r="J9" s="834"/>
      <c r="K9" s="405"/>
      <c r="L9" s="845"/>
      <c r="M9" s="834"/>
      <c r="N9" s="834"/>
      <c r="O9" s="845"/>
      <c r="P9" s="845"/>
      <c r="Q9" s="845"/>
      <c r="R9" s="413"/>
      <c r="S9" s="768"/>
      <c r="T9" s="845"/>
      <c r="U9" s="845"/>
      <c r="V9" s="845"/>
      <c r="W9" s="845"/>
      <c r="X9" s="845"/>
      <c r="Y9" s="411"/>
      <c r="Z9" s="845"/>
      <c r="AA9" s="412"/>
      <c r="AB9" s="412"/>
      <c r="AC9" s="412"/>
      <c r="AD9" s="412"/>
      <c r="AE9" s="412"/>
      <c r="AF9" s="412"/>
      <c r="AG9" s="412"/>
      <c r="AH9" s="415"/>
    </row>
    <row r="10" spans="3:34" ht="18.75" x14ac:dyDescent="0.3">
      <c r="C10" s="667"/>
      <c r="D10" s="1911"/>
      <c r="E10" s="1911"/>
      <c r="F10" s="1911"/>
      <c r="G10" s="1911"/>
      <c r="H10" s="845"/>
      <c r="I10" s="834"/>
      <c r="J10" s="834"/>
      <c r="K10" s="845"/>
      <c r="L10" s="845"/>
      <c r="M10" s="834"/>
      <c r="N10" s="834"/>
      <c r="O10" s="834"/>
      <c r="P10" s="834"/>
      <c r="Q10" s="834"/>
      <c r="R10" s="834"/>
      <c r="S10" s="769"/>
      <c r="T10" s="834"/>
      <c r="U10" s="834"/>
      <c r="V10" s="834"/>
      <c r="W10" s="834"/>
      <c r="X10" s="834"/>
      <c r="Y10" s="845"/>
      <c r="Z10" s="845"/>
      <c r="AA10" s="412"/>
      <c r="AB10" s="412"/>
      <c r="AC10" s="412"/>
      <c r="AD10" s="412"/>
      <c r="AE10" s="412"/>
      <c r="AF10" s="412"/>
      <c r="AG10" s="412"/>
      <c r="AH10" s="417"/>
    </row>
    <row r="11" spans="3:34" ht="18.75" x14ac:dyDescent="0.25">
      <c r="C11" s="868"/>
      <c r="D11" s="834"/>
      <c r="E11" s="834"/>
      <c r="F11" s="834"/>
      <c r="G11" s="845"/>
      <c r="H11" s="845"/>
      <c r="I11" s="834"/>
      <c r="J11" s="834"/>
      <c r="K11" s="405"/>
      <c r="L11" s="845"/>
      <c r="M11" s="834"/>
      <c r="N11" s="834"/>
      <c r="O11" s="845"/>
      <c r="P11" s="845"/>
      <c r="Q11" s="845"/>
      <c r="R11" s="413"/>
      <c r="S11" s="768"/>
      <c r="T11" s="845"/>
      <c r="U11" s="845"/>
      <c r="V11" s="845"/>
      <c r="W11" s="845"/>
      <c r="X11" s="845"/>
      <c r="Y11" s="411"/>
      <c r="Z11" s="845"/>
      <c r="AA11" s="412"/>
      <c r="AB11" s="412"/>
      <c r="AC11" s="412"/>
      <c r="AD11" s="412"/>
      <c r="AE11" s="412"/>
      <c r="AF11" s="412"/>
      <c r="AG11" s="412"/>
      <c r="AH11" s="415"/>
    </row>
    <row r="12" spans="3:34" ht="18.75" x14ac:dyDescent="0.2">
      <c r="C12" s="1891" t="s">
        <v>1</v>
      </c>
      <c r="D12" s="1891" t="s">
        <v>2</v>
      </c>
      <c r="E12" s="1903" t="s">
        <v>8</v>
      </c>
      <c r="F12" s="1903" t="s">
        <v>33</v>
      </c>
      <c r="G12" s="1891" t="s">
        <v>0</v>
      </c>
      <c r="H12" s="1903" t="s">
        <v>34</v>
      </c>
      <c r="I12" s="1903" t="s">
        <v>5</v>
      </c>
      <c r="J12" s="1908" t="s">
        <v>23</v>
      </c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/>
      <c r="Y12" s="1908"/>
      <c r="Z12" s="1908" t="s">
        <v>22</v>
      </c>
      <c r="AA12" s="1908"/>
      <c r="AB12" s="1908"/>
      <c r="AC12" s="1908"/>
      <c r="AD12" s="1908"/>
      <c r="AE12" s="1908"/>
      <c r="AF12" s="1908"/>
      <c r="AG12" s="1908"/>
      <c r="AH12" s="1908"/>
    </row>
    <row r="13" spans="3:34" ht="196.15" customHeight="1" x14ac:dyDescent="0.2">
      <c r="C13" s="1891"/>
      <c r="D13" s="1891"/>
      <c r="E13" s="1903"/>
      <c r="F13" s="1903"/>
      <c r="G13" s="1891"/>
      <c r="H13" s="1903"/>
      <c r="I13" s="1903"/>
      <c r="J13" s="1903" t="s">
        <v>66</v>
      </c>
      <c r="K13" s="1891" t="s">
        <v>35</v>
      </c>
      <c r="L13" s="833" t="s">
        <v>6</v>
      </c>
      <c r="M13" s="1891" t="s">
        <v>9</v>
      </c>
      <c r="N13" s="1891"/>
      <c r="O13" s="1891" t="s">
        <v>10</v>
      </c>
      <c r="P13" s="1891"/>
      <c r="Q13" s="1891" t="s">
        <v>11</v>
      </c>
      <c r="R13" s="1891"/>
      <c r="S13" s="770" t="s">
        <v>67</v>
      </c>
      <c r="T13" s="1891" t="s">
        <v>15</v>
      </c>
      <c r="U13" s="1912"/>
      <c r="V13" s="1912"/>
      <c r="W13" s="1903" t="s">
        <v>100</v>
      </c>
      <c r="X13" s="1903" t="s">
        <v>16</v>
      </c>
      <c r="Y13" s="1903" t="s">
        <v>17</v>
      </c>
      <c r="Z13" s="1903" t="s">
        <v>24</v>
      </c>
      <c r="AA13" s="1891" t="s">
        <v>15</v>
      </c>
      <c r="AB13" s="1912"/>
      <c r="AC13" s="1912"/>
      <c r="AD13" s="1903" t="s">
        <v>100</v>
      </c>
      <c r="AE13" s="1903" t="s">
        <v>16</v>
      </c>
      <c r="AF13" s="833" t="s">
        <v>18</v>
      </c>
      <c r="AG13" s="833" t="s">
        <v>20</v>
      </c>
      <c r="AH13" s="1891" t="s">
        <v>21</v>
      </c>
    </row>
    <row r="14" spans="3:34" ht="37.5" x14ac:dyDescent="0.2">
      <c r="C14" s="1891"/>
      <c r="D14" s="1891"/>
      <c r="E14" s="1903"/>
      <c r="F14" s="838" t="s">
        <v>3</v>
      </c>
      <c r="G14" s="838" t="s">
        <v>3</v>
      </c>
      <c r="H14" s="838" t="s">
        <v>4</v>
      </c>
      <c r="I14" s="1903"/>
      <c r="J14" s="1903"/>
      <c r="K14" s="1891"/>
      <c r="L14" s="838" t="s">
        <v>7</v>
      </c>
      <c r="M14" s="838" t="s">
        <v>30</v>
      </c>
      <c r="N14" s="838" t="s">
        <v>29</v>
      </c>
      <c r="O14" s="838" t="s">
        <v>31</v>
      </c>
      <c r="P14" s="838" t="s">
        <v>32</v>
      </c>
      <c r="Q14" s="838" t="s">
        <v>12</v>
      </c>
      <c r="R14" s="448" t="s">
        <v>13</v>
      </c>
      <c r="S14" s="771" t="s">
        <v>26</v>
      </c>
      <c r="T14" s="838" t="s">
        <v>14</v>
      </c>
      <c r="U14" s="838" t="s">
        <v>25</v>
      </c>
      <c r="V14" s="838" t="s">
        <v>113</v>
      </c>
      <c r="W14" s="1903"/>
      <c r="X14" s="1903"/>
      <c r="Y14" s="1903"/>
      <c r="Z14" s="1903"/>
      <c r="AA14" s="838" t="s">
        <v>14</v>
      </c>
      <c r="AB14" s="838" t="s">
        <v>25</v>
      </c>
      <c r="AC14" s="838" t="s">
        <v>113</v>
      </c>
      <c r="AD14" s="1903"/>
      <c r="AE14" s="1903"/>
      <c r="AF14" s="838" t="s">
        <v>19</v>
      </c>
      <c r="AG14" s="838" t="s">
        <v>27</v>
      </c>
      <c r="AH14" s="1891"/>
    </row>
    <row r="15" spans="3:34" ht="18.75" customHeight="1" x14ac:dyDescent="0.2">
      <c r="C15" s="842">
        <v>1</v>
      </c>
      <c r="D15" s="461" t="s">
        <v>139</v>
      </c>
      <c r="E15" s="842" t="s">
        <v>46</v>
      </c>
      <c r="F15" s="842">
        <v>610.5</v>
      </c>
      <c r="G15" s="842" t="s">
        <v>203</v>
      </c>
      <c r="H15" s="842">
        <v>177.8</v>
      </c>
      <c r="I15" s="842" t="s">
        <v>28</v>
      </c>
      <c r="J15" s="452" t="s">
        <v>363</v>
      </c>
      <c r="K15" s="838">
        <v>558.54</v>
      </c>
      <c r="L15" s="842">
        <v>175</v>
      </c>
      <c r="M15" s="842"/>
      <c r="N15" s="842">
        <v>414</v>
      </c>
      <c r="O15" s="842"/>
      <c r="P15" s="842">
        <v>0.1</v>
      </c>
      <c r="Q15" s="842"/>
      <c r="R15" s="668">
        <v>14.084247430503879</v>
      </c>
      <c r="S15" s="668">
        <f>L15*7/100</f>
        <v>12.25</v>
      </c>
      <c r="T15" s="432">
        <v>1.9379999999999999</v>
      </c>
      <c r="U15" s="432">
        <v>7.5339999999999998</v>
      </c>
      <c r="V15" s="670">
        <v>0</v>
      </c>
      <c r="W15" s="668">
        <f t="shared" ref="W15:W77" si="0">V15/T15</f>
        <v>0</v>
      </c>
      <c r="X15" s="668">
        <f>(U15-T15)/U15*100</f>
        <v>74.276612689142553</v>
      </c>
      <c r="Y15" s="668">
        <v>0.3</v>
      </c>
      <c r="Z15" s="432">
        <f t="shared" ref="Z15:Z77" si="1">U15/S15</f>
        <v>0.61502040816326531</v>
      </c>
      <c r="AA15" s="432">
        <f>T15*0.95</f>
        <v>1.8411</v>
      </c>
      <c r="AB15" s="432">
        <f>U15*0.95</f>
        <v>7.1572999999999993</v>
      </c>
      <c r="AC15" s="670">
        <f>V15*0.95</f>
        <v>0</v>
      </c>
      <c r="AD15" s="432">
        <f>W15</f>
        <v>0</v>
      </c>
      <c r="AE15" s="670">
        <f t="shared" ref="AE15:AE77" si="2">X15</f>
        <v>74.276612689142553</v>
      </c>
      <c r="AF15" s="842">
        <v>31</v>
      </c>
      <c r="AG15" s="432">
        <f>AA15*AF15</f>
        <v>57.074100000000001</v>
      </c>
      <c r="AH15" s="669"/>
    </row>
    <row r="16" spans="3:34" ht="18.75" customHeight="1" x14ac:dyDescent="0.2">
      <c r="C16" s="842">
        <v>2</v>
      </c>
      <c r="D16" s="461" t="s">
        <v>140</v>
      </c>
      <c r="E16" s="842" t="s">
        <v>46</v>
      </c>
      <c r="F16" s="842">
        <v>585</v>
      </c>
      <c r="G16" s="842" t="s">
        <v>348</v>
      </c>
      <c r="H16" s="842">
        <v>177.8</v>
      </c>
      <c r="I16" s="842" t="s">
        <v>28</v>
      </c>
      <c r="J16" s="842" t="s">
        <v>50</v>
      </c>
      <c r="K16" s="838">
        <v>579.99</v>
      </c>
      <c r="L16" s="842" t="s">
        <v>254</v>
      </c>
      <c r="M16" s="842"/>
      <c r="N16" s="842">
        <v>415</v>
      </c>
      <c r="O16" s="842"/>
      <c r="P16" s="842">
        <v>1.1000000000000001</v>
      </c>
      <c r="Q16" s="842"/>
      <c r="R16" s="668">
        <v>16.32</v>
      </c>
      <c r="S16" s="668">
        <f t="shared" ref="S16:S39" si="3">LEFT(J16,(FIND("K",J16,1)-1))*L16/100</f>
        <v>15</v>
      </c>
      <c r="T16" s="432">
        <v>0.97799999999999998</v>
      </c>
      <c r="U16" s="432">
        <v>1.36</v>
      </c>
      <c r="V16" s="670">
        <v>9</v>
      </c>
      <c r="W16" s="668">
        <f t="shared" si="0"/>
        <v>9.2024539877300615</v>
      </c>
      <c r="X16" s="668">
        <f>(U16-T16)/U16*100</f>
        <v>28.088235294117652</v>
      </c>
      <c r="Y16" s="668">
        <v>0.3</v>
      </c>
      <c r="Z16" s="432">
        <f t="shared" si="1"/>
        <v>9.0666666666666673E-2</v>
      </c>
      <c r="AA16" s="432">
        <f t="shared" ref="AA16:AA77" si="4">T16*0.95</f>
        <v>0.92909999999999993</v>
      </c>
      <c r="AB16" s="432">
        <f t="shared" ref="AB16:AB77" si="5">U16*0.95</f>
        <v>1.292</v>
      </c>
      <c r="AC16" s="670">
        <f t="shared" ref="AC16:AC77" si="6">V16*0.95</f>
        <v>8.5499999999999989</v>
      </c>
      <c r="AD16" s="432">
        <f t="shared" ref="AD16:AD77" si="7">W16</f>
        <v>9.2024539877300615</v>
      </c>
      <c r="AE16" s="670">
        <f t="shared" si="2"/>
        <v>28.088235294117652</v>
      </c>
      <c r="AF16" s="842">
        <v>31</v>
      </c>
      <c r="AG16" s="432">
        <f t="shared" ref="AG16:AG59" si="8">AA16*AF16</f>
        <v>28.802099999999999</v>
      </c>
      <c r="AH16" s="669"/>
    </row>
    <row r="17" spans="3:34" ht="18.75" customHeight="1" x14ac:dyDescent="0.2">
      <c r="C17" s="842">
        <v>3</v>
      </c>
      <c r="D17" s="461" t="s">
        <v>141</v>
      </c>
      <c r="E17" s="842" t="s">
        <v>46</v>
      </c>
      <c r="F17" s="842">
        <v>670</v>
      </c>
      <c r="G17" s="842" t="s">
        <v>68</v>
      </c>
      <c r="H17" s="842">
        <v>177.8</v>
      </c>
      <c r="I17" s="842" t="s">
        <v>28</v>
      </c>
      <c r="J17" s="842" t="s">
        <v>218</v>
      </c>
      <c r="K17" s="838">
        <v>565.94000000000005</v>
      </c>
      <c r="L17" s="842">
        <v>210</v>
      </c>
      <c r="M17" s="842"/>
      <c r="N17" s="842">
        <v>491</v>
      </c>
      <c r="O17" s="842"/>
      <c r="P17" s="668">
        <v>9.1</v>
      </c>
      <c r="Q17" s="842"/>
      <c r="R17" s="668">
        <v>13.447975532042948</v>
      </c>
      <c r="S17" s="668">
        <f>LEFT(J17,(FIND("K",J17,1)-1))*L17/100</f>
        <v>67.2</v>
      </c>
      <c r="T17" s="432">
        <v>14.433999999999999</v>
      </c>
      <c r="U17" s="432">
        <v>22.690999999999999</v>
      </c>
      <c r="V17" s="670">
        <v>1495</v>
      </c>
      <c r="W17" s="668">
        <f t="shared" si="0"/>
        <v>103.57489261465983</v>
      </c>
      <c r="X17" s="668">
        <f t="shared" ref="X17:X77" si="9">(U17-T17)/U17*100</f>
        <v>36.388876647128818</v>
      </c>
      <c r="Y17" s="668">
        <v>0.2</v>
      </c>
      <c r="Z17" s="432">
        <f t="shared" si="1"/>
        <v>0.33766369047619044</v>
      </c>
      <c r="AA17" s="432">
        <f t="shared" si="4"/>
        <v>13.712299999999999</v>
      </c>
      <c r="AB17" s="432">
        <f t="shared" si="5"/>
        <v>21.556449999999998</v>
      </c>
      <c r="AC17" s="670">
        <f t="shared" si="6"/>
        <v>1420.25</v>
      </c>
      <c r="AD17" s="432">
        <f t="shared" si="7"/>
        <v>103.57489261465983</v>
      </c>
      <c r="AE17" s="670">
        <f t="shared" si="2"/>
        <v>36.388876647128818</v>
      </c>
      <c r="AF17" s="842">
        <v>31</v>
      </c>
      <c r="AG17" s="432">
        <f>AA17*AF17</f>
        <v>425.08129999999994</v>
      </c>
      <c r="AH17" s="669"/>
    </row>
    <row r="18" spans="3:34" ht="18.75" customHeight="1" x14ac:dyDescent="0.2">
      <c r="C18" s="842">
        <v>4</v>
      </c>
      <c r="D18" s="461" t="s">
        <v>142</v>
      </c>
      <c r="E18" s="842" t="s">
        <v>46</v>
      </c>
      <c r="F18" s="842">
        <v>628</v>
      </c>
      <c r="G18" s="842" t="s">
        <v>297</v>
      </c>
      <c r="H18" s="842">
        <v>177.8</v>
      </c>
      <c r="I18" s="842" t="s">
        <v>28</v>
      </c>
      <c r="J18" s="842" t="s">
        <v>376</v>
      </c>
      <c r="K18" s="838">
        <v>540.74000000000024</v>
      </c>
      <c r="L18" s="842">
        <v>330</v>
      </c>
      <c r="M18" s="842"/>
      <c r="N18" s="842">
        <v>424</v>
      </c>
      <c r="O18" s="842"/>
      <c r="P18" s="668">
        <v>5.0999999999999996</v>
      </c>
      <c r="Q18" s="842"/>
      <c r="R18" s="668">
        <v>18.224343497033637</v>
      </c>
      <c r="S18" s="668">
        <f>14*L18/100</f>
        <v>46.2</v>
      </c>
      <c r="T18" s="432">
        <v>2.0129999999999999</v>
      </c>
      <c r="U18" s="432">
        <v>3.0510000000000002</v>
      </c>
      <c r="V18" s="670">
        <v>23</v>
      </c>
      <c r="W18" s="668">
        <f t="shared" si="0"/>
        <v>11.425732737208147</v>
      </c>
      <c r="X18" s="668">
        <f t="shared" si="9"/>
        <v>34.021632251720753</v>
      </c>
      <c r="Y18" s="668">
        <v>0.4</v>
      </c>
      <c r="Z18" s="432">
        <f t="shared" si="1"/>
        <v>6.6038961038961036E-2</v>
      </c>
      <c r="AA18" s="432">
        <f t="shared" si="4"/>
        <v>1.9123499999999998</v>
      </c>
      <c r="AB18" s="432">
        <f t="shared" si="5"/>
        <v>2.89845</v>
      </c>
      <c r="AC18" s="670">
        <f t="shared" si="6"/>
        <v>21.849999999999998</v>
      </c>
      <c r="AD18" s="432">
        <f t="shared" si="7"/>
        <v>11.425732737208147</v>
      </c>
      <c r="AE18" s="670">
        <f t="shared" si="2"/>
        <v>34.021632251720753</v>
      </c>
      <c r="AF18" s="842">
        <v>31</v>
      </c>
      <c r="AG18" s="432">
        <f t="shared" si="8"/>
        <v>59.282849999999996</v>
      </c>
      <c r="AH18" s="669"/>
    </row>
    <row r="19" spans="3:34" ht="18.75" customHeight="1" x14ac:dyDescent="0.2">
      <c r="C19" s="842">
        <v>5</v>
      </c>
      <c r="D19" s="461" t="s">
        <v>143</v>
      </c>
      <c r="E19" s="842" t="s">
        <v>46</v>
      </c>
      <c r="F19" s="842">
        <v>576.6</v>
      </c>
      <c r="G19" s="842" t="s">
        <v>70</v>
      </c>
      <c r="H19" s="842">
        <v>177.8</v>
      </c>
      <c r="I19" s="842" t="s">
        <v>28</v>
      </c>
      <c r="J19" s="550" t="s">
        <v>53</v>
      </c>
      <c r="K19" s="838">
        <v>546</v>
      </c>
      <c r="L19" s="842">
        <v>140</v>
      </c>
      <c r="M19" s="842"/>
      <c r="N19" s="842">
        <v>345</v>
      </c>
      <c r="O19" s="842"/>
      <c r="P19" s="842">
        <v>5.9</v>
      </c>
      <c r="Q19" s="842"/>
      <c r="R19" s="668">
        <v>25.477407255723751</v>
      </c>
      <c r="S19" s="668">
        <f t="shared" si="3"/>
        <v>18.2</v>
      </c>
      <c r="T19" s="432">
        <v>2.9159999999999999</v>
      </c>
      <c r="U19" s="432">
        <v>3.0590000000000002</v>
      </c>
      <c r="V19" s="670">
        <v>16</v>
      </c>
      <c r="W19" s="668">
        <f t="shared" si="0"/>
        <v>5.4869684499314131</v>
      </c>
      <c r="X19" s="668">
        <f t="shared" si="9"/>
        <v>4.6747303040209287</v>
      </c>
      <c r="Y19" s="668">
        <v>0.2</v>
      </c>
      <c r="Z19" s="432">
        <f>U19/S19</f>
        <v>0.1680769230769231</v>
      </c>
      <c r="AA19" s="432">
        <f t="shared" si="4"/>
        <v>2.7702</v>
      </c>
      <c r="AB19" s="432">
        <f t="shared" si="5"/>
        <v>2.90605</v>
      </c>
      <c r="AC19" s="670">
        <f t="shared" si="6"/>
        <v>15.2</v>
      </c>
      <c r="AD19" s="432">
        <f t="shared" si="7"/>
        <v>5.4869684499314131</v>
      </c>
      <c r="AE19" s="670">
        <f t="shared" si="2"/>
        <v>4.6747303040209287</v>
      </c>
      <c r="AF19" s="842">
        <v>31</v>
      </c>
      <c r="AG19" s="432">
        <f t="shared" si="8"/>
        <v>85.876199999999997</v>
      </c>
      <c r="AH19" s="669"/>
    </row>
    <row r="20" spans="3:34" ht="18.75" customHeight="1" x14ac:dyDescent="0.2">
      <c r="C20" s="842">
        <v>6</v>
      </c>
      <c r="D20" s="461" t="s">
        <v>144</v>
      </c>
      <c r="E20" s="842" t="s">
        <v>46</v>
      </c>
      <c r="F20" s="842">
        <v>676.6</v>
      </c>
      <c r="G20" s="842" t="s">
        <v>460</v>
      </c>
      <c r="H20" s="842">
        <v>177.8</v>
      </c>
      <c r="I20" s="842" t="s">
        <v>28</v>
      </c>
      <c r="J20" s="842" t="s">
        <v>461</v>
      </c>
      <c r="K20" s="838">
        <v>567.16</v>
      </c>
      <c r="L20" s="842">
        <v>85</v>
      </c>
      <c r="M20" s="842"/>
      <c r="N20" s="842">
        <v>419</v>
      </c>
      <c r="O20" s="842"/>
      <c r="P20" s="842">
        <v>0.2</v>
      </c>
      <c r="Q20" s="842"/>
      <c r="R20" s="668">
        <v>15.065026574636963</v>
      </c>
      <c r="S20" s="668">
        <v>18.7</v>
      </c>
      <c r="T20" s="432">
        <v>2.2999999999999998</v>
      </c>
      <c r="U20" s="432">
        <v>3.0550000000000002</v>
      </c>
      <c r="V20" s="670">
        <v>0</v>
      </c>
      <c r="W20" s="668">
        <f t="shared" si="0"/>
        <v>0</v>
      </c>
      <c r="X20" s="668">
        <f t="shared" si="9"/>
        <v>24.713584288052385</v>
      </c>
      <c r="Y20" s="668">
        <v>0.2</v>
      </c>
      <c r="Z20" s="432">
        <f>U20/S20</f>
        <v>0.16336898395721927</v>
      </c>
      <c r="AA20" s="432">
        <f t="shared" si="4"/>
        <v>2.1849999999999996</v>
      </c>
      <c r="AB20" s="432">
        <f t="shared" si="5"/>
        <v>2.90225</v>
      </c>
      <c r="AC20" s="670">
        <f t="shared" si="6"/>
        <v>0</v>
      </c>
      <c r="AD20" s="432">
        <v>14.613</v>
      </c>
      <c r="AE20" s="670">
        <f t="shared" si="2"/>
        <v>24.713584288052385</v>
      </c>
      <c r="AF20" s="842">
        <v>31</v>
      </c>
      <c r="AG20" s="432">
        <f t="shared" si="8"/>
        <v>67.734999999999985</v>
      </c>
      <c r="AH20" s="669"/>
    </row>
    <row r="21" spans="3:34" ht="18.75" customHeight="1" x14ac:dyDescent="0.2">
      <c r="C21" s="842">
        <v>7</v>
      </c>
      <c r="D21" s="461" t="s">
        <v>145</v>
      </c>
      <c r="E21" s="842" t="s">
        <v>46</v>
      </c>
      <c r="F21" s="842" t="s">
        <v>47</v>
      </c>
      <c r="G21" s="842" t="s">
        <v>72</v>
      </c>
      <c r="H21" s="842">
        <v>177.8</v>
      </c>
      <c r="I21" s="842" t="s">
        <v>28</v>
      </c>
      <c r="J21" s="842" t="s">
        <v>52</v>
      </c>
      <c r="K21" s="838">
        <v>560</v>
      </c>
      <c r="L21" s="842">
        <v>190</v>
      </c>
      <c r="M21" s="842"/>
      <c r="N21" s="842">
        <v>456</v>
      </c>
      <c r="O21" s="842"/>
      <c r="P21" s="842">
        <v>6.6</v>
      </c>
      <c r="Q21" s="842"/>
      <c r="R21" s="668">
        <v>17.136513895333387</v>
      </c>
      <c r="S21" s="668">
        <f t="shared" si="3"/>
        <v>41.8</v>
      </c>
      <c r="T21" s="432">
        <v>9.6959999999999997</v>
      </c>
      <c r="U21" s="432">
        <v>12.266999999999999</v>
      </c>
      <c r="V21" s="670">
        <v>79</v>
      </c>
      <c r="W21" s="668">
        <f t="shared" si="0"/>
        <v>8.1476897689768979</v>
      </c>
      <c r="X21" s="668">
        <f t="shared" si="9"/>
        <v>20.958669601369525</v>
      </c>
      <c r="Y21" s="668">
        <v>0.2</v>
      </c>
      <c r="Z21" s="432">
        <f t="shared" si="1"/>
        <v>0.2934688995215311</v>
      </c>
      <c r="AA21" s="432">
        <f t="shared" si="4"/>
        <v>9.2111999999999998</v>
      </c>
      <c r="AB21" s="432">
        <f t="shared" si="5"/>
        <v>11.653649999999999</v>
      </c>
      <c r="AC21" s="670">
        <f t="shared" si="6"/>
        <v>75.05</v>
      </c>
      <c r="AD21" s="432">
        <f t="shared" si="7"/>
        <v>8.1476897689768979</v>
      </c>
      <c r="AE21" s="670">
        <f t="shared" si="2"/>
        <v>20.958669601369525</v>
      </c>
      <c r="AF21" s="842">
        <v>31</v>
      </c>
      <c r="AG21" s="432">
        <f t="shared" si="8"/>
        <v>285.54719999999998</v>
      </c>
      <c r="AH21" s="669"/>
    </row>
    <row r="22" spans="3:34" ht="18.75" customHeight="1" x14ac:dyDescent="0.2">
      <c r="C22" s="842">
        <v>8</v>
      </c>
      <c r="D22" s="461" t="s">
        <v>146</v>
      </c>
      <c r="E22" s="842" t="s">
        <v>46</v>
      </c>
      <c r="F22" s="842">
        <v>764</v>
      </c>
      <c r="G22" s="436" t="s">
        <v>73</v>
      </c>
      <c r="H22" s="842">
        <v>177.8</v>
      </c>
      <c r="I22" s="842" t="s">
        <v>28</v>
      </c>
      <c r="J22" s="842" t="s">
        <v>52</v>
      </c>
      <c r="K22" s="437">
        <v>550</v>
      </c>
      <c r="L22" s="842">
        <v>155</v>
      </c>
      <c r="M22" s="841"/>
      <c r="N22" s="842">
        <v>429</v>
      </c>
      <c r="O22" s="841"/>
      <c r="P22" s="842">
        <v>7.5</v>
      </c>
      <c r="Q22" s="841"/>
      <c r="R22" s="668">
        <v>21.069044208126595</v>
      </c>
      <c r="S22" s="668">
        <f t="shared" si="3"/>
        <v>34.1</v>
      </c>
      <c r="T22" s="432">
        <v>7.649</v>
      </c>
      <c r="U22" s="432">
        <v>19.64</v>
      </c>
      <c r="V22" s="670">
        <v>21</v>
      </c>
      <c r="W22" s="668">
        <f t="shared" si="0"/>
        <v>2.7454569224735259</v>
      </c>
      <c r="X22" s="668">
        <f t="shared" si="9"/>
        <v>61.053971486761704</v>
      </c>
      <c r="Y22" s="668">
        <v>0.2</v>
      </c>
      <c r="Z22" s="432">
        <f t="shared" si="1"/>
        <v>0.57595307917888561</v>
      </c>
      <c r="AA22" s="432">
        <f t="shared" si="4"/>
        <v>7.2665499999999996</v>
      </c>
      <c r="AB22" s="432">
        <f t="shared" si="5"/>
        <v>18.658000000000001</v>
      </c>
      <c r="AC22" s="670">
        <f t="shared" si="6"/>
        <v>19.95</v>
      </c>
      <c r="AD22" s="432">
        <f t="shared" si="7"/>
        <v>2.7454569224735259</v>
      </c>
      <c r="AE22" s="670">
        <f t="shared" si="2"/>
        <v>61.053971486761704</v>
      </c>
      <c r="AF22" s="842">
        <v>31</v>
      </c>
      <c r="AG22" s="432">
        <f t="shared" si="8"/>
        <v>225.26304999999999</v>
      </c>
      <c r="AH22" s="669"/>
    </row>
    <row r="23" spans="3:34" ht="18.75" customHeight="1" x14ac:dyDescent="0.2">
      <c r="C23" s="842">
        <v>9</v>
      </c>
      <c r="D23" s="461" t="s">
        <v>147</v>
      </c>
      <c r="E23" s="842" t="s">
        <v>46</v>
      </c>
      <c r="F23" s="842">
        <v>650.1</v>
      </c>
      <c r="G23" s="842" t="s">
        <v>74</v>
      </c>
      <c r="H23" s="842">
        <v>177.8</v>
      </c>
      <c r="I23" s="842" t="s">
        <v>28</v>
      </c>
      <c r="J23" s="842" t="s">
        <v>52</v>
      </c>
      <c r="K23" s="838">
        <v>591.98</v>
      </c>
      <c r="L23" s="842">
        <v>150</v>
      </c>
      <c r="M23" s="842"/>
      <c r="N23" s="842">
        <v>470</v>
      </c>
      <c r="O23" s="842"/>
      <c r="P23" s="842">
        <v>3.6</v>
      </c>
      <c r="Q23" s="842"/>
      <c r="R23" s="668">
        <v>12.929600747299689</v>
      </c>
      <c r="S23" s="668">
        <f t="shared" si="3"/>
        <v>33</v>
      </c>
      <c r="T23" s="432">
        <v>6.2949999999999999</v>
      </c>
      <c r="U23" s="432">
        <v>11.273</v>
      </c>
      <c r="V23" s="670">
        <v>26</v>
      </c>
      <c r="W23" s="668">
        <f t="shared" si="0"/>
        <v>4.1302621127879267</v>
      </c>
      <c r="X23" s="668">
        <f t="shared" si="9"/>
        <v>44.158609065909694</v>
      </c>
      <c r="Y23" s="668">
        <v>0.2</v>
      </c>
      <c r="Z23" s="432">
        <f t="shared" si="1"/>
        <v>0.34160606060606058</v>
      </c>
      <c r="AA23" s="432">
        <f t="shared" si="4"/>
        <v>5.9802499999999998</v>
      </c>
      <c r="AB23" s="432">
        <f t="shared" si="5"/>
        <v>10.709349999999999</v>
      </c>
      <c r="AC23" s="670">
        <f t="shared" si="6"/>
        <v>24.7</v>
      </c>
      <c r="AD23" s="432">
        <f t="shared" si="7"/>
        <v>4.1302621127879267</v>
      </c>
      <c r="AE23" s="670">
        <f t="shared" si="2"/>
        <v>44.158609065909694</v>
      </c>
      <c r="AF23" s="842">
        <v>31</v>
      </c>
      <c r="AG23" s="432">
        <f t="shared" si="8"/>
        <v>185.38774999999998</v>
      </c>
      <c r="AH23" s="669"/>
    </row>
    <row r="24" spans="3:34" ht="18.75" customHeight="1" x14ac:dyDescent="0.2">
      <c r="C24" s="842">
        <v>10</v>
      </c>
      <c r="D24" s="461" t="s">
        <v>148</v>
      </c>
      <c r="E24" s="842" t="s">
        <v>46</v>
      </c>
      <c r="F24" s="842">
        <v>580.5</v>
      </c>
      <c r="G24" s="842" t="s">
        <v>398</v>
      </c>
      <c r="H24" s="842">
        <v>177.8</v>
      </c>
      <c r="I24" s="842" t="s">
        <v>28</v>
      </c>
      <c r="J24" s="842" t="s">
        <v>399</v>
      </c>
      <c r="K24" s="838">
        <v>572.4</v>
      </c>
      <c r="L24" s="842"/>
      <c r="M24" s="842">
        <v>200</v>
      </c>
      <c r="N24" s="842"/>
      <c r="O24" s="842">
        <v>5</v>
      </c>
      <c r="P24" s="842"/>
      <c r="Q24" s="842"/>
      <c r="R24" s="668"/>
      <c r="S24" s="668">
        <f>L24*13/100</f>
        <v>0</v>
      </c>
      <c r="T24" s="432">
        <v>0</v>
      </c>
      <c r="U24" s="432">
        <v>0</v>
      </c>
      <c r="V24" s="670">
        <v>0</v>
      </c>
      <c r="W24" s="668">
        <f>IF(T24=0,0,V24/T24)</f>
        <v>0</v>
      </c>
      <c r="X24" s="668">
        <v>0</v>
      </c>
      <c r="Y24" s="668">
        <v>0</v>
      </c>
      <c r="Z24" s="432">
        <v>0</v>
      </c>
      <c r="AA24" s="432">
        <f t="shared" si="4"/>
        <v>0</v>
      </c>
      <c r="AB24" s="432">
        <f t="shared" si="5"/>
        <v>0</v>
      </c>
      <c r="AC24" s="670">
        <f t="shared" si="6"/>
        <v>0</v>
      </c>
      <c r="AD24" s="432">
        <f t="shared" si="7"/>
        <v>0</v>
      </c>
      <c r="AE24" s="670">
        <f t="shared" si="2"/>
        <v>0</v>
      </c>
      <c r="AF24" s="842">
        <v>0</v>
      </c>
      <c r="AG24" s="432">
        <f t="shared" si="8"/>
        <v>0</v>
      </c>
      <c r="AH24" s="669" t="s">
        <v>417</v>
      </c>
    </row>
    <row r="25" spans="3:34" ht="18.75" customHeight="1" x14ac:dyDescent="0.2">
      <c r="C25" s="842">
        <v>11</v>
      </c>
      <c r="D25" s="461" t="s">
        <v>149</v>
      </c>
      <c r="E25" s="842" t="s">
        <v>46</v>
      </c>
      <c r="F25" s="842">
        <v>606.29999999999995</v>
      </c>
      <c r="G25" s="842" t="s">
        <v>76</v>
      </c>
      <c r="H25" s="842">
        <v>177.8</v>
      </c>
      <c r="I25" s="842" t="s">
        <v>28</v>
      </c>
      <c r="J25" s="842" t="s">
        <v>52</v>
      </c>
      <c r="K25" s="838">
        <v>585.29999999999995</v>
      </c>
      <c r="L25" s="842">
        <v>360</v>
      </c>
      <c r="M25" s="842"/>
      <c r="N25" s="842">
        <v>289</v>
      </c>
      <c r="O25" s="842"/>
      <c r="P25" s="842">
        <v>6.1</v>
      </c>
      <c r="Q25" s="842"/>
      <c r="R25" s="668">
        <v>31.787396391730688</v>
      </c>
      <c r="S25" s="668">
        <f t="shared" si="3"/>
        <v>79.2</v>
      </c>
      <c r="T25" s="432">
        <v>0.89600000000000002</v>
      </c>
      <c r="U25" s="432">
        <v>2.02</v>
      </c>
      <c r="V25" s="670">
        <v>0</v>
      </c>
      <c r="W25" s="668">
        <f t="shared" si="0"/>
        <v>0</v>
      </c>
      <c r="X25" s="668">
        <f t="shared" si="9"/>
        <v>55.643564356435647</v>
      </c>
      <c r="Y25" s="668">
        <v>0.4</v>
      </c>
      <c r="Z25" s="432">
        <f t="shared" si="1"/>
        <v>2.5505050505050503E-2</v>
      </c>
      <c r="AA25" s="432">
        <f t="shared" si="4"/>
        <v>0.85119999999999996</v>
      </c>
      <c r="AB25" s="432">
        <f t="shared" si="5"/>
        <v>1.9189999999999998</v>
      </c>
      <c r="AC25" s="670">
        <f t="shared" si="6"/>
        <v>0</v>
      </c>
      <c r="AD25" s="432">
        <f t="shared" si="7"/>
        <v>0</v>
      </c>
      <c r="AE25" s="670">
        <f t="shared" si="2"/>
        <v>55.643564356435647</v>
      </c>
      <c r="AF25" s="842">
        <v>31</v>
      </c>
      <c r="AG25" s="432">
        <f t="shared" si="8"/>
        <v>26.3872</v>
      </c>
      <c r="AH25" s="449"/>
    </row>
    <row r="26" spans="3:34" ht="18.75" customHeight="1" x14ac:dyDescent="0.2">
      <c r="C26" s="842">
        <v>12</v>
      </c>
      <c r="D26" s="461" t="s">
        <v>150</v>
      </c>
      <c r="E26" s="842" t="s">
        <v>46</v>
      </c>
      <c r="F26" s="842">
        <v>661</v>
      </c>
      <c r="G26" s="679" t="s">
        <v>433</v>
      </c>
      <c r="H26" s="842">
        <v>177.8</v>
      </c>
      <c r="I26" s="842" t="s">
        <v>28</v>
      </c>
      <c r="J26" s="842" t="s">
        <v>53</v>
      </c>
      <c r="K26" s="838">
        <v>555.72</v>
      </c>
      <c r="L26" s="842">
        <v>300</v>
      </c>
      <c r="M26" s="842"/>
      <c r="N26" s="842">
        <v>196</v>
      </c>
      <c r="O26" s="842"/>
      <c r="P26" s="842">
        <v>2.5</v>
      </c>
      <c r="Q26" s="842"/>
      <c r="R26" s="668">
        <v>38.402938112461641</v>
      </c>
      <c r="S26" s="668">
        <f t="shared" si="3"/>
        <v>39</v>
      </c>
      <c r="T26" s="432">
        <v>1.1279999999999999</v>
      </c>
      <c r="U26" s="432">
        <v>2.5449999999999999</v>
      </c>
      <c r="V26" s="670">
        <v>0</v>
      </c>
      <c r="W26" s="668">
        <f t="shared" si="0"/>
        <v>0</v>
      </c>
      <c r="X26" s="668">
        <f t="shared" si="9"/>
        <v>55.6777996070727</v>
      </c>
      <c r="Y26" s="668">
        <v>0.3</v>
      </c>
      <c r="Z26" s="432">
        <f t="shared" si="1"/>
        <v>6.5256410256410255E-2</v>
      </c>
      <c r="AA26" s="432">
        <f t="shared" si="4"/>
        <v>1.0715999999999999</v>
      </c>
      <c r="AB26" s="432">
        <f t="shared" si="5"/>
        <v>2.4177499999999998</v>
      </c>
      <c r="AC26" s="670">
        <f t="shared" si="6"/>
        <v>0</v>
      </c>
      <c r="AD26" s="432">
        <f t="shared" si="7"/>
        <v>0</v>
      </c>
      <c r="AE26" s="670">
        <f t="shared" si="2"/>
        <v>55.6777996070727</v>
      </c>
      <c r="AF26" s="842">
        <v>31</v>
      </c>
      <c r="AG26" s="432">
        <f t="shared" si="8"/>
        <v>33.2196</v>
      </c>
      <c r="AH26" s="669"/>
    </row>
    <row r="27" spans="3:34" ht="18.75" customHeight="1" x14ac:dyDescent="0.2">
      <c r="C27" s="842">
        <v>13</v>
      </c>
      <c r="D27" s="461" t="s">
        <v>151</v>
      </c>
      <c r="E27" s="842" t="s">
        <v>46</v>
      </c>
      <c r="F27" s="842">
        <v>658.32</v>
      </c>
      <c r="G27" s="838" t="s">
        <v>298</v>
      </c>
      <c r="H27" s="842">
        <v>177.8</v>
      </c>
      <c r="I27" s="842" t="s">
        <v>28</v>
      </c>
      <c r="J27" s="842" t="s">
        <v>52</v>
      </c>
      <c r="K27" s="838">
        <v>552.47</v>
      </c>
      <c r="L27" s="842">
        <v>160</v>
      </c>
      <c r="M27" s="842"/>
      <c r="N27" s="842">
        <v>307</v>
      </c>
      <c r="O27" s="842"/>
      <c r="P27" s="842">
        <v>2.8</v>
      </c>
      <c r="Q27" s="842"/>
      <c r="R27" s="668">
        <v>27.864155151950797</v>
      </c>
      <c r="S27" s="668">
        <f t="shared" si="3"/>
        <v>35.200000000000003</v>
      </c>
      <c r="T27" s="432">
        <v>12.22</v>
      </c>
      <c r="U27" s="432">
        <v>24.786000000000001</v>
      </c>
      <c r="V27" s="670">
        <v>12</v>
      </c>
      <c r="W27" s="668">
        <f t="shared" si="0"/>
        <v>0.98199672667757765</v>
      </c>
      <c r="X27" s="668">
        <f t="shared" si="9"/>
        <v>50.697974663116277</v>
      </c>
      <c r="Y27" s="668">
        <v>0.3</v>
      </c>
      <c r="Z27" s="432">
        <f t="shared" si="1"/>
        <v>0.70414772727272723</v>
      </c>
      <c r="AA27" s="432">
        <f t="shared" si="4"/>
        <v>11.609</v>
      </c>
      <c r="AB27" s="432">
        <f t="shared" si="5"/>
        <v>23.546700000000001</v>
      </c>
      <c r="AC27" s="670">
        <f t="shared" si="6"/>
        <v>11.399999999999999</v>
      </c>
      <c r="AD27" s="432">
        <f t="shared" si="7"/>
        <v>0.98199672667757765</v>
      </c>
      <c r="AE27" s="670">
        <f t="shared" si="2"/>
        <v>50.697974663116277</v>
      </c>
      <c r="AF27" s="842">
        <v>31</v>
      </c>
      <c r="AG27" s="432">
        <f t="shared" si="8"/>
        <v>359.87900000000002</v>
      </c>
      <c r="AH27" s="449"/>
    </row>
    <row r="28" spans="3:34" ht="18.75" customHeight="1" x14ac:dyDescent="0.2">
      <c r="C28" s="842">
        <v>14</v>
      </c>
      <c r="D28" s="461" t="s">
        <v>36</v>
      </c>
      <c r="E28" s="842" t="s">
        <v>46</v>
      </c>
      <c r="F28" s="842">
        <v>584.5</v>
      </c>
      <c r="G28" s="838" t="s">
        <v>79</v>
      </c>
      <c r="H28" s="842">
        <v>177.8</v>
      </c>
      <c r="I28" s="842" t="s">
        <v>28</v>
      </c>
      <c r="J28" s="842" t="s">
        <v>49</v>
      </c>
      <c r="K28" s="838">
        <v>525.03</v>
      </c>
      <c r="L28" s="842">
        <v>150</v>
      </c>
      <c r="M28" s="842"/>
      <c r="N28" s="842">
        <v>343</v>
      </c>
      <c r="O28" s="842"/>
      <c r="P28" s="842">
        <v>6.3</v>
      </c>
      <c r="Q28" s="842"/>
      <c r="R28" s="668">
        <v>24.841599055441979</v>
      </c>
      <c r="S28" s="668">
        <f t="shared" si="3"/>
        <v>48</v>
      </c>
      <c r="T28" s="432">
        <v>15.8</v>
      </c>
      <c r="U28" s="432">
        <v>29.739000000000001</v>
      </c>
      <c r="V28" s="670">
        <v>159</v>
      </c>
      <c r="W28" s="668">
        <f t="shared" si="0"/>
        <v>10.063291139240507</v>
      </c>
      <c r="X28" s="668">
        <f t="shared" si="9"/>
        <v>46.871112007801202</v>
      </c>
      <c r="Y28" s="668">
        <v>0.2</v>
      </c>
      <c r="Z28" s="432">
        <f t="shared" si="1"/>
        <v>0.61956250000000002</v>
      </c>
      <c r="AA28" s="432">
        <f t="shared" si="4"/>
        <v>15.01</v>
      </c>
      <c r="AB28" s="432">
        <f t="shared" si="5"/>
        <v>28.252050000000001</v>
      </c>
      <c r="AC28" s="670">
        <f t="shared" si="6"/>
        <v>151.04999999999998</v>
      </c>
      <c r="AD28" s="432">
        <f t="shared" si="7"/>
        <v>10.063291139240507</v>
      </c>
      <c r="AE28" s="670">
        <f t="shared" si="2"/>
        <v>46.871112007801202</v>
      </c>
      <c r="AF28" s="842">
        <v>31</v>
      </c>
      <c r="AG28" s="432">
        <f t="shared" si="8"/>
        <v>465.31</v>
      </c>
      <c r="AH28" s="669"/>
    </row>
    <row r="29" spans="3:34" ht="18.75" customHeight="1" x14ac:dyDescent="0.2">
      <c r="C29" s="842">
        <v>15</v>
      </c>
      <c r="D29" s="461" t="s">
        <v>152</v>
      </c>
      <c r="E29" s="842" t="s">
        <v>46</v>
      </c>
      <c r="F29" s="842">
        <v>565</v>
      </c>
      <c r="G29" s="838" t="s">
        <v>80</v>
      </c>
      <c r="H29" s="842">
        <v>177.8</v>
      </c>
      <c r="I29" s="842" t="s">
        <v>28</v>
      </c>
      <c r="J29" s="842" t="s">
        <v>399</v>
      </c>
      <c r="K29" s="437">
        <v>520.03</v>
      </c>
      <c r="L29" s="842">
        <v>295</v>
      </c>
      <c r="M29" s="842"/>
      <c r="N29" s="842">
        <v>418</v>
      </c>
      <c r="O29" s="842"/>
      <c r="P29" s="842">
        <v>9.8000000000000007</v>
      </c>
      <c r="Q29" s="842"/>
      <c r="R29" s="668">
        <v>20.993857744409535</v>
      </c>
      <c r="S29" s="668">
        <f>L29*13/100</f>
        <v>38.35</v>
      </c>
      <c r="T29" s="432">
        <v>12.2</v>
      </c>
      <c r="U29" s="432">
        <v>26.7</v>
      </c>
      <c r="V29" s="670">
        <v>1326</v>
      </c>
      <c r="W29" s="668">
        <f t="shared" si="0"/>
        <v>108.68852459016394</v>
      </c>
      <c r="X29" s="668">
        <f t="shared" si="9"/>
        <v>54.307116104868911</v>
      </c>
      <c r="Y29" s="668">
        <v>0.3</v>
      </c>
      <c r="Z29" s="432">
        <f t="shared" si="1"/>
        <v>0.69621903520208606</v>
      </c>
      <c r="AA29" s="432">
        <f t="shared" si="4"/>
        <v>11.589999999999998</v>
      </c>
      <c r="AB29" s="432">
        <f t="shared" si="5"/>
        <v>25.364999999999998</v>
      </c>
      <c r="AC29" s="670">
        <f t="shared" si="6"/>
        <v>1259.7</v>
      </c>
      <c r="AD29" s="432">
        <f t="shared" si="7"/>
        <v>108.68852459016394</v>
      </c>
      <c r="AE29" s="670">
        <f t="shared" si="2"/>
        <v>54.307116104868911</v>
      </c>
      <c r="AF29" s="842">
        <v>31</v>
      </c>
      <c r="AG29" s="432">
        <f t="shared" si="8"/>
        <v>359.28999999999996</v>
      </c>
      <c r="AH29" s="669"/>
    </row>
    <row r="30" spans="3:34" ht="18.75" customHeight="1" x14ac:dyDescent="0.2">
      <c r="C30" s="842">
        <v>16</v>
      </c>
      <c r="D30" s="461" t="s">
        <v>37</v>
      </c>
      <c r="E30" s="842" t="s">
        <v>46</v>
      </c>
      <c r="F30" s="842">
        <v>670</v>
      </c>
      <c r="G30" s="842" t="s">
        <v>81</v>
      </c>
      <c r="H30" s="842">
        <v>177.8</v>
      </c>
      <c r="I30" s="842" t="s">
        <v>28</v>
      </c>
      <c r="J30" s="842" t="s">
        <v>48</v>
      </c>
      <c r="K30" s="838">
        <v>570.95000000000005</v>
      </c>
      <c r="L30" s="842">
        <v>95</v>
      </c>
      <c r="M30" s="842"/>
      <c r="N30" s="842">
        <v>447</v>
      </c>
      <c r="O30" s="842"/>
      <c r="P30" s="842">
        <v>5.9</v>
      </c>
      <c r="Q30" s="842"/>
      <c r="R30" s="668">
        <v>18.735318995366221</v>
      </c>
      <c r="S30" s="668">
        <f t="shared" si="3"/>
        <v>12.35</v>
      </c>
      <c r="T30" s="432">
        <v>2.492</v>
      </c>
      <c r="U30" s="432">
        <v>5.1619999999999999</v>
      </c>
      <c r="V30" s="670">
        <v>24</v>
      </c>
      <c r="W30" s="668">
        <f t="shared" si="0"/>
        <v>9.6308186195826639</v>
      </c>
      <c r="X30" s="668">
        <f t="shared" si="9"/>
        <v>51.724137931034484</v>
      </c>
      <c r="Y30" s="668">
        <v>0.4</v>
      </c>
      <c r="Z30" s="432">
        <f t="shared" si="1"/>
        <v>0.41797570850202431</v>
      </c>
      <c r="AA30" s="432">
        <f t="shared" si="4"/>
        <v>2.3673999999999999</v>
      </c>
      <c r="AB30" s="432">
        <f t="shared" si="5"/>
        <v>4.9038999999999993</v>
      </c>
      <c r="AC30" s="670">
        <f t="shared" si="6"/>
        <v>22.799999999999997</v>
      </c>
      <c r="AD30" s="432">
        <f t="shared" si="7"/>
        <v>9.6308186195826639</v>
      </c>
      <c r="AE30" s="670">
        <f t="shared" si="2"/>
        <v>51.724137931034484</v>
      </c>
      <c r="AF30" s="842">
        <v>31</v>
      </c>
      <c r="AG30" s="432">
        <f>AA30*AF30</f>
        <v>73.389399999999995</v>
      </c>
      <c r="AH30" s="449"/>
    </row>
    <row r="31" spans="3:34" ht="18.75" customHeight="1" x14ac:dyDescent="0.2">
      <c r="C31" s="842">
        <v>17</v>
      </c>
      <c r="D31" s="461" t="s">
        <v>153</v>
      </c>
      <c r="E31" s="461" t="s">
        <v>46</v>
      </c>
      <c r="F31" s="461">
        <v>666.6</v>
      </c>
      <c r="G31" s="461" t="s">
        <v>82</v>
      </c>
      <c r="H31" s="461">
        <v>177.8</v>
      </c>
      <c r="I31" s="461" t="s">
        <v>28</v>
      </c>
      <c r="J31" s="842" t="s">
        <v>401</v>
      </c>
      <c r="K31" s="461">
        <v>587.87</v>
      </c>
      <c r="L31" s="461">
        <v>150</v>
      </c>
      <c r="M31" s="461"/>
      <c r="N31" s="461">
        <v>495</v>
      </c>
      <c r="O31" s="461"/>
      <c r="P31" s="461">
        <v>9.1</v>
      </c>
      <c r="Q31" s="461"/>
      <c r="R31" s="671">
        <v>15.119337072132765</v>
      </c>
      <c r="S31" s="668">
        <f>L31*33/100</f>
        <v>49.5</v>
      </c>
      <c r="T31" s="672">
        <v>11.529</v>
      </c>
      <c r="U31" s="432">
        <v>17.766999999999999</v>
      </c>
      <c r="V31" s="699">
        <v>90</v>
      </c>
      <c r="W31" s="671">
        <f t="shared" si="0"/>
        <v>7.8064012490241996</v>
      </c>
      <c r="X31" s="668">
        <f t="shared" si="9"/>
        <v>35.110035458997011</v>
      </c>
      <c r="Y31" s="671">
        <v>0.3</v>
      </c>
      <c r="Z31" s="672">
        <f t="shared" si="1"/>
        <v>0.35892929292929293</v>
      </c>
      <c r="AA31" s="432">
        <f t="shared" si="4"/>
        <v>10.952549999999999</v>
      </c>
      <c r="AB31" s="432">
        <f t="shared" si="5"/>
        <v>16.87865</v>
      </c>
      <c r="AC31" s="670">
        <f t="shared" si="6"/>
        <v>85.5</v>
      </c>
      <c r="AD31" s="672">
        <f t="shared" si="7"/>
        <v>7.8064012490241996</v>
      </c>
      <c r="AE31" s="699">
        <f t="shared" si="2"/>
        <v>35.110035458997011</v>
      </c>
      <c r="AF31" s="842">
        <v>31</v>
      </c>
      <c r="AG31" s="672">
        <f>AA31*AF31</f>
        <v>339.52904999999998</v>
      </c>
      <c r="AH31" s="461"/>
    </row>
    <row r="32" spans="3:34" ht="18.75" customHeight="1" x14ac:dyDescent="0.2">
      <c r="C32" s="842">
        <v>18</v>
      </c>
      <c r="D32" s="461" t="s">
        <v>154</v>
      </c>
      <c r="E32" s="461" t="s">
        <v>46</v>
      </c>
      <c r="F32" s="443">
        <v>644.79999999999995</v>
      </c>
      <c r="G32" s="436" t="s">
        <v>421</v>
      </c>
      <c r="H32" s="842">
        <v>177.8</v>
      </c>
      <c r="I32" s="842" t="s">
        <v>28</v>
      </c>
      <c r="J32" s="842" t="s">
        <v>364</v>
      </c>
      <c r="K32" s="437">
        <v>565.80999999999995</v>
      </c>
      <c r="L32" s="842">
        <v>245</v>
      </c>
      <c r="M32" s="842"/>
      <c r="N32" s="842">
        <v>499</v>
      </c>
      <c r="O32" s="842"/>
      <c r="P32" s="842">
        <v>8</v>
      </c>
      <c r="Q32" s="842"/>
      <c r="R32" s="668">
        <v>15.116910198405538</v>
      </c>
      <c r="S32" s="668">
        <f>L32*13/100</f>
        <v>31.85</v>
      </c>
      <c r="T32" s="432">
        <v>3.9</v>
      </c>
      <c r="U32" s="432">
        <v>6.3</v>
      </c>
      <c r="V32" s="670">
        <v>293</v>
      </c>
      <c r="W32" s="671">
        <f t="shared" si="0"/>
        <v>75.128205128205124</v>
      </c>
      <c r="X32" s="668">
        <f t="shared" si="9"/>
        <v>38.095238095238095</v>
      </c>
      <c r="Y32" s="668">
        <v>0.2</v>
      </c>
      <c r="Z32" s="672">
        <f t="shared" si="1"/>
        <v>0.19780219780219779</v>
      </c>
      <c r="AA32" s="432">
        <f t="shared" si="4"/>
        <v>3.7049999999999996</v>
      </c>
      <c r="AB32" s="432">
        <f t="shared" si="5"/>
        <v>5.9849999999999994</v>
      </c>
      <c r="AC32" s="670">
        <f t="shared" si="6"/>
        <v>278.34999999999997</v>
      </c>
      <c r="AD32" s="432">
        <v>0</v>
      </c>
      <c r="AE32" s="699">
        <f t="shared" si="2"/>
        <v>38.095238095238095</v>
      </c>
      <c r="AF32" s="842">
        <v>31</v>
      </c>
      <c r="AG32" s="672">
        <f>AA32*AF32</f>
        <v>114.85499999999999</v>
      </c>
      <c r="AH32" s="669"/>
    </row>
    <row r="33" spans="3:34" ht="18.75" customHeight="1" x14ac:dyDescent="0.2">
      <c r="C33" s="842">
        <v>19</v>
      </c>
      <c r="D33" s="461" t="s">
        <v>38</v>
      </c>
      <c r="E33" s="842" t="s">
        <v>46</v>
      </c>
      <c r="F33" s="668">
        <v>580</v>
      </c>
      <c r="G33" s="842" t="s">
        <v>84</v>
      </c>
      <c r="H33" s="842">
        <v>177.8</v>
      </c>
      <c r="I33" s="842" t="s">
        <v>28</v>
      </c>
      <c r="J33" s="842" t="s">
        <v>379</v>
      </c>
      <c r="K33" s="838">
        <v>563.79</v>
      </c>
      <c r="L33" s="842">
        <v>195</v>
      </c>
      <c r="M33" s="842"/>
      <c r="N33" s="842">
        <v>505</v>
      </c>
      <c r="O33" s="842"/>
      <c r="P33" s="842">
        <v>0.1</v>
      </c>
      <c r="Q33" s="842"/>
      <c r="R33" s="668">
        <v>4.2041750265458226</v>
      </c>
      <c r="S33" s="668">
        <f>L33*7/100</f>
        <v>13.65</v>
      </c>
      <c r="T33" s="432">
        <v>1.7</v>
      </c>
      <c r="U33" s="432">
        <v>4.0250000000000004</v>
      </c>
      <c r="V33" s="670">
        <v>5</v>
      </c>
      <c r="W33" s="671">
        <f t="shared" si="0"/>
        <v>2.9411764705882355</v>
      </c>
      <c r="X33" s="668">
        <f t="shared" si="9"/>
        <v>57.763975155279503</v>
      </c>
      <c r="Y33" s="668">
        <v>0.2</v>
      </c>
      <c r="Z33" s="672">
        <f t="shared" si="1"/>
        <v>0.29487179487179488</v>
      </c>
      <c r="AA33" s="432">
        <f t="shared" si="4"/>
        <v>1.615</v>
      </c>
      <c r="AB33" s="432">
        <f t="shared" si="5"/>
        <v>3.82375</v>
      </c>
      <c r="AC33" s="670">
        <f t="shared" si="6"/>
        <v>4.75</v>
      </c>
      <c r="AD33" s="432">
        <f>W33</f>
        <v>2.9411764705882355</v>
      </c>
      <c r="AE33" s="699">
        <f t="shared" si="2"/>
        <v>57.763975155279503</v>
      </c>
      <c r="AF33" s="842">
        <v>31</v>
      </c>
      <c r="AG33" s="432">
        <f t="shared" si="8"/>
        <v>50.064999999999998</v>
      </c>
      <c r="AH33" s="669"/>
    </row>
    <row r="34" spans="3:34" ht="18.75" customHeight="1" x14ac:dyDescent="0.2">
      <c r="C34" s="842">
        <v>20</v>
      </c>
      <c r="D34" s="461" t="s">
        <v>39</v>
      </c>
      <c r="E34" s="842" t="s">
        <v>46</v>
      </c>
      <c r="F34" s="842">
        <v>728.6</v>
      </c>
      <c r="G34" s="842" t="s">
        <v>411</v>
      </c>
      <c r="H34" s="842">
        <v>177.8</v>
      </c>
      <c r="I34" s="842" t="s">
        <v>28</v>
      </c>
      <c r="J34" s="842" t="s">
        <v>380</v>
      </c>
      <c r="K34" s="838">
        <v>551.77</v>
      </c>
      <c r="L34" s="842">
        <v>350</v>
      </c>
      <c r="M34" s="842"/>
      <c r="N34" s="842">
        <v>446</v>
      </c>
      <c r="O34" s="842"/>
      <c r="P34" s="842">
        <v>3.2</v>
      </c>
      <c r="Q34" s="842"/>
      <c r="R34" s="668">
        <v>14.456092096526463</v>
      </c>
      <c r="S34" s="668">
        <f>L34*23/100</f>
        <v>80.5</v>
      </c>
      <c r="T34" s="432">
        <v>3.9</v>
      </c>
      <c r="U34" s="432">
        <v>9.3000000000000007</v>
      </c>
      <c r="V34" s="670">
        <v>132</v>
      </c>
      <c r="W34" s="671">
        <f t="shared" si="0"/>
        <v>33.846153846153847</v>
      </c>
      <c r="X34" s="668">
        <f t="shared" si="9"/>
        <v>58.064516129032263</v>
      </c>
      <c r="Y34" s="668">
        <v>0.2</v>
      </c>
      <c r="Z34" s="672">
        <f t="shared" si="1"/>
        <v>0.11552795031055901</v>
      </c>
      <c r="AA34" s="432">
        <f t="shared" si="4"/>
        <v>3.7049999999999996</v>
      </c>
      <c r="AB34" s="432">
        <f t="shared" si="5"/>
        <v>8.8350000000000009</v>
      </c>
      <c r="AC34" s="670">
        <f t="shared" si="6"/>
        <v>125.39999999999999</v>
      </c>
      <c r="AD34" s="432">
        <f t="shared" si="7"/>
        <v>33.846153846153847</v>
      </c>
      <c r="AE34" s="699">
        <f t="shared" si="2"/>
        <v>58.064516129032263</v>
      </c>
      <c r="AF34" s="842">
        <v>31</v>
      </c>
      <c r="AG34" s="432">
        <f t="shared" si="8"/>
        <v>114.85499999999999</v>
      </c>
      <c r="AH34" s="669"/>
    </row>
    <row r="35" spans="3:34" ht="18.75" customHeight="1" x14ac:dyDescent="0.2">
      <c r="C35" s="842">
        <v>21</v>
      </c>
      <c r="D35" s="461" t="s">
        <v>40</v>
      </c>
      <c r="E35" s="842" t="s">
        <v>46</v>
      </c>
      <c r="F35" s="842">
        <v>679.7</v>
      </c>
      <c r="G35" s="842" t="s">
        <v>86</v>
      </c>
      <c r="H35" s="842">
        <v>177.8</v>
      </c>
      <c r="I35" s="842" t="s">
        <v>28</v>
      </c>
      <c r="J35" s="842" t="s">
        <v>379</v>
      </c>
      <c r="K35" s="838">
        <v>592.84</v>
      </c>
      <c r="L35" s="842">
        <v>0</v>
      </c>
      <c r="M35" s="842"/>
      <c r="N35" s="842"/>
      <c r="O35" s="842"/>
      <c r="P35" s="842"/>
      <c r="Q35" s="842"/>
      <c r="R35" s="668">
        <v>51.60842979702857</v>
      </c>
      <c r="S35" s="668">
        <f>L35*7/100</f>
        <v>0</v>
      </c>
      <c r="T35" s="432">
        <v>0</v>
      </c>
      <c r="U35" s="432">
        <v>0</v>
      </c>
      <c r="V35" s="670">
        <v>0</v>
      </c>
      <c r="W35" s="668">
        <f>IF(T35=0,0,V35/T35)</f>
        <v>0</v>
      </c>
      <c r="X35" s="668">
        <v>0</v>
      </c>
      <c r="Y35" s="668">
        <v>0</v>
      </c>
      <c r="Z35" s="672">
        <v>0</v>
      </c>
      <c r="AA35" s="432">
        <f t="shared" si="4"/>
        <v>0</v>
      </c>
      <c r="AB35" s="432">
        <f t="shared" si="5"/>
        <v>0</v>
      </c>
      <c r="AC35" s="670">
        <f t="shared" si="6"/>
        <v>0</v>
      </c>
      <c r="AD35" s="432">
        <f t="shared" si="7"/>
        <v>0</v>
      </c>
      <c r="AE35" s="699">
        <f t="shared" si="2"/>
        <v>0</v>
      </c>
      <c r="AF35" s="842">
        <v>0</v>
      </c>
      <c r="AG35" s="432">
        <f>AA35*AF35</f>
        <v>0</v>
      </c>
      <c r="AH35" s="449" t="s">
        <v>431</v>
      </c>
    </row>
    <row r="36" spans="3:34" ht="18.75" customHeight="1" x14ac:dyDescent="0.2">
      <c r="C36" s="842">
        <v>22</v>
      </c>
      <c r="D36" s="461" t="s">
        <v>41</v>
      </c>
      <c r="E36" s="842" t="s">
        <v>46</v>
      </c>
      <c r="F36" s="842">
        <v>573.70000000000005</v>
      </c>
      <c r="G36" s="842" t="s">
        <v>87</v>
      </c>
      <c r="H36" s="842">
        <v>177.8</v>
      </c>
      <c r="I36" s="842" t="s">
        <v>28</v>
      </c>
      <c r="J36" s="842" t="s">
        <v>52</v>
      </c>
      <c r="K36" s="838">
        <v>554.30999999999995</v>
      </c>
      <c r="L36" s="842">
        <v>317</v>
      </c>
      <c r="M36" s="842"/>
      <c r="N36" s="842">
        <v>474</v>
      </c>
      <c r="O36" s="842"/>
      <c r="P36" s="842">
        <v>6</v>
      </c>
      <c r="Q36" s="842"/>
      <c r="R36" s="668">
        <v>12.874606684610301</v>
      </c>
      <c r="S36" s="668">
        <f t="shared" si="3"/>
        <v>69.739999999999995</v>
      </c>
      <c r="T36" s="432">
        <v>11.8</v>
      </c>
      <c r="U36" s="432">
        <v>12.6</v>
      </c>
      <c r="V36" s="670">
        <v>307</v>
      </c>
      <c r="W36" s="668">
        <f t="shared" si="0"/>
        <v>26.01694915254237</v>
      </c>
      <c r="X36" s="668">
        <f t="shared" si="9"/>
        <v>6.3492063492063409</v>
      </c>
      <c r="Y36" s="668">
        <v>0.2</v>
      </c>
      <c r="Z36" s="432">
        <f t="shared" si="1"/>
        <v>0.18067106395182106</v>
      </c>
      <c r="AA36" s="432">
        <f t="shared" si="4"/>
        <v>11.21</v>
      </c>
      <c r="AB36" s="432">
        <f t="shared" si="5"/>
        <v>11.969999999999999</v>
      </c>
      <c r="AC36" s="670">
        <f t="shared" si="6"/>
        <v>291.64999999999998</v>
      </c>
      <c r="AD36" s="432">
        <v>89.536086956521729</v>
      </c>
      <c r="AE36" s="699">
        <f t="shared" si="2"/>
        <v>6.3492063492063409</v>
      </c>
      <c r="AF36" s="842">
        <v>31</v>
      </c>
      <c r="AG36" s="432">
        <f t="shared" si="8"/>
        <v>347.51000000000005</v>
      </c>
      <c r="AH36" s="673"/>
    </row>
    <row r="37" spans="3:34" ht="18.75" customHeight="1" x14ac:dyDescent="0.2">
      <c r="C37" s="842">
        <v>23</v>
      </c>
      <c r="D37" s="461" t="s">
        <v>42</v>
      </c>
      <c r="E37" s="842" t="s">
        <v>46</v>
      </c>
      <c r="F37" s="842">
        <v>583.20000000000005</v>
      </c>
      <c r="G37" s="842" t="s">
        <v>434</v>
      </c>
      <c r="H37" s="842">
        <v>177.8</v>
      </c>
      <c r="I37" s="842" t="s">
        <v>28</v>
      </c>
      <c r="J37" s="842" t="s">
        <v>48</v>
      </c>
      <c r="K37" s="838">
        <v>565.09</v>
      </c>
      <c r="L37" s="842">
        <v>300</v>
      </c>
      <c r="M37" s="842"/>
      <c r="N37" s="842">
        <v>293</v>
      </c>
      <c r="O37" s="842"/>
      <c r="P37" s="842">
        <v>6.8</v>
      </c>
      <c r="Q37" s="842"/>
      <c r="R37" s="668">
        <v>33.826471815301531</v>
      </c>
      <c r="S37" s="668">
        <f t="shared" si="3"/>
        <v>39</v>
      </c>
      <c r="T37" s="432">
        <v>1.9</v>
      </c>
      <c r="U37" s="432">
        <v>6.4</v>
      </c>
      <c r="V37" s="670">
        <v>0</v>
      </c>
      <c r="W37" s="668">
        <f t="shared" si="0"/>
        <v>0</v>
      </c>
      <c r="X37" s="668">
        <f t="shared" si="9"/>
        <v>70.3125</v>
      </c>
      <c r="Y37" s="668">
        <v>0.2</v>
      </c>
      <c r="Z37" s="432">
        <f t="shared" si="1"/>
        <v>0.1641025641025641</v>
      </c>
      <c r="AA37" s="432">
        <f t="shared" si="4"/>
        <v>1.8049999999999999</v>
      </c>
      <c r="AB37" s="432">
        <f t="shared" si="5"/>
        <v>6.08</v>
      </c>
      <c r="AC37" s="670">
        <f t="shared" si="6"/>
        <v>0</v>
      </c>
      <c r="AD37" s="432">
        <f t="shared" si="7"/>
        <v>0</v>
      </c>
      <c r="AE37" s="670">
        <f t="shared" si="2"/>
        <v>70.3125</v>
      </c>
      <c r="AF37" s="842">
        <v>31</v>
      </c>
      <c r="AG37" s="432">
        <f t="shared" si="8"/>
        <v>55.954999999999998</v>
      </c>
      <c r="AH37" s="449"/>
    </row>
    <row r="38" spans="3:34" ht="18.75" customHeight="1" x14ac:dyDescent="0.2">
      <c r="C38" s="842">
        <v>24</v>
      </c>
      <c r="D38" s="461" t="s">
        <v>43</v>
      </c>
      <c r="E38" s="842" t="s">
        <v>46</v>
      </c>
      <c r="F38" s="842">
        <v>682.7</v>
      </c>
      <c r="G38" s="842" t="s">
        <v>435</v>
      </c>
      <c r="H38" s="842">
        <v>177.8</v>
      </c>
      <c r="I38" s="842" t="s">
        <v>28</v>
      </c>
      <c r="J38" s="842" t="s">
        <v>399</v>
      </c>
      <c r="K38" s="446">
        <v>575.91</v>
      </c>
      <c r="L38" s="842">
        <v>200</v>
      </c>
      <c r="M38" s="842"/>
      <c r="N38" s="842">
        <v>250</v>
      </c>
      <c r="O38" s="842"/>
      <c r="P38" s="842">
        <v>5.8</v>
      </c>
      <c r="Q38" s="842"/>
      <c r="R38" s="668">
        <v>36.525133205334605</v>
      </c>
      <c r="S38" s="668">
        <f>L38*13/100</f>
        <v>26</v>
      </c>
      <c r="T38" s="432">
        <v>7.1</v>
      </c>
      <c r="U38" s="432">
        <v>28.1</v>
      </c>
      <c r="V38" s="670">
        <v>114</v>
      </c>
      <c r="W38" s="668">
        <f t="shared" si="0"/>
        <v>16.056338028169016</v>
      </c>
      <c r="X38" s="668">
        <f t="shared" si="9"/>
        <v>74.733096085409244</v>
      </c>
      <c r="Y38" s="668">
        <v>0.2</v>
      </c>
      <c r="Z38" s="432">
        <f t="shared" si="1"/>
        <v>1.0807692307692309</v>
      </c>
      <c r="AA38" s="432">
        <f t="shared" si="4"/>
        <v>6.7449999999999992</v>
      </c>
      <c r="AB38" s="432">
        <f t="shared" si="5"/>
        <v>26.695</v>
      </c>
      <c r="AC38" s="670">
        <f t="shared" si="6"/>
        <v>108.3</v>
      </c>
      <c r="AD38" s="432">
        <f t="shared" si="7"/>
        <v>16.056338028169016</v>
      </c>
      <c r="AE38" s="670">
        <f t="shared" si="2"/>
        <v>74.733096085409244</v>
      </c>
      <c r="AF38" s="842">
        <v>31</v>
      </c>
      <c r="AG38" s="432">
        <f t="shared" si="8"/>
        <v>209.09499999999997</v>
      </c>
      <c r="AH38" s="669"/>
    </row>
    <row r="39" spans="3:34" ht="18.75" customHeight="1" x14ac:dyDescent="0.2">
      <c r="C39" s="842">
        <v>25</v>
      </c>
      <c r="D39" s="461" t="s">
        <v>44</v>
      </c>
      <c r="E39" s="842" t="s">
        <v>46</v>
      </c>
      <c r="F39" s="842">
        <v>614.20000000000005</v>
      </c>
      <c r="G39" s="842" t="s">
        <v>90</v>
      </c>
      <c r="H39" s="842">
        <v>177.8</v>
      </c>
      <c r="I39" s="842" t="s">
        <v>28</v>
      </c>
      <c r="J39" s="842" t="s">
        <v>52</v>
      </c>
      <c r="K39" s="446">
        <v>573.37</v>
      </c>
      <c r="L39" s="842">
        <v>270</v>
      </c>
      <c r="M39" s="842"/>
      <c r="N39" s="842">
        <v>236</v>
      </c>
      <c r="O39" s="842"/>
      <c r="P39" s="842">
        <v>6.7</v>
      </c>
      <c r="Q39" s="842"/>
      <c r="R39" s="668">
        <v>39.654108283953036</v>
      </c>
      <c r="S39" s="668">
        <f t="shared" si="3"/>
        <v>59.4</v>
      </c>
      <c r="T39" s="432">
        <v>9</v>
      </c>
      <c r="U39" s="432">
        <v>45.8</v>
      </c>
      <c r="V39" s="670">
        <v>184</v>
      </c>
      <c r="W39" s="668">
        <f t="shared" si="0"/>
        <v>20.444444444444443</v>
      </c>
      <c r="X39" s="668">
        <f t="shared" si="9"/>
        <v>80.349344978165931</v>
      </c>
      <c r="Y39" s="668">
        <v>0</v>
      </c>
      <c r="Z39" s="432">
        <f t="shared" si="1"/>
        <v>0.77104377104377098</v>
      </c>
      <c r="AA39" s="432">
        <f t="shared" si="4"/>
        <v>8.5499999999999989</v>
      </c>
      <c r="AB39" s="432">
        <f t="shared" si="5"/>
        <v>43.51</v>
      </c>
      <c r="AC39" s="670">
        <f t="shared" si="6"/>
        <v>174.79999999999998</v>
      </c>
      <c r="AD39" s="432">
        <f t="shared" si="7"/>
        <v>20.444444444444443</v>
      </c>
      <c r="AE39" s="670">
        <f t="shared" si="2"/>
        <v>80.349344978165931</v>
      </c>
      <c r="AF39" s="842">
        <v>31</v>
      </c>
      <c r="AG39" s="432">
        <f t="shared" si="8"/>
        <v>265.04999999999995</v>
      </c>
      <c r="AH39" s="669"/>
    </row>
    <row r="40" spans="3:34" ht="18.75" customHeight="1" x14ac:dyDescent="0.2">
      <c r="C40" s="842">
        <v>26</v>
      </c>
      <c r="D40" s="461" t="s">
        <v>45</v>
      </c>
      <c r="E40" s="842" t="s">
        <v>46</v>
      </c>
      <c r="F40" s="842">
        <v>636.4</v>
      </c>
      <c r="G40" s="842" t="s">
        <v>91</v>
      </c>
      <c r="H40" s="842">
        <v>177.8</v>
      </c>
      <c r="I40" s="842" t="s">
        <v>28</v>
      </c>
      <c r="J40" s="842" t="s">
        <v>52</v>
      </c>
      <c r="K40" s="838">
        <v>592.95000000000005</v>
      </c>
      <c r="L40" s="842">
        <v>300</v>
      </c>
      <c r="M40" s="842"/>
      <c r="N40" s="842">
        <v>496</v>
      </c>
      <c r="O40" s="842"/>
      <c r="P40" s="842">
        <v>8.5</v>
      </c>
      <c r="Q40" s="842"/>
      <c r="R40" s="668">
        <v>15.229996556703982</v>
      </c>
      <c r="S40" s="668">
        <f>LEFT(J40,(FIND("K",J40,1)-1))*L40/100</f>
        <v>66</v>
      </c>
      <c r="T40" s="432">
        <v>16.7</v>
      </c>
      <c r="U40" s="432">
        <v>37.200000000000003</v>
      </c>
      <c r="V40" s="670">
        <v>256</v>
      </c>
      <c r="W40" s="668">
        <f t="shared" si="0"/>
        <v>15.32934131736527</v>
      </c>
      <c r="X40" s="668">
        <f t="shared" si="9"/>
        <v>55.107526881720439</v>
      </c>
      <c r="Y40" s="668">
        <v>0.2</v>
      </c>
      <c r="Z40" s="432">
        <f t="shared" si="1"/>
        <v>0.56363636363636371</v>
      </c>
      <c r="AA40" s="432">
        <f t="shared" si="4"/>
        <v>15.864999999999998</v>
      </c>
      <c r="AB40" s="432">
        <f t="shared" si="5"/>
        <v>35.340000000000003</v>
      </c>
      <c r="AC40" s="670">
        <f t="shared" si="6"/>
        <v>243.2</v>
      </c>
      <c r="AD40" s="432">
        <f t="shared" si="7"/>
        <v>15.32934131736527</v>
      </c>
      <c r="AE40" s="670">
        <f t="shared" si="2"/>
        <v>55.107526881720439</v>
      </c>
      <c r="AF40" s="842">
        <v>31</v>
      </c>
      <c r="AG40" s="432">
        <f t="shared" si="8"/>
        <v>491.81499999999994</v>
      </c>
      <c r="AH40" s="669"/>
    </row>
    <row r="41" spans="3:34" ht="18.75" customHeight="1" x14ac:dyDescent="0.2">
      <c r="C41" s="842">
        <v>27</v>
      </c>
      <c r="D41" s="461" t="s">
        <v>206</v>
      </c>
      <c r="E41" s="842" t="s">
        <v>46</v>
      </c>
      <c r="F41" s="842">
        <v>660.2</v>
      </c>
      <c r="G41" s="842" t="s">
        <v>436</v>
      </c>
      <c r="H41" s="842">
        <v>177.8</v>
      </c>
      <c r="I41" s="842" t="s">
        <v>28</v>
      </c>
      <c r="J41" s="842" t="s">
        <v>212</v>
      </c>
      <c r="K41" s="838">
        <v>547.63</v>
      </c>
      <c r="L41" s="842">
        <v>250</v>
      </c>
      <c r="M41" s="842"/>
      <c r="N41" s="842">
        <v>222</v>
      </c>
      <c r="O41" s="842"/>
      <c r="P41" s="842">
        <v>9</v>
      </c>
      <c r="Q41" s="842"/>
      <c r="R41" s="668">
        <v>40.839963573420405</v>
      </c>
      <c r="S41" s="668">
        <f t="shared" ref="S41:S73" si="10">LEFT(J41,(FIND("K",J41,1)-1))*L41/100</f>
        <v>20</v>
      </c>
      <c r="T41" s="432">
        <v>7.1</v>
      </c>
      <c r="U41" s="432">
        <v>12.9</v>
      </c>
      <c r="V41" s="670">
        <v>68</v>
      </c>
      <c r="W41" s="668">
        <f t="shared" si="0"/>
        <v>9.577464788732394</v>
      </c>
      <c r="X41" s="668">
        <f t="shared" si="9"/>
        <v>44.961240310077521</v>
      </c>
      <c r="Y41" s="668">
        <v>0.2</v>
      </c>
      <c r="Z41" s="432">
        <f t="shared" si="1"/>
        <v>0.64500000000000002</v>
      </c>
      <c r="AA41" s="432">
        <f t="shared" si="4"/>
        <v>6.7449999999999992</v>
      </c>
      <c r="AB41" s="432">
        <f t="shared" si="5"/>
        <v>12.254999999999999</v>
      </c>
      <c r="AC41" s="670">
        <f t="shared" si="6"/>
        <v>64.599999999999994</v>
      </c>
      <c r="AD41" s="432">
        <f t="shared" si="7"/>
        <v>9.577464788732394</v>
      </c>
      <c r="AE41" s="670">
        <f t="shared" si="2"/>
        <v>44.961240310077521</v>
      </c>
      <c r="AF41" s="842">
        <v>31</v>
      </c>
      <c r="AG41" s="432">
        <f t="shared" si="8"/>
        <v>209.09499999999997</v>
      </c>
      <c r="AH41" s="669"/>
    </row>
    <row r="42" spans="3:34" ht="18.75" customHeight="1" x14ac:dyDescent="0.2">
      <c r="C42" s="842">
        <v>28</v>
      </c>
      <c r="D42" s="839" t="s">
        <v>161</v>
      </c>
      <c r="E42" s="842" t="s">
        <v>46</v>
      </c>
      <c r="F42" s="838">
        <v>677</v>
      </c>
      <c r="G42" s="679" t="s">
        <v>178</v>
      </c>
      <c r="H42" s="842">
        <v>177.8</v>
      </c>
      <c r="I42" s="842" t="s">
        <v>28</v>
      </c>
      <c r="J42" s="842" t="s">
        <v>52</v>
      </c>
      <c r="K42" s="838">
        <v>571.98</v>
      </c>
      <c r="L42" s="838">
        <v>120</v>
      </c>
      <c r="M42" s="838"/>
      <c r="N42" s="838">
        <v>201</v>
      </c>
      <c r="O42" s="838"/>
      <c r="P42" s="842">
        <v>6.5</v>
      </c>
      <c r="Q42" s="838"/>
      <c r="R42" s="448">
        <v>39.365530749430739</v>
      </c>
      <c r="S42" s="668">
        <f t="shared" si="10"/>
        <v>26.4</v>
      </c>
      <c r="T42" s="432">
        <v>11.9</v>
      </c>
      <c r="U42" s="432">
        <v>25.3</v>
      </c>
      <c r="V42" s="492">
        <v>555</v>
      </c>
      <c r="W42" s="668">
        <f t="shared" si="0"/>
        <v>46.638655462184872</v>
      </c>
      <c r="X42" s="668">
        <f t="shared" si="9"/>
        <v>52.964426877470359</v>
      </c>
      <c r="Y42" s="668">
        <v>0.2</v>
      </c>
      <c r="Z42" s="432">
        <f t="shared" si="1"/>
        <v>0.95833333333333337</v>
      </c>
      <c r="AA42" s="432">
        <f t="shared" si="4"/>
        <v>11.305</v>
      </c>
      <c r="AB42" s="432">
        <f t="shared" si="5"/>
        <v>24.035</v>
      </c>
      <c r="AC42" s="670">
        <f t="shared" si="6"/>
        <v>527.25</v>
      </c>
      <c r="AD42" s="432">
        <f t="shared" si="7"/>
        <v>46.638655462184872</v>
      </c>
      <c r="AE42" s="670">
        <f t="shared" si="2"/>
        <v>52.964426877470359</v>
      </c>
      <c r="AF42" s="842">
        <v>31</v>
      </c>
      <c r="AG42" s="432">
        <f t="shared" si="8"/>
        <v>350.45499999999998</v>
      </c>
      <c r="AH42" s="449"/>
    </row>
    <row r="43" spans="3:34" ht="18.75" customHeight="1" x14ac:dyDescent="0.2">
      <c r="C43" s="842">
        <v>29</v>
      </c>
      <c r="D43" s="839" t="s">
        <v>162</v>
      </c>
      <c r="E43" s="842" t="s">
        <v>46</v>
      </c>
      <c r="F43" s="838">
        <v>676</v>
      </c>
      <c r="G43" s="679" t="s">
        <v>437</v>
      </c>
      <c r="H43" s="842">
        <v>177.8</v>
      </c>
      <c r="I43" s="842" t="s">
        <v>28</v>
      </c>
      <c r="J43" s="842" t="s">
        <v>50</v>
      </c>
      <c r="K43" s="838">
        <v>549.20000000000005</v>
      </c>
      <c r="L43" s="838">
        <v>150</v>
      </c>
      <c r="M43" s="838"/>
      <c r="N43" s="842">
        <v>432</v>
      </c>
      <c r="O43" s="838"/>
      <c r="P43" s="842">
        <v>3.9</v>
      </c>
      <c r="Q43" s="838"/>
      <c r="R43" s="448">
        <v>7.5328944778231293</v>
      </c>
      <c r="S43" s="668">
        <f t="shared" si="10"/>
        <v>9</v>
      </c>
      <c r="T43" s="432">
        <v>1.3</v>
      </c>
      <c r="U43" s="432">
        <v>1.8</v>
      </c>
      <c r="V43" s="492">
        <v>8</v>
      </c>
      <c r="W43" s="668">
        <f t="shared" si="0"/>
        <v>6.1538461538461533</v>
      </c>
      <c r="X43" s="668">
        <f t="shared" si="9"/>
        <v>27.777777777777779</v>
      </c>
      <c r="Y43" s="668">
        <v>0.3</v>
      </c>
      <c r="Z43" s="432">
        <f t="shared" si="1"/>
        <v>0.2</v>
      </c>
      <c r="AA43" s="432">
        <f t="shared" si="4"/>
        <v>1.2349999999999999</v>
      </c>
      <c r="AB43" s="432">
        <f t="shared" si="5"/>
        <v>1.71</v>
      </c>
      <c r="AC43" s="670">
        <f t="shared" si="6"/>
        <v>7.6</v>
      </c>
      <c r="AD43" s="432">
        <f t="shared" si="7"/>
        <v>6.1538461538461533</v>
      </c>
      <c r="AE43" s="670">
        <f t="shared" si="2"/>
        <v>27.777777777777779</v>
      </c>
      <c r="AF43" s="842">
        <v>31</v>
      </c>
      <c r="AG43" s="432">
        <f t="shared" si="8"/>
        <v>38.284999999999997</v>
      </c>
      <c r="AH43" s="449"/>
    </row>
    <row r="44" spans="3:34" ht="18.75" customHeight="1" x14ac:dyDescent="0.2">
      <c r="C44" s="842">
        <v>30</v>
      </c>
      <c r="D44" s="839" t="s">
        <v>163</v>
      </c>
      <c r="E44" s="842" t="s">
        <v>46</v>
      </c>
      <c r="F44" s="838">
        <v>597</v>
      </c>
      <c r="G44" s="842" t="s">
        <v>443</v>
      </c>
      <c r="H44" s="842">
        <v>177.8</v>
      </c>
      <c r="I44" s="842" t="s">
        <v>28</v>
      </c>
      <c r="J44" s="842" t="s">
        <v>48</v>
      </c>
      <c r="K44" s="838">
        <v>555.89</v>
      </c>
      <c r="L44" s="838">
        <v>215</v>
      </c>
      <c r="M44" s="838"/>
      <c r="N44" s="838">
        <v>395</v>
      </c>
      <c r="O44" s="838"/>
      <c r="P44" s="842">
        <v>5.3</v>
      </c>
      <c r="Q44" s="838"/>
      <c r="R44" s="448">
        <v>22.116543274499318</v>
      </c>
      <c r="S44" s="668">
        <f t="shared" si="10"/>
        <v>27.95</v>
      </c>
      <c r="T44" s="432">
        <v>1.1000000000000001</v>
      </c>
      <c r="U44" s="432">
        <v>5</v>
      </c>
      <c r="V44" s="492">
        <v>0</v>
      </c>
      <c r="W44" s="668">
        <f>V44/T44</f>
        <v>0</v>
      </c>
      <c r="X44" s="668">
        <f t="shared" si="9"/>
        <v>78</v>
      </c>
      <c r="Y44" s="668">
        <v>0.2</v>
      </c>
      <c r="Z44" s="432">
        <f t="shared" si="1"/>
        <v>0.17889087656529518</v>
      </c>
      <c r="AA44" s="432">
        <f t="shared" si="4"/>
        <v>1.0449999999999999</v>
      </c>
      <c r="AB44" s="432">
        <f t="shared" si="5"/>
        <v>4.75</v>
      </c>
      <c r="AC44" s="670">
        <f t="shared" si="6"/>
        <v>0</v>
      </c>
      <c r="AD44" s="432">
        <f t="shared" si="7"/>
        <v>0</v>
      </c>
      <c r="AE44" s="670">
        <f t="shared" si="2"/>
        <v>78</v>
      </c>
      <c r="AF44" s="842">
        <v>31</v>
      </c>
      <c r="AG44" s="432">
        <f t="shared" si="8"/>
        <v>32.394999999999996</v>
      </c>
      <c r="AH44" s="449"/>
    </row>
    <row r="45" spans="3:34" ht="18.75" customHeight="1" x14ac:dyDescent="0.2">
      <c r="C45" s="842">
        <v>31</v>
      </c>
      <c r="D45" s="461" t="s">
        <v>59</v>
      </c>
      <c r="E45" s="842" t="s">
        <v>46</v>
      </c>
      <c r="F45" s="842">
        <v>637.16</v>
      </c>
      <c r="G45" s="842" t="s">
        <v>454</v>
      </c>
      <c r="H45" s="842">
        <v>177.8</v>
      </c>
      <c r="I45" s="842" t="s">
        <v>28</v>
      </c>
      <c r="J45" s="842" t="s">
        <v>48</v>
      </c>
      <c r="K45" s="838">
        <v>536.89</v>
      </c>
      <c r="L45" s="842">
        <v>135</v>
      </c>
      <c r="M45" s="842"/>
      <c r="N45" s="842">
        <v>192</v>
      </c>
      <c r="O45" s="842"/>
      <c r="P45" s="842">
        <v>5.3</v>
      </c>
      <c r="Q45" s="842"/>
      <c r="R45" s="668">
        <v>41.157835743379586</v>
      </c>
      <c r="S45" s="668">
        <f t="shared" si="10"/>
        <v>17.55</v>
      </c>
      <c r="T45" s="432">
        <v>0.9</v>
      </c>
      <c r="U45" s="432">
        <v>9.1999999999999993</v>
      </c>
      <c r="V45" s="670">
        <v>92</v>
      </c>
      <c r="W45" s="668">
        <f t="shared" si="0"/>
        <v>102.22222222222221</v>
      </c>
      <c r="X45" s="668">
        <f t="shared" si="9"/>
        <v>90.217391304347814</v>
      </c>
      <c r="Y45" s="668">
        <v>0</v>
      </c>
      <c r="Z45" s="432">
        <f t="shared" si="1"/>
        <v>0.5242165242165242</v>
      </c>
      <c r="AA45" s="432">
        <f t="shared" si="4"/>
        <v>0.85499999999999998</v>
      </c>
      <c r="AB45" s="432">
        <f t="shared" si="5"/>
        <v>8.7399999999999984</v>
      </c>
      <c r="AC45" s="670">
        <f t="shared" si="6"/>
        <v>87.399999999999991</v>
      </c>
      <c r="AD45" s="432">
        <f>W45</f>
        <v>102.22222222222221</v>
      </c>
      <c r="AE45" s="670">
        <f t="shared" si="2"/>
        <v>90.217391304347814</v>
      </c>
      <c r="AF45" s="842">
        <v>31</v>
      </c>
      <c r="AG45" s="432">
        <f t="shared" si="8"/>
        <v>26.504999999999999</v>
      </c>
      <c r="AH45" s="449"/>
    </row>
    <row r="46" spans="3:34" ht="18.75" customHeight="1" x14ac:dyDescent="0.2">
      <c r="C46" s="842">
        <v>32</v>
      </c>
      <c r="D46" s="461" t="s">
        <v>207</v>
      </c>
      <c r="E46" s="842" t="s">
        <v>46</v>
      </c>
      <c r="F46" s="842">
        <v>673</v>
      </c>
      <c r="G46" s="842" t="s">
        <v>420</v>
      </c>
      <c r="H46" s="842">
        <v>177.8</v>
      </c>
      <c r="I46" s="842" t="s">
        <v>28</v>
      </c>
      <c r="J46" s="842" t="s">
        <v>50</v>
      </c>
      <c r="K46" s="838">
        <v>564.41999999999996</v>
      </c>
      <c r="L46" s="842">
        <v>215</v>
      </c>
      <c r="M46" s="842"/>
      <c r="N46" s="842">
        <v>210</v>
      </c>
      <c r="O46" s="842"/>
      <c r="P46" s="668">
        <v>0.2</v>
      </c>
      <c r="Q46" s="842"/>
      <c r="R46" s="668">
        <v>35.411058959464526</v>
      </c>
      <c r="S46" s="668">
        <f t="shared" si="10"/>
        <v>12.9</v>
      </c>
      <c r="T46" s="432">
        <v>2.04</v>
      </c>
      <c r="U46" s="432">
        <v>6.5549999999999997</v>
      </c>
      <c r="V46" s="670">
        <v>1</v>
      </c>
      <c r="W46" s="668">
        <f t="shared" si="0"/>
        <v>0.49019607843137253</v>
      </c>
      <c r="X46" s="668">
        <f t="shared" si="9"/>
        <v>68.878718535469105</v>
      </c>
      <c r="Y46" s="668">
        <v>0.2</v>
      </c>
      <c r="Z46" s="432">
        <f t="shared" si="1"/>
        <v>0.50813953488372088</v>
      </c>
      <c r="AA46" s="432">
        <f t="shared" si="4"/>
        <v>1.9379999999999999</v>
      </c>
      <c r="AB46" s="432">
        <f t="shared" si="5"/>
        <v>6.2272499999999997</v>
      </c>
      <c r="AC46" s="670">
        <f t="shared" si="6"/>
        <v>0.95</v>
      </c>
      <c r="AD46" s="432">
        <f>W46</f>
        <v>0.49019607843137253</v>
      </c>
      <c r="AE46" s="670">
        <f t="shared" si="2"/>
        <v>68.878718535469105</v>
      </c>
      <c r="AF46" s="842">
        <v>31</v>
      </c>
      <c r="AG46" s="432">
        <f t="shared" si="8"/>
        <v>60.077999999999996</v>
      </c>
      <c r="AH46" s="449"/>
    </row>
    <row r="47" spans="3:34" ht="18.75" customHeight="1" x14ac:dyDescent="0.25">
      <c r="C47" s="842">
        <v>33</v>
      </c>
      <c r="D47" s="461" t="s">
        <v>196</v>
      </c>
      <c r="E47" s="842" t="s">
        <v>304</v>
      </c>
      <c r="F47" s="842">
        <v>641</v>
      </c>
      <c r="G47" s="842" t="s">
        <v>296</v>
      </c>
      <c r="H47" s="842">
        <v>177.8</v>
      </c>
      <c r="I47" s="842" t="s">
        <v>28</v>
      </c>
      <c r="J47" s="842" t="s">
        <v>50</v>
      </c>
      <c r="K47" s="838">
        <v>611.92999999999995</v>
      </c>
      <c r="L47" s="842">
        <v>0</v>
      </c>
      <c r="M47" s="842">
        <v>496</v>
      </c>
      <c r="N47" s="868"/>
      <c r="O47" s="668">
        <v>0.3</v>
      </c>
      <c r="P47" s="868"/>
      <c r="Q47" s="842"/>
      <c r="R47" s="668"/>
      <c r="S47" s="668">
        <f>LEFT(J47,(FIND("K",J47,1)-1))*L47/100</f>
        <v>0</v>
      </c>
      <c r="T47" s="432">
        <v>0</v>
      </c>
      <c r="U47" s="432">
        <v>0</v>
      </c>
      <c r="V47" s="670">
        <v>0</v>
      </c>
      <c r="W47" s="668">
        <v>0</v>
      </c>
      <c r="X47" s="668">
        <v>0</v>
      </c>
      <c r="Y47" s="668">
        <v>0.3</v>
      </c>
      <c r="Z47" s="432">
        <v>0</v>
      </c>
      <c r="AA47" s="432">
        <f t="shared" si="4"/>
        <v>0</v>
      </c>
      <c r="AB47" s="432">
        <f t="shared" si="5"/>
        <v>0</v>
      </c>
      <c r="AC47" s="670">
        <f t="shared" si="6"/>
        <v>0</v>
      </c>
      <c r="AD47" s="432">
        <f>W47</f>
        <v>0</v>
      </c>
      <c r="AE47" s="670">
        <f t="shared" si="2"/>
        <v>0</v>
      </c>
      <c r="AF47" s="842">
        <v>0</v>
      </c>
      <c r="AG47" s="432">
        <f t="shared" si="8"/>
        <v>0</v>
      </c>
      <c r="AH47" s="449" t="s">
        <v>335</v>
      </c>
    </row>
    <row r="48" spans="3:34" ht="18.75" customHeight="1" x14ac:dyDescent="0.2">
      <c r="C48" s="842">
        <v>34</v>
      </c>
      <c r="D48" s="461" t="s">
        <v>60</v>
      </c>
      <c r="E48" s="842" t="s">
        <v>46</v>
      </c>
      <c r="F48" s="842">
        <v>638.9</v>
      </c>
      <c r="G48" s="842" t="s">
        <v>462</v>
      </c>
      <c r="H48" s="842">
        <v>177.8</v>
      </c>
      <c r="I48" s="842" t="s">
        <v>28</v>
      </c>
      <c r="J48" s="842" t="s">
        <v>48</v>
      </c>
      <c r="K48" s="838">
        <v>532.05999999999995</v>
      </c>
      <c r="L48" s="842">
        <v>120</v>
      </c>
      <c r="M48" s="842"/>
      <c r="N48" s="842">
        <v>292</v>
      </c>
      <c r="O48" s="842"/>
      <c r="P48" s="842">
        <v>5.6</v>
      </c>
      <c r="Q48" s="842"/>
      <c r="R48" s="668">
        <v>30.009564158043425</v>
      </c>
      <c r="S48" s="668">
        <f t="shared" si="10"/>
        <v>15.6</v>
      </c>
      <c r="T48" s="432">
        <v>4.8</v>
      </c>
      <c r="U48" s="432">
        <v>10</v>
      </c>
      <c r="V48" s="670">
        <v>187</v>
      </c>
      <c r="W48" s="668">
        <f t="shared" si="0"/>
        <v>38.958333333333336</v>
      </c>
      <c r="X48" s="668">
        <f t="shared" si="9"/>
        <v>52</v>
      </c>
      <c r="Y48" s="668">
        <v>0.3</v>
      </c>
      <c r="Z48" s="432">
        <f t="shared" si="1"/>
        <v>0.64102564102564108</v>
      </c>
      <c r="AA48" s="432">
        <f t="shared" si="4"/>
        <v>4.5599999999999996</v>
      </c>
      <c r="AB48" s="432">
        <f t="shared" si="5"/>
        <v>9.5</v>
      </c>
      <c r="AC48" s="670">
        <f t="shared" si="6"/>
        <v>177.65</v>
      </c>
      <c r="AD48" s="432">
        <f t="shared" si="7"/>
        <v>38.958333333333336</v>
      </c>
      <c r="AE48" s="670">
        <f t="shared" si="2"/>
        <v>52</v>
      </c>
      <c r="AF48" s="842">
        <v>31</v>
      </c>
      <c r="AG48" s="432">
        <f t="shared" si="8"/>
        <v>141.35999999999999</v>
      </c>
      <c r="AH48" s="449"/>
    </row>
    <row r="49" spans="3:34" ht="18.75" customHeight="1" x14ac:dyDescent="0.2">
      <c r="C49" s="842">
        <v>35</v>
      </c>
      <c r="D49" s="461" t="s">
        <v>119</v>
      </c>
      <c r="E49" s="842" t="s">
        <v>427</v>
      </c>
      <c r="F49" s="842">
        <v>654.07000000000005</v>
      </c>
      <c r="G49" s="842" t="s">
        <v>410</v>
      </c>
      <c r="H49" s="842">
        <v>177.8</v>
      </c>
      <c r="I49" s="842" t="s">
        <v>28</v>
      </c>
      <c r="J49" s="842" t="s">
        <v>399</v>
      </c>
      <c r="K49" s="838">
        <v>521.47</v>
      </c>
      <c r="L49" s="842">
        <v>0</v>
      </c>
      <c r="M49" s="842"/>
      <c r="N49" s="842">
        <v>478</v>
      </c>
      <c r="O49" s="842"/>
      <c r="P49" s="842">
        <v>0</v>
      </c>
      <c r="Q49" s="842"/>
      <c r="R49" s="668">
        <v>0</v>
      </c>
      <c r="S49" s="668">
        <f>L49*13/100</f>
        <v>0</v>
      </c>
      <c r="T49" s="432">
        <v>0</v>
      </c>
      <c r="U49" s="432">
        <v>0</v>
      </c>
      <c r="V49" s="670">
        <v>0</v>
      </c>
      <c r="W49" s="668">
        <v>0</v>
      </c>
      <c r="X49" s="668">
        <v>0</v>
      </c>
      <c r="Y49" s="668">
        <v>0</v>
      </c>
      <c r="Z49" s="432">
        <v>0</v>
      </c>
      <c r="AA49" s="432">
        <f t="shared" si="4"/>
        <v>0</v>
      </c>
      <c r="AB49" s="432">
        <f t="shared" si="5"/>
        <v>0</v>
      </c>
      <c r="AC49" s="670">
        <f t="shared" si="6"/>
        <v>0</v>
      </c>
      <c r="AD49" s="432">
        <f t="shared" si="7"/>
        <v>0</v>
      </c>
      <c r="AE49" s="670">
        <f t="shared" si="2"/>
        <v>0</v>
      </c>
      <c r="AF49" s="842">
        <v>0</v>
      </c>
      <c r="AG49" s="432">
        <f t="shared" si="8"/>
        <v>0</v>
      </c>
      <c r="AH49" s="449" t="s">
        <v>432</v>
      </c>
    </row>
    <row r="50" spans="3:34" ht="18.75" customHeight="1" x14ac:dyDescent="0.2">
      <c r="C50" s="842">
        <v>36</v>
      </c>
      <c r="D50" s="461" t="s">
        <v>118</v>
      </c>
      <c r="E50" s="842" t="s">
        <v>408</v>
      </c>
      <c r="F50" s="842">
        <v>728.77</v>
      </c>
      <c r="G50" s="842" t="s">
        <v>442</v>
      </c>
      <c r="H50" s="842">
        <v>177.8</v>
      </c>
      <c r="I50" s="842" t="s">
        <v>28</v>
      </c>
      <c r="J50" s="842" t="s">
        <v>52</v>
      </c>
      <c r="K50" s="838">
        <v>523.04999999999995</v>
      </c>
      <c r="L50" s="842">
        <v>100</v>
      </c>
      <c r="M50" s="842"/>
      <c r="N50" s="842">
        <v>356</v>
      </c>
      <c r="O50" s="842"/>
      <c r="P50" s="842">
        <v>7.3</v>
      </c>
      <c r="Q50" s="842"/>
      <c r="R50" s="668">
        <v>26.126154406445181</v>
      </c>
      <c r="S50" s="668">
        <f t="shared" si="10"/>
        <v>22</v>
      </c>
      <c r="T50" s="432">
        <v>2.5</v>
      </c>
      <c r="U50" s="432">
        <v>10.061999999999999</v>
      </c>
      <c r="V50" s="670">
        <v>38</v>
      </c>
      <c r="W50" s="668">
        <f t="shared" si="0"/>
        <v>15.2</v>
      </c>
      <c r="X50" s="668">
        <f t="shared" si="9"/>
        <v>75.154044921486786</v>
      </c>
      <c r="Y50" s="668">
        <v>0.2</v>
      </c>
      <c r="Z50" s="432">
        <f t="shared" si="1"/>
        <v>0.45736363636363636</v>
      </c>
      <c r="AA50" s="432">
        <f t="shared" si="4"/>
        <v>2.375</v>
      </c>
      <c r="AB50" s="432">
        <f t="shared" si="5"/>
        <v>9.5588999999999995</v>
      </c>
      <c r="AC50" s="670">
        <f t="shared" si="6"/>
        <v>36.1</v>
      </c>
      <c r="AD50" s="432">
        <f t="shared" si="7"/>
        <v>15.2</v>
      </c>
      <c r="AE50" s="670">
        <f t="shared" si="2"/>
        <v>75.154044921486786</v>
      </c>
      <c r="AF50" s="842">
        <v>31</v>
      </c>
      <c r="AG50" s="432">
        <f t="shared" si="8"/>
        <v>73.625</v>
      </c>
      <c r="AH50" s="449"/>
    </row>
    <row r="51" spans="3:34" ht="18.75" customHeight="1" x14ac:dyDescent="0.2">
      <c r="C51" s="842">
        <v>37</v>
      </c>
      <c r="D51" s="461" t="s">
        <v>117</v>
      </c>
      <c r="E51" s="842" t="s">
        <v>46</v>
      </c>
      <c r="F51" s="842">
        <v>671.45</v>
      </c>
      <c r="G51" s="842" t="s">
        <v>128</v>
      </c>
      <c r="H51" s="842">
        <v>177.8</v>
      </c>
      <c r="I51" s="842" t="s">
        <v>28</v>
      </c>
      <c r="J51" s="842" t="s">
        <v>187</v>
      </c>
      <c r="K51" s="838">
        <v>561.1</v>
      </c>
      <c r="L51" s="842">
        <v>200</v>
      </c>
      <c r="M51" s="842"/>
      <c r="N51" s="842">
        <v>213</v>
      </c>
      <c r="O51" s="842"/>
      <c r="P51" s="842">
        <v>0</v>
      </c>
      <c r="Q51" s="842"/>
      <c r="R51" s="668">
        <v>34.95747982426596</v>
      </c>
      <c r="S51" s="668">
        <f t="shared" si="10"/>
        <v>12</v>
      </c>
      <c r="T51" s="432">
        <v>0.65900000000000003</v>
      </c>
      <c r="U51" s="432">
        <v>2.5720000000000001</v>
      </c>
      <c r="V51" s="670">
        <v>0</v>
      </c>
      <c r="W51" s="668">
        <f t="shared" si="0"/>
        <v>0</v>
      </c>
      <c r="X51" s="668">
        <f t="shared" si="9"/>
        <v>74.377916018662518</v>
      </c>
      <c r="Y51" s="668">
        <v>2</v>
      </c>
      <c r="Z51" s="432">
        <f t="shared" si="1"/>
        <v>0.21433333333333335</v>
      </c>
      <c r="AA51" s="432">
        <f t="shared" si="4"/>
        <v>0.62605</v>
      </c>
      <c r="AB51" s="432">
        <f t="shared" si="5"/>
        <v>2.4434</v>
      </c>
      <c r="AC51" s="670">
        <f t="shared" si="6"/>
        <v>0</v>
      </c>
      <c r="AD51" s="432">
        <f t="shared" si="7"/>
        <v>0</v>
      </c>
      <c r="AE51" s="670">
        <f t="shared" si="2"/>
        <v>74.377916018662518</v>
      </c>
      <c r="AF51" s="842">
        <v>31</v>
      </c>
      <c r="AG51" s="432">
        <f t="shared" si="8"/>
        <v>19.407550000000001</v>
      </c>
      <c r="AH51" s="669"/>
    </row>
    <row r="52" spans="3:34" ht="18.75" customHeight="1" x14ac:dyDescent="0.2">
      <c r="C52" s="842">
        <v>38</v>
      </c>
      <c r="D52" s="461" t="s">
        <v>130</v>
      </c>
      <c r="E52" s="842" t="s">
        <v>46</v>
      </c>
      <c r="F52" s="842">
        <v>622.6</v>
      </c>
      <c r="G52" s="842" t="s">
        <v>467</v>
      </c>
      <c r="H52" s="842">
        <v>177.8</v>
      </c>
      <c r="I52" s="842" t="s">
        <v>28</v>
      </c>
      <c r="J52" s="842" t="s">
        <v>48</v>
      </c>
      <c r="K52" s="838">
        <v>551.79999999999995</v>
      </c>
      <c r="L52" s="842">
        <v>185</v>
      </c>
      <c r="M52" s="842"/>
      <c r="N52" s="842">
        <v>83</v>
      </c>
      <c r="O52" s="842"/>
      <c r="P52" s="842">
        <v>2.2999999999999998</v>
      </c>
      <c r="Q52" s="842"/>
      <c r="R52" s="668">
        <v>50.220266869859103</v>
      </c>
      <c r="S52" s="668">
        <f t="shared" si="10"/>
        <v>24.05</v>
      </c>
      <c r="T52" s="432">
        <v>0.56599999999999995</v>
      </c>
      <c r="U52" s="432">
        <v>20.327999999999999</v>
      </c>
      <c r="V52" s="670">
        <v>0</v>
      </c>
      <c r="W52" s="668">
        <f t="shared" si="0"/>
        <v>0</v>
      </c>
      <c r="X52" s="668">
        <f t="shared" si="9"/>
        <v>97.21566312475403</v>
      </c>
      <c r="Y52" s="668">
        <v>0</v>
      </c>
      <c r="Z52" s="432">
        <f t="shared" si="1"/>
        <v>0.8452390852390852</v>
      </c>
      <c r="AA52" s="432">
        <f t="shared" si="4"/>
        <v>0.53769999999999996</v>
      </c>
      <c r="AB52" s="432">
        <f t="shared" si="5"/>
        <v>19.311599999999999</v>
      </c>
      <c r="AC52" s="670">
        <f t="shared" si="6"/>
        <v>0</v>
      </c>
      <c r="AD52" s="432">
        <f t="shared" si="7"/>
        <v>0</v>
      </c>
      <c r="AE52" s="670">
        <f t="shared" si="2"/>
        <v>97.21566312475403</v>
      </c>
      <c r="AF52" s="842">
        <v>31</v>
      </c>
      <c r="AG52" s="432">
        <f t="shared" si="8"/>
        <v>16.668699999999998</v>
      </c>
      <c r="AH52" s="669"/>
    </row>
    <row r="53" spans="3:34" ht="18.75" customHeight="1" x14ac:dyDescent="0.2">
      <c r="C53" s="842">
        <v>39</v>
      </c>
      <c r="D53" s="674" t="s">
        <v>115</v>
      </c>
      <c r="E53" s="452" t="s">
        <v>46</v>
      </c>
      <c r="F53" s="452">
        <v>671.43</v>
      </c>
      <c r="G53" s="452" t="s">
        <v>286</v>
      </c>
      <c r="H53" s="842">
        <v>177.8</v>
      </c>
      <c r="I53" s="452" t="s">
        <v>28</v>
      </c>
      <c r="J53" s="452" t="s">
        <v>363</v>
      </c>
      <c r="K53" s="453">
        <v>565.65</v>
      </c>
      <c r="L53" s="452">
        <v>160</v>
      </c>
      <c r="M53" s="452"/>
      <c r="N53" s="452">
        <v>403</v>
      </c>
      <c r="O53" s="452"/>
      <c r="P53" s="842">
        <v>2.2000000000000002</v>
      </c>
      <c r="Q53" s="452"/>
      <c r="R53" s="675">
        <v>18.078592557891128</v>
      </c>
      <c r="S53" s="668">
        <f>L53*7/100</f>
        <v>11.2</v>
      </c>
      <c r="T53" s="456">
        <v>2.5179999999999998</v>
      </c>
      <c r="U53" s="432">
        <v>2.774</v>
      </c>
      <c r="V53" s="700">
        <v>0</v>
      </c>
      <c r="W53" s="668">
        <f t="shared" si="0"/>
        <v>0</v>
      </c>
      <c r="X53" s="668">
        <f t="shared" si="9"/>
        <v>9.2285508291276219</v>
      </c>
      <c r="Y53" s="675">
        <v>0.3</v>
      </c>
      <c r="Z53" s="432">
        <f t="shared" si="1"/>
        <v>0.24767857142857144</v>
      </c>
      <c r="AA53" s="432">
        <f t="shared" si="4"/>
        <v>2.3920999999999997</v>
      </c>
      <c r="AB53" s="432">
        <f t="shared" si="5"/>
        <v>2.6353</v>
      </c>
      <c r="AC53" s="670">
        <f t="shared" si="6"/>
        <v>0</v>
      </c>
      <c r="AD53" s="456">
        <f t="shared" si="7"/>
        <v>0</v>
      </c>
      <c r="AE53" s="670">
        <f t="shared" si="2"/>
        <v>9.2285508291276219</v>
      </c>
      <c r="AF53" s="842">
        <v>31</v>
      </c>
      <c r="AG53" s="456">
        <f t="shared" si="8"/>
        <v>74.15509999999999</v>
      </c>
      <c r="AH53" s="449"/>
    </row>
    <row r="54" spans="3:34" ht="18.75" customHeight="1" x14ac:dyDescent="0.2">
      <c r="C54" s="842">
        <v>40</v>
      </c>
      <c r="D54" s="461" t="s">
        <v>116</v>
      </c>
      <c r="E54" s="842" t="s">
        <v>46</v>
      </c>
      <c r="F54" s="842">
        <v>681.27</v>
      </c>
      <c r="G54" s="842" t="s">
        <v>455</v>
      </c>
      <c r="H54" s="842">
        <v>177.8</v>
      </c>
      <c r="I54" s="842" t="s">
        <v>28</v>
      </c>
      <c r="J54" s="842" t="s">
        <v>53</v>
      </c>
      <c r="K54" s="838">
        <v>559.23</v>
      </c>
      <c r="L54" s="842">
        <v>85</v>
      </c>
      <c r="M54" s="842"/>
      <c r="N54" s="842">
        <v>141</v>
      </c>
      <c r="O54" s="842"/>
      <c r="P54" s="842">
        <v>0.6</v>
      </c>
      <c r="Q54" s="842"/>
      <c r="R54" s="668">
        <v>42.330026585849602</v>
      </c>
      <c r="S54" s="675">
        <f t="shared" si="10"/>
        <v>11.05</v>
      </c>
      <c r="T54" s="432">
        <v>0.70599999999999996</v>
      </c>
      <c r="U54" s="432">
        <v>2.3290000000000002</v>
      </c>
      <c r="V54" s="670">
        <v>1.143</v>
      </c>
      <c r="W54" s="668">
        <f t="shared" si="0"/>
        <v>1.6189801699716715</v>
      </c>
      <c r="X54" s="668">
        <f t="shared" si="9"/>
        <v>69.686560755689143</v>
      </c>
      <c r="Y54" s="668">
        <v>0.2</v>
      </c>
      <c r="Z54" s="432">
        <f t="shared" si="1"/>
        <v>0.21076923076923076</v>
      </c>
      <c r="AA54" s="432">
        <f t="shared" si="4"/>
        <v>0.67069999999999996</v>
      </c>
      <c r="AB54" s="432">
        <f t="shared" si="5"/>
        <v>2.2125500000000002</v>
      </c>
      <c r="AC54" s="670">
        <f t="shared" si="6"/>
        <v>1.08585</v>
      </c>
      <c r="AD54" s="432">
        <f t="shared" si="7"/>
        <v>1.6189801699716715</v>
      </c>
      <c r="AE54" s="670">
        <f t="shared" si="2"/>
        <v>69.686560755689143</v>
      </c>
      <c r="AF54" s="842">
        <v>31</v>
      </c>
      <c r="AG54" s="432">
        <f t="shared" si="8"/>
        <v>20.791699999999999</v>
      </c>
      <c r="AH54" s="449"/>
    </row>
    <row r="55" spans="3:34" ht="18.75" customHeight="1" x14ac:dyDescent="0.2">
      <c r="C55" s="842">
        <v>41</v>
      </c>
      <c r="D55" s="461" t="s">
        <v>120</v>
      </c>
      <c r="E55" s="842" t="s">
        <v>46</v>
      </c>
      <c r="F55" s="842">
        <v>668.57</v>
      </c>
      <c r="G55" s="842" t="s">
        <v>285</v>
      </c>
      <c r="H55" s="842">
        <v>177.8</v>
      </c>
      <c r="I55" s="842" t="s">
        <v>28</v>
      </c>
      <c r="J55" s="842" t="s">
        <v>48</v>
      </c>
      <c r="K55" s="838">
        <v>567.08000000000004</v>
      </c>
      <c r="L55" s="842">
        <v>260</v>
      </c>
      <c r="M55" s="842"/>
      <c r="N55" s="842">
        <v>404</v>
      </c>
      <c r="O55" s="842"/>
      <c r="P55" s="842">
        <v>0.1</v>
      </c>
      <c r="Q55" s="842"/>
      <c r="R55" s="668">
        <v>16.425999398061201</v>
      </c>
      <c r="S55" s="668">
        <f t="shared" si="10"/>
        <v>33.799999999999997</v>
      </c>
      <c r="T55" s="432">
        <v>2.7730000000000001</v>
      </c>
      <c r="U55" s="432">
        <v>3.91</v>
      </c>
      <c r="V55" s="670">
        <v>5</v>
      </c>
      <c r="W55" s="668">
        <f t="shared" si="0"/>
        <v>1.8031013342949873</v>
      </c>
      <c r="X55" s="668">
        <f t="shared" si="9"/>
        <v>29.079283887468033</v>
      </c>
      <c r="Y55" s="668">
        <v>0.25</v>
      </c>
      <c r="Z55" s="432">
        <f t="shared" si="1"/>
        <v>0.11568047337278108</v>
      </c>
      <c r="AA55" s="432">
        <f t="shared" si="4"/>
        <v>2.63435</v>
      </c>
      <c r="AB55" s="432">
        <f t="shared" si="5"/>
        <v>3.7145000000000001</v>
      </c>
      <c r="AC55" s="670">
        <f t="shared" si="6"/>
        <v>4.75</v>
      </c>
      <c r="AD55" s="432">
        <f t="shared" si="7"/>
        <v>1.8031013342949873</v>
      </c>
      <c r="AE55" s="670">
        <f t="shared" si="2"/>
        <v>29.079283887468033</v>
      </c>
      <c r="AF55" s="842">
        <v>31</v>
      </c>
      <c r="AG55" s="432">
        <f t="shared" si="8"/>
        <v>81.664850000000001</v>
      </c>
      <c r="AH55" s="669"/>
    </row>
    <row r="56" spans="3:34" ht="18.75" customHeight="1" x14ac:dyDescent="0.2">
      <c r="C56" s="842">
        <v>42</v>
      </c>
      <c r="D56" s="461" t="s">
        <v>114</v>
      </c>
      <c r="E56" s="842" t="s">
        <v>46</v>
      </c>
      <c r="F56" s="842">
        <v>584.25</v>
      </c>
      <c r="G56" s="842" t="s">
        <v>419</v>
      </c>
      <c r="H56" s="842">
        <v>177.8</v>
      </c>
      <c r="I56" s="842" t="s">
        <v>28</v>
      </c>
      <c r="J56" s="842" t="s">
        <v>383</v>
      </c>
      <c r="K56" s="838">
        <v>560.79999999999995</v>
      </c>
      <c r="L56" s="842">
        <v>0</v>
      </c>
      <c r="M56" s="842">
        <v>150</v>
      </c>
      <c r="N56" s="842"/>
      <c r="O56" s="842">
        <v>2</v>
      </c>
      <c r="P56" s="842"/>
      <c r="Q56" s="842"/>
      <c r="R56" s="668">
        <v>42.203996739027275</v>
      </c>
      <c r="S56" s="668">
        <f>L56*3/100</f>
        <v>0</v>
      </c>
      <c r="T56" s="432">
        <v>0</v>
      </c>
      <c r="U56" s="432">
        <v>0</v>
      </c>
      <c r="V56" s="670">
        <v>0</v>
      </c>
      <c r="W56" s="668">
        <v>0</v>
      </c>
      <c r="X56" s="668">
        <v>0</v>
      </c>
      <c r="Y56" s="668">
        <v>0</v>
      </c>
      <c r="Z56" s="432">
        <v>0</v>
      </c>
      <c r="AA56" s="432">
        <f t="shared" si="4"/>
        <v>0</v>
      </c>
      <c r="AB56" s="432">
        <f t="shared" si="5"/>
        <v>0</v>
      </c>
      <c r="AC56" s="670">
        <f t="shared" si="6"/>
        <v>0</v>
      </c>
      <c r="AD56" s="432">
        <v>0</v>
      </c>
      <c r="AE56" s="670">
        <v>0</v>
      </c>
      <c r="AF56" s="842">
        <v>0</v>
      </c>
      <c r="AG56" s="432">
        <f t="shared" si="8"/>
        <v>0</v>
      </c>
      <c r="AH56" s="669" t="s">
        <v>418</v>
      </c>
    </row>
    <row r="57" spans="3:34" ht="18.75" customHeight="1" x14ac:dyDescent="0.2">
      <c r="C57" s="842">
        <v>43</v>
      </c>
      <c r="D57" s="461" t="s">
        <v>106</v>
      </c>
      <c r="E57" s="842" t="s">
        <v>46</v>
      </c>
      <c r="F57" s="842">
        <v>642.52</v>
      </c>
      <c r="G57" s="842" t="s">
        <v>457</v>
      </c>
      <c r="H57" s="842">
        <v>177.8</v>
      </c>
      <c r="I57" s="842" t="s">
        <v>28</v>
      </c>
      <c r="J57" s="842" t="s">
        <v>456</v>
      </c>
      <c r="K57" s="838">
        <v>549.55999999999995</v>
      </c>
      <c r="L57" s="842">
        <v>150</v>
      </c>
      <c r="M57" s="842"/>
      <c r="N57" s="842">
        <v>215</v>
      </c>
      <c r="O57" s="842"/>
      <c r="P57" s="842">
        <v>6.8</v>
      </c>
      <c r="Q57" s="842"/>
      <c r="R57" s="668">
        <v>41.0538664582037</v>
      </c>
      <c r="S57" s="668">
        <f>L57*23/100</f>
        <v>34.5</v>
      </c>
      <c r="T57" s="432">
        <v>5.032</v>
      </c>
      <c r="U57" s="432">
        <v>24.462</v>
      </c>
      <c r="V57" s="670">
        <v>79</v>
      </c>
      <c r="W57" s="668">
        <f t="shared" si="0"/>
        <v>15.69952305246423</v>
      </c>
      <c r="X57" s="668">
        <f t="shared" si="9"/>
        <v>79.429318943667724</v>
      </c>
      <c r="Y57" s="668">
        <v>0.2</v>
      </c>
      <c r="Z57" s="432">
        <f t="shared" si="1"/>
        <v>0.70904347826086955</v>
      </c>
      <c r="AA57" s="432">
        <f t="shared" si="4"/>
        <v>4.7804000000000002</v>
      </c>
      <c r="AB57" s="432">
        <f t="shared" si="5"/>
        <v>23.238899999999997</v>
      </c>
      <c r="AC57" s="670">
        <f t="shared" si="6"/>
        <v>75.05</v>
      </c>
      <c r="AD57" s="432">
        <f t="shared" si="7"/>
        <v>15.69952305246423</v>
      </c>
      <c r="AE57" s="670">
        <f t="shared" si="2"/>
        <v>79.429318943667724</v>
      </c>
      <c r="AF57" s="842">
        <v>31</v>
      </c>
      <c r="AG57" s="432">
        <f t="shared" si="8"/>
        <v>148.19240000000002</v>
      </c>
      <c r="AH57" s="449"/>
    </row>
    <row r="58" spans="3:34" ht="18.75" customHeight="1" x14ac:dyDescent="0.2">
      <c r="C58" s="842">
        <v>44</v>
      </c>
      <c r="D58" s="461" t="s">
        <v>105</v>
      </c>
      <c r="E58" s="842" t="s">
        <v>46</v>
      </c>
      <c r="F58" s="842">
        <v>609.6</v>
      </c>
      <c r="G58" s="842" t="s">
        <v>110</v>
      </c>
      <c r="H58" s="842">
        <v>177.8</v>
      </c>
      <c r="I58" s="842" t="s">
        <v>28</v>
      </c>
      <c r="J58" s="452" t="s">
        <v>406</v>
      </c>
      <c r="K58" s="838">
        <v>512.69000000000005</v>
      </c>
      <c r="L58" s="842">
        <v>0</v>
      </c>
      <c r="M58" s="842">
        <v>377</v>
      </c>
      <c r="N58" s="842"/>
      <c r="O58" s="842">
        <v>0.4</v>
      </c>
      <c r="P58" s="842"/>
      <c r="Q58" s="842"/>
      <c r="R58" s="668">
        <v>13.384221354632501</v>
      </c>
      <c r="S58" s="668">
        <f>L58*20/100</f>
        <v>0</v>
      </c>
      <c r="T58" s="432">
        <v>0</v>
      </c>
      <c r="U58" s="432">
        <v>0</v>
      </c>
      <c r="V58" s="670">
        <v>0</v>
      </c>
      <c r="W58" s="668">
        <f>IF(T58=0,0,V58/T58)</f>
        <v>0</v>
      </c>
      <c r="X58" s="668">
        <v>0</v>
      </c>
      <c r="Y58" s="668">
        <v>0</v>
      </c>
      <c r="Z58" s="432">
        <v>0</v>
      </c>
      <c r="AA58" s="432">
        <f t="shared" si="4"/>
        <v>0</v>
      </c>
      <c r="AB58" s="432">
        <f t="shared" si="5"/>
        <v>0</v>
      </c>
      <c r="AC58" s="670">
        <f t="shared" si="6"/>
        <v>0</v>
      </c>
      <c r="AD58" s="432">
        <v>0</v>
      </c>
      <c r="AE58" s="670">
        <v>0</v>
      </c>
      <c r="AF58" s="842">
        <v>0</v>
      </c>
      <c r="AG58" s="432">
        <f t="shared" si="8"/>
        <v>0</v>
      </c>
      <c r="AH58" s="669" t="s">
        <v>441</v>
      </c>
    </row>
    <row r="59" spans="3:34" ht="18.75" customHeight="1" x14ac:dyDescent="0.2">
      <c r="C59" s="842">
        <v>45</v>
      </c>
      <c r="D59" s="461" t="s">
        <v>104</v>
      </c>
      <c r="E59" s="842" t="s">
        <v>381</v>
      </c>
      <c r="F59" s="842">
        <v>707.14</v>
      </c>
      <c r="G59" s="838" t="s">
        <v>382</v>
      </c>
      <c r="H59" s="842">
        <v>177.8</v>
      </c>
      <c r="I59" s="842" t="s">
        <v>28</v>
      </c>
      <c r="J59" s="842" t="s">
        <v>383</v>
      </c>
      <c r="K59" s="838">
        <v>682.43000000000052</v>
      </c>
      <c r="L59" s="842">
        <v>230</v>
      </c>
      <c r="M59" s="842"/>
      <c r="N59" s="842">
        <v>571</v>
      </c>
      <c r="O59" s="842"/>
      <c r="P59" s="842">
        <v>6.6</v>
      </c>
      <c r="Q59" s="842"/>
      <c r="R59" s="668">
        <v>14.4634982126521</v>
      </c>
      <c r="S59" s="668">
        <f>L59*3/100</f>
        <v>6.9</v>
      </c>
      <c r="T59" s="432">
        <v>2.032</v>
      </c>
      <c r="U59" s="432">
        <v>2.1589999999999998</v>
      </c>
      <c r="V59" s="670">
        <v>13</v>
      </c>
      <c r="W59" s="668">
        <f>IF(V59=0,0,V59/T59)</f>
        <v>6.3976377952755907</v>
      </c>
      <c r="X59" s="668">
        <f t="shared" si="9"/>
        <v>5.8823529411764603</v>
      </c>
      <c r="Y59" s="668">
        <v>0.2</v>
      </c>
      <c r="Z59" s="432">
        <f t="shared" si="1"/>
        <v>0.31289855072463763</v>
      </c>
      <c r="AA59" s="432">
        <f t="shared" si="4"/>
        <v>1.9303999999999999</v>
      </c>
      <c r="AB59" s="432">
        <f t="shared" si="5"/>
        <v>2.0510499999999996</v>
      </c>
      <c r="AC59" s="670">
        <f t="shared" si="6"/>
        <v>12.35</v>
      </c>
      <c r="AD59" s="432">
        <f t="shared" si="7"/>
        <v>6.3976377952755907</v>
      </c>
      <c r="AE59" s="670">
        <f t="shared" si="2"/>
        <v>5.8823529411764603</v>
      </c>
      <c r="AF59" s="842">
        <v>31</v>
      </c>
      <c r="AG59" s="432">
        <f t="shared" si="8"/>
        <v>59.842399999999998</v>
      </c>
      <c r="AH59" s="669"/>
    </row>
    <row r="60" spans="3:34" ht="18.75" customHeight="1" x14ac:dyDescent="0.3">
      <c r="C60" s="842">
        <v>46</v>
      </c>
      <c r="D60" s="839" t="s">
        <v>158</v>
      </c>
      <c r="E60" s="842" t="s">
        <v>46</v>
      </c>
      <c r="F60" s="838">
        <v>621.12</v>
      </c>
      <c r="G60" s="838" t="s">
        <v>232</v>
      </c>
      <c r="H60" s="842">
        <v>177.8</v>
      </c>
      <c r="I60" s="842" t="s">
        <v>28</v>
      </c>
      <c r="J60" s="842" t="s">
        <v>403</v>
      </c>
      <c r="K60" s="838">
        <v>544.41999999999996</v>
      </c>
      <c r="L60" s="838">
        <v>175</v>
      </c>
      <c r="M60" s="838"/>
      <c r="N60" s="838">
        <v>457</v>
      </c>
      <c r="O60" s="838"/>
      <c r="P60" s="842">
        <v>7.9</v>
      </c>
      <c r="Q60" s="838"/>
      <c r="R60" s="448">
        <v>17.249510558371096</v>
      </c>
      <c r="S60" s="668">
        <f>L60*23/100</f>
        <v>40.25</v>
      </c>
      <c r="T60" s="432">
        <v>6.3559999999999999</v>
      </c>
      <c r="U60" s="432">
        <v>8.2319999999999993</v>
      </c>
      <c r="V60" s="492">
        <v>193</v>
      </c>
      <c r="W60" s="668">
        <f t="shared" ref="W60:W66" si="11">V60/T60</f>
        <v>30.365009439899307</v>
      </c>
      <c r="X60" s="668">
        <f t="shared" si="9"/>
        <v>22.789115646258498</v>
      </c>
      <c r="Y60" s="668">
        <v>0.2</v>
      </c>
      <c r="Z60" s="432">
        <f t="shared" si="1"/>
        <v>0.20452173913043475</v>
      </c>
      <c r="AA60" s="432">
        <f t="shared" si="4"/>
        <v>6.0381999999999998</v>
      </c>
      <c r="AB60" s="432">
        <f t="shared" si="5"/>
        <v>7.8203999999999994</v>
      </c>
      <c r="AC60" s="670">
        <f t="shared" si="6"/>
        <v>183.35</v>
      </c>
      <c r="AD60" s="432">
        <f t="shared" si="7"/>
        <v>30.365009439899307</v>
      </c>
      <c r="AE60" s="670">
        <f t="shared" si="2"/>
        <v>22.789115646258498</v>
      </c>
      <c r="AF60" s="842">
        <v>31</v>
      </c>
      <c r="AG60" s="432">
        <f>AA60*AF60</f>
        <v>187.1842</v>
      </c>
      <c r="AH60" s="458"/>
    </row>
    <row r="61" spans="3:34" ht="18.75" customHeight="1" x14ac:dyDescent="0.2">
      <c r="C61" s="842">
        <v>47</v>
      </c>
      <c r="D61" s="839" t="s">
        <v>160</v>
      </c>
      <c r="E61" s="842" t="s">
        <v>304</v>
      </c>
      <c r="F61" s="838">
        <v>677.33</v>
      </c>
      <c r="G61" s="838" t="s">
        <v>315</v>
      </c>
      <c r="H61" s="842">
        <v>177.8</v>
      </c>
      <c r="I61" s="842" t="s">
        <v>28</v>
      </c>
      <c r="J61" s="842" t="s">
        <v>52</v>
      </c>
      <c r="K61" s="838">
        <v>620.78</v>
      </c>
      <c r="L61" s="838">
        <v>85</v>
      </c>
      <c r="M61" s="838"/>
      <c r="N61" s="842">
        <v>0</v>
      </c>
      <c r="O61" s="838"/>
      <c r="P61" s="842">
        <v>0</v>
      </c>
      <c r="Q61" s="838"/>
      <c r="R61" s="448">
        <v>50.829491008720623</v>
      </c>
      <c r="S61" s="668">
        <f t="shared" si="10"/>
        <v>18.7</v>
      </c>
      <c r="T61" s="432">
        <v>1.2509999999999999</v>
      </c>
      <c r="U61" s="432">
        <v>1.377</v>
      </c>
      <c r="V61" s="492">
        <v>35</v>
      </c>
      <c r="W61" s="668">
        <f t="shared" si="11"/>
        <v>27.977617905675462</v>
      </c>
      <c r="X61" s="668">
        <f t="shared" si="9"/>
        <v>9.1503267973856293</v>
      </c>
      <c r="Y61" s="668">
        <v>0.2</v>
      </c>
      <c r="Z61" s="432">
        <f t="shared" si="1"/>
        <v>7.3636363636363639E-2</v>
      </c>
      <c r="AA61" s="432">
        <f t="shared" si="4"/>
        <v>1.1884499999999998</v>
      </c>
      <c r="AB61" s="432">
        <f t="shared" si="5"/>
        <v>1.3081499999999999</v>
      </c>
      <c r="AC61" s="670">
        <f t="shared" si="6"/>
        <v>33.25</v>
      </c>
      <c r="AD61" s="432">
        <f t="shared" si="7"/>
        <v>27.977617905675462</v>
      </c>
      <c r="AE61" s="670">
        <f t="shared" si="2"/>
        <v>9.1503267973856293</v>
      </c>
      <c r="AF61" s="842">
        <v>31</v>
      </c>
      <c r="AG61" s="432">
        <f>AA61*AF61</f>
        <v>36.84194999999999</v>
      </c>
      <c r="AH61" s="669"/>
    </row>
    <row r="62" spans="3:34" ht="18.75" customHeight="1" x14ac:dyDescent="0.2">
      <c r="C62" s="842">
        <v>48</v>
      </c>
      <c r="D62" s="461" t="s">
        <v>164</v>
      </c>
      <c r="E62" s="842" t="s">
        <v>46</v>
      </c>
      <c r="F62" s="838">
        <v>678.47</v>
      </c>
      <c r="G62" s="838" t="s">
        <v>233</v>
      </c>
      <c r="H62" s="842">
        <v>177.8</v>
      </c>
      <c r="I62" s="842" t="s">
        <v>28</v>
      </c>
      <c r="J62" s="842" t="s">
        <v>48</v>
      </c>
      <c r="K62" s="838">
        <v>564.64</v>
      </c>
      <c r="L62" s="838">
        <v>210</v>
      </c>
      <c r="M62" s="838"/>
      <c r="N62" s="838">
        <v>422</v>
      </c>
      <c r="O62" s="838"/>
      <c r="P62" s="842">
        <v>0.6</v>
      </c>
      <c r="Q62" s="838"/>
      <c r="R62" s="668">
        <v>15.463662434200659</v>
      </c>
      <c r="S62" s="668">
        <f t="shared" si="10"/>
        <v>27.3</v>
      </c>
      <c r="T62" s="432">
        <v>3.8010000000000002</v>
      </c>
      <c r="U62" s="432">
        <v>5.3719999999999999</v>
      </c>
      <c r="V62" s="670">
        <v>9</v>
      </c>
      <c r="W62" s="668">
        <f t="shared" si="11"/>
        <v>2.367797947908445</v>
      </c>
      <c r="X62" s="668">
        <f t="shared" si="9"/>
        <v>29.244229337304539</v>
      </c>
      <c r="Y62" s="668">
        <v>0.3</v>
      </c>
      <c r="Z62" s="432">
        <f t="shared" si="1"/>
        <v>0.19677655677655675</v>
      </c>
      <c r="AA62" s="432">
        <f t="shared" si="4"/>
        <v>3.6109499999999999</v>
      </c>
      <c r="AB62" s="432">
        <f t="shared" si="5"/>
        <v>5.1033999999999997</v>
      </c>
      <c r="AC62" s="670">
        <f t="shared" si="6"/>
        <v>8.5499999999999989</v>
      </c>
      <c r="AD62" s="432">
        <f t="shared" si="7"/>
        <v>2.367797947908445</v>
      </c>
      <c r="AE62" s="670">
        <f t="shared" si="2"/>
        <v>29.244229337304539</v>
      </c>
      <c r="AF62" s="842">
        <v>31</v>
      </c>
      <c r="AG62" s="432">
        <f t="shared" ref="AG62:AG76" si="12">AA62*AF62</f>
        <v>111.93944999999999</v>
      </c>
      <c r="AH62" s="669"/>
    </row>
    <row r="63" spans="3:34" ht="18.75" customHeight="1" x14ac:dyDescent="0.2">
      <c r="C63" s="842">
        <v>49</v>
      </c>
      <c r="D63" s="461" t="s">
        <v>61</v>
      </c>
      <c r="E63" s="842" t="s">
        <v>46</v>
      </c>
      <c r="F63" s="842">
        <v>667.18</v>
      </c>
      <c r="G63" s="842" t="s">
        <v>96</v>
      </c>
      <c r="H63" s="842">
        <v>177.8</v>
      </c>
      <c r="I63" s="842" t="s">
        <v>28</v>
      </c>
      <c r="J63" s="842" t="s">
        <v>52</v>
      </c>
      <c r="K63" s="838">
        <v>534.21</v>
      </c>
      <c r="L63" s="842">
        <v>200</v>
      </c>
      <c r="M63" s="842"/>
      <c r="N63" s="842">
        <v>447</v>
      </c>
      <c r="O63" s="842"/>
      <c r="P63" s="842">
        <v>6.4</v>
      </c>
      <c r="Q63" s="842"/>
      <c r="R63" s="668">
        <v>16.6505786666348</v>
      </c>
      <c r="S63" s="668">
        <f t="shared" si="10"/>
        <v>44</v>
      </c>
      <c r="T63" s="432">
        <v>6.4859999999999998</v>
      </c>
      <c r="U63" s="432">
        <v>10.515000000000001</v>
      </c>
      <c r="V63" s="670">
        <v>167</v>
      </c>
      <c r="W63" s="668">
        <f t="shared" si="11"/>
        <v>25.747764415664509</v>
      </c>
      <c r="X63" s="668">
        <f t="shared" si="9"/>
        <v>38.316690442225401</v>
      </c>
      <c r="Y63" s="668">
        <v>0.2</v>
      </c>
      <c r="Z63" s="432">
        <f t="shared" si="1"/>
        <v>0.23897727272727273</v>
      </c>
      <c r="AA63" s="432">
        <f t="shared" si="4"/>
        <v>6.1616999999999997</v>
      </c>
      <c r="AB63" s="432">
        <f t="shared" si="5"/>
        <v>9.9892500000000002</v>
      </c>
      <c r="AC63" s="670">
        <f t="shared" si="6"/>
        <v>158.65</v>
      </c>
      <c r="AD63" s="432">
        <f t="shared" si="7"/>
        <v>25.747764415664509</v>
      </c>
      <c r="AE63" s="670">
        <f t="shared" si="2"/>
        <v>38.316690442225401</v>
      </c>
      <c r="AF63" s="842">
        <v>31</v>
      </c>
      <c r="AG63" s="432">
        <f t="shared" si="12"/>
        <v>191.0127</v>
      </c>
      <c r="AH63" s="449"/>
    </row>
    <row r="64" spans="3:34" ht="18.75" customHeight="1" x14ac:dyDescent="0.2">
      <c r="C64" s="842">
        <v>50</v>
      </c>
      <c r="D64" s="461" t="s">
        <v>64</v>
      </c>
      <c r="E64" s="842" t="s">
        <v>46</v>
      </c>
      <c r="F64" s="842">
        <v>672.5</v>
      </c>
      <c r="G64" s="842" t="s">
        <v>444</v>
      </c>
      <c r="H64" s="842">
        <v>177.8</v>
      </c>
      <c r="I64" s="842" t="s">
        <v>28</v>
      </c>
      <c r="J64" s="842" t="s">
        <v>49</v>
      </c>
      <c r="K64" s="838">
        <v>524.02</v>
      </c>
      <c r="L64" s="842">
        <v>100</v>
      </c>
      <c r="M64" s="842"/>
      <c r="N64" s="842">
        <v>451</v>
      </c>
      <c r="O64" s="842"/>
      <c r="P64" s="842">
        <v>10.4</v>
      </c>
      <c r="Q64" s="842"/>
      <c r="R64" s="668">
        <v>20.463045737652543</v>
      </c>
      <c r="S64" s="668">
        <f t="shared" si="10"/>
        <v>32</v>
      </c>
      <c r="T64" s="432">
        <v>7.0490000000000004</v>
      </c>
      <c r="U64" s="432">
        <v>11.19</v>
      </c>
      <c r="V64" s="670">
        <v>764</v>
      </c>
      <c r="W64" s="668">
        <f t="shared" si="11"/>
        <v>108.38416796708752</v>
      </c>
      <c r="X64" s="668">
        <f t="shared" si="9"/>
        <v>37.00625558534405</v>
      </c>
      <c r="Y64" s="668">
        <v>0.2</v>
      </c>
      <c r="Z64" s="432">
        <f t="shared" si="1"/>
        <v>0.34968749999999998</v>
      </c>
      <c r="AA64" s="432">
        <f t="shared" si="4"/>
        <v>6.6965500000000002</v>
      </c>
      <c r="AB64" s="432">
        <f t="shared" si="5"/>
        <v>10.6305</v>
      </c>
      <c r="AC64" s="670">
        <f t="shared" si="6"/>
        <v>725.8</v>
      </c>
      <c r="AD64" s="432">
        <f t="shared" si="7"/>
        <v>108.38416796708752</v>
      </c>
      <c r="AE64" s="670">
        <f t="shared" si="2"/>
        <v>37.00625558534405</v>
      </c>
      <c r="AF64" s="842">
        <v>31</v>
      </c>
      <c r="AG64" s="432">
        <f t="shared" si="12"/>
        <v>207.59305000000001</v>
      </c>
      <c r="AH64" s="449"/>
    </row>
    <row r="65" spans="3:34" ht="18.75" customHeight="1" x14ac:dyDescent="0.2">
      <c r="C65" s="842">
        <v>51</v>
      </c>
      <c r="D65" s="461" t="s">
        <v>156</v>
      </c>
      <c r="E65" s="842" t="s">
        <v>46</v>
      </c>
      <c r="F65" s="842">
        <v>679.54</v>
      </c>
      <c r="G65" s="842" t="s">
        <v>166</v>
      </c>
      <c r="H65" s="842">
        <v>177.8</v>
      </c>
      <c r="I65" s="842" t="s">
        <v>28</v>
      </c>
      <c r="J65" s="842" t="s">
        <v>52</v>
      </c>
      <c r="K65" s="838">
        <v>530.98</v>
      </c>
      <c r="L65" s="842">
        <v>220</v>
      </c>
      <c r="M65" s="842"/>
      <c r="N65" s="842">
        <v>458</v>
      </c>
      <c r="O65" s="842"/>
      <c r="P65" s="842">
        <v>7.7</v>
      </c>
      <c r="Q65" s="842"/>
      <c r="R65" s="668">
        <v>16.884131298928573</v>
      </c>
      <c r="S65" s="668">
        <f t="shared" si="10"/>
        <v>48.4</v>
      </c>
      <c r="T65" s="432">
        <v>5.7640000000000002</v>
      </c>
      <c r="U65" s="432">
        <v>8.4179999999999993</v>
      </c>
      <c r="V65" s="670">
        <v>81</v>
      </c>
      <c r="W65" s="668">
        <f t="shared" si="11"/>
        <v>14.052741151977793</v>
      </c>
      <c r="X65" s="668">
        <f t="shared" si="9"/>
        <v>31.527678783559033</v>
      </c>
      <c r="Y65" s="668">
        <v>0.3</v>
      </c>
      <c r="Z65" s="432">
        <f t="shared" si="1"/>
        <v>0.17392561983471072</v>
      </c>
      <c r="AA65" s="432">
        <f t="shared" si="4"/>
        <v>5.4757999999999996</v>
      </c>
      <c r="AB65" s="432">
        <f t="shared" si="5"/>
        <v>7.9970999999999988</v>
      </c>
      <c r="AC65" s="670">
        <f t="shared" si="6"/>
        <v>76.95</v>
      </c>
      <c r="AD65" s="432">
        <f t="shared" si="7"/>
        <v>14.052741151977793</v>
      </c>
      <c r="AE65" s="670">
        <f t="shared" si="2"/>
        <v>31.527678783559033</v>
      </c>
      <c r="AF65" s="842">
        <v>31</v>
      </c>
      <c r="AG65" s="432">
        <f t="shared" si="12"/>
        <v>169.74979999999999</v>
      </c>
      <c r="AH65" s="449"/>
    </row>
    <row r="66" spans="3:34" ht="18.75" customHeight="1" x14ac:dyDescent="0.2">
      <c r="C66" s="842">
        <v>52</v>
      </c>
      <c r="D66" s="461" t="s">
        <v>169</v>
      </c>
      <c r="E66" s="842" t="s">
        <v>46</v>
      </c>
      <c r="F66" s="842">
        <v>647.37</v>
      </c>
      <c r="G66" s="842" t="s">
        <v>463</v>
      </c>
      <c r="H66" s="842">
        <v>177.8</v>
      </c>
      <c r="I66" s="842" t="s">
        <v>28</v>
      </c>
      <c r="J66" s="842" t="s">
        <v>464</v>
      </c>
      <c r="K66" s="838">
        <v>539.76999999999987</v>
      </c>
      <c r="L66" s="842">
        <v>225</v>
      </c>
      <c r="M66" s="842"/>
      <c r="N66" s="842">
        <v>392</v>
      </c>
      <c r="O66" s="842"/>
      <c r="P66" s="842">
        <v>3.2</v>
      </c>
      <c r="Q66" s="842"/>
      <c r="R66" s="668">
        <v>20.044543259196089</v>
      </c>
      <c r="S66" s="668">
        <v>42.9</v>
      </c>
      <c r="T66" s="432">
        <v>5.3659999999999997</v>
      </c>
      <c r="U66" s="432">
        <v>8.1560000000000006</v>
      </c>
      <c r="V66" s="670">
        <v>54</v>
      </c>
      <c r="W66" s="668">
        <f t="shared" si="11"/>
        <v>10.063361908311592</v>
      </c>
      <c r="X66" s="668">
        <f t="shared" si="9"/>
        <v>34.207945071113301</v>
      </c>
      <c r="Y66" s="668">
        <v>1</v>
      </c>
      <c r="Z66" s="432">
        <f t="shared" si="1"/>
        <v>0.19011655011655013</v>
      </c>
      <c r="AA66" s="432">
        <f t="shared" si="4"/>
        <v>5.0976999999999997</v>
      </c>
      <c r="AB66" s="432">
        <f t="shared" si="5"/>
        <v>7.7481999999999998</v>
      </c>
      <c r="AC66" s="670">
        <f t="shared" si="6"/>
        <v>51.3</v>
      </c>
      <c r="AD66" s="432">
        <f t="shared" si="7"/>
        <v>10.063361908311592</v>
      </c>
      <c r="AE66" s="670">
        <f t="shared" si="2"/>
        <v>34.207945071113301</v>
      </c>
      <c r="AF66" s="842">
        <v>31</v>
      </c>
      <c r="AG66" s="432">
        <f>AA66*AF66</f>
        <v>158.02869999999999</v>
      </c>
      <c r="AH66" s="449"/>
    </row>
    <row r="67" spans="3:34" ht="18.75" customHeight="1" x14ac:dyDescent="0.2">
      <c r="C67" s="842">
        <v>53</v>
      </c>
      <c r="D67" s="461" t="s">
        <v>62</v>
      </c>
      <c r="E67" s="842" t="s">
        <v>46</v>
      </c>
      <c r="F67" s="842">
        <v>673.73</v>
      </c>
      <c r="G67" s="842" t="s">
        <v>97</v>
      </c>
      <c r="H67" s="842">
        <v>177.8</v>
      </c>
      <c r="I67" s="842" t="s">
        <v>28</v>
      </c>
      <c r="J67" s="842" t="s">
        <v>218</v>
      </c>
      <c r="K67" s="838">
        <v>543</v>
      </c>
      <c r="L67" s="842">
        <v>255</v>
      </c>
      <c r="M67" s="842"/>
      <c r="N67" s="842">
        <v>434</v>
      </c>
      <c r="O67" s="842"/>
      <c r="P67" s="842">
        <v>4.5</v>
      </c>
      <c r="Q67" s="842"/>
      <c r="R67" s="668">
        <v>16.678362029200702</v>
      </c>
      <c r="S67" s="668">
        <f t="shared" si="10"/>
        <v>81.599999999999994</v>
      </c>
      <c r="T67" s="432">
        <v>7.3390000000000004</v>
      </c>
      <c r="U67" s="432">
        <v>10.271000000000001</v>
      </c>
      <c r="V67" s="670">
        <v>223</v>
      </c>
      <c r="W67" s="668">
        <f t="shared" si="0"/>
        <v>30.385611118681016</v>
      </c>
      <c r="X67" s="668">
        <f t="shared" si="9"/>
        <v>28.546392756304158</v>
      </c>
      <c r="Y67" s="668">
        <v>0.3</v>
      </c>
      <c r="Z67" s="432">
        <f t="shared" si="1"/>
        <v>0.1258700980392157</v>
      </c>
      <c r="AA67" s="432">
        <f t="shared" si="4"/>
        <v>6.9720500000000003</v>
      </c>
      <c r="AB67" s="432">
        <f t="shared" si="5"/>
        <v>9.7574500000000004</v>
      </c>
      <c r="AC67" s="670">
        <f t="shared" si="6"/>
        <v>211.85</v>
      </c>
      <c r="AD67" s="432">
        <f t="shared" si="7"/>
        <v>30.385611118681016</v>
      </c>
      <c r="AE67" s="670">
        <f t="shared" si="2"/>
        <v>28.546392756304158</v>
      </c>
      <c r="AF67" s="842">
        <v>31</v>
      </c>
      <c r="AG67" s="432">
        <f t="shared" si="12"/>
        <v>216.13355000000001</v>
      </c>
      <c r="AH67" s="669"/>
    </row>
    <row r="68" spans="3:34" ht="18.75" customHeight="1" x14ac:dyDescent="0.2">
      <c r="C68" s="842">
        <v>54</v>
      </c>
      <c r="D68" s="461" t="s">
        <v>157</v>
      </c>
      <c r="E68" s="842" t="s">
        <v>46</v>
      </c>
      <c r="F68" s="842">
        <v>676.73</v>
      </c>
      <c r="G68" s="842" t="s">
        <v>179</v>
      </c>
      <c r="H68" s="842">
        <v>177.8</v>
      </c>
      <c r="I68" s="842" t="s">
        <v>28</v>
      </c>
      <c r="J68" s="842" t="s">
        <v>218</v>
      </c>
      <c r="K68" s="838">
        <v>579.14</v>
      </c>
      <c r="L68" s="842">
        <v>160</v>
      </c>
      <c r="M68" s="842"/>
      <c r="N68" s="842">
        <v>159</v>
      </c>
      <c r="O68" s="842"/>
      <c r="P68" s="842">
        <v>9</v>
      </c>
      <c r="Q68" s="842"/>
      <c r="R68" s="668">
        <v>46.184510160164891</v>
      </c>
      <c r="S68" s="668">
        <f t="shared" si="10"/>
        <v>51.2</v>
      </c>
      <c r="T68" s="432">
        <v>21.919</v>
      </c>
      <c r="U68" s="432">
        <v>53.281999999999996</v>
      </c>
      <c r="V68" s="670">
        <v>167</v>
      </c>
      <c r="W68" s="668">
        <f t="shared" si="0"/>
        <v>7.6189607190109037</v>
      </c>
      <c r="X68" s="668">
        <f t="shared" si="9"/>
        <v>58.862279944446527</v>
      </c>
      <c r="Y68" s="668">
        <v>0.2</v>
      </c>
      <c r="Z68" s="432">
        <f t="shared" si="1"/>
        <v>1.0406640624999999</v>
      </c>
      <c r="AA68" s="432">
        <f t="shared" si="4"/>
        <v>20.823049999999999</v>
      </c>
      <c r="AB68" s="432">
        <f t="shared" si="5"/>
        <v>50.617899999999992</v>
      </c>
      <c r="AC68" s="670">
        <f t="shared" si="6"/>
        <v>158.65</v>
      </c>
      <c r="AD68" s="432">
        <f t="shared" si="7"/>
        <v>7.6189607190109037</v>
      </c>
      <c r="AE68" s="670">
        <f t="shared" si="2"/>
        <v>58.862279944446527</v>
      </c>
      <c r="AF68" s="842">
        <v>31</v>
      </c>
      <c r="AG68" s="432">
        <f t="shared" si="12"/>
        <v>645.51454999999999</v>
      </c>
      <c r="AH68" s="676"/>
    </row>
    <row r="69" spans="3:34" ht="18.75" customHeight="1" x14ac:dyDescent="0.2">
      <c r="C69" s="842">
        <v>55</v>
      </c>
      <c r="D69" s="461" t="s">
        <v>159</v>
      </c>
      <c r="E69" s="842" t="s">
        <v>46</v>
      </c>
      <c r="F69" s="842">
        <v>676</v>
      </c>
      <c r="G69" s="842" t="s">
        <v>167</v>
      </c>
      <c r="H69" s="842">
        <v>177.8</v>
      </c>
      <c r="I69" s="842" t="s">
        <v>28</v>
      </c>
      <c r="J69" s="842" t="s">
        <v>342</v>
      </c>
      <c r="K69" s="838">
        <v>509.61000000000024</v>
      </c>
      <c r="L69" s="842">
        <v>170</v>
      </c>
      <c r="M69" s="842"/>
      <c r="N69" s="842">
        <v>440</v>
      </c>
      <c r="O69" s="842"/>
      <c r="P69" s="842">
        <v>13.3</v>
      </c>
      <c r="Q69" s="842"/>
      <c r="R69" s="668">
        <v>20.317136129924013</v>
      </c>
      <c r="S69" s="668">
        <f>(20*L69)/100</f>
        <v>34</v>
      </c>
      <c r="T69" s="432">
        <v>18.434000000000001</v>
      </c>
      <c r="U69" s="432">
        <v>21.07</v>
      </c>
      <c r="V69" s="670">
        <v>359</v>
      </c>
      <c r="W69" s="668">
        <f t="shared" si="0"/>
        <v>19.474883367690136</v>
      </c>
      <c r="X69" s="668">
        <f t="shared" si="9"/>
        <v>12.510678690080679</v>
      </c>
      <c r="Y69" s="668">
        <v>0.2</v>
      </c>
      <c r="Z69" s="432">
        <f t="shared" si="1"/>
        <v>0.61970588235294122</v>
      </c>
      <c r="AA69" s="432">
        <f t="shared" si="4"/>
        <v>17.5123</v>
      </c>
      <c r="AB69" s="432">
        <f t="shared" si="5"/>
        <v>20.016500000000001</v>
      </c>
      <c r="AC69" s="670">
        <f t="shared" si="6"/>
        <v>341.05</v>
      </c>
      <c r="AD69" s="432">
        <f t="shared" si="7"/>
        <v>19.474883367690136</v>
      </c>
      <c r="AE69" s="670">
        <f t="shared" si="2"/>
        <v>12.510678690080679</v>
      </c>
      <c r="AF69" s="842">
        <v>31</v>
      </c>
      <c r="AG69" s="432">
        <f t="shared" si="12"/>
        <v>542.88130000000001</v>
      </c>
      <c r="AH69" s="669"/>
    </row>
    <row r="70" spans="3:34" ht="18.75" customHeight="1" x14ac:dyDescent="0.2">
      <c r="C70" s="842">
        <v>56</v>
      </c>
      <c r="D70" s="461" t="s">
        <v>330</v>
      </c>
      <c r="E70" s="842" t="s">
        <v>46</v>
      </c>
      <c r="F70" s="842">
        <v>595</v>
      </c>
      <c r="G70" s="842" t="s">
        <v>367</v>
      </c>
      <c r="H70" s="842">
        <v>178.8</v>
      </c>
      <c r="I70" s="842" t="s">
        <v>28</v>
      </c>
      <c r="J70" s="842" t="s">
        <v>52</v>
      </c>
      <c r="K70" s="838">
        <v>498.89</v>
      </c>
      <c r="L70" s="842">
        <v>210</v>
      </c>
      <c r="M70" s="842"/>
      <c r="N70" s="842">
        <v>323</v>
      </c>
      <c r="O70" s="842"/>
      <c r="P70" s="842">
        <v>10.8</v>
      </c>
      <c r="Q70" s="842"/>
      <c r="R70" s="668">
        <v>28.166236628771173</v>
      </c>
      <c r="S70" s="668">
        <f t="shared" si="10"/>
        <v>46.2</v>
      </c>
      <c r="T70" s="432">
        <v>17.675999999999998</v>
      </c>
      <c r="U70" s="432">
        <v>19.459</v>
      </c>
      <c r="V70" s="670">
        <v>330</v>
      </c>
      <c r="W70" s="668">
        <f t="shared" si="0"/>
        <v>18.669382213170401</v>
      </c>
      <c r="X70" s="668">
        <v>17.5</v>
      </c>
      <c r="Y70" s="668">
        <v>0.2</v>
      </c>
      <c r="Z70" s="432">
        <f t="shared" si="1"/>
        <v>0.42119047619047617</v>
      </c>
      <c r="AA70" s="432">
        <f t="shared" si="4"/>
        <v>16.792199999999998</v>
      </c>
      <c r="AB70" s="432">
        <f t="shared" si="5"/>
        <v>18.486049999999999</v>
      </c>
      <c r="AC70" s="670">
        <f t="shared" si="6"/>
        <v>313.5</v>
      </c>
      <c r="AD70" s="432">
        <v>20</v>
      </c>
      <c r="AE70" s="670">
        <v>17</v>
      </c>
      <c r="AF70" s="842">
        <v>31</v>
      </c>
      <c r="AG70" s="432">
        <f t="shared" si="12"/>
        <v>520.55819999999994</v>
      </c>
      <c r="AH70" s="669"/>
    </row>
    <row r="71" spans="3:34" ht="18.75" customHeight="1" x14ac:dyDescent="0.2">
      <c r="C71" s="842">
        <v>57</v>
      </c>
      <c r="D71" s="461" t="s">
        <v>210</v>
      </c>
      <c r="E71" s="842" t="s">
        <v>46</v>
      </c>
      <c r="F71" s="842">
        <v>728.32</v>
      </c>
      <c r="G71" s="842" t="s">
        <v>226</v>
      </c>
      <c r="H71" s="842">
        <v>177.8</v>
      </c>
      <c r="I71" s="842" t="s">
        <v>28</v>
      </c>
      <c r="J71" s="842" t="s">
        <v>218</v>
      </c>
      <c r="K71" s="838">
        <v>519.38</v>
      </c>
      <c r="L71" s="842">
        <v>280</v>
      </c>
      <c r="M71" s="842"/>
      <c r="N71" s="842">
        <v>186</v>
      </c>
      <c r="O71" s="842"/>
      <c r="P71" s="842">
        <v>10.7</v>
      </c>
      <c r="Q71" s="842"/>
      <c r="R71" s="668">
        <v>44.68899186537795</v>
      </c>
      <c r="S71" s="668">
        <f t="shared" si="10"/>
        <v>89.6</v>
      </c>
      <c r="T71" s="432">
        <v>16.074000000000002</v>
      </c>
      <c r="U71" s="432">
        <v>64.468000000000004</v>
      </c>
      <c r="V71" s="670">
        <v>490</v>
      </c>
      <c r="W71" s="668">
        <f t="shared" si="0"/>
        <v>30.484011447057355</v>
      </c>
      <c r="X71" s="668">
        <f t="shared" si="9"/>
        <v>75.066699758019482</v>
      </c>
      <c r="Y71" s="668">
        <v>0.2</v>
      </c>
      <c r="Z71" s="432">
        <f t="shared" si="1"/>
        <v>0.71950892857142867</v>
      </c>
      <c r="AA71" s="432">
        <f t="shared" si="4"/>
        <v>15.270300000000001</v>
      </c>
      <c r="AB71" s="432">
        <f t="shared" si="5"/>
        <v>61.244599999999998</v>
      </c>
      <c r="AC71" s="670">
        <f t="shared" si="6"/>
        <v>465.5</v>
      </c>
      <c r="AD71" s="432">
        <f t="shared" si="7"/>
        <v>30.484011447057355</v>
      </c>
      <c r="AE71" s="670">
        <f t="shared" si="2"/>
        <v>75.066699758019482</v>
      </c>
      <c r="AF71" s="842">
        <v>31</v>
      </c>
      <c r="AG71" s="432">
        <f t="shared" si="12"/>
        <v>473.3793</v>
      </c>
      <c r="AH71" s="449"/>
    </row>
    <row r="72" spans="3:34" ht="18.75" customHeight="1" x14ac:dyDescent="0.2">
      <c r="C72" s="842">
        <v>58</v>
      </c>
      <c r="D72" s="461" t="s">
        <v>63</v>
      </c>
      <c r="E72" s="842" t="s">
        <v>46</v>
      </c>
      <c r="F72" s="842">
        <v>672.99</v>
      </c>
      <c r="G72" s="842" t="s">
        <v>98</v>
      </c>
      <c r="H72" s="842">
        <v>177.8</v>
      </c>
      <c r="I72" s="842" t="s">
        <v>28</v>
      </c>
      <c r="J72" s="842" t="s">
        <v>310</v>
      </c>
      <c r="K72" s="838">
        <v>536.32000000000005</v>
      </c>
      <c r="L72" s="842">
        <v>310</v>
      </c>
      <c r="M72" s="842"/>
      <c r="N72" s="842">
        <v>396</v>
      </c>
      <c r="O72" s="842"/>
      <c r="P72" s="842">
        <v>9.1999999999999993</v>
      </c>
      <c r="Q72" s="842"/>
      <c r="R72" s="668">
        <v>24.217941702894802</v>
      </c>
      <c r="S72" s="668">
        <f t="shared" si="10"/>
        <v>68.2</v>
      </c>
      <c r="T72" s="432">
        <v>15.048</v>
      </c>
      <c r="U72" s="432">
        <v>19.568000000000001</v>
      </c>
      <c r="V72" s="670">
        <v>1089</v>
      </c>
      <c r="W72" s="668">
        <f t="shared" si="0"/>
        <v>72.368421052631575</v>
      </c>
      <c r="X72" s="668">
        <f t="shared" si="9"/>
        <v>23.098937040065419</v>
      </c>
      <c r="Y72" s="668">
        <v>0.5</v>
      </c>
      <c r="Z72" s="432">
        <f t="shared" si="1"/>
        <v>0.28692082111436951</v>
      </c>
      <c r="AA72" s="432">
        <f t="shared" si="4"/>
        <v>14.295599999999999</v>
      </c>
      <c r="AB72" s="432">
        <f t="shared" si="5"/>
        <v>18.589600000000001</v>
      </c>
      <c r="AC72" s="670">
        <f t="shared" si="6"/>
        <v>1034.55</v>
      </c>
      <c r="AD72" s="432">
        <f t="shared" si="7"/>
        <v>72.368421052631575</v>
      </c>
      <c r="AE72" s="670">
        <f t="shared" si="2"/>
        <v>23.098937040065419</v>
      </c>
      <c r="AF72" s="842">
        <v>31</v>
      </c>
      <c r="AG72" s="432">
        <f t="shared" si="12"/>
        <v>443.16359999999997</v>
      </c>
      <c r="AH72" s="449"/>
    </row>
    <row r="73" spans="3:34" ht="18.75" customHeight="1" x14ac:dyDescent="0.2">
      <c r="C73" s="842">
        <v>59</v>
      </c>
      <c r="D73" s="461" t="s">
        <v>217</v>
      </c>
      <c r="E73" s="842" t="s">
        <v>46</v>
      </c>
      <c r="F73" s="842">
        <v>684.57</v>
      </c>
      <c r="G73" s="842" t="s">
        <v>359</v>
      </c>
      <c r="H73" s="842">
        <v>177.8</v>
      </c>
      <c r="I73" s="842" t="s">
        <v>28</v>
      </c>
      <c r="J73" s="842" t="s">
        <v>219</v>
      </c>
      <c r="K73" s="838">
        <v>555.95000000000005</v>
      </c>
      <c r="L73" s="842">
        <v>300</v>
      </c>
      <c r="M73" s="842"/>
      <c r="N73" s="842">
        <v>195</v>
      </c>
      <c r="O73" s="842"/>
      <c r="P73" s="842">
        <v>8.8000000000000007</v>
      </c>
      <c r="Q73" s="842"/>
      <c r="R73" s="668">
        <v>45.969929182577125</v>
      </c>
      <c r="S73" s="668">
        <f t="shared" si="10"/>
        <v>36</v>
      </c>
      <c r="T73" s="432">
        <v>2.7789999999999999</v>
      </c>
      <c r="U73" s="432">
        <v>18.268999999999998</v>
      </c>
      <c r="V73" s="670">
        <v>61</v>
      </c>
      <c r="W73" s="668">
        <f t="shared" si="0"/>
        <v>21.950341849586184</v>
      </c>
      <c r="X73" s="668">
        <f t="shared" si="9"/>
        <v>84.788439432919148</v>
      </c>
      <c r="Y73" s="668">
        <v>0.5</v>
      </c>
      <c r="Z73" s="432">
        <f t="shared" si="1"/>
        <v>0.50747222222222221</v>
      </c>
      <c r="AA73" s="432">
        <f t="shared" si="4"/>
        <v>2.64005</v>
      </c>
      <c r="AB73" s="432">
        <f t="shared" si="5"/>
        <v>17.355549999999997</v>
      </c>
      <c r="AC73" s="670">
        <f t="shared" si="6"/>
        <v>57.949999999999996</v>
      </c>
      <c r="AD73" s="432">
        <f t="shared" si="7"/>
        <v>21.950341849586184</v>
      </c>
      <c r="AE73" s="670">
        <f t="shared" si="2"/>
        <v>84.788439432919148</v>
      </c>
      <c r="AF73" s="842">
        <v>31</v>
      </c>
      <c r="AG73" s="432">
        <f t="shared" si="12"/>
        <v>81.841549999999998</v>
      </c>
      <c r="AH73" s="449"/>
    </row>
    <row r="74" spans="3:34" ht="18.75" customHeight="1" x14ac:dyDescent="0.2">
      <c r="C74" s="842">
        <v>60</v>
      </c>
      <c r="D74" s="461" t="s">
        <v>211</v>
      </c>
      <c r="E74" s="842" t="s">
        <v>46</v>
      </c>
      <c r="F74" s="842">
        <v>675.29</v>
      </c>
      <c r="G74" s="842" t="s">
        <v>224</v>
      </c>
      <c r="H74" s="842">
        <v>177.8</v>
      </c>
      <c r="I74" s="842" t="s">
        <v>28</v>
      </c>
      <c r="J74" s="842" t="s">
        <v>384</v>
      </c>
      <c r="K74" s="838">
        <v>554.95999999999981</v>
      </c>
      <c r="L74" s="842">
        <v>200</v>
      </c>
      <c r="M74" s="842"/>
      <c r="N74" s="842">
        <v>414</v>
      </c>
      <c r="O74" s="842"/>
      <c r="P74" s="842">
        <v>0.4</v>
      </c>
      <c r="Q74" s="842"/>
      <c r="R74" s="668">
        <v>15.838639788440647</v>
      </c>
      <c r="S74" s="668">
        <f>(22*L74)/100</f>
        <v>44</v>
      </c>
      <c r="T74" s="432">
        <v>2.524</v>
      </c>
      <c r="U74" s="432">
        <v>4.109</v>
      </c>
      <c r="V74" s="670">
        <v>51</v>
      </c>
      <c r="W74" s="668">
        <f t="shared" si="0"/>
        <v>20.206022187004756</v>
      </c>
      <c r="X74" s="668">
        <f t="shared" si="9"/>
        <v>38.573862253589681</v>
      </c>
      <c r="Y74" s="668">
        <v>0.4</v>
      </c>
      <c r="Z74" s="432">
        <f t="shared" si="1"/>
        <v>9.3386363636363642E-2</v>
      </c>
      <c r="AA74" s="432">
        <f t="shared" si="4"/>
        <v>2.3977999999999997</v>
      </c>
      <c r="AB74" s="432">
        <f t="shared" si="5"/>
        <v>3.9035499999999996</v>
      </c>
      <c r="AC74" s="670">
        <f t="shared" si="6"/>
        <v>48.449999999999996</v>
      </c>
      <c r="AD74" s="432">
        <f t="shared" si="7"/>
        <v>20.206022187004756</v>
      </c>
      <c r="AE74" s="670">
        <f t="shared" si="2"/>
        <v>38.573862253589681</v>
      </c>
      <c r="AF74" s="842">
        <v>31</v>
      </c>
      <c r="AG74" s="432">
        <f t="shared" si="12"/>
        <v>74.331799999999987</v>
      </c>
      <c r="AH74" s="449"/>
    </row>
    <row r="75" spans="3:34" ht="18.75" customHeight="1" x14ac:dyDescent="0.2">
      <c r="C75" s="842">
        <v>61</v>
      </c>
      <c r="D75" s="461" t="s">
        <v>341</v>
      </c>
      <c r="E75" s="842" t="s">
        <v>46</v>
      </c>
      <c r="F75" s="842">
        <v>683.16</v>
      </c>
      <c r="G75" s="842" t="s">
        <v>343</v>
      </c>
      <c r="H75" s="842">
        <v>177.8</v>
      </c>
      <c r="I75" s="842" t="s">
        <v>28</v>
      </c>
      <c r="J75" s="842" t="s">
        <v>342</v>
      </c>
      <c r="K75" s="838">
        <v>571.9</v>
      </c>
      <c r="L75" s="842">
        <v>225</v>
      </c>
      <c r="M75" s="842"/>
      <c r="N75" s="842">
        <v>260</v>
      </c>
      <c r="O75" s="842"/>
      <c r="P75" s="842">
        <v>9.6999999999999993</v>
      </c>
      <c r="Q75" s="842"/>
      <c r="R75" s="668">
        <v>35.333343869751502</v>
      </c>
      <c r="S75" s="668">
        <f>(20*L75)/100</f>
        <v>45</v>
      </c>
      <c r="T75" s="432">
        <v>21.454999999999998</v>
      </c>
      <c r="U75" s="432">
        <v>26.898</v>
      </c>
      <c r="V75" s="670">
        <v>601</v>
      </c>
      <c r="W75" s="668">
        <f t="shared" si="0"/>
        <v>28.012118387322303</v>
      </c>
      <c r="X75" s="668">
        <f t="shared" si="9"/>
        <v>20.235705256896431</v>
      </c>
      <c r="Y75" s="668">
        <v>0.2</v>
      </c>
      <c r="Z75" s="432">
        <f t="shared" si="1"/>
        <v>0.59773333333333334</v>
      </c>
      <c r="AA75" s="432">
        <f t="shared" si="4"/>
        <v>20.382249999999999</v>
      </c>
      <c r="AB75" s="432">
        <f t="shared" si="5"/>
        <v>25.553099999999997</v>
      </c>
      <c r="AC75" s="670">
        <f t="shared" si="6"/>
        <v>570.94999999999993</v>
      </c>
      <c r="AD75" s="432">
        <f t="shared" si="7"/>
        <v>28.012118387322303</v>
      </c>
      <c r="AE75" s="670">
        <f t="shared" si="2"/>
        <v>20.235705256896431</v>
      </c>
      <c r="AF75" s="842">
        <v>31</v>
      </c>
      <c r="AG75" s="432">
        <f t="shared" si="12"/>
        <v>631.84974999999997</v>
      </c>
      <c r="AH75" s="449"/>
    </row>
    <row r="76" spans="3:34" ht="18.75" customHeight="1" x14ac:dyDescent="0.2">
      <c r="C76" s="842">
        <v>62</v>
      </c>
      <c r="D76" s="461" t="s">
        <v>354</v>
      </c>
      <c r="E76" s="842" t="s">
        <v>46</v>
      </c>
      <c r="F76" s="842">
        <v>634.29</v>
      </c>
      <c r="G76" s="832" t="s">
        <v>356</v>
      </c>
      <c r="H76" s="842">
        <v>178.8</v>
      </c>
      <c r="I76" s="842" t="s">
        <v>28</v>
      </c>
      <c r="J76" s="842" t="s">
        <v>366</v>
      </c>
      <c r="K76" s="838">
        <v>540.14</v>
      </c>
      <c r="L76" s="842">
        <v>170</v>
      </c>
      <c r="M76" s="842"/>
      <c r="N76" s="842">
        <v>294</v>
      </c>
      <c r="O76" s="842"/>
      <c r="P76" s="842">
        <v>10.8</v>
      </c>
      <c r="Q76" s="842"/>
      <c r="R76" s="668">
        <v>35.298523183629129</v>
      </c>
      <c r="S76" s="668">
        <f>(33*L76)/100</f>
        <v>56.1</v>
      </c>
      <c r="T76" s="432">
        <v>18.818999999999999</v>
      </c>
      <c r="U76" s="432">
        <v>39.299999999999997</v>
      </c>
      <c r="V76" s="670">
        <v>310</v>
      </c>
      <c r="W76" s="668">
        <f t="shared" si="0"/>
        <v>16.47271374674531</v>
      </c>
      <c r="X76" s="668">
        <f t="shared" si="9"/>
        <v>52.114503816793892</v>
      </c>
      <c r="Y76" s="668">
        <v>0.2</v>
      </c>
      <c r="Z76" s="432">
        <f t="shared" si="1"/>
        <v>0.70053475935828868</v>
      </c>
      <c r="AA76" s="432">
        <f t="shared" si="4"/>
        <v>17.878049999999998</v>
      </c>
      <c r="AB76" s="432">
        <f t="shared" si="5"/>
        <v>37.334999999999994</v>
      </c>
      <c r="AC76" s="670">
        <f t="shared" si="6"/>
        <v>294.5</v>
      </c>
      <c r="AD76" s="432">
        <f t="shared" si="7"/>
        <v>16.47271374674531</v>
      </c>
      <c r="AE76" s="670">
        <f t="shared" si="2"/>
        <v>52.114503816793892</v>
      </c>
      <c r="AF76" s="842">
        <v>31</v>
      </c>
      <c r="AG76" s="432">
        <f t="shared" si="12"/>
        <v>554.21954999999991</v>
      </c>
      <c r="AH76" s="449"/>
    </row>
    <row r="77" spans="3:34" ht="18.75" customHeight="1" x14ac:dyDescent="0.2">
      <c r="C77" s="842">
        <v>63</v>
      </c>
      <c r="D77" s="461" t="s">
        <v>172</v>
      </c>
      <c r="E77" s="842" t="s">
        <v>46</v>
      </c>
      <c r="F77" s="842">
        <v>673</v>
      </c>
      <c r="G77" s="842" t="s">
        <v>173</v>
      </c>
      <c r="H77" s="842">
        <v>177.8</v>
      </c>
      <c r="I77" s="842" t="s">
        <v>28</v>
      </c>
      <c r="J77" s="842" t="s">
        <v>50</v>
      </c>
      <c r="K77" s="838">
        <v>560.79</v>
      </c>
      <c r="L77" s="842">
        <v>365</v>
      </c>
      <c r="M77" s="842"/>
      <c r="N77" s="842">
        <v>161</v>
      </c>
      <c r="O77" s="842"/>
      <c r="P77" s="842">
        <v>2.2999999999999998</v>
      </c>
      <c r="Q77" s="842"/>
      <c r="R77" s="448">
        <v>43.016696230343079</v>
      </c>
      <c r="S77" s="668">
        <f>LEFT(J77,(FIND("K",J77,1)-1))*L77/100</f>
        <v>21.9</v>
      </c>
      <c r="T77" s="432">
        <v>1.4390000000000001</v>
      </c>
      <c r="U77" s="432">
        <v>7.859</v>
      </c>
      <c r="V77" s="670">
        <v>0</v>
      </c>
      <c r="W77" s="668">
        <f t="shared" si="0"/>
        <v>0</v>
      </c>
      <c r="X77" s="668">
        <f t="shared" si="9"/>
        <v>81.689782415065523</v>
      </c>
      <c r="Y77" s="668">
        <v>0.2</v>
      </c>
      <c r="Z77" s="432">
        <f t="shared" si="1"/>
        <v>0.35885844748858448</v>
      </c>
      <c r="AA77" s="432">
        <f t="shared" si="4"/>
        <v>1.3670500000000001</v>
      </c>
      <c r="AB77" s="432">
        <f t="shared" si="5"/>
        <v>7.4660500000000001</v>
      </c>
      <c r="AC77" s="670">
        <f t="shared" si="6"/>
        <v>0</v>
      </c>
      <c r="AD77" s="432">
        <f t="shared" si="7"/>
        <v>0</v>
      </c>
      <c r="AE77" s="670">
        <f t="shared" si="2"/>
        <v>81.689782415065523</v>
      </c>
      <c r="AF77" s="842">
        <v>31</v>
      </c>
      <c r="AG77" s="432">
        <f>AA77*AF77</f>
        <v>42.378550000000004</v>
      </c>
      <c r="AH77" s="449"/>
    </row>
    <row r="78" spans="3:34" ht="18.75" customHeight="1" x14ac:dyDescent="0.25">
      <c r="C78" s="869"/>
      <c r="D78" s="842"/>
      <c r="E78" s="842"/>
      <c r="F78" s="838"/>
      <c r="G78" s="838"/>
      <c r="H78" s="461"/>
      <c r="I78" s="842"/>
      <c r="J78" s="842"/>
      <c r="K78" s="838"/>
      <c r="L78" s="838"/>
      <c r="M78" s="838"/>
      <c r="N78" s="838"/>
      <c r="O78" s="838"/>
      <c r="P78" s="842"/>
      <c r="Q78" s="838"/>
      <c r="R78" s="668"/>
      <c r="S78" s="448"/>
      <c r="T78" s="466">
        <f>SUM(T15:T77)</f>
        <v>385.98900000000003</v>
      </c>
      <c r="U78" s="466">
        <f>SUM(U15:U77)</f>
        <v>819.53800000000001</v>
      </c>
      <c r="V78" s="512">
        <f>SUM(V15:V77)</f>
        <v>10602.143</v>
      </c>
      <c r="W78" s="466">
        <f>V78/T78</f>
        <v>27.467474461707457</v>
      </c>
      <c r="X78" s="466"/>
      <c r="Y78" s="466"/>
      <c r="Z78" s="466"/>
      <c r="AA78" s="466">
        <f>SUM(AA15:AA77)</f>
        <v>366.68954999999994</v>
      </c>
      <c r="AB78" s="466">
        <f>SUM(AB15:AB77)</f>
        <v>778.5610999999999</v>
      </c>
      <c r="AC78" s="678">
        <f>SUM(AC15:AC77)</f>
        <v>10072.035850000004</v>
      </c>
      <c r="AD78" s="466">
        <f>AC78/AA78</f>
        <v>27.467474461707472</v>
      </c>
      <c r="AE78" s="466"/>
      <c r="AF78" s="841"/>
      <c r="AG78" s="466">
        <f>SUM(AG15:AG77)</f>
        <v>11367.376049999995</v>
      </c>
      <c r="AH78" s="669"/>
    </row>
    <row r="79" spans="3:34" ht="18.75" customHeight="1" x14ac:dyDescent="0.25">
      <c r="C79" s="869"/>
      <c r="D79" s="842"/>
      <c r="E79" s="842"/>
      <c r="F79" s="838"/>
      <c r="G79" s="838"/>
      <c r="H79" s="461"/>
      <c r="I79" s="842"/>
      <c r="J79" s="842"/>
      <c r="K79" s="838"/>
      <c r="L79" s="838"/>
      <c r="M79" s="838"/>
      <c r="N79" s="838"/>
      <c r="O79" s="838"/>
      <c r="P79" s="842"/>
      <c r="Q79" s="838"/>
      <c r="R79" s="668"/>
      <c r="S79" s="448"/>
      <c r="T79" s="466"/>
      <c r="U79" s="466"/>
      <c r="V79" s="512"/>
      <c r="W79" s="466"/>
      <c r="X79" s="466"/>
      <c r="Y79" s="466"/>
      <c r="Z79" s="466"/>
      <c r="AA79" s="466"/>
      <c r="AB79" s="708"/>
      <c r="AC79" s="678"/>
      <c r="AD79" s="466"/>
      <c r="AE79" s="466"/>
      <c r="AF79" s="841"/>
      <c r="AG79" s="466"/>
      <c r="AH79" s="669"/>
    </row>
    <row r="80" spans="3:34" ht="18.75" customHeight="1" x14ac:dyDescent="0.25">
      <c r="C80" s="869"/>
      <c r="D80" s="842"/>
      <c r="E80" s="842"/>
      <c r="F80" s="838"/>
      <c r="G80" s="837" t="s">
        <v>388</v>
      </c>
      <c r="H80" s="461"/>
      <c r="I80" s="842"/>
      <c r="J80" s="842"/>
      <c r="K80" s="838"/>
      <c r="L80" s="838"/>
      <c r="M80" s="838"/>
      <c r="N80" s="838"/>
      <c r="O80" s="838"/>
      <c r="P80" s="842"/>
      <c r="Q80" s="838"/>
      <c r="R80" s="668"/>
      <c r="S80" s="448"/>
      <c r="T80" s="466"/>
      <c r="U80" s="466"/>
      <c r="V80" s="512"/>
      <c r="W80" s="466"/>
      <c r="X80" s="466"/>
      <c r="Y80" s="466"/>
      <c r="Z80" s="466"/>
      <c r="AA80" s="466"/>
      <c r="AB80" s="708"/>
      <c r="AC80" s="678"/>
      <c r="AD80" s="466"/>
      <c r="AE80" s="466"/>
      <c r="AF80" s="841"/>
      <c r="AG80" s="466"/>
      <c r="AH80" s="669"/>
    </row>
    <row r="81" spans="3:34" ht="18.75" customHeight="1" x14ac:dyDescent="0.2">
      <c r="C81" s="842">
        <v>64</v>
      </c>
      <c r="D81" s="461" t="s">
        <v>423</v>
      </c>
      <c r="E81" s="842" t="s">
        <v>445</v>
      </c>
      <c r="F81" s="838">
        <v>683.8</v>
      </c>
      <c r="G81" s="838" t="s">
        <v>473</v>
      </c>
      <c r="H81" s="842">
        <v>177.8</v>
      </c>
      <c r="I81" s="842" t="s">
        <v>28</v>
      </c>
      <c r="J81" s="842" t="s">
        <v>48</v>
      </c>
      <c r="K81" s="838">
        <v>590.46</v>
      </c>
      <c r="L81" s="838">
        <v>200</v>
      </c>
      <c r="M81" s="838"/>
      <c r="N81" s="838">
        <v>162</v>
      </c>
      <c r="O81" s="838"/>
      <c r="P81" s="842">
        <v>10.7</v>
      </c>
      <c r="Q81" s="838"/>
      <c r="R81" s="668">
        <v>48.135572082907821</v>
      </c>
      <c r="S81" s="668">
        <f t="shared" ref="S81:S83" si="13">LEFT(J81,(FIND("K",J81,1)-1))*L81/100</f>
        <v>26</v>
      </c>
      <c r="T81" s="432">
        <v>14</v>
      </c>
      <c r="U81" s="432">
        <v>14.01</v>
      </c>
      <c r="V81" s="492">
        <v>812</v>
      </c>
      <c r="W81" s="668">
        <f t="shared" ref="W81:W83" si="14">V81/T81</f>
        <v>58</v>
      </c>
      <c r="X81" s="668">
        <f t="shared" ref="X81:X83" si="15">(U81-T81)/U81*100</f>
        <v>7.1377587437543091E-2</v>
      </c>
      <c r="Y81" s="668">
        <v>0.1</v>
      </c>
      <c r="Z81" s="432">
        <f t="shared" ref="Z81:Z83" si="16">U81/S81</f>
        <v>0.53884615384615386</v>
      </c>
      <c r="AA81" s="432">
        <f>T81*0.95</f>
        <v>13.299999999999999</v>
      </c>
      <c r="AB81" s="432">
        <f>U81*0.95</f>
        <v>13.3095</v>
      </c>
      <c r="AC81" s="670">
        <f>V81*0.95</f>
        <v>771.4</v>
      </c>
      <c r="AD81" s="432">
        <f t="shared" ref="AD81:AE83" si="17">W81</f>
        <v>58</v>
      </c>
      <c r="AE81" s="670">
        <f t="shared" si="17"/>
        <v>7.1377587437543091E-2</v>
      </c>
      <c r="AF81" s="842">
        <v>31</v>
      </c>
      <c r="AG81" s="432">
        <f>AA81*AF81</f>
        <v>412.29999999999995</v>
      </c>
      <c r="AH81" s="669"/>
    </row>
    <row r="82" spans="3:34" ht="18.75" customHeight="1" x14ac:dyDescent="0.2">
      <c r="C82" s="842">
        <v>65</v>
      </c>
      <c r="D82" s="461" t="s">
        <v>213</v>
      </c>
      <c r="E82" s="842" t="s">
        <v>445</v>
      </c>
      <c r="F82" s="842">
        <v>690.8</v>
      </c>
      <c r="G82" s="842" t="s">
        <v>474</v>
      </c>
      <c r="H82" s="842">
        <v>177.8</v>
      </c>
      <c r="I82" s="842" t="s">
        <v>28</v>
      </c>
      <c r="J82" s="842" t="s">
        <v>48</v>
      </c>
      <c r="K82" s="838">
        <v>660.45</v>
      </c>
      <c r="L82" s="842">
        <v>170</v>
      </c>
      <c r="M82" s="842"/>
      <c r="N82" s="842">
        <v>380</v>
      </c>
      <c r="O82" s="842"/>
      <c r="P82" s="842">
        <v>9.1999999999999993</v>
      </c>
      <c r="Q82" s="842"/>
      <c r="R82" s="668">
        <v>26.102085449296023</v>
      </c>
      <c r="S82" s="668">
        <f t="shared" si="13"/>
        <v>22.1</v>
      </c>
      <c r="T82" s="432">
        <v>9.0359999999999996</v>
      </c>
      <c r="U82" s="432">
        <v>11.603</v>
      </c>
      <c r="V82" s="670">
        <v>228</v>
      </c>
      <c r="W82" s="668">
        <f t="shared" si="14"/>
        <v>25.232403718459498</v>
      </c>
      <c r="X82" s="668">
        <f t="shared" si="15"/>
        <v>22.123588727053349</v>
      </c>
      <c r="Y82" s="668">
        <v>0.2</v>
      </c>
      <c r="Z82" s="432">
        <f t="shared" si="16"/>
        <v>0.52502262443438907</v>
      </c>
      <c r="AA82" s="432">
        <f t="shared" ref="AA82" si="18">T82*0.95</f>
        <v>8.5841999999999992</v>
      </c>
      <c r="AB82" s="432">
        <f t="shared" ref="AB82" si="19">U82*0.95</f>
        <v>11.02285</v>
      </c>
      <c r="AC82" s="670">
        <f t="shared" ref="AC82" si="20">V82*0.95</f>
        <v>216.6</v>
      </c>
      <c r="AD82" s="432">
        <f t="shared" si="17"/>
        <v>25.232403718459498</v>
      </c>
      <c r="AE82" s="670">
        <f t="shared" si="17"/>
        <v>22.123588727053349</v>
      </c>
      <c r="AF82" s="842">
        <v>31</v>
      </c>
      <c r="AG82" s="432">
        <f t="shared" ref="AG82" si="21">AA82*AF82</f>
        <v>266.11019999999996</v>
      </c>
      <c r="AH82" s="669"/>
    </row>
    <row r="83" spans="3:34" ht="18.75" customHeight="1" x14ac:dyDescent="0.2">
      <c r="C83" s="842">
        <v>66</v>
      </c>
      <c r="D83" s="461" t="s">
        <v>451</v>
      </c>
      <c r="E83" s="842" t="s">
        <v>445</v>
      </c>
      <c r="F83" s="838">
        <v>683.2700000000001</v>
      </c>
      <c r="G83" s="838" t="s">
        <v>475</v>
      </c>
      <c r="H83" s="842">
        <v>177.8</v>
      </c>
      <c r="I83" s="842" t="s">
        <v>28</v>
      </c>
      <c r="J83" s="842" t="s">
        <v>218</v>
      </c>
      <c r="K83" s="838">
        <v>618.30999999999995</v>
      </c>
      <c r="L83" s="838">
        <v>230</v>
      </c>
      <c r="M83" s="838"/>
      <c r="N83" s="838">
        <v>0</v>
      </c>
      <c r="O83" s="838"/>
      <c r="P83" s="842">
        <v>30</v>
      </c>
      <c r="Q83" s="838"/>
      <c r="R83" s="668">
        <v>83.933001097057002</v>
      </c>
      <c r="S83" s="668">
        <f t="shared" si="13"/>
        <v>73.599999999999994</v>
      </c>
      <c r="T83" s="432">
        <v>24.986999999999998</v>
      </c>
      <c r="U83" s="432">
        <v>28.414000000000001</v>
      </c>
      <c r="V83" s="492">
        <v>1727</v>
      </c>
      <c r="W83" s="668">
        <f t="shared" si="14"/>
        <v>69.115940288950256</v>
      </c>
      <c r="X83" s="668">
        <f t="shared" si="15"/>
        <v>12.060955866826223</v>
      </c>
      <c r="Y83" s="668">
        <v>0.1</v>
      </c>
      <c r="Z83" s="432">
        <f t="shared" si="16"/>
        <v>0.38605978260869572</v>
      </c>
      <c r="AA83" s="432">
        <f t="shared" ref="AA83:AA84" si="22">T83*0.95</f>
        <v>23.737649999999999</v>
      </c>
      <c r="AB83" s="432">
        <f t="shared" ref="AB83:AB84" si="23">U83*0.95</f>
        <v>26.993300000000001</v>
      </c>
      <c r="AC83" s="670">
        <f t="shared" ref="AC83:AC84" si="24">V83*0.95</f>
        <v>1640.6499999999999</v>
      </c>
      <c r="AD83" s="432">
        <f t="shared" si="17"/>
        <v>69.115940288950256</v>
      </c>
      <c r="AE83" s="670">
        <f t="shared" si="17"/>
        <v>12.060955866826223</v>
      </c>
      <c r="AF83" s="842">
        <v>31</v>
      </c>
      <c r="AG83" s="432">
        <f>AA83*AF83</f>
        <v>735.86714999999992</v>
      </c>
      <c r="AH83" s="669"/>
    </row>
    <row r="84" spans="3:34" ht="18.75" customHeight="1" x14ac:dyDescent="0.2">
      <c r="C84" s="842">
        <v>67</v>
      </c>
      <c r="D84" s="461" t="s">
        <v>424</v>
      </c>
      <c r="E84" s="842" t="s">
        <v>445</v>
      </c>
      <c r="F84" s="838">
        <v>691</v>
      </c>
      <c r="G84" s="838" t="s">
        <v>476</v>
      </c>
      <c r="H84" s="842">
        <v>177.8</v>
      </c>
      <c r="I84" s="842" t="s">
        <v>28</v>
      </c>
      <c r="J84" s="842" t="s">
        <v>48</v>
      </c>
      <c r="K84" s="838">
        <v>588.74</v>
      </c>
      <c r="L84" s="838">
        <v>170</v>
      </c>
      <c r="M84" s="838"/>
      <c r="N84" s="838">
        <v>272</v>
      </c>
      <c r="O84" s="838"/>
      <c r="P84" s="842">
        <v>11</v>
      </c>
      <c r="Q84" s="838"/>
      <c r="R84" s="668">
        <v>42.567622337090135</v>
      </c>
      <c r="S84" s="668">
        <f t="shared" ref="S84" si="25">LEFT(J84,(FIND("K",J84,1)-1))*L84/100</f>
        <v>22.1</v>
      </c>
      <c r="T84" s="432">
        <v>4.8929999999999998</v>
      </c>
      <c r="U84" s="432">
        <v>4.907</v>
      </c>
      <c r="V84" s="492">
        <v>110</v>
      </c>
      <c r="W84" s="668">
        <f t="shared" ref="W84" si="26">V84/T84</f>
        <v>22.481095442468835</v>
      </c>
      <c r="X84" s="668">
        <f t="shared" ref="X84" si="27">(U84-T84)/U84*100</f>
        <v>0.28530670470756542</v>
      </c>
      <c r="Y84" s="668">
        <v>0.2</v>
      </c>
      <c r="Z84" s="432">
        <f t="shared" ref="Z84" si="28">U84/S84</f>
        <v>0.22203619909502262</v>
      </c>
      <c r="AA84" s="432">
        <f t="shared" si="22"/>
        <v>4.6483499999999998</v>
      </c>
      <c r="AB84" s="432">
        <f t="shared" si="23"/>
        <v>4.6616499999999998</v>
      </c>
      <c r="AC84" s="670">
        <f t="shared" si="24"/>
        <v>104.5</v>
      </c>
      <c r="AD84" s="432">
        <f t="shared" ref="AD84:AE84" si="29">W84</f>
        <v>22.481095442468835</v>
      </c>
      <c r="AE84" s="670">
        <f t="shared" si="29"/>
        <v>0.28530670470756542</v>
      </c>
      <c r="AF84" s="842">
        <v>31</v>
      </c>
      <c r="AG84" s="432">
        <f>AA84*AF84</f>
        <v>144.09885</v>
      </c>
      <c r="AH84" s="669"/>
    </row>
    <row r="85" spans="3:34" ht="18.75" customHeight="1" x14ac:dyDescent="0.25">
      <c r="C85" s="842">
        <v>68</v>
      </c>
      <c r="D85" s="461" t="s">
        <v>155</v>
      </c>
      <c r="E85" s="842" t="s">
        <v>415</v>
      </c>
      <c r="F85" s="842">
        <v>513.9</v>
      </c>
      <c r="G85" s="842" t="s">
        <v>477</v>
      </c>
      <c r="H85" s="842">
        <v>177.8</v>
      </c>
      <c r="I85" s="842"/>
      <c r="J85" s="842"/>
      <c r="K85" s="838">
        <v>9.5</v>
      </c>
      <c r="L85" s="838"/>
      <c r="M85" s="838"/>
      <c r="N85" s="838"/>
      <c r="O85" s="838"/>
      <c r="P85" s="842"/>
      <c r="Q85" s="838"/>
      <c r="R85" s="668"/>
      <c r="S85" s="448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869"/>
      <c r="AG85" s="869"/>
      <c r="AH85" s="669" t="s">
        <v>417</v>
      </c>
    </row>
    <row r="86" spans="3:34" ht="18.75" customHeight="1" x14ac:dyDescent="0.2">
      <c r="C86" s="842">
        <v>69</v>
      </c>
      <c r="D86" s="461" t="s">
        <v>465</v>
      </c>
      <c r="E86" s="842" t="s">
        <v>46</v>
      </c>
      <c r="F86" s="842">
        <v>571.91</v>
      </c>
      <c r="G86" s="842" t="s">
        <v>478</v>
      </c>
      <c r="H86" s="842">
        <v>177.8</v>
      </c>
      <c r="I86" s="842" t="s">
        <v>28</v>
      </c>
      <c r="J86" s="831" t="s">
        <v>466</v>
      </c>
      <c r="K86" s="838">
        <v>566.9000000000002</v>
      </c>
      <c r="L86" s="838"/>
      <c r="M86" s="838"/>
      <c r="N86" s="838"/>
      <c r="O86" s="838"/>
      <c r="P86" s="842"/>
      <c r="Q86" s="838"/>
      <c r="R86" s="668"/>
      <c r="S86" s="448"/>
      <c r="T86" s="466"/>
      <c r="U86" s="466"/>
      <c r="V86" s="512"/>
      <c r="W86" s="466"/>
      <c r="X86" s="466"/>
      <c r="Y86" s="466"/>
      <c r="Z86" s="466"/>
      <c r="AA86" s="466"/>
      <c r="AB86" s="466"/>
      <c r="AC86" s="678"/>
      <c r="AD86" s="466"/>
      <c r="AE86" s="466"/>
      <c r="AF86" s="841"/>
      <c r="AG86" s="466"/>
      <c r="AH86" s="669" t="s">
        <v>471</v>
      </c>
    </row>
    <row r="87" spans="3:34" ht="18.75" customHeight="1" x14ac:dyDescent="0.25">
      <c r="C87" s="869"/>
      <c r="D87" s="673"/>
      <c r="E87" s="673"/>
      <c r="F87" s="673"/>
      <c r="G87" s="673"/>
      <c r="H87" s="461"/>
      <c r="I87" s="842"/>
      <c r="J87" s="842"/>
      <c r="K87" s="842"/>
      <c r="L87" s="838"/>
      <c r="M87" s="838"/>
      <c r="N87" s="838"/>
      <c r="O87" s="838"/>
      <c r="P87" s="838"/>
      <c r="Q87" s="838"/>
      <c r="R87" s="448"/>
      <c r="S87" s="448"/>
      <c r="T87" s="466">
        <f>SUM(T81:T84)</f>
        <v>52.915999999999997</v>
      </c>
      <c r="U87" s="466">
        <f>SUM(U81:U84)</f>
        <v>58.933999999999997</v>
      </c>
      <c r="V87" s="512">
        <f>SUM(V81:V84)</f>
        <v>2877</v>
      </c>
      <c r="W87" s="466">
        <f>V87/T87</f>
        <v>54.369188903167284</v>
      </c>
      <c r="X87" s="466"/>
      <c r="Y87" s="466"/>
      <c r="Z87" s="466"/>
      <c r="AA87" s="466">
        <f>SUM(AA81:AA84)</f>
        <v>50.270199999999996</v>
      </c>
      <c r="AB87" s="466">
        <f>SUM(AB81:AB84)</f>
        <v>55.987299999999998</v>
      </c>
      <c r="AC87" s="678">
        <f>SUM(AC81:AC84)</f>
        <v>2733.1499999999996</v>
      </c>
      <c r="AD87" s="466">
        <f>AC87/AA87</f>
        <v>54.369188903167284</v>
      </c>
      <c r="AE87" s="466"/>
      <c r="AF87" s="841"/>
      <c r="AG87" s="466">
        <f>SUM(AG81:AG84)</f>
        <v>1558.3761999999999</v>
      </c>
      <c r="AH87" s="669"/>
    </row>
    <row r="88" spans="3:34" ht="18.75" customHeight="1" x14ac:dyDescent="0.25">
      <c r="C88" s="870"/>
      <c r="D88" s="851" t="s">
        <v>389</v>
      </c>
      <c r="E88" s="850"/>
      <c r="F88" s="850"/>
      <c r="G88" s="843" t="s">
        <v>470</v>
      </c>
      <c r="H88" s="853"/>
      <c r="I88" s="833"/>
      <c r="J88" s="837"/>
      <c r="K88" s="837"/>
      <c r="L88" s="838"/>
      <c r="M88" s="838"/>
      <c r="N88" s="838"/>
      <c r="O88" s="838"/>
      <c r="P88" s="838"/>
      <c r="Q88" s="838"/>
      <c r="R88" s="448"/>
      <c r="S88" s="448"/>
      <c r="T88" s="838"/>
      <c r="U88" s="437"/>
      <c r="V88" s="838"/>
      <c r="W88" s="833"/>
      <c r="X88" s="833"/>
      <c r="Y88" s="833"/>
      <c r="Z88" s="421"/>
      <c r="AA88" s="838"/>
      <c r="AB88" s="838"/>
      <c r="AC88" s="838"/>
      <c r="AD88" s="833"/>
      <c r="AE88" s="833"/>
      <c r="AF88" s="838"/>
      <c r="AG88" s="838"/>
      <c r="AH88" s="837"/>
    </row>
    <row r="89" spans="3:34" ht="18.75" customHeight="1" x14ac:dyDescent="0.2">
      <c r="C89" s="840">
        <v>70</v>
      </c>
      <c r="D89" s="842" t="s">
        <v>131</v>
      </c>
      <c r="E89" s="840" t="s">
        <v>313</v>
      </c>
      <c r="F89" s="842">
        <v>389.74</v>
      </c>
      <c r="G89" s="679" t="s">
        <v>136</v>
      </c>
      <c r="H89" s="842">
        <v>177.8</v>
      </c>
      <c r="I89" s="842" t="s">
        <v>28</v>
      </c>
      <c r="J89" s="842" t="s">
        <v>58</v>
      </c>
      <c r="K89" s="838">
        <v>142.80000000000001</v>
      </c>
      <c r="L89" s="838">
        <v>360</v>
      </c>
      <c r="M89" s="842"/>
      <c r="N89" s="842">
        <v>35</v>
      </c>
      <c r="O89" s="842"/>
      <c r="P89" s="842">
        <v>0</v>
      </c>
      <c r="Q89" s="842"/>
      <c r="R89" s="668">
        <v>14.564062926997343</v>
      </c>
      <c r="S89" s="448">
        <f>(3*L89)/100</f>
        <v>10.8</v>
      </c>
      <c r="T89" s="432">
        <v>0.19900000000000001</v>
      </c>
      <c r="U89" s="432">
        <v>0.378</v>
      </c>
      <c r="V89" s="432">
        <v>0</v>
      </c>
      <c r="W89" s="432">
        <f>V89/T89</f>
        <v>0</v>
      </c>
      <c r="X89" s="432">
        <f t="shared" ref="X89:X92" si="30">(U89-T89)/U89*100</f>
        <v>47.354497354497354</v>
      </c>
      <c r="Y89" s="432">
        <v>0.3</v>
      </c>
      <c r="Z89" s="432">
        <f t="shared" ref="Z89:Z92" si="31">U89/S89</f>
        <v>3.4999999999999996E-2</v>
      </c>
      <c r="AA89" s="432">
        <f>T89*0.95</f>
        <v>0.18905</v>
      </c>
      <c r="AB89" s="432">
        <f>U89*0.95</f>
        <v>0.35909999999999997</v>
      </c>
      <c r="AC89" s="432">
        <f>V89*0.988</f>
        <v>0</v>
      </c>
      <c r="AD89" s="432">
        <f t="shared" ref="AD89:AE92" si="32">W89</f>
        <v>0</v>
      </c>
      <c r="AE89" s="432">
        <f t="shared" si="32"/>
        <v>47.354497354497354</v>
      </c>
      <c r="AF89" s="842">
        <v>31</v>
      </c>
      <c r="AG89" s="432">
        <f t="shared" ref="AG89:AG92" si="33">AA89*AF89</f>
        <v>5.8605499999999999</v>
      </c>
      <c r="AH89" s="449"/>
    </row>
    <row r="90" spans="3:34" ht="18.75" customHeight="1" x14ac:dyDescent="0.2">
      <c r="C90" s="840">
        <v>71</v>
      </c>
      <c r="D90" s="842" t="s">
        <v>132</v>
      </c>
      <c r="E90" s="840" t="s">
        <v>313</v>
      </c>
      <c r="F90" s="842">
        <v>387.72</v>
      </c>
      <c r="G90" s="679" t="s">
        <v>135</v>
      </c>
      <c r="H90" s="842">
        <v>177.8</v>
      </c>
      <c r="I90" s="842" t="s">
        <v>28</v>
      </c>
      <c r="J90" s="842" t="s">
        <v>58</v>
      </c>
      <c r="K90" s="838">
        <v>136.03</v>
      </c>
      <c r="L90" s="842">
        <v>240</v>
      </c>
      <c r="M90" s="842"/>
      <c r="N90" s="842">
        <v>40</v>
      </c>
      <c r="O90" s="842"/>
      <c r="P90" s="842">
        <v>0</v>
      </c>
      <c r="Q90" s="842"/>
      <c r="R90" s="668">
        <v>12.627215978046731</v>
      </c>
      <c r="S90" s="448">
        <f>(3*L90)/100</f>
        <v>7.2</v>
      </c>
      <c r="T90" s="432">
        <v>3.7469999999999999</v>
      </c>
      <c r="U90" s="432">
        <v>6.6109999999999998</v>
      </c>
      <c r="V90" s="432">
        <v>0</v>
      </c>
      <c r="W90" s="432">
        <f>V90/T90</f>
        <v>0</v>
      </c>
      <c r="X90" s="432">
        <f t="shared" si="30"/>
        <v>43.321736499773102</v>
      </c>
      <c r="Y90" s="432">
        <v>0.3</v>
      </c>
      <c r="Z90" s="432">
        <f t="shared" si="31"/>
        <v>0.91819444444444442</v>
      </c>
      <c r="AA90" s="432">
        <f t="shared" ref="AA90:AA92" si="34">T90*0.95</f>
        <v>3.5596499999999995</v>
      </c>
      <c r="AB90" s="432">
        <f t="shared" ref="AB90:AB92" si="35">U90*0.95</f>
        <v>6.2804499999999992</v>
      </c>
      <c r="AC90" s="432">
        <f t="shared" ref="AC90:AC92" si="36">V90*0.988</f>
        <v>0</v>
      </c>
      <c r="AD90" s="432">
        <v>0</v>
      </c>
      <c r="AE90" s="432">
        <f>X90</f>
        <v>43.321736499773102</v>
      </c>
      <c r="AF90" s="842">
        <v>31</v>
      </c>
      <c r="AG90" s="432">
        <f t="shared" si="33"/>
        <v>110.34914999999998</v>
      </c>
      <c r="AH90" s="449"/>
    </row>
    <row r="91" spans="3:34" ht="18.75" customHeight="1" x14ac:dyDescent="0.3">
      <c r="C91" s="840">
        <v>72</v>
      </c>
      <c r="D91" s="842" t="s">
        <v>121</v>
      </c>
      <c r="E91" s="840" t="s">
        <v>313</v>
      </c>
      <c r="F91" s="842">
        <v>389.57</v>
      </c>
      <c r="G91" s="842" t="s">
        <v>137</v>
      </c>
      <c r="H91" s="842">
        <v>177.8</v>
      </c>
      <c r="I91" s="842" t="s">
        <v>28</v>
      </c>
      <c r="J91" s="656" t="s">
        <v>363</v>
      </c>
      <c r="K91" s="838">
        <v>138.22999999999999</v>
      </c>
      <c r="L91" s="842">
        <v>85</v>
      </c>
      <c r="M91" s="842"/>
      <c r="N91" s="842">
        <v>35</v>
      </c>
      <c r="O91" s="842"/>
      <c r="P91" s="842">
        <v>0</v>
      </c>
      <c r="Q91" s="842"/>
      <c r="R91" s="668">
        <v>14.637453174003252</v>
      </c>
      <c r="S91" s="448">
        <f>(7*L91)/100</f>
        <v>5.95</v>
      </c>
      <c r="T91" s="432">
        <v>3.2</v>
      </c>
      <c r="U91" s="432">
        <v>5.6</v>
      </c>
      <c r="V91" s="432">
        <v>0</v>
      </c>
      <c r="W91" s="432">
        <v>0</v>
      </c>
      <c r="X91" s="432">
        <v>75</v>
      </c>
      <c r="Y91" s="432">
        <v>0</v>
      </c>
      <c r="Z91" s="432">
        <f>U91/S91</f>
        <v>0.94117647058823517</v>
      </c>
      <c r="AA91" s="432">
        <f t="shared" si="34"/>
        <v>3.04</v>
      </c>
      <c r="AB91" s="432">
        <f t="shared" si="35"/>
        <v>5.3199999999999994</v>
      </c>
      <c r="AC91" s="432">
        <f t="shared" si="36"/>
        <v>0</v>
      </c>
      <c r="AD91" s="432">
        <v>0</v>
      </c>
      <c r="AE91" s="432">
        <v>47</v>
      </c>
      <c r="AF91" s="842">
        <v>31</v>
      </c>
      <c r="AG91" s="432">
        <f t="shared" si="33"/>
        <v>94.24</v>
      </c>
      <c r="AH91" s="669"/>
    </row>
    <row r="92" spans="3:34" ht="18.75" customHeight="1" x14ac:dyDescent="0.2">
      <c r="C92" s="840">
        <v>73</v>
      </c>
      <c r="D92" s="842" t="s">
        <v>122</v>
      </c>
      <c r="E92" s="840" t="s">
        <v>313</v>
      </c>
      <c r="F92" s="842">
        <v>391.06</v>
      </c>
      <c r="G92" s="842" t="s">
        <v>138</v>
      </c>
      <c r="H92" s="842">
        <v>177.8</v>
      </c>
      <c r="I92" s="842" t="s">
        <v>28</v>
      </c>
      <c r="J92" s="842" t="s">
        <v>58</v>
      </c>
      <c r="K92" s="432">
        <v>151.72999999999999</v>
      </c>
      <c r="L92" s="842">
        <v>330</v>
      </c>
      <c r="M92" s="841"/>
      <c r="N92" s="842">
        <v>53</v>
      </c>
      <c r="O92" s="841"/>
      <c r="P92" s="842">
        <v>0</v>
      </c>
      <c r="Q92" s="841"/>
      <c r="R92" s="668">
        <v>12.593116120133102</v>
      </c>
      <c r="S92" s="448">
        <f>(3*L92)/100</f>
        <v>9.9</v>
      </c>
      <c r="T92" s="432">
        <v>2.0649999999999999</v>
      </c>
      <c r="U92" s="432">
        <v>2.726</v>
      </c>
      <c r="V92" s="432">
        <v>0</v>
      </c>
      <c r="W92" s="432">
        <f>V92/T92</f>
        <v>0</v>
      </c>
      <c r="X92" s="432">
        <f t="shared" si="30"/>
        <v>24.247982391782834</v>
      </c>
      <c r="Y92" s="432">
        <v>0.4</v>
      </c>
      <c r="Z92" s="432">
        <f t="shared" si="31"/>
        <v>0.27535353535353535</v>
      </c>
      <c r="AA92" s="432">
        <f t="shared" si="34"/>
        <v>1.9617499999999999</v>
      </c>
      <c r="AB92" s="432">
        <f t="shared" si="35"/>
        <v>2.5896999999999997</v>
      </c>
      <c r="AC92" s="432">
        <f t="shared" si="36"/>
        <v>0</v>
      </c>
      <c r="AD92" s="432">
        <f t="shared" si="32"/>
        <v>0</v>
      </c>
      <c r="AE92" s="432">
        <f t="shared" si="32"/>
        <v>24.247982391782834</v>
      </c>
      <c r="AF92" s="842">
        <v>31</v>
      </c>
      <c r="AG92" s="432">
        <f t="shared" si="33"/>
        <v>60.814249999999994</v>
      </c>
      <c r="AH92" s="680"/>
    </row>
    <row r="93" spans="3:34" ht="18.75" customHeight="1" x14ac:dyDescent="0.2">
      <c r="C93" s="840">
        <v>74</v>
      </c>
      <c r="D93" s="842" t="s">
        <v>188</v>
      </c>
      <c r="E93" s="840" t="s">
        <v>344</v>
      </c>
      <c r="F93" s="842">
        <v>400.5</v>
      </c>
      <c r="G93" s="842" t="s">
        <v>345</v>
      </c>
      <c r="H93" s="842">
        <v>177.8</v>
      </c>
      <c r="I93" s="842"/>
      <c r="J93" s="842"/>
      <c r="K93" s="432"/>
      <c r="L93" s="842"/>
      <c r="M93" s="841"/>
      <c r="N93" s="842"/>
      <c r="O93" s="841"/>
      <c r="P93" s="842"/>
      <c r="Q93" s="841"/>
      <c r="R93" s="668"/>
      <c r="S93" s="448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432"/>
      <c r="AE93" s="432"/>
      <c r="AF93" s="842"/>
      <c r="AG93" s="432"/>
      <c r="AH93" s="669"/>
    </row>
    <row r="94" spans="3:34" ht="18.75" customHeight="1" x14ac:dyDescent="0.2">
      <c r="C94" s="840">
        <v>75</v>
      </c>
      <c r="D94" s="842" t="s">
        <v>186</v>
      </c>
      <c r="E94" s="840" t="s">
        <v>346</v>
      </c>
      <c r="F94" s="842">
        <v>349.5</v>
      </c>
      <c r="G94" s="461" t="s">
        <v>347</v>
      </c>
      <c r="H94" s="842">
        <v>177.8</v>
      </c>
      <c r="I94" s="842"/>
      <c r="J94" s="842"/>
      <c r="K94" s="432"/>
      <c r="L94" s="842"/>
      <c r="M94" s="842"/>
      <c r="N94" s="842"/>
      <c r="O94" s="841"/>
      <c r="P94" s="842"/>
      <c r="Q94" s="841"/>
      <c r="R94" s="668"/>
      <c r="S94" s="448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432"/>
      <c r="AE94" s="432"/>
      <c r="AF94" s="842"/>
      <c r="AG94" s="432"/>
      <c r="AH94" s="669"/>
    </row>
    <row r="95" spans="3:34" ht="18.75" customHeight="1" x14ac:dyDescent="0.25">
      <c r="C95" s="869"/>
      <c r="D95" s="847"/>
      <c r="E95" s="852"/>
      <c r="F95" s="852"/>
      <c r="G95" s="848"/>
      <c r="H95" s="838"/>
      <c r="I95" s="833"/>
      <c r="J95" s="837"/>
      <c r="K95" s="837"/>
      <c r="L95" s="838"/>
      <c r="M95" s="838"/>
      <c r="N95" s="838"/>
      <c r="O95" s="838"/>
      <c r="P95" s="838"/>
      <c r="Q95" s="838"/>
      <c r="R95" s="448"/>
      <c r="S95" s="448"/>
      <c r="T95" s="466">
        <f>SUM(T89:T94)</f>
        <v>9.2110000000000003</v>
      </c>
      <c r="U95" s="466">
        <f>SUM(U89:U94)</f>
        <v>15.314999999999998</v>
      </c>
      <c r="V95" s="466">
        <f>SUM(V89:V92)</f>
        <v>0</v>
      </c>
      <c r="W95" s="466">
        <f>SUM(W89:W92)</f>
        <v>0</v>
      </c>
      <c r="X95" s="833"/>
      <c r="Y95" s="833"/>
      <c r="Z95" s="833"/>
      <c r="AA95" s="466">
        <f>SUM(AA89:AA94)</f>
        <v>8.750449999999999</v>
      </c>
      <c r="AB95" s="466">
        <f>SUM(AB89:AB94)</f>
        <v>14.549249999999997</v>
      </c>
      <c r="AC95" s="466">
        <f>SUM(AC89:AC92)</f>
        <v>0</v>
      </c>
      <c r="AD95" s="466">
        <v>0</v>
      </c>
      <c r="AE95" s="833"/>
      <c r="AF95" s="838"/>
      <c r="AG95" s="466">
        <f>SUM(AG89:AG94)</f>
        <v>271.26394999999997</v>
      </c>
      <c r="AH95" s="471"/>
    </row>
    <row r="96" spans="3:34" ht="18.75" customHeight="1" x14ac:dyDescent="0.25">
      <c r="C96" s="869"/>
      <c r="D96" s="847"/>
      <c r="E96" s="852"/>
      <c r="F96" s="852"/>
      <c r="G96" s="848"/>
      <c r="H96" s="841"/>
      <c r="I96" s="842"/>
      <c r="J96" s="842"/>
      <c r="K96" s="432"/>
      <c r="L96" s="842"/>
      <c r="M96" s="841"/>
      <c r="N96" s="842"/>
      <c r="O96" s="841"/>
      <c r="P96" s="668"/>
      <c r="Q96" s="841"/>
      <c r="R96" s="682"/>
      <c r="S96" s="682"/>
      <c r="T96" s="466"/>
      <c r="U96" s="466"/>
      <c r="V96" s="466"/>
      <c r="W96" s="466"/>
      <c r="X96" s="466"/>
      <c r="Y96" s="466"/>
      <c r="Z96" s="466"/>
      <c r="AA96" s="466"/>
      <c r="AB96" s="678"/>
      <c r="AC96" s="466"/>
      <c r="AD96" s="466"/>
      <c r="AE96" s="466"/>
      <c r="AF96" s="466"/>
      <c r="AG96" s="466"/>
      <c r="AH96" s="680"/>
    </row>
    <row r="97" spans="3:34" ht="18.75" customHeight="1" x14ac:dyDescent="0.25">
      <c r="C97" s="869"/>
      <c r="D97" s="849"/>
      <c r="E97" s="850"/>
      <c r="F97" s="850"/>
      <c r="G97" s="851" t="s">
        <v>472</v>
      </c>
      <c r="H97" s="850"/>
      <c r="I97" s="833"/>
      <c r="J97" s="837"/>
      <c r="K97" s="837"/>
      <c r="L97" s="838"/>
      <c r="M97" s="838"/>
      <c r="N97" s="838"/>
      <c r="O97" s="838"/>
      <c r="P97" s="838"/>
      <c r="Q97" s="838"/>
      <c r="R97" s="448"/>
      <c r="S97" s="448"/>
      <c r="T97" s="838"/>
      <c r="U97" s="838"/>
      <c r="V97" s="838"/>
      <c r="W97" s="833"/>
      <c r="X97" s="833"/>
      <c r="Y97" s="833"/>
      <c r="Z97" s="833"/>
      <c r="AA97" s="838"/>
      <c r="AB97" s="838"/>
      <c r="AC97" s="838"/>
      <c r="AD97" s="833"/>
      <c r="AE97" s="833"/>
      <c r="AF97" s="838"/>
      <c r="AG97" s="838"/>
      <c r="AH97" s="837"/>
    </row>
    <row r="98" spans="3:34" ht="18.75" customHeight="1" x14ac:dyDescent="0.2">
      <c r="C98" s="842">
        <v>76</v>
      </c>
      <c r="D98" s="839" t="s">
        <v>107</v>
      </c>
      <c r="E98" s="838" t="s">
        <v>109</v>
      </c>
      <c r="F98" s="838"/>
      <c r="G98" s="838"/>
      <c r="H98" s="838"/>
      <c r="I98" s="833"/>
      <c r="J98" s="837"/>
      <c r="K98" s="837"/>
      <c r="L98" s="838"/>
      <c r="M98" s="838"/>
      <c r="N98" s="838"/>
      <c r="O98" s="838"/>
      <c r="P98" s="838"/>
      <c r="Q98" s="838"/>
      <c r="R98" s="448"/>
      <c r="S98" s="448"/>
      <c r="T98" s="838"/>
      <c r="U98" s="838"/>
      <c r="V98" s="838"/>
      <c r="W98" s="833"/>
      <c r="X98" s="833"/>
      <c r="Y98" s="833"/>
      <c r="Z98" s="833"/>
      <c r="AA98" s="837"/>
      <c r="AB98" s="837"/>
      <c r="AC98" s="838"/>
      <c r="AD98" s="833"/>
      <c r="AE98" s="833"/>
      <c r="AF98" s="493"/>
      <c r="AG98" s="838"/>
      <c r="AH98" s="837"/>
    </row>
    <row r="99" spans="3:34" ht="18.75" customHeight="1" x14ac:dyDescent="0.2">
      <c r="C99" s="842">
        <v>77</v>
      </c>
      <c r="D99" s="839" t="s">
        <v>108</v>
      </c>
      <c r="E99" s="838" t="s">
        <v>109</v>
      </c>
      <c r="F99" s="838"/>
      <c r="G99" s="838"/>
      <c r="H99" s="838"/>
      <c r="I99" s="833"/>
      <c r="J99" s="837"/>
      <c r="K99" s="837"/>
      <c r="L99" s="838"/>
      <c r="M99" s="838"/>
      <c r="N99" s="838"/>
      <c r="O99" s="838"/>
      <c r="P99" s="838"/>
      <c r="Q99" s="838"/>
      <c r="R99" s="448"/>
      <c r="S99" s="448"/>
      <c r="T99" s="838"/>
      <c r="U99" s="838"/>
      <c r="V99" s="838"/>
      <c r="W99" s="833"/>
      <c r="X99" s="833"/>
      <c r="Y99" s="833"/>
      <c r="Z99" s="833"/>
      <c r="AA99" s="837"/>
      <c r="AB99" s="837"/>
      <c r="AC99" s="838"/>
      <c r="AD99" s="833"/>
      <c r="AE99" s="833"/>
      <c r="AF99" s="493"/>
      <c r="AG99" s="838"/>
      <c r="AH99" s="837"/>
    </row>
    <row r="100" spans="3:34" ht="18.75" customHeight="1" x14ac:dyDescent="0.2">
      <c r="C100" s="842">
        <v>78</v>
      </c>
      <c r="D100" s="839" t="s">
        <v>195</v>
      </c>
      <c r="E100" s="840" t="s">
        <v>193</v>
      </c>
      <c r="F100" s="838"/>
      <c r="G100" s="838"/>
      <c r="H100" s="838"/>
      <c r="I100" s="833"/>
      <c r="J100" s="837"/>
      <c r="K100" s="837"/>
      <c r="L100" s="838"/>
      <c r="M100" s="838"/>
      <c r="N100" s="838"/>
      <c r="O100" s="838"/>
      <c r="P100" s="838"/>
      <c r="Q100" s="838"/>
      <c r="R100" s="448"/>
      <c r="S100" s="448"/>
      <c r="T100" s="838"/>
      <c r="U100" s="838"/>
      <c r="V100" s="838"/>
      <c r="W100" s="833"/>
      <c r="X100" s="833"/>
      <c r="Y100" s="833"/>
      <c r="Z100" s="833"/>
      <c r="AA100" s="837"/>
      <c r="AB100" s="837"/>
      <c r="AC100" s="838"/>
      <c r="AD100" s="833"/>
      <c r="AE100" s="833"/>
      <c r="AF100" s="493"/>
      <c r="AG100" s="838"/>
      <c r="AH100" s="837"/>
    </row>
    <row r="101" spans="3:34" ht="18.75" customHeight="1" x14ac:dyDescent="0.2">
      <c r="C101" s="842">
        <v>79</v>
      </c>
      <c r="D101" s="839" t="s">
        <v>192</v>
      </c>
      <c r="E101" s="840" t="s">
        <v>193</v>
      </c>
      <c r="F101" s="838"/>
      <c r="G101" s="838"/>
      <c r="H101" s="838"/>
      <c r="I101" s="833"/>
      <c r="J101" s="837"/>
      <c r="K101" s="837"/>
      <c r="L101" s="838"/>
      <c r="M101" s="838"/>
      <c r="N101" s="838"/>
      <c r="O101" s="838"/>
      <c r="P101" s="838"/>
      <c r="Q101" s="838"/>
      <c r="R101" s="448"/>
      <c r="S101" s="448"/>
      <c r="T101" s="838"/>
      <c r="U101" s="838"/>
      <c r="V101" s="838"/>
      <c r="W101" s="833"/>
      <c r="X101" s="833"/>
      <c r="Y101" s="833"/>
      <c r="Z101" s="833"/>
      <c r="AA101" s="837"/>
      <c r="AB101" s="837"/>
      <c r="AC101" s="838"/>
      <c r="AD101" s="833"/>
      <c r="AE101" s="833"/>
      <c r="AF101" s="493"/>
      <c r="AG101" s="838"/>
      <c r="AH101" s="837"/>
    </row>
    <row r="102" spans="3:34" ht="18.75" customHeight="1" x14ac:dyDescent="0.2">
      <c r="C102" s="842"/>
      <c r="D102" s="851"/>
      <c r="E102" s="850"/>
      <c r="F102" s="850"/>
      <c r="G102" s="837" t="s">
        <v>278</v>
      </c>
      <c r="H102" s="850"/>
      <c r="I102" s="833"/>
      <c r="J102" s="837"/>
      <c r="K102" s="837"/>
      <c r="L102" s="838"/>
      <c r="M102" s="838"/>
      <c r="N102" s="838"/>
      <c r="O102" s="838"/>
      <c r="P102" s="838"/>
      <c r="Q102" s="838"/>
      <c r="R102" s="448"/>
      <c r="S102" s="448"/>
      <c r="T102" s="838"/>
      <c r="U102" s="838"/>
      <c r="V102" s="838"/>
      <c r="W102" s="833"/>
      <c r="X102" s="833"/>
      <c r="Y102" s="833"/>
      <c r="Z102" s="833"/>
      <c r="AA102" s="838"/>
      <c r="AB102" s="838"/>
      <c r="AC102" s="838"/>
      <c r="AD102" s="833"/>
      <c r="AE102" s="833"/>
      <c r="AF102" s="838"/>
      <c r="AG102" s="838"/>
      <c r="AH102" s="837"/>
    </row>
    <row r="103" spans="3:34" ht="18.75" customHeight="1" x14ac:dyDescent="0.2">
      <c r="C103" s="842">
        <v>80</v>
      </c>
      <c r="D103" s="461" t="s">
        <v>189</v>
      </c>
      <c r="E103" s="842" t="s">
        <v>46</v>
      </c>
      <c r="F103" s="842">
        <v>673</v>
      </c>
      <c r="G103" s="842" t="s">
        <v>190</v>
      </c>
      <c r="H103" s="842">
        <v>177.8</v>
      </c>
      <c r="I103" s="842"/>
      <c r="J103" s="842"/>
      <c r="K103" s="838"/>
      <c r="L103" s="838"/>
      <c r="M103" s="838"/>
      <c r="N103" s="838"/>
      <c r="O103" s="838"/>
      <c r="P103" s="838"/>
      <c r="Q103" s="838"/>
      <c r="R103" s="448"/>
      <c r="S103" s="448"/>
      <c r="T103" s="838"/>
      <c r="U103" s="838"/>
      <c r="V103" s="838"/>
      <c r="W103" s="833"/>
      <c r="X103" s="833"/>
      <c r="Y103" s="833"/>
      <c r="Z103" s="833"/>
      <c r="AA103" s="473"/>
      <c r="AB103" s="683"/>
      <c r="AC103" s="837"/>
      <c r="AD103" s="833"/>
      <c r="AE103" s="838"/>
      <c r="AF103" s="842"/>
      <c r="AG103" s="432"/>
      <c r="AH103" s="449"/>
    </row>
    <row r="104" spans="3:34" ht="18.75" customHeight="1" x14ac:dyDescent="0.3">
      <c r="C104" s="842">
        <v>81</v>
      </c>
      <c r="D104" s="461" t="s">
        <v>181</v>
      </c>
      <c r="E104" s="684" t="s">
        <v>183</v>
      </c>
      <c r="F104" s="842">
        <v>374.5</v>
      </c>
      <c r="G104" s="842" t="s">
        <v>182</v>
      </c>
      <c r="H104" s="842">
        <v>177.8</v>
      </c>
      <c r="I104" s="842"/>
      <c r="J104" s="842"/>
      <c r="K104" s="838"/>
      <c r="L104" s="842"/>
      <c r="M104" s="842"/>
      <c r="N104" s="842"/>
      <c r="O104" s="842"/>
      <c r="P104" s="668"/>
      <c r="Q104" s="842"/>
      <c r="R104" s="432"/>
      <c r="S104" s="668"/>
      <c r="T104" s="432"/>
      <c r="U104" s="432"/>
      <c r="V104" s="432"/>
      <c r="W104" s="432"/>
      <c r="X104" s="432"/>
      <c r="Y104" s="432"/>
      <c r="Z104" s="685"/>
      <c r="AA104" s="432"/>
      <c r="AB104" s="432"/>
      <c r="AC104" s="432"/>
      <c r="AD104" s="432"/>
      <c r="AE104" s="432"/>
      <c r="AF104" s="842"/>
      <c r="AG104" s="432"/>
      <c r="AH104" s="449"/>
    </row>
    <row r="105" spans="3:34" ht="18.75" customHeight="1" x14ac:dyDescent="0.2">
      <c r="C105" s="842">
        <v>82</v>
      </c>
      <c r="D105" s="461" t="s">
        <v>174</v>
      </c>
      <c r="E105" s="842" t="s">
        <v>46</v>
      </c>
      <c r="F105" s="842">
        <v>672</v>
      </c>
      <c r="G105" s="842" t="s">
        <v>175</v>
      </c>
      <c r="H105" s="842">
        <v>177.8</v>
      </c>
      <c r="I105" s="842"/>
      <c r="J105" s="842"/>
      <c r="K105" s="838"/>
      <c r="L105" s="842"/>
      <c r="M105" s="842"/>
      <c r="N105" s="842"/>
      <c r="O105" s="842"/>
      <c r="P105" s="668"/>
      <c r="Q105" s="842"/>
      <c r="R105" s="668"/>
      <c r="S105" s="668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432"/>
      <c r="AE105" s="432"/>
      <c r="AF105" s="842"/>
      <c r="AG105" s="432"/>
      <c r="AH105" s="449"/>
    </row>
    <row r="106" spans="3:34" ht="18.75" customHeight="1" x14ac:dyDescent="0.2">
      <c r="C106" s="842">
        <v>83</v>
      </c>
      <c r="D106" s="839" t="s">
        <v>103</v>
      </c>
      <c r="E106" s="842" t="s">
        <v>46</v>
      </c>
      <c r="F106" s="838">
        <v>582</v>
      </c>
      <c r="G106" s="838" t="s">
        <v>112</v>
      </c>
      <c r="H106" s="842">
        <v>177.8</v>
      </c>
      <c r="I106" s="842"/>
      <c r="J106" s="842"/>
      <c r="K106" s="838"/>
      <c r="L106" s="838"/>
      <c r="M106" s="838"/>
      <c r="N106" s="838"/>
      <c r="O106" s="838"/>
      <c r="P106" s="838"/>
      <c r="Q106" s="838"/>
      <c r="R106" s="448"/>
      <c r="S106" s="448"/>
      <c r="T106" s="838"/>
      <c r="U106" s="838"/>
      <c r="V106" s="838"/>
      <c r="W106" s="833"/>
      <c r="X106" s="833"/>
      <c r="Y106" s="833"/>
      <c r="Z106" s="421"/>
      <c r="AA106" s="492"/>
      <c r="AB106" s="838"/>
      <c r="AC106" s="838"/>
      <c r="AD106" s="833"/>
      <c r="AE106" s="838"/>
      <c r="AF106" s="493"/>
      <c r="AG106" s="437"/>
      <c r="AH106" s="449"/>
    </row>
    <row r="107" spans="3:34" ht="18.75" customHeight="1" x14ac:dyDescent="0.2">
      <c r="C107" s="842">
        <v>84</v>
      </c>
      <c r="D107" s="842" t="s">
        <v>57</v>
      </c>
      <c r="E107" s="840" t="s">
        <v>314</v>
      </c>
      <c r="F107" s="842">
        <v>376.58</v>
      </c>
      <c r="G107" s="461" t="s">
        <v>93</v>
      </c>
      <c r="H107" s="842">
        <v>177.8</v>
      </c>
      <c r="I107" s="842"/>
      <c r="J107" s="842"/>
      <c r="K107" s="838"/>
      <c r="L107" s="838"/>
      <c r="M107" s="838"/>
      <c r="N107" s="838"/>
      <c r="O107" s="838"/>
      <c r="P107" s="838"/>
      <c r="Q107" s="838"/>
      <c r="R107" s="448"/>
      <c r="S107" s="448"/>
      <c r="T107" s="838"/>
      <c r="U107" s="838"/>
      <c r="V107" s="838"/>
      <c r="W107" s="833"/>
      <c r="X107" s="833"/>
      <c r="Y107" s="833"/>
      <c r="Z107" s="421"/>
      <c r="AA107" s="492"/>
      <c r="AB107" s="838"/>
      <c r="AC107" s="838"/>
      <c r="AD107" s="833"/>
      <c r="AE107" s="838"/>
      <c r="AF107" s="493"/>
      <c r="AG107" s="437"/>
      <c r="AH107" s="449"/>
    </row>
    <row r="108" spans="3:34" ht="18.75" customHeight="1" x14ac:dyDescent="0.2">
      <c r="C108" s="842">
        <v>85</v>
      </c>
      <c r="D108" s="842" t="s">
        <v>184</v>
      </c>
      <c r="E108" s="840" t="s">
        <v>314</v>
      </c>
      <c r="F108" s="842">
        <v>422.78</v>
      </c>
      <c r="G108" s="461" t="s">
        <v>185</v>
      </c>
      <c r="H108" s="842">
        <v>177.8</v>
      </c>
      <c r="I108" s="842"/>
      <c r="J108" s="842"/>
      <c r="K108" s="432"/>
      <c r="L108" s="838"/>
      <c r="M108" s="838"/>
      <c r="N108" s="838"/>
      <c r="O108" s="838"/>
      <c r="P108" s="838"/>
      <c r="Q108" s="838"/>
      <c r="R108" s="448"/>
      <c r="S108" s="448"/>
      <c r="T108" s="838"/>
      <c r="U108" s="838"/>
      <c r="V108" s="838"/>
      <c r="W108" s="833"/>
      <c r="X108" s="833"/>
      <c r="Y108" s="833"/>
      <c r="Z108" s="421"/>
      <c r="AA108" s="492"/>
      <c r="AB108" s="838"/>
      <c r="AC108" s="838"/>
      <c r="AD108" s="833"/>
      <c r="AE108" s="838"/>
      <c r="AF108" s="493"/>
      <c r="AG108" s="437"/>
      <c r="AH108" s="449"/>
    </row>
    <row r="109" spans="3:34" ht="18.75" customHeight="1" x14ac:dyDescent="0.2">
      <c r="C109" s="842">
        <v>86</v>
      </c>
      <c r="D109" s="839" t="s">
        <v>220</v>
      </c>
      <c r="E109" s="842" t="s">
        <v>46</v>
      </c>
      <c r="F109" s="838">
        <v>685.69</v>
      </c>
      <c r="G109" s="838" t="s">
        <v>222</v>
      </c>
      <c r="H109" s="842">
        <v>177.8</v>
      </c>
      <c r="I109" s="842"/>
      <c r="J109" s="842"/>
      <c r="K109" s="838"/>
      <c r="L109" s="838"/>
      <c r="M109" s="838"/>
      <c r="N109" s="838"/>
      <c r="O109" s="838"/>
      <c r="P109" s="838"/>
      <c r="Q109" s="838"/>
      <c r="R109" s="448"/>
      <c r="S109" s="771"/>
      <c r="T109" s="838"/>
      <c r="U109" s="838"/>
      <c r="V109" s="838"/>
      <c r="W109" s="833"/>
      <c r="X109" s="833"/>
      <c r="Y109" s="833"/>
      <c r="Z109" s="421"/>
      <c r="AA109" s="492"/>
      <c r="AB109" s="838"/>
      <c r="AC109" s="838"/>
      <c r="AD109" s="833"/>
      <c r="AE109" s="838"/>
      <c r="AF109" s="493"/>
      <c r="AG109" s="437"/>
      <c r="AH109" s="449"/>
    </row>
    <row r="110" spans="3:34" ht="18.75" customHeight="1" x14ac:dyDescent="0.2">
      <c r="C110" s="842"/>
      <c r="D110" s="851"/>
      <c r="E110" s="850"/>
      <c r="F110" s="850"/>
      <c r="G110" s="837" t="s">
        <v>469</v>
      </c>
      <c r="H110" s="850"/>
      <c r="I110" s="842"/>
      <c r="J110" s="842"/>
      <c r="K110" s="838"/>
      <c r="L110" s="842"/>
      <c r="M110" s="842"/>
      <c r="N110" s="842"/>
      <c r="O110" s="842"/>
      <c r="P110" s="668"/>
      <c r="Q110" s="842"/>
      <c r="R110" s="668"/>
      <c r="S110" s="77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432"/>
      <c r="AE110" s="432"/>
      <c r="AF110" s="842"/>
      <c r="AG110" s="432"/>
      <c r="AH110" s="449"/>
    </row>
    <row r="111" spans="3:34" ht="18.75" customHeight="1" x14ac:dyDescent="0.2">
      <c r="C111" s="842">
        <v>87</v>
      </c>
      <c r="D111" s="461" t="s">
        <v>56</v>
      </c>
      <c r="E111" s="842" t="s">
        <v>46</v>
      </c>
      <c r="F111" s="842">
        <v>680.52</v>
      </c>
      <c r="G111" s="842" t="s">
        <v>92</v>
      </c>
      <c r="H111" s="842">
        <v>177.8</v>
      </c>
      <c r="I111" s="842"/>
      <c r="J111" s="842"/>
      <c r="K111" s="838"/>
      <c r="L111" s="842"/>
      <c r="M111" s="842"/>
      <c r="N111" s="842"/>
      <c r="O111" s="842"/>
      <c r="P111" s="668"/>
      <c r="Q111" s="842"/>
      <c r="R111" s="668"/>
      <c r="S111" s="77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432"/>
      <c r="AE111" s="432"/>
      <c r="AF111" s="842"/>
      <c r="AG111" s="432"/>
      <c r="AH111" s="449"/>
    </row>
    <row r="112" spans="3:34" ht="18.75" customHeight="1" x14ac:dyDescent="0.2">
      <c r="C112" s="842"/>
      <c r="D112" s="461"/>
      <c r="E112" s="842"/>
      <c r="F112" s="842"/>
      <c r="G112" s="842"/>
      <c r="H112" s="842"/>
      <c r="I112" s="842"/>
      <c r="J112" s="842"/>
      <c r="K112" s="838"/>
      <c r="L112" s="842"/>
      <c r="M112" s="842"/>
      <c r="N112" s="842"/>
      <c r="O112" s="842"/>
      <c r="P112" s="668"/>
      <c r="Q112" s="842"/>
      <c r="R112" s="432"/>
      <c r="S112" s="772"/>
      <c r="T112" s="432"/>
      <c r="U112" s="432"/>
      <c r="V112" s="432"/>
      <c r="W112" s="432"/>
      <c r="X112" s="432"/>
      <c r="Y112" s="432"/>
      <c r="Z112" s="685"/>
      <c r="AA112" s="432"/>
      <c r="AB112" s="432"/>
      <c r="AC112" s="432"/>
      <c r="AD112" s="432"/>
      <c r="AE112" s="432"/>
      <c r="AF112" s="842"/>
      <c r="AG112" s="432"/>
      <c r="AH112" s="449"/>
    </row>
    <row r="113" spans="3:34" ht="18.75" x14ac:dyDescent="0.25">
      <c r="C113" s="870"/>
      <c r="D113" s="842"/>
      <c r="E113" s="842"/>
      <c r="F113" s="842"/>
      <c r="G113" s="461"/>
      <c r="H113" s="842"/>
      <c r="I113" s="842"/>
      <c r="J113" s="842"/>
      <c r="K113" s="838"/>
      <c r="L113" s="842"/>
      <c r="M113" s="842"/>
      <c r="N113" s="842"/>
      <c r="O113" s="842"/>
      <c r="P113" s="668"/>
      <c r="Q113" s="842"/>
      <c r="R113" s="432"/>
      <c r="S113" s="772"/>
      <c r="T113" s="432"/>
      <c r="U113" s="432"/>
      <c r="V113" s="432"/>
      <c r="W113" s="432"/>
      <c r="X113" s="432"/>
      <c r="Y113" s="432"/>
      <c r="Z113" s="685"/>
      <c r="AA113" s="432"/>
      <c r="AB113" s="432"/>
      <c r="AC113" s="432"/>
      <c r="AD113" s="432"/>
      <c r="AE113" s="432"/>
      <c r="AF113" s="842"/>
      <c r="AG113" s="432"/>
      <c r="AH113" s="449"/>
    </row>
    <row r="114" spans="3:34" ht="18.75" x14ac:dyDescent="0.25">
      <c r="C114" s="871"/>
      <c r="D114" s="1939"/>
      <c r="E114" s="1939"/>
      <c r="F114" s="1939"/>
      <c r="G114" s="1940"/>
      <c r="H114" s="841"/>
      <c r="I114" s="842"/>
      <c r="J114" s="842"/>
      <c r="K114" s="432"/>
      <c r="L114" s="842"/>
      <c r="M114" s="841"/>
      <c r="N114" s="842"/>
      <c r="O114" s="841"/>
      <c r="P114" s="668"/>
      <c r="Q114" s="841"/>
      <c r="R114" s="682"/>
      <c r="S114" s="774"/>
      <c r="T114" s="466">
        <f>T78+T95+T87</f>
        <v>448.11600000000004</v>
      </c>
      <c r="U114" s="466">
        <f>U78+U95+U87</f>
        <v>893.78700000000003</v>
      </c>
      <c r="V114" s="678">
        <f>V78+V95+V87</f>
        <v>13479.143</v>
      </c>
      <c r="W114" s="466">
        <f>V114/T114</f>
        <v>30.079584304064124</v>
      </c>
      <c r="X114" s="466"/>
      <c r="Y114" s="466"/>
      <c r="Z114" s="466"/>
      <c r="AA114" s="466">
        <f>AA78+AA95+AA87</f>
        <v>425.71019999999993</v>
      </c>
      <c r="AB114" s="466">
        <f>AB78+AB95+AB87</f>
        <v>849.09764999999993</v>
      </c>
      <c r="AC114" s="678">
        <f>AC78+AC95+AC87</f>
        <v>12805.185850000003</v>
      </c>
      <c r="AD114" s="466">
        <f>AD78+AD95+AD87</f>
        <v>81.836663364874752</v>
      </c>
      <c r="AE114" s="466"/>
      <c r="AF114" s="466"/>
      <c r="AG114" s="686">
        <f>AG78+AG95+AG87</f>
        <v>13197.016199999996</v>
      </c>
      <c r="AH114" s="680"/>
    </row>
    <row r="115" spans="3:34" ht="18.75" x14ac:dyDescent="0.25">
      <c r="C115" s="868"/>
      <c r="D115" s="497"/>
      <c r="E115" s="497"/>
      <c r="F115" s="497"/>
      <c r="G115" s="497"/>
      <c r="H115" s="497"/>
      <c r="I115" s="498"/>
      <c r="J115" s="499"/>
      <c r="K115" s="499"/>
      <c r="L115" s="497"/>
      <c r="M115" s="497"/>
      <c r="N115" s="497"/>
      <c r="O115" s="497"/>
      <c r="P115" s="497"/>
      <c r="Q115" s="497"/>
      <c r="R115" s="500"/>
      <c r="S115" s="775"/>
      <c r="T115" s="497"/>
      <c r="U115" s="497"/>
      <c r="V115" s="497"/>
      <c r="W115" s="498"/>
      <c r="X115" s="498"/>
      <c r="Y115" s="498"/>
      <c r="Z115" s="498"/>
      <c r="AA115" s="497"/>
      <c r="AB115" s="497"/>
      <c r="AC115" s="497"/>
      <c r="AD115" s="498"/>
      <c r="AE115" s="498"/>
      <c r="AF115" s="497"/>
      <c r="AG115" s="497"/>
      <c r="AH115" s="499"/>
    </row>
    <row r="116" spans="3:34" ht="18.75" x14ac:dyDescent="0.25">
      <c r="C116" s="868"/>
      <c r="D116" s="412"/>
      <c r="E116" s="460"/>
      <c r="F116" s="412"/>
      <c r="G116" s="687">
        <v>0.95</v>
      </c>
      <c r="H116" s="412"/>
      <c r="I116" s="412" t="s">
        <v>102</v>
      </c>
      <c r="J116" s="460"/>
      <c r="K116" s="688"/>
      <c r="L116" s="412"/>
      <c r="M116" s="1941">
        <f>AG114*G116</f>
        <v>12537.165389999996</v>
      </c>
      <c r="N116" s="1897"/>
      <c r="O116" s="1897"/>
      <c r="P116" s="460" t="s">
        <v>27</v>
      </c>
      <c r="Q116" s="497"/>
      <c r="R116" s="500"/>
      <c r="S116" s="775"/>
      <c r="T116" s="497"/>
      <c r="U116" s="497"/>
      <c r="V116" s="497"/>
      <c r="W116" s="498"/>
      <c r="X116" s="498"/>
      <c r="Y116" s="498"/>
      <c r="Z116" s="498"/>
      <c r="AA116" s="497"/>
      <c r="AB116" s="497"/>
      <c r="AC116" s="497"/>
      <c r="AD116" s="498"/>
      <c r="AE116" s="498"/>
      <c r="AF116" s="497"/>
      <c r="AG116" s="497"/>
      <c r="AH116" s="499"/>
    </row>
    <row r="117" spans="3:34" ht="18.75" x14ac:dyDescent="0.25">
      <c r="C117" s="868"/>
      <c r="D117" s="412"/>
      <c r="E117" s="460"/>
      <c r="F117" s="412"/>
      <c r="G117" s="687"/>
      <c r="H117" s="412"/>
      <c r="I117" s="460"/>
      <c r="J117" s="460"/>
      <c r="K117" s="688"/>
      <c r="L117" s="412"/>
      <c r="M117" s="460"/>
      <c r="N117" s="689"/>
      <c r="O117" s="412"/>
      <c r="P117" s="412"/>
      <c r="Q117" s="412"/>
      <c r="R117" s="690"/>
      <c r="S117" s="776"/>
      <c r="T117" s="412"/>
      <c r="U117" s="412"/>
      <c r="V117" s="412"/>
      <c r="W117" s="412"/>
      <c r="X117" s="412"/>
      <c r="Y117" s="412"/>
      <c r="Z117" s="845"/>
      <c r="AA117" s="845"/>
      <c r="AB117" s="845"/>
      <c r="AC117" s="845"/>
      <c r="AD117" s="845"/>
      <c r="AE117" s="845"/>
      <c r="AF117" s="845"/>
      <c r="AG117" s="845"/>
      <c r="AH117" s="692"/>
    </row>
    <row r="118" spans="3:34" ht="18.75" x14ac:dyDescent="0.25">
      <c r="C118" s="868"/>
      <c r="D118" s="412"/>
      <c r="E118" s="412"/>
      <c r="F118" s="412"/>
      <c r="G118" s="693" t="s">
        <v>214</v>
      </c>
      <c r="H118" s="1911" t="s">
        <v>264</v>
      </c>
      <c r="I118" s="1911"/>
      <c r="J118" s="1911"/>
      <c r="K118" s="412"/>
      <c r="L118" s="412"/>
      <c r="M118" s="460"/>
      <c r="N118" s="460"/>
      <c r="O118" s="412"/>
      <c r="P118" s="412"/>
      <c r="Q118" s="412"/>
      <c r="R118" s="412"/>
      <c r="S118" s="776"/>
      <c r="T118" s="412"/>
      <c r="U118" s="412"/>
      <c r="V118" s="412"/>
      <c r="W118" s="412"/>
      <c r="X118" s="412"/>
      <c r="Y118" s="412"/>
      <c r="Z118" s="1938" t="s">
        <v>352</v>
      </c>
      <c r="AA118" s="1937"/>
      <c r="AB118" s="1937"/>
      <c r="AC118" s="1937"/>
      <c r="AD118" s="845" t="s">
        <v>373</v>
      </c>
      <c r="AE118" s="845"/>
      <c r="AF118" s="845"/>
      <c r="AG118" s="845"/>
      <c r="AH118" s="845"/>
    </row>
  </sheetData>
  <mergeCells count="33">
    <mergeCell ref="Z12:AH12"/>
    <mergeCell ref="D114:G114"/>
    <mergeCell ref="M116:O116"/>
    <mergeCell ref="H118:J118"/>
    <mergeCell ref="Z118:AC118"/>
    <mergeCell ref="AH13:AH14"/>
    <mergeCell ref="X13:X14"/>
    <mergeCell ref="Y13:Y14"/>
    <mergeCell ref="Z13:Z14"/>
    <mergeCell ref="AA13:AC13"/>
    <mergeCell ref="AD13:AD14"/>
    <mergeCell ref="AE13:AE14"/>
    <mergeCell ref="T13:V13"/>
    <mergeCell ref="W13:W14"/>
    <mergeCell ref="H12:H13"/>
    <mergeCell ref="J13:J14"/>
    <mergeCell ref="C12:C14"/>
    <mergeCell ref="D12:D14"/>
    <mergeCell ref="E12:E14"/>
    <mergeCell ref="F12:F13"/>
    <mergeCell ref="G12:G13"/>
    <mergeCell ref="K13:K14"/>
    <mergeCell ref="M13:N13"/>
    <mergeCell ref="O13:P13"/>
    <mergeCell ref="Q13:R13"/>
    <mergeCell ref="I12:I14"/>
    <mergeCell ref="J12:Y12"/>
    <mergeCell ref="D10:G10"/>
    <mergeCell ref="K1:Z1"/>
    <mergeCell ref="L2:Y2"/>
    <mergeCell ref="C3:F3"/>
    <mergeCell ref="C8:G8"/>
    <mergeCell ref="C9:G9"/>
  </mergeCells>
  <pageMargins left="0.7" right="0.7" top="0.75" bottom="0.75" header="0.3" footer="0.3"/>
  <pageSetup paperSize="9" orientation="portrait" r:id="rId1"/>
  <ignoredErrors>
    <ignoredError sqref="S91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F118"/>
  <sheetViews>
    <sheetView topLeftCell="A11" zoomScale="66" zoomScaleNormal="66" workbookViewId="0">
      <pane xSplit="4" ySplit="4" topLeftCell="K100" activePane="bottomRight" state="frozen"/>
      <selection activeCell="A11" sqref="A11"/>
      <selection pane="topRight" activeCell="E11" sqref="E11"/>
      <selection pane="bottomLeft" activeCell="A15" sqref="A15"/>
      <selection pane="bottomRight" activeCell="Y89" sqref="Y89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9.28515625" style="666" bestFit="1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6" width="9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865"/>
      <c r="G2" s="859"/>
      <c r="H2" s="859"/>
      <c r="I2" s="865"/>
      <c r="J2" s="1909" t="s">
        <v>479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865"/>
      <c r="Y2" s="865"/>
      <c r="Z2" s="865"/>
      <c r="AA2" s="865"/>
      <c r="AB2" s="865"/>
      <c r="AC2" s="865"/>
      <c r="AD2" s="865"/>
      <c r="AE2" s="865"/>
      <c r="AF2" s="405"/>
    </row>
    <row r="3" spans="1:32" ht="18.75" x14ac:dyDescent="0.2">
      <c r="A3" s="1910" t="s">
        <v>54</v>
      </c>
      <c r="B3" s="1910"/>
      <c r="C3" s="1910"/>
      <c r="D3" s="1910"/>
      <c r="E3" s="865"/>
      <c r="F3" s="865"/>
      <c r="G3" s="859"/>
      <c r="H3" s="866"/>
      <c r="I3" s="866"/>
      <c r="J3" s="866"/>
      <c r="K3" s="866"/>
      <c r="L3" s="866"/>
      <c r="M3" s="866"/>
      <c r="N3" s="866"/>
      <c r="O3" s="866"/>
      <c r="P3" s="866"/>
      <c r="Q3" s="767"/>
      <c r="R3" s="886"/>
      <c r="S3" s="886"/>
      <c r="T3" s="865"/>
      <c r="U3" s="865"/>
      <c r="V3" s="882"/>
      <c r="W3" s="865"/>
      <c r="X3" s="865"/>
      <c r="Y3" s="865"/>
      <c r="Z3" s="865"/>
      <c r="AA3" s="865"/>
      <c r="AB3" s="865"/>
      <c r="AC3" s="865"/>
      <c r="AD3" s="865"/>
      <c r="AE3" s="865"/>
      <c r="AF3" s="408" t="s">
        <v>55</v>
      </c>
    </row>
    <row r="4" spans="1:32" ht="18.75" x14ac:dyDescent="0.2">
      <c r="A4" s="860"/>
      <c r="B4" s="860"/>
      <c r="C4" s="860"/>
      <c r="D4" s="860"/>
      <c r="E4" s="865"/>
      <c r="F4" s="865"/>
      <c r="G4" s="859"/>
      <c r="H4" s="866"/>
      <c r="I4" s="866"/>
      <c r="J4" s="866"/>
      <c r="K4" s="866"/>
      <c r="L4" s="866"/>
      <c r="M4" s="866"/>
      <c r="N4" s="866"/>
      <c r="O4" s="866"/>
      <c r="P4" s="866"/>
      <c r="Q4" s="767"/>
      <c r="R4" s="886"/>
      <c r="S4" s="886"/>
      <c r="T4" s="865"/>
      <c r="U4" s="865"/>
      <c r="V4" s="882"/>
      <c r="W4" s="865"/>
      <c r="X4" s="865"/>
      <c r="Y4" s="865"/>
      <c r="Z4" s="865"/>
      <c r="AA4" s="865"/>
      <c r="AB4" s="865"/>
      <c r="AC4" s="865"/>
      <c r="AD4" s="865"/>
      <c r="AE4" s="865"/>
      <c r="AF4" s="408"/>
    </row>
    <row r="5" spans="1:32" ht="18.75" x14ac:dyDescent="0.2">
      <c r="A5" s="861" t="s">
        <v>311</v>
      </c>
      <c r="B5" s="861"/>
      <c r="C5" s="861"/>
      <c r="D5" s="861"/>
      <c r="E5" s="861"/>
      <c r="F5" s="865"/>
      <c r="G5" s="859"/>
      <c r="H5" s="859"/>
      <c r="I5" s="866"/>
      <c r="J5" s="866"/>
      <c r="K5" s="866"/>
      <c r="L5" s="866"/>
      <c r="M5" s="866"/>
      <c r="N5" s="866"/>
      <c r="O5" s="866"/>
      <c r="P5" s="866"/>
      <c r="Q5" s="767"/>
      <c r="R5" s="887"/>
      <c r="S5" s="887"/>
      <c r="T5" s="867"/>
      <c r="U5" s="867"/>
      <c r="V5" s="883"/>
      <c r="W5" s="867"/>
      <c r="X5" s="865"/>
      <c r="Y5" s="865"/>
      <c r="Z5" s="865"/>
      <c r="AA5" s="865"/>
      <c r="AB5" s="865"/>
      <c r="AC5" s="865"/>
      <c r="AD5" s="865"/>
      <c r="AE5" s="865"/>
      <c r="AF5" s="411" t="s">
        <v>468</v>
      </c>
    </row>
    <row r="6" spans="1:32" ht="18.75" x14ac:dyDescent="0.2">
      <c r="A6" s="861" t="s">
        <v>428</v>
      </c>
      <c r="B6" s="412"/>
      <c r="C6" s="412"/>
      <c r="D6" s="412"/>
      <c r="E6" s="865"/>
      <c r="F6" s="865"/>
      <c r="G6" s="859"/>
      <c r="H6" s="859"/>
      <c r="I6" s="865"/>
      <c r="J6" s="865"/>
      <c r="K6" s="859"/>
      <c r="L6" s="859"/>
      <c r="M6" s="865"/>
      <c r="N6" s="865"/>
      <c r="O6" s="865"/>
      <c r="P6" s="413"/>
      <c r="Q6" s="768"/>
      <c r="R6" s="886"/>
      <c r="S6" s="886"/>
      <c r="T6" s="865"/>
      <c r="U6" s="865"/>
      <c r="V6" s="882"/>
      <c r="W6" s="865"/>
      <c r="X6" s="865"/>
      <c r="Y6" s="865"/>
      <c r="Z6" s="865"/>
      <c r="AA6" s="865"/>
      <c r="AB6" s="865"/>
      <c r="AC6" s="865"/>
      <c r="AD6" s="865"/>
      <c r="AE6" s="865"/>
      <c r="AF6" s="415" t="s">
        <v>429</v>
      </c>
    </row>
    <row r="7" spans="1:32" ht="18.75" x14ac:dyDescent="0.2">
      <c r="A7" s="865"/>
      <c r="B7" s="861"/>
      <c r="C7" s="861"/>
      <c r="D7" s="861"/>
      <c r="E7" s="865"/>
      <c r="F7" s="865"/>
      <c r="G7" s="859"/>
      <c r="H7" s="859"/>
      <c r="I7" s="405"/>
      <c r="J7" s="865"/>
      <c r="K7" s="859"/>
      <c r="L7" s="859"/>
      <c r="M7" s="865"/>
      <c r="N7" s="865"/>
      <c r="O7" s="865"/>
      <c r="P7" s="413"/>
      <c r="Q7" s="768"/>
      <c r="R7" s="886"/>
      <c r="S7" s="886"/>
      <c r="T7" s="865"/>
      <c r="U7" s="865"/>
      <c r="V7" s="882"/>
      <c r="W7" s="411"/>
      <c r="X7" s="865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865"/>
      <c r="G8" s="859"/>
      <c r="H8" s="859"/>
      <c r="I8" s="405"/>
      <c r="J8" s="865"/>
      <c r="K8" s="859"/>
      <c r="L8" s="859"/>
      <c r="M8" s="865"/>
      <c r="N8" s="865"/>
      <c r="O8" s="865"/>
      <c r="P8" s="413"/>
      <c r="Q8" s="768"/>
      <c r="R8" s="886"/>
      <c r="S8" s="886"/>
      <c r="T8" s="865"/>
      <c r="U8" s="865"/>
      <c r="V8" s="882"/>
      <c r="W8" s="411"/>
      <c r="X8" s="865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865"/>
      <c r="G9" s="859"/>
      <c r="H9" s="859"/>
      <c r="I9" s="405"/>
      <c r="J9" s="865"/>
      <c r="K9" s="859"/>
      <c r="L9" s="859"/>
      <c r="M9" s="865"/>
      <c r="N9" s="865"/>
      <c r="O9" s="865"/>
      <c r="P9" s="413"/>
      <c r="Q9" s="768"/>
      <c r="R9" s="886"/>
      <c r="S9" s="886"/>
      <c r="T9" s="865"/>
      <c r="U9" s="865"/>
      <c r="V9" s="882"/>
      <c r="W9" s="411"/>
      <c r="X9" s="865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865"/>
      <c r="G10" s="859"/>
      <c r="H10" s="859"/>
      <c r="I10" s="865"/>
      <c r="J10" s="865"/>
      <c r="K10" s="859"/>
      <c r="L10" s="859"/>
      <c r="M10" s="859"/>
      <c r="N10" s="859"/>
      <c r="O10" s="859"/>
      <c r="P10" s="859"/>
      <c r="Q10" s="769"/>
      <c r="R10" s="884"/>
      <c r="S10" s="884"/>
      <c r="T10" s="859"/>
      <c r="U10" s="859"/>
      <c r="V10" s="881"/>
      <c r="W10" s="865"/>
      <c r="X10" s="865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859"/>
      <c r="C11" s="859"/>
      <c r="D11" s="859"/>
      <c r="E11" s="865"/>
      <c r="F11" s="865"/>
      <c r="G11" s="859"/>
      <c r="H11" s="859"/>
      <c r="I11" s="405"/>
      <c r="J11" s="865"/>
      <c r="K11" s="859"/>
      <c r="L11" s="859"/>
      <c r="M11" s="865"/>
      <c r="N11" s="865"/>
      <c r="O11" s="865"/>
      <c r="P11" s="413"/>
      <c r="Q11" s="768"/>
      <c r="R11" s="886"/>
      <c r="S11" s="886"/>
      <c r="T11" s="865"/>
      <c r="U11" s="865"/>
      <c r="V11" s="882"/>
      <c r="W11" s="411"/>
      <c r="X11" s="865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856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856" t="s">
        <v>18</v>
      </c>
      <c r="AE13" s="856" t="s">
        <v>20</v>
      </c>
      <c r="AF13" s="1891" t="s">
        <v>21</v>
      </c>
    </row>
    <row r="14" spans="1:32" ht="37.5" x14ac:dyDescent="0.2">
      <c r="A14" s="1891"/>
      <c r="B14" s="1891"/>
      <c r="C14" s="1903"/>
      <c r="D14" s="862" t="s">
        <v>3</v>
      </c>
      <c r="E14" s="862" t="s">
        <v>3</v>
      </c>
      <c r="F14" s="862" t="s">
        <v>4</v>
      </c>
      <c r="G14" s="1903"/>
      <c r="H14" s="1903"/>
      <c r="I14" s="1891"/>
      <c r="J14" s="862" t="s">
        <v>7</v>
      </c>
      <c r="K14" s="862" t="s">
        <v>30</v>
      </c>
      <c r="L14" s="862" t="s">
        <v>29</v>
      </c>
      <c r="M14" s="862" t="s">
        <v>31</v>
      </c>
      <c r="N14" s="862" t="s">
        <v>32</v>
      </c>
      <c r="O14" s="862" t="s">
        <v>12</v>
      </c>
      <c r="P14" s="448" t="s">
        <v>13</v>
      </c>
      <c r="Q14" s="771" t="s">
        <v>26</v>
      </c>
      <c r="R14" s="885" t="s">
        <v>14</v>
      </c>
      <c r="S14" s="885" t="s">
        <v>25</v>
      </c>
      <c r="T14" s="862" t="s">
        <v>113</v>
      </c>
      <c r="U14" s="1903"/>
      <c r="V14" s="1903"/>
      <c r="W14" s="1903"/>
      <c r="X14" s="1903"/>
      <c r="Y14" s="862" t="s">
        <v>14</v>
      </c>
      <c r="Z14" s="862" t="s">
        <v>25</v>
      </c>
      <c r="AA14" s="862" t="s">
        <v>113</v>
      </c>
      <c r="AB14" s="1903"/>
      <c r="AC14" s="1903"/>
      <c r="AD14" s="862" t="s">
        <v>19</v>
      </c>
      <c r="AE14" s="862" t="s">
        <v>27</v>
      </c>
      <c r="AF14" s="1891"/>
    </row>
    <row r="15" spans="1:32" ht="18.75" customHeight="1" x14ac:dyDescent="0.2">
      <c r="A15" s="863">
        <v>1</v>
      </c>
      <c r="B15" s="461" t="s">
        <v>139</v>
      </c>
      <c r="C15" s="863" t="s">
        <v>46</v>
      </c>
      <c r="D15" s="863">
        <v>610.5</v>
      </c>
      <c r="E15" s="863" t="s">
        <v>203</v>
      </c>
      <c r="F15" s="863">
        <v>177.8</v>
      </c>
      <c r="G15" s="863" t="s">
        <v>28</v>
      </c>
      <c r="H15" s="452" t="s">
        <v>363</v>
      </c>
      <c r="I15" s="862">
        <v>558.54</v>
      </c>
      <c r="J15" s="863">
        <v>175</v>
      </c>
      <c r="K15" s="863"/>
      <c r="L15" s="863">
        <v>390</v>
      </c>
      <c r="M15" s="863"/>
      <c r="N15" s="863">
        <v>0.1</v>
      </c>
      <c r="O15" s="863"/>
      <c r="P15" s="668">
        <v>16.311087503728164</v>
      </c>
      <c r="Q15" s="668">
        <f>J15*7/100</f>
        <v>12.25</v>
      </c>
      <c r="R15" s="432">
        <v>2.2000000000000002</v>
      </c>
      <c r="S15" s="432">
        <v>7.2</v>
      </c>
      <c r="T15" s="670">
        <v>4</v>
      </c>
      <c r="U15" s="668">
        <f t="shared" ref="U15:U77" si="0">T15/R15</f>
        <v>1.8181818181818181</v>
      </c>
      <c r="V15" s="668">
        <f>(S15-R15)/S15*100</f>
        <v>69.444444444444443</v>
      </c>
      <c r="W15" s="668">
        <v>0.2</v>
      </c>
      <c r="X15" s="432">
        <f t="shared" ref="X15:X77" si="1">S15/Q15</f>
        <v>0.58775510204081638</v>
      </c>
      <c r="Y15" s="432">
        <f>R15*0.985</f>
        <v>2.1670000000000003</v>
      </c>
      <c r="Z15" s="432">
        <f>S15*0.985</f>
        <v>7.0919999999999996</v>
      </c>
      <c r="AA15" s="670">
        <f>T15*0.985</f>
        <v>3.94</v>
      </c>
      <c r="AB15" s="432">
        <f>U15</f>
        <v>1.8181818181818181</v>
      </c>
      <c r="AC15" s="670">
        <f t="shared" ref="AC15:AC77" si="2">V15</f>
        <v>69.444444444444443</v>
      </c>
      <c r="AD15" s="863">
        <v>30</v>
      </c>
      <c r="AE15" s="432">
        <f>Y15*AD15</f>
        <v>65.010000000000005</v>
      </c>
      <c r="AF15" s="669"/>
    </row>
    <row r="16" spans="1:32" ht="18.75" customHeight="1" x14ac:dyDescent="0.2">
      <c r="A16" s="863">
        <v>2</v>
      </c>
      <c r="B16" s="461" t="s">
        <v>140</v>
      </c>
      <c r="C16" s="863" t="s">
        <v>46</v>
      </c>
      <c r="D16" s="863">
        <v>623.5</v>
      </c>
      <c r="E16" s="863" t="s">
        <v>480</v>
      </c>
      <c r="F16" s="863">
        <v>177.8</v>
      </c>
      <c r="G16" s="863" t="s">
        <v>28</v>
      </c>
      <c r="H16" s="863" t="s">
        <v>50</v>
      </c>
      <c r="I16" s="862">
        <v>579.27</v>
      </c>
      <c r="J16" s="863" t="s">
        <v>254</v>
      </c>
      <c r="K16" s="863"/>
      <c r="L16" s="863">
        <v>69</v>
      </c>
      <c r="M16" s="863"/>
      <c r="N16" s="863">
        <v>0</v>
      </c>
      <c r="O16" s="863"/>
      <c r="P16" s="668">
        <v>50.20708643624252</v>
      </c>
      <c r="Q16" s="668">
        <f t="shared" ref="Q16:Q39" si="3">LEFT(H16,(FIND("K",H16,1)-1))*J16/100</f>
        <v>15</v>
      </c>
      <c r="R16" s="432">
        <v>0.14000000000000001</v>
      </c>
      <c r="S16" s="432">
        <v>8.8740000000000006</v>
      </c>
      <c r="T16" s="670">
        <v>0</v>
      </c>
      <c r="U16" s="668">
        <f t="shared" si="0"/>
        <v>0</v>
      </c>
      <c r="V16" s="668">
        <f>(S16-R16)/S16*100</f>
        <v>98.422357448726615</v>
      </c>
      <c r="W16" s="668">
        <v>0</v>
      </c>
      <c r="X16" s="432">
        <f t="shared" si="1"/>
        <v>0.59160000000000001</v>
      </c>
      <c r="Y16" s="432">
        <f t="shared" ref="Y16:Y77" si="4">R16*0.985</f>
        <v>0.13790000000000002</v>
      </c>
      <c r="Z16" s="432">
        <f t="shared" ref="Z16:Z77" si="5">S16*0.985</f>
        <v>8.7408900000000003</v>
      </c>
      <c r="AA16" s="670">
        <f t="shared" ref="AA16:AA77" si="6">T16*0.985</f>
        <v>0</v>
      </c>
      <c r="AB16" s="432">
        <f t="shared" ref="AB16:AB77" si="7">U16</f>
        <v>0</v>
      </c>
      <c r="AC16" s="670">
        <f t="shared" si="2"/>
        <v>98.422357448726615</v>
      </c>
      <c r="AD16" s="863">
        <v>0</v>
      </c>
      <c r="AE16" s="432">
        <f t="shared" ref="AE16:AE59" si="8">Y16*AD16</f>
        <v>0</v>
      </c>
      <c r="AF16" s="669" t="s">
        <v>334</v>
      </c>
    </row>
    <row r="17" spans="1:32" ht="18.75" customHeight="1" x14ac:dyDescent="0.2">
      <c r="A17" s="863">
        <v>3</v>
      </c>
      <c r="B17" s="461" t="s">
        <v>141</v>
      </c>
      <c r="C17" s="863" t="s">
        <v>46</v>
      </c>
      <c r="D17" s="863">
        <v>670</v>
      </c>
      <c r="E17" s="863" t="s">
        <v>68</v>
      </c>
      <c r="F17" s="863">
        <v>177.8</v>
      </c>
      <c r="G17" s="863" t="s">
        <v>28</v>
      </c>
      <c r="H17" s="863" t="s">
        <v>218</v>
      </c>
      <c r="I17" s="862">
        <v>565.94000000000005</v>
      </c>
      <c r="J17" s="863">
        <v>210</v>
      </c>
      <c r="K17" s="863"/>
      <c r="L17" s="863">
        <v>490</v>
      </c>
      <c r="M17" s="863"/>
      <c r="N17" s="668">
        <v>8.8000000000000007</v>
      </c>
      <c r="O17" s="863"/>
      <c r="P17" s="668">
        <v>13.265146265796149</v>
      </c>
      <c r="Q17" s="668">
        <f>LEFT(H17,(FIND("K",H17,1)-1))*J17/100</f>
        <v>67.2</v>
      </c>
      <c r="R17" s="432">
        <v>13.8</v>
      </c>
      <c r="S17" s="432">
        <v>22.4</v>
      </c>
      <c r="T17" s="670">
        <v>1576</v>
      </c>
      <c r="U17" s="668">
        <f t="shared" si="0"/>
        <v>114.20289855072463</v>
      </c>
      <c r="V17" s="668">
        <f t="shared" ref="V17:V77" si="9">(S17-R17)/S17*100</f>
        <v>38.392857142857132</v>
      </c>
      <c r="W17" s="668">
        <v>0.1</v>
      </c>
      <c r="X17" s="432">
        <f t="shared" si="1"/>
        <v>0.33333333333333331</v>
      </c>
      <c r="Y17" s="432">
        <f t="shared" si="4"/>
        <v>13.593</v>
      </c>
      <c r="Z17" s="432">
        <f t="shared" si="5"/>
        <v>22.064</v>
      </c>
      <c r="AA17" s="670">
        <f t="shared" si="6"/>
        <v>1552.36</v>
      </c>
      <c r="AB17" s="432">
        <f t="shared" si="7"/>
        <v>114.20289855072463</v>
      </c>
      <c r="AC17" s="670">
        <f t="shared" si="2"/>
        <v>38.392857142857132</v>
      </c>
      <c r="AD17" s="863">
        <v>30</v>
      </c>
      <c r="AE17" s="432">
        <f>Y17*AD17</f>
        <v>407.79</v>
      </c>
      <c r="AF17" s="669"/>
    </row>
    <row r="18" spans="1:32" ht="18.75" customHeight="1" x14ac:dyDescent="0.2">
      <c r="A18" s="863">
        <v>4</v>
      </c>
      <c r="B18" s="461" t="s">
        <v>142</v>
      </c>
      <c r="C18" s="863" t="s">
        <v>46</v>
      </c>
      <c r="D18" s="863">
        <v>628</v>
      </c>
      <c r="E18" s="863" t="s">
        <v>481</v>
      </c>
      <c r="F18" s="863">
        <v>177.8</v>
      </c>
      <c r="G18" s="863" t="s">
        <v>28</v>
      </c>
      <c r="H18" s="831" t="s">
        <v>466</v>
      </c>
      <c r="I18" s="862">
        <v>541.28</v>
      </c>
      <c r="J18" s="863">
        <v>85</v>
      </c>
      <c r="K18" s="863"/>
      <c r="L18" s="863">
        <v>443</v>
      </c>
      <c r="M18" s="863"/>
      <c r="N18" s="668">
        <v>5.5</v>
      </c>
      <c r="O18" s="863"/>
      <c r="P18" s="668">
        <v>16.750540363129868</v>
      </c>
      <c r="Q18" s="668">
        <f>13*J18/100</f>
        <v>11.05</v>
      </c>
      <c r="R18" s="432">
        <v>2.4</v>
      </c>
      <c r="S18" s="432">
        <v>3.6</v>
      </c>
      <c r="T18" s="670">
        <v>19</v>
      </c>
      <c r="U18" s="668">
        <f t="shared" si="0"/>
        <v>7.916666666666667</v>
      </c>
      <c r="V18" s="668">
        <f t="shared" si="9"/>
        <v>33.333333333333336</v>
      </c>
      <c r="W18" s="668">
        <v>0.3</v>
      </c>
      <c r="X18" s="432">
        <f t="shared" si="1"/>
        <v>0.32579185520361992</v>
      </c>
      <c r="Y18" s="432">
        <f t="shared" si="4"/>
        <v>2.3639999999999999</v>
      </c>
      <c r="Z18" s="432">
        <f t="shared" si="5"/>
        <v>3.5459999999999998</v>
      </c>
      <c r="AA18" s="670">
        <f t="shared" si="6"/>
        <v>18.715</v>
      </c>
      <c r="AB18" s="432">
        <f t="shared" si="7"/>
        <v>7.916666666666667</v>
      </c>
      <c r="AC18" s="670">
        <f t="shared" si="2"/>
        <v>33.333333333333336</v>
      </c>
      <c r="AD18" s="872">
        <v>30</v>
      </c>
      <c r="AE18" s="432">
        <f t="shared" si="8"/>
        <v>70.92</v>
      </c>
      <c r="AF18" s="669"/>
    </row>
    <row r="19" spans="1:32" ht="18.75" customHeight="1" x14ac:dyDescent="0.2">
      <c r="A19" s="878">
        <v>5</v>
      </c>
      <c r="B19" s="461" t="s">
        <v>143</v>
      </c>
      <c r="C19" s="878" t="s">
        <v>46</v>
      </c>
      <c r="D19" s="878">
        <v>576.6</v>
      </c>
      <c r="E19" s="878" t="s">
        <v>70</v>
      </c>
      <c r="F19" s="878">
        <v>177.8</v>
      </c>
      <c r="G19" s="878" t="s">
        <v>28</v>
      </c>
      <c r="H19" s="550" t="s">
        <v>53</v>
      </c>
      <c r="I19" s="877">
        <v>546.04999999999995</v>
      </c>
      <c r="J19" s="878">
        <v>85</v>
      </c>
      <c r="K19" s="878"/>
      <c r="L19" s="878">
        <v>403</v>
      </c>
      <c r="M19" s="878"/>
      <c r="N19" s="878">
        <v>5.9</v>
      </c>
      <c r="O19" s="878"/>
      <c r="P19" s="668">
        <v>20.335816068058126</v>
      </c>
      <c r="Q19" s="668">
        <f t="shared" si="3"/>
        <v>11.05</v>
      </c>
      <c r="R19" s="432">
        <v>3.2</v>
      </c>
      <c r="S19" s="432">
        <v>3.9</v>
      </c>
      <c r="T19" s="670">
        <v>23</v>
      </c>
      <c r="U19" s="668">
        <f t="shared" si="0"/>
        <v>7.1875</v>
      </c>
      <c r="V19" s="668">
        <f t="shared" si="9"/>
        <v>17.948717948717942</v>
      </c>
      <c r="W19" s="668">
        <v>0.1</v>
      </c>
      <c r="X19" s="432">
        <f>S19/Q19</f>
        <v>0.3529411764705882</v>
      </c>
      <c r="Y19" s="432">
        <f t="shared" si="4"/>
        <v>3.1520000000000001</v>
      </c>
      <c r="Z19" s="432">
        <f t="shared" si="5"/>
        <v>3.8414999999999999</v>
      </c>
      <c r="AA19" s="670">
        <f t="shared" si="6"/>
        <v>22.655000000000001</v>
      </c>
      <c r="AB19" s="432">
        <f t="shared" si="7"/>
        <v>7.1875</v>
      </c>
      <c r="AC19" s="670">
        <f t="shared" si="2"/>
        <v>17.948717948717942</v>
      </c>
      <c r="AD19" s="878">
        <v>30</v>
      </c>
      <c r="AE19" s="432">
        <f t="shared" si="8"/>
        <v>94.56</v>
      </c>
      <c r="AF19" s="669"/>
    </row>
    <row r="20" spans="1:32" ht="18.75" customHeight="1" x14ac:dyDescent="0.2">
      <c r="A20" s="878">
        <v>6</v>
      </c>
      <c r="B20" s="461" t="s">
        <v>144</v>
      </c>
      <c r="C20" s="878" t="s">
        <v>46</v>
      </c>
      <c r="D20" s="878">
        <v>676.6</v>
      </c>
      <c r="E20" s="878" t="s">
        <v>460</v>
      </c>
      <c r="F20" s="878">
        <v>177.8</v>
      </c>
      <c r="G20" s="878" t="s">
        <v>28</v>
      </c>
      <c r="H20" s="878" t="s">
        <v>461</v>
      </c>
      <c r="I20" s="877">
        <v>567.16</v>
      </c>
      <c r="J20" s="878">
        <v>85</v>
      </c>
      <c r="K20" s="878"/>
      <c r="L20" s="878">
        <v>413</v>
      </c>
      <c r="M20" s="878"/>
      <c r="N20" s="878">
        <v>0.6</v>
      </c>
      <c r="O20" s="878"/>
      <c r="P20" s="668">
        <v>15.576617988674503</v>
      </c>
      <c r="Q20" s="668">
        <v>18.7</v>
      </c>
      <c r="R20" s="432">
        <v>2.7</v>
      </c>
      <c r="S20" s="432">
        <v>3.4</v>
      </c>
      <c r="T20" s="670">
        <v>0</v>
      </c>
      <c r="U20" s="668">
        <f t="shared" si="0"/>
        <v>0</v>
      </c>
      <c r="V20" s="668">
        <f t="shared" si="9"/>
        <v>20.588235294117641</v>
      </c>
      <c r="W20" s="668">
        <v>0.2</v>
      </c>
      <c r="X20" s="432">
        <f>S20/Q20</f>
        <v>0.18181818181818182</v>
      </c>
      <c r="Y20" s="432">
        <f t="shared" si="4"/>
        <v>2.6595</v>
      </c>
      <c r="Z20" s="432">
        <f t="shared" si="5"/>
        <v>3.3489999999999998</v>
      </c>
      <c r="AA20" s="670">
        <f t="shared" si="6"/>
        <v>0</v>
      </c>
      <c r="AB20" s="432">
        <v>14.613</v>
      </c>
      <c r="AC20" s="670">
        <f t="shared" si="2"/>
        <v>20.588235294117641</v>
      </c>
      <c r="AD20" s="878">
        <v>30</v>
      </c>
      <c r="AE20" s="432">
        <f t="shared" si="8"/>
        <v>79.784999999999997</v>
      </c>
      <c r="AF20" s="669"/>
    </row>
    <row r="21" spans="1:32" ht="18.75" customHeight="1" x14ac:dyDescent="0.2">
      <c r="A21" s="878">
        <v>7</v>
      </c>
      <c r="B21" s="461" t="s">
        <v>145</v>
      </c>
      <c r="C21" s="878" t="s">
        <v>46</v>
      </c>
      <c r="D21" s="878" t="s">
        <v>47</v>
      </c>
      <c r="E21" s="878" t="s">
        <v>72</v>
      </c>
      <c r="F21" s="878">
        <v>177.8</v>
      </c>
      <c r="G21" s="878" t="s">
        <v>28</v>
      </c>
      <c r="H21" s="878" t="s">
        <v>52</v>
      </c>
      <c r="I21" s="877">
        <v>560</v>
      </c>
      <c r="J21" s="878">
        <v>190</v>
      </c>
      <c r="K21" s="878"/>
      <c r="L21" s="878">
        <v>448</v>
      </c>
      <c r="M21" s="878"/>
      <c r="N21" s="878">
        <v>6.3</v>
      </c>
      <c r="O21" s="878"/>
      <c r="P21" s="668">
        <v>17.495338874378877</v>
      </c>
      <c r="Q21" s="668">
        <f t="shared" si="3"/>
        <v>41.8</v>
      </c>
      <c r="R21" s="432">
        <v>10.8</v>
      </c>
      <c r="S21" s="432">
        <v>13.5</v>
      </c>
      <c r="T21" s="670">
        <v>140.75</v>
      </c>
      <c r="U21" s="668">
        <f t="shared" si="0"/>
        <v>13.032407407407407</v>
      </c>
      <c r="V21" s="668">
        <f t="shared" si="9"/>
        <v>19.999999999999996</v>
      </c>
      <c r="W21" s="668">
        <v>0.3</v>
      </c>
      <c r="X21" s="432">
        <f t="shared" si="1"/>
        <v>0.32296650717703351</v>
      </c>
      <c r="Y21" s="432">
        <f t="shared" si="4"/>
        <v>10.638</v>
      </c>
      <c r="Z21" s="432">
        <f t="shared" si="5"/>
        <v>13.297499999999999</v>
      </c>
      <c r="AA21" s="670">
        <f t="shared" si="6"/>
        <v>138.63874999999999</v>
      </c>
      <c r="AB21" s="432">
        <f t="shared" si="7"/>
        <v>13.032407407407407</v>
      </c>
      <c r="AC21" s="670">
        <f t="shared" si="2"/>
        <v>19.999999999999996</v>
      </c>
      <c r="AD21" s="878">
        <v>30</v>
      </c>
      <c r="AE21" s="432">
        <f t="shared" si="8"/>
        <v>319.14</v>
      </c>
      <c r="AF21" s="669"/>
    </row>
    <row r="22" spans="1:32" ht="18.75" customHeight="1" x14ac:dyDescent="0.2">
      <c r="A22" s="878">
        <v>8</v>
      </c>
      <c r="B22" s="461" t="s">
        <v>146</v>
      </c>
      <c r="C22" s="878" t="s">
        <v>46</v>
      </c>
      <c r="D22" s="878">
        <v>764</v>
      </c>
      <c r="E22" s="436" t="s">
        <v>73</v>
      </c>
      <c r="F22" s="878">
        <v>177.8</v>
      </c>
      <c r="G22" s="878" t="s">
        <v>28</v>
      </c>
      <c r="H22" s="878" t="s">
        <v>52</v>
      </c>
      <c r="I22" s="437">
        <v>550</v>
      </c>
      <c r="J22" s="878">
        <v>155</v>
      </c>
      <c r="K22" s="876"/>
      <c r="L22" s="878">
        <v>439</v>
      </c>
      <c r="M22" s="876"/>
      <c r="N22" s="878">
        <v>6.2</v>
      </c>
      <c r="O22" s="876"/>
      <c r="P22" s="668">
        <v>18.72655535869627</v>
      </c>
      <c r="Q22" s="668">
        <f t="shared" si="3"/>
        <v>34.1</v>
      </c>
      <c r="R22" s="432">
        <v>7.8</v>
      </c>
      <c r="S22" s="432">
        <v>18.7</v>
      </c>
      <c r="T22" s="670">
        <v>39</v>
      </c>
      <c r="U22" s="668">
        <f t="shared" si="0"/>
        <v>5</v>
      </c>
      <c r="V22" s="668">
        <f t="shared" si="9"/>
        <v>58.288770053475936</v>
      </c>
      <c r="W22" s="668">
        <v>0.2</v>
      </c>
      <c r="X22" s="432">
        <f t="shared" si="1"/>
        <v>0.54838709677419351</v>
      </c>
      <c r="Y22" s="432">
        <f t="shared" si="4"/>
        <v>7.6829999999999998</v>
      </c>
      <c r="Z22" s="432">
        <f t="shared" si="5"/>
        <v>18.419499999999999</v>
      </c>
      <c r="AA22" s="670">
        <f t="shared" si="6"/>
        <v>38.414999999999999</v>
      </c>
      <c r="AB22" s="432">
        <f t="shared" si="7"/>
        <v>5</v>
      </c>
      <c r="AC22" s="670">
        <f t="shared" si="2"/>
        <v>58.288770053475936</v>
      </c>
      <c r="AD22" s="878">
        <v>30</v>
      </c>
      <c r="AE22" s="432">
        <f t="shared" si="8"/>
        <v>230.49</v>
      </c>
      <c r="AF22" s="669"/>
    </row>
    <row r="23" spans="1:32" ht="18.75" customHeight="1" x14ac:dyDescent="0.2">
      <c r="A23" s="878">
        <v>9</v>
      </c>
      <c r="B23" s="461" t="s">
        <v>147</v>
      </c>
      <c r="C23" s="878" t="s">
        <v>46</v>
      </c>
      <c r="D23" s="878">
        <v>650.1</v>
      </c>
      <c r="E23" s="878" t="s">
        <v>74</v>
      </c>
      <c r="F23" s="878">
        <v>177.8</v>
      </c>
      <c r="G23" s="878" t="s">
        <v>28</v>
      </c>
      <c r="H23" s="878" t="s">
        <v>52</v>
      </c>
      <c r="I23" s="877">
        <v>591.98</v>
      </c>
      <c r="J23" s="878">
        <v>150</v>
      </c>
      <c r="K23" s="878"/>
      <c r="L23" s="878">
        <v>464</v>
      </c>
      <c r="M23" s="878"/>
      <c r="N23" s="878">
        <v>3.1</v>
      </c>
      <c r="O23" s="878"/>
      <c r="P23" s="668">
        <v>12.93236369405161</v>
      </c>
      <c r="Q23" s="668">
        <f t="shared" si="3"/>
        <v>33</v>
      </c>
      <c r="R23" s="432">
        <v>6</v>
      </c>
      <c r="S23" s="432">
        <v>10.5</v>
      </c>
      <c r="T23" s="670">
        <v>26</v>
      </c>
      <c r="U23" s="668">
        <f t="shared" si="0"/>
        <v>4.333333333333333</v>
      </c>
      <c r="V23" s="668">
        <f t="shared" si="9"/>
        <v>42.857142857142854</v>
      </c>
      <c r="W23" s="668">
        <v>0.1</v>
      </c>
      <c r="X23" s="432">
        <f t="shared" si="1"/>
        <v>0.31818181818181818</v>
      </c>
      <c r="Y23" s="432">
        <f t="shared" si="4"/>
        <v>5.91</v>
      </c>
      <c r="Z23" s="432">
        <f t="shared" si="5"/>
        <v>10.342499999999999</v>
      </c>
      <c r="AA23" s="670">
        <f t="shared" si="6"/>
        <v>25.61</v>
      </c>
      <c r="AB23" s="432">
        <f t="shared" si="7"/>
        <v>4.333333333333333</v>
      </c>
      <c r="AC23" s="670">
        <f t="shared" si="2"/>
        <v>42.857142857142854</v>
      </c>
      <c r="AD23" s="878">
        <v>30</v>
      </c>
      <c r="AE23" s="432">
        <f t="shared" si="8"/>
        <v>177.3</v>
      </c>
      <c r="AF23" s="669"/>
    </row>
    <row r="24" spans="1:32" ht="18.75" customHeight="1" x14ac:dyDescent="0.2">
      <c r="A24" s="878">
        <v>10</v>
      </c>
      <c r="B24" s="461" t="s">
        <v>148</v>
      </c>
      <c r="C24" s="878" t="s">
        <v>46</v>
      </c>
      <c r="D24" s="878">
        <v>640.20000000000005</v>
      </c>
      <c r="E24" s="878" t="s">
        <v>398</v>
      </c>
      <c r="F24" s="878">
        <v>177.8</v>
      </c>
      <c r="G24" s="878" t="s">
        <v>28</v>
      </c>
      <c r="H24" s="831" t="s">
        <v>466</v>
      </c>
      <c r="I24" s="877">
        <v>565.38</v>
      </c>
      <c r="J24" s="878">
        <v>90</v>
      </c>
      <c r="K24" s="878"/>
      <c r="L24" s="878">
        <v>501</v>
      </c>
      <c r="M24" s="878"/>
      <c r="N24" s="878">
        <v>0</v>
      </c>
      <c r="O24" s="878"/>
      <c r="P24" s="668">
        <v>6.7829459510106407</v>
      </c>
      <c r="Q24" s="668">
        <f>J24*13/100</f>
        <v>11.7</v>
      </c>
      <c r="R24" s="432">
        <v>1.47</v>
      </c>
      <c r="S24" s="432">
        <v>1.5029999999999999</v>
      </c>
      <c r="T24" s="670">
        <v>0</v>
      </c>
      <c r="U24" s="668">
        <f>IF(R24=0,0,T24/R24)</f>
        <v>0</v>
      </c>
      <c r="V24" s="668">
        <f t="shared" si="9"/>
        <v>2.1956087824351247</v>
      </c>
      <c r="W24" s="668">
        <v>0.4</v>
      </c>
      <c r="X24" s="432">
        <f t="shared" si="1"/>
        <v>0.12846153846153846</v>
      </c>
      <c r="Y24" s="432">
        <f t="shared" si="4"/>
        <v>1.4479499999999998</v>
      </c>
      <c r="Z24" s="432">
        <f t="shared" si="5"/>
        <v>1.4804549999999999</v>
      </c>
      <c r="AA24" s="670">
        <f t="shared" si="6"/>
        <v>0</v>
      </c>
      <c r="AB24" s="432">
        <f t="shared" si="7"/>
        <v>0</v>
      </c>
      <c r="AC24" s="670">
        <f t="shared" si="2"/>
        <v>2.1956087824351247</v>
      </c>
      <c r="AD24" s="878">
        <v>30</v>
      </c>
      <c r="AE24" s="432">
        <f t="shared" si="8"/>
        <v>43.438499999999998</v>
      </c>
      <c r="AF24" s="669"/>
    </row>
    <row r="25" spans="1:32" ht="18.75" customHeight="1" x14ac:dyDescent="0.2">
      <c r="A25" s="878">
        <v>11</v>
      </c>
      <c r="B25" s="461" t="s">
        <v>149</v>
      </c>
      <c r="C25" s="878" t="s">
        <v>46</v>
      </c>
      <c r="D25" s="878">
        <v>606.29999999999995</v>
      </c>
      <c r="E25" s="878" t="s">
        <v>76</v>
      </c>
      <c r="F25" s="878">
        <v>177.8</v>
      </c>
      <c r="G25" s="878" t="s">
        <v>28</v>
      </c>
      <c r="H25" s="878" t="s">
        <v>52</v>
      </c>
      <c r="I25" s="877">
        <v>585.29999999999995</v>
      </c>
      <c r="J25" s="878">
        <v>360</v>
      </c>
      <c r="K25" s="878"/>
      <c r="L25" s="878">
        <v>265</v>
      </c>
      <c r="M25" s="878"/>
      <c r="N25" s="878">
        <v>5.8</v>
      </c>
      <c r="O25" s="878"/>
      <c r="P25" s="668">
        <v>33.716992795550645</v>
      </c>
      <c r="Q25" s="668">
        <f t="shared" si="3"/>
        <v>79.2</v>
      </c>
      <c r="R25" s="432">
        <v>0.6</v>
      </c>
      <c r="S25" s="432">
        <v>1.22</v>
      </c>
      <c r="T25" s="670">
        <v>1</v>
      </c>
      <c r="U25" s="668">
        <f t="shared" si="0"/>
        <v>1.6666666666666667</v>
      </c>
      <c r="V25" s="668">
        <f t="shared" si="9"/>
        <v>50.819672131147541</v>
      </c>
      <c r="W25" s="668">
        <v>0.3</v>
      </c>
      <c r="X25" s="432">
        <f t="shared" si="1"/>
        <v>1.5404040404040403E-2</v>
      </c>
      <c r="Y25" s="432">
        <f t="shared" si="4"/>
        <v>0.59099999999999997</v>
      </c>
      <c r="Z25" s="432">
        <f t="shared" si="5"/>
        <v>1.2017</v>
      </c>
      <c r="AA25" s="670">
        <f t="shared" si="6"/>
        <v>0.98499999999999999</v>
      </c>
      <c r="AB25" s="432">
        <f t="shared" si="7"/>
        <v>1.6666666666666667</v>
      </c>
      <c r="AC25" s="670">
        <f t="shared" si="2"/>
        <v>50.819672131147541</v>
      </c>
      <c r="AD25" s="878">
        <v>30</v>
      </c>
      <c r="AE25" s="432">
        <f t="shared" si="8"/>
        <v>17.73</v>
      </c>
      <c r="AF25" s="449"/>
    </row>
    <row r="26" spans="1:32" ht="18.75" customHeight="1" x14ac:dyDescent="0.2">
      <c r="A26" s="878">
        <v>12</v>
      </c>
      <c r="B26" s="461" t="s">
        <v>150</v>
      </c>
      <c r="C26" s="878" t="s">
        <v>46</v>
      </c>
      <c r="D26" s="878">
        <v>661</v>
      </c>
      <c r="E26" s="679" t="s">
        <v>433</v>
      </c>
      <c r="F26" s="878">
        <v>177.8</v>
      </c>
      <c r="G26" s="878" t="s">
        <v>28</v>
      </c>
      <c r="H26" s="878" t="s">
        <v>53</v>
      </c>
      <c r="I26" s="877">
        <v>555.72</v>
      </c>
      <c r="J26" s="878">
        <v>300</v>
      </c>
      <c r="K26" s="878"/>
      <c r="L26" s="878">
        <v>121</v>
      </c>
      <c r="M26" s="878"/>
      <c r="N26" s="878">
        <v>0.5</v>
      </c>
      <c r="O26" s="878"/>
      <c r="P26" s="668">
        <v>43.759203057126093</v>
      </c>
      <c r="Q26" s="668">
        <f t="shared" si="3"/>
        <v>39</v>
      </c>
      <c r="R26" s="432">
        <v>0.23</v>
      </c>
      <c r="S26" s="432">
        <v>1.06</v>
      </c>
      <c r="T26" s="670">
        <v>0</v>
      </c>
      <c r="U26" s="668">
        <f t="shared" si="0"/>
        <v>0</v>
      </c>
      <c r="V26" s="668">
        <f t="shared" si="9"/>
        <v>78.301886792452834</v>
      </c>
      <c r="W26" s="668">
        <v>0.2</v>
      </c>
      <c r="X26" s="432">
        <f t="shared" si="1"/>
        <v>2.7179487179487181E-2</v>
      </c>
      <c r="Y26" s="432">
        <f t="shared" si="4"/>
        <v>0.22655</v>
      </c>
      <c r="Z26" s="432">
        <f t="shared" si="5"/>
        <v>1.0441</v>
      </c>
      <c r="AA26" s="670">
        <f t="shared" si="6"/>
        <v>0</v>
      </c>
      <c r="AB26" s="432">
        <f t="shared" si="7"/>
        <v>0</v>
      </c>
      <c r="AC26" s="670">
        <f t="shared" si="2"/>
        <v>78.301886792452834</v>
      </c>
      <c r="AD26" s="878">
        <v>30</v>
      </c>
      <c r="AE26" s="432">
        <f t="shared" si="8"/>
        <v>6.7965</v>
      </c>
      <c r="AF26" s="669"/>
    </row>
    <row r="27" spans="1:32" ht="18.75" customHeight="1" x14ac:dyDescent="0.2">
      <c r="A27" s="878">
        <v>13</v>
      </c>
      <c r="B27" s="461" t="s">
        <v>151</v>
      </c>
      <c r="C27" s="878" t="s">
        <v>46</v>
      </c>
      <c r="D27" s="878">
        <v>658.32</v>
      </c>
      <c r="E27" s="877" t="s">
        <v>298</v>
      </c>
      <c r="F27" s="878">
        <v>177.8</v>
      </c>
      <c r="G27" s="878" t="s">
        <v>28</v>
      </c>
      <c r="H27" s="878" t="s">
        <v>52</v>
      </c>
      <c r="I27" s="877">
        <v>552.47</v>
      </c>
      <c r="J27" s="878">
        <v>160</v>
      </c>
      <c r="K27" s="878"/>
      <c r="L27" s="878">
        <v>320</v>
      </c>
      <c r="M27" s="878"/>
      <c r="N27" s="878">
        <v>4.8</v>
      </c>
      <c r="O27" s="878"/>
      <c r="P27" s="668">
        <v>28.717946436969054</v>
      </c>
      <c r="Q27" s="668">
        <f t="shared" si="3"/>
        <v>35.200000000000003</v>
      </c>
      <c r="R27" s="432">
        <v>8.8000000000000007</v>
      </c>
      <c r="S27" s="432">
        <v>25</v>
      </c>
      <c r="T27" s="670">
        <v>41</v>
      </c>
      <c r="U27" s="668">
        <f t="shared" si="0"/>
        <v>4.6590909090909083</v>
      </c>
      <c r="V27" s="668">
        <f t="shared" si="9"/>
        <v>64.8</v>
      </c>
      <c r="W27" s="668">
        <v>0.1</v>
      </c>
      <c r="X27" s="432">
        <f t="shared" si="1"/>
        <v>0.71022727272727271</v>
      </c>
      <c r="Y27" s="432">
        <f t="shared" si="4"/>
        <v>8.668000000000001</v>
      </c>
      <c r="Z27" s="432">
        <f t="shared" si="5"/>
        <v>24.625</v>
      </c>
      <c r="AA27" s="670">
        <f t="shared" si="6"/>
        <v>40.384999999999998</v>
      </c>
      <c r="AB27" s="432">
        <f t="shared" si="7"/>
        <v>4.6590909090909083</v>
      </c>
      <c r="AC27" s="670">
        <f t="shared" si="2"/>
        <v>64.8</v>
      </c>
      <c r="AD27" s="878">
        <v>30</v>
      </c>
      <c r="AE27" s="432">
        <f t="shared" si="8"/>
        <v>260.04000000000002</v>
      </c>
      <c r="AF27" s="449"/>
    </row>
    <row r="28" spans="1:32" ht="18.75" customHeight="1" x14ac:dyDescent="0.2">
      <c r="A28" s="878">
        <v>14</v>
      </c>
      <c r="B28" s="461" t="s">
        <v>36</v>
      </c>
      <c r="C28" s="878" t="s">
        <v>46</v>
      </c>
      <c r="D28" s="878">
        <v>584.5</v>
      </c>
      <c r="E28" s="877" t="s">
        <v>79</v>
      </c>
      <c r="F28" s="878">
        <v>177.8</v>
      </c>
      <c r="G28" s="878" t="s">
        <v>28</v>
      </c>
      <c r="H28" s="878" t="s">
        <v>49</v>
      </c>
      <c r="I28" s="877">
        <v>525.03</v>
      </c>
      <c r="J28" s="878">
        <v>150</v>
      </c>
      <c r="K28" s="878"/>
      <c r="L28" s="878">
        <v>334</v>
      </c>
      <c r="M28" s="878"/>
      <c r="N28" s="878">
        <v>5.5</v>
      </c>
      <c r="O28" s="878"/>
      <c r="P28" s="668">
        <v>24.884849289516335</v>
      </c>
      <c r="Q28" s="668">
        <f t="shared" si="3"/>
        <v>48</v>
      </c>
      <c r="R28" s="432">
        <v>13.2</v>
      </c>
      <c r="S28" s="432">
        <v>25.9</v>
      </c>
      <c r="T28" s="670">
        <v>175</v>
      </c>
      <c r="U28" s="668">
        <f t="shared" si="0"/>
        <v>13.257575757575758</v>
      </c>
      <c r="V28" s="668">
        <f t="shared" si="9"/>
        <v>49.034749034749034</v>
      </c>
      <c r="W28" s="668">
        <v>0.2</v>
      </c>
      <c r="X28" s="432">
        <f t="shared" si="1"/>
        <v>0.5395833333333333</v>
      </c>
      <c r="Y28" s="432">
        <f t="shared" si="4"/>
        <v>13.001999999999999</v>
      </c>
      <c r="Z28" s="432">
        <f t="shared" si="5"/>
        <v>25.511499999999998</v>
      </c>
      <c r="AA28" s="670">
        <f t="shared" si="6"/>
        <v>172.375</v>
      </c>
      <c r="AB28" s="432">
        <f t="shared" si="7"/>
        <v>13.257575757575758</v>
      </c>
      <c r="AC28" s="670">
        <f t="shared" si="2"/>
        <v>49.034749034749034</v>
      </c>
      <c r="AD28" s="878">
        <v>30</v>
      </c>
      <c r="AE28" s="432">
        <f t="shared" si="8"/>
        <v>390.05999999999995</v>
      </c>
      <c r="AF28" s="669"/>
    </row>
    <row r="29" spans="1:32" ht="18.75" customHeight="1" x14ac:dyDescent="0.2">
      <c r="A29" s="878">
        <v>15</v>
      </c>
      <c r="B29" s="461" t="s">
        <v>152</v>
      </c>
      <c r="C29" s="878" t="s">
        <v>46</v>
      </c>
      <c r="D29" s="878">
        <v>565</v>
      </c>
      <c r="E29" s="877" t="s">
        <v>80</v>
      </c>
      <c r="F29" s="878">
        <v>177.8</v>
      </c>
      <c r="G29" s="878" t="s">
        <v>28</v>
      </c>
      <c r="H29" s="878" t="s">
        <v>399</v>
      </c>
      <c r="I29" s="437">
        <v>520.03</v>
      </c>
      <c r="J29" s="878">
        <v>295</v>
      </c>
      <c r="K29" s="878"/>
      <c r="L29" s="878">
        <v>413</v>
      </c>
      <c r="M29" s="878"/>
      <c r="N29" s="878">
        <v>9.1999999999999993</v>
      </c>
      <c r="O29" s="878"/>
      <c r="P29" s="668">
        <v>21.030853702643522</v>
      </c>
      <c r="Q29" s="668">
        <f>J29*13/100</f>
        <v>38.35</v>
      </c>
      <c r="R29" s="432">
        <v>9.6</v>
      </c>
      <c r="S29" s="432">
        <v>26.321999999999999</v>
      </c>
      <c r="T29" s="670">
        <v>1367</v>
      </c>
      <c r="U29" s="668">
        <f t="shared" si="0"/>
        <v>142.39583333333334</v>
      </c>
      <c r="V29" s="668">
        <f t="shared" si="9"/>
        <v>63.528607248689319</v>
      </c>
      <c r="W29" s="668">
        <v>0.2</v>
      </c>
      <c r="X29" s="432">
        <f t="shared" si="1"/>
        <v>0.68636245110821381</v>
      </c>
      <c r="Y29" s="432">
        <f t="shared" si="4"/>
        <v>9.4559999999999995</v>
      </c>
      <c r="Z29" s="432">
        <f t="shared" si="5"/>
        <v>25.92717</v>
      </c>
      <c r="AA29" s="670">
        <f t="shared" si="6"/>
        <v>1346.4949999999999</v>
      </c>
      <c r="AB29" s="432">
        <f t="shared" si="7"/>
        <v>142.39583333333334</v>
      </c>
      <c r="AC29" s="670">
        <f t="shared" si="2"/>
        <v>63.528607248689319</v>
      </c>
      <c r="AD29" s="878">
        <v>30</v>
      </c>
      <c r="AE29" s="432">
        <f t="shared" si="8"/>
        <v>283.68</v>
      </c>
      <c r="AF29" s="669"/>
    </row>
    <row r="30" spans="1:32" ht="18.75" customHeight="1" x14ac:dyDescent="0.2">
      <c r="A30" s="878">
        <v>16</v>
      </c>
      <c r="B30" s="461" t="s">
        <v>37</v>
      </c>
      <c r="C30" s="878" t="s">
        <v>46</v>
      </c>
      <c r="D30" s="878">
        <v>670</v>
      </c>
      <c r="E30" s="878" t="s">
        <v>81</v>
      </c>
      <c r="F30" s="878">
        <v>177.8</v>
      </c>
      <c r="G30" s="878" t="s">
        <v>28</v>
      </c>
      <c r="H30" s="878" t="s">
        <v>48</v>
      </c>
      <c r="I30" s="877">
        <v>570.95000000000005</v>
      </c>
      <c r="J30" s="878">
        <v>95</v>
      </c>
      <c r="K30" s="878"/>
      <c r="L30" s="878">
        <v>446</v>
      </c>
      <c r="M30" s="878"/>
      <c r="N30" s="878">
        <v>5.6</v>
      </c>
      <c r="O30" s="878"/>
      <c r="P30" s="668">
        <v>18.468194684201229</v>
      </c>
      <c r="Q30" s="668">
        <f t="shared" si="3"/>
        <v>12.35</v>
      </c>
      <c r="R30" s="432">
        <v>3.2</v>
      </c>
      <c r="S30" s="432">
        <v>5.7</v>
      </c>
      <c r="T30" s="670">
        <v>23</v>
      </c>
      <c r="U30" s="668">
        <f t="shared" si="0"/>
        <v>7.1875</v>
      </c>
      <c r="V30" s="668">
        <f t="shared" si="9"/>
        <v>43.859649122807014</v>
      </c>
      <c r="W30" s="668">
        <v>0.1</v>
      </c>
      <c r="X30" s="432">
        <f t="shared" si="1"/>
        <v>0.46153846153846156</v>
      </c>
      <c r="Y30" s="432">
        <f t="shared" si="4"/>
        <v>3.1520000000000001</v>
      </c>
      <c r="Z30" s="432">
        <f t="shared" si="5"/>
        <v>5.6145000000000005</v>
      </c>
      <c r="AA30" s="670">
        <f t="shared" si="6"/>
        <v>22.655000000000001</v>
      </c>
      <c r="AB30" s="432">
        <f t="shared" si="7"/>
        <v>7.1875</v>
      </c>
      <c r="AC30" s="670">
        <f t="shared" si="2"/>
        <v>43.859649122807014</v>
      </c>
      <c r="AD30" s="878">
        <v>30</v>
      </c>
      <c r="AE30" s="432">
        <f>Y30*AD30</f>
        <v>94.56</v>
      </c>
      <c r="AF30" s="449"/>
    </row>
    <row r="31" spans="1:32" ht="18.75" customHeight="1" x14ac:dyDescent="0.2">
      <c r="A31" s="878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878" t="s">
        <v>401</v>
      </c>
      <c r="I31" s="461">
        <v>587.87</v>
      </c>
      <c r="J31" s="461">
        <v>150</v>
      </c>
      <c r="K31" s="461"/>
      <c r="L31" s="461">
        <v>498</v>
      </c>
      <c r="M31" s="461"/>
      <c r="N31" s="461">
        <v>8.5</v>
      </c>
      <c r="O31" s="461"/>
      <c r="P31" s="671">
        <v>14.245645068569367</v>
      </c>
      <c r="Q31" s="668">
        <f>J31*33/100</f>
        <v>49.5</v>
      </c>
      <c r="R31" s="672">
        <v>12.5</v>
      </c>
      <c r="S31" s="432">
        <v>18.7</v>
      </c>
      <c r="T31" s="699">
        <v>72</v>
      </c>
      <c r="U31" s="671">
        <f t="shared" si="0"/>
        <v>5.76</v>
      </c>
      <c r="V31" s="668">
        <f t="shared" si="9"/>
        <v>33.155080213903744</v>
      </c>
      <c r="W31" s="671">
        <v>0.4</v>
      </c>
      <c r="X31" s="672">
        <f t="shared" si="1"/>
        <v>0.37777777777777777</v>
      </c>
      <c r="Y31" s="432">
        <f t="shared" si="4"/>
        <v>12.3125</v>
      </c>
      <c r="Z31" s="432">
        <f t="shared" si="5"/>
        <v>18.419499999999999</v>
      </c>
      <c r="AA31" s="670">
        <f t="shared" si="6"/>
        <v>70.92</v>
      </c>
      <c r="AB31" s="672">
        <f t="shared" si="7"/>
        <v>5.76</v>
      </c>
      <c r="AC31" s="699">
        <f t="shared" si="2"/>
        <v>33.155080213903744</v>
      </c>
      <c r="AD31" s="878">
        <v>30</v>
      </c>
      <c r="AE31" s="672">
        <f>Y31*AD31</f>
        <v>369.375</v>
      </c>
      <c r="AF31" s="461"/>
    </row>
    <row r="32" spans="1:32" ht="18.75" customHeight="1" x14ac:dyDescent="0.2">
      <c r="A32" s="879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863">
        <v>177.8</v>
      </c>
      <c r="G32" s="863" t="s">
        <v>28</v>
      </c>
      <c r="H32" s="863" t="s">
        <v>364</v>
      </c>
      <c r="I32" s="437">
        <v>565.79999999999995</v>
      </c>
      <c r="J32" s="863">
        <v>120</v>
      </c>
      <c r="K32" s="863"/>
      <c r="L32" s="863">
        <v>400</v>
      </c>
      <c r="M32" s="863"/>
      <c r="N32" s="863">
        <v>8</v>
      </c>
      <c r="O32" s="863"/>
      <c r="P32" s="668">
        <v>24.1</v>
      </c>
      <c r="Q32" s="668">
        <f>J32*13/100</f>
        <v>15.6</v>
      </c>
      <c r="R32" s="432">
        <v>2.7</v>
      </c>
      <c r="S32" s="432">
        <v>5.7</v>
      </c>
      <c r="T32" s="670">
        <v>175</v>
      </c>
      <c r="U32" s="671">
        <f t="shared" si="0"/>
        <v>64.81481481481481</v>
      </c>
      <c r="V32" s="668">
        <f t="shared" si="9"/>
        <v>52.631578947368418</v>
      </c>
      <c r="W32" s="668">
        <v>0.2</v>
      </c>
      <c r="X32" s="672">
        <f t="shared" si="1"/>
        <v>0.36538461538461542</v>
      </c>
      <c r="Y32" s="432">
        <f t="shared" si="4"/>
        <v>2.6595</v>
      </c>
      <c r="Z32" s="432">
        <f t="shared" si="5"/>
        <v>5.6145000000000005</v>
      </c>
      <c r="AA32" s="670">
        <f t="shared" si="6"/>
        <v>172.375</v>
      </c>
      <c r="AB32" s="432">
        <v>0</v>
      </c>
      <c r="AC32" s="699">
        <f t="shared" si="2"/>
        <v>52.631578947368418</v>
      </c>
      <c r="AD32" s="872">
        <v>30</v>
      </c>
      <c r="AE32" s="672">
        <f>Y32*AD32</f>
        <v>79.784999999999997</v>
      </c>
      <c r="AF32" s="669"/>
    </row>
    <row r="33" spans="1:32" ht="18.75" customHeight="1" x14ac:dyDescent="0.2">
      <c r="A33" s="878">
        <v>19</v>
      </c>
      <c r="B33" s="461" t="s">
        <v>38</v>
      </c>
      <c r="C33" s="878" t="s">
        <v>46</v>
      </c>
      <c r="D33" s="668">
        <v>580</v>
      </c>
      <c r="E33" s="878" t="s">
        <v>84</v>
      </c>
      <c r="F33" s="878">
        <v>177.8</v>
      </c>
      <c r="G33" s="878" t="s">
        <v>28</v>
      </c>
      <c r="H33" s="878" t="s">
        <v>379</v>
      </c>
      <c r="I33" s="877">
        <v>563.79</v>
      </c>
      <c r="J33" s="878">
        <v>195</v>
      </c>
      <c r="K33" s="878"/>
      <c r="L33" s="878">
        <v>500</v>
      </c>
      <c r="M33" s="878"/>
      <c r="N33" s="878">
        <v>0.3</v>
      </c>
      <c r="O33" s="878"/>
      <c r="P33" s="668">
        <v>4.4225528260940452</v>
      </c>
      <c r="Q33" s="668">
        <f>J33*7/100</f>
        <v>13.65</v>
      </c>
      <c r="R33" s="432">
        <v>1.77</v>
      </c>
      <c r="S33" s="432">
        <v>3.8370000000000002</v>
      </c>
      <c r="T33" s="670">
        <v>1.5</v>
      </c>
      <c r="U33" s="671">
        <f t="shared" si="0"/>
        <v>0.84745762711864403</v>
      </c>
      <c r="V33" s="668">
        <f t="shared" si="9"/>
        <v>53.870211102423774</v>
      </c>
      <c r="W33" s="668">
        <v>0.2</v>
      </c>
      <c r="X33" s="672">
        <f t="shared" si="1"/>
        <v>0.28109890109890112</v>
      </c>
      <c r="Y33" s="432">
        <f t="shared" si="4"/>
        <v>1.7434499999999999</v>
      </c>
      <c r="Z33" s="432">
        <f t="shared" si="5"/>
        <v>3.7794449999999999</v>
      </c>
      <c r="AA33" s="670">
        <f t="shared" si="6"/>
        <v>1.4775</v>
      </c>
      <c r="AB33" s="432">
        <f>U33</f>
        <v>0.84745762711864403</v>
      </c>
      <c r="AC33" s="699">
        <f t="shared" si="2"/>
        <v>53.870211102423774</v>
      </c>
      <c r="AD33" s="878">
        <v>30</v>
      </c>
      <c r="AE33" s="432">
        <f t="shared" si="8"/>
        <v>52.3035</v>
      </c>
      <c r="AF33" s="669"/>
    </row>
    <row r="34" spans="1:32" ht="18.75" customHeight="1" x14ac:dyDescent="0.2">
      <c r="A34" s="878">
        <v>20</v>
      </c>
      <c r="B34" s="461" t="s">
        <v>39</v>
      </c>
      <c r="C34" s="878" t="s">
        <v>46</v>
      </c>
      <c r="D34" s="878">
        <v>728.6</v>
      </c>
      <c r="E34" s="878" t="s">
        <v>411</v>
      </c>
      <c r="F34" s="878">
        <v>177.8</v>
      </c>
      <c r="G34" s="878" t="s">
        <v>28</v>
      </c>
      <c r="H34" s="878" t="s">
        <v>380</v>
      </c>
      <c r="I34" s="877">
        <v>551.77</v>
      </c>
      <c r="J34" s="878">
        <v>350</v>
      </c>
      <c r="K34" s="878"/>
      <c r="L34" s="878">
        <v>456</v>
      </c>
      <c r="M34" s="878"/>
      <c r="N34" s="878">
        <v>2.7</v>
      </c>
      <c r="O34" s="878"/>
      <c r="P34" s="668">
        <v>13.006279866995317</v>
      </c>
      <c r="Q34" s="668">
        <f>J34*23/100</f>
        <v>80.5</v>
      </c>
      <c r="R34" s="432">
        <v>3.3</v>
      </c>
      <c r="S34" s="432">
        <v>7.9</v>
      </c>
      <c r="T34" s="670">
        <v>112</v>
      </c>
      <c r="U34" s="671">
        <f t="shared" si="0"/>
        <v>33.939393939393938</v>
      </c>
      <c r="V34" s="668">
        <f t="shared" si="9"/>
        <v>58.22784810126582</v>
      </c>
      <c r="W34" s="668">
        <v>0.2</v>
      </c>
      <c r="X34" s="672">
        <v>0.1</v>
      </c>
      <c r="Y34" s="432">
        <f t="shared" si="4"/>
        <v>3.2504999999999997</v>
      </c>
      <c r="Z34" s="432">
        <f t="shared" si="5"/>
        <v>7.7815000000000003</v>
      </c>
      <c r="AA34" s="670">
        <f t="shared" si="6"/>
        <v>110.32</v>
      </c>
      <c r="AB34" s="432">
        <f t="shared" si="7"/>
        <v>33.939393939393938</v>
      </c>
      <c r="AC34" s="699">
        <f t="shared" si="2"/>
        <v>58.22784810126582</v>
      </c>
      <c r="AD34" s="878">
        <v>30</v>
      </c>
      <c r="AE34" s="432">
        <f t="shared" si="8"/>
        <v>97.514999999999986</v>
      </c>
      <c r="AF34" s="669"/>
    </row>
    <row r="35" spans="1:32" ht="18.75" customHeight="1" x14ac:dyDescent="0.2">
      <c r="A35" s="863">
        <v>21</v>
      </c>
      <c r="B35" s="461" t="s">
        <v>40</v>
      </c>
      <c r="C35" s="863" t="s">
        <v>46</v>
      </c>
      <c r="D35" s="863">
        <v>679.7</v>
      </c>
      <c r="E35" s="863" t="s">
        <v>86</v>
      </c>
      <c r="F35" s="863">
        <v>177.8</v>
      </c>
      <c r="G35" s="863" t="s">
        <v>28</v>
      </c>
      <c r="H35" s="863" t="s">
        <v>379</v>
      </c>
      <c r="I35" s="862">
        <v>592.84</v>
      </c>
      <c r="J35" s="863">
        <v>0</v>
      </c>
      <c r="K35" s="863"/>
      <c r="L35" s="863"/>
      <c r="M35" s="863"/>
      <c r="N35" s="863"/>
      <c r="O35" s="863"/>
      <c r="P35" s="668"/>
      <c r="Q35" s="668">
        <f>J35*7/100</f>
        <v>0</v>
      </c>
      <c r="R35" s="432">
        <v>0</v>
      </c>
      <c r="S35" s="432">
        <v>0</v>
      </c>
      <c r="T35" s="670">
        <v>0</v>
      </c>
      <c r="U35" s="668">
        <f>IF(R35=0,0,T35/R35)</f>
        <v>0</v>
      </c>
      <c r="V35" s="668">
        <v>0</v>
      </c>
      <c r="W35" s="668">
        <v>0</v>
      </c>
      <c r="X35" s="672">
        <v>0</v>
      </c>
      <c r="Y35" s="432">
        <f t="shared" si="4"/>
        <v>0</v>
      </c>
      <c r="Z35" s="432">
        <f t="shared" si="5"/>
        <v>0</v>
      </c>
      <c r="AA35" s="670">
        <f t="shared" si="6"/>
        <v>0</v>
      </c>
      <c r="AB35" s="432">
        <f t="shared" si="7"/>
        <v>0</v>
      </c>
      <c r="AC35" s="699">
        <f t="shared" si="2"/>
        <v>0</v>
      </c>
      <c r="AD35" s="863">
        <v>0</v>
      </c>
      <c r="AE35" s="432">
        <f>Y35*AD35</f>
        <v>0</v>
      </c>
      <c r="AF35" s="449" t="s">
        <v>335</v>
      </c>
    </row>
    <row r="36" spans="1:32" ht="18.75" customHeight="1" x14ac:dyDescent="0.2">
      <c r="A36" s="878">
        <v>22</v>
      </c>
      <c r="B36" s="461" t="s">
        <v>41</v>
      </c>
      <c r="C36" s="878" t="s">
        <v>46</v>
      </c>
      <c r="D36" s="878">
        <v>573.70000000000005</v>
      </c>
      <c r="E36" s="878" t="s">
        <v>87</v>
      </c>
      <c r="F36" s="878">
        <v>177.8</v>
      </c>
      <c r="G36" s="878" t="s">
        <v>28</v>
      </c>
      <c r="H36" s="878" t="s">
        <v>52</v>
      </c>
      <c r="I36" s="877">
        <v>554.30999999999995</v>
      </c>
      <c r="J36" s="878">
        <v>317</v>
      </c>
      <c r="K36" s="878"/>
      <c r="L36" s="878">
        <v>476</v>
      </c>
      <c r="M36" s="878"/>
      <c r="N36" s="878">
        <v>5.8</v>
      </c>
      <c r="O36" s="878"/>
      <c r="P36" s="668">
        <v>12.624986079924089</v>
      </c>
      <c r="Q36" s="668">
        <f t="shared" si="3"/>
        <v>69.739999999999995</v>
      </c>
      <c r="R36" s="432">
        <v>10.199999999999999</v>
      </c>
      <c r="S36" s="432">
        <v>12.2</v>
      </c>
      <c r="T36" s="670">
        <v>255</v>
      </c>
      <c r="U36" s="668">
        <f t="shared" si="0"/>
        <v>25</v>
      </c>
      <c r="V36" s="668">
        <f t="shared" si="9"/>
        <v>16.393442622950822</v>
      </c>
      <c r="W36" s="668">
        <v>0.2</v>
      </c>
      <c r="X36" s="432">
        <f t="shared" si="1"/>
        <v>0.17493547462001721</v>
      </c>
      <c r="Y36" s="432">
        <f t="shared" si="4"/>
        <v>10.046999999999999</v>
      </c>
      <c r="Z36" s="432">
        <f t="shared" si="5"/>
        <v>12.016999999999999</v>
      </c>
      <c r="AA36" s="670">
        <f t="shared" si="6"/>
        <v>251.17499999999998</v>
      </c>
      <c r="AB36" s="432">
        <v>89.536086956521729</v>
      </c>
      <c r="AC36" s="699">
        <f t="shared" si="2"/>
        <v>16.393442622950822</v>
      </c>
      <c r="AD36" s="878">
        <v>30</v>
      </c>
      <c r="AE36" s="432">
        <f t="shared" si="8"/>
        <v>301.40999999999997</v>
      </c>
      <c r="AF36" s="673"/>
    </row>
    <row r="37" spans="1:32" ht="18.75" customHeight="1" x14ac:dyDescent="0.2">
      <c r="A37" s="878">
        <v>23</v>
      </c>
      <c r="B37" s="461" t="s">
        <v>42</v>
      </c>
      <c r="C37" s="878" t="s">
        <v>46</v>
      </c>
      <c r="D37" s="878">
        <v>583.20000000000005</v>
      </c>
      <c r="E37" s="878" t="s">
        <v>434</v>
      </c>
      <c r="F37" s="878">
        <v>177.8</v>
      </c>
      <c r="G37" s="878" t="s">
        <v>28</v>
      </c>
      <c r="H37" s="878" t="s">
        <v>48</v>
      </c>
      <c r="I37" s="877">
        <v>565.09</v>
      </c>
      <c r="J37" s="878">
        <v>300</v>
      </c>
      <c r="K37" s="878"/>
      <c r="L37" s="878">
        <v>247</v>
      </c>
      <c r="M37" s="878"/>
      <c r="N37" s="878">
        <v>6.2</v>
      </c>
      <c r="O37" s="878"/>
      <c r="P37" s="668">
        <v>37.509142850370701</v>
      </c>
      <c r="Q37" s="668">
        <f t="shared" si="3"/>
        <v>39</v>
      </c>
      <c r="R37" s="432">
        <v>2.7</v>
      </c>
      <c r="S37" s="432">
        <v>7.4</v>
      </c>
      <c r="T37" s="670">
        <v>0</v>
      </c>
      <c r="U37" s="668">
        <f t="shared" si="0"/>
        <v>0</v>
      </c>
      <c r="V37" s="668">
        <f t="shared" si="9"/>
        <v>63.513513513513509</v>
      </c>
      <c r="W37" s="668">
        <v>0.3</v>
      </c>
      <c r="X37" s="432">
        <f t="shared" si="1"/>
        <v>0.18974358974358976</v>
      </c>
      <c r="Y37" s="432">
        <f t="shared" si="4"/>
        <v>2.6595</v>
      </c>
      <c r="Z37" s="432">
        <f t="shared" si="5"/>
        <v>7.2890000000000006</v>
      </c>
      <c r="AA37" s="670">
        <f t="shared" si="6"/>
        <v>0</v>
      </c>
      <c r="AB37" s="432">
        <f t="shared" si="7"/>
        <v>0</v>
      </c>
      <c r="AC37" s="670">
        <f t="shared" si="2"/>
        <v>63.513513513513509</v>
      </c>
      <c r="AD37" s="878">
        <v>30</v>
      </c>
      <c r="AE37" s="432">
        <f t="shared" si="8"/>
        <v>79.784999999999997</v>
      </c>
      <c r="AF37" s="449"/>
    </row>
    <row r="38" spans="1:32" ht="18.75" customHeight="1" x14ac:dyDescent="0.2">
      <c r="A38" s="878">
        <v>24</v>
      </c>
      <c r="B38" s="461" t="s">
        <v>43</v>
      </c>
      <c r="C38" s="878" t="s">
        <v>46</v>
      </c>
      <c r="D38" s="878">
        <v>682.7</v>
      </c>
      <c r="E38" s="878" t="s">
        <v>435</v>
      </c>
      <c r="F38" s="878">
        <v>177.8</v>
      </c>
      <c r="G38" s="878" t="s">
        <v>28</v>
      </c>
      <c r="H38" s="878" t="s">
        <v>399</v>
      </c>
      <c r="I38" s="446">
        <v>575.91</v>
      </c>
      <c r="J38" s="878">
        <v>200</v>
      </c>
      <c r="K38" s="878"/>
      <c r="L38" s="878">
        <v>215</v>
      </c>
      <c r="M38" s="878"/>
      <c r="N38" s="878">
        <v>5.5</v>
      </c>
      <c r="O38" s="878"/>
      <c r="P38" s="668">
        <v>39.542000609914275</v>
      </c>
      <c r="Q38" s="668">
        <f>J38*13/100</f>
        <v>26</v>
      </c>
      <c r="R38" s="432">
        <v>7.2</v>
      </c>
      <c r="S38" s="432">
        <v>28.1</v>
      </c>
      <c r="T38" s="670">
        <v>103</v>
      </c>
      <c r="U38" s="668">
        <f t="shared" si="0"/>
        <v>14.305555555555555</v>
      </c>
      <c r="V38" s="668">
        <f t="shared" si="9"/>
        <v>74.377224199288264</v>
      </c>
      <c r="W38" s="668">
        <v>0.2</v>
      </c>
      <c r="X38" s="432">
        <f t="shared" si="1"/>
        <v>1.0807692307692309</v>
      </c>
      <c r="Y38" s="432">
        <f t="shared" si="4"/>
        <v>7.0919999999999996</v>
      </c>
      <c r="Z38" s="432">
        <f t="shared" si="5"/>
        <v>27.6785</v>
      </c>
      <c r="AA38" s="670">
        <f t="shared" si="6"/>
        <v>101.455</v>
      </c>
      <c r="AB38" s="432">
        <f t="shared" si="7"/>
        <v>14.305555555555555</v>
      </c>
      <c r="AC38" s="670">
        <f t="shared" si="2"/>
        <v>74.377224199288264</v>
      </c>
      <c r="AD38" s="878">
        <v>30</v>
      </c>
      <c r="AE38" s="432">
        <f t="shared" si="8"/>
        <v>212.76</v>
      </c>
      <c r="AF38" s="669"/>
    </row>
    <row r="39" spans="1:32" ht="18.75" customHeight="1" x14ac:dyDescent="0.2">
      <c r="A39" s="878">
        <v>25</v>
      </c>
      <c r="B39" s="461" t="s">
        <v>44</v>
      </c>
      <c r="C39" s="878" t="s">
        <v>46</v>
      </c>
      <c r="D39" s="878">
        <v>614.20000000000005</v>
      </c>
      <c r="E39" s="878" t="s">
        <v>90</v>
      </c>
      <c r="F39" s="878">
        <v>177.8</v>
      </c>
      <c r="G39" s="878" t="s">
        <v>28</v>
      </c>
      <c r="H39" s="878" t="s">
        <v>52</v>
      </c>
      <c r="I39" s="446">
        <v>573.37</v>
      </c>
      <c r="J39" s="878">
        <v>270</v>
      </c>
      <c r="K39" s="878"/>
      <c r="L39" s="878">
        <v>232</v>
      </c>
      <c r="M39" s="878"/>
      <c r="N39" s="878">
        <v>6.2</v>
      </c>
      <c r="O39" s="878"/>
      <c r="P39" s="668">
        <v>39.667384129819872</v>
      </c>
      <c r="Q39" s="668">
        <f t="shared" si="3"/>
        <v>59.4</v>
      </c>
      <c r="R39" s="432">
        <v>8.1999999999999993</v>
      </c>
      <c r="S39" s="432">
        <v>43</v>
      </c>
      <c r="T39" s="670">
        <v>161</v>
      </c>
      <c r="U39" s="668">
        <f t="shared" si="0"/>
        <v>19.634146341463417</v>
      </c>
      <c r="V39" s="668">
        <f t="shared" si="9"/>
        <v>80.930232558139522</v>
      </c>
      <c r="W39" s="668">
        <v>0.3</v>
      </c>
      <c r="X39" s="432">
        <f t="shared" si="1"/>
        <v>0.72390572390572394</v>
      </c>
      <c r="Y39" s="432">
        <f t="shared" si="4"/>
        <v>8.077</v>
      </c>
      <c r="Z39" s="432">
        <f t="shared" si="5"/>
        <v>42.354999999999997</v>
      </c>
      <c r="AA39" s="670">
        <f t="shared" si="6"/>
        <v>158.58500000000001</v>
      </c>
      <c r="AB39" s="432">
        <f t="shared" si="7"/>
        <v>19.634146341463417</v>
      </c>
      <c r="AC39" s="670">
        <f t="shared" si="2"/>
        <v>80.930232558139522</v>
      </c>
      <c r="AD39" s="878">
        <v>30</v>
      </c>
      <c r="AE39" s="432">
        <f t="shared" si="8"/>
        <v>242.31</v>
      </c>
      <c r="AF39" s="669"/>
    </row>
    <row r="40" spans="1:32" ht="18.75" customHeight="1" x14ac:dyDescent="0.2">
      <c r="A40" s="878">
        <v>26</v>
      </c>
      <c r="B40" s="461" t="s">
        <v>45</v>
      </c>
      <c r="C40" s="878" t="s">
        <v>46</v>
      </c>
      <c r="D40" s="878">
        <v>636.4</v>
      </c>
      <c r="E40" s="878" t="s">
        <v>91</v>
      </c>
      <c r="F40" s="878">
        <v>177.8</v>
      </c>
      <c r="G40" s="878" t="s">
        <v>28</v>
      </c>
      <c r="H40" s="878" t="s">
        <v>52</v>
      </c>
      <c r="I40" s="877">
        <v>592.95000000000005</v>
      </c>
      <c r="J40" s="878">
        <v>300</v>
      </c>
      <c r="K40" s="878"/>
      <c r="L40" s="878">
        <v>495</v>
      </c>
      <c r="M40" s="878"/>
      <c r="N40" s="878">
        <v>8.1</v>
      </c>
      <c r="O40" s="878"/>
      <c r="P40" s="668">
        <v>14.944000665396816</v>
      </c>
      <c r="Q40" s="668">
        <f>LEFT(H40,(FIND("K",H40,1)-1))*J40/100</f>
        <v>66</v>
      </c>
      <c r="R40" s="432">
        <v>13.8</v>
      </c>
      <c r="S40" s="432">
        <v>31.3</v>
      </c>
      <c r="T40" s="670">
        <v>213</v>
      </c>
      <c r="U40" s="668">
        <f t="shared" si="0"/>
        <v>15.434782608695651</v>
      </c>
      <c r="V40" s="668">
        <f t="shared" si="9"/>
        <v>55.910543130990412</v>
      </c>
      <c r="W40" s="668">
        <v>0.2</v>
      </c>
      <c r="X40" s="432">
        <f t="shared" si="1"/>
        <v>0.47424242424242424</v>
      </c>
      <c r="Y40" s="432">
        <f t="shared" si="4"/>
        <v>13.593</v>
      </c>
      <c r="Z40" s="432">
        <f t="shared" si="5"/>
        <v>30.830500000000001</v>
      </c>
      <c r="AA40" s="670">
        <f t="shared" si="6"/>
        <v>209.80500000000001</v>
      </c>
      <c r="AB40" s="432">
        <f t="shared" si="7"/>
        <v>15.434782608695651</v>
      </c>
      <c r="AC40" s="670">
        <f t="shared" si="2"/>
        <v>55.910543130990412</v>
      </c>
      <c r="AD40" s="878">
        <v>30</v>
      </c>
      <c r="AE40" s="432">
        <f t="shared" si="8"/>
        <v>407.79</v>
      </c>
      <c r="AF40" s="669"/>
    </row>
    <row r="41" spans="1:32" ht="18.75" customHeight="1" x14ac:dyDescent="0.2">
      <c r="A41" s="878">
        <v>27</v>
      </c>
      <c r="B41" s="461" t="s">
        <v>206</v>
      </c>
      <c r="C41" s="878" t="s">
        <v>46</v>
      </c>
      <c r="D41" s="878">
        <v>660.2</v>
      </c>
      <c r="E41" s="878" t="s">
        <v>436</v>
      </c>
      <c r="F41" s="878">
        <v>177.8</v>
      </c>
      <c r="G41" s="878" t="s">
        <v>28</v>
      </c>
      <c r="H41" s="878" t="s">
        <v>212</v>
      </c>
      <c r="I41" s="877">
        <v>547.63</v>
      </c>
      <c r="J41" s="878">
        <v>250</v>
      </c>
      <c r="K41" s="878"/>
      <c r="L41" s="878">
        <v>248</v>
      </c>
      <c r="M41" s="878"/>
      <c r="N41" s="878">
        <v>8.3000000000000007</v>
      </c>
      <c r="O41" s="878"/>
      <c r="P41" s="668">
        <v>37.993604338872849</v>
      </c>
      <c r="Q41" s="668">
        <f t="shared" ref="Q41:Q73" si="10">LEFT(H41,(FIND("K",H41,1)-1))*J41/100</f>
        <v>20</v>
      </c>
      <c r="R41" s="432">
        <v>4.8</v>
      </c>
      <c r="S41" s="432">
        <v>11.3</v>
      </c>
      <c r="T41" s="670">
        <v>88</v>
      </c>
      <c r="U41" s="668">
        <f t="shared" si="0"/>
        <v>18.333333333333336</v>
      </c>
      <c r="V41" s="668">
        <f t="shared" si="9"/>
        <v>57.522123893805308</v>
      </c>
      <c r="W41" s="668">
        <v>0.4</v>
      </c>
      <c r="X41" s="432">
        <f t="shared" si="1"/>
        <v>0.56500000000000006</v>
      </c>
      <c r="Y41" s="432">
        <f t="shared" si="4"/>
        <v>4.7279999999999998</v>
      </c>
      <c r="Z41" s="432">
        <f t="shared" si="5"/>
        <v>11.130500000000001</v>
      </c>
      <c r="AA41" s="670">
        <f t="shared" si="6"/>
        <v>86.679999999999993</v>
      </c>
      <c r="AB41" s="432">
        <f t="shared" si="7"/>
        <v>18.333333333333336</v>
      </c>
      <c r="AC41" s="670">
        <f t="shared" si="2"/>
        <v>57.522123893805308</v>
      </c>
      <c r="AD41" s="878">
        <v>30</v>
      </c>
      <c r="AE41" s="432">
        <f t="shared" si="8"/>
        <v>141.84</v>
      </c>
      <c r="AF41" s="669"/>
    </row>
    <row r="42" spans="1:32" ht="18.75" customHeight="1" x14ac:dyDescent="0.2">
      <c r="A42" s="878">
        <v>28</v>
      </c>
      <c r="B42" s="874" t="s">
        <v>161</v>
      </c>
      <c r="C42" s="878" t="s">
        <v>46</v>
      </c>
      <c r="D42" s="877">
        <v>677</v>
      </c>
      <c r="E42" s="679" t="s">
        <v>178</v>
      </c>
      <c r="F42" s="878">
        <v>177.8</v>
      </c>
      <c r="G42" s="878" t="s">
        <v>28</v>
      </c>
      <c r="H42" s="878" t="s">
        <v>52</v>
      </c>
      <c r="I42" s="877">
        <v>571.98</v>
      </c>
      <c r="J42" s="877">
        <v>120</v>
      </c>
      <c r="K42" s="877"/>
      <c r="L42" s="877">
        <v>203</v>
      </c>
      <c r="M42" s="877"/>
      <c r="N42" s="878">
        <v>5.6</v>
      </c>
      <c r="O42" s="877"/>
      <c r="P42" s="448">
        <v>38.338212922565539</v>
      </c>
      <c r="Q42" s="668">
        <f t="shared" si="10"/>
        <v>26.4</v>
      </c>
      <c r="R42" s="432">
        <v>11.55</v>
      </c>
      <c r="S42" s="432">
        <v>25.1</v>
      </c>
      <c r="T42" s="492">
        <v>260</v>
      </c>
      <c r="U42" s="668">
        <f t="shared" si="0"/>
        <v>22.510822510822511</v>
      </c>
      <c r="V42" s="668">
        <f t="shared" si="9"/>
        <v>53.984063745019917</v>
      </c>
      <c r="W42" s="668">
        <v>0.2</v>
      </c>
      <c r="X42" s="432">
        <f t="shared" si="1"/>
        <v>0.95075757575757591</v>
      </c>
      <c r="Y42" s="432">
        <f t="shared" si="4"/>
        <v>11.376750000000001</v>
      </c>
      <c r="Z42" s="432">
        <f t="shared" si="5"/>
        <v>24.723500000000001</v>
      </c>
      <c r="AA42" s="670">
        <f t="shared" si="6"/>
        <v>256.10000000000002</v>
      </c>
      <c r="AB42" s="432">
        <f t="shared" si="7"/>
        <v>22.510822510822511</v>
      </c>
      <c r="AC42" s="670">
        <f t="shared" si="2"/>
        <v>53.984063745019917</v>
      </c>
      <c r="AD42" s="878">
        <v>30</v>
      </c>
      <c r="AE42" s="432">
        <f t="shared" si="8"/>
        <v>341.30250000000001</v>
      </c>
      <c r="AF42" s="449"/>
    </row>
    <row r="43" spans="1:32" ht="18.75" customHeight="1" x14ac:dyDescent="0.2">
      <c r="A43" s="878">
        <v>29</v>
      </c>
      <c r="B43" s="874" t="s">
        <v>162</v>
      </c>
      <c r="C43" s="878" t="s">
        <v>46</v>
      </c>
      <c r="D43" s="877">
        <v>676</v>
      </c>
      <c r="E43" s="679" t="s">
        <v>437</v>
      </c>
      <c r="F43" s="878">
        <v>177.8</v>
      </c>
      <c r="G43" s="878" t="s">
        <v>28</v>
      </c>
      <c r="H43" s="878" t="s">
        <v>50</v>
      </c>
      <c r="I43" s="877">
        <v>549.20000000000005</v>
      </c>
      <c r="J43" s="877">
        <v>150</v>
      </c>
      <c r="K43" s="877"/>
      <c r="L43" s="878">
        <v>432</v>
      </c>
      <c r="M43" s="877"/>
      <c r="N43" s="878">
        <v>4.2</v>
      </c>
      <c r="O43" s="877"/>
      <c r="P43" s="448">
        <v>8.7143808608172275</v>
      </c>
      <c r="Q43" s="668">
        <f t="shared" si="10"/>
        <v>9</v>
      </c>
      <c r="R43" s="432">
        <v>1.4</v>
      </c>
      <c r="S43" s="432">
        <v>3.169</v>
      </c>
      <c r="T43" s="492">
        <v>6</v>
      </c>
      <c r="U43" s="668">
        <f t="shared" si="0"/>
        <v>4.2857142857142856</v>
      </c>
      <c r="V43" s="668">
        <f t="shared" si="9"/>
        <v>55.822025875670569</v>
      </c>
      <c r="W43" s="668">
        <v>0.3</v>
      </c>
      <c r="X43" s="432">
        <f t="shared" si="1"/>
        <v>0.3521111111111111</v>
      </c>
      <c r="Y43" s="432">
        <f t="shared" si="4"/>
        <v>1.379</v>
      </c>
      <c r="Z43" s="432">
        <f t="shared" si="5"/>
        <v>3.1214650000000002</v>
      </c>
      <c r="AA43" s="670">
        <f t="shared" si="6"/>
        <v>5.91</v>
      </c>
      <c r="AB43" s="432">
        <f t="shared" si="7"/>
        <v>4.2857142857142856</v>
      </c>
      <c r="AC43" s="670">
        <f t="shared" si="2"/>
        <v>55.822025875670569</v>
      </c>
      <c r="AD43" s="878">
        <v>30</v>
      </c>
      <c r="AE43" s="432">
        <f t="shared" si="8"/>
        <v>41.37</v>
      </c>
      <c r="AF43" s="449"/>
    </row>
    <row r="44" spans="1:32" ht="18.75" customHeight="1" x14ac:dyDescent="0.2">
      <c r="A44" s="878">
        <v>30</v>
      </c>
      <c r="B44" s="874" t="s">
        <v>163</v>
      </c>
      <c r="C44" s="878" t="s">
        <v>46</v>
      </c>
      <c r="D44" s="877">
        <v>597</v>
      </c>
      <c r="E44" s="878" t="s">
        <v>443</v>
      </c>
      <c r="F44" s="878">
        <v>177.8</v>
      </c>
      <c r="G44" s="878" t="s">
        <v>28</v>
      </c>
      <c r="H44" s="878" t="s">
        <v>48</v>
      </c>
      <c r="I44" s="877">
        <v>555.89</v>
      </c>
      <c r="J44" s="877">
        <v>215</v>
      </c>
      <c r="K44" s="877"/>
      <c r="L44" s="877">
        <v>378</v>
      </c>
      <c r="M44" s="877"/>
      <c r="N44" s="878">
        <v>4.5999999999999996</v>
      </c>
      <c r="O44" s="877"/>
      <c r="P44" s="448">
        <v>23.042642863890205</v>
      </c>
      <c r="Q44" s="668">
        <f t="shared" si="10"/>
        <v>27.95</v>
      </c>
      <c r="R44" s="432">
        <v>1.0900000000000001</v>
      </c>
      <c r="S44" s="432">
        <v>4.3</v>
      </c>
      <c r="T44" s="492">
        <v>0</v>
      </c>
      <c r="U44" s="668">
        <f>T44/R44</f>
        <v>0</v>
      </c>
      <c r="V44" s="668">
        <f t="shared" si="9"/>
        <v>74.651162790697683</v>
      </c>
      <c r="W44" s="668">
        <v>0.3</v>
      </c>
      <c r="X44" s="432">
        <f t="shared" si="1"/>
        <v>0.15384615384615385</v>
      </c>
      <c r="Y44" s="432">
        <f t="shared" si="4"/>
        <v>1.07365</v>
      </c>
      <c r="Z44" s="432">
        <f t="shared" si="5"/>
        <v>4.2355</v>
      </c>
      <c r="AA44" s="670">
        <f t="shared" si="6"/>
        <v>0</v>
      </c>
      <c r="AB44" s="432">
        <f t="shared" si="7"/>
        <v>0</v>
      </c>
      <c r="AC44" s="670">
        <f t="shared" si="2"/>
        <v>74.651162790697683</v>
      </c>
      <c r="AD44" s="878">
        <v>30</v>
      </c>
      <c r="AE44" s="432">
        <f t="shared" si="8"/>
        <v>32.209499999999998</v>
      </c>
      <c r="AF44" s="449"/>
    </row>
    <row r="45" spans="1:32" ht="18.75" customHeight="1" x14ac:dyDescent="0.2">
      <c r="A45" s="878">
        <v>31</v>
      </c>
      <c r="B45" s="461" t="s">
        <v>59</v>
      </c>
      <c r="C45" s="878" t="s">
        <v>46</v>
      </c>
      <c r="D45" s="878">
        <v>637.16</v>
      </c>
      <c r="E45" s="878" t="s">
        <v>454</v>
      </c>
      <c r="F45" s="878">
        <v>177.8</v>
      </c>
      <c r="G45" s="878" t="s">
        <v>28</v>
      </c>
      <c r="H45" s="878" t="s">
        <v>48</v>
      </c>
      <c r="I45" s="877">
        <v>536.89</v>
      </c>
      <c r="J45" s="878">
        <v>135</v>
      </c>
      <c r="K45" s="878"/>
      <c r="L45" s="878">
        <v>242</v>
      </c>
      <c r="M45" s="878"/>
      <c r="N45" s="878">
        <v>5.0999999999999996</v>
      </c>
      <c r="O45" s="878"/>
      <c r="P45" s="668">
        <v>35.458964128266992</v>
      </c>
      <c r="Q45" s="668">
        <f t="shared" si="10"/>
        <v>17.55</v>
      </c>
      <c r="R45" s="432">
        <v>2.2999999999999998</v>
      </c>
      <c r="S45" s="432">
        <v>9.6</v>
      </c>
      <c r="T45" s="670">
        <v>87</v>
      </c>
      <c r="U45" s="668">
        <f t="shared" si="0"/>
        <v>37.826086956521742</v>
      </c>
      <c r="V45" s="668">
        <f t="shared" si="9"/>
        <v>76.041666666666657</v>
      </c>
      <c r="W45" s="668">
        <v>0.4</v>
      </c>
      <c r="X45" s="432">
        <f t="shared" si="1"/>
        <v>0.54700854700854695</v>
      </c>
      <c r="Y45" s="432">
        <f t="shared" si="4"/>
        <v>2.2654999999999998</v>
      </c>
      <c r="Z45" s="432">
        <f t="shared" si="5"/>
        <v>9.4559999999999995</v>
      </c>
      <c r="AA45" s="670">
        <f t="shared" si="6"/>
        <v>85.694999999999993</v>
      </c>
      <c r="AB45" s="432">
        <f>U45</f>
        <v>37.826086956521742</v>
      </c>
      <c r="AC45" s="670">
        <f t="shared" si="2"/>
        <v>76.041666666666657</v>
      </c>
      <c r="AD45" s="878">
        <v>30</v>
      </c>
      <c r="AE45" s="432">
        <f t="shared" si="8"/>
        <v>67.964999999999989</v>
      </c>
      <c r="AF45" s="449"/>
    </row>
    <row r="46" spans="1:32" ht="18.75" customHeight="1" x14ac:dyDescent="0.2">
      <c r="A46" s="878">
        <v>32</v>
      </c>
      <c r="B46" s="461" t="s">
        <v>207</v>
      </c>
      <c r="C46" s="878" t="s">
        <v>46</v>
      </c>
      <c r="D46" s="878">
        <v>673</v>
      </c>
      <c r="E46" s="878" t="s">
        <v>420</v>
      </c>
      <c r="F46" s="878">
        <v>177.8</v>
      </c>
      <c r="G46" s="878" t="s">
        <v>28</v>
      </c>
      <c r="H46" s="878" t="s">
        <v>50</v>
      </c>
      <c r="I46" s="877">
        <v>564.41999999999996</v>
      </c>
      <c r="J46" s="878">
        <v>215</v>
      </c>
      <c r="K46" s="878"/>
      <c r="L46" s="878">
        <v>200</v>
      </c>
      <c r="M46" s="878"/>
      <c r="N46" s="668">
        <v>0</v>
      </c>
      <c r="O46" s="878"/>
      <c r="P46" s="668">
        <v>35.975655176183537</v>
      </c>
      <c r="Q46" s="668">
        <f t="shared" si="10"/>
        <v>12.9</v>
      </c>
      <c r="R46" s="432">
        <v>2.2999999999999998</v>
      </c>
      <c r="S46" s="432">
        <v>6.4</v>
      </c>
      <c r="T46" s="670">
        <v>0.4</v>
      </c>
      <c r="U46" s="668">
        <f t="shared" si="0"/>
        <v>0.17391304347826089</v>
      </c>
      <c r="V46" s="668">
        <f t="shared" si="9"/>
        <v>64.0625</v>
      </c>
      <c r="W46" s="668">
        <v>0.1</v>
      </c>
      <c r="X46" s="432">
        <f t="shared" si="1"/>
        <v>0.49612403100775193</v>
      </c>
      <c r="Y46" s="432">
        <f t="shared" si="4"/>
        <v>2.2654999999999998</v>
      </c>
      <c r="Z46" s="432">
        <f t="shared" si="5"/>
        <v>6.3040000000000003</v>
      </c>
      <c r="AA46" s="670">
        <f t="shared" si="6"/>
        <v>0.39400000000000002</v>
      </c>
      <c r="AB46" s="432">
        <f>U46</f>
        <v>0.17391304347826089</v>
      </c>
      <c r="AC46" s="670">
        <f t="shared" si="2"/>
        <v>64.0625</v>
      </c>
      <c r="AD46" s="878">
        <v>30</v>
      </c>
      <c r="AE46" s="432">
        <f t="shared" si="8"/>
        <v>67.964999999999989</v>
      </c>
      <c r="AF46" s="449"/>
    </row>
    <row r="47" spans="1:32" ht="18.75" customHeight="1" x14ac:dyDescent="0.25">
      <c r="A47" s="863">
        <v>33</v>
      </c>
      <c r="B47" s="461" t="s">
        <v>196</v>
      </c>
      <c r="C47" s="863" t="s">
        <v>304</v>
      </c>
      <c r="D47" s="863">
        <v>641</v>
      </c>
      <c r="E47" s="863" t="s">
        <v>296</v>
      </c>
      <c r="F47" s="863">
        <v>177.8</v>
      </c>
      <c r="G47" s="863" t="s">
        <v>28</v>
      </c>
      <c r="H47" s="863" t="s">
        <v>50</v>
      </c>
      <c r="I47" s="862">
        <v>611.92999999999995</v>
      </c>
      <c r="J47" s="863">
        <v>0</v>
      </c>
      <c r="K47" s="863">
        <v>496</v>
      </c>
      <c r="L47" s="868"/>
      <c r="M47" s="668">
        <v>0.3</v>
      </c>
      <c r="N47" s="868"/>
      <c r="O47" s="863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v>0</v>
      </c>
      <c r="V47" s="668">
        <v>0</v>
      </c>
      <c r="W47" s="668">
        <v>0.3</v>
      </c>
      <c r="X47" s="432">
        <v>0</v>
      </c>
      <c r="Y47" s="432">
        <f t="shared" si="4"/>
        <v>0</v>
      </c>
      <c r="Z47" s="432">
        <f t="shared" si="5"/>
        <v>0</v>
      </c>
      <c r="AA47" s="670">
        <f t="shared" si="6"/>
        <v>0</v>
      </c>
      <c r="AB47" s="432">
        <f>U47</f>
        <v>0</v>
      </c>
      <c r="AC47" s="670">
        <f t="shared" si="2"/>
        <v>0</v>
      </c>
      <c r="AD47" s="863">
        <v>0</v>
      </c>
      <c r="AE47" s="432">
        <f t="shared" si="8"/>
        <v>0</v>
      </c>
      <c r="AF47" s="449" t="s">
        <v>335</v>
      </c>
    </row>
    <row r="48" spans="1:32" ht="18.75" customHeight="1" x14ac:dyDescent="0.2">
      <c r="A48" s="878">
        <v>34</v>
      </c>
      <c r="B48" s="461" t="s">
        <v>60</v>
      </c>
      <c r="C48" s="878" t="s">
        <v>46</v>
      </c>
      <c r="D48" s="878">
        <v>638.9</v>
      </c>
      <c r="E48" s="878" t="s">
        <v>462</v>
      </c>
      <c r="F48" s="878">
        <v>177.8</v>
      </c>
      <c r="G48" s="878" t="s">
        <v>28</v>
      </c>
      <c r="H48" s="878" t="s">
        <v>48</v>
      </c>
      <c r="I48" s="877">
        <v>532.05999999999995</v>
      </c>
      <c r="J48" s="878">
        <v>120</v>
      </c>
      <c r="K48" s="878"/>
      <c r="L48" s="878">
        <v>408</v>
      </c>
      <c r="M48" s="878"/>
      <c r="N48" s="878">
        <v>5.6</v>
      </c>
      <c r="O48" s="878"/>
      <c r="P48" s="668">
        <v>19.040839708886153</v>
      </c>
      <c r="Q48" s="668">
        <f t="shared" si="10"/>
        <v>15.6</v>
      </c>
      <c r="R48" s="432">
        <v>4.5999999999999996</v>
      </c>
      <c r="S48" s="432">
        <v>8.3000000000000007</v>
      </c>
      <c r="T48" s="670">
        <v>350</v>
      </c>
      <c r="U48" s="668">
        <f t="shared" si="0"/>
        <v>76.08695652173914</v>
      </c>
      <c r="V48" s="668">
        <f t="shared" si="9"/>
        <v>44.578313253012055</v>
      </c>
      <c r="W48" s="668">
        <v>0.2</v>
      </c>
      <c r="X48" s="432">
        <f t="shared" si="1"/>
        <v>0.53205128205128216</v>
      </c>
      <c r="Y48" s="432">
        <f t="shared" si="4"/>
        <v>4.5309999999999997</v>
      </c>
      <c r="Z48" s="432">
        <f t="shared" si="5"/>
        <v>8.1755000000000013</v>
      </c>
      <c r="AA48" s="670">
        <f t="shared" si="6"/>
        <v>344.75</v>
      </c>
      <c r="AB48" s="432">
        <f t="shared" si="7"/>
        <v>76.08695652173914</v>
      </c>
      <c r="AC48" s="670">
        <f t="shared" si="2"/>
        <v>44.578313253012055</v>
      </c>
      <c r="AD48" s="878">
        <v>30</v>
      </c>
      <c r="AE48" s="432">
        <f t="shared" si="8"/>
        <v>135.92999999999998</v>
      </c>
      <c r="AF48" s="449"/>
    </row>
    <row r="49" spans="1:32" ht="18.75" customHeight="1" x14ac:dyDescent="0.2">
      <c r="A49" s="863">
        <v>35</v>
      </c>
      <c r="B49" s="461" t="s">
        <v>119</v>
      </c>
      <c r="C49" s="863" t="s">
        <v>427</v>
      </c>
      <c r="D49" s="863">
        <v>654.07000000000005</v>
      </c>
      <c r="E49" s="863" t="s">
        <v>410</v>
      </c>
      <c r="F49" s="863">
        <v>177.8</v>
      </c>
      <c r="G49" s="863" t="s">
        <v>28</v>
      </c>
      <c r="H49" s="863" t="s">
        <v>399</v>
      </c>
      <c r="I49" s="862">
        <v>521.47</v>
      </c>
      <c r="J49" s="863">
        <v>0</v>
      </c>
      <c r="K49" s="863"/>
      <c r="L49" s="863">
        <v>478</v>
      </c>
      <c r="M49" s="863"/>
      <c r="N49" s="863">
        <v>0</v>
      </c>
      <c r="O49" s="863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v>0</v>
      </c>
      <c r="V49" s="668">
        <v>0</v>
      </c>
      <c r="W49" s="668">
        <v>0</v>
      </c>
      <c r="X49" s="432">
        <v>0</v>
      </c>
      <c r="Y49" s="432">
        <f t="shared" si="4"/>
        <v>0</v>
      </c>
      <c r="Z49" s="432">
        <f t="shared" si="5"/>
        <v>0</v>
      </c>
      <c r="AA49" s="670">
        <f t="shared" si="6"/>
        <v>0</v>
      </c>
      <c r="AB49" s="432">
        <f t="shared" si="7"/>
        <v>0</v>
      </c>
      <c r="AC49" s="670">
        <f t="shared" si="2"/>
        <v>0</v>
      </c>
      <c r="AD49" s="863">
        <v>0</v>
      </c>
      <c r="AE49" s="432">
        <f t="shared" si="8"/>
        <v>0</v>
      </c>
      <c r="AF49" s="449" t="s">
        <v>432</v>
      </c>
    </row>
    <row r="50" spans="1:32" ht="18.75" customHeight="1" x14ac:dyDescent="0.2">
      <c r="A50" s="878">
        <v>36</v>
      </c>
      <c r="B50" s="461" t="s">
        <v>118</v>
      </c>
      <c r="C50" s="878" t="s">
        <v>408</v>
      </c>
      <c r="D50" s="878">
        <v>728.77</v>
      </c>
      <c r="E50" s="878" t="s">
        <v>442</v>
      </c>
      <c r="F50" s="878">
        <v>177.8</v>
      </c>
      <c r="G50" s="878" t="s">
        <v>28</v>
      </c>
      <c r="H50" s="878" t="s">
        <v>52</v>
      </c>
      <c r="I50" s="877">
        <v>523.04999999999995</v>
      </c>
      <c r="J50" s="878">
        <v>100</v>
      </c>
      <c r="K50" s="878"/>
      <c r="L50" s="878">
        <v>408</v>
      </c>
      <c r="M50" s="878"/>
      <c r="N50" s="878">
        <v>6.9</v>
      </c>
      <c r="O50" s="878"/>
      <c r="P50" s="668">
        <v>20.579522775957123</v>
      </c>
      <c r="Q50" s="668">
        <f t="shared" si="10"/>
        <v>22</v>
      </c>
      <c r="R50" s="432">
        <v>3.3</v>
      </c>
      <c r="S50" s="432">
        <v>10.1</v>
      </c>
      <c r="T50" s="670">
        <v>32</v>
      </c>
      <c r="U50" s="668">
        <f t="shared" si="0"/>
        <v>9.6969696969696972</v>
      </c>
      <c r="V50" s="668">
        <f t="shared" si="9"/>
        <v>67.32673267326733</v>
      </c>
      <c r="W50" s="668">
        <v>0.3</v>
      </c>
      <c r="X50" s="432">
        <f t="shared" si="1"/>
        <v>0.45909090909090905</v>
      </c>
      <c r="Y50" s="432">
        <f t="shared" si="4"/>
        <v>3.2504999999999997</v>
      </c>
      <c r="Z50" s="432">
        <f t="shared" si="5"/>
        <v>9.9484999999999992</v>
      </c>
      <c r="AA50" s="670">
        <f t="shared" si="6"/>
        <v>31.52</v>
      </c>
      <c r="AB50" s="432">
        <f t="shared" si="7"/>
        <v>9.6969696969696972</v>
      </c>
      <c r="AC50" s="670">
        <f t="shared" si="2"/>
        <v>67.32673267326733</v>
      </c>
      <c r="AD50" s="878">
        <v>30</v>
      </c>
      <c r="AE50" s="432">
        <f t="shared" si="8"/>
        <v>97.514999999999986</v>
      </c>
      <c r="AF50" s="449"/>
    </row>
    <row r="51" spans="1:32" ht="18.75" customHeight="1" x14ac:dyDescent="0.2">
      <c r="A51" s="878">
        <v>37</v>
      </c>
      <c r="B51" s="461" t="s">
        <v>117</v>
      </c>
      <c r="C51" s="878" t="s">
        <v>46</v>
      </c>
      <c r="D51" s="878">
        <v>671.45</v>
      </c>
      <c r="E51" s="878" t="s">
        <v>128</v>
      </c>
      <c r="F51" s="878">
        <v>177.8</v>
      </c>
      <c r="G51" s="878" t="s">
        <v>28</v>
      </c>
      <c r="H51" s="878" t="s">
        <v>187</v>
      </c>
      <c r="I51" s="877">
        <v>561.1</v>
      </c>
      <c r="J51" s="878">
        <v>200</v>
      </c>
      <c r="K51" s="878"/>
      <c r="L51" s="878">
        <v>190</v>
      </c>
      <c r="M51" s="878"/>
      <c r="N51" s="878">
        <v>0</v>
      </c>
      <c r="O51" s="878"/>
      <c r="P51" s="668">
        <v>36.847681790335486</v>
      </c>
      <c r="Q51" s="668">
        <f t="shared" si="10"/>
        <v>12</v>
      </c>
      <c r="R51" s="432">
        <v>0.51900000000000002</v>
      </c>
      <c r="S51" s="432">
        <v>1.7</v>
      </c>
      <c r="T51" s="670">
        <v>0</v>
      </c>
      <c r="U51" s="668">
        <f t="shared" si="0"/>
        <v>0</v>
      </c>
      <c r="V51" s="668">
        <f t="shared" si="9"/>
        <v>69.470588235294116</v>
      </c>
      <c r="W51" s="668">
        <v>0.1</v>
      </c>
      <c r="X51" s="432">
        <f t="shared" si="1"/>
        <v>0.14166666666666666</v>
      </c>
      <c r="Y51" s="432">
        <f t="shared" si="4"/>
        <v>0.51121499999999997</v>
      </c>
      <c r="Z51" s="432">
        <f t="shared" si="5"/>
        <v>1.6744999999999999</v>
      </c>
      <c r="AA51" s="670">
        <f t="shared" si="6"/>
        <v>0</v>
      </c>
      <c r="AB51" s="432">
        <f t="shared" si="7"/>
        <v>0</v>
      </c>
      <c r="AC51" s="670">
        <f t="shared" si="2"/>
        <v>69.470588235294116</v>
      </c>
      <c r="AD51" s="878">
        <v>30</v>
      </c>
      <c r="AE51" s="432">
        <f t="shared" si="8"/>
        <v>15.336449999999999</v>
      </c>
      <c r="AF51" s="669"/>
    </row>
    <row r="52" spans="1:32" ht="18.75" customHeight="1" x14ac:dyDescent="0.2">
      <c r="A52" s="878">
        <v>38</v>
      </c>
      <c r="B52" s="461" t="s">
        <v>130</v>
      </c>
      <c r="C52" s="878" t="s">
        <v>46</v>
      </c>
      <c r="D52" s="878">
        <v>622.6</v>
      </c>
      <c r="E52" s="878" t="s">
        <v>467</v>
      </c>
      <c r="F52" s="878">
        <v>177.8</v>
      </c>
      <c r="G52" s="878" t="s">
        <v>28</v>
      </c>
      <c r="H52" s="878" t="s">
        <v>48</v>
      </c>
      <c r="I52" s="877">
        <v>551.79999999999995</v>
      </c>
      <c r="J52" s="878">
        <v>185</v>
      </c>
      <c r="K52" s="878"/>
      <c r="L52" s="878">
        <v>84</v>
      </c>
      <c r="M52" s="878"/>
      <c r="N52" s="878">
        <v>2.5</v>
      </c>
      <c r="O52" s="878"/>
      <c r="P52" s="668">
        <v>50.104079158034168</v>
      </c>
      <c r="Q52" s="668">
        <f t="shared" si="10"/>
        <v>24.05</v>
      </c>
      <c r="R52" s="432">
        <v>1.4550000000000001</v>
      </c>
      <c r="S52" s="432">
        <v>17.600000000000001</v>
      </c>
      <c r="T52" s="670">
        <v>0</v>
      </c>
      <c r="U52" s="668">
        <f t="shared" si="0"/>
        <v>0</v>
      </c>
      <c r="V52" s="668">
        <f t="shared" si="9"/>
        <v>91.732954545454561</v>
      </c>
      <c r="W52" s="668">
        <v>0</v>
      </c>
      <c r="X52" s="432">
        <f t="shared" si="1"/>
        <v>0.73180873180873185</v>
      </c>
      <c r="Y52" s="432">
        <f t="shared" si="4"/>
        <v>1.4331750000000001</v>
      </c>
      <c r="Z52" s="432">
        <f t="shared" si="5"/>
        <v>17.336000000000002</v>
      </c>
      <c r="AA52" s="670">
        <f t="shared" si="6"/>
        <v>0</v>
      </c>
      <c r="AB52" s="432">
        <f t="shared" si="7"/>
        <v>0</v>
      </c>
      <c r="AC52" s="670">
        <f t="shared" si="2"/>
        <v>91.732954545454561</v>
      </c>
      <c r="AD52" s="878">
        <v>30</v>
      </c>
      <c r="AE52" s="432">
        <f t="shared" si="8"/>
        <v>42.995250000000006</v>
      </c>
      <c r="AF52" s="669"/>
    </row>
    <row r="53" spans="1:32" ht="18.75" customHeight="1" x14ac:dyDescent="0.2">
      <c r="A53" s="878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878">
        <v>177.8</v>
      </c>
      <c r="G53" s="452" t="s">
        <v>28</v>
      </c>
      <c r="H53" s="452" t="s">
        <v>363</v>
      </c>
      <c r="I53" s="453">
        <v>565.65</v>
      </c>
      <c r="J53" s="452">
        <v>160</v>
      </c>
      <c r="K53" s="452"/>
      <c r="L53" s="452">
        <v>443</v>
      </c>
      <c r="M53" s="452"/>
      <c r="N53" s="878">
        <v>3.3</v>
      </c>
      <c r="O53" s="452"/>
      <c r="P53" s="675">
        <v>15.549709412446497</v>
      </c>
      <c r="Q53" s="668">
        <f>J53*7/100</f>
        <v>11.2</v>
      </c>
      <c r="R53" s="456">
        <v>1.9</v>
      </c>
      <c r="S53" s="432">
        <v>2.2000000000000002</v>
      </c>
      <c r="T53" s="700">
        <v>1.5</v>
      </c>
      <c r="U53" s="668">
        <f t="shared" si="0"/>
        <v>0.78947368421052633</v>
      </c>
      <c r="V53" s="668">
        <f t="shared" si="9"/>
        <v>13.636363636363647</v>
      </c>
      <c r="W53" s="675">
        <v>0.2</v>
      </c>
      <c r="X53" s="432">
        <f t="shared" si="1"/>
        <v>0.19642857142857145</v>
      </c>
      <c r="Y53" s="432">
        <f t="shared" si="4"/>
        <v>1.8714999999999999</v>
      </c>
      <c r="Z53" s="432">
        <f t="shared" si="5"/>
        <v>2.1670000000000003</v>
      </c>
      <c r="AA53" s="670">
        <f t="shared" si="6"/>
        <v>1.4775</v>
      </c>
      <c r="AB53" s="456">
        <f t="shared" si="7"/>
        <v>0.78947368421052633</v>
      </c>
      <c r="AC53" s="670">
        <f t="shared" si="2"/>
        <v>13.636363636363647</v>
      </c>
      <c r="AD53" s="878">
        <v>30</v>
      </c>
      <c r="AE53" s="456">
        <f t="shared" si="8"/>
        <v>56.144999999999996</v>
      </c>
      <c r="AF53" s="449"/>
    </row>
    <row r="54" spans="1:32" ht="18.75" customHeight="1" x14ac:dyDescent="0.2">
      <c r="A54" s="878">
        <v>40</v>
      </c>
      <c r="B54" s="461" t="s">
        <v>116</v>
      </c>
      <c r="C54" s="878" t="s">
        <v>46</v>
      </c>
      <c r="D54" s="878">
        <v>681.27</v>
      </c>
      <c r="E54" s="878" t="s">
        <v>455</v>
      </c>
      <c r="F54" s="878">
        <v>177.8</v>
      </c>
      <c r="G54" s="878" t="s">
        <v>28</v>
      </c>
      <c r="H54" s="878" t="s">
        <v>53</v>
      </c>
      <c r="I54" s="877">
        <v>559.23</v>
      </c>
      <c r="J54" s="878">
        <v>85</v>
      </c>
      <c r="K54" s="878"/>
      <c r="L54" s="878">
        <v>148</v>
      </c>
      <c r="M54" s="878"/>
      <c r="N54" s="878">
        <v>1.6</v>
      </c>
      <c r="O54" s="878"/>
      <c r="P54" s="668">
        <v>42.517551481418387</v>
      </c>
      <c r="Q54" s="675">
        <f t="shared" si="10"/>
        <v>11.05</v>
      </c>
      <c r="R54" s="432">
        <v>0.9</v>
      </c>
      <c r="S54" s="432">
        <v>2.6</v>
      </c>
      <c r="T54" s="670">
        <v>1.5</v>
      </c>
      <c r="U54" s="668">
        <f t="shared" si="0"/>
        <v>1.6666666666666665</v>
      </c>
      <c r="V54" s="668">
        <f t="shared" si="9"/>
        <v>65.384615384615387</v>
      </c>
      <c r="W54" s="668">
        <v>0.4</v>
      </c>
      <c r="X54" s="432">
        <f t="shared" si="1"/>
        <v>0.23529411764705882</v>
      </c>
      <c r="Y54" s="432">
        <f t="shared" si="4"/>
        <v>0.88649999999999995</v>
      </c>
      <c r="Z54" s="432">
        <f t="shared" si="5"/>
        <v>2.5609999999999999</v>
      </c>
      <c r="AA54" s="670">
        <f t="shared" si="6"/>
        <v>1.4775</v>
      </c>
      <c r="AB54" s="432">
        <f t="shared" si="7"/>
        <v>1.6666666666666665</v>
      </c>
      <c r="AC54" s="670">
        <f t="shared" si="2"/>
        <v>65.384615384615387</v>
      </c>
      <c r="AD54" s="878">
        <v>30</v>
      </c>
      <c r="AE54" s="432">
        <f t="shared" si="8"/>
        <v>26.594999999999999</v>
      </c>
      <c r="AF54" s="449"/>
    </row>
    <row r="55" spans="1:32" ht="18.75" customHeight="1" x14ac:dyDescent="0.2">
      <c r="A55" s="878">
        <v>41</v>
      </c>
      <c r="B55" s="461" t="s">
        <v>120</v>
      </c>
      <c r="C55" s="878" t="s">
        <v>46</v>
      </c>
      <c r="D55" s="878">
        <v>668.57</v>
      </c>
      <c r="E55" s="878" t="s">
        <v>285</v>
      </c>
      <c r="F55" s="878">
        <v>177.8</v>
      </c>
      <c r="G55" s="878" t="s">
        <v>28</v>
      </c>
      <c r="H55" s="878" t="s">
        <v>48</v>
      </c>
      <c r="I55" s="877">
        <v>567.08000000000004</v>
      </c>
      <c r="J55" s="878">
        <v>260</v>
      </c>
      <c r="K55" s="878"/>
      <c r="L55" s="878">
        <v>405</v>
      </c>
      <c r="M55" s="878"/>
      <c r="N55" s="878">
        <v>0.1</v>
      </c>
      <c r="O55" s="878"/>
      <c r="P55" s="668">
        <v>16.377480530004192</v>
      </c>
      <c r="Q55" s="668">
        <f t="shared" si="10"/>
        <v>33.799999999999997</v>
      </c>
      <c r="R55" s="432">
        <v>3</v>
      </c>
      <c r="S55" s="432">
        <v>4.758</v>
      </c>
      <c r="T55" s="670">
        <v>7.25</v>
      </c>
      <c r="U55" s="668">
        <f t="shared" si="0"/>
        <v>2.4166666666666665</v>
      </c>
      <c r="V55" s="668">
        <f t="shared" si="9"/>
        <v>36.948297604035304</v>
      </c>
      <c r="W55" s="668">
        <v>0.2</v>
      </c>
      <c r="X55" s="432">
        <f t="shared" si="1"/>
        <v>0.14076923076923079</v>
      </c>
      <c r="Y55" s="432">
        <f t="shared" si="4"/>
        <v>2.9550000000000001</v>
      </c>
      <c r="Z55" s="432">
        <f t="shared" si="5"/>
        <v>4.6866300000000001</v>
      </c>
      <c r="AA55" s="670">
        <f t="shared" si="6"/>
        <v>7.1412500000000003</v>
      </c>
      <c r="AB55" s="432">
        <f t="shared" si="7"/>
        <v>2.4166666666666665</v>
      </c>
      <c r="AC55" s="670">
        <f t="shared" si="2"/>
        <v>36.948297604035304</v>
      </c>
      <c r="AD55" s="878">
        <v>30</v>
      </c>
      <c r="AE55" s="432">
        <f t="shared" si="8"/>
        <v>88.65</v>
      </c>
      <c r="AF55" s="669"/>
    </row>
    <row r="56" spans="1:32" ht="18.75" customHeight="1" x14ac:dyDescent="0.2">
      <c r="A56" s="863">
        <v>42</v>
      </c>
      <c r="B56" s="461" t="s">
        <v>114</v>
      </c>
      <c r="C56" s="863" t="s">
        <v>46</v>
      </c>
      <c r="D56" s="863">
        <v>584.25</v>
      </c>
      <c r="E56" s="863" t="s">
        <v>419</v>
      </c>
      <c r="F56" s="863">
        <v>177.8</v>
      </c>
      <c r="G56" s="863" t="s">
        <v>28</v>
      </c>
      <c r="H56" s="863" t="s">
        <v>383</v>
      </c>
      <c r="I56" s="862">
        <v>560.79999999999995</v>
      </c>
      <c r="J56" s="863">
        <v>0</v>
      </c>
      <c r="K56" s="863">
        <v>150</v>
      </c>
      <c r="L56" s="863"/>
      <c r="M56" s="863">
        <v>2</v>
      </c>
      <c r="N56" s="863"/>
      <c r="O56" s="863"/>
      <c r="P56" s="668"/>
      <c r="Q56" s="668">
        <f>J56*3/100</f>
        <v>0</v>
      </c>
      <c r="R56" s="432">
        <v>0</v>
      </c>
      <c r="S56" s="432">
        <v>0</v>
      </c>
      <c r="T56" s="670">
        <v>0</v>
      </c>
      <c r="U56" s="668">
        <v>0</v>
      </c>
      <c r="V56" s="668">
        <v>0</v>
      </c>
      <c r="W56" s="668">
        <v>0</v>
      </c>
      <c r="X56" s="432">
        <v>0</v>
      </c>
      <c r="Y56" s="432">
        <f t="shared" si="4"/>
        <v>0</v>
      </c>
      <c r="Z56" s="432">
        <f t="shared" si="5"/>
        <v>0</v>
      </c>
      <c r="AA56" s="670">
        <f t="shared" si="6"/>
        <v>0</v>
      </c>
      <c r="AB56" s="432">
        <v>0</v>
      </c>
      <c r="AC56" s="670">
        <v>0</v>
      </c>
      <c r="AD56" s="863">
        <v>0</v>
      </c>
      <c r="AE56" s="432">
        <f t="shared" si="8"/>
        <v>0</v>
      </c>
      <c r="AF56" s="669" t="s">
        <v>335</v>
      </c>
    </row>
    <row r="57" spans="1:32" ht="18.75" customHeight="1" x14ac:dyDescent="0.2">
      <c r="A57" s="878">
        <v>43</v>
      </c>
      <c r="B57" s="461" t="s">
        <v>106</v>
      </c>
      <c r="C57" s="878" t="s">
        <v>46</v>
      </c>
      <c r="D57" s="878">
        <v>642.52</v>
      </c>
      <c r="E57" s="878" t="s">
        <v>457</v>
      </c>
      <c r="F57" s="878">
        <v>177.8</v>
      </c>
      <c r="G57" s="878" t="s">
        <v>28</v>
      </c>
      <c r="H57" s="878" t="s">
        <v>456</v>
      </c>
      <c r="I57" s="877">
        <v>549.55999999999995</v>
      </c>
      <c r="J57" s="878">
        <v>150</v>
      </c>
      <c r="K57" s="878"/>
      <c r="L57" s="878">
        <v>212</v>
      </c>
      <c r="M57" s="878"/>
      <c r="N57" s="878">
        <v>6.3</v>
      </c>
      <c r="O57" s="878"/>
      <c r="P57" s="668">
        <v>40.878737139508978</v>
      </c>
      <c r="Q57" s="668">
        <f>J57*23/100</f>
        <v>34.5</v>
      </c>
      <c r="R57" s="432">
        <v>4.7</v>
      </c>
      <c r="S57" s="432">
        <v>27.6</v>
      </c>
      <c r="T57" s="670">
        <v>24</v>
      </c>
      <c r="U57" s="668">
        <f t="shared" si="0"/>
        <v>5.1063829787234036</v>
      </c>
      <c r="V57" s="668">
        <f t="shared" si="9"/>
        <v>82.971014492753625</v>
      </c>
      <c r="W57" s="668">
        <v>0.2</v>
      </c>
      <c r="X57" s="432">
        <f t="shared" si="1"/>
        <v>0.8</v>
      </c>
      <c r="Y57" s="432">
        <f t="shared" si="4"/>
        <v>4.6295000000000002</v>
      </c>
      <c r="Z57" s="432">
        <f t="shared" si="5"/>
        <v>27.186</v>
      </c>
      <c r="AA57" s="670">
        <f t="shared" si="6"/>
        <v>23.64</v>
      </c>
      <c r="AB57" s="432">
        <f t="shared" si="7"/>
        <v>5.1063829787234036</v>
      </c>
      <c r="AC57" s="670">
        <f t="shared" si="2"/>
        <v>82.971014492753625</v>
      </c>
      <c r="AD57" s="878">
        <v>30</v>
      </c>
      <c r="AE57" s="432">
        <f t="shared" si="8"/>
        <v>138.88499999999999</v>
      </c>
      <c r="AF57" s="449"/>
    </row>
    <row r="58" spans="1:32" ht="18.75" customHeight="1" x14ac:dyDescent="0.2">
      <c r="A58" s="878">
        <v>44</v>
      </c>
      <c r="B58" s="461" t="s">
        <v>105</v>
      </c>
      <c r="C58" s="878" t="s">
        <v>46</v>
      </c>
      <c r="D58" s="878">
        <v>609.6</v>
      </c>
      <c r="E58" s="878" t="s">
        <v>110</v>
      </c>
      <c r="F58" s="878">
        <v>177.8</v>
      </c>
      <c r="G58" s="878" t="s">
        <v>28</v>
      </c>
      <c r="H58" s="452" t="s">
        <v>406</v>
      </c>
      <c r="I58" s="877">
        <v>512.69000000000005</v>
      </c>
      <c r="J58" s="878">
        <v>0</v>
      </c>
      <c r="K58" s="878">
        <v>377</v>
      </c>
      <c r="L58" s="878"/>
      <c r="M58" s="878">
        <v>0.4</v>
      </c>
      <c r="N58" s="878"/>
      <c r="O58" s="878"/>
      <c r="P58" s="668"/>
      <c r="Q58" s="668">
        <f>J58*20/100</f>
        <v>0</v>
      </c>
      <c r="R58" s="432">
        <v>0</v>
      </c>
      <c r="S58" s="432">
        <v>0</v>
      </c>
      <c r="T58" s="670">
        <v>0</v>
      </c>
      <c r="U58" s="668">
        <f>IF(R58=0,0,T58/R58)</f>
        <v>0</v>
      </c>
      <c r="V58" s="668">
        <v>0</v>
      </c>
      <c r="W58" s="668">
        <v>0</v>
      </c>
      <c r="X58" s="432">
        <v>0</v>
      </c>
      <c r="Y58" s="432">
        <f t="shared" si="4"/>
        <v>0</v>
      </c>
      <c r="Z58" s="432">
        <f t="shared" si="5"/>
        <v>0</v>
      </c>
      <c r="AA58" s="670">
        <f t="shared" si="6"/>
        <v>0</v>
      </c>
      <c r="AB58" s="432">
        <v>0</v>
      </c>
      <c r="AC58" s="670">
        <v>0</v>
      </c>
      <c r="AD58" s="878">
        <v>0</v>
      </c>
      <c r="AE58" s="432">
        <f t="shared" si="8"/>
        <v>0</v>
      </c>
      <c r="AF58" s="669" t="s">
        <v>482</v>
      </c>
    </row>
    <row r="59" spans="1:32" ht="18.75" customHeight="1" x14ac:dyDescent="0.2">
      <c r="A59" s="878">
        <v>45</v>
      </c>
      <c r="B59" s="461" t="s">
        <v>104</v>
      </c>
      <c r="C59" s="878" t="s">
        <v>381</v>
      </c>
      <c r="D59" s="878">
        <v>707.14</v>
      </c>
      <c r="E59" s="877" t="s">
        <v>382</v>
      </c>
      <c r="F59" s="878">
        <v>177.8</v>
      </c>
      <c r="G59" s="878" t="s">
        <v>28</v>
      </c>
      <c r="H59" s="878" t="s">
        <v>383</v>
      </c>
      <c r="I59" s="877">
        <v>682.43000000000052</v>
      </c>
      <c r="J59" s="878">
        <v>230</v>
      </c>
      <c r="K59" s="878"/>
      <c r="L59" s="878">
        <v>570</v>
      </c>
      <c r="M59" s="878"/>
      <c r="N59" s="878">
        <v>6.7</v>
      </c>
      <c r="O59" s="878"/>
      <c r="P59" s="668">
        <v>14.73137106857112</v>
      </c>
      <c r="Q59" s="668">
        <f>J59*3/100</f>
        <v>6.9</v>
      </c>
      <c r="R59" s="432">
        <v>1.2</v>
      </c>
      <c r="S59" s="432">
        <v>1.3</v>
      </c>
      <c r="T59" s="670">
        <v>9</v>
      </c>
      <c r="U59" s="668">
        <f>IF(T59=0,0,T59/R59)</f>
        <v>7.5</v>
      </c>
      <c r="V59" s="668">
        <f t="shared" si="9"/>
        <v>7.6923076923076987</v>
      </c>
      <c r="W59" s="668">
        <v>0.1</v>
      </c>
      <c r="X59" s="432">
        <f t="shared" si="1"/>
        <v>0.18840579710144928</v>
      </c>
      <c r="Y59" s="432">
        <f t="shared" si="4"/>
        <v>1.1819999999999999</v>
      </c>
      <c r="Z59" s="432">
        <f t="shared" si="5"/>
        <v>1.2805</v>
      </c>
      <c r="AA59" s="670">
        <f t="shared" si="6"/>
        <v>8.8650000000000002</v>
      </c>
      <c r="AB59" s="432">
        <f t="shared" si="7"/>
        <v>7.5</v>
      </c>
      <c r="AC59" s="670">
        <f t="shared" si="2"/>
        <v>7.6923076923076987</v>
      </c>
      <c r="AD59" s="878">
        <v>30</v>
      </c>
      <c r="AE59" s="432">
        <f t="shared" si="8"/>
        <v>35.46</v>
      </c>
      <c r="AF59" s="669"/>
    </row>
    <row r="60" spans="1:32" ht="18.75" customHeight="1" x14ac:dyDescent="0.3">
      <c r="A60" s="878">
        <v>46</v>
      </c>
      <c r="B60" s="874" t="s">
        <v>158</v>
      </c>
      <c r="C60" s="878" t="s">
        <v>46</v>
      </c>
      <c r="D60" s="877">
        <v>621.12</v>
      </c>
      <c r="E60" s="877" t="s">
        <v>232</v>
      </c>
      <c r="F60" s="878">
        <v>177.8</v>
      </c>
      <c r="G60" s="878" t="s">
        <v>28</v>
      </c>
      <c r="H60" s="878" t="s">
        <v>403</v>
      </c>
      <c r="I60" s="877">
        <v>544.41999999999996</v>
      </c>
      <c r="J60" s="877">
        <v>175</v>
      </c>
      <c r="K60" s="877"/>
      <c r="L60" s="877">
        <v>461</v>
      </c>
      <c r="M60" s="877"/>
      <c r="N60" s="878">
        <v>7.5</v>
      </c>
      <c r="O60" s="877"/>
      <c r="P60" s="448">
        <v>16.499402575180774</v>
      </c>
      <c r="Q60" s="668">
        <f>J60*23/100</f>
        <v>40.25</v>
      </c>
      <c r="R60" s="432">
        <v>6</v>
      </c>
      <c r="S60" s="432">
        <v>8.4</v>
      </c>
      <c r="T60" s="492">
        <v>144</v>
      </c>
      <c r="U60" s="668">
        <f t="shared" ref="U60:U66" si="11">T60/R60</f>
        <v>24</v>
      </c>
      <c r="V60" s="668">
        <f t="shared" si="9"/>
        <v>28.571428571428577</v>
      </c>
      <c r="W60" s="668">
        <v>0.2</v>
      </c>
      <c r="X60" s="432">
        <f t="shared" si="1"/>
        <v>0.20869565217391306</v>
      </c>
      <c r="Y60" s="432">
        <f t="shared" si="4"/>
        <v>5.91</v>
      </c>
      <c r="Z60" s="432">
        <f t="shared" si="5"/>
        <v>8.2740000000000009</v>
      </c>
      <c r="AA60" s="670">
        <f t="shared" si="6"/>
        <v>141.84</v>
      </c>
      <c r="AB60" s="432">
        <f t="shared" si="7"/>
        <v>24</v>
      </c>
      <c r="AC60" s="670">
        <f t="shared" si="2"/>
        <v>28.571428571428577</v>
      </c>
      <c r="AD60" s="878">
        <v>30</v>
      </c>
      <c r="AE60" s="432">
        <f>Y60*AD60</f>
        <v>177.3</v>
      </c>
      <c r="AF60" s="458"/>
    </row>
    <row r="61" spans="1:32" ht="18.75" customHeight="1" x14ac:dyDescent="0.2">
      <c r="A61" s="878">
        <v>47</v>
      </c>
      <c r="B61" s="874" t="s">
        <v>160</v>
      </c>
      <c r="C61" s="878" t="s">
        <v>304</v>
      </c>
      <c r="D61" s="877">
        <v>677.33</v>
      </c>
      <c r="E61" s="877" t="s">
        <v>315</v>
      </c>
      <c r="F61" s="878">
        <v>177.8</v>
      </c>
      <c r="G61" s="878" t="s">
        <v>28</v>
      </c>
      <c r="H61" s="878" t="s">
        <v>52</v>
      </c>
      <c r="I61" s="877">
        <v>620.78</v>
      </c>
      <c r="J61" s="877">
        <v>85</v>
      </c>
      <c r="K61" s="877"/>
      <c r="L61" s="878">
        <v>0</v>
      </c>
      <c r="M61" s="877"/>
      <c r="N61" s="878">
        <v>0</v>
      </c>
      <c r="O61" s="877"/>
      <c r="P61" s="448">
        <v>49.858238117983618</v>
      </c>
      <c r="Q61" s="668">
        <f t="shared" si="10"/>
        <v>18.7</v>
      </c>
      <c r="R61" s="432">
        <v>1.3</v>
      </c>
      <c r="S61" s="432">
        <v>1.4</v>
      </c>
      <c r="T61" s="492">
        <v>35</v>
      </c>
      <c r="U61" s="668">
        <f t="shared" si="11"/>
        <v>26.923076923076923</v>
      </c>
      <c r="V61" s="668">
        <f t="shared" si="9"/>
        <v>7.1428571428571344</v>
      </c>
      <c r="W61" s="668">
        <v>0.2</v>
      </c>
      <c r="X61" s="432">
        <f t="shared" si="1"/>
        <v>7.4866310160427801E-2</v>
      </c>
      <c r="Y61" s="432">
        <f t="shared" si="4"/>
        <v>1.2805</v>
      </c>
      <c r="Z61" s="432">
        <f t="shared" si="5"/>
        <v>1.379</v>
      </c>
      <c r="AA61" s="670">
        <f t="shared" si="6"/>
        <v>34.475000000000001</v>
      </c>
      <c r="AB61" s="432">
        <f t="shared" si="7"/>
        <v>26.923076923076923</v>
      </c>
      <c r="AC61" s="670">
        <f t="shared" si="2"/>
        <v>7.1428571428571344</v>
      </c>
      <c r="AD61" s="878">
        <v>30</v>
      </c>
      <c r="AE61" s="432">
        <f>Y61*AD61</f>
        <v>38.414999999999999</v>
      </c>
      <c r="AF61" s="669"/>
    </row>
    <row r="62" spans="1:32" ht="18.75" customHeight="1" x14ac:dyDescent="0.2">
      <c r="A62" s="878">
        <v>48</v>
      </c>
      <c r="B62" s="461" t="s">
        <v>164</v>
      </c>
      <c r="C62" s="878" t="s">
        <v>46</v>
      </c>
      <c r="D62" s="877">
        <v>678.47</v>
      </c>
      <c r="E62" s="877" t="s">
        <v>233</v>
      </c>
      <c r="F62" s="878">
        <v>177.8</v>
      </c>
      <c r="G62" s="878" t="s">
        <v>28</v>
      </c>
      <c r="H62" s="878" t="s">
        <v>48</v>
      </c>
      <c r="I62" s="877">
        <v>563.25</v>
      </c>
      <c r="J62" s="877">
        <v>85</v>
      </c>
      <c r="K62" s="877"/>
      <c r="L62" s="877">
        <v>441</v>
      </c>
      <c r="M62" s="877"/>
      <c r="N62" s="878">
        <v>6.3</v>
      </c>
      <c r="O62" s="877"/>
      <c r="P62" s="668">
        <v>19.119730897402217</v>
      </c>
      <c r="Q62" s="668">
        <f t="shared" si="10"/>
        <v>11.05</v>
      </c>
      <c r="R62" s="432">
        <v>3.8</v>
      </c>
      <c r="S62" s="432">
        <v>5.4</v>
      </c>
      <c r="T62" s="670">
        <v>13</v>
      </c>
      <c r="U62" s="668">
        <f t="shared" si="11"/>
        <v>3.4210526315789473</v>
      </c>
      <c r="V62" s="668">
        <f t="shared" si="9"/>
        <v>29.62962962962964</v>
      </c>
      <c r="W62" s="668">
        <v>0.3</v>
      </c>
      <c r="X62" s="432">
        <f t="shared" si="1"/>
        <v>0.48868778280542985</v>
      </c>
      <c r="Y62" s="432">
        <f t="shared" si="4"/>
        <v>3.7429999999999999</v>
      </c>
      <c r="Z62" s="432">
        <f t="shared" si="5"/>
        <v>5.319</v>
      </c>
      <c r="AA62" s="670">
        <f t="shared" si="6"/>
        <v>12.805</v>
      </c>
      <c r="AB62" s="432">
        <f t="shared" si="7"/>
        <v>3.4210526315789473</v>
      </c>
      <c r="AC62" s="670">
        <f t="shared" si="2"/>
        <v>29.62962962962964</v>
      </c>
      <c r="AD62" s="878">
        <v>30</v>
      </c>
      <c r="AE62" s="432">
        <f t="shared" ref="AE62:AE76" si="12">Y62*AD62</f>
        <v>112.28999999999999</v>
      </c>
      <c r="AF62" s="669"/>
    </row>
    <row r="63" spans="1:32" ht="18.75" customHeight="1" x14ac:dyDescent="0.2">
      <c r="A63" s="878">
        <v>49</v>
      </c>
      <c r="B63" s="461" t="s">
        <v>61</v>
      </c>
      <c r="C63" s="878" t="s">
        <v>46</v>
      </c>
      <c r="D63" s="878">
        <v>667.18</v>
      </c>
      <c r="E63" s="878" t="s">
        <v>96</v>
      </c>
      <c r="F63" s="878">
        <v>177.8</v>
      </c>
      <c r="G63" s="878" t="s">
        <v>28</v>
      </c>
      <c r="H63" s="878" t="s">
        <v>52</v>
      </c>
      <c r="I63" s="877">
        <v>534.21</v>
      </c>
      <c r="J63" s="878">
        <v>200</v>
      </c>
      <c r="K63" s="878"/>
      <c r="L63" s="878">
        <v>446</v>
      </c>
      <c r="M63" s="878"/>
      <c r="N63" s="878">
        <v>6.1</v>
      </c>
      <c r="O63" s="878"/>
      <c r="P63" s="668">
        <v>16.44119193908606</v>
      </c>
      <c r="Q63" s="668">
        <f t="shared" si="10"/>
        <v>44</v>
      </c>
      <c r="R63" s="432">
        <v>6.6</v>
      </c>
      <c r="S63" s="432">
        <v>10.6</v>
      </c>
      <c r="T63" s="670">
        <v>154</v>
      </c>
      <c r="U63" s="668">
        <f t="shared" si="11"/>
        <v>23.333333333333336</v>
      </c>
      <c r="V63" s="668">
        <f t="shared" si="9"/>
        <v>37.735849056603776</v>
      </c>
      <c r="W63" s="668">
        <v>0.1</v>
      </c>
      <c r="X63" s="432">
        <f t="shared" si="1"/>
        <v>0.24090909090909091</v>
      </c>
      <c r="Y63" s="432">
        <f t="shared" si="4"/>
        <v>6.5009999999999994</v>
      </c>
      <c r="Z63" s="432">
        <f t="shared" si="5"/>
        <v>10.440999999999999</v>
      </c>
      <c r="AA63" s="670">
        <f t="shared" si="6"/>
        <v>151.69</v>
      </c>
      <c r="AB63" s="432">
        <f t="shared" si="7"/>
        <v>23.333333333333336</v>
      </c>
      <c r="AC63" s="670">
        <f t="shared" si="2"/>
        <v>37.735849056603776</v>
      </c>
      <c r="AD63" s="878">
        <v>30</v>
      </c>
      <c r="AE63" s="432">
        <f t="shared" si="12"/>
        <v>195.02999999999997</v>
      </c>
      <c r="AF63" s="449"/>
    </row>
    <row r="64" spans="1:32" ht="18.75" customHeight="1" x14ac:dyDescent="0.2">
      <c r="A64" s="878">
        <v>50</v>
      </c>
      <c r="B64" s="461" t="s">
        <v>64</v>
      </c>
      <c r="C64" s="878" t="s">
        <v>46</v>
      </c>
      <c r="D64" s="878">
        <v>672.5</v>
      </c>
      <c r="E64" s="878" t="s">
        <v>444</v>
      </c>
      <c r="F64" s="878">
        <v>177.8</v>
      </c>
      <c r="G64" s="878" t="s">
        <v>28</v>
      </c>
      <c r="H64" s="878" t="s">
        <v>49</v>
      </c>
      <c r="I64" s="877">
        <v>523.78</v>
      </c>
      <c r="J64" s="878">
        <v>100</v>
      </c>
      <c r="K64" s="878"/>
      <c r="L64" s="878">
        <v>408</v>
      </c>
      <c r="M64" s="878"/>
      <c r="N64" s="878">
        <v>7.4</v>
      </c>
      <c r="O64" s="878"/>
      <c r="P64" s="668">
        <v>21.495105337588274</v>
      </c>
      <c r="Q64" s="668">
        <f t="shared" si="10"/>
        <v>32</v>
      </c>
      <c r="R64" s="432">
        <v>8.6</v>
      </c>
      <c r="S64" s="432">
        <v>14</v>
      </c>
      <c r="T64" s="670">
        <v>721</v>
      </c>
      <c r="U64" s="668">
        <f t="shared" si="11"/>
        <v>83.83720930232559</v>
      </c>
      <c r="V64" s="668">
        <f t="shared" si="9"/>
        <v>38.571428571428577</v>
      </c>
      <c r="W64" s="668">
        <v>0.3</v>
      </c>
      <c r="X64" s="432">
        <f t="shared" si="1"/>
        <v>0.4375</v>
      </c>
      <c r="Y64" s="432">
        <f t="shared" si="4"/>
        <v>8.4710000000000001</v>
      </c>
      <c r="Z64" s="432">
        <f t="shared" si="5"/>
        <v>13.79</v>
      </c>
      <c r="AA64" s="670">
        <f t="shared" si="6"/>
        <v>710.18499999999995</v>
      </c>
      <c r="AB64" s="432">
        <f t="shared" si="7"/>
        <v>83.83720930232559</v>
      </c>
      <c r="AC64" s="670">
        <f t="shared" si="2"/>
        <v>38.571428571428577</v>
      </c>
      <c r="AD64" s="878">
        <v>30</v>
      </c>
      <c r="AE64" s="432">
        <f t="shared" si="12"/>
        <v>254.13</v>
      </c>
      <c r="AF64" s="449"/>
    </row>
    <row r="65" spans="1:32" ht="18.75" customHeight="1" x14ac:dyDescent="0.2">
      <c r="A65" s="878">
        <v>51</v>
      </c>
      <c r="B65" s="461" t="s">
        <v>156</v>
      </c>
      <c r="C65" s="878" t="s">
        <v>46</v>
      </c>
      <c r="D65" s="878">
        <v>679.54</v>
      </c>
      <c r="E65" s="878" t="s">
        <v>166</v>
      </c>
      <c r="F65" s="878">
        <v>177.8</v>
      </c>
      <c r="G65" s="878" t="s">
        <v>28</v>
      </c>
      <c r="H65" s="878" t="s">
        <v>52</v>
      </c>
      <c r="I65" s="877">
        <v>530.98</v>
      </c>
      <c r="J65" s="878">
        <v>220</v>
      </c>
      <c r="K65" s="878"/>
      <c r="L65" s="878">
        <v>457</v>
      </c>
      <c r="M65" s="878"/>
      <c r="N65" s="878">
        <v>7.6</v>
      </c>
      <c r="O65" s="878"/>
      <c r="P65" s="668">
        <v>16.903116116478362</v>
      </c>
      <c r="Q65" s="668">
        <f t="shared" si="10"/>
        <v>48.4</v>
      </c>
      <c r="R65" s="432">
        <v>5.8</v>
      </c>
      <c r="S65" s="432">
        <v>8.6</v>
      </c>
      <c r="T65" s="670">
        <v>110</v>
      </c>
      <c r="U65" s="668">
        <f t="shared" si="11"/>
        <v>18.96551724137931</v>
      </c>
      <c r="V65" s="668">
        <f t="shared" si="9"/>
        <v>32.558139534883715</v>
      </c>
      <c r="W65" s="668">
        <v>0.1</v>
      </c>
      <c r="X65" s="432">
        <f t="shared" si="1"/>
        <v>0.17768595041322313</v>
      </c>
      <c r="Y65" s="432">
        <f t="shared" si="4"/>
        <v>5.7130000000000001</v>
      </c>
      <c r="Z65" s="432">
        <f t="shared" si="5"/>
        <v>8.4710000000000001</v>
      </c>
      <c r="AA65" s="670">
        <f t="shared" si="6"/>
        <v>108.35</v>
      </c>
      <c r="AB65" s="432">
        <f t="shared" si="7"/>
        <v>18.96551724137931</v>
      </c>
      <c r="AC65" s="670">
        <f t="shared" si="2"/>
        <v>32.558139534883715</v>
      </c>
      <c r="AD65" s="878">
        <v>30</v>
      </c>
      <c r="AE65" s="432">
        <f t="shared" si="12"/>
        <v>171.39000000000001</v>
      </c>
      <c r="AF65" s="449"/>
    </row>
    <row r="66" spans="1:32" ht="18.75" customHeight="1" x14ac:dyDescent="0.2">
      <c r="A66" s="878">
        <v>52</v>
      </c>
      <c r="B66" s="461" t="s">
        <v>169</v>
      </c>
      <c r="C66" s="878" t="s">
        <v>46</v>
      </c>
      <c r="D66" s="878">
        <v>647.37</v>
      </c>
      <c r="E66" s="878" t="s">
        <v>463</v>
      </c>
      <c r="F66" s="878">
        <v>177.8</v>
      </c>
      <c r="G66" s="878" t="s">
        <v>28</v>
      </c>
      <c r="H66" s="878" t="s">
        <v>464</v>
      </c>
      <c r="I66" s="877">
        <v>539.76999999999987</v>
      </c>
      <c r="J66" s="878">
        <v>225</v>
      </c>
      <c r="K66" s="878"/>
      <c r="L66" s="878">
        <v>418</v>
      </c>
      <c r="M66" s="878"/>
      <c r="N66" s="878">
        <v>2.2999999999999998</v>
      </c>
      <c r="O66" s="878"/>
      <c r="P66" s="668">
        <v>16.810301552336572</v>
      </c>
      <c r="Q66" s="668">
        <v>42.9</v>
      </c>
      <c r="R66" s="432">
        <v>4.2</v>
      </c>
      <c r="S66" s="432">
        <v>7.3</v>
      </c>
      <c r="T66" s="670">
        <v>42</v>
      </c>
      <c r="U66" s="668">
        <f t="shared" si="11"/>
        <v>10</v>
      </c>
      <c r="V66" s="668">
        <f t="shared" si="9"/>
        <v>42.465753424657535</v>
      </c>
      <c r="W66" s="668">
        <v>0.2</v>
      </c>
      <c r="X66" s="432">
        <f t="shared" si="1"/>
        <v>0.17016317016317017</v>
      </c>
      <c r="Y66" s="432">
        <f t="shared" si="4"/>
        <v>4.1370000000000005</v>
      </c>
      <c r="Z66" s="432">
        <f t="shared" si="5"/>
        <v>7.1905000000000001</v>
      </c>
      <c r="AA66" s="670">
        <f t="shared" si="6"/>
        <v>41.37</v>
      </c>
      <c r="AB66" s="432">
        <f t="shared" si="7"/>
        <v>10</v>
      </c>
      <c r="AC66" s="670">
        <f t="shared" si="2"/>
        <v>42.465753424657535</v>
      </c>
      <c r="AD66" s="878">
        <v>30</v>
      </c>
      <c r="AE66" s="432">
        <f>Y66*AD66</f>
        <v>124.11000000000001</v>
      </c>
      <c r="AF66" s="449"/>
    </row>
    <row r="67" spans="1:32" ht="18.75" customHeight="1" x14ac:dyDescent="0.2">
      <c r="A67" s="878">
        <v>53</v>
      </c>
      <c r="B67" s="461" t="s">
        <v>62</v>
      </c>
      <c r="C67" s="878" t="s">
        <v>46</v>
      </c>
      <c r="D67" s="878">
        <v>673.73</v>
      </c>
      <c r="E67" s="878" t="s">
        <v>97</v>
      </c>
      <c r="F67" s="878">
        <v>177.8</v>
      </c>
      <c r="G67" s="878" t="s">
        <v>28</v>
      </c>
      <c r="H67" s="878" t="s">
        <v>218</v>
      </c>
      <c r="I67" s="877">
        <v>543</v>
      </c>
      <c r="J67" s="878">
        <v>255</v>
      </c>
      <c r="K67" s="878"/>
      <c r="L67" s="878">
        <v>428</v>
      </c>
      <c r="M67" s="878"/>
      <c r="N67" s="878">
        <v>3.8</v>
      </c>
      <c r="O67" s="878"/>
      <c r="P67" s="668">
        <v>16.657299270890775</v>
      </c>
      <c r="Q67" s="668">
        <f t="shared" si="10"/>
        <v>81.599999999999994</v>
      </c>
      <c r="R67" s="432">
        <v>6.9</v>
      </c>
      <c r="S67" s="432">
        <v>10.9</v>
      </c>
      <c r="T67" s="670">
        <v>176</v>
      </c>
      <c r="U67" s="668">
        <f t="shared" si="0"/>
        <v>25.507246376811594</v>
      </c>
      <c r="V67" s="668">
        <f t="shared" si="9"/>
        <v>36.697247706422012</v>
      </c>
      <c r="W67" s="668">
        <v>0.3</v>
      </c>
      <c r="X67" s="432">
        <f t="shared" si="1"/>
        <v>0.13357843137254904</v>
      </c>
      <c r="Y67" s="432">
        <f t="shared" si="4"/>
        <v>6.7965</v>
      </c>
      <c r="Z67" s="432">
        <f t="shared" si="5"/>
        <v>10.736499999999999</v>
      </c>
      <c r="AA67" s="670">
        <f t="shared" si="6"/>
        <v>173.35999999999999</v>
      </c>
      <c r="AB67" s="432">
        <f t="shared" si="7"/>
        <v>25.507246376811594</v>
      </c>
      <c r="AC67" s="670">
        <f t="shared" si="2"/>
        <v>36.697247706422012</v>
      </c>
      <c r="AD67" s="878">
        <v>30</v>
      </c>
      <c r="AE67" s="432">
        <f t="shared" si="12"/>
        <v>203.89500000000001</v>
      </c>
      <c r="AF67" s="669"/>
    </row>
    <row r="68" spans="1:32" ht="18.75" customHeight="1" x14ac:dyDescent="0.2">
      <c r="A68" s="878">
        <v>54</v>
      </c>
      <c r="B68" s="461" t="s">
        <v>157</v>
      </c>
      <c r="C68" s="878" t="s">
        <v>46</v>
      </c>
      <c r="D68" s="878">
        <v>676.73</v>
      </c>
      <c r="E68" s="878" t="s">
        <v>179</v>
      </c>
      <c r="F68" s="878">
        <v>177.8</v>
      </c>
      <c r="G68" s="878" t="s">
        <v>28</v>
      </c>
      <c r="H68" s="878" t="s">
        <v>218</v>
      </c>
      <c r="I68" s="877">
        <v>579.14</v>
      </c>
      <c r="J68" s="878">
        <v>160</v>
      </c>
      <c r="K68" s="878"/>
      <c r="L68" s="878">
        <v>158</v>
      </c>
      <c r="M68" s="878"/>
      <c r="N68" s="878">
        <v>8.1999999999999993</v>
      </c>
      <c r="O68" s="878"/>
      <c r="P68" s="668">
        <v>45.642834376989533</v>
      </c>
      <c r="Q68" s="668">
        <f t="shared" si="10"/>
        <v>51.2</v>
      </c>
      <c r="R68" s="432">
        <v>20.5</v>
      </c>
      <c r="S68" s="432">
        <v>52.33</v>
      </c>
      <c r="T68" s="670">
        <v>172</v>
      </c>
      <c r="U68" s="668">
        <f t="shared" si="0"/>
        <v>8.3902439024390247</v>
      </c>
      <c r="V68" s="668">
        <f t="shared" si="9"/>
        <v>60.825530288553409</v>
      </c>
      <c r="W68" s="668">
        <v>0.2</v>
      </c>
      <c r="X68" s="432">
        <f t="shared" si="1"/>
        <v>1.0220703124999999</v>
      </c>
      <c r="Y68" s="432">
        <f t="shared" si="4"/>
        <v>20.192499999999999</v>
      </c>
      <c r="Z68" s="432">
        <f t="shared" si="5"/>
        <v>51.545049999999996</v>
      </c>
      <c r="AA68" s="670">
        <f t="shared" si="6"/>
        <v>169.42</v>
      </c>
      <c r="AB68" s="432">
        <f t="shared" si="7"/>
        <v>8.3902439024390247</v>
      </c>
      <c r="AC68" s="670">
        <f t="shared" si="2"/>
        <v>60.825530288553409</v>
      </c>
      <c r="AD68" s="878">
        <v>30</v>
      </c>
      <c r="AE68" s="432">
        <f t="shared" si="12"/>
        <v>605.77499999999998</v>
      </c>
      <c r="AF68" s="676"/>
    </row>
    <row r="69" spans="1:32" ht="18.75" customHeight="1" x14ac:dyDescent="0.2">
      <c r="A69" s="878">
        <v>55</v>
      </c>
      <c r="B69" s="461" t="s">
        <v>159</v>
      </c>
      <c r="C69" s="878" t="s">
        <v>46</v>
      </c>
      <c r="D69" s="878">
        <v>676</v>
      </c>
      <c r="E69" s="878" t="s">
        <v>167</v>
      </c>
      <c r="F69" s="878">
        <v>177.8</v>
      </c>
      <c r="G69" s="878" t="s">
        <v>28</v>
      </c>
      <c r="H69" s="878" t="s">
        <v>342</v>
      </c>
      <c r="I69" s="877">
        <v>509.61000000000024</v>
      </c>
      <c r="J69" s="878">
        <v>190</v>
      </c>
      <c r="K69" s="878"/>
      <c r="L69" s="878">
        <v>368</v>
      </c>
      <c r="M69" s="878"/>
      <c r="N69" s="878">
        <v>8</v>
      </c>
      <c r="O69" s="878"/>
      <c r="P69" s="668">
        <v>21.558582885201364</v>
      </c>
      <c r="Q69" s="668">
        <f>(20*J69)/100</f>
        <v>38</v>
      </c>
      <c r="R69" s="432">
        <v>18.2</v>
      </c>
      <c r="S69" s="432">
        <v>21.4</v>
      </c>
      <c r="T69" s="670">
        <v>353</v>
      </c>
      <c r="U69" s="668">
        <f t="shared" si="0"/>
        <v>19.395604395604398</v>
      </c>
      <c r="V69" s="668">
        <f t="shared" si="9"/>
        <v>14.953271028037381</v>
      </c>
      <c r="W69" s="668">
        <v>0.1</v>
      </c>
      <c r="X69" s="432">
        <f t="shared" si="1"/>
        <v>0.56315789473684208</v>
      </c>
      <c r="Y69" s="432">
        <f t="shared" si="4"/>
        <v>17.927</v>
      </c>
      <c r="Z69" s="432">
        <f t="shared" si="5"/>
        <v>21.078999999999997</v>
      </c>
      <c r="AA69" s="670">
        <f t="shared" si="6"/>
        <v>347.70499999999998</v>
      </c>
      <c r="AB69" s="432">
        <f t="shared" si="7"/>
        <v>19.395604395604398</v>
      </c>
      <c r="AC69" s="670">
        <f t="shared" si="2"/>
        <v>14.953271028037381</v>
      </c>
      <c r="AD69" s="878">
        <v>30</v>
      </c>
      <c r="AE69" s="432">
        <f t="shared" si="12"/>
        <v>537.80999999999995</v>
      </c>
      <c r="AF69" s="669"/>
    </row>
    <row r="70" spans="1:32" ht="18.75" customHeight="1" x14ac:dyDescent="0.2">
      <c r="A70" s="878">
        <v>56</v>
      </c>
      <c r="B70" s="461" t="s">
        <v>330</v>
      </c>
      <c r="C70" s="878" t="s">
        <v>46</v>
      </c>
      <c r="D70" s="878">
        <v>595</v>
      </c>
      <c r="E70" s="878" t="s">
        <v>367</v>
      </c>
      <c r="F70" s="878">
        <v>178.8</v>
      </c>
      <c r="G70" s="878" t="s">
        <v>28</v>
      </c>
      <c r="H70" s="878" t="s">
        <v>52</v>
      </c>
      <c r="I70" s="877">
        <v>498.89</v>
      </c>
      <c r="J70" s="878">
        <v>210</v>
      </c>
      <c r="K70" s="878"/>
      <c r="L70" s="878">
        <v>293</v>
      </c>
      <c r="M70" s="878"/>
      <c r="N70" s="878">
        <v>7.2</v>
      </c>
      <c r="O70" s="878"/>
      <c r="P70" s="668">
        <v>27.280590972551785</v>
      </c>
      <c r="Q70" s="668">
        <f t="shared" si="10"/>
        <v>46.2</v>
      </c>
      <c r="R70" s="432">
        <v>19</v>
      </c>
      <c r="S70" s="432">
        <v>22.3</v>
      </c>
      <c r="T70" s="670">
        <v>446</v>
      </c>
      <c r="U70" s="668">
        <f t="shared" si="0"/>
        <v>23.473684210526315</v>
      </c>
      <c r="V70" s="668">
        <v>17.5</v>
      </c>
      <c r="W70" s="668">
        <v>0.2</v>
      </c>
      <c r="X70" s="432">
        <f t="shared" si="1"/>
        <v>0.48268398268398266</v>
      </c>
      <c r="Y70" s="432">
        <f t="shared" si="4"/>
        <v>18.715</v>
      </c>
      <c r="Z70" s="432">
        <f t="shared" si="5"/>
        <v>21.965499999999999</v>
      </c>
      <c r="AA70" s="670">
        <f t="shared" si="6"/>
        <v>439.31</v>
      </c>
      <c r="AB70" s="432">
        <v>20</v>
      </c>
      <c r="AC70" s="670">
        <v>17</v>
      </c>
      <c r="AD70" s="878">
        <v>30</v>
      </c>
      <c r="AE70" s="432">
        <f t="shared" si="12"/>
        <v>561.45000000000005</v>
      </c>
      <c r="AF70" s="669"/>
    </row>
    <row r="71" spans="1:32" ht="18.75" customHeight="1" x14ac:dyDescent="0.2">
      <c r="A71" s="878">
        <v>57</v>
      </c>
      <c r="B71" s="461" t="s">
        <v>210</v>
      </c>
      <c r="C71" s="878" t="s">
        <v>46</v>
      </c>
      <c r="D71" s="878">
        <v>728.32</v>
      </c>
      <c r="E71" s="878" t="s">
        <v>226</v>
      </c>
      <c r="F71" s="878">
        <v>177.8</v>
      </c>
      <c r="G71" s="878" t="s">
        <v>28</v>
      </c>
      <c r="H71" s="878" t="s">
        <v>218</v>
      </c>
      <c r="I71" s="877">
        <v>519.38</v>
      </c>
      <c r="J71" s="878">
        <v>280</v>
      </c>
      <c r="K71" s="878"/>
      <c r="L71" s="878">
        <v>115</v>
      </c>
      <c r="M71" s="878"/>
      <c r="N71" s="878">
        <v>3.5</v>
      </c>
      <c r="O71" s="878"/>
      <c r="P71" s="668">
        <v>44.622570319987545</v>
      </c>
      <c r="Q71" s="668">
        <f t="shared" si="10"/>
        <v>89.6</v>
      </c>
      <c r="R71" s="432">
        <v>14</v>
      </c>
      <c r="S71" s="432">
        <v>59.7</v>
      </c>
      <c r="T71" s="670">
        <v>185</v>
      </c>
      <c r="U71" s="668">
        <f t="shared" si="0"/>
        <v>13.214285714285714</v>
      </c>
      <c r="V71" s="668">
        <f t="shared" si="9"/>
        <v>76.549413735343393</v>
      </c>
      <c r="W71" s="668">
        <v>0.7</v>
      </c>
      <c r="X71" s="432">
        <f t="shared" si="1"/>
        <v>0.6662946428571429</v>
      </c>
      <c r="Y71" s="432">
        <f t="shared" si="4"/>
        <v>13.79</v>
      </c>
      <c r="Z71" s="432">
        <f t="shared" si="5"/>
        <v>58.804500000000004</v>
      </c>
      <c r="AA71" s="670">
        <f t="shared" si="6"/>
        <v>182.22499999999999</v>
      </c>
      <c r="AB71" s="432">
        <f t="shared" si="7"/>
        <v>13.214285714285714</v>
      </c>
      <c r="AC71" s="670">
        <f t="shared" si="2"/>
        <v>76.549413735343393</v>
      </c>
      <c r="AD71" s="878">
        <v>30</v>
      </c>
      <c r="AE71" s="432">
        <f t="shared" si="12"/>
        <v>413.7</v>
      </c>
      <c r="AF71" s="449"/>
    </row>
    <row r="72" spans="1:32" ht="18.75" customHeight="1" x14ac:dyDescent="0.2">
      <c r="A72" s="878">
        <v>58</v>
      </c>
      <c r="B72" s="461" t="s">
        <v>63</v>
      </c>
      <c r="C72" s="878" t="s">
        <v>46</v>
      </c>
      <c r="D72" s="878">
        <v>672.99</v>
      </c>
      <c r="E72" s="878" t="s">
        <v>98</v>
      </c>
      <c r="F72" s="878">
        <v>177.8</v>
      </c>
      <c r="G72" s="878" t="s">
        <v>28</v>
      </c>
      <c r="H72" s="878" t="s">
        <v>310</v>
      </c>
      <c r="I72" s="877">
        <v>536.32000000000005</v>
      </c>
      <c r="J72" s="878">
        <v>310</v>
      </c>
      <c r="K72" s="878"/>
      <c r="L72" s="878">
        <v>403</v>
      </c>
      <c r="M72" s="878"/>
      <c r="N72" s="878">
        <v>8.4</v>
      </c>
      <c r="O72" s="878"/>
      <c r="P72" s="668">
        <v>22.866133689813132</v>
      </c>
      <c r="Q72" s="668">
        <f t="shared" si="10"/>
        <v>68.2</v>
      </c>
      <c r="R72" s="432">
        <v>14</v>
      </c>
      <c r="S72" s="432">
        <v>20</v>
      </c>
      <c r="T72" s="670">
        <v>744</v>
      </c>
      <c r="U72" s="668">
        <f t="shared" si="0"/>
        <v>53.142857142857146</v>
      </c>
      <c r="V72" s="668">
        <f t="shared" si="9"/>
        <v>30</v>
      </c>
      <c r="W72" s="668">
        <v>0.3</v>
      </c>
      <c r="X72" s="432">
        <f t="shared" si="1"/>
        <v>0.29325513196480935</v>
      </c>
      <c r="Y72" s="432">
        <f t="shared" si="4"/>
        <v>13.79</v>
      </c>
      <c r="Z72" s="432">
        <f t="shared" si="5"/>
        <v>19.7</v>
      </c>
      <c r="AA72" s="670">
        <f t="shared" si="6"/>
        <v>732.84</v>
      </c>
      <c r="AB72" s="432">
        <f t="shared" si="7"/>
        <v>53.142857142857146</v>
      </c>
      <c r="AC72" s="670">
        <f t="shared" si="2"/>
        <v>30</v>
      </c>
      <c r="AD72" s="878">
        <v>30</v>
      </c>
      <c r="AE72" s="432">
        <f t="shared" si="12"/>
        <v>413.7</v>
      </c>
      <c r="AF72" s="449"/>
    </row>
    <row r="73" spans="1:32" ht="18.75" customHeight="1" x14ac:dyDescent="0.2">
      <c r="A73" s="878">
        <v>59</v>
      </c>
      <c r="B73" s="461" t="s">
        <v>217</v>
      </c>
      <c r="C73" s="878" t="s">
        <v>46</v>
      </c>
      <c r="D73" s="878">
        <v>684.57</v>
      </c>
      <c r="E73" s="878" t="s">
        <v>359</v>
      </c>
      <c r="F73" s="878">
        <v>177.8</v>
      </c>
      <c r="G73" s="878" t="s">
        <v>28</v>
      </c>
      <c r="H73" s="878" t="s">
        <v>219</v>
      </c>
      <c r="I73" s="877">
        <v>555.95000000000005</v>
      </c>
      <c r="J73" s="878">
        <v>300</v>
      </c>
      <c r="K73" s="878"/>
      <c r="L73" s="878">
        <v>189</v>
      </c>
      <c r="M73" s="878"/>
      <c r="N73" s="878">
        <v>8.4</v>
      </c>
      <c r="O73" s="878"/>
      <c r="P73" s="668">
        <v>45.99309591679976</v>
      </c>
      <c r="Q73" s="668">
        <f t="shared" si="10"/>
        <v>36</v>
      </c>
      <c r="R73" s="432">
        <v>3.2</v>
      </c>
      <c r="S73" s="432">
        <v>18</v>
      </c>
      <c r="T73" s="670">
        <v>15</v>
      </c>
      <c r="U73" s="668">
        <f t="shared" si="0"/>
        <v>4.6875</v>
      </c>
      <c r="V73" s="668">
        <f t="shared" si="9"/>
        <v>82.222222222222229</v>
      </c>
      <c r="W73" s="668">
        <v>0.2</v>
      </c>
      <c r="X73" s="432">
        <f t="shared" si="1"/>
        <v>0.5</v>
      </c>
      <c r="Y73" s="432">
        <f t="shared" si="4"/>
        <v>3.1520000000000001</v>
      </c>
      <c r="Z73" s="432">
        <f t="shared" si="5"/>
        <v>17.73</v>
      </c>
      <c r="AA73" s="670">
        <f t="shared" si="6"/>
        <v>14.775</v>
      </c>
      <c r="AB73" s="432">
        <f t="shared" si="7"/>
        <v>4.6875</v>
      </c>
      <c r="AC73" s="670">
        <f t="shared" si="2"/>
        <v>82.222222222222229</v>
      </c>
      <c r="AD73" s="878">
        <v>30</v>
      </c>
      <c r="AE73" s="432">
        <f t="shared" si="12"/>
        <v>94.56</v>
      </c>
      <c r="AF73" s="449"/>
    </row>
    <row r="74" spans="1:32" ht="18.75" customHeight="1" x14ac:dyDescent="0.2">
      <c r="A74" s="878">
        <v>60</v>
      </c>
      <c r="B74" s="461" t="s">
        <v>211</v>
      </c>
      <c r="C74" s="878" t="s">
        <v>46</v>
      </c>
      <c r="D74" s="878">
        <v>675.29</v>
      </c>
      <c r="E74" s="878" t="s">
        <v>224</v>
      </c>
      <c r="F74" s="878">
        <v>177.8</v>
      </c>
      <c r="G74" s="878" t="s">
        <v>28</v>
      </c>
      <c r="H74" s="878" t="s">
        <v>384</v>
      </c>
      <c r="I74" s="877">
        <v>554.95999999999981</v>
      </c>
      <c r="J74" s="878">
        <v>200</v>
      </c>
      <c r="K74" s="878"/>
      <c r="L74" s="878">
        <v>415</v>
      </c>
      <c r="M74" s="878"/>
      <c r="N74" s="878">
        <v>0.4</v>
      </c>
      <c r="O74" s="878"/>
      <c r="P74" s="668">
        <v>15.848171042016705</v>
      </c>
      <c r="Q74" s="668">
        <f>(22*J74)/100</f>
        <v>44</v>
      </c>
      <c r="R74" s="432">
        <v>2.7</v>
      </c>
      <c r="S74" s="432">
        <v>4.9000000000000004</v>
      </c>
      <c r="T74" s="670">
        <v>23</v>
      </c>
      <c r="U74" s="668">
        <f t="shared" si="0"/>
        <v>8.5185185185185173</v>
      </c>
      <c r="V74" s="668">
        <f t="shared" si="9"/>
        <v>44.897959183673471</v>
      </c>
      <c r="W74" s="668">
        <v>0.5</v>
      </c>
      <c r="X74" s="432">
        <f t="shared" si="1"/>
        <v>0.11136363636363637</v>
      </c>
      <c r="Y74" s="432">
        <f t="shared" si="4"/>
        <v>2.6595</v>
      </c>
      <c r="Z74" s="432">
        <f t="shared" si="5"/>
        <v>4.8265000000000002</v>
      </c>
      <c r="AA74" s="670">
        <f t="shared" si="6"/>
        <v>22.655000000000001</v>
      </c>
      <c r="AB74" s="432">
        <f t="shared" si="7"/>
        <v>8.5185185185185173</v>
      </c>
      <c r="AC74" s="670">
        <f t="shared" si="2"/>
        <v>44.897959183673471</v>
      </c>
      <c r="AD74" s="878">
        <v>30</v>
      </c>
      <c r="AE74" s="432">
        <f t="shared" si="12"/>
        <v>79.784999999999997</v>
      </c>
      <c r="AF74" s="449"/>
    </row>
    <row r="75" spans="1:32" ht="18.75" customHeight="1" x14ac:dyDescent="0.2">
      <c r="A75" s="878">
        <v>61</v>
      </c>
      <c r="B75" s="461" t="s">
        <v>341</v>
      </c>
      <c r="C75" s="878" t="s">
        <v>46</v>
      </c>
      <c r="D75" s="878">
        <v>683.16</v>
      </c>
      <c r="E75" s="878" t="s">
        <v>343</v>
      </c>
      <c r="F75" s="878">
        <v>177.8</v>
      </c>
      <c r="G75" s="878" t="s">
        <v>28</v>
      </c>
      <c r="H75" s="878" t="s">
        <v>342</v>
      </c>
      <c r="I75" s="877">
        <v>571.9</v>
      </c>
      <c r="J75" s="878">
        <v>225</v>
      </c>
      <c r="K75" s="878"/>
      <c r="L75" s="878">
        <v>266</v>
      </c>
      <c r="M75" s="878"/>
      <c r="N75" s="878">
        <v>9.4</v>
      </c>
      <c r="O75" s="878"/>
      <c r="P75" s="668">
        <v>34.47709270081468</v>
      </c>
      <c r="Q75" s="668">
        <f>(20*J75)/100</f>
        <v>45</v>
      </c>
      <c r="R75" s="432">
        <v>23</v>
      </c>
      <c r="S75" s="432">
        <v>29.4</v>
      </c>
      <c r="T75" s="670">
        <v>391</v>
      </c>
      <c r="U75" s="668">
        <f t="shared" si="0"/>
        <v>17</v>
      </c>
      <c r="V75" s="668">
        <f t="shared" si="9"/>
        <v>21.768707482993193</v>
      </c>
      <c r="W75" s="668">
        <v>0.2</v>
      </c>
      <c r="X75" s="432">
        <f t="shared" si="1"/>
        <v>0.65333333333333332</v>
      </c>
      <c r="Y75" s="432">
        <f t="shared" si="4"/>
        <v>22.655000000000001</v>
      </c>
      <c r="Z75" s="432">
        <f t="shared" si="5"/>
        <v>28.959</v>
      </c>
      <c r="AA75" s="670">
        <f t="shared" si="6"/>
        <v>385.13499999999999</v>
      </c>
      <c r="AB75" s="432">
        <f t="shared" si="7"/>
        <v>17</v>
      </c>
      <c r="AC75" s="670">
        <f t="shared" si="2"/>
        <v>21.768707482993193</v>
      </c>
      <c r="AD75" s="878">
        <v>30</v>
      </c>
      <c r="AE75" s="432">
        <f t="shared" si="12"/>
        <v>679.65000000000009</v>
      </c>
      <c r="AF75" s="449"/>
    </row>
    <row r="76" spans="1:32" ht="18.75" customHeight="1" x14ac:dyDescent="0.2">
      <c r="A76" s="878">
        <v>62</v>
      </c>
      <c r="B76" s="461" t="s">
        <v>354</v>
      </c>
      <c r="C76" s="878" t="s">
        <v>46</v>
      </c>
      <c r="D76" s="878">
        <v>634.29</v>
      </c>
      <c r="E76" s="832" t="s">
        <v>356</v>
      </c>
      <c r="F76" s="878">
        <v>178.8</v>
      </c>
      <c r="G76" s="878" t="s">
        <v>28</v>
      </c>
      <c r="H76" s="878" t="s">
        <v>366</v>
      </c>
      <c r="I76" s="877">
        <v>540.14</v>
      </c>
      <c r="J76" s="878">
        <v>220</v>
      </c>
      <c r="K76" s="878"/>
      <c r="L76" s="878">
        <v>304</v>
      </c>
      <c r="M76" s="878"/>
      <c r="N76" s="878">
        <v>10</v>
      </c>
      <c r="O76" s="878"/>
      <c r="P76" s="668">
        <v>33.673327005081745</v>
      </c>
      <c r="Q76" s="668">
        <f>(33*J76)/100</f>
        <v>72.599999999999994</v>
      </c>
      <c r="R76" s="432">
        <v>20.5</v>
      </c>
      <c r="S76" s="432">
        <v>45</v>
      </c>
      <c r="T76" s="670">
        <v>284</v>
      </c>
      <c r="U76" s="668">
        <f t="shared" si="0"/>
        <v>13.853658536585366</v>
      </c>
      <c r="V76" s="668">
        <f t="shared" si="9"/>
        <v>54.444444444444443</v>
      </c>
      <c r="W76" s="668">
        <v>0.3</v>
      </c>
      <c r="X76" s="432">
        <f t="shared" si="1"/>
        <v>0.6198347107438017</v>
      </c>
      <c r="Y76" s="432">
        <f t="shared" si="4"/>
        <v>20.192499999999999</v>
      </c>
      <c r="Z76" s="432">
        <f t="shared" si="5"/>
        <v>44.325000000000003</v>
      </c>
      <c r="AA76" s="670">
        <f t="shared" si="6"/>
        <v>279.74</v>
      </c>
      <c r="AB76" s="432">
        <f t="shared" si="7"/>
        <v>13.853658536585366</v>
      </c>
      <c r="AC76" s="670">
        <f t="shared" si="2"/>
        <v>54.444444444444443</v>
      </c>
      <c r="AD76" s="878">
        <v>30</v>
      </c>
      <c r="AE76" s="432">
        <f t="shared" si="12"/>
        <v>605.77499999999998</v>
      </c>
      <c r="AF76" s="449"/>
    </row>
    <row r="77" spans="1:32" ht="18.75" customHeight="1" x14ac:dyDescent="0.2">
      <c r="A77" s="863">
        <v>63</v>
      </c>
      <c r="B77" s="461" t="s">
        <v>172</v>
      </c>
      <c r="C77" s="863" t="s">
        <v>46</v>
      </c>
      <c r="D77" s="863">
        <v>673</v>
      </c>
      <c r="E77" s="863" t="s">
        <v>173</v>
      </c>
      <c r="F77" s="863">
        <v>177.8</v>
      </c>
      <c r="G77" s="863" t="s">
        <v>28</v>
      </c>
      <c r="H77" s="863" t="s">
        <v>50</v>
      </c>
      <c r="I77" s="862">
        <v>560.79</v>
      </c>
      <c r="J77" s="863">
        <v>365</v>
      </c>
      <c r="K77" s="863"/>
      <c r="L77" s="863">
        <v>176</v>
      </c>
      <c r="M77" s="863"/>
      <c r="N77" s="863">
        <v>4.3</v>
      </c>
      <c r="O77" s="863"/>
      <c r="P77" s="448">
        <v>43.263045084589464</v>
      </c>
      <c r="Q77" s="668">
        <f>LEFT(H77,(FIND("K",H77,1)-1))*J77/100</f>
        <v>21.9</v>
      </c>
      <c r="R77" s="432">
        <v>1.6</v>
      </c>
      <c r="S77" s="432">
        <v>6.9</v>
      </c>
      <c r="T77" s="670">
        <v>15</v>
      </c>
      <c r="U77" s="668">
        <f t="shared" si="0"/>
        <v>9.375</v>
      </c>
      <c r="V77" s="668">
        <f t="shared" si="9"/>
        <v>76.811594202898561</v>
      </c>
      <c r="W77" s="668">
        <v>0.6</v>
      </c>
      <c r="X77" s="432">
        <f t="shared" si="1"/>
        <v>0.31506849315068497</v>
      </c>
      <c r="Y77" s="432">
        <f t="shared" si="4"/>
        <v>1.5760000000000001</v>
      </c>
      <c r="Z77" s="432">
        <f t="shared" si="5"/>
        <v>6.7965</v>
      </c>
      <c r="AA77" s="670">
        <f t="shared" si="6"/>
        <v>14.775</v>
      </c>
      <c r="AB77" s="432">
        <f t="shared" si="7"/>
        <v>9.375</v>
      </c>
      <c r="AC77" s="670">
        <f t="shared" si="2"/>
        <v>76.811594202898561</v>
      </c>
      <c r="AD77" s="863">
        <v>30</v>
      </c>
      <c r="AE77" s="432">
        <f>Y77*AD77</f>
        <v>47.28</v>
      </c>
      <c r="AF77" s="449"/>
    </row>
    <row r="78" spans="1:32" ht="18.75" customHeight="1" x14ac:dyDescent="0.25">
      <c r="A78" s="869"/>
      <c r="B78" s="863"/>
      <c r="C78" s="863"/>
      <c r="D78" s="862"/>
      <c r="E78" s="862"/>
      <c r="F78" s="461"/>
      <c r="G78" s="863"/>
      <c r="H78" s="863"/>
      <c r="I78" s="862"/>
      <c r="J78" s="862"/>
      <c r="K78" s="862"/>
      <c r="L78" s="862"/>
      <c r="M78" s="862"/>
      <c r="N78" s="863"/>
      <c r="O78" s="862"/>
      <c r="P78" s="668"/>
      <c r="Q78" s="448"/>
      <c r="R78" s="466">
        <f>SUM(R15:R77)</f>
        <v>373.42400000000004</v>
      </c>
      <c r="S78" s="466">
        <f>SUM(S15:S77)</f>
        <v>819.47299999999996</v>
      </c>
      <c r="T78" s="512">
        <f>SUM(T15:T77)</f>
        <v>9416.9</v>
      </c>
      <c r="U78" s="466">
        <f>T78/R78</f>
        <v>25.217714983504003</v>
      </c>
      <c r="V78" s="466"/>
      <c r="W78" s="466"/>
      <c r="X78" s="466"/>
      <c r="Y78" s="466">
        <f>SUM(Y15:Y77)</f>
        <v>367.82263999999998</v>
      </c>
      <c r="Z78" s="466">
        <f>SUM(Z15:Z77)</f>
        <v>807.18090499999994</v>
      </c>
      <c r="AA78" s="678">
        <f>SUM(AA15:AA77)</f>
        <v>9275.6465000000007</v>
      </c>
      <c r="AB78" s="466">
        <f>AA78/Y78</f>
        <v>25.21771498350401</v>
      </c>
      <c r="AC78" s="466"/>
      <c r="AD78" s="858"/>
      <c r="AE78" s="466">
        <f>SUM(AE15:AE77)</f>
        <v>11030.542200000002</v>
      </c>
      <c r="AF78" s="669"/>
    </row>
    <row r="79" spans="1:32" ht="18.75" customHeight="1" x14ac:dyDescent="0.25">
      <c r="A79" s="869"/>
      <c r="B79" s="863"/>
      <c r="C79" s="863"/>
      <c r="D79" s="862"/>
      <c r="E79" s="862"/>
      <c r="F79" s="461"/>
      <c r="G79" s="863"/>
      <c r="H79" s="863"/>
      <c r="I79" s="862"/>
      <c r="J79" s="862"/>
      <c r="K79" s="862"/>
      <c r="L79" s="862"/>
      <c r="M79" s="862"/>
      <c r="N79" s="863"/>
      <c r="O79" s="862"/>
      <c r="P79" s="668"/>
      <c r="Q79" s="448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858"/>
      <c r="AE79" s="466"/>
      <c r="AF79" s="669"/>
    </row>
    <row r="80" spans="1:32" ht="18.75" customHeight="1" x14ac:dyDescent="0.25">
      <c r="A80" s="869"/>
      <c r="B80" s="863"/>
      <c r="C80" s="863"/>
      <c r="D80" s="862"/>
      <c r="E80" s="854" t="s">
        <v>388</v>
      </c>
      <c r="F80" s="461"/>
      <c r="G80" s="863"/>
      <c r="H80" s="863"/>
      <c r="I80" s="862"/>
      <c r="J80" s="862"/>
      <c r="K80" s="862"/>
      <c r="L80" s="862"/>
      <c r="M80" s="862"/>
      <c r="N80" s="863"/>
      <c r="O80" s="862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858"/>
      <c r="AE80" s="466"/>
      <c r="AF80" s="669"/>
    </row>
    <row r="81" spans="1:32" ht="18.75" customHeight="1" x14ac:dyDescent="0.2">
      <c r="A81" s="878">
        <v>64</v>
      </c>
      <c r="B81" s="461" t="s">
        <v>423</v>
      </c>
      <c r="C81" s="878" t="s">
        <v>445</v>
      </c>
      <c r="D81" s="877">
        <v>683.8</v>
      </c>
      <c r="E81" s="877" t="s">
        <v>473</v>
      </c>
      <c r="F81" s="878">
        <v>177.8</v>
      </c>
      <c r="G81" s="878" t="s">
        <v>28</v>
      </c>
      <c r="H81" s="878" t="s">
        <v>48</v>
      </c>
      <c r="I81" s="877">
        <v>590.46</v>
      </c>
      <c r="J81" s="877">
        <v>200</v>
      </c>
      <c r="K81" s="877"/>
      <c r="L81" s="877">
        <v>197</v>
      </c>
      <c r="M81" s="877"/>
      <c r="N81" s="878">
        <v>9.4</v>
      </c>
      <c r="O81" s="877"/>
      <c r="P81" s="668">
        <v>44.052010489025086</v>
      </c>
      <c r="Q81" s="668">
        <f t="shared" ref="Q81:Q84" si="13">LEFT(H81,(FIND("K",H81,1)-1))*J81/100</f>
        <v>26</v>
      </c>
      <c r="R81" s="432">
        <v>15.8</v>
      </c>
      <c r="S81" s="432">
        <v>16</v>
      </c>
      <c r="T81" s="492">
        <v>723</v>
      </c>
      <c r="U81" s="668">
        <f t="shared" ref="U81:U84" si="14">T81/R81</f>
        <v>45.759493670886073</v>
      </c>
      <c r="V81" s="668">
        <f t="shared" ref="V81:V84" si="15">(S81-R81)/S81*100</f>
        <v>1.2499999999999956</v>
      </c>
      <c r="W81" s="668">
        <v>0.2</v>
      </c>
      <c r="X81" s="432">
        <f t="shared" ref="X81:X84" si="16">S81/Q81</f>
        <v>0.61538461538461542</v>
      </c>
      <c r="Y81" s="432">
        <f>R81*0.985</f>
        <v>15.563000000000001</v>
      </c>
      <c r="Z81" s="432">
        <f>S81*0.985</f>
        <v>15.76</v>
      </c>
      <c r="AA81" s="670">
        <f>T81*0.985</f>
        <v>712.15499999999997</v>
      </c>
      <c r="AB81" s="432">
        <f t="shared" ref="AB81:AC84" si="17">U81</f>
        <v>45.759493670886073</v>
      </c>
      <c r="AC81" s="670">
        <f t="shared" si="17"/>
        <v>1.2499999999999956</v>
      </c>
      <c r="AD81" s="878">
        <v>30</v>
      </c>
      <c r="AE81" s="432">
        <f>Y81*AD81</f>
        <v>466.89000000000004</v>
      </c>
      <c r="AF81" s="669"/>
    </row>
    <row r="82" spans="1:32" ht="18.75" customHeight="1" x14ac:dyDescent="0.2">
      <c r="A82" s="878">
        <v>65</v>
      </c>
      <c r="B82" s="461" t="s">
        <v>213</v>
      </c>
      <c r="C82" s="878" t="s">
        <v>445</v>
      </c>
      <c r="D82" s="878">
        <v>690.8</v>
      </c>
      <c r="E82" s="878" t="s">
        <v>474</v>
      </c>
      <c r="F82" s="878">
        <v>177.8</v>
      </c>
      <c r="G82" s="878" t="s">
        <v>28</v>
      </c>
      <c r="H82" s="878" t="s">
        <v>48</v>
      </c>
      <c r="I82" s="877">
        <v>660.45</v>
      </c>
      <c r="J82" s="878">
        <v>200</v>
      </c>
      <c r="K82" s="878"/>
      <c r="L82" s="878">
        <v>375</v>
      </c>
      <c r="M82" s="878"/>
      <c r="N82" s="878">
        <v>8.6</v>
      </c>
      <c r="O82" s="878"/>
      <c r="P82" s="668">
        <v>34.771669944143625</v>
      </c>
      <c r="Q82" s="668">
        <f t="shared" si="13"/>
        <v>26</v>
      </c>
      <c r="R82" s="432">
        <v>13</v>
      </c>
      <c r="S82" s="432">
        <v>17.7</v>
      </c>
      <c r="T82" s="670">
        <v>175</v>
      </c>
      <c r="U82" s="668">
        <f t="shared" si="14"/>
        <v>13.461538461538462</v>
      </c>
      <c r="V82" s="668">
        <f t="shared" si="15"/>
        <v>26.55367231638418</v>
      </c>
      <c r="W82" s="668">
        <v>0.2</v>
      </c>
      <c r="X82" s="432">
        <f t="shared" si="16"/>
        <v>0.68076923076923079</v>
      </c>
      <c r="Y82" s="432">
        <f t="shared" ref="Y82:Y84" si="18">R82*0.985</f>
        <v>12.805</v>
      </c>
      <c r="Z82" s="432">
        <f t="shared" ref="Z82:Z84" si="19">S82*0.985</f>
        <v>17.4345</v>
      </c>
      <c r="AA82" s="670">
        <f t="shared" ref="AA82:AA83" si="20">T82*0.985</f>
        <v>172.375</v>
      </c>
      <c r="AB82" s="432">
        <f t="shared" si="17"/>
        <v>13.461538461538462</v>
      </c>
      <c r="AC82" s="670">
        <f>V82</f>
        <v>26.55367231638418</v>
      </c>
      <c r="AD82" s="878">
        <v>28</v>
      </c>
      <c r="AE82" s="432">
        <f t="shared" ref="AE82" si="21">Y82*AD82</f>
        <v>358.53999999999996</v>
      </c>
      <c r="AF82" s="669" t="s">
        <v>483</v>
      </c>
    </row>
    <row r="83" spans="1:32" ht="18.75" customHeight="1" x14ac:dyDescent="0.2">
      <c r="A83" s="878">
        <v>66</v>
      </c>
      <c r="B83" s="461" t="s">
        <v>451</v>
      </c>
      <c r="C83" s="878" t="s">
        <v>445</v>
      </c>
      <c r="D83" s="877">
        <v>683.2700000000001</v>
      </c>
      <c r="E83" s="877" t="s">
        <v>475</v>
      </c>
      <c r="F83" s="878">
        <v>177.8</v>
      </c>
      <c r="G83" s="878" t="s">
        <v>28</v>
      </c>
      <c r="H83" s="878" t="s">
        <v>218</v>
      </c>
      <c r="I83" s="877">
        <v>618.30999999999995</v>
      </c>
      <c r="J83" s="877">
        <v>250</v>
      </c>
      <c r="K83" s="877"/>
      <c r="L83" s="877">
        <v>583</v>
      </c>
      <c r="M83" s="877"/>
      <c r="N83" s="878">
        <v>29.8</v>
      </c>
      <c r="O83" s="877"/>
      <c r="P83" s="668">
        <v>34.163152969809296</v>
      </c>
      <c r="Q83" s="668">
        <f t="shared" si="13"/>
        <v>80</v>
      </c>
      <c r="R83" s="432">
        <v>24.1</v>
      </c>
      <c r="S83" s="432">
        <v>24.6</v>
      </c>
      <c r="T83" s="492">
        <v>2882</v>
      </c>
      <c r="U83" s="668">
        <f t="shared" si="14"/>
        <v>119.58506224066389</v>
      </c>
      <c r="V83" s="668">
        <f t="shared" si="15"/>
        <v>2.0325203252032518</v>
      </c>
      <c r="W83" s="668">
        <v>0.1</v>
      </c>
      <c r="X83" s="432">
        <f t="shared" si="16"/>
        <v>0.3075</v>
      </c>
      <c r="Y83" s="432">
        <f t="shared" si="18"/>
        <v>23.738500000000002</v>
      </c>
      <c r="Z83" s="432">
        <f t="shared" si="19"/>
        <v>24.231000000000002</v>
      </c>
      <c r="AA83" s="670">
        <f t="shared" si="20"/>
        <v>2838.77</v>
      </c>
      <c r="AB83" s="668">
        <f t="shared" si="17"/>
        <v>119.58506224066389</v>
      </c>
      <c r="AC83" s="670">
        <f t="shared" si="17"/>
        <v>2.0325203252032518</v>
      </c>
      <c r="AD83" s="878">
        <v>29</v>
      </c>
      <c r="AE83" s="432">
        <f>Y83*AD83</f>
        <v>688.41650000000004</v>
      </c>
      <c r="AF83" s="669" t="s">
        <v>483</v>
      </c>
    </row>
    <row r="84" spans="1:32" ht="18.75" customHeight="1" x14ac:dyDescent="0.2">
      <c r="A84" s="878">
        <v>67</v>
      </c>
      <c r="B84" s="461" t="s">
        <v>424</v>
      </c>
      <c r="C84" s="878" t="s">
        <v>445</v>
      </c>
      <c r="D84" s="877">
        <v>691</v>
      </c>
      <c r="E84" s="877" t="s">
        <v>476</v>
      </c>
      <c r="F84" s="878">
        <v>177.8</v>
      </c>
      <c r="G84" s="878" t="s">
        <v>28</v>
      </c>
      <c r="H84" s="878" t="s">
        <v>48</v>
      </c>
      <c r="I84" s="877">
        <v>588.74</v>
      </c>
      <c r="J84" s="877">
        <v>100</v>
      </c>
      <c r="K84" s="877"/>
      <c r="L84" s="877">
        <v>617</v>
      </c>
      <c r="M84" s="877"/>
      <c r="N84" s="878">
        <v>4.8</v>
      </c>
      <c r="O84" s="877"/>
      <c r="P84" s="668">
        <v>8.7767753630018319</v>
      </c>
      <c r="Q84" s="668">
        <f t="shared" si="13"/>
        <v>13</v>
      </c>
      <c r="R84" s="432">
        <v>2.472</v>
      </c>
      <c r="S84" s="432">
        <v>2.5339999999999998</v>
      </c>
      <c r="T84" s="492">
        <v>754</v>
      </c>
      <c r="U84" s="668">
        <f t="shared" si="14"/>
        <v>305.01618122977345</v>
      </c>
      <c r="V84" s="668">
        <f t="shared" si="15"/>
        <v>2.4467245461720535</v>
      </c>
      <c r="W84" s="668">
        <v>0.2</v>
      </c>
      <c r="X84" s="432">
        <f t="shared" si="16"/>
        <v>0.19492307692307692</v>
      </c>
      <c r="Y84" s="432">
        <f t="shared" si="18"/>
        <v>2.43492</v>
      </c>
      <c r="Z84" s="432">
        <f t="shared" si="19"/>
        <v>2.4959899999999999</v>
      </c>
      <c r="AA84" s="670">
        <f>T84*0.985</f>
        <v>742.68999999999994</v>
      </c>
      <c r="AB84" s="432">
        <f t="shared" si="17"/>
        <v>305.01618122977345</v>
      </c>
      <c r="AC84" s="670">
        <f t="shared" si="17"/>
        <v>2.4467245461720535</v>
      </c>
      <c r="AD84" s="878">
        <v>7</v>
      </c>
      <c r="AE84" s="432">
        <f>Y84*AD84</f>
        <v>17.044440000000002</v>
      </c>
      <c r="AF84" s="669" t="s">
        <v>483</v>
      </c>
    </row>
    <row r="85" spans="1:32" ht="18.75" customHeight="1" x14ac:dyDescent="0.25">
      <c r="A85" s="863">
        <v>68</v>
      </c>
      <c r="B85" s="461" t="s">
        <v>155</v>
      </c>
      <c r="C85" s="863" t="s">
        <v>415</v>
      </c>
      <c r="D85" s="863">
        <v>513.9</v>
      </c>
      <c r="E85" s="863" t="s">
        <v>477</v>
      </c>
      <c r="F85" s="863">
        <v>177.8</v>
      </c>
      <c r="G85" s="863"/>
      <c r="H85" s="863"/>
      <c r="I85" s="862">
        <v>9.5</v>
      </c>
      <c r="J85" s="862"/>
      <c r="K85" s="862"/>
      <c r="L85" s="862"/>
      <c r="M85" s="862"/>
      <c r="N85" s="863"/>
      <c r="O85" s="862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863">
        <v>69</v>
      </c>
      <c r="B86" s="461" t="s">
        <v>465</v>
      </c>
      <c r="C86" s="863" t="s">
        <v>46</v>
      </c>
      <c r="D86" s="863">
        <v>571.91</v>
      </c>
      <c r="E86" s="863" t="s">
        <v>478</v>
      </c>
      <c r="F86" s="863">
        <v>177.8</v>
      </c>
      <c r="G86" s="863" t="s">
        <v>28</v>
      </c>
      <c r="H86" s="831" t="s">
        <v>466</v>
      </c>
      <c r="I86" s="862">
        <v>566.9000000000002</v>
      </c>
      <c r="J86" s="862"/>
      <c r="K86" s="862"/>
      <c r="L86" s="862"/>
      <c r="M86" s="862"/>
      <c r="N86" s="863"/>
      <c r="O86" s="862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858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863"/>
      <c r="H87" s="863"/>
      <c r="I87" s="863"/>
      <c r="J87" s="862"/>
      <c r="K87" s="862"/>
      <c r="L87" s="862"/>
      <c r="M87" s="862"/>
      <c r="N87" s="862"/>
      <c r="O87" s="862"/>
      <c r="P87" s="448"/>
      <c r="Q87" s="448"/>
      <c r="R87" s="466">
        <f>SUM(R81:R84)</f>
        <v>55.372000000000007</v>
      </c>
      <c r="S87" s="466">
        <f>SUM(S81:S84)</f>
        <v>60.834000000000003</v>
      </c>
      <c r="T87" s="512">
        <f>SUM(T81:T84)</f>
        <v>4534</v>
      </c>
      <c r="U87" s="466">
        <f>T87/R87</f>
        <v>81.882539911868804</v>
      </c>
      <c r="V87" s="466"/>
      <c r="W87" s="466"/>
      <c r="X87" s="466"/>
      <c r="Y87" s="466">
        <f>SUM(Y81:Y84)</f>
        <v>54.541420000000002</v>
      </c>
      <c r="Z87" s="466">
        <f>SUM(Z81:Z84)</f>
        <v>59.921489999999999</v>
      </c>
      <c r="AA87" s="678">
        <f>SUM(AA81:AA84)</f>
        <v>4465.99</v>
      </c>
      <c r="AB87" s="466">
        <f>AA87/Y87</f>
        <v>81.882539911868804</v>
      </c>
      <c r="AC87" s="466"/>
      <c r="AD87" s="858"/>
      <c r="AE87" s="466">
        <f>SUM(AE81:AE84)</f>
        <v>1530.89094</v>
      </c>
      <c r="AF87" s="669"/>
    </row>
    <row r="88" spans="1:32" ht="18.75" customHeight="1" x14ac:dyDescent="0.25">
      <c r="A88" s="870"/>
      <c r="B88" s="873"/>
      <c r="C88" s="850"/>
      <c r="D88" s="850"/>
      <c r="E88" s="864" t="s">
        <v>470</v>
      </c>
      <c r="F88" s="853"/>
      <c r="G88" s="856"/>
      <c r="H88" s="854"/>
      <c r="I88" s="854"/>
      <c r="J88" s="862"/>
      <c r="K88" s="862"/>
      <c r="L88" s="862"/>
      <c r="M88" s="862"/>
      <c r="N88" s="862"/>
      <c r="O88" s="862"/>
      <c r="P88" s="448"/>
      <c r="Q88" s="448"/>
      <c r="R88" s="885"/>
      <c r="S88" s="437"/>
      <c r="T88" s="862"/>
      <c r="U88" s="856"/>
      <c r="V88" s="880"/>
      <c r="W88" s="856"/>
      <c r="X88" s="421"/>
      <c r="Y88" s="862"/>
      <c r="Z88" s="862"/>
      <c r="AA88" s="862"/>
      <c r="AB88" s="856"/>
      <c r="AC88" s="856"/>
      <c r="AD88" s="862"/>
      <c r="AE88" s="862"/>
      <c r="AF88" s="854"/>
    </row>
    <row r="89" spans="1:32" ht="18.75" customHeight="1" x14ac:dyDescent="0.2">
      <c r="A89" s="875">
        <v>70</v>
      </c>
      <c r="B89" s="878" t="s">
        <v>131</v>
      </c>
      <c r="C89" s="875" t="s">
        <v>313</v>
      </c>
      <c r="D89" s="878">
        <v>389.74</v>
      </c>
      <c r="E89" s="679" t="s">
        <v>136</v>
      </c>
      <c r="F89" s="878">
        <v>177.8</v>
      </c>
      <c r="G89" s="878" t="s">
        <v>28</v>
      </c>
      <c r="H89" s="878" t="s">
        <v>58</v>
      </c>
      <c r="I89" s="877">
        <v>142.80000000000001</v>
      </c>
      <c r="J89" s="877">
        <v>360</v>
      </c>
      <c r="K89" s="878"/>
      <c r="L89" s="878">
        <v>22</v>
      </c>
      <c r="M89" s="878"/>
      <c r="N89" s="878">
        <v>0</v>
      </c>
      <c r="O89" s="878"/>
      <c r="P89" s="668">
        <v>15.474457052258566</v>
      </c>
      <c r="Q89" s="448">
        <f>(3*J89)/100</f>
        <v>10.8</v>
      </c>
      <c r="R89" s="432">
        <v>0.3</v>
      </c>
      <c r="S89" s="432">
        <v>0.4</v>
      </c>
      <c r="T89" s="432">
        <v>0</v>
      </c>
      <c r="U89" s="432">
        <f>T89/R89</f>
        <v>0</v>
      </c>
      <c r="V89" s="432">
        <f t="shared" ref="V89:V92" si="22">(S89-R89)/S89*100</f>
        <v>25.000000000000007</v>
      </c>
      <c r="W89" s="432">
        <v>0.2</v>
      </c>
      <c r="X89" s="432">
        <f t="shared" ref="X89:X92" si="23">S89/Q89</f>
        <v>3.7037037037037035E-2</v>
      </c>
      <c r="Y89" s="432">
        <f>R89*0.985</f>
        <v>0.29549999999999998</v>
      </c>
      <c r="Z89" s="432">
        <f>S89*0.95</f>
        <v>0.38</v>
      </c>
      <c r="AA89" s="432">
        <f>T89*0.988</f>
        <v>0</v>
      </c>
      <c r="AB89" s="432">
        <f t="shared" ref="AB89:AC92" si="24">U89</f>
        <v>0</v>
      </c>
      <c r="AC89" s="432">
        <f t="shared" si="24"/>
        <v>25.000000000000007</v>
      </c>
      <c r="AD89" s="878">
        <v>30</v>
      </c>
      <c r="AE89" s="432">
        <f t="shared" ref="AE89:AE92" si="25">Y89*AD89</f>
        <v>8.8650000000000002</v>
      </c>
      <c r="AF89" s="449"/>
    </row>
    <row r="90" spans="1:32" ht="18.75" customHeight="1" x14ac:dyDescent="0.2">
      <c r="A90" s="875">
        <v>71</v>
      </c>
      <c r="B90" s="878" t="s">
        <v>132</v>
      </c>
      <c r="C90" s="875" t="s">
        <v>313</v>
      </c>
      <c r="D90" s="878">
        <v>387.72</v>
      </c>
      <c r="E90" s="679" t="s">
        <v>135</v>
      </c>
      <c r="F90" s="878">
        <v>177.8</v>
      </c>
      <c r="G90" s="878" t="s">
        <v>28</v>
      </c>
      <c r="H90" s="878" t="s">
        <v>58</v>
      </c>
      <c r="I90" s="877">
        <v>136.03</v>
      </c>
      <c r="J90" s="878">
        <v>240</v>
      </c>
      <c r="K90" s="878"/>
      <c r="L90" s="878">
        <v>44</v>
      </c>
      <c r="M90" s="878"/>
      <c r="N90" s="878">
        <v>0</v>
      </c>
      <c r="O90" s="878"/>
      <c r="P90" s="668">
        <v>12.231347981218812</v>
      </c>
      <c r="Q90" s="448">
        <f>(3*J90)/100</f>
        <v>7.2</v>
      </c>
      <c r="R90" s="432">
        <v>3</v>
      </c>
      <c r="S90" s="432">
        <v>5.4</v>
      </c>
      <c r="T90" s="432">
        <v>0</v>
      </c>
      <c r="U90" s="432">
        <f>T90/R90</f>
        <v>0</v>
      </c>
      <c r="V90" s="432">
        <f t="shared" si="22"/>
        <v>44.44444444444445</v>
      </c>
      <c r="W90" s="432">
        <v>0.2</v>
      </c>
      <c r="X90" s="432">
        <f t="shared" si="23"/>
        <v>0.75</v>
      </c>
      <c r="Y90" s="432">
        <f t="shared" ref="Y90:Y92" si="26">R90*0.985</f>
        <v>2.9550000000000001</v>
      </c>
      <c r="Z90" s="432">
        <f t="shared" ref="Z90:Z92" si="27">S90*0.95</f>
        <v>5.13</v>
      </c>
      <c r="AA90" s="432">
        <f t="shared" ref="AA90:AA92" si="28">T90*0.988</f>
        <v>0</v>
      </c>
      <c r="AB90" s="432">
        <v>0</v>
      </c>
      <c r="AC90" s="432">
        <f>V90</f>
        <v>44.44444444444445</v>
      </c>
      <c r="AD90" s="878">
        <v>30</v>
      </c>
      <c r="AE90" s="432">
        <f t="shared" si="25"/>
        <v>88.65</v>
      </c>
      <c r="AF90" s="449"/>
    </row>
    <row r="91" spans="1:32" ht="18.75" customHeight="1" x14ac:dyDescent="0.2">
      <c r="A91" s="875">
        <v>72</v>
      </c>
      <c r="B91" s="878" t="s">
        <v>121</v>
      </c>
      <c r="C91" s="875" t="s">
        <v>313</v>
      </c>
      <c r="D91" s="878">
        <v>389.57</v>
      </c>
      <c r="E91" s="878" t="s">
        <v>137</v>
      </c>
      <c r="F91" s="878">
        <v>177.8</v>
      </c>
      <c r="G91" s="878" t="s">
        <v>28</v>
      </c>
      <c r="H91" s="831" t="s">
        <v>466</v>
      </c>
      <c r="I91" s="877">
        <v>133.79</v>
      </c>
      <c r="J91" s="878">
        <v>85</v>
      </c>
      <c r="K91" s="878"/>
      <c r="L91" s="878">
        <v>36</v>
      </c>
      <c r="M91" s="878"/>
      <c r="N91" s="878">
        <v>0</v>
      </c>
      <c r="O91" s="878"/>
      <c r="P91" s="668">
        <v>13.017660369449999</v>
      </c>
      <c r="Q91" s="448">
        <f>(13*J91)/100</f>
        <v>11.05</v>
      </c>
      <c r="R91" s="432">
        <v>4.3</v>
      </c>
      <c r="S91" s="432">
        <v>11.5</v>
      </c>
      <c r="T91" s="432">
        <v>0</v>
      </c>
      <c r="U91" s="432">
        <v>0</v>
      </c>
      <c r="V91" s="432">
        <v>75</v>
      </c>
      <c r="W91" s="432">
        <v>0.2</v>
      </c>
      <c r="X91" s="432">
        <f>S91/Q91</f>
        <v>1.0407239819004523</v>
      </c>
      <c r="Y91" s="432">
        <f t="shared" si="26"/>
        <v>4.2355</v>
      </c>
      <c r="Z91" s="432">
        <f t="shared" si="27"/>
        <v>10.924999999999999</v>
      </c>
      <c r="AA91" s="432">
        <f t="shared" si="28"/>
        <v>0</v>
      </c>
      <c r="AB91" s="432">
        <v>0</v>
      </c>
      <c r="AC91" s="432">
        <v>47</v>
      </c>
      <c r="AD91" s="878">
        <v>30</v>
      </c>
      <c r="AE91" s="432">
        <f t="shared" si="25"/>
        <v>127.065</v>
      </c>
      <c r="AF91" s="669"/>
    </row>
    <row r="92" spans="1:32" ht="18.75" customHeight="1" x14ac:dyDescent="0.2">
      <c r="A92" s="857">
        <v>73</v>
      </c>
      <c r="B92" s="863" t="s">
        <v>122</v>
      </c>
      <c r="C92" s="857" t="s">
        <v>313</v>
      </c>
      <c r="D92" s="863">
        <v>391.06</v>
      </c>
      <c r="E92" s="863" t="s">
        <v>138</v>
      </c>
      <c r="F92" s="863">
        <v>177.8</v>
      </c>
      <c r="G92" s="863" t="s">
        <v>28</v>
      </c>
      <c r="H92" s="863" t="s">
        <v>58</v>
      </c>
      <c r="I92" s="432">
        <v>151.72999999999999</v>
      </c>
      <c r="J92" s="863">
        <v>330</v>
      </c>
      <c r="K92" s="858"/>
      <c r="L92" s="863">
        <v>52</v>
      </c>
      <c r="M92" s="858"/>
      <c r="N92" s="863">
        <v>0</v>
      </c>
      <c r="O92" s="858"/>
      <c r="P92" s="668">
        <v>12.61797440408451</v>
      </c>
      <c r="Q92" s="448">
        <f>(3*J92)/100</f>
        <v>9.9</v>
      </c>
      <c r="R92" s="432">
        <v>2</v>
      </c>
      <c r="S92" s="432">
        <v>2.5</v>
      </c>
      <c r="T92" s="432">
        <v>0</v>
      </c>
      <c r="U92" s="432">
        <f>T92/R92</f>
        <v>0</v>
      </c>
      <c r="V92" s="432">
        <f t="shared" si="22"/>
        <v>20</v>
      </c>
      <c r="W92" s="432">
        <v>0.2</v>
      </c>
      <c r="X92" s="432">
        <f t="shared" si="23"/>
        <v>0.25252525252525254</v>
      </c>
      <c r="Y92" s="432">
        <f t="shared" si="26"/>
        <v>1.97</v>
      </c>
      <c r="Z92" s="432">
        <f t="shared" si="27"/>
        <v>2.375</v>
      </c>
      <c r="AA92" s="432">
        <f t="shared" si="28"/>
        <v>0</v>
      </c>
      <c r="AB92" s="432">
        <f t="shared" si="24"/>
        <v>0</v>
      </c>
      <c r="AC92" s="432">
        <f t="shared" si="24"/>
        <v>20</v>
      </c>
      <c r="AD92" s="863">
        <v>30</v>
      </c>
      <c r="AE92" s="432">
        <f t="shared" si="25"/>
        <v>59.1</v>
      </c>
      <c r="AF92" s="680"/>
    </row>
    <row r="93" spans="1:32" ht="18.75" customHeight="1" x14ac:dyDescent="0.2">
      <c r="A93" s="857">
        <v>74</v>
      </c>
      <c r="B93" s="863" t="s">
        <v>188</v>
      </c>
      <c r="C93" s="857" t="s">
        <v>344</v>
      </c>
      <c r="D93" s="863">
        <v>400.5</v>
      </c>
      <c r="E93" s="863" t="s">
        <v>345</v>
      </c>
      <c r="F93" s="863">
        <v>177.8</v>
      </c>
      <c r="G93" s="863"/>
      <c r="H93" s="863"/>
      <c r="I93" s="432"/>
      <c r="J93" s="863"/>
      <c r="K93" s="858"/>
      <c r="L93" s="863"/>
      <c r="M93" s="858"/>
      <c r="N93" s="863"/>
      <c r="O93" s="858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863"/>
      <c r="AE93" s="432"/>
      <c r="AF93" s="669"/>
    </row>
    <row r="94" spans="1:32" ht="18.75" customHeight="1" x14ac:dyDescent="0.2">
      <c r="A94" s="857">
        <v>75</v>
      </c>
      <c r="B94" s="863" t="s">
        <v>186</v>
      </c>
      <c r="C94" s="857" t="s">
        <v>346</v>
      </c>
      <c r="D94" s="863">
        <v>349.5</v>
      </c>
      <c r="E94" s="461" t="s">
        <v>347</v>
      </c>
      <c r="F94" s="863">
        <v>177.8</v>
      </c>
      <c r="G94" s="863"/>
      <c r="H94" s="863"/>
      <c r="I94" s="432"/>
      <c r="J94" s="863"/>
      <c r="K94" s="863"/>
      <c r="L94" s="863"/>
      <c r="M94" s="858"/>
      <c r="N94" s="863"/>
      <c r="O94" s="858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863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862"/>
      <c r="G95" s="856"/>
      <c r="H95" s="854"/>
      <c r="I95" s="854"/>
      <c r="J95" s="862"/>
      <c r="K95" s="862"/>
      <c r="L95" s="862"/>
      <c r="M95" s="862"/>
      <c r="N95" s="862"/>
      <c r="O95" s="862"/>
      <c r="P95" s="448"/>
      <c r="Q95" s="448"/>
      <c r="R95" s="466">
        <f>SUM(R89:R94)</f>
        <v>9.6</v>
      </c>
      <c r="S95" s="466">
        <f>SUM(S89:S94)</f>
        <v>19.8</v>
      </c>
      <c r="T95" s="466">
        <f>SUM(T89:T92)</f>
        <v>0</v>
      </c>
      <c r="U95" s="466">
        <f>SUM(U89:U92)</f>
        <v>0</v>
      </c>
      <c r="V95" s="880"/>
      <c r="W95" s="856"/>
      <c r="X95" s="856"/>
      <c r="Y95" s="466">
        <f>SUM(Y89:Y94)</f>
        <v>9.4560000000000013</v>
      </c>
      <c r="Z95" s="466">
        <f>SUM(Z89:Z94)</f>
        <v>18.809999999999999</v>
      </c>
      <c r="AA95" s="466">
        <f>SUM(AA89:AA92)</f>
        <v>0</v>
      </c>
      <c r="AB95" s="466">
        <v>0</v>
      </c>
      <c r="AC95" s="856"/>
      <c r="AD95" s="862"/>
      <c r="AE95" s="466">
        <f>SUM(AE89:AE94)</f>
        <v>283.68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858"/>
      <c r="G96" s="863"/>
      <c r="H96" s="863"/>
      <c r="I96" s="432"/>
      <c r="J96" s="863"/>
      <c r="K96" s="858"/>
      <c r="L96" s="863"/>
      <c r="M96" s="858"/>
      <c r="N96" s="668"/>
      <c r="O96" s="858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856"/>
      <c r="H97" s="854"/>
      <c r="I97" s="854"/>
      <c r="J97" s="862"/>
      <c r="K97" s="862"/>
      <c r="L97" s="862"/>
      <c r="M97" s="862"/>
      <c r="N97" s="862"/>
      <c r="O97" s="862"/>
      <c r="P97" s="448"/>
      <c r="Q97" s="448"/>
      <c r="R97" s="885"/>
      <c r="S97" s="885"/>
      <c r="T97" s="862"/>
      <c r="U97" s="856"/>
      <c r="V97" s="880"/>
      <c r="W97" s="856"/>
      <c r="X97" s="856"/>
      <c r="Y97" s="862"/>
      <c r="Z97" s="862"/>
      <c r="AA97" s="862"/>
      <c r="AB97" s="856"/>
      <c r="AC97" s="856"/>
      <c r="AD97" s="862"/>
      <c r="AE97" s="862"/>
      <c r="AF97" s="854"/>
    </row>
    <row r="98" spans="1:32" ht="18.75" customHeight="1" x14ac:dyDescent="0.2">
      <c r="A98" s="863">
        <v>76</v>
      </c>
      <c r="B98" s="855" t="s">
        <v>107</v>
      </c>
      <c r="C98" s="862" t="s">
        <v>109</v>
      </c>
      <c r="D98" s="862"/>
      <c r="E98" s="862"/>
      <c r="F98" s="862"/>
      <c r="G98" s="856"/>
      <c r="H98" s="854"/>
      <c r="I98" s="854"/>
      <c r="J98" s="862"/>
      <c r="K98" s="862"/>
      <c r="L98" s="862"/>
      <c r="M98" s="862"/>
      <c r="N98" s="862"/>
      <c r="O98" s="862"/>
      <c r="P98" s="448"/>
      <c r="Q98" s="448"/>
      <c r="R98" s="885"/>
      <c r="S98" s="885"/>
      <c r="T98" s="862"/>
      <c r="U98" s="856"/>
      <c r="V98" s="880"/>
      <c r="W98" s="856"/>
      <c r="X98" s="856"/>
      <c r="Y98" s="854"/>
      <c r="Z98" s="854"/>
      <c r="AA98" s="862"/>
      <c r="AB98" s="856"/>
      <c r="AC98" s="856"/>
      <c r="AD98" s="493"/>
      <c r="AE98" s="862"/>
      <c r="AF98" s="854"/>
    </row>
    <row r="99" spans="1:32" ht="18.75" customHeight="1" x14ac:dyDescent="0.2">
      <c r="A99" s="863">
        <v>77</v>
      </c>
      <c r="B99" s="855" t="s">
        <v>108</v>
      </c>
      <c r="C99" s="862" t="s">
        <v>109</v>
      </c>
      <c r="D99" s="862"/>
      <c r="E99" s="862"/>
      <c r="F99" s="862"/>
      <c r="G99" s="856"/>
      <c r="H99" s="854"/>
      <c r="I99" s="854"/>
      <c r="J99" s="862"/>
      <c r="K99" s="862"/>
      <c r="L99" s="862"/>
      <c r="M99" s="862"/>
      <c r="N99" s="862"/>
      <c r="O99" s="862"/>
      <c r="P99" s="448"/>
      <c r="Q99" s="448"/>
      <c r="R99" s="885"/>
      <c r="S99" s="885"/>
      <c r="T99" s="862"/>
      <c r="U99" s="856"/>
      <c r="V99" s="880"/>
      <c r="W99" s="856"/>
      <c r="X99" s="856"/>
      <c r="Y99" s="854"/>
      <c r="Z99" s="854"/>
      <c r="AA99" s="862"/>
      <c r="AB99" s="856"/>
      <c r="AC99" s="856"/>
      <c r="AD99" s="493"/>
      <c r="AE99" s="862"/>
      <c r="AF99" s="854"/>
    </row>
    <row r="100" spans="1:32" ht="18.75" customHeight="1" x14ac:dyDescent="0.2">
      <c r="A100" s="863">
        <v>78</v>
      </c>
      <c r="B100" s="855" t="s">
        <v>195</v>
      </c>
      <c r="C100" s="857" t="s">
        <v>484</v>
      </c>
      <c r="D100" s="862"/>
      <c r="E100" s="862"/>
      <c r="F100" s="862"/>
      <c r="G100" s="856"/>
      <c r="H100" s="854"/>
      <c r="I100" s="854"/>
      <c r="J100" s="862"/>
      <c r="K100" s="862"/>
      <c r="L100" s="862"/>
      <c r="M100" s="862"/>
      <c r="N100" s="862"/>
      <c r="O100" s="862"/>
      <c r="P100" s="448"/>
      <c r="Q100" s="448"/>
      <c r="R100" s="885"/>
      <c r="S100" s="885"/>
      <c r="T100" s="862"/>
      <c r="U100" s="856"/>
      <c r="V100" s="880"/>
      <c r="W100" s="856"/>
      <c r="X100" s="856"/>
      <c r="Y100" s="854"/>
      <c r="Z100" s="854"/>
      <c r="AA100" s="862"/>
      <c r="AB100" s="856"/>
      <c r="AC100" s="856"/>
      <c r="AD100" s="493"/>
      <c r="AE100" s="862"/>
      <c r="AF100" s="854"/>
    </row>
    <row r="101" spans="1:32" ht="18.75" customHeight="1" x14ac:dyDescent="0.2">
      <c r="A101" s="863">
        <v>79</v>
      </c>
      <c r="B101" s="855" t="s">
        <v>192</v>
      </c>
      <c r="C101" s="888" t="s">
        <v>484</v>
      </c>
      <c r="D101" s="862"/>
      <c r="E101" s="862"/>
      <c r="F101" s="862"/>
      <c r="G101" s="856"/>
      <c r="H101" s="854"/>
      <c r="I101" s="854"/>
      <c r="J101" s="862"/>
      <c r="K101" s="862"/>
      <c r="L101" s="862"/>
      <c r="M101" s="862"/>
      <c r="N101" s="862"/>
      <c r="O101" s="862"/>
      <c r="P101" s="448"/>
      <c r="Q101" s="448"/>
      <c r="R101" s="885"/>
      <c r="S101" s="885"/>
      <c r="T101" s="862"/>
      <c r="U101" s="856"/>
      <c r="V101" s="880"/>
      <c r="W101" s="856"/>
      <c r="X101" s="856"/>
      <c r="Y101" s="854"/>
      <c r="Z101" s="854"/>
      <c r="AA101" s="862"/>
      <c r="AB101" s="856"/>
      <c r="AC101" s="856"/>
      <c r="AD101" s="493"/>
      <c r="AE101" s="862"/>
      <c r="AF101" s="854"/>
    </row>
    <row r="102" spans="1:32" ht="18.75" customHeight="1" x14ac:dyDescent="0.2">
      <c r="A102" s="863"/>
      <c r="B102" s="851"/>
      <c r="C102" s="850"/>
      <c r="D102" s="850"/>
      <c r="E102" s="854" t="s">
        <v>278</v>
      </c>
      <c r="F102" s="850"/>
      <c r="G102" s="856"/>
      <c r="H102" s="854"/>
      <c r="I102" s="854"/>
      <c r="J102" s="862"/>
      <c r="K102" s="862"/>
      <c r="L102" s="862"/>
      <c r="M102" s="862"/>
      <c r="N102" s="862"/>
      <c r="O102" s="862"/>
      <c r="P102" s="448"/>
      <c r="Q102" s="448"/>
      <c r="R102" s="885"/>
      <c r="S102" s="885"/>
      <c r="T102" s="862"/>
      <c r="U102" s="856"/>
      <c r="V102" s="880"/>
      <c r="W102" s="856"/>
      <c r="X102" s="856"/>
      <c r="Y102" s="862"/>
      <c r="Z102" s="862"/>
      <c r="AA102" s="862"/>
      <c r="AB102" s="856"/>
      <c r="AC102" s="856"/>
      <c r="AD102" s="862"/>
      <c r="AE102" s="862"/>
      <c r="AF102" s="854"/>
    </row>
    <row r="103" spans="1:32" ht="18.75" customHeight="1" x14ac:dyDescent="0.2">
      <c r="A103" s="863">
        <v>80</v>
      </c>
      <c r="B103" s="461" t="s">
        <v>189</v>
      </c>
      <c r="C103" s="863" t="s">
        <v>46</v>
      </c>
      <c r="D103" s="863">
        <v>673</v>
      </c>
      <c r="E103" s="863" t="s">
        <v>190</v>
      </c>
      <c r="F103" s="863">
        <v>177.8</v>
      </c>
      <c r="G103" s="863"/>
      <c r="H103" s="863"/>
      <c r="I103" s="862"/>
      <c r="J103" s="862"/>
      <c r="K103" s="862"/>
      <c r="L103" s="862"/>
      <c r="M103" s="862"/>
      <c r="N103" s="862"/>
      <c r="O103" s="862"/>
      <c r="P103" s="448"/>
      <c r="Q103" s="448"/>
      <c r="R103" s="885"/>
      <c r="S103" s="885"/>
      <c r="T103" s="862"/>
      <c r="U103" s="856"/>
      <c r="V103" s="880"/>
      <c r="W103" s="856"/>
      <c r="X103" s="856"/>
      <c r="Y103" s="473"/>
      <c r="Z103" s="683"/>
      <c r="AA103" s="854"/>
      <c r="AB103" s="856"/>
      <c r="AC103" s="862"/>
      <c r="AD103" s="863"/>
      <c r="AE103" s="432"/>
      <c r="AF103" s="449"/>
    </row>
    <row r="104" spans="1:32" ht="18.75" customHeight="1" x14ac:dyDescent="0.3">
      <c r="A104" s="863">
        <v>81</v>
      </c>
      <c r="B104" s="461" t="s">
        <v>181</v>
      </c>
      <c r="C104" s="684" t="s">
        <v>344</v>
      </c>
      <c r="D104" s="863">
        <v>374.5</v>
      </c>
      <c r="E104" s="863" t="s">
        <v>182</v>
      </c>
      <c r="F104" s="863">
        <v>177.8</v>
      </c>
      <c r="G104" s="863"/>
      <c r="H104" s="863"/>
      <c r="I104" s="862"/>
      <c r="J104" s="863"/>
      <c r="K104" s="863"/>
      <c r="L104" s="863"/>
      <c r="M104" s="863"/>
      <c r="N104" s="668"/>
      <c r="O104" s="863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863"/>
      <c r="AE104" s="432"/>
      <c r="AF104" s="449"/>
    </row>
    <row r="105" spans="1:32" ht="18.75" customHeight="1" x14ac:dyDescent="0.2">
      <c r="A105" s="863">
        <v>82</v>
      </c>
      <c r="B105" s="461" t="s">
        <v>174</v>
      </c>
      <c r="C105" s="863" t="s">
        <v>46</v>
      </c>
      <c r="D105" s="863">
        <v>672</v>
      </c>
      <c r="E105" s="863" t="s">
        <v>175</v>
      </c>
      <c r="F105" s="863">
        <v>177.8</v>
      </c>
      <c r="G105" s="863"/>
      <c r="H105" s="863"/>
      <c r="I105" s="862"/>
      <c r="J105" s="863"/>
      <c r="K105" s="863"/>
      <c r="L105" s="863"/>
      <c r="M105" s="863"/>
      <c r="N105" s="668"/>
      <c r="O105" s="863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863"/>
      <c r="AE105" s="432"/>
      <c r="AF105" s="449"/>
    </row>
    <row r="106" spans="1:32" ht="18.75" customHeight="1" x14ac:dyDescent="0.2">
      <c r="A106" s="863">
        <v>83</v>
      </c>
      <c r="B106" s="855" t="s">
        <v>103</v>
      </c>
      <c r="C106" s="863" t="s">
        <v>46</v>
      </c>
      <c r="D106" s="862">
        <v>582</v>
      </c>
      <c r="E106" s="862" t="s">
        <v>112</v>
      </c>
      <c r="F106" s="863">
        <v>177.8</v>
      </c>
      <c r="G106" s="863"/>
      <c r="H106" s="863"/>
      <c r="I106" s="862"/>
      <c r="J106" s="862"/>
      <c r="K106" s="862"/>
      <c r="L106" s="862"/>
      <c r="M106" s="862"/>
      <c r="N106" s="862"/>
      <c r="O106" s="862"/>
      <c r="P106" s="448"/>
      <c r="Q106" s="448"/>
      <c r="R106" s="885"/>
      <c r="S106" s="885"/>
      <c r="T106" s="862"/>
      <c r="U106" s="856"/>
      <c r="V106" s="880"/>
      <c r="W106" s="856"/>
      <c r="X106" s="421"/>
      <c r="Y106" s="492"/>
      <c r="Z106" s="862"/>
      <c r="AA106" s="862"/>
      <c r="AB106" s="856"/>
      <c r="AC106" s="862"/>
      <c r="AD106" s="493"/>
      <c r="AE106" s="437"/>
      <c r="AF106" s="449"/>
    </row>
    <row r="107" spans="1:32" ht="18.75" customHeight="1" x14ac:dyDescent="0.2">
      <c r="A107" s="863">
        <v>84</v>
      </c>
      <c r="B107" s="863" t="s">
        <v>57</v>
      </c>
      <c r="C107" s="857" t="s">
        <v>314</v>
      </c>
      <c r="D107" s="863">
        <v>376.58</v>
      </c>
      <c r="E107" s="461" t="s">
        <v>93</v>
      </c>
      <c r="F107" s="863">
        <v>177.8</v>
      </c>
      <c r="G107" s="863"/>
      <c r="H107" s="863"/>
      <c r="I107" s="862"/>
      <c r="J107" s="862"/>
      <c r="K107" s="862"/>
      <c r="L107" s="862"/>
      <c r="M107" s="862"/>
      <c r="N107" s="862"/>
      <c r="O107" s="862"/>
      <c r="P107" s="448"/>
      <c r="Q107" s="448"/>
      <c r="R107" s="885"/>
      <c r="S107" s="885"/>
      <c r="T107" s="862"/>
      <c r="U107" s="856"/>
      <c r="V107" s="880"/>
      <c r="W107" s="856"/>
      <c r="X107" s="421"/>
      <c r="Y107" s="492"/>
      <c r="Z107" s="862"/>
      <c r="AA107" s="862"/>
      <c r="AB107" s="856"/>
      <c r="AC107" s="862"/>
      <c r="AD107" s="493"/>
      <c r="AE107" s="437"/>
      <c r="AF107" s="449"/>
    </row>
    <row r="108" spans="1:32" ht="18.75" customHeight="1" x14ac:dyDescent="0.2">
      <c r="A108" s="863">
        <v>85</v>
      </c>
      <c r="B108" s="863" t="s">
        <v>184</v>
      </c>
      <c r="C108" s="857" t="s">
        <v>314</v>
      </c>
      <c r="D108" s="863">
        <v>422.78</v>
      </c>
      <c r="E108" s="461" t="s">
        <v>185</v>
      </c>
      <c r="F108" s="863">
        <v>177.8</v>
      </c>
      <c r="G108" s="863"/>
      <c r="H108" s="863"/>
      <c r="I108" s="432"/>
      <c r="J108" s="862"/>
      <c r="K108" s="862"/>
      <c r="L108" s="862"/>
      <c r="M108" s="862"/>
      <c r="N108" s="862"/>
      <c r="O108" s="862"/>
      <c r="P108" s="448"/>
      <c r="Q108" s="448"/>
      <c r="R108" s="885"/>
      <c r="S108" s="885"/>
      <c r="T108" s="862"/>
      <c r="U108" s="856"/>
      <c r="V108" s="880"/>
      <c r="W108" s="856"/>
      <c r="X108" s="421"/>
      <c r="Y108" s="492"/>
      <c r="Z108" s="862"/>
      <c r="AA108" s="862"/>
      <c r="AB108" s="856"/>
      <c r="AC108" s="862"/>
      <c r="AD108" s="493"/>
      <c r="AE108" s="437"/>
      <c r="AF108" s="449"/>
    </row>
    <row r="109" spans="1:32" ht="18.75" customHeight="1" x14ac:dyDescent="0.2">
      <c r="A109" s="863">
        <v>86</v>
      </c>
      <c r="B109" s="855" t="s">
        <v>220</v>
      </c>
      <c r="C109" s="863" t="s">
        <v>46</v>
      </c>
      <c r="D109" s="862">
        <v>685.69</v>
      </c>
      <c r="E109" s="862" t="s">
        <v>222</v>
      </c>
      <c r="F109" s="863">
        <v>177.8</v>
      </c>
      <c r="G109" s="863"/>
      <c r="H109" s="863"/>
      <c r="I109" s="862"/>
      <c r="J109" s="862"/>
      <c r="K109" s="862"/>
      <c r="L109" s="862"/>
      <c r="M109" s="862"/>
      <c r="N109" s="862"/>
      <c r="O109" s="862"/>
      <c r="P109" s="448"/>
      <c r="Q109" s="771"/>
      <c r="R109" s="885"/>
      <c r="S109" s="885"/>
      <c r="T109" s="862"/>
      <c r="U109" s="856"/>
      <c r="V109" s="880"/>
      <c r="W109" s="856"/>
      <c r="X109" s="421"/>
      <c r="Y109" s="492"/>
      <c r="Z109" s="862"/>
      <c r="AA109" s="862"/>
      <c r="AB109" s="856"/>
      <c r="AC109" s="862"/>
      <c r="AD109" s="493"/>
      <c r="AE109" s="437"/>
      <c r="AF109" s="449"/>
    </row>
    <row r="110" spans="1:32" ht="18.75" customHeight="1" x14ac:dyDescent="0.2">
      <c r="A110" s="863"/>
      <c r="B110" s="851"/>
      <c r="C110" s="850"/>
      <c r="D110" s="850"/>
      <c r="E110" s="854" t="s">
        <v>469</v>
      </c>
      <c r="F110" s="850"/>
      <c r="G110" s="863"/>
      <c r="H110" s="863"/>
      <c r="I110" s="862"/>
      <c r="J110" s="863"/>
      <c r="K110" s="863"/>
      <c r="L110" s="863"/>
      <c r="M110" s="863"/>
      <c r="N110" s="668"/>
      <c r="O110" s="863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863"/>
      <c r="AE110" s="432"/>
      <c r="AF110" s="449"/>
    </row>
    <row r="111" spans="1:32" ht="18.75" customHeight="1" x14ac:dyDescent="0.2">
      <c r="A111" s="863">
        <v>87</v>
      </c>
      <c r="B111" s="461" t="s">
        <v>56</v>
      </c>
      <c r="C111" s="863" t="s">
        <v>46</v>
      </c>
      <c r="D111" s="863">
        <v>680.52</v>
      </c>
      <c r="E111" s="863" t="s">
        <v>92</v>
      </c>
      <c r="F111" s="863">
        <v>177.8</v>
      </c>
      <c r="G111" s="863"/>
      <c r="H111" s="863"/>
      <c r="I111" s="862"/>
      <c r="J111" s="863"/>
      <c r="K111" s="863"/>
      <c r="L111" s="863"/>
      <c r="M111" s="863"/>
      <c r="N111" s="668"/>
      <c r="O111" s="863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863"/>
      <c r="AE111" s="432"/>
      <c r="AF111" s="449"/>
    </row>
    <row r="112" spans="1:32" ht="18.75" customHeight="1" x14ac:dyDescent="0.2">
      <c r="A112" s="863"/>
      <c r="B112" s="461"/>
      <c r="C112" s="863"/>
      <c r="D112" s="863"/>
      <c r="E112" s="863"/>
      <c r="F112" s="863"/>
      <c r="G112" s="863"/>
      <c r="H112" s="863"/>
      <c r="I112" s="862"/>
      <c r="J112" s="863"/>
      <c r="K112" s="863"/>
      <c r="L112" s="863"/>
      <c r="M112" s="863"/>
      <c r="N112" s="668"/>
      <c r="O112" s="863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863"/>
      <c r="AE112" s="432"/>
      <c r="AF112" s="449"/>
    </row>
    <row r="113" spans="1:32" ht="18.75" x14ac:dyDescent="0.25">
      <c r="A113" s="870"/>
      <c r="B113" s="863"/>
      <c r="C113" s="863"/>
      <c r="D113" s="863"/>
      <c r="E113" s="461"/>
      <c r="F113" s="863"/>
      <c r="G113" s="863"/>
      <c r="H113" s="863"/>
      <c r="I113" s="862"/>
      <c r="J113" s="863"/>
      <c r="K113" s="863"/>
      <c r="L113" s="863"/>
      <c r="M113" s="863"/>
      <c r="N113" s="668"/>
      <c r="O113" s="863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863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858"/>
      <c r="G114" s="863"/>
      <c r="H114" s="863"/>
      <c r="I114" s="432"/>
      <c r="J114" s="863"/>
      <c r="K114" s="858"/>
      <c r="L114" s="863"/>
      <c r="M114" s="858"/>
      <c r="N114" s="668"/>
      <c r="O114" s="858"/>
      <c r="P114" s="682"/>
      <c r="Q114" s="774"/>
      <c r="R114" s="466">
        <f>R78+R95+R87</f>
        <v>438.39600000000007</v>
      </c>
      <c r="S114" s="466">
        <f>S78+S95+S87</f>
        <v>900.10699999999997</v>
      </c>
      <c r="T114" s="678">
        <f>T78+T95+T87</f>
        <v>13950.9</v>
      </c>
      <c r="U114" s="466">
        <f>T114/R114</f>
        <v>31.822598746338919</v>
      </c>
      <c r="V114" s="466"/>
      <c r="W114" s="466"/>
      <c r="X114" s="466"/>
      <c r="Y114" s="466">
        <f>Y78+Y95+Y87</f>
        <v>431.82006000000001</v>
      </c>
      <c r="Z114" s="466">
        <f>Z78+Z95+Z87</f>
        <v>885.91239499999983</v>
      </c>
      <c r="AA114" s="678">
        <f>AA78+AA95+AA87</f>
        <v>13741.636500000001</v>
      </c>
      <c r="AB114" s="466">
        <f>AB78+AB95+AB87</f>
        <v>107.10025489537281</v>
      </c>
      <c r="AC114" s="466"/>
      <c r="AD114" s="466"/>
      <c r="AE114" s="686">
        <f>AE78+AE95+AE87</f>
        <v>12845.113140000001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12202.857483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865"/>
      <c r="Y117" s="865"/>
      <c r="Z117" s="865"/>
      <c r="AA117" s="865"/>
      <c r="AB117" s="865"/>
      <c r="AC117" s="865"/>
      <c r="AD117" s="865"/>
      <c r="AE117" s="865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865" t="s">
        <v>282</v>
      </c>
      <c r="AC118" s="865"/>
      <c r="AD118" s="865"/>
      <c r="AE118" s="865"/>
      <c r="AF118" s="865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4:E114"/>
    <mergeCell ref="K116:M116"/>
    <mergeCell ref="AB13:AB14"/>
    <mergeCell ref="AC13:AC14"/>
  </mergeCells>
  <pageMargins left="0.7" right="0.7" top="0.75" bottom="0.75" header="0.3" footer="0.3"/>
  <pageSetup paperSize="9" orientation="portrait" r:id="rId1"/>
  <ignoredErrors>
    <ignoredError sqref="Q18" formula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F118"/>
  <sheetViews>
    <sheetView topLeftCell="A11" zoomScale="66" zoomScaleNormal="66" workbookViewId="0">
      <pane xSplit="2" ySplit="4" topLeftCell="C105" activePane="bottomRight" state="frozen"/>
      <selection activeCell="A11" sqref="A11"/>
      <selection pane="topRight" activeCell="C11" sqref="C11"/>
      <selection pane="bottomLeft" activeCell="A15" sqref="A15"/>
      <selection pane="bottomRight" activeCell="Y82" sqref="Y82:AE82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9.28515625" style="666" bestFit="1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6" width="9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900"/>
      <c r="G2" s="894"/>
      <c r="H2" s="894"/>
      <c r="I2" s="900"/>
      <c r="J2" s="1909" t="s">
        <v>486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900"/>
      <c r="Y2" s="900"/>
      <c r="Z2" s="900"/>
      <c r="AA2" s="900"/>
      <c r="AB2" s="900"/>
      <c r="AC2" s="900"/>
      <c r="AD2" s="900"/>
      <c r="AE2" s="900"/>
      <c r="AF2" s="405"/>
    </row>
    <row r="3" spans="1:32" ht="18.75" x14ac:dyDescent="0.2">
      <c r="A3" s="1910" t="s">
        <v>54</v>
      </c>
      <c r="B3" s="1910"/>
      <c r="C3" s="1910"/>
      <c r="D3" s="1910"/>
      <c r="E3" s="900"/>
      <c r="F3" s="900"/>
      <c r="G3" s="894"/>
      <c r="H3" s="901"/>
      <c r="I3" s="901"/>
      <c r="J3" s="901"/>
      <c r="K3" s="901"/>
      <c r="L3" s="914"/>
      <c r="M3" s="901"/>
      <c r="N3" s="914"/>
      <c r="O3" s="901"/>
      <c r="P3" s="901"/>
      <c r="Q3" s="767"/>
      <c r="R3" s="921"/>
      <c r="S3" s="921"/>
      <c r="T3" s="921"/>
      <c r="U3" s="900"/>
      <c r="V3" s="915"/>
      <c r="W3" s="900"/>
      <c r="X3" s="900"/>
      <c r="Y3" s="900"/>
      <c r="Z3" s="900"/>
      <c r="AA3" s="900"/>
      <c r="AB3" s="900"/>
      <c r="AC3" s="900"/>
      <c r="AD3" s="900"/>
      <c r="AE3" s="900"/>
      <c r="AF3" s="408" t="s">
        <v>55</v>
      </c>
    </row>
    <row r="4" spans="1:32" ht="18.75" x14ac:dyDescent="0.2">
      <c r="A4" s="895"/>
      <c r="B4" s="895"/>
      <c r="C4" s="895"/>
      <c r="D4" s="895"/>
      <c r="E4" s="900"/>
      <c r="F4" s="900"/>
      <c r="G4" s="894"/>
      <c r="H4" s="901"/>
      <c r="I4" s="901"/>
      <c r="J4" s="901"/>
      <c r="K4" s="901"/>
      <c r="L4" s="914"/>
      <c r="M4" s="901"/>
      <c r="N4" s="914"/>
      <c r="O4" s="901"/>
      <c r="P4" s="901"/>
      <c r="Q4" s="767"/>
      <c r="R4" s="921"/>
      <c r="S4" s="921"/>
      <c r="T4" s="921"/>
      <c r="U4" s="900"/>
      <c r="V4" s="915"/>
      <c r="W4" s="900"/>
      <c r="X4" s="900"/>
      <c r="Y4" s="900"/>
      <c r="Z4" s="900"/>
      <c r="AA4" s="900"/>
      <c r="AB4" s="900"/>
      <c r="AC4" s="900"/>
      <c r="AD4" s="900"/>
      <c r="AE4" s="900"/>
      <c r="AF4" s="408"/>
    </row>
    <row r="5" spans="1:32" ht="18.75" x14ac:dyDescent="0.2">
      <c r="A5" s="896" t="s">
        <v>311</v>
      </c>
      <c r="B5" s="896"/>
      <c r="C5" s="896"/>
      <c r="D5" s="896"/>
      <c r="E5" s="896"/>
      <c r="F5" s="900"/>
      <c r="G5" s="894"/>
      <c r="H5" s="894"/>
      <c r="I5" s="901"/>
      <c r="J5" s="901"/>
      <c r="K5" s="901"/>
      <c r="L5" s="914"/>
      <c r="M5" s="901"/>
      <c r="N5" s="914"/>
      <c r="O5" s="901"/>
      <c r="P5" s="901"/>
      <c r="Q5" s="767"/>
      <c r="R5" s="922"/>
      <c r="S5" s="922"/>
      <c r="T5" s="922"/>
      <c r="U5" s="902"/>
      <c r="V5" s="916"/>
      <c r="W5" s="902"/>
      <c r="X5" s="900"/>
      <c r="Y5" s="900"/>
      <c r="Z5" s="900"/>
      <c r="AA5" s="900"/>
      <c r="AB5" s="900"/>
      <c r="AC5" s="900"/>
      <c r="AD5" s="900"/>
      <c r="AE5" s="900"/>
      <c r="AF5" s="411" t="s">
        <v>468</v>
      </c>
    </row>
    <row r="6" spans="1:32" ht="18.75" x14ac:dyDescent="0.2">
      <c r="A6" s="896" t="s">
        <v>428</v>
      </c>
      <c r="B6" s="412"/>
      <c r="C6" s="412"/>
      <c r="D6" s="412"/>
      <c r="E6" s="900"/>
      <c r="F6" s="900"/>
      <c r="G6" s="894"/>
      <c r="H6" s="894"/>
      <c r="I6" s="900"/>
      <c r="J6" s="900"/>
      <c r="K6" s="894"/>
      <c r="L6" s="910"/>
      <c r="M6" s="900"/>
      <c r="N6" s="915"/>
      <c r="O6" s="900"/>
      <c r="P6" s="413"/>
      <c r="Q6" s="768"/>
      <c r="R6" s="921"/>
      <c r="S6" s="921"/>
      <c r="T6" s="921"/>
      <c r="U6" s="900"/>
      <c r="V6" s="915"/>
      <c r="W6" s="900"/>
      <c r="X6" s="900"/>
      <c r="Y6" s="900"/>
      <c r="Z6" s="900"/>
      <c r="AA6" s="900"/>
      <c r="AB6" s="900"/>
      <c r="AC6" s="900"/>
      <c r="AD6" s="900"/>
      <c r="AE6" s="900"/>
      <c r="AF6" s="415" t="s">
        <v>429</v>
      </c>
    </row>
    <row r="7" spans="1:32" ht="18.75" x14ac:dyDescent="0.2">
      <c r="A7" s="900"/>
      <c r="B7" s="896"/>
      <c r="C7" s="896"/>
      <c r="D7" s="896"/>
      <c r="E7" s="900"/>
      <c r="F7" s="900"/>
      <c r="G7" s="894"/>
      <c r="H7" s="894"/>
      <c r="I7" s="405"/>
      <c r="J7" s="900"/>
      <c r="K7" s="894"/>
      <c r="L7" s="910"/>
      <c r="M7" s="900"/>
      <c r="N7" s="915"/>
      <c r="O7" s="900"/>
      <c r="P7" s="413"/>
      <c r="Q7" s="768"/>
      <c r="R7" s="921"/>
      <c r="S7" s="921"/>
      <c r="T7" s="921"/>
      <c r="U7" s="900"/>
      <c r="V7" s="915"/>
      <c r="W7" s="411"/>
      <c r="X7" s="900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900"/>
      <c r="G8" s="894"/>
      <c r="H8" s="894"/>
      <c r="I8" s="405"/>
      <c r="J8" s="900"/>
      <c r="K8" s="894"/>
      <c r="L8" s="910"/>
      <c r="M8" s="900"/>
      <c r="N8" s="915"/>
      <c r="O8" s="900"/>
      <c r="P8" s="413"/>
      <c r="Q8" s="768"/>
      <c r="R8" s="921"/>
      <c r="S8" s="921"/>
      <c r="T8" s="921"/>
      <c r="U8" s="900"/>
      <c r="V8" s="915"/>
      <c r="W8" s="411"/>
      <c r="X8" s="900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900"/>
      <c r="G9" s="894"/>
      <c r="H9" s="894"/>
      <c r="I9" s="405"/>
      <c r="J9" s="900"/>
      <c r="K9" s="894"/>
      <c r="L9" s="910"/>
      <c r="M9" s="900"/>
      <c r="N9" s="915"/>
      <c r="O9" s="900"/>
      <c r="P9" s="413"/>
      <c r="Q9" s="768"/>
      <c r="R9" s="921"/>
      <c r="S9" s="921"/>
      <c r="T9" s="921"/>
      <c r="U9" s="900"/>
      <c r="V9" s="915"/>
      <c r="W9" s="411"/>
      <c r="X9" s="900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900"/>
      <c r="G10" s="894"/>
      <c r="H10" s="894"/>
      <c r="I10" s="900"/>
      <c r="J10" s="900"/>
      <c r="K10" s="894"/>
      <c r="L10" s="910"/>
      <c r="M10" s="894"/>
      <c r="N10" s="910"/>
      <c r="O10" s="894"/>
      <c r="P10" s="894"/>
      <c r="Q10" s="769"/>
      <c r="R10" s="919"/>
      <c r="S10" s="919"/>
      <c r="T10" s="919"/>
      <c r="U10" s="894"/>
      <c r="V10" s="910"/>
      <c r="W10" s="900"/>
      <c r="X10" s="900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894"/>
      <c r="C11" s="894"/>
      <c r="D11" s="894"/>
      <c r="E11" s="900"/>
      <c r="F11" s="900"/>
      <c r="G11" s="894"/>
      <c r="H11" s="894"/>
      <c r="I11" s="405"/>
      <c r="J11" s="900"/>
      <c r="K11" s="894"/>
      <c r="L11" s="910"/>
      <c r="M11" s="900"/>
      <c r="N11" s="915"/>
      <c r="O11" s="900"/>
      <c r="P11" s="413"/>
      <c r="Q11" s="768"/>
      <c r="R11" s="921"/>
      <c r="S11" s="921"/>
      <c r="T11" s="921"/>
      <c r="U11" s="900"/>
      <c r="V11" s="915"/>
      <c r="W11" s="411"/>
      <c r="X11" s="900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891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891" t="s">
        <v>18</v>
      </c>
      <c r="AE13" s="891" t="s">
        <v>20</v>
      </c>
      <c r="AF13" s="1891" t="s">
        <v>21</v>
      </c>
    </row>
    <row r="14" spans="1:32" ht="37.5" x14ac:dyDescent="0.2">
      <c r="A14" s="1891"/>
      <c r="B14" s="1891"/>
      <c r="C14" s="1903"/>
      <c r="D14" s="897" t="s">
        <v>3</v>
      </c>
      <c r="E14" s="897" t="s">
        <v>3</v>
      </c>
      <c r="F14" s="897" t="s">
        <v>4</v>
      </c>
      <c r="G14" s="1903"/>
      <c r="H14" s="1903"/>
      <c r="I14" s="1891"/>
      <c r="J14" s="897" t="s">
        <v>7</v>
      </c>
      <c r="K14" s="897" t="s">
        <v>30</v>
      </c>
      <c r="L14" s="911" t="s">
        <v>29</v>
      </c>
      <c r="M14" s="897" t="s">
        <v>31</v>
      </c>
      <c r="N14" s="911" t="s">
        <v>32</v>
      </c>
      <c r="O14" s="897" t="s">
        <v>12</v>
      </c>
      <c r="P14" s="448" t="s">
        <v>13</v>
      </c>
      <c r="Q14" s="771" t="s">
        <v>26</v>
      </c>
      <c r="R14" s="920" t="s">
        <v>14</v>
      </c>
      <c r="S14" s="920" t="s">
        <v>25</v>
      </c>
      <c r="T14" s="920" t="s">
        <v>113</v>
      </c>
      <c r="U14" s="1903"/>
      <c r="V14" s="1903"/>
      <c r="W14" s="1903"/>
      <c r="X14" s="1903"/>
      <c r="Y14" s="897" t="s">
        <v>14</v>
      </c>
      <c r="Z14" s="897" t="s">
        <v>25</v>
      </c>
      <c r="AA14" s="897" t="s">
        <v>113</v>
      </c>
      <c r="AB14" s="1903"/>
      <c r="AC14" s="1903"/>
      <c r="AD14" s="897" t="s">
        <v>19</v>
      </c>
      <c r="AE14" s="897" t="s">
        <v>27</v>
      </c>
      <c r="AF14" s="1891"/>
    </row>
    <row r="15" spans="1:32" ht="18.75" customHeight="1" x14ac:dyDescent="0.2">
      <c r="A15" s="898">
        <v>1</v>
      </c>
      <c r="B15" s="461" t="s">
        <v>139</v>
      </c>
      <c r="C15" s="898" t="s">
        <v>46</v>
      </c>
      <c r="D15" s="898">
        <v>610.5</v>
      </c>
      <c r="E15" s="898" t="s">
        <v>203</v>
      </c>
      <c r="F15" s="898">
        <v>177.8</v>
      </c>
      <c r="G15" s="898" t="s">
        <v>28</v>
      </c>
      <c r="H15" s="452" t="s">
        <v>363</v>
      </c>
      <c r="I15" s="897">
        <v>558.54</v>
      </c>
      <c r="J15" s="898">
        <v>175</v>
      </c>
      <c r="K15" s="898"/>
      <c r="L15" s="913">
        <v>395</v>
      </c>
      <c r="M15" s="898"/>
      <c r="N15" s="913">
        <v>0.1</v>
      </c>
      <c r="O15" s="898"/>
      <c r="P15" s="668">
        <v>15.836080304349089</v>
      </c>
      <c r="Q15" s="668">
        <f>J15*7/100</f>
        <v>12.25</v>
      </c>
      <c r="R15" s="432">
        <v>2.1669999999999998</v>
      </c>
      <c r="S15" s="432">
        <v>6.8479999999999999</v>
      </c>
      <c r="T15" s="670">
        <v>5.4779999999999998</v>
      </c>
      <c r="U15" s="668">
        <f t="shared" ref="U15:U34" si="0">IF(R15=0,0,T15/R15)</f>
        <v>2.5279187817258886</v>
      </c>
      <c r="V15" s="668">
        <f>IF(S15=0,0,(S15-R15)/S15*100)</f>
        <v>68.355724299065429</v>
      </c>
      <c r="W15" s="668">
        <v>0.3</v>
      </c>
      <c r="X15" s="432">
        <f>IF(S15=0,0,S15/Q15)</f>
        <v>0.55902040816326526</v>
      </c>
      <c r="Y15" s="432">
        <f>R15*0.985</f>
        <v>2.1344949999999998</v>
      </c>
      <c r="Z15" s="432">
        <f>S15*0.985</f>
        <v>6.7452800000000002</v>
      </c>
      <c r="AA15" s="670">
        <f>T15*0.985</f>
        <v>5.3958300000000001</v>
      </c>
      <c r="AB15" s="432">
        <f>U15</f>
        <v>2.5279187817258886</v>
      </c>
      <c r="AC15" s="670">
        <f t="shared" ref="AC15:AC77" si="1">V15</f>
        <v>68.355724299065429</v>
      </c>
      <c r="AD15" s="898">
        <v>31</v>
      </c>
      <c r="AE15" s="432">
        <f>Y15*AD15</f>
        <v>66.169344999999993</v>
      </c>
      <c r="AF15" s="669"/>
    </row>
    <row r="16" spans="1:32" ht="18.75" customHeight="1" x14ac:dyDescent="0.2">
      <c r="A16" s="898">
        <v>2</v>
      </c>
      <c r="B16" s="461" t="s">
        <v>140</v>
      </c>
      <c r="C16" s="898" t="s">
        <v>46</v>
      </c>
      <c r="D16" s="898">
        <v>623.5</v>
      </c>
      <c r="E16" s="898" t="s">
        <v>480</v>
      </c>
      <c r="F16" s="898">
        <v>177.8</v>
      </c>
      <c r="G16" s="898" t="s">
        <v>28</v>
      </c>
      <c r="H16" s="898" t="s">
        <v>50</v>
      </c>
      <c r="I16" s="897">
        <v>579.27</v>
      </c>
      <c r="J16" s="898">
        <v>0</v>
      </c>
      <c r="K16" s="898"/>
      <c r="L16" s="913"/>
      <c r="M16" s="898"/>
      <c r="N16" s="913">
        <v>0</v>
      </c>
      <c r="O16" s="898"/>
      <c r="P16" s="668">
        <v>50.20708643624252</v>
      </c>
      <c r="Q16" s="668">
        <f t="shared" ref="Q16:Q39" si="2">LEFT(H16,(FIND("K",H16,1)-1))*J16/100</f>
        <v>0</v>
      </c>
      <c r="R16" s="432">
        <v>0</v>
      </c>
      <c r="S16" s="432">
        <v>0</v>
      </c>
      <c r="T16" s="670">
        <v>0</v>
      </c>
      <c r="U16" s="668">
        <f t="shared" si="0"/>
        <v>0</v>
      </c>
      <c r="V16" s="668">
        <f t="shared" ref="V16:V77" si="3">IF(S16=0,0,(S16-R16)/S16*100)</f>
        <v>0</v>
      </c>
      <c r="W16" s="668">
        <v>0</v>
      </c>
      <c r="X16" s="432">
        <f>IF(S16=0,0,S16/Q16)</f>
        <v>0</v>
      </c>
      <c r="Y16" s="432">
        <f t="shared" ref="Y16:AA77" si="4">R16*0.985</f>
        <v>0</v>
      </c>
      <c r="Z16" s="432">
        <f t="shared" si="4"/>
        <v>0</v>
      </c>
      <c r="AA16" s="670">
        <f t="shared" si="4"/>
        <v>0</v>
      </c>
      <c r="AB16" s="432">
        <f t="shared" ref="AB16:AB77" si="5">U16</f>
        <v>0</v>
      </c>
      <c r="AC16" s="670">
        <f t="shared" si="1"/>
        <v>0</v>
      </c>
      <c r="AD16" s="898">
        <v>0</v>
      </c>
      <c r="AE16" s="432">
        <f t="shared" ref="AE16:AE59" si="6">Y16*AD16</f>
        <v>0</v>
      </c>
      <c r="AF16" s="669" t="s">
        <v>334</v>
      </c>
    </row>
    <row r="17" spans="1:32" ht="18.75" customHeight="1" x14ac:dyDescent="0.2">
      <c r="A17" s="898">
        <v>3</v>
      </c>
      <c r="B17" s="461" t="s">
        <v>141</v>
      </c>
      <c r="C17" s="898" t="s">
        <v>46</v>
      </c>
      <c r="D17" s="898">
        <v>670</v>
      </c>
      <c r="E17" s="898" t="s">
        <v>68</v>
      </c>
      <c r="F17" s="898">
        <v>177.8</v>
      </c>
      <c r="G17" s="898" t="s">
        <v>28</v>
      </c>
      <c r="H17" s="898" t="s">
        <v>218</v>
      </c>
      <c r="I17" s="897">
        <v>565.94000000000005</v>
      </c>
      <c r="J17" s="898">
        <v>210</v>
      </c>
      <c r="K17" s="898"/>
      <c r="L17" s="913">
        <v>488</v>
      </c>
      <c r="M17" s="898"/>
      <c r="N17" s="668">
        <v>7.6</v>
      </c>
      <c r="O17" s="898"/>
      <c r="P17" s="668">
        <v>12.247577406171724</v>
      </c>
      <c r="Q17" s="668">
        <f>LEFT(H17,(FIND("K",H17,1)-1))*J17/100</f>
        <v>67.2</v>
      </c>
      <c r="R17" s="432">
        <v>19.579999999999998</v>
      </c>
      <c r="S17" s="432">
        <v>30.164999999999999</v>
      </c>
      <c r="T17" s="670">
        <v>1963</v>
      </c>
      <c r="U17" s="668">
        <f t="shared" si="0"/>
        <v>100.25536261491318</v>
      </c>
      <c r="V17" s="668">
        <f t="shared" si="3"/>
        <v>35.090336482678602</v>
      </c>
      <c r="W17" s="668">
        <v>0.2</v>
      </c>
      <c r="X17" s="432">
        <f t="shared" ref="X17:X77" si="7">IF(S17=0,0,S17/Q17)</f>
        <v>0.44888392857142856</v>
      </c>
      <c r="Y17" s="432">
        <f t="shared" si="4"/>
        <v>19.286299999999997</v>
      </c>
      <c r="Z17" s="432">
        <f t="shared" si="4"/>
        <v>29.712524999999999</v>
      </c>
      <c r="AA17" s="670">
        <f t="shared" si="4"/>
        <v>1933.5550000000001</v>
      </c>
      <c r="AB17" s="432">
        <f t="shared" si="5"/>
        <v>100.25536261491318</v>
      </c>
      <c r="AC17" s="670">
        <f t="shared" si="1"/>
        <v>35.090336482678602</v>
      </c>
      <c r="AD17" s="898">
        <v>31</v>
      </c>
      <c r="AE17" s="432">
        <f>Y17*AD17</f>
        <v>597.87529999999992</v>
      </c>
      <c r="AF17" s="669"/>
    </row>
    <row r="18" spans="1:32" ht="18.75" customHeight="1" x14ac:dyDescent="0.2">
      <c r="A18" s="908">
        <v>4</v>
      </c>
      <c r="B18" s="461" t="s">
        <v>142</v>
      </c>
      <c r="C18" s="908" t="s">
        <v>46</v>
      </c>
      <c r="D18" s="908">
        <v>628</v>
      </c>
      <c r="E18" s="908" t="s">
        <v>481</v>
      </c>
      <c r="F18" s="908">
        <v>177.8</v>
      </c>
      <c r="G18" s="908" t="s">
        <v>28</v>
      </c>
      <c r="H18" s="831" t="s">
        <v>466</v>
      </c>
      <c r="I18" s="907">
        <v>541.28</v>
      </c>
      <c r="J18" s="908">
        <v>85</v>
      </c>
      <c r="K18" s="908"/>
      <c r="L18" s="913">
        <v>449</v>
      </c>
      <c r="M18" s="908"/>
      <c r="N18" s="668">
        <v>4.8</v>
      </c>
      <c r="O18" s="908"/>
      <c r="P18" s="668">
        <v>15.547178489483354</v>
      </c>
      <c r="Q18" s="668">
        <f>13*J18/100</f>
        <v>11.05</v>
      </c>
      <c r="R18" s="432">
        <v>3.7</v>
      </c>
      <c r="S18" s="432">
        <v>5.2</v>
      </c>
      <c r="T18" s="670">
        <v>26</v>
      </c>
      <c r="U18" s="668">
        <f t="shared" si="0"/>
        <v>7.0270270270270263</v>
      </c>
      <c r="V18" s="668">
        <f t="shared" si="3"/>
        <v>28.846153846153843</v>
      </c>
      <c r="W18" s="668">
        <v>0.2</v>
      </c>
      <c r="X18" s="432">
        <f t="shared" si="7"/>
        <v>0.47058823529411764</v>
      </c>
      <c r="Y18" s="432">
        <f t="shared" si="4"/>
        <v>3.6445000000000003</v>
      </c>
      <c r="Z18" s="432">
        <f t="shared" si="4"/>
        <v>5.1219999999999999</v>
      </c>
      <c r="AA18" s="670">
        <f t="shared" si="4"/>
        <v>25.61</v>
      </c>
      <c r="AB18" s="432">
        <f t="shared" si="5"/>
        <v>7.0270270270270263</v>
      </c>
      <c r="AC18" s="670">
        <f t="shared" si="1"/>
        <v>28.846153846153843</v>
      </c>
      <c r="AD18" s="908">
        <v>31</v>
      </c>
      <c r="AE18" s="432">
        <f t="shared" si="6"/>
        <v>112.97950000000002</v>
      </c>
      <c r="AF18" s="669"/>
    </row>
    <row r="19" spans="1:32" ht="18.75" customHeight="1" x14ac:dyDescent="0.2">
      <c r="A19" s="908">
        <v>5</v>
      </c>
      <c r="B19" s="461" t="s">
        <v>143</v>
      </c>
      <c r="C19" s="908" t="s">
        <v>46</v>
      </c>
      <c r="D19" s="908">
        <v>576.6</v>
      </c>
      <c r="E19" s="908" t="s">
        <v>70</v>
      </c>
      <c r="F19" s="908">
        <v>177.8</v>
      </c>
      <c r="G19" s="908" t="s">
        <v>28</v>
      </c>
      <c r="H19" s="550" t="s">
        <v>53</v>
      </c>
      <c r="I19" s="907">
        <v>546.04999999999995</v>
      </c>
      <c r="J19" s="908">
        <v>85</v>
      </c>
      <c r="K19" s="908"/>
      <c r="L19" s="913">
        <v>433</v>
      </c>
      <c r="M19" s="908"/>
      <c r="N19" s="913">
        <v>5.2</v>
      </c>
      <c r="O19" s="908"/>
      <c r="P19" s="668">
        <v>17.040541449460992</v>
      </c>
      <c r="Q19" s="668">
        <f t="shared" si="2"/>
        <v>11.05</v>
      </c>
      <c r="R19" s="432">
        <v>4.3</v>
      </c>
      <c r="S19" s="432">
        <v>4.7</v>
      </c>
      <c r="T19" s="670">
        <v>24</v>
      </c>
      <c r="U19" s="668">
        <f t="shared" si="0"/>
        <v>5.5813953488372094</v>
      </c>
      <c r="V19" s="668">
        <f t="shared" si="3"/>
        <v>8.5106382978723474</v>
      </c>
      <c r="W19" s="668">
        <v>0.2</v>
      </c>
      <c r="X19" s="432">
        <f t="shared" si="7"/>
        <v>0.42533936651583709</v>
      </c>
      <c r="Y19" s="432">
        <f t="shared" si="4"/>
        <v>4.2355</v>
      </c>
      <c r="Z19" s="432">
        <f t="shared" si="4"/>
        <v>4.6295000000000002</v>
      </c>
      <c r="AA19" s="670">
        <f t="shared" si="4"/>
        <v>23.64</v>
      </c>
      <c r="AB19" s="432">
        <f t="shared" si="5"/>
        <v>5.5813953488372094</v>
      </c>
      <c r="AC19" s="670">
        <f t="shared" si="1"/>
        <v>8.5106382978723474</v>
      </c>
      <c r="AD19" s="908">
        <v>31</v>
      </c>
      <c r="AE19" s="432">
        <f t="shared" si="6"/>
        <v>131.3005</v>
      </c>
      <c r="AF19" s="669"/>
    </row>
    <row r="20" spans="1:32" ht="18.75" customHeight="1" x14ac:dyDescent="0.2">
      <c r="A20" s="918">
        <v>6</v>
      </c>
      <c r="B20" s="461" t="s">
        <v>144</v>
      </c>
      <c r="C20" s="918" t="s">
        <v>46</v>
      </c>
      <c r="D20" s="918">
        <v>676.6</v>
      </c>
      <c r="E20" s="918" t="s">
        <v>460</v>
      </c>
      <c r="F20" s="918">
        <v>177.8</v>
      </c>
      <c r="G20" s="918" t="s">
        <v>28</v>
      </c>
      <c r="H20" s="918" t="s">
        <v>461</v>
      </c>
      <c r="I20" s="917">
        <v>567.16</v>
      </c>
      <c r="J20" s="918">
        <v>85</v>
      </c>
      <c r="K20" s="918"/>
      <c r="L20" s="918">
        <v>328</v>
      </c>
      <c r="M20" s="918"/>
      <c r="N20" s="918">
        <v>0.3</v>
      </c>
      <c r="O20" s="918"/>
      <c r="P20" s="668">
        <v>15.607717770948978</v>
      </c>
      <c r="Q20" s="668">
        <v>18.7</v>
      </c>
      <c r="R20" s="432">
        <v>3</v>
      </c>
      <c r="S20" s="432">
        <v>3.89</v>
      </c>
      <c r="T20" s="670">
        <v>0.7</v>
      </c>
      <c r="U20" s="668">
        <f t="shared" si="0"/>
        <v>0.23333333333333331</v>
      </c>
      <c r="V20" s="668">
        <f t="shared" si="3"/>
        <v>22.879177377892031</v>
      </c>
      <c r="W20" s="668">
        <v>0.2</v>
      </c>
      <c r="X20" s="432">
        <f t="shared" si="7"/>
        <v>0.20802139037433157</v>
      </c>
      <c r="Y20" s="432">
        <f t="shared" si="4"/>
        <v>2.9550000000000001</v>
      </c>
      <c r="Z20" s="432">
        <f t="shared" si="4"/>
        <v>3.8316500000000002</v>
      </c>
      <c r="AA20" s="670">
        <f t="shared" si="4"/>
        <v>0.6895</v>
      </c>
      <c r="AB20" s="432">
        <v>14.613</v>
      </c>
      <c r="AC20" s="670">
        <f t="shared" si="1"/>
        <v>22.879177377892031</v>
      </c>
      <c r="AD20" s="918">
        <v>31</v>
      </c>
      <c r="AE20" s="432">
        <f t="shared" si="6"/>
        <v>91.605000000000004</v>
      </c>
      <c r="AF20" s="669"/>
    </row>
    <row r="21" spans="1:32" ht="18.75" customHeight="1" x14ac:dyDescent="0.2">
      <c r="A21" s="913">
        <v>7</v>
      </c>
      <c r="B21" s="461" t="s">
        <v>145</v>
      </c>
      <c r="C21" s="913" t="s">
        <v>46</v>
      </c>
      <c r="D21" s="913" t="s">
        <v>47</v>
      </c>
      <c r="E21" s="913" t="s">
        <v>72</v>
      </c>
      <c r="F21" s="913">
        <v>177.8</v>
      </c>
      <c r="G21" s="913" t="s">
        <v>28</v>
      </c>
      <c r="H21" s="913" t="s">
        <v>52</v>
      </c>
      <c r="I21" s="911">
        <v>560</v>
      </c>
      <c r="J21" s="913">
        <v>190</v>
      </c>
      <c r="K21" s="913"/>
      <c r="L21" s="913">
        <v>447</v>
      </c>
      <c r="M21" s="913"/>
      <c r="N21" s="913">
        <v>5.6</v>
      </c>
      <c r="O21" s="913"/>
      <c r="P21" s="668">
        <v>16.861282773413169</v>
      </c>
      <c r="Q21" s="668">
        <f t="shared" si="2"/>
        <v>41.8</v>
      </c>
      <c r="R21" s="432">
        <v>11</v>
      </c>
      <c r="S21" s="432">
        <v>13.82</v>
      </c>
      <c r="T21" s="670">
        <v>114</v>
      </c>
      <c r="U21" s="668">
        <f t="shared" si="0"/>
        <v>10.363636363636363</v>
      </c>
      <c r="V21" s="668">
        <f t="shared" si="3"/>
        <v>20.405209840810421</v>
      </c>
      <c r="W21" s="668">
        <v>0.2</v>
      </c>
      <c r="X21" s="432">
        <f t="shared" si="7"/>
        <v>0.33062200956937804</v>
      </c>
      <c r="Y21" s="432">
        <f t="shared" si="4"/>
        <v>10.834999999999999</v>
      </c>
      <c r="Z21" s="432">
        <f t="shared" si="4"/>
        <v>13.6127</v>
      </c>
      <c r="AA21" s="670">
        <f t="shared" si="4"/>
        <v>112.28999999999999</v>
      </c>
      <c r="AB21" s="432">
        <f t="shared" si="5"/>
        <v>10.363636363636363</v>
      </c>
      <c r="AC21" s="670">
        <f t="shared" si="1"/>
        <v>20.405209840810421</v>
      </c>
      <c r="AD21" s="913">
        <v>31</v>
      </c>
      <c r="AE21" s="432">
        <f t="shared" si="6"/>
        <v>335.88499999999999</v>
      </c>
      <c r="AF21" s="669"/>
    </row>
    <row r="22" spans="1:32" ht="18.75" customHeight="1" x14ac:dyDescent="0.2">
      <c r="A22" s="908">
        <v>8</v>
      </c>
      <c r="B22" s="461" t="s">
        <v>146</v>
      </c>
      <c r="C22" s="908" t="s">
        <v>46</v>
      </c>
      <c r="D22" s="908">
        <v>764</v>
      </c>
      <c r="E22" s="436" t="s">
        <v>73</v>
      </c>
      <c r="F22" s="908">
        <v>177.8</v>
      </c>
      <c r="G22" s="908" t="s">
        <v>28</v>
      </c>
      <c r="H22" s="908" t="s">
        <v>52</v>
      </c>
      <c r="I22" s="437">
        <v>550</v>
      </c>
      <c r="J22" s="908">
        <v>155</v>
      </c>
      <c r="K22" s="906"/>
      <c r="L22" s="913">
        <v>440</v>
      </c>
      <c r="M22" s="906"/>
      <c r="N22" s="913">
        <v>5.7</v>
      </c>
      <c r="O22" s="906"/>
      <c r="P22" s="668">
        <v>18.127842294043901</v>
      </c>
      <c r="Q22" s="668">
        <f t="shared" si="2"/>
        <v>34.1</v>
      </c>
      <c r="R22" s="432">
        <v>7.3</v>
      </c>
      <c r="S22" s="432">
        <v>18.355</v>
      </c>
      <c r="T22" s="670">
        <v>36</v>
      </c>
      <c r="U22" s="668">
        <f t="shared" si="0"/>
        <v>4.9315068493150687</v>
      </c>
      <c r="V22" s="668">
        <f t="shared" si="3"/>
        <v>60.228820484881496</v>
      </c>
      <c r="W22" s="668">
        <v>0.2</v>
      </c>
      <c r="X22" s="432">
        <f t="shared" si="7"/>
        <v>0.53826979472140757</v>
      </c>
      <c r="Y22" s="432">
        <f t="shared" si="4"/>
        <v>7.1905000000000001</v>
      </c>
      <c r="Z22" s="432">
        <f t="shared" si="4"/>
        <v>18.079675000000002</v>
      </c>
      <c r="AA22" s="670">
        <f t="shared" si="4"/>
        <v>35.46</v>
      </c>
      <c r="AB22" s="432">
        <f t="shared" si="5"/>
        <v>4.9315068493150687</v>
      </c>
      <c r="AC22" s="670">
        <f t="shared" si="1"/>
        <v>60.228820484881496</v>
      </c>
      <c r="AD22" s="908">
        <v>31</v>
      </c>
      <c r="AE22" s="432">
        <f t="shared" si="6"/>
        <v>222.90550000000002</v>
      </c>
      <c r="AF22" s="669"/>
    </row>
    <row r="23" spans="1:32" ht="18.75" customHeight="1" x14ac:dyDescent="0.2">
      <c r="A23" s="908">
        <v>9</v>
      </c>
      <c r="B23" s="461" t="s">
        <v>147</v>
      </c>
      <c r="C23" s="908" t="s">
        <v>46</v>
      </c>
      <c r="D23" s="908">
        <v>650.1</v>
      </c>
      <c r="E23" s="908" t="s">
        <v>74</v>
      </c>
      <c r="F23" s="908">
        <v>177.8</v>
      </c>
      <c r="G23" s="908" t="s">
        <v>28</v>
      </c>
      <c r="H23" s="908" t="s">
        <v>52</v>
      </c>
      <c r="I23" s="907">
        <v>591.98</v>
      </c>
      <c r="J23" s="908">
        <v>150</v>
      </c>
      <c r="K23" s="908"/>
      <c r="L23" s="913">
        <v>456</v>
      </c>
      <c r="M23" s="908"/>
      <c r="N23" s="913">
        <v>2.8</v>
      </c>
      <c r="O23" s="908"/>
      <c r="P23" s="668">
        <v>13.420453432077231</v>
      </c>
      <c r="Q23" s="668">
        <f t="shared" si="2"/>
        <v>33</v>
      </c>
      <c r="R23" s="432">
        <v>5.8</v>
      </c>
      <c r="S23" s="432">
        <v>10</v>
      </c>
      <c r="T23" s="670">
        <v>36.6</v>
      </c>
      <c r="U23" s="668">
        <f t="shared" si="0"/>
        <v>6.3103448275862073</v>
      </c>
      <c r="V23" s="668">
        <f t="shared" si="3"/>
        <v>42.000000000000007</v>
      </c>
      <c r="W23" s="668">
        <v>0.2</v>
      </c>
      <c r="X23" s="432">
        <f t="shared" si="7"/>
        <v>0.30303030303030304</v>
      </c>
      <c r="Y23" s="432">
        <f t="shared" si="4"/>
        <v>5.7130000000000001</v>
      </c>
      <c r="Z23" s="432">
        <f t="shared" si="4"/>
        <v>9.85</v>
      </c>
      <c r="AA23" s="670">
        <f t="shared" si="4"/>
        <v>36.051000000000002</v>
      </c>
      <c r="AB23" s="432">
        <f t="shared" si="5"/>
        <v>6.3103448275862073</v>
      </c>
      <c r="AC23" s="670">
        <f t="shared" si="1"/>
        <v>42.000000000000007</v>
      </c>
      <c r="AD23" s="908">
        <v>31</v>
      </c>
      <c r="AE23" s="432">
        <f t="shared" si="6"/>
        <v>177.10300000000001</v>
      </c>
      <c r="AF23" s="669"/>
    </row>
    <row r="24" spans="1:32" ht="18.75" customHeight="1" x14ac:dyDescent="0.2">
      <c r="A24" s="908">
        <v>10</v>
      </c>
      <c r="B24" s="461" t="s">
        <v>148</v>
      </c>
      <c r="C24" s="908" t="s">
        <v>46</v>
      </c>
      <c r="D24" s="908">
        <v>640.20000000000005</v>
      </c>
      <c r="E24" s="908" t="s">
        <v>398</v>
      </c>
      <c r="F24" s="908">
        <v>177.8</v>
      </c>
      <c r="G24" s="908" t="s">
        <v>28</v>
      </c>
      <c r="H24" s="831" t="s">
        <v>466</v>
      </c>
      <c r="I24" s="907">
        <v>565.38</v>
      </c>
      <c r="J24" s="908">
        <v>90</v>
      </c>
      <c r="K24" s="908"/>
      <c r="L24" s="913">
        <v>487</v>
      </c>
      <c r="M24" s="908"/>
      <c r="N24" s="913">
        <v>0</v>
      </c>
      <c r="O24" s="908"/>
      <c r="P24" s="668">
        <v>7.9830556481404811</v>
      </c>
      <c r="Q24" s="668">
        <f>J24*13/100</f>
        <v>11.7</v>
      </c>
      <c r="R24" s="432">
        <v>2</v>
      </c>
      <c r="S24" s="432">
        <v>2.14</v>
      </c>
      <c r="T24" s="670">
        <v>0</v>
      </c>
      <c r="U24" s="668">
        <f t="shared" si="0"/>
        <v>0</v>
      </c>
      <c r="V24" s="668">
        <f t="shared" si="3"/>
        <v>6.5420560747663599</v>
      </c>
      <c r="W24" s="668">
        <v>0.2</v>
      </c>
      <c r="X24" s="432">
        <f t="shared" si="7"/>
        <v>0.18290598290598292</v>
      </c>
      <c r="Y24" s="432">
        <f t="shared" si="4"/>
        <v>1.97</v>
      </c>
      <c r="Z24" s="432">
        <f t="shared" si="4"/>
        <v>2.1078999999999999</v>
      </c>
      <c r="AA24" s="670">
        <f t="shared" si="4"/>
        <v>0</v>
      </c>
      <c r="AB24" s="432">
        <f t="shared" si="5"/>
        <v>0</v>
      </c>
      <c r="AC24" s="670">
        <f t="shared" si="1"/>
        <v>6.5420560747663599</v>
      </c>
      <c r="AD24" s="908">
        <v>31</v>
      </c>
      <c r="AE24" s="432">
        <f t="shared" si="6"/>
        <v>61.07</v>
      </c>
      <c r="AF24" s="669"/>
    </row>
    <row r="25" spans="1:32" ht="18.75" customHeight="1" x14ac:dyDescent="0.2">
      <c r="A25" s="908">
        <v>11</v>
      </c>
      <c r="B25" s="461" t="s">
        <v>149</v>
      </c>
      <c r="C25" s="908" t="s">
        <v>46</v>
      </c>
      <c r="D25" s="908">
        <v>606.29999999999995</v>
      </c>
      <c r="E25" s="908" t="s">
        <v>76</v>
      </c>
      <c r="F25" s="908">
        <v>177.8</v>
      </c>
      <c r="G25" s="908" t="s">
        <v>28</v>
      </c>
      <c r="H25" s="908" t="s">
        <v>52</v>
      </c>
      <c r="I25" s="907">
        <v>585.29999999999995</v>
      </c>
      <c r="J25" s="908">
        <v>360</v>
      </c>
      <c r="K25" s="908"/>
      <c r="L25" s="913">
        <v>260</v>
      </c>
      <c r="M25" s="908"/>
      <c r="N25" s="913">
        <v>5.4</v>
      </c>
      <c r="O25" s="908"/>
      <c r="P25" s="668">
        <v>33.938261883993626</v>
      </c>
      <c r="Q25" s="668">
        <f t="shared" si="2"/>
        <v>79.2</v>
      </c>
      <c r="R25" s="432">
        <v>0.5</v>
      </c>
      <c r="S25" s="432">
        <v>1.39</v>
      </c>
      <c r="T25" s="670">
        <v>2.2610000000000001</v>
      </c>
      <c r="U25" s="668">
        <f t="shared" si="0"/>
        <v>4.5220000000000002</v>
      </c>
      <c r="V25" s="668">
        <f t="shared" si="3"/>
        <v>64.02877697841727</v>
      </c>
      <c r="W25" s="668">
        <v>0.3</v>
      </c>
      <c r="X25" s="432">
        <f t="shared" si="7"/>
        <v>1.7550505050505049E-2</v>
      </c>
      <c r="Y25" s="432">
        <f t="shared" si="4"/>
        <v>0.49249999999999999</v>
      </c>
      <c r="Z25" s="432">
        <f t="shared" si="4"/>
        <v>1.3691499999999999</v>
      </c>
      <c r="AA25" s="670">
        <f t="shared" si="4"/>
        <v>2.2270850000000002</v>
      </c>
      <c r="AB25" s="432">
        <f t="shared" si="5"/>
        <v>4.5220000000000002</v>
      </c>
      <c r="AC25" s="670">
        <f t="shared" si="1"/>
        <v>64.02877697841727</v>
      </c>
      <c r="AD25" s="908">
        <v>31</v>
      </c>
      <c r="AE25" s="432">
        <f t="shared" si="6"/>
        <v>15.2675</v>
      </c>
      <c r="AF25" s="449"/>
    </row>
    <row r="26" spans="1:32" ht="18.75" customHeight="1" x14ac:dyDescent="0.2">
      <c r="A26" s="898">
        <v>12</v>
      </c>
      <c r="B26" s="461" t="s">
        <v>150</v>
      </c>
      <c r="C26" s="898" t="s">
        <v>46</v>
      </c>
      <c r="D26" s="898">
        <v>661</v>
      </c>
      <c r="E26" s="679" t="s">
        <v>433</v>
      </c>
      <c r="F26" s="898">
        <v>177.8</v>
      </c>
      <c r="G26" s="898" t="s">
        <v>28</v>
      </c>
      <c r="H26" s="898" t="s">
        <v>53</v>
      </c>
      <c r="I26" s="897">
        <v>555.72</v>
      </c>
      <c r="J26" s="898">
        <v>0</v>
      </c>
      <c r="K26" s="898"/>
      <c r="L26" s="913"/>
      <c r="M26" s="898"/>
      <c r="N26" s="913"/>
      <c r="O26" s="898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898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908">
        <v>13</v>
      </c>
      <c r="B27" s="461" t="s">
        <v>151</v>
      </c>
      <c r="C27" s="908" t="s">
        <v>46</v>
      </c>
      <c r="D27" s="908">
        <v>658.32</v>
      </c>
      <c r="E27" s="907" t="s">
        <v>298</v>
      </c>
      <c r="F27" s="908">
        <v>177.8</v>
      </c>
      <c r="G27" s="908" t="s">
        <v>28</v>
      </c>
      <c r="H27" s="908" t="s">
        <v>52</v>
      </c>
      <c r="I27" s="907">
        <v>552.47</v>
      </c>
      <c r="J27" s="908">
        <v>160</v>
      </c>
      <c r="K27" s="908"/>
      <c r="L27" s="913">
        <v>314</v>
      </c>
      <c r="M27" s="908"/>
      <c r="N27" s="913">
        <v>4.3</v>
      </c>
      <c r="O27" s="908"/>
      <c r="P27" s="668">
        <v>28.906194929180533</v>
      </c>
      <c r="Q27" s="668">
        <f t="shared" si="2"/>
        <v>35.200000000000003</v>
      </c>
      <c r="R27" s="432">
        <v>7.77</v>
      </c>
      <c r="S27" s="432">
        <v>23.6</v>
      </c>
      <c r="T27" s="670">
        <v>39.6</v>
      </c>
      <c r="U27" s="668">
        <f t="shared" si="0"/>
        <v>5.096525096525097</v>
      </c>
      <c r="V27" s="668">
        <f t="shared" si="3"/>
        <v>67.076271186440678</v>
      </c>
      <c r="W27" s="668">
        <v>0.3</v>
      </c>
      <c r="X27" s="432">
        <f t="shared" si="7"/>
        <v>0.67045454545454541</v>
      </c>
      <c r="Y27" s="432">
        <f t="shared" si="4"/>
        <v>7.6534499999999994</v>
      </c>
      <c r="Z27" s="432">
        <f t="shared" si="4"/>
        <v>23.246000000000002</v>
      </c>
      <c r="AA27" s="670">
        <f t="shared" si="4"/>
        <v>39.006</v>
      </c>
      <c r="AB27" s="432">
        <f t="shared" si="5"/>
        <v>5.096525096525097</v>
      </c>
      <c r="AC27" s="670">
        <f t="shared" si="1"/>
        <v>67.076271186440678</v>
      </c>
      <c r="AD27" s="908">
        <v>31</v>
      </c>
      <c r="AE27" s="432">
        <f t="shared" si="6"/>
        <v>237.25694999999999</v>
      </c>
      <c r="AF27" s="449"/>
    </row>
    <row r="28" spans="1:32" ht="18.75" customHeight="1" x14ac:dyDescent="0.2">
      <c r="A28" s="908">
        <v>14</v>
      </c>
      <c r="B28" s="461" t="s">
        <v>36</v>
      </c>
      <c r="C28" s="908" t="s">
        <v>46</v>
      </c>
      <c r="D28" s="908">
        <v>584.5</v>
      </c>
      <c r="E28" s="907" t="s">
        <v>79</v>
      </c>
      <c r="F28" s="908">
        <v>177.8</v>
      </c>
      <c r="G28" s="908" t="s">
        <v>28</v>
      </c>
      <c r="H28" s="908" t="s">
        <v>49</v>
      </c>
      <c r="I28" s="907">
        <v>525.03</v>
      </c>
      <c r="J28" s="908">
        <v>150</v>
      </c>
      <c r="K28" s="908"/>
      <c r="L28" s="913">
        <v>332</v>
      </c>
      <c r="M28" s="908"/>
      <c r="N28" s="913">
        <v>5.5</v>
      </c>
      <c r="O28" s="908"/>
      <c r="P28" s="668">
        <v>25.115770868959284</v>
      </c>
      <c r="Q28" s="668">
        <f t="shared" si="2"/>
        <v>48</v>
      </c>
      <c r="R28" s="432">
        <v>12.9</v>
      </c>
      <c r="S28" s="432">
        <v>25</v>
      </c>
      <c r="T28" s="670">
        <v>153</v>
      </c>
      <c r="U28" s="668">
        <f t="shared" si="0"/>
        <v>11.86046511627907</v>
      </c>
      <c r="V28" s="668">
        <f t="shared" si="3"/>
        <v>48.4</v>
      </c>
      <c r="W28" s="668">
        <v>0.2</v>
      </c>
      <c r="X28" s="432">
        <f t="shared" si="7"/>
        <v>0.52083333333333337</v>
      </c>
      <c r="Y28" s="432">
        <f t="shared" si="4"/>
        <v>12.7065</v>
      </c>
      <c r="Z28" s="432">
        <f t="shared" si="4"/>
        <v>24.625</v>
      </c>
      <c r="AA28" s="670">
        <f t="shared" si="4"/>
        <v>150.70499999999998</v>
      </c>
      <c r="AB28" s="432">
        <f t="shared" si="5"/>
        <v>11.86046511627907</v>
      </c>
      <c r="AC28" s="670">
        <f t="shared" si="1"/>
        <v>48.4</v>
      </c>
      <c r="AD28" s="908">
        <v>31</v>
      </c>
      <c r="AE28" s="432">
        <f t="shared" si="6"/>
        <v>393.9015</v>
      </c>
      <c r="AF28" s="669"/>
    </row>
    <row r="29" spans="1:32" ht="18.75" customHeight="1" x14ac:dyDescent="0.2">
      <c r="A29" s="908">
        <v>15</v>
      </c>
      <c r="B29" s="461" t="s">
        <v>152</v>
      </c>
      <c r="C29" s="908" t="s">
        <v>46</v>
      </c>
      <c r="D29" s="908">
        <v>565</v>
      </c>
      <c r="E29" s="907" t="s">
        <v>80</v>
      </c>
      <c r="F29" s="908">
        <v>177.8</v>
      </c>
      <c r="G29" s="908" t="s">
        <v>28</v>
      </c>
      <c r="H29" s="908" t="s">
        <v>399</v>
      </c>
      <c r="I29" s="437">
        <v>520.03</v>
      </c>
      <c r="J29" s="908">
        <v>295</v>
      </c>
      <c r="K29" s="908"/>
      <c r="L29" s="913">
        <v>408</v>
      </c>
      <c r="M29" s="908"/>
      <c r="N29" s="913">
        <v>8.5</v>
      </c>
      <c r="O29" s="908"/>
      <c r="P29" s="668">
        <v>20.686851572683619</v>
      </c>
      <c r="Q29" s="668">
        <f>J29*13/100</f>
        <v>38.35</v>
      </c>
      <c r="R29" s="432">
        <v>10.97</v>
      </c>
      <c r="S29" s="432">
        <v>24.98</v>
      </c>
      <c r="T29" s="670">
        <v>1369</v>
      </c>
      <c r="U29" s="668">
        <f t="shared" si="0"/>
        <v>124.79489516864174</v>
      </c>
      <c r="V29" s="668">
        <f t="shared" si="3"/>
        <v>56.084867894315451</v>
      </c>
      <c r="W29" s="668">
        <v>0.2</v>
      </c>
      <c r="X29" s="432">
        <f t="shared" si="7"/>
        <v>0.65136897001303784</v>
      </c>
      <c r="Y29" s="432">
        <f t="shared" si="4"/>
        <v>10.80545</v>
      </c>
      <c r="Z29" s="432">
        <f t="shared" si="4"/>
        <v>24.6053</v>
      </c>
      <c r="AA29" s="670">
        <f t="shared" si="4"/>
        <v>1348.4649999999999</v>
      </c>
      <c r="AB29" s="432">
        <f t="shared" si="5"/>
        <v>124.79489516864174</v>
      </c>
      <c r="AC29" s="670">
        <f t="shared" si="1"/>
        <v>56.084867894315451</v>
      </c>
      <c r="AD29" s="908">
        <v>31</v>
      </c>
      <c r="AE29" s="432">
        <f t="shared" si="6"/>
        <v>334.96895000000001</v>
      </c>
      <c r="AF29" s="669"/>
    </row>
    <row r="30" spans="1:32" ht="18.75" customHeight="1" x14ac:dyDescent="0.2">
      <c r="A30" s="908">
        <v>16</v>
      </c>
      <c r="B30" s="461" t="s">
        <v>37</v>
      </c>
      <c r="C30" s="908" t="s">
        <v>46</v>
      </c>
      <c r="D30" s="908">
        <v>670</v>
      </c>
      <c r="E30" s="908" t="s">
        <v>81</v>
      </c>
      <c r="F30" s="908">
        <v>177.8</v>
      </c>
      <c r="G30" s="908" t="s">
        <v>28</v>
      </c>
      <c r="H30" s="908" t="s">
        <v>48</v>
      </c>
      <c r="I30" s="907">
        <v>570.95000000000005</v>
      </c>
      <c r="J30" s="908">
        <v>95</v>
      </c>
      <c r="K30" s="908"/>
      <c r="L30" s="913">
        <v>440</v>
      </c>
      <c r="M30" s="908"/>
      <c r="N30" s="913">
        <v>4.5</v>
      </c>
      <c r="O30" s="908"/>
      <c r="P30" s="668">
        <v>17.974608978200617</v>
      </c>
      <c r="Q30" s="668">
        <f t="shared" si="2"/>
        <v>12.35</v>
      </c>
      <c r="R30" s="432">
        <v>3.16</v>
      </c>
      <c r="S30" s="432">
        <v>5.56</v>
      </c>
      <c r="T30" s="670">
        <v>13.6</v>
      </c>
      <c r="U30" s="668">
        <f t="shared" si="0"/>
        <v>4.3037974683544302</v>
      </c>
      <c r="V30" s="668">
        <f t="shared" si="3"/>
        <v>43.165467625899275</v>
      </c>
      <c r="W30" s="668">
        <v>0.3</v>
      </c>
      <c r="X30" s="432">
        <f t="shared" si="7"/>
        <v>0.45020242914979758</v>
      </c>
      <c r="Y30" s="432">
        <f t="shared" si="4"/>
        <v>3.1126</v>
      </c>
      <c r="Z30" s="432">
        <f t="shared" si="4"/>
        <v>5.4765999999999995</v>
      </c>
      <c r="AA30" s="670">
        <f t="shared" si="4"/>
        <v>13.395999999999999</v>
      </c>
      <c r="AB30" s="432">
        <f t="shared" si="5"/>
        <v>4.3037974683544302</v>
      </c>
      <c r="AC30" s="670">
        <f t="shared" si="1"/>
        <v>43.165467625899275</v>
      </c>
      <c r="AD30" s="908">
        <v>31</v>
      </c>
      <c r="AE30" s="432">
        <f>Y30*AD30</f>
        <v>96.490600000000001</v>
      </c>
      <c r="AF30" s="449"/>
    </row>
    <row r="31" spans="1:32" ht="18.75" customHeight="1" x14ac:dyDescent="0.2">
      <c r="A31" s="908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908" t="s">
        <v>401</v>
      </c>
      <c r="I31" s="461">
        <v>587.87</v>
      </c>
      <c r="J31" s="461">
        <v>150</v>
      </c>
      <c r="K31" s="461"/>
      <c r="L31" s="461">
        <v>492</v>
      </c>
      <c r="M31" s="461"/>
      <c r="N31" s="461">
        <v>7.5</v>
      </c>
      <c r="O31" s="461"/>
      <c r="P31" s="671">
        <v>13.973519805719942</v>
      </c>
      <c r="Q31" s="668">
        <f>J31*33/100</f>
        <v>49.5</v>
      </c>
      <c r="R31" s="672">
        <v>12.4</v>
      </c>
      <c r="S31" s="432">
        <v>19.853000000000002</v>
      </c>
      <c r="T31" s="699">
        <v>56</v>
      </c>
      <c r="U31" s="668">
        <f t="shared" si="0"/>
        <v>4.5161290322580641</v>
      </c>
      <c r="V31" s="668">
        <f t="shared" si="3"/>
        <v>37.54092580466429</v>
      </c>
      <c r="W31" s="671">
        <v>0.2</v>
      </c>
      <c r="X31" s="432">
        <f t="shared" si="7"/>
        <v>0.40107070707070708</v>
      </c>
      <c r="Y31" s="432">
        <f t="shared" si="4"/>
        <v>12.214</v>
      </c>
      <c r="Z31" s="432">
        <f t="shared" si="4"/>
        <v>19.555205000000001</v>
      </c>
      <c r="AA31" s="670">
        <f t="shared" si="4"/>
        <v>55.16</v>
      </c>
      <c r="AB31" s="672">
        <f t="shared" si="5"/>
        <v>4.5161290322580641</v>
      </c>
      <c r="AC31" s="699">
        <f t="shared" si="1"/>
        <v>37.54092580466429</v>
      </c>
      <c r="AD31" s="908">
        <v>31</v>
      </c>
      <c r="AE31" s="672">
        <f>Y31*AD31</f>
        <v>378.63400000000001</v>
      </c>
      <c r="AF31" s="461"/>
    </row>
    <row r="32" spans="1:32" ht="18.75" customHeight="1" x14ac:dyDescent="0.2">
      <c r="A32" s="908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908">
        <v>177.8</v>
      </c>
      <c r="G32" s="908" t="s">
        <v>28</v>
      </c>
      <c r="H32" s="908" t="s">
        <v>364</v>
      </c>
      <c r="I32" s="437">
        <v>565.79999999999995</v>
      </c>
      <c r="J32" s="908">
        <v>150</v>
      </c>
      <c r="K32" s="908"/>
      <c r="L32" s="913">
        <v>420</v>
      </c>
      <c r="M32" s="908"/>
      <c r="N32" s="913">
        <v>6</v>
      </c>
      <c r="O32" s="908"/>
      <c r="P32" s="668">
        <v>20.747440461903082</v>
      </c>
      <c r="Q32" s="668">
        <f>J32*13/100</f>
        <v>19.5</v>
      </c>
      <c r="R32" s="432">
        <v>2.2000000000000002</v>
      </c>
      <c r="S32" s="432">
        <v>4.78</v>
      </c>
      <c r="T32" s="670">
        <v>126</v>
      </c>
      <c r="U32" s="668">
        <f t="shared" si="0"/>
        <v>57.272727272727266</v>
      </c>
      <c r="V32" s="668">
        <f t="shared" si="3"/>
        <v>53.97489539748954</v>
      </c>
      <c r="W32" s="668">
        <v>0.2</v>
      </c>
      <c r="X32" s="432">
        <f t="shared" si="7"/>
        <v>0.24512820512820513</v>
      </c>
      <c r="Y32" s="432">
        <f t="shared" si="4"/>
        <v>2.1670000000000003</v>
      </c>
      <c r="Z32" s="432">
        <f t="shared" si="4"/>
        <v>4.7083000000000004</v>
      </c>
      <c r="AA32" s="670">
        <f t="shared" si="4"/>
        <v>124.11</v>
      </c>
      <c r="AB32" s="432">
        <v>0</v>
      </c>
      <c r="AC32" s="699">
        <f t="shared" si="1"/>
        <v>53.97489539748954</v>
      </c>
      <c r="AD32" s="908">
        <v>31</v>
      </c>
      <c r="AE32" s="672">
        <f>Y32*AD32</f>
        <v>67.177000000000007</v>
      </c>
      <c r="AF32" s="669"/>
    </row>
    <row r="33" spans="1:32" ht="18.75" customHeight="1" x14ac:dyDescent="0.2">
      <c r="A33" s="908">
        <v>19</v>
      </c>
      <c r="B33" s="461" t="s">
        <v>38</v>
      </c>
      <c r="C33" s="908" t="s">
        <v>46</v>
      </c>
      <c r="D33" s="668">
        <v>580</v>
      </c>
      <c r="E33" s="908" t="s">
        <v>84</v>
      </c>
      <c r="F33" s="908">
        <v>177.8</v>
      </c>
      <c r="G33" s="908" t="s">
        <v>28</v>
      </c>
      <c r="H33" s="908" t="s">
        <v>52</v>
      </c>
      <c r="I33" s="907">
        <v>565.38</v>
      </c>
      <c r="J33" s="908">
        <v>85</v>
      </c>
      <c r="K33" s="908"/>
      <c r="L33" s="913">
        <v>475</v>
      </c>
      <c r="M33" s="908"/>
      <c r="N33" s="913">
        <v>0.5</v>
      </c>
      <c r="O33" s="908"/>
      <c r="P33" s="668">
        <v>5.969321217997182</v>
      </c>
      <c r="Q33" s="668">
        <f t="shared" si="2"/>
        <v>18.7</v>
      </c>
      <c r="R33" s="432">
        <v>2.0299999999999998</v>
      </c>
      <c r="S33" s="432">
        <v>4.1500000000000004</v>
      </c>
      <c r="T33" s="670">
        <v>1.3</v>
      </c>
      <c r="U33" s="668">
        <f t="shared" si="0"/>
        <v>0.64039408866995085</v>
      </c>
      <c r="V33" s="668">
        <f t="shared" si="3"/>
        <v>51.0843373493976</v>
      </c>
      <c r="W33" s="668">
        <v>0.3</v>
      </c>
      <c r="X33" s="432">
        <f t="shared" si="7"/>
        <v>0.2219251336898396</v>
      </c>
      <c r="Y33" s="432">
        <f t="shared" si="4"/>
        <v>1.9995499999999997</v>
      </c>
      <c r="Z33" s="432">
        <f t="shared" si="4"/>
        <v>4.0877500000000007</v>
      </c>
      <c r="AA33" s="670">
        <f t="shared" si="4"/>
        <v>1.2805</v>
      </c>
      <c r="AB33" s="432">
        <f>U33</f>
        <v>0.64039408866995085</v>
      </c>
      <c r="AC33" s="699">
        <f t="shared" si="1"/>
        <v>51.0843373493976</v>
      </c>
      <c r="AD33" s="908">
        <v>31</v>
      </c>
      <c r="AE33" s="432">
        <f t="shared" si="6"/>
        <v>61.986049999999992</v>
      </c>
      <c r="AF33" s="669"/>
    </row>
    <row r="34" spans="1:32" ht="18.75" customHeight="1" x14ac:dyDescent="0.2">
      <c r="A34" s="908">
        <v>20</v>
      </c>
      <c r="B34" s="461" t="s">
        <v>39</v>
      </c>
      <c r="C34" s="908" t="s">
        <v>46</v>
      </c>
      <c r="D34" s="908">
        <v>728.6</v>
      </c>
      <c r="E34" s="908" t="s">
        <v>411</v>
      </c>
      <c r="F34" s="908">
        <v>177.8</v>
      </c>
      <c r="G34" s="908" t="s">
        <v>28</v>
      </c>
      <c r="H34" s="908" t="s">
        <v>380</v>
      </c>
      <c r="I34" s="907">
        <v>551.77</v>
      </c>
      <c r="J34" s="908">
        <v>350</v>
      </c>
      <c r="K34" s="908"/>
      <c r="L34" s="913">
        <v>458</v>
      </c>
      <c r="M34" s="908"/>
      <c r="N34" s="913">
        <v>2.5</v>
      </c>
      <c r="O34" s="908"/>
      <c r="P34" s="668">
        <v>12.649525390765755</v>
      </c>
      <c r="Q34" s="668">
        <f>J34*23/100</f>
        <v>80.5</v>
      </c>
      <c r="R34" s="432">
        <v>3.2440000000000002</v>
      </c>
      <c r="S34" s="432">
        <v>7.65</v>
      </c>
      <c r="T34" s="670">
        <v>105</v>
      </c>
      <c r="U34" s="668">
        <f t="shared" si="0"/>
        <v>32.367447595561032</v>
      </c>
      <c r="V34" s="668">
        <f t="shared" si="3"/>
        <v>57.594771241830067</v>
      </c>
      <c r="W34" s="668">
        <v>0.2</v>
      </c>
      <c r="X34" s="432">
        <f t="shared" si="7"/>
        <v>9.5031055900621123E-2</v>
      </c>
      <c r="Y34" s="432">
        <f t="shared" si="4"/>
        <v>3.1953400000000003</v>
      </c>
      <c r="Z34" s="432">
        <f t="shared" si="4"/>
        <v>7.5352500000000004</v>
      </c>
      <c r="AA34" s="670">
        <f t="shared" si="4"/>
        <v>103.425</v>
      </c>
      <c r="AB34" s="432">
        <f t="shared" si="5"/>
        <v>32.367447595561032</v>
      </c>
      <c r="AC34" s="699">
        <f t="shared" si="1"/>
        <v>57.594771241830067</v>
      </c>
      <c r="AD34" s="908">
        <v>31</v>
      </c>
      <c r="AE34" s="432">
        <f t="shared" si="6"/>
        <v>99.055540000000008</v>
      </c>
      <c r="AF34" s="669"/>
    </row>
    <row r="35" spans="1:32" ht="18.75" customHeight="1" x14ac:dyDescent="0.2">
      <c r="A35" s="898">
        <v>21</v>
      </c>
      <c r="B35" s="461" t="s">
        <v>40</v>
      </c>
      <c r="C35" s="898" t="s">
        <v>46</v>
      </c>
      <c r="D35" s="898">
        <v>679.7</v>
      </c>
      <c r="E35" s="898" t="s">
        <v>86</v>
      </c>
      <c r="F35" s="898">
        <v>177.8</v>
      </c>
      <c r="G35" s="898" t="s">
        <v>28</v>
      </c>
      <c r="H35" s="898" t="s">
        <v>379</v>
      </c>
      <c r="I35" s="897">
        <v>592.84</v>
      </c>
      <c r="J35" s="898"/>
      <c r="K35" s="898">
        <v>150</v>
      </c>
      <c r="L35" s="913"/>
      <c r="M35" s="898">
        <v>5.5</v>
      </c>
      <c r="N35" s="913"/>
      <c r="O35" s="898"/>
      <c r="P35" s="668">
        <v>43.445014230906118</v>
      </c>
      <c r="Q35" s="668">
        <f>J35*7/100</f>
        <v>0</v>
      </c>
      <c r="R35" s="432">
        <v>0</v>
      </c>
      <c r="S35" s="432">
        <v>0</v>
      </c>
      <c r="T35" s="670">
        <v>0</v>
      </c>
      <c r="U35" s="668">
        <f>IF(R35=0,0,T35/R35)</f>
        <v>0</v>
      </c>
      <c r="V35" s="668">
        <f t="shared" si="3"/>
        <v>0</v>
      </c>
      <c r="W35" s="668">
        <v>0</v>
      </c>
      <c r="X35" s="432">
        <f t="shared" si="7"/>
        <v>0</v>
      </c>
      <c r="Y35" s="432">
        <f t="shared" si="4"/>
        <v>0</v>
      </c>
      <c r="Z35" s="432">
        <f t="shared" si="4"/>
        <v>0</v>
      </c>
      <c r="AA35" s="670">
        <f t="shared" si="4"/>
        <v>0</v>
      </c>
      <c r="AB35" s="432">
        <f t="shared" si="5"/>
        <v>0</v>
      </c>
      <c r="AC35" s="699">
        <f t="shared" si="1"/>
        <v>0</v>
      </c>
      <c r="AD35" s="898">
        <v>0</v>
      </c>
      <c r="AE35" s="432">
        <f>Y35*AD35</f>
        <v>0</v>
      </c>
      <c r="AF35" s="449" t="s">
        <v>335</v>
      </c>
    </row>
    <row r="36" spans="1:32" ht="18.75" customHeight="1" x14ac:dyDescent="0.2">
      <c r="A36" s="908">
        <v>22</v>
      </c>
      <c r="B36" s="461" t="s">
        <v>41</v>
      </c>
      <c r="C36" s="908" t="s">
        <v>46</v>
      </c>
      <c r="D36" s="908">
        <v>573.70000000000005</v>
      </c>
      <c r="E36" s="908" t="s">
        <v>87</v>
      </c>
      <c r="F36" s="908">
        <v>177.8</v>
      </c>
      <c r="G36" s="908" t="s">
        <v>28</v>
      </c>
      <c r="H36" s="908" t="s">
        <v>52</v>
      </c>
      <c r="I36" s="907">
        <v>554.30999999999995</v>
      </c>
      <c r="J36" s="908">
        <v>317</v>
      </c>
      <c r="K36" s="908"/>
      <c r="L36" s="913">
        <v>471</v>
      </c>
      <c r="M36" s="908"/>
      <c r="N36" s="913">
        <v>5.7</v>
      </c>
      <c r="O36" s="908"/>
      <c r="P36" s="668">
        <v>12.949168590396276</v>
      </c>
      <c r="Q36" s="668">
        <f t="shared" si="2"/>
        <v>69.739999999999995</v>
      </c>
      <c r="R36" s="432">
        <v>8.8000000000000007</v>
      </c>
      <c r="S36" s="432">
        <v>10.5</v>
      </c>
      <c r="T36" s="670">
        <v>321.82600000000002</v>
      </c>
      <c r="U36" s="668">
        <f t="shared" ref="U36:U77" si="8">IF(R36=0,0,T36/R36)</f>
        <v>36.571136363636363</v>
      </c>
      <c r="V36" s="668">
        <f t="shared" si="3"/>
        <v>16.190476190476183</v>
      </c>
      <c r="W36" s="668">
        <v>0.2</v>
      </c>
      <c r="X36" s="432">
        <f t="shared" si="7"/>
        <v>0.15055921995985089</v>
      </c>
      <c r="Y36" s="432">
        <f t="shared" si="4"/>
        <v>8.668000000000001</v>
      </c>
      <c r="Z36" s="432">
        <f t="shared" si="4"/>
        <v>10.342499999999999</v>
      </c>
      <c r="AA36" s="670">
        <f t="shared" si="4"/>
        <v>316.99861000000004</v>
      </c>
      <c r="AB36" s="432">
        <v>89.536086956521729</v>
      </c>
      <c r="AC36" s="699">
        <f t="shared" si="1"/>
        <v>16.190476190476183</v>
      </c>
      <c r="AD36" s="908">
        <v>31</v>
      </c>
      <c r="AE36" s="432">
        <f t="shared" si="6"/>
        <v>268.70800000000003</v>
      </c>
      <c r="AF36" s="673"/>
    </row>
    <row r="37" spans="1:32" ht="18.75" customHeight="1" x14ac:dyDescent="0.2">
      <c r="A37" s="908">
        <v>23</v>
      </c>
      <c r="B37" s="461" t="s">
        <v>42</v>
      </c>
      <c r="C37" s="908" t="s">
        <v>46</v>
      </c>
      <c r="D37" s="908">
        <v>583.20000000000005</v>
      </c>
      <c r="E37" s="908" t="s">
        <v>434</v>
      </c>
      <c r="F37" s="908">
        <v>177.8</v>
      </c>
      <c r="G37" s="908" t="s">
        <v>28</v>
      </c>
      <c r="H37" s="908" t="s">
        <v>48</v>
      </c>
      <c r="I37" s="907">
        <v>565.09</v>
      </c>
      <c r="J37" s="908">
        <v>300</v>
      </c>
      <c r="K37" s="908"/>
      <c r="L37" s="913">
        <v>208</v>
      </c>
      <c r="M37" s="908"/>
      <c r="N37" s="913">
        <v>6</v>
      </c>
      <c r="O37" s="908"/>
      <c r="P37" s="668">
        <v>41.220102696981492</v>
      </c>
      <c r="Q37" s="668">
        <f t="shared" si="2"/>
        <v>39</v>
      </c>
      <c r="R37" s="432">
        <v>3.1</v>
      </c>
      <c r="S37" s="432">
        <v>9.57</v>
      </c>
      <c r="T37" s="670">
        <v>2.2610000000000001</v>
      </c>
      <c r="U37" s="668">
        <f t="shared" si="8"/>
        <v>0.72935483870967743</v>
      </c>
      <c r="V37" s="668">
        <f t="shared" si="3"/>
        <v>67.607105538140019</v>
      </c>
      <c r="W37" s="668">
        <v>0.3</v>
      </c>
      <c r="X37" s="432">
        <f t="shared" si="7"/>
        <v>0.2453846153846154</v>
      </c>
      <c r="Y37" s="432">
        <f t="shared" si="4"/>
        <v>3.0535000000000001</v>
      </c>
      <c r="Z37" s="432">
        <f t="shared" si="4"/>
        <v>9.4264500000000009</v>
      </c>
      <c r="AA37" s="670">
        <f t="shared" si="4"/>
        <v>2.2270850000000002</v>
      </c>
      <c r="AB37" s="432">
        <f t="shared" si="5"/>
        <v>0.72935483870967743</v>
      </c>
      <c r="AC37" s="670">
        <f t="shared" si="1"/>
        <v>67.607105538140019</v>
      </c>
      <c r="AD37" s="908">
        <v>31</v>
      </c>
      <c r="AE37" s="432">
        <f t="shared" si="6"/>
        <v>94.658500000000004</v>
      </c>
      <c r="AF37" s="449"/>
    </row>
    <row r="38" spans="1:32" ht="18.75" customHeight="1" x14ac:dyDescent="0.2">
      <c r="A38" s="908">
        <v>24</v>
      </c>
      <c r="B38" s="461" t="s">
        <v>43</v>
      </c>
      <c r="C38" s="908" t="s">
        <v>46</v>
      </c>
      <c r="D38" s="908">
        <v>682.7</v>
      </c>
      <c r="E38" s="908" t="s">
        <v>435</v>
      </c>
      <c r="F38" s="908">
        <v>177.8</v>
      </c>
      <c r="G38" s="908" t="s">
        <v>28</v>
      </c>
      <c r="H38" s="908" t="s">
        <v>399</v>
      </c>
      <c r="I38" s="446">
        <v>575.91</v>
      </c>
      <c r="J38" s="908">
        <v>200</v>
      </c>
      <c r="K38" s="908"/>
      <c r="L38" s="913">
        <v>255</v>
      </c>
      <c r="M38" s="908"/>
      <c r="N38" s="913">
        <v>5.0999999999999996</v>
      </c>
      <c r="O38" s="908"/>
      <c r="P38" s="668">
        <v>35.441003115862173</v>
      </c>
      <c r="Q38" s="668">
        <f>J38*13/100</f>
        <v>26</v>
      </c>
      <c r="R38" s="432">
        <v>5.3</v>
      </c>
      <c r="S38" s="432">
        <v>25</v>
      </c>
      <c r="T38" s="670">
        <v>60.347999999999999</v>
      </c>
      <c r="U38" s="668">
        <f t="shared" si="8"/>
        <v>11.386415094339624</v>
      </c>
      <c r="V38" s="668">
        <f t="shared" si="3"/>
        <v>78.8</v>
      </c>
      <c r="W38" s="668">
        <v>0.3</v>
      </c>
      <c r="X38" s="432">
        <f t="shared" si="7"/>
        <v>0.96153846153846156</v>
      </c>
      <c r="Y38" s="432">
        <f t="shared" si="4"/>
        <v>5.2204999999999995</v>
      </c>
      <c r="Z38" s="432">
        <f t="shared" si="4"/>
        <v>24.625</v>
      </c>
      <c r="AA38" s="670">
        <f t="shared" si="4"/>
        <v>59.442779999999999</v>
      </c>
      <c r="AB38" s="432">
        <f t="shared" si="5"/>
        <v>11.386415094339624</v>
      </c>
      <c r="AC38" s="670">
        <f t="shared" si="1"/>
        <v>78.8</v>
      </c>
      <c r="AD38" s="908">
        <v>31</v>
      </c>
      <c r="AE38" s="432">
        <f t="shared" si="6"/>
        <v>161.8355</v>
      </c>
      <c r="AF38" s="669"/>
    </row>
    <row r="39" spans="1:32" ht="18.75" customHeight="1" x14ac:dyDescent="0.2">
      <c r="A39" s="908">
        <v>25</v>
      </c>
      <c r="B39" s="461" t="s">
        <v>44</v>
      </c>
      <c r="C39" s="908" t="s">
        <v>46</v>
      </c>
      <c r="D39" s="908">
        <v>614.20000000000005</v>
      </c>
      <c r="E39" s="908" t="s">
        <v>90</v>
      </c>
      <c r="F39" s="908">
        <v>177.8</v>
      </c>
      <c r="G39" s="908" t="s">
        <v>28</v>
      </c>
      <c r="H39" s="908" t="s">
        <v>52</v>
      </c>
      <c r="I39" s="446">
        <v>573.37</v>
      </c>
      <c r="J39" s="908">
        <v>270</v>
      </c>
      <c r="K39" s="908"/>
      <c r="L39" s="913">
        <v>223</v>
      </c>
      <c r="M39" s="908"/>
      <c r="N39" s="913">
        <v>5.7</v>
      </c>
      <c r="O39" s="908"/>
      <c r="P39" s="668">
        <v>40.00592827967737</v>
      </c>
      <c r="Q39" s="668">
        <f t="shared" si="2"/>
        <v>59.4</v>
      </c>
      <c r="R39" s="432">
        <v>6.27</v>
      </c>
      <c r="S39" s="432">
        <v>41.8</v>
      </c>
      <c r="T39" s="670">
        <v>147</v>
      </c>
      <c r="U39" s="668">
        <f t="shared" si="8"/>
        <v>23.444976076555026</v>
      </c>
      <c r="V39" s="668">
        <f t="shared" si="3"/>
        <v>85.000000000000014</v>
      </c>
      <c r="W39" s="668">
        <v>0.3</v>
      </c>
      <c r="X39" s="432">
        <f t="shared" si="7"/>
        <v>0.70370370370370372</v>
      </c>
      <c r="Y39" s="432">
        <f t="shared" si="4"/>
        <v>6.1759499999999994</v>
      </c>
      <c r="Z39" s="432">
        <f t="shared" si="4"/>
        <v>41.172999999999995</v>
      </c>
      <c r="AA39" s="670">
        <f t="shared" si="4"/>
        <v>144.79499999999999</v>
      </c>
      <c r="AB39" s="432">
        <f t="shared" si="5"/>
        <v>23.444976076555026</v>
      </c>
      <c r="AC39" s="670">
        <f t="shared" si="1"/>
        <v>85.000000000000014</v>
      </c>
      <c r="AD39" s="908">
        <v>31</v>
      </c>
      <c r="AE39" s="432">
        <f t="shared" si="6"/>
        <v>191.45444999999998</v>
      </c>
      <c r="AF39" s="669"/>
    </row>
    <row r="40" spans="1:32" ht="18.75" customHeight="1" x14ac:dyDescent="0.2">
      <c r="A40" s="908">
        <v>26</v>
      </c>
      <c r="B40" s="461" t="s">
        <v>45</v>
      </c>
      <c r="C40" s="908" t="s">
        <v>46</v>
      </c>
      <c r="D40" s="908">
        <v>636.4</v>
      </c>
      <c r="E40" s="908" t="s">
        <v>91</v>
      </c>
      <c r="F40" s="908">
        <v>177.8</v>
      </c>
      <c r="G40" s="908" t="s">
        <v>28</v>
      </c>
      <c r="H40" s="908" t="s">
        <v>52</v>
      </c>
      <c r="I40" s="907">
        <v>592.95000000000005</v>
      </c>
      <c r="J40" s="908">
        <v>300</v>
      </c>
      <c r="K40" s="908"/>
      <c r="L40" s="913">
        <v>493</v>
      </c>
      <c r="M40" s="908"/>
      <c r="N40" s="913">
        <v>7.5</v>
      </c>
      <c r="O40" s="908"/>
      <c r="P40" s="668">
        <v>14.530272651900711</v>
      </c>
      <c r="Q40" s="668">
        <f>LEFT(H40,(FIND("K",H40,1)-1))*J40/100</f>
        <v>66</v>
      </c>
      <c r="R40" s="432">
        <v>14.5</v>
      </c>
      <c r="S40" s="432">
        <v>33.69</v>
      </c>
      <c r="T40" s="670">
        <v>320</v>
      </c>
      <c r="U40" s="668">
        <f t="shared" si="8"/>
        <v>22.068965517241381</v>
      </c>
      <c r="V40" s="668">
        <f t="shared" si="3"/>
        <v>56.960522410210743</v>
      </c>
      <c r="W40" s="668">
        <v>0.2</v>
      </c>
      <c r="X40" s="432">
        <f t="shared" si="7"/>
        <v>0.51045454545454538</v>
      </c>
      <c r="Y40" s="432">
        <f t="shared" si="4"/>
        <v>14.282500000000001</v>
      </c>
      <c r="Z40" s="432">
        <f t="shared" si="4"/>
        <v>33.184649999999998</v>
      </c>
      <c r="AA40" s="670">
        <f t="shared" si="4"/>
        <v>315.2</v>
      </c>
      <c r="AB40" s="432">
        <f t="shared" si="5"/>
        <v>22.068965517241381</v>
      </c>
      <c r="AC40" s="670">
        <f t="shared" si="1"/>
        <v>56.960522410210743</v>
      </c>
      <c r="AD40" s="908">
        <v>31</v>
      </c>
      <c r="AE40" s="432">
        <f t="shared" si="6"/>
        <v>442.75749999999999</v>
      </c>
      <c r="AF40" s="669"/>
    </row>
    <row r="41" spans="1:32" ht="18.75" customHeight="1" x14ac:dyDescent="0.2">
      <c r="A41" s="908">
        <v>27</v>
      </c>
      <c r="B41" s="461" t="s">
        <v>206</v>
      </c>
      <c r="C41" s="908" t="s">
        <v>46</v>
      </c>
      <c r="D41" s="908">
        <v>660.2</v>
      </c>
      <c r="E41" s="908" t="s">
        <v>436</v>
      </c>
      <c r="F41" s="908">
        <v>177.8</v>
      </c>
      <c r="G41" s="908" t="s">
        <v>28</v>
      </c>
      <c r="H41" s="908" t="s">
        <v>212</v>
      </c>
      <c r="I41" s="907">
        <v>547.63</v>
      </c>
      <c r="J41" s="908">
        <v>300</v>
      </c>
      <c r="K41" s="908"/>
      <c r="L41" s="913">
        <v>222</v>
      </c>
      <c r="M41" s="908"/>
      <c r="N41" s="913">
        <v>7.7</v>
      </c>
      <c r="O41" s="908"/>
      <c r="P41" s="668">
        <v>40.225821142356651</v>
      </c>
      <c r="Q41" s="668">
        <f t="shared" ref="Q41:Q73" si="9">LEFT(H41,(FIND("K",H41,1)-1))*J41/100</f>
        <v>24</v>
      </c>
      <c r="R41" s="432">
        <v>4.88</v>
      </c>
      <c r="S41" s="432">
        <v>12.613</v>
      </c>
      <c r="T41" s="670">
        <v>149</v>
      </c>
      <c r="U41" s="668">
        <f t="shared" si="8"/>
        <v>30.532786885245901</v>
      </c>
      <c r="V41" s="668">
        <f t="shared" si="3"/>
        <v>61.309759771664154</v>
      </c>
      <c r="W41" s="668">
        <v>0.3</v>
      </c>
      <c r="X41" s="432">
        <f t="shared" si="7"/>
        <v>0.52554166666666668</v>
      </c>
      <c r="Y41" s="432">
        <f t="shared" si="4"/>
        <v>4.8068</v>
      </c>
      <c r="Z41" s="432">
        <f t="shared" si="4"/>
        <v>12.423805</v>
      </c>
      <c r="AA41" s="670">
        <f t="shared" si="4"/>
        <v>146.76499999999999</v>
      </c>
      <c r="AB41" s="432">
        <f t="shared" si="5"/>
        <v>30.532786885245901</v>
      </c>
      <c r="AC41" s="670">
        <f t="shared" si="1"/>
        <v>61.309759771664154</v>
      </c>
      <c r="AD41" s="908">
        <v>31</v>
      </c>
      <c r="AE41" s="432">
        <f t="shared" si="6"/>
        <v>149.01079999999999</v>
      </c>
      <c r="AF41" s="669"/>
    </row>
    <row r="42" spans="1:32" ht="18.75" customHeight="1" x14ac:dyDescent="0.2">
      <c r="A42" s="908">
        <v>28</v>
      </c>
      <c r="B42" s="905" t="s">
        <v>161</v>
      </c>
      <c r="C42" s="908" t="s">
        <v>46</v>
      </c>
      <c r="D42" s="907">
        <v>677</v>
      </c>
      <c r="E42" s="679" t="s">
        <v>178</v>
      </c>
      <c r="F42" s="908">
        <v>177.8</v>
      </c>
      <c r="G42" s="908" t="s">
        <v>28</v>
      </c>
      <c r="H42" s="908" t="s">
        <v>52</v>
      </c>
      <c r="I42" s="907">
        <v>571.98</v>
      </c>
      <c r="J42" s="907">
        <v>120</v>
      </c>
      <c r="K42" s="907"/>
      <c r="L42" s="911">
        <v>202</v>
      </c>
      <c r="M42" s="907"/>
      <c r="N42" s="913">
        <v>5.4</v>
      </c>
      <c r="O42" s="907"/>
      <c r="P42" s="448">
        <v>38.285522759921058</v>
      </c>
      <c r="Q42" s="668">
        <f t="shared" si="9"/>
        <v>26.4</v>
      </c>
      <c r="R42" s="432">
        <v>10.54</v>
      </c>
      <c r="S42" s="432">
        <v>23.23</v>
      </c>
      <c r="T42" s="492">
        <v>284</v>
      </c>
      <c r="U42" s="668">
        <f t="shared" si="8"/>
        <v>26.944971537001901</v>
      </c>
      <c r="V42" s="668">
        <f t="shared" si="3"/>
        <v>54.627636676711155</v>
      </c>
      <c r="W42" s="668">
        <v>0.2</v>
      </c>
      <c r="X42" s="432">
        <f t="shared" si="7"/>
        <v>0.8799242424242425</v>
      </c>
      <c r="Y42" s="432">
        <f t="shared" si="4"/>
        <v>10.3819</v>
      </c>
      <c r="Z42" s="432">
        <f t="shared" si="4"/>
        <v>22.881550000000001</v>
      </c>
      <c r="AA42" s="670">
        <f t="shared" si="4"/>
        <v>279.74</v>
      </c>
      <c r="AB42" s="432">
        <f t="shared" si="5"/>
        <v>26.944971537001901</v>
      </c>
      <c r="AC42" s="670">
        <f t="shared" si="1"/>
        <v>54.627636676711155</v>
      </c>
      <c r="AD42" s="908">
        <v>31</v>
      </c>
      <c r="AE42" s="432">
        <f t="shared" si="6"/>
        <v>321.83890000000002</v>
      </c>
      <c r="AF42" s="449"/>
    </row>
    <row r="43" spans="1:32" ht="18.75" customHeight="1" x14ac:dyDescent="0.2">
      <c r="A43" s="908">
        <v>29</v>
      </c>
      <c r="B43" s="905" t="s">
        <v>162</v>
      </c>
      <c r="C43" s="908" t="s">
        <v>46</v>
      </c>
      <c r="D43" s="907">
        <v>676</v>
      </c>
      <c r="E43" s="679" t="s">
        <v>437</v>
      </c>
      <c r="F43" s="908">
        <v>177.8</v>
      </c>
      <c r="G43" s="908" t="s">
        <v>28</v>
      </c>
      <c r="H43" s="908" t="s">
        <v>50</v>
      </c>
      <c r="I43" s="907">
        <v>549.20000000000005</v>
      </c>
      <c r="J43" s="907">
        <v>150</v>
      </c>
      <c r="K43" s="907"/>
      <c r="L43" s="913">
        <v>426</v>
      </c>
      <c r="M43" s="907"/>
      <c r="N43" s="913">
        <v>3.7</v>
      </c>
      <c r="O43" s="907"/>
      <c r="P43" s="448">
        <v>8.3368419765821553</v>
      </c>
      <c r="Q43" s="668">
        <f t="shared" si="9"/>
        <v>9</v>
      </c>
      <c r="R43" s="432">
        <v>1.4690000000000001</v>
      </c>
      <c r="S43" s="432">
        <v>2.177</v>
      </c>
      <c r="T43" s="492">
        <v>6.67</v>
      </c>
      <c r="U43" s="668">
        <f t="shared" si="8"/>
        <v>4.5405037440435665</v>
      </c>
      <c r="V43" s="668">
        <f t="shared" si="3"/>
        <v>32.521819016995863</v>
      </c>
      <c r="W43" s="668">
        <v>0.5</v>
      </c>
      <c r="X43" s="432">
        <f t="shared" si="7"/>
        <v>0.2418888888888889</v>
      </c>
      <c r="Y43" s="432">
        <f t="shared" si="4"/>
        <v>1.4469650000000001</v>
      </c>
      <c r="Z43" s="432">
        <f t="shared" si="4"/>
        <v>2.1443449999999999</v>
      </c>
      <c r="AA43" s="670">
        <f t="shared" si="4"/>
        <v>6.5699499999999995</v>
      </c>
      <c r="AB43" s="432">
        <f t="shared" si="5"/>
        <v>4.5405037440435665</v>
      </c>
      <c r="AC43" s="670">
        <f t="shared" si="1"/>
        <v>32.521819016995863</v>
      </c>
      <c r="AD43" s="908">
        <v>31</v>
      </c>
      <c r="AE43" s="432">
        <f t="shared" si="6"/>
        <v>44.855915000000003</v>
      </c>
      <c r="AF43" s="449"/>
    </row>
    <row r="44" spans="1:32" ht="18.75" customHeight="1" x14ac:dyDescent="0.2">
      <c r="A44" s="908">
        <v>30</v>
      </c>
      <c r="B44" s="905" t="s">
        <v>163</v>
      </c>
      <c r="C44" s="908" t="s">
        <v>46</v>
      </c>
      <c r="D44" s="907">
        <v>597</v>
      </c>
      <c r="E44" s="908" t="s">
        <v>443</v>
      </c>
      <c r="F44" s="908">
        <v>177.8</v>
      </c>
      <c r="G44" s="908" t="s">
        <v>28</v>
      </c>
      <c r="H44" s="908" t="s">
        <v>48</v>
      </c>
      <c r="I44" s="907">
        <v>555.89</v>
      </c>
      <c r="J44" s="907">
        <v>265</v>
      </c>
      <c r="K44" s="907"/>
      <c r="L44" s="911">
        <v>379</v>
      </c>
      <c r="M44" s="907"/>
      <c r="N44" s="913">
        <v>4.2</v>
      </c>
      <c r="O44" s="907"/>
      <c r="P44" s="448">
        <v>22.447476915698665</v>
      </c>
      <c r="Q44" s="668">
        <f t="shared" si="9"/>
        <v>34.450000000000003</v>
      </c>
      <c r="R44" s="432">
        <v>1.2490000000000001</v>
      </c>
      <c r="S44" s="432">
        <v>4.2699999999999996</v>
      </c>
      <c r="T44" s="492">
        <v>2.3479999999999999</v>
      </c>
      <c r="U44" s="668">
        <f t="shared" si="8"/>
        <v>1.8799039231385106</v>
      </c>
      <c r="V44" s="668">
        <f t="shared" si="3"/>
        <v>70.749414519906324</v>
      </c>
      <c r="W44" s="668">
        <v>0.5</v>
      </c>
      <c r="X44" s="432">
        <f t="shared" si="7"/>
        <v>0.12394775036284468</v>
      </c>
      <c r="Y44" s="432">
        <f t="shared" si="4"/>
        <v>1.2302650000000002</v>
      </c>
      <c r="Z44" s="432">
        <f t="shared" si="4"/>
        <v>4.2059499999999996</v>
      </c>
      <c r="AA44" s="670">
        <f t="shared" si="4"/>
        <v>2.3127799999999996</v>
      </c>
      <c r="AB44" s="432">
        <f t="shared" si="5"/>
        <v>1.8799039231385106</v>
      </c>
      <c r="AC44" s="670">
        <f t="shared" si="1"/>
        <v>70.749414519906324</v>
      </c>
      <c r="AD44" s="908">
        <v>31</v>
      </c>
      <c r="AE44" s="432">
        <f t="shared" si="6"/>
        <v>38.138215000000002</v>
      </c>
      <c r="AF44" s="449"/>
    </row>
    <row r="45" spans="1:32" ht="18.75" customHeight="1" x14ac:dyDescent="0.2">
      <c r="A45" s="908">
        <v>31</v>
      </c>
      <c r="B45" s="461" t="s">
        <v>59</v>
      </c>
      <c r="C45" s="908" t="s">
        <v>46</v>
      </c>
      <c r="D45" s="908">
        <v>637.16</v>
      </c>
      <c r="E45" s="908" t="s">
        <v>454</v>
      </c>
      <c r="F45" s="908">
        <v>177.8</v>
      </c>
      <c r="G45" s="908" t="s">
        <v>28</v>
      </c>
      <c r="H45" s="908" t="s">
        <v>48</v>
      </c>
      <c r="I45" s="907">
        <v>536.89</v>
      </c>
      <c r="J45" s="908">
        <v>135</v>
      </c>
      <c r="K45" s="908"/>
      <c r="L45" s="913">
        <v>265</v>
      </c>
      <c r="M45" s="908"/>
      <c r="N45" s="913">
        <v>4.7</v>
      </c>
      <c r="O45" s="908"/>
      <c r="P45" s="668">
        <v>32.91593308430641</v>
      </c>
      <c r="Q45" s="668">
        <f t="shared" si="9"/>
        <v>17.55</v>
      </c>
      <c r="R45" s="432">
        <v>2.4449999999999998</v>
      </c>
      <c r="S45" s="432">
        <v>10.265000000000001</v>
      </c>
      <c r="T45" s="670">
        <v>155</v>
      </c>
      <c r="U45" s="668">
        <f t="shared" si="8"/>
        <v>63.394683026584872</v>
      </c>
      <c r="V45" s="668">
        <f t="shared" si="3"/>
        <v>76.181198246468583</v>
      </c>
      <c r="W45" s="668">
        <v>0.2</v>
      </c>
      <c r="X45" s="432">
        <f t="shared" si="7"/>
        <v>0.58490028490028489</v>
      </c>
      <c r="Y45" s="432">
        <f t="shared" si="4"/>
        <v>2.4083249999999996</v>
      </c>
      <c r="Z45" s="432">
        <f t="shared" si="4"/>
        <v>10.111025</v>
      </c>
      <c r="AA45" s="670">
        <f t="shared" si="4"/>
        <v>152.67500000000001</v>
      </c>
      <c r="AB45" s="432">
        <f>U45</f>
        <v>63.394683026584872</v>
      </c>
      <c r="AC45" s="670">
        <f t="shared" si="1"/>
        <v>76.181198246468583</v>
      </c>
      <c r="AD45" s="908">
        <v>31</v>
      </c>
      <c r="AE45" s="432">
        <f t="shared" si="6"/>
        <v>74.658074999999982</v>
      </c>
      <c r="AF45" s="449"/>
    </row>
    <row r="46" spans="1:32" ht="18.600000000000001" customHeight="1" x14ac:dyDescent="0.2">
      <c r="A46" s="908">
        <v>32</v>
      </c>
      <c r="B46" s="461" t="s">
        <v>207</v>
      </c>
      <c r="C46" s="908" t="s">
        <v>46</v>
      </c>
      <c r="D46" s="908">
        <v>673</v>
      </c>
      <c r="E46" s="908" t="s">
        <v>420</v>
      </c>
      <c r="F46" s="908">
        <v>177.8</v>
      </c>
      <c r="G46" s="908" t="s">
        <v>28</v>
      </c>
      <c r="H46" s="908" t="s">
        <v>50</v>
      </c>
      <c r="I46" s="907">
        <v>564.41999999999996</v>
      </c>
      <c r="J46" s="908">
        <v>215</v>
      </c>
      <c r="K46" s="908"/>
      <c r="L46" s="913">
        <v>201</v>
      </c>
      <c r="M46" s="908"/>
      <c r="N46" s="668">
        <v>0.1</v>
      </c>
      <c r="O46" s="908"/>
      <c r="P46" s="668">
        <v>36.052271596142027</v>
      </c>
      <c r="Q46" s="668">
        <f t="shared" si="9"/>
        <v>12.9</v>
      </c>
      <c r="R46" s="432">
        <v>2.5</v>
      </c>
      <c r="S46" s="432">
        <v>7.1</v>
      </c>
      <c r="T46" s="670">
        <v>2.7829999999999999</v>
      </c>
      <c r="U46" s="668">
        <f t="shared" si="8"/>
        <v>1.1132</v>
      </c>
      <c r="V46" s="668">
        <f t="shared" si="3"/>
        <v>64.788732394366207</v>
      </c>
      <c r="W46" s="668">
        <v>0.3</v>
      </c>
      <c r="X46" s="432">
        <f t="shared" si="7"/>
        <v>0.55038759689922478</v>
      </c>
      <c r="Y46" s="432">
        <f t="shared" si="4"/>
        <v>2.4624999999999999</v>
      </c>
      <c r="Z46" s="432">
        <f t="shared" si="4"/>
        <v>6.9934999999999992</v>
      </c>
      <c r="AA46" s="670">
        <f t="shared" si="4"/>
        <v>2.7412549999999998</v>
      </c>
      <c r="AB46" s="432">
        <f>U46</f>
        <v>1.1132</v>
      </c>
      <c r="AC46" s="670">
        <f t="shared" si="1"/>
        <v>64.788732394366207</v>
      </c>
      <c r="AD46" s="908">
        <v>31</v>
      </c>
      <c r="AE46" s="432">
        <f t="shared" si="6"/>
        <v>76.337499999999991</v>
      </c>
      <c r="AF46" s="449"/>
    </row>
    <row r="47" spans="1:32" ht="18.75" customHeight="1" x14ac:dyDescent="0.25">
      <c r="A47" s="898">
        <v>33</v>
      </c>
      <c r="B47" s="461" t="s">
        <v>196</v>
      </c>
      <c r="C47" s="898" t="s">
        <v>304</v>
      </c>
      <c r="D47" s="898">
        <v>641</v>
      </c>
      <c r="E47" s="898" t="s">
        <v>296</v>
      </c>
      <c r="F47" s="898">
        <v>177.8</v>
      </c>
      <c r="G47" s="898" t="s">
        <v>28</v>
      </c>
      <c r="H47" s="898" t="s">
        <v>50</v>
      </c>
      <c r="I47" s="897">
        <v>611.92999999999995</v>
      </c>
      <c r="J47" s="898">
        <v>0</v>
      </c>
      <c r="K47" s="898">
        <v>496</v>
      </c>
      <c r="L47" s="868"/>
      <c r="M47" s="668">
        <v>0.3</v>
      </c>
      <c r="N47" s="868"/>
      <c r="O47" s="898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898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908">
        <v>34</v>
      </c>
      <c r="B48" s="461" t="s">
        <v>60</v>
      </c>
      <c r="C48" s="908" t="s">
        <v>46</v>
      </c>
      <c r="D48" s="908">
        <v>638.9</v>
      </c>
      <c r="E48" s="908" t="s">
        <v>462</v>
      </c>
      <c r="F48" s="908">
        <v>177.8</v>
      </c>
      <c r="G48" s="908" t="s">
        <v>28</v>
      </c>
      <c r="H48" s="908" t="s">
        <v>48</v>
      </c>
      <c r="I48" s="907">
        <v>532.05999999999995</v>
      </c>
      <c r="J48" s="908">
        <v>120</v>
      </c>
      <c r="K48" s="908"/>
      <c r="L48" s="913">
        <v>379</v>
      </c>
      <c r="M48" s="908"/>
      <c r="N48" s="913">
        <v>5.3</v>
      </c>
      <c r="O48" s="908"/>
      <c r="P48" s="668">
        <v>21.409380727849801</v>
      </c>
      <c r="Q48" s="668">
        <f t="shared" si="9"/>
        <v>15.6</v>
      </c>
      <c r="R48" s="432">
        <v>6.0750000000000002</v>
      </c>
      <c r="S48" s="432">
        <v>10.4</v>
      </c>
      <c r="T48" s="670">
        <v>493</v>
      </c>
      <c r="U48" s="668">
        <f t="shared" si="8"/>
        <v>81.152263374485599</v>
      </c>
      <c r="V48" s="668">
        <f t="shared" si="3"/>
        <v>41.586538461538467</v>
      </c>
      <c r="W48" s="668">
        <v>0.2</v>
      </c>
      <c r="X48" s="432">
        <f t="shared" si="7"/>
        <v>0.66666666666666674</v>
      </c>
      <c r="Y48" s="432">
        <f t="shared" si="4"/>
        <v>5.9838750000000003</v>
      </c>
      <c r="Z48" s="432">
        <f t="shared" si="4"/>
        <v>10.244</v>
      </c>
      <c r="AA48" s="670">
        <f t="shared" si="4"/>
        <v>485.60500000000002</v>
      </c>
      <c r="AB48" s="432">
        <f t="shared" si="5"/>
        <v>81.152263374485599</v>
      </c>
      <c r="AC48" s="670">
        <f t="shared" si="1"/>
        <v>41.586538461538467</v>
      </c>
      <c r="AD48" s="908">
        <v>31</v>
      </c>
      <c r="AE48" s="432">
        <f t="shared" si="6"/>
        <v>185.500125</v>
      </c>
      <c r="AF48" s="449"/>
    </row>
    <row r="49" spans="1:32" ht="18.75" customHeight="1" x14ac:dyDescent="0.2">
      <c r="A49" s="898">
        <v>35</v>
      </c>
      <c r="B49" s="461" t="s">
        <v>119</v>
      </c>
      <c r="C49" s="898" t="s">
        <v>427</v>
      </c>
      <c r="D49" s="898">
        <v>654.07000000000005</v>
      </c>
      <c r="E49" s="898" t="s">
        <v>410</v>
      </c>
      <c r="F49" s="898">
        <v>177.8</v>
      </c>
      <c r="G49" s="898" t="s">
        <v>28</v>
      </c>
      <c r="H49" s="898" t="s">
        <v>399</v>
      </c>
      <c r="I49" s="897">
        <v>521.47</v>
      </c>
      <c r="J49" s="898">
        <v>0</v>
      </c>
      <c r="K49" s="898"/>
      <c r="L49" s="913">
        <v>478</v>
      </c>
      <c r="M49" s="898"/>
      <c r="N49" s="913">
        <v>0</v>
      </c>
      <c r="O49" s="898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898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908">
        <v>36</v>
      </c>
      <c r="B50" s="461" t="s">
        <v>118</v>
      </c>
      <c r="C50" s="908" t="s">
        <v>408</v>
      </c>
      <c r="D50" s="908">
        <v>728.77</v>
      </c>
      <c r="E50" s="908" t="s">
        <v>442</v>
      </c>
      <c r="F50" s="908">
        <v>177.8</v>
      </c>
      <c r="G50" s="908" t="s">
        <v>28</v>
      </c>
      <c r="H50" s="908" t="s">
        <v>52</v>
      </c>
      <c r="I50" s="907">
        <v>523.04999999999995</v>
      </c>
      <c r="J50" s="908">
        <v>100</v>
      </c>
      <c r="K50" s="908"/>
      <c r="L50" s="913">
        <v>335</v>
      </c>
      <c r="M50" s="908"/>
      <c r="N50" s="913">
        <v>6.3</v>
      </c>
      <c r="O50" s="908"/>
      <c r="P50" s="668">
        <v>27.178437045151931</v>
      </c>
      <c r="Q50" s="668">
        <f t="shared" si="9"/>
        <v>22</v>
      </c>
      <c r="R50" s="432">
        <v>2.3340000000000001</v>
      </c>
      <c r="S50" s="432">
        <v>8.1359999999999992</v>
      </c>
      <c r="T50" s="670">
        <v>22.390999999999998</v>
      </c>
      <c r="U50" s="668">
        <f t="shared" si="8"/>
        <v>9.5934018851756626</v>
      </c>
      <c r="V50" s="668">
        <f t="shared" si="3"/>
        <v>71.312684365781706</v>
      </c>
      <c r="W50" s="668">
        <v>0.2</v>
      </c>
      <c r="X50" s="432">
        <f t="shared" si="7"/>
        <v>0.36981818181818177</v>
      </c>
      <c r="Y50" s="432">
        <f t="shared" si="4"/>
        <v>2.2989899999999999</v>
      </c>
      <c r="Z50" s="432">
        <f t="shared" si="4"/>
        <v>8.0139599999999991</v>
      </c>
      <c r="AA50" s="670">
        <f t="shared" si="4"/>
        <v>22.055134999999996</v>
      </c>
      <c r="AB50" s="432">
        <f t="shared" si="5"/>
        <v>9.5934018851756626</v>
      </c>
      <c r="AC50" s="670">
        <f t="shared" si="1"/>
        <v>71.312684365781706</v>
      </c>
      <c r="AD50" s="908">
        <v>31</v>
      </c>
      <c r="AE50" s="432">
        <f t="shared" si="6"/>
        <v>71.268689999999992</v>
      </c>
      <c r="AF50" s="449"/>
    </row>
    <row r="51" spans="1:32" ht="18.75" customHeight="1" x14ac:dyDescent="0.2">
      <c r="A51" s="908">
        <v>37</v>
      </c>
      <c r="B51" s="461" t="s">
        <v>117</v>
      </c>
      <c r="C51" s="908" t="s">
        <v>46</v>
      </c>
      <c r="D51" s="908">
        <v>671.45</v>
      </c>
      <c r="E51" s="908" t="s">
        <v>128</v>
      </c>
      <c r="F51" s="908">
        <v>177.8</v>
      </c>
      <c r="G51" s="908" t="s">
        <v>28</v>
      </c>
      <c r="H51" s="908" t="s">
        <v>187</v>
      </c>
      <c r="I51" s="907">
        <v>561.1</v>
      </c>
      <c r="J51" s="908">
        <v>250</v>
      </c>
      <c r="K51" s="908"/>
      <c r="L51" s="913">
        <v>153</v>
      </c>
      <c r="M51" s="908"/>
      <c r="N51" s="913">
        <v>0.4</v>
      </c>
      <c r="O51" s="908"/>
      <c r="P51" s="668">
        <v>41.097546440966433</v>
      </c>
      <c r="Q51" s="668">
        <f t="shared" si="9"/>
        <v>15</v>
      </c>
      <c r="R51" s="432">
        <v>0.86699999999999999</v>
      </c>
      <c r="S51" s="432">
        <v>3.34</v>
      </c>
      <c r="T51" s="670">
        <v>1.5649999999999999</v>
      </c>
      <c r="U51" s="668">
        <f t="shared" si="8"/>
        <v>1.8050749711649365</v>
      </c>
      <c r="V51" s="668">
        <f t="shared" si="3"/>
        <v>74.041916167664667</v>
      </c>
      <c r="W51" s="668">
        <v>0.3</v>
      </c>
      <c r="X51" s="432">
        <f t="shared" si="7"/>
        <v>0.22266666666666665</v>
      </c>
      <c r="Y51" s="432">
        <f t="shared" si="4"/>
        <v>0.85399499999999995</v>
      </c>
      <c r="Z51" s="432">
        <f t="shared" si="4"/>
        <v>3.2898999999999998</v>
      </c>
      <c r="AA51" s="670">
        <f t="shared" si="4"/>
        <v>1.541525</v>
      </c>
      <c r="AB51" s="432">
        <f t="shared" si="5"/>
        <v>1.8050749711649365</v>
      </c>
      <c r="AC51" s="670">
        <f t="shared" si="1"/>
        <v>74.041916167664667</v>
      </c>
      <c r="AD51" s="908">
        <v>31</v>
      </c>
      <c r="AE51" s="432">
        <f t="shared" si="6"/>
        <v>26.473844999999997</v>
      </c>
      <c r="AF51" s="669"/>
    </row>
    <row r="52" spans="1:32" ht="18.75" customHeight="1" x14ac:dyDescent="0.2">
      <c r="A52" s="908">
        <v>38</v>
      </c>
      <c r="B52" s="461" t="s">
        <v>130</v>
      </c>
      <c r="C52" s="908" t="s">
        <v>46</v>
      </c>
      <c r="D52" s="908">
        <v>622.6</v>
      </c>
      <c r="E52" s="908" t="s">
        <v>467</v>
      </c>
      <c r="F52" s="908">
        <v>177.8</v>
      </c>
      <c r="G52" s="908" t="s">
        <v>28</v>
      </c>
      <c r="H52" s="908" t="s">
        <v>48</v>
      </c>
      <c r="I52" s="907">
        <v>551.79999999999995</v>
      </c>
      <c r="J52" s="908">
        <v>185</v>
      </c>
      <c r="K52" s="908"/>
      <c r="L52" s="913">
        <v>83</v>
      </c>
      <c r="M52" s="908"/>
      <c r="N52" s="913">
        <v>2.2999999999999998</v>
      </c>
      <c r="O52" s="908"/>
      <c r="P52" s="668">
        <v>50.015949804355202</v>
      </c>
      <c r="Q52" s="668">
        <f t="shared" si="9"/>
        <v>24.05</v>
      </c>
      <c r="R52" s="432">
        <v>1.36</v>
      </c>
      <c r="S52" s="432">
        <v>16.356000000000002</v>
      </c>
      <c r="T52" s="670">
        <v>0.34799999999999998</v>
      </c>
      <c r="U52" s="668">
        <f t="shared" si="8"/>
        <v>0.25588235294117645</v>
      </c>
      <c r="V52" s="668">
        <f t="shared" si="3"/>
        <v>91.685008559550013</v>
      </c>
      <c r="W52" s="668">
        <v>0</v>
      </c>
      <c r="X52" s="432">
        <f t="shared" si="7"/>
        <v>0.68008316008316017</v>
      </c>
      <c r="Y52" s="432">
        <f t="shared" si="4"/>
        <v>1.3396000000000001</v>
      </c>
      <c r="Z52" s="432">
        <f t="shared" si="4"/>
        <v>16.110660000000003</v>
      </c>
      <c r="AA52" s="670">
        <f t="shared" si="4"/>
        <v>0.34277999999999997</v>
      </c>
      <c r="AB52" s="432">
        <f t="shared" si="5"/>
        <v>0.25588235294117645</v>
      </c>
      <c r="AC52" s="670">
        <f t="shared" si="1"/>
        <v>91.685008559550013</v>
      </c>
      <c r="AD52" s="908">
        <v>31</v>
      </c>
      <c r="AE52" s="432">
        <f t="shared" si="6"/>
        <v>41.527600000000007</v>
      </c>
      <c r="AF52" s="669"/>
    </row>
    <row r="53" spans="1:32" ht="18.75" customHeight="1" x14ac:dyDescent="0.2">
      <c r="A53" s="908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908">
        <v>177.8</v>
      </c>
      <c r="G53" s="452" t="s">
        <v>28</v>
      </c>
      <c r="H53" s="452" t="s">
        <v>363</v>
      </c>
      <c r="I53" s="453">
        <v>565.65</v>
      </c>
      <c r="J53" s="452">
        <v>160</v>
      </c>
      <c r="K53" s="452"/>
      <c r="L53" s="452">
        <v>438</v>
      </c>
      <c r="M53" s="452"/>
      <c r="N53" s="913">
        <v>2.6</v>
      </c>
      <c r="O53" s="452"/>
      <c r="P53" s="675">
        <v>15.298930126729205</v>
      </c>
      <c r="Q53" s="668">
        <f>J53*7/100</f>
        <v>11.2</v>
      </c>
      <c r="R53" s="456">
        <v>2.17</v>
      </c>
      <c r="S53" s="432">
        <v>2.2999999999999998</v>
      </c>
      <c r="T53" s="700">
        <v>2.2170000000000001</v>
      </c>
      <c r="U53" s="668">
        <f t="shared" si="8"/>
        <v>1.0216589861751153</v>
      </c>
      <c r="V53" s="668">
        <f t="shared" si="3"/>
        <v>5.6521739130434741</v>
      </c>
      <c r="W53" s="675">
        <v>0.2</v>
      </c>
      <c r="X53" s="432">
        <f t="shared" si="7"/>
        <v>0.20535714285714285</v>
      </c>
      <c r="Y53" s="432">
        <f t="shared" si="4"/>
        <v>2.1374499999999999</v>
      </c>
      <c r="Z53" s="432">
        <f t="shared" si="4"/>
        <v>2.2654999999999998</v>
      </c>
      <c r="AA53" s="670">
        <f t="shared" si="4"/>
        <v>2.183745</v>
      </c>
      <c r="AB53" s="456">
        <f t="shared" si="5"/>
        <v>1.0216589861751153</v>
      </c>
      <c r="AC53" s="670">
        <f t="shared" si="1"/>
        <v>5.6521739130434741</v>
      </c>
      <c r="AD53" s="908">
        <v>31</v>
      </c>
      <c r="AE53" s="456">
        <f t="shared" si="6"/>
        <v>66.260949999999994</v>
      </c>
      <c r="AF53" s="449"/>
    </row>
    <row r="54" spans="1:32" ht="18.75" customHeight="1" x14ac:dyDescent="0.2">
      <c r="A54" s="908">
        <v>40</v>
      </c>
      <c r="B54" s="461" t="s">
        <v>116</v>
      </c>
      <c r="C54" s="908" t="s">
        <v>46</v>
      </c>
      <c r="D54" s="908">
        <v>681.27</v>
      </c>
      <c r="E54" s="908" t="s">
        <v>455</v>
      </c>
      <c r="F54" s="908">
        <v>177.8</v>
      </c>
      <c r="G54" s="908" t="s">
        <v>28</v>
      </c>
      <c r="H54" s="908" t="s">
        <v>53</v>
      </c>
      <c r="I54" s="907">
        <v>559.23</v>
      </c>
      <c r="J54" s="908">
        <v>135</v>
      </c>
      <c r="K54" s="908"/>
      <c r="L54" s="913">
        <v>224</v>
      </c>
      <c r="M54" s="908"/>
      <c r="N54" s="913">
        <v>2.5</v>
      </c>
      <c r="O54" s="908"/>
      <c r="P54" s="668">
        <v>36.022404225352787</v>
      </c>
      <c r="Q54" s="675">
        <f t="shared" si="9"/>
        <v>17.55</v>
      </c>
      <c r="R54" s="432">
        <v>1.69</v>
      </c>
      <c r="S54" s="432">
        <v>4.49</v>
      </c>
      <c r="T54" s="670">
        <v>2.9129999999999998</v>
      </c>
      <c r="U54" s="668">
        <f t="shared" si="8"/>
        <v>1.7236686390532543</v>
      </c>
      <c r="V54" s="668">
        <f t="shared" si="3"/>
        <v>62.360801781737194</v>
      </c>
      <c r="W54" s="668">
        <v>0.2</v>
      </c>
      <c r="X54" s="432">
        <f t="shared" si="7"/>
        <v>0.25584045584045584</v>
      </c>
      <c r="Y54" s="432">
        <f t="shared" si="4"/>
        <v>1.66465</v>
      </c>
      <c r="Z54" s="432">
        <f t="shared" si="4"/>
        <v>4.42265</v>
      </c>
      <c r="AA54" s="670">
        <f t="shared" si="4"/>
        <v>2.8693049999999998</v>
      </c>
      <c r="AB54" s="432">
        <f t="shared" si="5"/>
        <v>1.7236686390532543</v>
      </c>
      <c r="AC54" s="670">
        <f t="shared" si="1"/>
        <v>62.360801781737194</v>
      </c>
      <c r="AD54" s="908">
        <v>31</v>
      </c>
      <c r="AE54" s="432">
        <f t="shared" si="6"/>
        <v>51.604149999999997</v>
      </c>
      <c r="AF54" s="449"/>
    </row>
    <row r="55" spans="1:32" ht="18.75" customHeight="1" x14ac:dyDescent="0.2">
      <c r="A55" s="908">
        <v>41</v>
      </c>
      <c r="B55" s="461" t="s">
        <v>120</v>
      </c>
      <c r="C55" s="908" t="s">
        <v>46</v>
      </c>
      <c r="D55" s="908">
        <v>668.57</v>
      </c>
      <c r="E55" s="908" t="s">
        <v>285</v>
      </c>
      <c r="F55" s="908">
        <v>177.8</v>
      </c>
      <c r="G55" s="908" t="s">
        <v>28</v>
      </c>
      <c r="H55" s="908" t="s">
        <v>48</v>
      </c>
      <c r="I55" s="907">
        <v>567.08000000000004</v>
      </c>
      <c r="J55" s="908">
        <v>310</v>
      </c>
      <c r="K55" s="908"/>
      <c r="L55" s="913">
        <v>407</v>
      </c>
      <c r="M55" s="908"/>
      <c r="N55" s="913">
        <v>0</v>
      </c>
      <c r="O55" s="908"/>
      <c r="P55" s="668">
        <v>16.033423351191537</v>
      </c>
      <c r="Q55" s="668">
        <f t="shared" si="9"/>
        <v>40.299999999999997</v>
      </c>
      <c r="R55" s="432">
        <v>3.1419999999999999</v>
      </c>
      <c r="S55" s="432">
        <v>4.3</v>
      </c>
      <c r="T55" s="670">
        <v>4.87</v>
      </c>
      <c r="U55" s="668">
        <f t="shared" si="8"/>
        <v>1.5499681731381287</v>
      </c>
      <c r="V55" s="668">
        <f t="shared" si="3"/>
        <v>26.930232558139533</v>
      </c>
      <c r="W55" s="668">
        <v>0.2</v>
      </c>
      <c r="X55" s="432">
        <f t="shared" si="7"/>
        <v>0.10669975186104219</v>
      </c>
      <c r="Y55" s="432">
        <f t="shared" si="4"/>
        <v>3.0948699999999998</v>
      </c>
      <c r="Z55" s="432">
        <f t="shared" si="4"/>
        <v>4.2355</v>
      </c>
      <c r="AA55" s="670">
        <f t="shared" si="4"/>
        <v>4.7969499999999998</v>
      </c>
      <c r="AB55" s="432">
        <f t="shared" si="5"/>
        <v>1.5499681731381287</v>
      </c>
      <c r="AC55" s="670">
        <f t="shared" si="1"/>
        <v>26.930232558139533</v>
      </c>
      <c r="AD55" s="908">
        <v>31</v>
      </c>
      <c r="AE55" s="432">
        <f t="shared" si="6"/>
        <v>95.940969999999993</v>
      </c>
      <c r="AF55" s="669"/>
    </row>
    <row r="56" spans="1:32" ht="18.75" customHeight="1" x14ac:dyDescent="0.2">
      <c r="A56" s="898">
        <v>42</v>
      </c>
      <c r="B56" s="461" t="s">
        <v>114</v>
      </c>
      <c r="C56" s="898" t="s">
        <v>46</v>
      </c>
      <c r="D56" s="898">
        <v>584.25</v>
      </c>
      <c r="E56" s="898" t="s">
        <v>419</v>
      </c>
      <c r="F56" s="898">
        <v>177.8</v>
      </c>
      <c r="G56" s="898" t="s">
        <v>28</v>
      </c>
      <c r="H56" s="898" t="s">
        <v>383</v>
      </c>
      <c r="I56" s="897">
        <v>560.79999999999995</v>
      </c>
      <c r="J56" s="898">
        <v>0</v>
      </c>
      <c r="K56" s="898">
        <v>0</v>
      </c>
      <c r="L56" s="913"/>
      <c r="M56" s="898">
        <v>1.7</v>
      </c>
      <c r="N56" s="913"/>
      <c r="O56" s="898"/>
      <c r="P56" s="668">
        <v>53.922668239371433</v>
      </c>
      <c r="Q56" s="668">
        <f>J56*3/100</f>
        <v>0</v>
      </c>
      <c r="R56" s="432">
        <v>0</v>
      </c>
      <c r="S56" s="432">
        <v>0</v>
      </c>
      <c r="T56" s="670">
        <v>0</v>
      </c>
      <c r="U56" s="668">
        <f t="shared" si="8"/>
        <v>0</v>
      </c>
      <c r="V56" s="668">
        <f t="shared" si="3"/>
        <v>0</v>
      </c>
      <c r="W56" s="668">
        <v>0</v>
      </c>
      <c r="X56" s="432">
        <f t="shared" si="7"/>
        <v>0</v>
      </c>
      <c r="Y56" s="432">
        <f t="shared" si="4"/>
        <v>0</v>
      </c>
      <c r="Z56" s="432">
        <f t="shared" si="4"/>
        <v>0</v>
      </c>
      <c r="AA56" s="670">
        <f t="shared" si="4"/>
        <v>0</v>
      </c>
      <c r="AB56" s="432">
        <v>0</v>
      </c>
      <c r="AC56" s="670">
        <v>0</v>
      </c>
      <c r="AD56" s="898">
        <v>0</v>
      </c>
      <c r="AE56" s="432">
        <f t="shared" si="6"/>
        <v>0</v>
      </c>
      <c r="AF56" s="669" t="s">
        <v>335</v>
      </c>
    </row>
    <row r="57" spans="1:32" ht="18.75" customHeight="1" x14ac:dyDescent="0.2">
      <c r="A57" s="908">
        <v>43</v>
      </c>
      <c r="B57" s="461" t="s">
        <v>106</v>
      </c>
      <c r="C57" s="908" t="s">
        <v>46</v>
      </c>
      <c r="D57" s="908">
        <v>642.52</v>
      </c>
      <c r="E57" s="908" t="s">
        <v>457</v>
      </c>
      <c r="F57" s="908">
        <v>177.8</v>
      </c>
      <c r="G57" s="908" t="s">
        <v>28</v>
      </c>
      <c r="H57" s="908" t="s">
        <v>456</v>
      </c>
      <c r="I57" s="907">
        <v>549.55999999999995</v>
      </c>
      <c r="J57" s="908">
        <v>135</v>
      </c>
      <c r="K57" s="908"/>
      <c r="L57" s="913">
        <v>295</v>
      </c>
      <c r="M57" s="908"/>
      <c r="N57" s="913">
        <v>5.3</v>
      </c>
      <c r="O57" s="908"/>
      <c r="P57" s="668">
        <v>31.929726407609671</v>
      </c>
      <c r="Q57" s="668">
        <f>J57*23/100</f>
        <v>31.05</v>
      </c>
      <c r="R57" s="432">
        <v>3.0459999999999998</v>
      </c>
      <c r="S57" s="432">
        <v>17.7</v>
      </c>
      <c r="T57" s="670">
        <v>3.2309999999999999</v>
      </c>
      <c r="U57" s="668">
        <f t="shared" si="8"/>
        <v>1.0607353906762969</v>
      </c>
      <c r="V57" s="668">
        <f t="shared" si="3"/>
        <v>82.790960451977398</v>
      </c>
      <c r="W57" s="668">
        <v>0.3</v>
      </c>
      <c r="X57" s="432">
        <f t="shared" si="7"/>
        <v>0.57004830917874394</v>
      </c>
      <c r="Y57" s="432">
        <f t="shared" si="4"/>
        <v>3.0003099999999998</v>
      </c>
      <c r="Z57" s="432">
        <f t="shared" si="4"/>
        <v>17.4345</v>
      </c>
      <c r="AA57" s="670">
        <f t="shared" si="4"/>
        <v>3.1825349999999997</v>
      </c>
      <c r="AB57" s="432">
        <f t="shared" si="5"/>
        <v>1.0607353906762969</v>
      </c>
      <c r="AC57" s="670">
        <f t="shared" si="1"/>
        <v>82.790960451977398</v>
      </c>
      <c r="AD57" s="908">
        <v>31</v>
      </c>
      <c r="AE57" s="432">
        <f t="shared" si="6"/>
        <v>93.009609999999995</v>
      </c>
      <c r="AF57" s="449"/>
    </row>
    <row r="58" spans="1:32" ht="18.75" customHeight="1" x14ac:dyDescent="0.2">
      <c r="A58" s="898">
        <v>44</v>
      </c>
      <c r="B58" s="461" t="s">
        <v>105</v>
      </c>
      <c r="C58" s="898" t="s">
        <v>46</v>
      </c>
      <c r="D58" s="898">
        <v>609.6</v>
      </c>
      <c r="E58" s="898" t="s">
        <v>110</v>
      </c>
      <c r="F58" s="898">
        <v>177.8</v>
      </c>
      <c r="G58" s="898" t="s">
        <v>28</v>
      </c>
      <c r="H58" s="452" t="s">
        <v>406</v>
      </c>
      <c r="I58" s="897">
        <v>512.69000000000005</v>
      </c>
      <c r="J58" s="898">
        <v>0</v>
      </c>
      <c r="K58" s="898">
        <v>377</v>
      </c>
      <c r="L58" s="913"/>
      <c r="M58" s="898">
        <v>0.4</v>
      </c>
      <c r="N58" s="913"/>
      <c r="O58" s="898"/>
      <c r="P58" s="668">
        <v>13.344383646527751</v>
      </c>
      <c r="Q58" s="668">
        <f>J58*20/100</f>
        <v>0</v>
      </c>
      <c r="R58" s="432">
        <v>0</v>
      </c>
      <c r="S58" s="432">
        <v>0</v>
      </c>
      <c r="T58" s="670">
        <v>0</v>
      </c>
      <c r="U58" s="668">
        <f t="shared" si="8"/>
        <v>0</v>
      </c>
      <c r="V58" s="668">
        <f t="shared" si="3"/>
        <v>0</v>
      </c>
      <c r="W58" s="668">
        <v>0</v>
      </c>
      <c r="X58" s="432">
        <f t="shared" si="7"/>
        <v>0</v>
      </c>
      <c r="Y58" s="432">
        <f t="shared" si="4"/>
        <v>0</v>
      </c>
      <c r="Z58" s="432">
        <f t="shared" si="4"/>
        <v>0</v>
      </c>
      <c r="AA58" s="670">
        <f t="shared" si="4"/>
        <v>0</v>
      </c>
      <c r="AB58" s="432">
        <v>0</v>
      </c>
      <c r="AC58" s="670">
        <v>0</v>
      </c>
      <c r="AD58" s="898">
        <v>0</v>
      </c>
      <c r="AE58" s="432">
        <f t="shared" si="6"/>
        <v>0</v>
      </c>
      <c r="AF58" s="669" t="s">
        <v>482</v>
      </c>
    </row>
    <row r="59" spans="1:32" ht="18.75" customHeight="1" x14ac:dyDescent="0.2">
      <c r="A59" s="908">
        <v>45</v>
      </c>
      <c r="B59" s="461" t="s">
        <v>104</v>
      </c>
      <c r="C59" s="908" t="s">
        <v>381</v>
      </c>
      <c r="D59" s="908">
        <v>707.14</v>
      </c>
      <c r="E59" s="907" t="s">
        <v>382</v>
      </c>
      <c r="F59" s="908">
        <v>177.8</v>
      </c>
      <c r="G59" s="908" t="s">
        <v>28</v>
      </c>
      <c r="H59" s="908" t="s">
        <v>383</v>
      </c>
      <c r="I59" s="907">
        <v>682.43000000000052</v>
      </c>
      <c r="J59" s="908">
        <v>230</v>
      </c>
      <c r="K59" s="908"/>
      <c r="L59" s="913">
        <v>574</v>
      </c>
      <c r="M59" s="908"/>
      <c r="N59" s="913">
        <v>5.9</v>
      </c>
      <c r="O59" s="908"/>
      <c r="P59" s="668">
        <v>13.655782030744247</v>
      </c>
      <c r="Q59" s="668">
        <f>J59*3/100</f>
        <v>6.9</v>
      </c>
      <c r="R59" s="432">
        <v>1.2629999999999999</v>
      </c>
      <c r="S59" s="432">
        <v>1.4</v>
      </c>
      <c r="T59" s="670">
        <v>14.13</v>
      </c>
      <c r="U59" s="668">
        <f t="shared" si="8"/>
        <v>11.187648456057008</v>
      </c>
      <c r="V59" s="668">
        <f t="shared" si="3"/>
        <v>9.7857142857142865</v>
      </c>
      <c r="W59" s="668">
        <v>0.2</v>
      </c>
      <c r="X59" s="432">
        <f t="shared" si="7"/>
        <v>0.20289855072463767</v>
      </c>
      <c r="Y59" s="432">
        <f t="shared" si="4"/>
        <v>1.2440549999999999</v>
      </c>
      <c r="Z59" s="432">
        <f t="shared" si="4"/>
        <v>1.379</v>
      </c>
      <c r="AA59" s="670">
        <f t="shared" si="4"/>
        <v>13.918050000000001</v>
      </c>
      <c r="AB59" s="432">
        <f t="shared" si="5"/>
        <v>11.187648456057008</v>
      </c>
      <c r="AC59" s="670">
        <f t="shared" si="1"/>
        <v>9.7857142857142865</v>
      </c>
      <c r="AD59" s="908">
        <v>31</v>
      </c>
      <c r="AE59" s="432">
        <f t="shared" si="6"/>
        <v>38.565704999999994</v>
      </c>
      <c r="AF59" s="669"/>
    </row>
    <row r="60" spans="1:32" ht="18.75" customHeight="1" x14ac:dyDescent="0.3">
      <c r="A60" s="908">
        <v>46</v>
      </c>
      <c r="B60" s="905" t="s">
        <v>158</v>
      </c>
      <c r="C60" s="908" t="s">
        <v>46</v>
      </c>
      <c r="D60" s="907">
        <v>621.12</v>
      </c>
      <c r="E60" s="907" t="s">
        <v>232</v>
      </c>
      <c r="F60" s="908">
        <v>177.8</v>
      </c>
      <c r="G60" s="908" t="s">
        <v>28</v>
      </c>
      <c r="H60" s="908" t="s">
        <v>403</v>
      </c>
      <c r="I60" s="907">
        <v>544.41999999999996</v>
      </c>
      <c r="J60" s="907">
        <v>175</v>
      </c>
      <c r="K60" s="907"/>
      <c r="L60" s="911">
        <v>460</v>
      </c>
      <c r="M60" s="907"/>
      <c r="N60" s="913">
        <v>7</v>
      </c>
      <c r="O60" s="907"/>
      <c r="P60" s="448">
        <v>16.118046669661165</v>
      </c>
      <c r="Q60" s="668">
        <f>J60*23/100</f>
        <v>40.25</v>
      </c>
      <c r="R60" s="432">
        <v>7.8920000000000003</v>
      </c>
      <c r="S60" s="432">
        <v>10.3</v>
      </c>
      <c r="T60" s="492">
        <v>158</v>
      </c>
      <c r="U60" s="668">
        <f t="shared" si="8"/>
        <v>20.020273694880892</v>
      </c>
      <c r="V60" s="668">
        <f t="shared" si="3"/>
        <v>23.378640776699029</v>
      </c>
      <c r="W60" s="668">
        <v>0.2</v>
      </c>
      <c r="X60" s="432">
        <f t="shared" si="7"/>
        <v>0.25590062111801243</v>
      </c>
      <c r="Y60" s="432">
        <f t="shared" si="4"/>
        <v>7.7736200000000002</v>
      </c>
      <c r="Z60" s="432">
        <f t="shared" si="4"/>
        <v>10.1455</v>
      </c>
      <c r="AA60" s="670">
        <f t="shared" si="4"/>
        <v>155.63</v>
      </c>
      <c r="AB60" s="432">
        <f t="shared" si="5"/>
        <v>20.020273694880892</v>
      </c>
      <c r="AC60" s="670">
        <f t="shared" si="1"/>
        <v>23.378640776699029</v>
      </c>
      <c r="AD60" s="908">
        <v>31</v>
      </c>
      <c r="AE60" s="432">
        <f>Y60*AD60</f>
        <v>240.98222000000001</v>
      </c>
      <c r="AF60" s="458"/>
    </row>
    <row r="61" spans="1:32" ht="18.75" customHeight="1" x14ac:dyDescent="0.2">
      <c r="A61" s="908">
        <v>47</v>
      </c>
      <c r="B61" s="905" t="s">
        <v>160</v>
      </c>
      <c r="C61" s="908" t="s">
        <v>304</v>
      </c>
      <c r="D61" s="907">
        <v>677.33</v>
      </c>
      <c r="E61" s="907" t="s">
        <v>315</v>
      </c>
      <c r="F61" s="908">
        <v>177.8</v>
      </c>
      <c r="G61" s="908" t="s">
        <v>28</v>
      </c>
      <c r="H61" s="908" t="s">
        <v>52</v>
      </c>
      <c r="I61" s="907">
        <v>620.78</v>
      </c>
      <c r="J61" s="907">
        <v>85</v>
      </c>
      <c r="K61" s="907"/>
      <c r="L61" s="913">
        <v>0</v>
      </c>
      <c r="M61" s="907"/>
      <c r="N61" s="913">
        <v>0</v>
      </c>
      <c r="O61" s="907"/>
      <c r="P61" s="448">
        <v>50.246481132503078</v>
      </c>
      <c r="Q61" s="668">
        <f t="shared" si="9"/>
        <v>18.7</v>
      </c>
      <c r="R61" s="432">
        <v>2.38</v>
      </c>
      <c r="S61" s="432">
        <v>2.57</v>
      </c>
      <c r="T61" s="492">
        <v>24.347999999999999</v>
      </c>
      <c r="U61" s="668">
        <f t="shared" si="8"/>
        <v>10.230252100840335</v>
      </c>
      <c r="V61" s="668">
        <f t="shared" si="3"/>
        <v>7.3929961089494149</v>
      </c>
      <c r="W61" s="668">
        <v>0.2</v>
      </c>
      <c r="X61" s="432">
        <f t="shared" si="7"/>
        <v>0.13743315508021389</v>
      </c>
      <c r="Y61" s="432">
        <f t="shared" si="4"/>
        <v>2.3443000000000001</v>
      </c>
      <c r="Z61" s="432">
        <f t="shared" si="4"/>
        <v>2.53145</v>
      </c>
      <c r="AA61" s="670">
        <f t="shared" si="4"/>
        <v>23.982779999999998</v>
      </c>
      <c r="AB61" s="432">
        <f t="shared" si="5"/>
        <v>10.230252100840335</v>
      </c>
      <c r="AC61" s="670">
        <f t="shared" si="1"/>
        <v>7.3929961089494149</v>
      </c>
      <c r="AD61" s="908">
        <v>31</v>
      </c>
      <c r="AE61" s="432">
        <f>Y61*AD61</f>
        <v>72.673299999999998</v>
      </c>
      <c r="AF61" s="669"/>
    </row>
    <row r="62" spans="1:32" ht="18.75" customHeight="1" x14ac:dyDescent="0.2">
      <c r="A62" s="908">
        <v>48</v>
      </c>
      <c r="B62" s="461" t="s">
        <v>164</v>
      </c>
      <c r="C62" s="908" t="s">
        <v>46</v>
      </c>
      <c r="D62" s="907">
        <v>678.47</v>
      </c>
      <c r="E62" s="907" t="s">
        <v>233</v>
      </c>
      <c r="F62" s="908">
        <v>177.8</v>
      </c>
      <c r="G62" s="908" t="s">
        <v>28</v>
      </c>
      <c r="H62" s="908" t="s">
        <v>48</v>
      </c>
      <c r="I62" s="907">
        <v>563.25</v>
      </c>
      <c r="J62" s="907">
        <v>85</v>
      </c>
      <c r="K62" s="907"/>
      <c r="L62" s="911">
        <v>430</v>
      </c>
      <c r="M62" s="907"/>
      <c r="N62" s="913">
        <v>4.5999999999999996</v>
      </c>
      <c r="O62" s="907"/>
      <c r="P62" s="668">
        <v>18.462732992213613</v>
      </c>
      <c r="Q62" s="668">
        <f t="shared" si="9"/>
        <v>11.05</v>
      </c>
      <c r="R62" s="432">
        <v>3.78</v>
      </c>
      <c r="S62" s="432">
        <v>5.048</v>
      </c>
      <c r="T62" s="670">
        <v>9.1739999999999995</v>
      </c>
      <c r="U62" s="668">
        <f t="shared" si="8"/>
        <v>2.4269841269841268</v>
      </c>
      <c r="V62" s="668">
        <f t="shared" si="3"/>
        <v>25.118858954041208</v>
      </c>
      <c r="W62" s="668">
        <v>0.3</v>
      </c>
      <c r="X62" s="432">
        <f t="shared" si="7"/>
        <v>0.45683257918552034</v>
      </c>
      <c r="Y62" s="432">
        <f t="shared" si="4"/>
        <v>3.7232999999999996</v>
      </c>
      <c r="Z62" s="432">
        <f t="shared" si="4"/>
        <v>4.9722799999999996</v>
      </c>
      <c r="AA62" s="670">
        <f t="shared" si="4"/>
        <v>9.036389999999999</v>
      </c>
      <c r="AB62" s="432">
        <f t="shared" si="5"/>
        <v>2.4269841269841268</v>
      </c>
      <c r="AC62" s="670">
        <f t="shared" si="1"/>
        <v>25.118858954041208</v>
      </c>
      <c r="AD62" s="908">
        <v>31</v>
      </c>
      <c r="AE62" s="432">
        <f t="shared" ref="AE62:AE76" si="10">Y62*AD62</f>
        <v>115.42229999999999</v>
      </c>
      <c r="AF62" s="669"/>
    </row>
    <row r="63" spans="1:32" ht="18.75" customHeight="1" x14ac:dyDescent="0.2">
      <c r="A63" s="908">
        <v>49</v>
      </c>
      <c r="B63" s="461" t="s">
        <v>61</v>
      </c>
      <c r="C63" s="908" t="s">
        <v>46</v>
      </c>
      <c r="D63" s="908">
        <v>667.18</v>
      </c>
      <c r="E63" s="908" t="s">
        <v>96</v>
      </c>
      <c r="F63" s="908">
        <v>177.8</v>
      </c>
      <c r="G63" s="908" t="s">
        <v>28</v>
      </c>
      <c r="H63" s="908" t="s">
        <v>52</v>
      </c>
      <c r="I63" s="907">
        <v>534.21</v>
      </c>
      <c r="J63" s="908">
        <v>200</v>
      </c>
      <c r="K63" s="908"/>
      <c r="L63" s="913">
        <v>446</v>
      </c>
      <c r="M63" s="908"/>
      <c r="N63" s="913">
        <v>5.7</v>
      </c>
      <c r="O63" s="908"/>
      <c r="P63" s="668">
        <v>16.106526630428565</v>
      </c>
      <c r="Q63" s="668">
        <f t="shared" si="9"/>
        <v>44</v>
      </c>
      <c r="R63" s="432">
        <v>7.3</v>
      </c>
      <c r="S63" s="432">
        <v>11.96</v>
      </c>
      <c r="T63" s="670">
        <v>149</v>
      </c>
      <c r="U63" s="668">
        <f t="shared" si="8"/>
        <v>20.410958904109588</v>
      </c>
      <c r="V63" s="668">
        <f t="shared" si="3"/>
        <v>38.963210702341144</v>
      </c>
      <c r="W63" s="668">
        <v>0.1</v>
      </c>
      <c r="X63" s="432">
        <f t="shared" si="7"/>
        <v>0.27181818181818185</v>
      </c>
      <c r="Y63" s="432">
        <f t="shared" si="4"/>
        <v>7.1905000000000001</v>
      </c>
      <c r="Z63" s="432">
        <f t="shared" si="4"/>
        <v>11.780600000000002</v>
      </c>
      <c r="AA63" s="670">
        <f t="shared" si="4"/>
        <v>146.76499999999999</v>
      </c>
      <c r="AB63" s="432">
        <f t="shared" si="5"/>
        <v>20.410958904109588</v>
      </c>
      <c r="AC63" s="670">
        <f t="shared" si="1"/>
        <v>38.963210702341144</v>
      </c>
      <c r="AD63" s="908">
        <v>31</v>
      </c>
      <c r="AE63" s="432">
        <f t="shared" si="10"/>
        <v>222.90550000000002</v>
      </c>
      <c r="AF63" s="449"/>
    </row>
    <row r="64" spans="1:32" ht="18.75" customHeight="1" x14ac:dyDescent="0.2">
      <c r="A64" s="908">
        <v>50</v>
      </c>
      <c r="B64" s="461" t="s">
        <v>64</v>
      </c>
      <c r="C64" s="908" t="s">
        <v>46</v>
      </c>
      <c r="D64" s="908">
        <v>672.5</v>
      </c>
      <c r="E64" s="908" t="s">
        <v>444</v>
      </c>
      <c r="F64" s="908">
        <v>177.8</v>
      </c>
      <c r="G64" s="908" t="s">
        <v>28</v>
      </c>
      <c r="H64" s="908" t="s">
        <v>49</v>
      </c>
      <c r="I64" s="907">
        <v>523.78</v>
      </c>
      <c r="J64" s="908">
        <v>100</v>
      </c>
      <c r="K64" s="908"/>
      <c r="L64" s="913">
        <v>406</v>
      </c>
      <c r="M64" s="908"/>
      <c r="N64" s="913">
        <v>6.9</v>
      </c>
      <c r="O64" s="908"/>
      <c r="P64" s="668">
        <v>21.126463346387911</v>
      </c>
      <c r="Q64" s="668">
        <f t="shared" si="9"/>
        <v>32</v>
      </c>
      <c r="R64" s="432">
        <v>8</v>
      </c>
      <c r="S64" s="432">
        <v>12.92</v>
      </c>
      <c r="T64" s="670">
        <v>1353</v>
      </c>
      <c r="U64" s="668">
        <f t="shared" si="8"/>
        <v>169.125</v>
      </c>
      <c r="V64" s="668">
        <f t="shared" si="3"/>
        <v>38.080495356037154</v>
      </c>
      <c r="W64" s="668">
        <v>0.2</v>
      </c>
      <c r="X64" s="432">
        <f t="shared" si="7"/>
        <v>0.40375</v>
      </c>
      <c r="Y64" s="432">
        <f t="shared" si="4"/>
        <v>7.88</v>
      </c>
      <c r="Z64" s="432">
        <f t="shared" si="4"/>
        <v>12.7262</v>
      </c>
      <c r="AA64" s="670">
        <f t="shared" si="4"/>
        <v>1332.7049999999999</v>
      </c>
      <c r="AB64" s="432">
        <f t="shared" si="5"/>
        <v>169.125</v>
      </c>
      <c r="AC64" s="670">
        <f t="shared" si="1"/>
        <v>38.080495356037154</v>
      </c>
      <c r="AD64" s="908">
        <v>31</v>
      </c>
      <c r="AE64" s="432">
        <f t="shared" si="10"/>
        <v>244.28</v>
      </c>
      <c r="AF64" s="449"/>
    </row>
    <row r="65" spans="1:32" ht="18.75" customHeight="1" x14ac:dyDescent="0.2">
      <c r="A65" s="908">
        <v>51</v>
      </c>
      <c r="B65" s="461" t="s">
        <v>156</v>
      </c>
      <c r="C65" s="908" t="s">
        <v>46</v>
      </c>
      <c r="D65" s="908">
        <v>679.54</v>
      </c>
      <c r="E65" s="908" t="s">
        <v>166</v>
      </c>
      <c r="F65" s="908">
        <v>177.8</v>
      </c>
      <c r="G65" s="908" t="s">
        <v>28</v>
      </c>
      <c r="H65" s="908" t="s">
        <v>52</v>
      </c>
      <c r="I65" s="907">
        <v>530.98</v>
      </c>
      <c r="J65" s="908">
        <v>250</v>
      </c>
      <c r="K65" s="908"/>
      <c r="L65" s="913">
        <v>451</v>
      </c>
      <c r="M65" s="908"/>
      <c r="N65" s="913">
        <v>7.1</v>
      </c>
      <c r="O65" s="908"/>
      <c r="P65" s="668">
        <v>16.869306798514373</v>
      </c>
      <c r="Q65" s="668">
        <f t="shared" si="9"/>
        <v>55</v>
      </c>
      <c r="R65" s="432">
        <v>3</v>
      </c>
      <c r="S65" s="432">
        <v>5.85</v>
      </c>
      <c r="T65" s="670">
        <v>84.13</v>
      </c>
      <c r="U65" s="668">
        <f t="shared" si="8"/>
        <v>28.043333333333333</v>
      </c>
      <c r="V65" s="668">
        <f t="shared" si="3"/>
        <v>48.717948717948715</v>
      </c>
      <c r="W65" s="668">
        <v>0.2</v>
      </c>
      <c r="X65" s="432">
        <f t="shared" si="7"/>
        <v>0.10636363636363635</v>
      </c>
      <c r="Y65" s="432">
        <f t="shared" si="4"/>
        <v>2.9550000000000001</v>
      </c>
      <c r="Z65" s="432">
        <f t="shared" si="4"/>
        <v>5.7622499999999999</v>
      </c>
      <c r="AA65" s="670">
        <f t="shared" si="4"/>
        <v>82.868049999999997</v>
      </c>
      <c r="AB65" s="432">
        <f t="shared" si="5"/>
        <v>28.043333333333333</v>
      </c>
      <c r="AC65" s="670">
        <f t="shared" si="1"/>
        <v>48.717948717948715</v>
      </c>
      <c r="AD65" s="908">
        <v>31</v>
      </c>
      <c r="AE65" s="432">
        <f t="shared" si="10"/>
        <v>91.605000000000004</v>
      </c>
      <c r="AF65" s="449"/>
    </row>
    <row r="66" spans="1:32" ht="18.75" customHeight="1" x14ac:dyDescent="0.2">
      <c r="A66" s="908">
        <v>52</v>
      </c>
      <c r="B66" s="461" t="s">
        <v>169</v>
      </c>
      <c r="C66" s="908" t="s">
        <v>46</v>
      </c>
      <c r="D66" s="908">
        <v>647.37</v>
      </c>
      <c r="E66" s="908" t="s">
        <v>463</v>
      </c>
      <c r="F66" s="908">
        <v>177.8</v>
      </c>
      <c r="G66" s="908" t="s">
        <v>28</v>
      </c>
      <c r="H66" s="908" t="s">
        <v>464</v>
      </c>
      <c r="I66" s="907">
        <v>539.76999999999987</v>
      </c>
      <c r="J66" s="908">
        <v>225</v>
      </c>
      <c r="K66" s="908"/>
      <c r="L66" s="913">
        <v>431</v>
      </c>
      <c r="M66" s="908"/>
      <c r="N66" s="913">
        <v>4.2</v>
      </c>
      <c r="O66" s="908"/>
      <c r="P66" s="668">
        <v>18.021110132700951</v>
      </c>
      <c r="Q66" s="668">
        <v>42.9</v>
      </c>
      <c r="R66" s="432">
        <v>3.44</v>
      </c>
      <c r="S66" s="432">
        <v>7.2859999999999996</v>
      </c>
      <c r="T66" s="670">
        <v>16.609000000000002</v>
      </c>
      <c r="U66" s="668">
        <f t="shared" si="8"/>
        <v>4.8281976744186048</v>
      </c>
      <c r="V66" s="668">
        <f t="shared" si="3"/>
        <v>52.786165248421625</v>
      </c>
      <c r="W66" s="668">
        <v>0.3</v>
      </c>
      <c r="X66" s="432">
        <f t="shared" si="7"/>
        <v>0.16983682983682982</v>
      </c>
      <c r="Y66" s="432">
        <f t="shared" si="4"/>
        <v>3.3883999999999999</v>
      </c>
      <c r="Z66" s="432">
        <f t="shared" si="4"/>
        <v>7.1767099999999999</v>
      </c>
      <c r="AA66" s="670">
        <f t="shared" si="4"/>
        <v>16.359865000000003</v>
      </c>
      <c r="AB66" s="432">
        <f t="shared" si="5"/>
        <v>4.8281976744186048</v>
      </c>
      <c r="AC66" s="670">
        <f t="shared" si="1"/>
        <v>52.786165248421625</v>
      </c>
      <c r="AD66" s="908">
        <v>31</v>
      </c>
      <c r="AE66" s="432">
        <f>Y66*AD66</f>
        <v>105.04039999999999</v>
      </c>
      <c r="AF66" s="449"/>
    </row>
    <row r="67" spans="1:32" ht="18.75" customHeight="1" x14ac:dyDescent="0.2">
      <c r="A67" s="908">
        <v>53</v>
      </c>
      <c r="B67" s="461" t="s">
        <v>62</v>
      </c>
      <c r="C67" s="908" t="s">
        <v>46</v>
      </c>
      <c r="D67" s="908">
        <v>673.73</v>
      </c>
      <c r="E67" s="908" t="s">
        <v>97</v>
      </c>
      <c r="F67" s="908">
        <v>177.8</v>
      </c>
      <c r="G67" s="908" t="s">
        <v>28</v>
      </c>
      <c r="H67" s="908" t="s">
        <v>218</v>
      </c>
      <c r="I67" s="907">
        <v>543</v>
      </c>
      <c r="J67" s="908">
        <v>255</v>
      </c>
      <c r="K67" s="908"/>
      <c r="L67" s="913">
        <v>421</v>
      </c>
      <c r="M67" s="908"/>
      <c r="N67" s="913">
        <v>3.1</v>
      </c>
      <c r="O67" s="908"/>
      <c r="P67" s="668">
        <v>16.638102055974013</v>
      </c>
      <c r="Q67" s="668">
        <f t="shared" si="9"/>
        <v>81.599999999999994</v>
      </c>
      <c r="R67" s="432">
        <v>8.5</v>
      </c>
      <c r="S67" s="432">
        <v>14.29</v>
      </c>
      <c r="T67" s="670">
        <v>147.565</v>
      </c>
      <c r="U67" s="668">
        <f t="shared" si="8"/>
        <v>17.360588235294117</v>
      </c>
      <c r="V67" s="668">
        <f t="shared" si="3"/>
        <v>40.517844646606015</v>
      </c>
      <c r="W67" s="668">
        <v>0.2</v>
      </c>
      <c r="X67" s="432">
        <f t="shared" si="7"/>
        <v>0.17512254901960783</v>
      </c>
      <c r="Y67" s="432">
        <f t="shared" si="4"/>
        <v>8.3725000000000005</v>
      </c>
      <c r="Z67" s="432">
        <f t="shared" si="4"/>
        <v>14.07565</v>
      </c>
      <c r="AA67" s="670">
        <f t="shared" si="4"/>
        <v>145.35152500000001</v>
      </c>
      <c r="AB67" s="432">
        <f t="shared" si="5"/>
        <v>17.360588235294117</v>
      </c>
      <c r="AC67" s="670">
        <f t="shared" si="1"/>
        <v>40.517844646606015</v>
      </c>
      <c r="AD67" s="908">
        <v>31</v>
      </c>
      <c r="AE67" s="432">
        <f t="shared" si="10"/>
        <v>259.54750000000001</v>
      </c>
      <c r="AF67" s="669"/>
    </row>
    <row r="68" spans="1:32" ht="18.75" customHeight="1" x14ac:dyDescent="0.2">
      <c r="A68" s="908">
        <v>54</v>
      </c>
      <c r="B68" s="461" t="s">
        <v>157</v>
      </c>
      <c r="C68" s="908" t="s">
        <v>46</v>
      </c>
      <c r="D68" s="908">
        <v>676.73</v>
      </c>
      <c r="E68" s="908" t="s">
        <v>179</v>
      </c>
      <c r="F68" s="908">
        <v>177.8</v>
      </c>
      <c r="G68" s="908" t="s">
        <v>28</v>
      </c>
      <c r="H68" s="908" t="s">
        <v>218</v>
      </c>
      <c r="I68" s="907">
        <v>579.14</v>
      </c>
      <c r="J68" s="908">
        <v>160</v>
      </c>
      <c r="K68" s="908"/>
      <c r="L68" s="913">
        <v>156</v>
      </c>
      <c r="M68" s="908"/>
      <c r="N68" s="913">
        <v>7.9</v>
      </c>
      <c r="O68" s="908"/>
      <c r="P68" s="668">
        <v>45.447887949700714</v>
      </c>
      <c r="Q68" s="668">
        <f t="shared" si="9"/>
        <v>51.2</v>
      </c>
      <c r="R68" s="432">
        <v>18.46</v>
      </c>
      <c r="S68" s="432">
        <v>48.3</v>
      </c>
      <c r="T68" s="670">
        <v>209</v>
      </c>
      <c r="U68" s="668">
        <f t="shared" si="8"/>
        <v>11.321776814734561</v>
      </c>
      <c r="V68" s="668">
        <f t="shared" si="3"/>
        <v>61.780538302277435</v>
      </c>
      <c r="W68" s="668">
        <v>0.2</v>
      </c>
      <c r="X68" s="432">
        <f t="shared" si="7"/>
        <v>0.94335937499999989</v>
      </c>
      <c r="Y68" s="432">
        <f t="shared" si="4"/>
        <v>18.1831</v>
      </c>
      <c r="Z68" s="432">
        <f t="shared" si="4"/>
        <v>47.575499999999998</v>
      </c>
      <c r="AA68" s="670">
        <f t="shared" si="4"/>
        <v>205.86500000000001</v>
      </c>
      <c r="AB68" s="432">
        <f t="shared" si="5"/>
        <v>11.321776814734561</v>
      </c>
      <c r="AC68" s="670">
        <f t="shared" si="1"/>
        <v>61.780538302277435</v>
      </c>
      <c r="AD68" s="908">
        <v>31</v>
      </c>
      <c r="AE68" s="432">
        <f t="shared" si="10"/>
        <v>563.67610000000002</v>
      </c>
      <c r="AF68" s="676"/>
    </row>
    <row r="69" spans="1:32" ht="18.75" customHeight="1" x14ac:dyDescent="0.2">
      <c r="A69" s="908">
        <v>55</v>
      </c>
      <c r="B69" s="461" t="s">
        <v>159</v>
      </c>
      <c r="C69" s="908" t="s">
        <v>46</v>
      </c>
      <c r="D69" s="908">
        <v>676</v>
      </c>
      <c r="E69" s="908" t="s">
        <v>167</v>
      </c>
      <c r="F69" s="908">
        <v>177.8</v>
      </c>
      <c r="G69" s="908" t="s">
        <v>28</v>
      </c>
      <c r="H69" s="908" t="s">
        <v>342</v>
      </c>
      <c r="I69" s="907">
        <v>509.61000000000024</v>
      </c>
      <c r="J69" s="908">
        <v>190</v>
      </c>
      <c r="K69" s="908"/>
      <c r="L69" s="913">
        <v>367</v>
      </c>
      <c r="M69" s="908"/>
      <c r="N69" s="913">
        <v>7.7</v>
      </c>
      <c r="O69" s="908"/>
      <c r="P69" s="668">
        <v>21.371558506109107</v>
      </c>
      <c r="Q69" s="668">
        <f>(20*J69)/100</f>
        <v>38</v>
      </c>
      <c r="R69" s="432">
        <v>17.239999999999998</v>
      </c>
      <c r="S69" s="432">
        <v>20.38</v>
      </c>
      <c r="T69" s="670">
        <v>470</v>
      </c>
      <c r="U69" s="668">
        <f t="shared" si="8"/>
        <v>27.26218097447796</v>
      </c>
      <c r="V69" s="668">
        <f t="shared" si="3"/>
        <v>15.4072620215898</v>
      </c>
      <c r="W69" s="668">
        <v>0.2</v>
      </c>
      <c r="X69" s="432">
        <f t="shared" si="7"/>
        <v>0.53631578947368419</v>
      </c>
      <c r="Y69" s="432">
        <f t="shared" si="4"/>
        <v>16.981399999999997</v>
      </c>
      <c r="Z69" s="432">
        <f t="shared" si="4"/>
        <v>20.074299999999997</v>
      </c>
      <c r="AA69" s="670">
        <f t="shared" si="4"/>
        <v>462.95</v>
      </c>
      <c r="AB69" s="432">
        <f t="shared" si="5"/>
        <v>27.26218097447796</v>
      </c>
      <c r="AC69" s="670">
        <f t="shared" si="1"/>
        <v>15.4072620215898</v>
      </c>
      <c r="AD69" s="908">
        <v>31</v>
      </c>
      <c r="AE69" s="432">
        <f t="shared" si="10"/>
        <v>526.4233999999999</v>
      </c>
      <c r="AF69" s="669"/>
    </row>
    <row r="70" spans="1:32" ht="18.75" customHeight="1" x14ac:dyDescent="0.2">
      <c r="A70" s="908">
        <v>56</v>
      </c>
      <c r="B70" s="461" t="s">
        <v>330</v>
      </c>
      <c r="C70" s="908" t="s">
        <v>46</v>
      </c>
      <c r="D70" s="908">
        <v>595</v>
      </c>
      <c r="E70" s="908" t="s">
        <v>367</v>
      </c>
      <c r="F70" s="908">
        <v>178.8</v>
      </c>
      <c r="G70" s="908" t="s">
        <v>28</v>
      </c>
      <c r="H70" s="908" t="s">
        <v>52</v>
      </c>
      <c r="I70" s="907">
        <v>498.89</v>
      </c>
      <c r="J70" s="908">
        <v>210</v>
      </c>
      <c r="K70" s="908"/>
      <c r="L70" s="913">
        <v>328</v>
      </c>
      <c r="M70" s="908"/>
      <c r="N70" s="913">
        <v>9.1</v>
      </c>
      <c r="O70" s="908"/>
      <c r="P70" s="668">
        <v>26.172340647153206</v>
      </c>
      <c r="Q70" s="668">
        <f t="shared" si="9"/>
        <v>46.2</v>
      </c>
      <c r="R70" s="432">
        <v>16.3</v>
      </c>
      <c r="S70" s="432">
        <v>19.434000000000001</v>
      </c>
      <c r="T70" s="670">
        <v>661</v>
      </c>
      <c r="U70" s="668">
        <f t="shared" si="8"/>
        <v>40.552147239263803</v>
      </c>
      <c r="V70" s="668">
        <f t="shared" si="3"/>
        <v>16.126376453637956</v>
      </c>
      <c r="W70" s="668">
        <v>0.2</v>
      </c>
      <c r="X70" s="432">
        <f t="shared" si="7"/>
        <v>0.42064935064935066</v>
      </c>
      <c r="Y70" s="432">
        <f t="shared" si="4"/>
        <v>16.055500000000002</v>
      </c>
      <c r="Z70" s="432">
        <f t="shared" si="4"/>
        <v>19.142490000000002</v>
      </c>
      <c r="AA70" s="670">
        <f t="shared" si="4"/>
        <v>651.08500000000004</v>
      </c>
      <c r="AB70" s="432">
        <v>20</v>
      </c>
      <c r="AC70" s="670">
        <v>17</v>
      </c>
      <c r="AD70" s="908">
        <v>31</v>
      </c>
      <c r="AE70" s="432">
        <f t="shared" si="10"/>
        <v>497.72050000000007</v>
      </c>
      <c r="AF70" s="669"/>
    </row>
    <row r="71" spans="1:32" ht="18.75" customHeight="1" x14ac:dyDescent="0.2">
      <c r="A71" s="908">
        <v>57</v>
      </c>
      <c r="B71" s="461" t="s">
        <v>210</v>
      </c>
      <c r="C71" s="908" t="s">
        <v>46</v>
      </c>
      <c r="D71" s="908">
        <v>728.32</v>
      </c>
      <c r="E71" s="908" t="s">
        <v>226</v>
      </c>
      <c r="F71" s="908">
        <v>177.8</v>
      </c>
      <c r="G71" s="908" t="s">
        <v>28</v>
      </c>
      <c r="H71" s="908" t="s">
        <v>218</v>
      </c>
      <c r="I71" s="907">
        <v>519.38</v>
      </c>
      <c r="J71" s="908">
        <v>280</v>
      </c>
      <c r="K71" s="908"/>
      <c r="L71" s="913">
        <v>167</v>
      </c>
      <c r="M71" s="908"/>
      <c r="N71" s="913">
        <v>8.1999999999999993</v>
      </c>
      <c r="O71" s="908"/>
      <c r="P71" s="668">
        <v>44.477810263249594</v>
      </c>
      <c r="Q71" s="668">
        <f t="shared" si="9"/>
        <v>89.6</v>
      </c>
      <c r="R71" s="432">
        <v>9.48</v>
      </c>
      <c r="S71" s="432">
        <v>53</v>
      </c>
      <c r="T71" s="670">
        <v>157.52199999999999</v>
      </c>
      <c r="U71" s="668">
        <f t="shared" si="8"/>
        <v>16.616244725738394</v>
      </c>
      <c r="V71" s="668">
        <f t="shared" si="3"/>
        <v>82.113207547169807</v>
      </c>
      <c r="W71" s="668">
        <v>0.3</v>
      </c>
      <c r="X71" s="432">
        <f t="shared" si="7"/>
        <v>0.59151785714285721</v>
      </c>
      <c r="Y71" s="432">
        <f t="shared" si="4"/>
        <v>9.3377999999999997</v>
      </c>
      <c r="Z71" s="432">
        <f t="shared" si="4"/>
        <v>52.204999999999998</v>
      </c>
      <c r="AA71" s="670">
        <f t="shared" si="4"/>
        <v>155.15916999999999</v>
      </c>
      <c r="AB71" s="432">
        <f t="shared" si="5"/>
        <v>16.616244725738394</v>
      </c>
      <c r="AC71" s="670">
        <f t="shared" si="1"/>
        <v>82.113207547169807</v>
      </c>
      <c r="AD71" s="908">
        <v>31</v>
      </c>
      <c r="AE71" s="432">
        <f t="shared" si="10"/>
        <v>289.47179999999997</v>
      </c>
      <c r="AF71" s="449"/>
    </row>
    <row r="72" spans="1:32" ht="18.75" customHeight="1" x14ac:dyDescent="0.2">
      <c r="A72" s="908">
        <v>58</v>
      </c>
      <c r="B72" s="461" t="s">
        <v>63</v>
      </c>
      <c r="C72" s="908" t="s">
        <v>46</v>
      </c>
      <c r="D72" s="908">
        <v>672.99</v>
      </c>
      <c r="E72" s="908" t="s">
        <v>98</v>
      </c>
      <c r="F72" s="908">
        <v>177.8</v>
      </c>
      <c r="G72" s="908" t="s">
        <v>28</v>
      </c>
      <c r="H72" s="908" t="s">
        <v>310</v>
      </c>
      <c r="I72" s="907">
        <v>536.32000000000005</v>
      </c>
      <c r="J72" s="908">
        <v>310</v>
      </c>
      <c r="K72" s="908"/>
      <c r="L72" s="913">
        <v>396</v>
      </c>
      <c r="M72" s="908"/>
      <c r="N72" s="913">
        <v>8.1</v>
      </c>
      <c r="O72" s="908"/>
      <c r="P72" s="668">
        <v>23.17323959715953</v>
      </c>
      <c r="Q72" s="668">
        <f t="shared" si="9"/>
        <v>68.2</v>
      </c>
      <c r="R72" s="432">
        <v>16.158999999999999</v>
      </c>
      <c r="S72" s="432">
        <v>21.55</v>
      </c>
      <c r="T72" s="670">
        <v>999</v>
      </c>
      <c r="U72" s="668">
        <f t="shared" si="8"/>
        <v>61.823132619592798</v>
      </c>
      <c r="V72" s="668">
        <f t="shared" si="3"/>
        <v>25.016241299303953</v>
      </c>
      <c r="W72" s="668">
        <v>0.2</v>
      </c>
      <c r="X72" s="432">
        <f t="shared" si="7"/>
        <v>0.31598240469208211</v>
      </c>
      <c r="Y72" s="432">
        <f t="shared" si="4"/>
        <v>15.916614999999998</v>
      </c>
      <c r="Z72" s="432">
        <f t="shared" si="4"/>
        <v>21.226749999999999</v>
      </c>
      <c r="AA72" s="670">
        <f t="shared" si="4"/>
        <v>984.01499999999999</v>
      </c>
      <c r="AB72" s="432">
        <f t="shared" si="5"/>
        <v>61.823132619592798</v>
      </c>
      <c r="AC72" s="670">
        <f t="shared" si="1"/>
        <v>25.016241299303953</v>
      </c>
      <c r="AD72" s="908">
        <v>31</v>
      </c>
      <c r="AE72" s="432">
        <f t="shared" si="10"/>
        <v>493.41506499999997</v>
      </c>
      <c r="AF72" s="449"/>
    </row>
    <row r="73" spans="1:32" ht="18.75" customHeight="1" x14ac:dyDescent="0.2">
      <c r="A73" s="908">
        <v>59</v>
      </c>
      <c r="B73" s="461" t="s">
        <v>217</v>
      </c>
      <c r="C73" s="908" t="s">
        <v>46</v>
      </c>
      <c r="D73" s="908">
        <v>684.57</v>
      </c>
      <c r="E73" s="908" t="s">
        <v>359</v>
      </c>
      <c r="F73" s="908">
        <v>177.8</v>
      </c>
      <c r="G73" s="908" t="s">
        <v>28</v>
      </c>
      <c r="H73" s="908" t="s">
        <v>219</v>
      </c>
      <c r="I73" s="907">
        <v>555.95000000000005</v>
      </c>
      <c r="J73" s="908">
        <v>300</v>
      </c>
      <c r="K73" s="908"/>
      <c r="L73" s="913">
        <v>192</v>
      </c>
      <c r="M73" s="908"/>
      <c r="N73" s="913">
        <v>7.7</v>
      </c>
      <c r="O73" s="908"/>
      <c r="P73" s="668">
        <v>45.050534932689125</v>
      </c>
      <c r="Q73" s="668">
        <f t="shared" si="9"/>
        <v>36</v>
      </c>
      <c r="R73" s="432">
        <v>2.9</v>
      </c>
      <c r="S73" s="432">
        <v>15.7</v>
      </c>
      <c r="T73" s="670">
        <v>26.478000000000002</v>
      </c>
      <c r="U73" s="668">
        <f t="shared" si="8"/>
        <v>9.1303448275862085</v>
      </c>
      <c r="V73" s="668">
        <f t="shared" si="3"/>
        <v>81.528662420382162</v>
      </c>
      <c r="W73" s="668">
        <v>0.2</v>
      </c>
      <c r="X73" s="432">
        <f t="shared" si="7"/>
        <v>0.43611111111111112</v>
      </c>
      <c r="Y73" s="432">
        <f t="shared" si="4"/>
        <v>2.8565</v>
      </c>
      <c r="Z73" s="432">
        <f t="shared" si="4"/>
        <v>15.464499999999999</v>
      </c>
      <c r="AA73" s="670">
        <f t="shared" si="4"/>
        <v>26.080830000000002</v>
      </c>
      <c r="AB73" s="432">
        <f t="shared" si="5"/>
        <v>9.1303448275862085</v>
      </c>
      <c r="AC73" s="670">
        <f t="shared" si="1"/>
        <v>81.528662420382162</v>
      </c>
      <c r="AD73" s="908">
        <v>31</v>
      </c>
      <c r="AE73" s="432">
        <f t="shared" si="10"/>
        <v>88.551500000000004</v>
      </c>
      <c r="AF73" s="449"/>
    </row>
    <row r="74" spans="1:32" ht="18.75" customHeight="1" x14ac:dyDescent="0.2">
      <c r="A74" s="908">
        <v>60</v>
      </c>
      <c r="B74" s="461" t="s">
        <v>211</v>
      </c>
      <c r="C74" s="908" t="s">
        <v>46</v>
      </c>
      <c r="D74" s="908">
        <v>675.29</v>
      </c>
      <c r="E74" s="908" t="s">
        <v>224</v>
      </c>
      <c r="F74" s="908">
        <v>177.8</v>
      </c>
      <c r="G74" s="908" t="s">
        <v>28</v>
      </c>
      <c r="H74" s="908" t="s">
        <v>384</v>
      </c>
      <c r="I74" s="907">
        <v>554.95999999999981</v>
      </c>
      <c r="J74" s="908">
        <v>200</v>
      </c>
      <c r="K74" s="908"/>
      <c r="L74" s="913">
        <v>414</v>
      </c>
      <c r="M74" s="908"/>
      <c r="N74" s="913">
        <v>0.9</v>
      </c>
      <c r="O74" s="908"/>
      <c r="P74" s="668">
        <v>16.469922399746</v>
      </c>
      <c r="Q74" s="668">
        <f>(22*J74)/100</f>
        <v>44</v>
      </c>
      <c r="R74" s="432">
        <v>2.7</v>
      </c>
      <c r="S74" s="432">
        <v>5.2</v>
      </c>
      <c r="T74" s="670">
        <v>0</v>
      </c>
      <c r="U74" s="668">
        <f t="shared" si="8"/>
        <v>0</v>
      </c>
      <c r="V74" s="668">
        <f t="shared" si="3"/>
        <v>48.076923076923073</v>
      </c>
      <c r="W74" s="668">
        <v>0.2</v>
      </c>
      <c r="X74" s="432">
        <f t="shared" si="7"/>
        <v>0.11818181818181818</v>
      </c>
      <c r="Y74" s="432">
        <f t="shared" si="4"/>
        <v>2.6595</v>
      </c>
      <c r="Z74" s="432">
        <f t="shared" si="4"/>
        <v>5.1219999999999999</v>
      </c>
      <c r="AA74" s="670">
        <f t="shared" si="4"/>
        <v>0</v>
      </c>
      <c r="AB74" s="432">
        <f t="shared" si="5"/>
        <v>0</v>
      </c>
      <c r="AC74" s="670">
        <f t="shared" si="1"/>
        <v>48.076923076923073</v>
      </c>
      <c r="AD74" s="908">
        <v>31</v>
      </c>
      <c r="AE74" s="432">
        <f t="shared" si="10"/>
        <v>82.444500000000005</v>
      </c>
      <c r="AF74" s="449"/>
    </row>
    <row r="75" spans="1:32" ht="18.600000000000001" customHeight="1" x14ac:dyDescent="0.2">
      <c r="A75" s="908">
        <v>61</v>
      </c>
      <c r="B75" s="461" t="s">
        <v>341</v>
      </c>
      <c r="C75" s="908" t="s">
        <v>46</v>
      </c>
      <c r="D75" s="908">
        <v>683.16</v>
      </c>
      <c r="E75" s="908" t="s">
        <v>343</v>
      </c>
      <c r="F75" s="908">
        <v>177.8</v>
      </c>
      <c r="G75" s="908" t="s">
        <v>28</v>
      </c>
      <c r="H75" s="908" t="s">
        <v>342</v>
      </c>
      <c r="I75" s="907">
        <v>571.9</v>
      </c>
      <c r="J75" s="908">
        <v>225</v>
      </c>
      <c r="K75" s="908"/>
      <c r="L75" s="913">
        <v>261</v>
      </c>
      <c r="M75" s="908"/>
      <c r="N75" s="913">
        <v>9.1999999999999993</v>
      </c>
      <c r="O75" s="908"/>
      <c r="P75" s="668">
        <v>34.700553935665781</v>
      </c>
      <c r="Q75" s="668">
        <f>(20*J75)/100</f>
        <v>45</v>
      </c>
      <c r="R75" s="432">
        <v>29</v>
      </c>
      <c r="S75" s="432">
        <v>36.130000000000003</v>
      </c>
      <c r="T75" s="670">
        <v>527</v>
      </c>
      <c r="U75" s="668">
        <f t="shared" si="8"/>
        <v>18.172413793103448</v>
      </c>
      <c r="V75" s="668">
        <f t="shared" si="3"/>
        <v>19.734292831442023</v>
      </c>
      <c r="W75" s="668">
        <v>0.2</v>
      </c>
      <c r="X75" s="432">
        <f t="shared" si="7"/>
        <v>0.80288888888888899</v>
      </c>
      <c r="Y75" s="432">
        <f t="shared" si="4"/>
        <v>28.565000000000001</v>
      </c>
      <c r="Z75" s="432">
        <f t="shared" si="4"/>
        <v>35.588050000000003</v>
      </c>
      <c r="AA75" s="670">
        <f t="shared" si="4"/>
        <v>519.09500000000003</v>
      </c>
      <c r="AB75" s="432">
        <f t="shared" si="5"/>
        <v>18.172413793103448</v>
      </c>
      <c r="AC75" s="670">
        <f t="shared" si="1"/>
        <v>19.734292831442023</v>
      </c>
      <c r="AD75" s="908">
        <v>31</v>
      </c>
      <c r="AE75" s="432">
        <f t="shared" si="10"/>
        <v>885.51499999999999</v>
      </c>
      <c r="AF75" s="449"/>
    </row>
    <row r="76" spans="1:32" ht="18.75" customHeight="1" x14ac:dyDescent="0.2">
      <c r="A76" s="908">
        <v>62</v>
      </c>
      <c r="B76" s="461" t="s">
        <v>354</v>
      </c>
      <c r="C76" s="908" t="s">
        <v>46</v>
      </c>
      <c r="D76" s="908">
        <v>634.29</v>
      </c>
      <c r="E76" s="832" t="s">
        <v>356</v>
      </c>
      <c r="F76" s="908">
        <v>178.8</v>
      </c>
      <c r="G76" s="908" t="s">
        <v>28</v>
      </c>
      <c r="H76" s="908" t="s">
        <v>366</v>
      </c>
      <c r="I76" s="907">
        <v>540.14</v>
      </c>
      <c r="J76" s="908">
        <v>220</v>
      </c>
      <c r="K76" s="908"/>
      <c r="L76" s="913">
        <v>315</v>
      </c>
      <c r="M76" s="908"/>
      <c r="N76" s="913">
        <v>10</v>
      </c>
      <c r="O76" s="908"/>
      <c r="P76" s="668">
        <v>32.611280408289375</v>
      </c>
      <c r="Q76" s="668">
        <f>(33*J76)/100</f>
        <v>72.599999999999994</v>
      </c>
      <c r="R76" s="432">
        <v>20</v>
      </c>
      <c r="S76" s="432">
        <v>48.7</v>
      </c>
      <c r="T76" s="670">
        <v>284</v>
      </c>
      <c r="U76" s="668">
        <f t="shared" si="8"/>
        <v>14.2</v>
      </c>
      <c r="V76" s="668">
        <f t="shared" si="3"/>
        <v>58.932238193018485</v>
      </c>
      <c r="W76" s="668">
        <v>0.2</v>
      </c>
      <c r="X76" s="432">
        <f t="shared" si="7"/>
        <v>0.6707988980716254</v>
      </c>
      <c r="Y76" s="432">
        <f t="shared" si="4"/>
        <v>19.7</v>
      </c>
      <c r="Z76" s="432">
        <f t="shared" si="4"/>
        <v>47.969500000000004</v>
      </c>
      <c r="AA76" s="670">
        <f t="shared" si="4"/>
        <v>279.74</v>
      </c>
      <c r="AB76" s="432">
        <f t="shared" si="5"/>
        <v>14.2</v>
      </c>
      <c r="AC76" s="670">
        <f t="shared" si="1"/>
        <v>58.932238193018485</v>
      </c>
      <c r="AD76" s="908">
        <v>31</v>
      </c>
      <c r="AE76" s="432">
        <f t="shared" si="10"/>
        <v>610.69999999999993</v>
      </c>
      <c r="AF76" s="449"/>
    </row>
    <row r="77" spans="1:32" ht="18.75" customHeight="1" x14ac:dyDescent="0.2">
      <c r="A77" s="898">
        <v>63</v>
      </c>
      <c r="B77" s="461" t="s">
        <v>172</v>
      </c>
      <c r="C77" s="898" t="s">
        <v>46</v>
      </c>
      <c r="D77" s="898">
        <v>673</v>
      </c>
      <c r="E77" s="898" t="s">
        <v>173</v>
      </c>
      <c r="F77" s="898">
        <v>177.8</v>
      </c>
      <c r="G77" s="898" t="s">
        <v>28</v>
      </c>
      <c r="H77" s="898" t="s">
        <v>50</v>
      </c>
      <c r="I77" s="897">
        <v>560.79</v>
      </c>
      <c r="J77" s="898">
        <v>365</v>
      </c>
      <c r="K77" s="898"/>
      <c r="L77" s="913">
        <v>183</v>
      </c>
      <c r="M77" s="898"/>
      <c r="N77" s="913">
        <v>4.5999999999999996</v>
      </c>
      <c r="O77" s="898"/>
      <c r="P77" s="448">
        <v>42.88379717590913</v>
      </c>
      <c r="Q77" s="668">
        <f>LEFT(H77,(FIND("K",H77,1)-1))*J77/100</f>
        <v>21.9</v>
      </c>
      <c r="R77" s="432">
        <v>1.75</v>
      </c>
      <c r="S77" s="432">
        <v>6.6</v>
      </c>
      <c r="T77" s="670">
        <v>10.304</v>
      </c>
      <c r="U77" s="668">
        <f t="shared" si="8"/>
        <v>5.8879999999999999</v>
      </c>
      <c r="V77" s="668">
        <f t="shared" si="3"/>
        <v>73.484848484848484</v>
      </c>
      <c r="W77" s="668">
        <v>0.3</v>
      </c>
      <c r="X77" s="432">
        <f t="shared" si="7"/>
        <v>0.30136986301369861</v>
      </c>
      <c r="Y77" s="432">
        <f t="shared" si="4"/>
        <v>1.7237499999999999</v>
      </c>
      <c r="Z77" s="432">
        <f t="shared" si="4"/>
        <v>6.5009999999999994</v>
      </c>
      <c r="AA77" s="670">
        <f t="shared" si="4"/>
        <v>10.14944</v>
      </c>
      <c r="AB77" s="432">
        <f t="shared" si="5"/>
        <v>5.8879999999999999</v>
      </c>
      <c r="AC77" s="670">
        <f t="shared" si="1"/>
        <v>73.484848484848484</v>
      </c>
      <c r="AD77" s="898">
        <v>31</v>
      </c>
      <c r="AE77" s="432">
        <f>Y77*AD77</f>
        <v>53.436249999999994</v>
      </c>
      <c r="AF77" s="449"/>
    </row>
    <row r="78" spans="1:32" ht="18.75" customHeight="1" x14ac:dyDescent="0.25">
      <c r="A78" s="869"/>
      <c r="B78" s="898"/>
      <c r="C78" s="898"/>
      <c r="D78" s="897"/>
      <c r="E78" s="897"/>
      <c r="F78" s="461"/>
      <c r="G78" s="898"/>
      <c r="H78" s="898"/>
      <c r="I78" s="897"/>
      <c r="J78" s="897"/>
      <c r="K78" s="897"/>
      <c r="L78" s="911"/>
      <c r="M78" s="897"/>
      <c r="N78" s="913"/>
      <c r="O78" s="897"/>
      <c r="P78" s="668"/>
      <c r="Q78" s="448"/>
      <c r="R78" s="466">
        <f>SUM(R15:R77)</f>
        <v>375.30199999999996</v>
      </c>
      <c r="S78" s="466">
        <f>SUM(S15:S77)</f>
        <v>805.93600000000004</v>
      </c>
      <c r="T78" s="512">
        <f>SUM(T15:T77)</f>
        <v>11353.57</v>
      </c>
      <c r="U78" s="466">
        <f>T78/R78</f>
        <v>30.251823864514446</v>
      </c>
      <c r="V78" s="466"/>
      <c r="W78" s="466"/>
      <c r="X78" s="466"/>
      <c r="Y78" s="466">
        <f>SUM(Y15:Y77)</f>
        <v>369.67246999999998</v>
      </c>
      <c r="Z78" s="466">
        <f>SUM(Z15:Z77)</f>
        <v>793.84695999999997</v>
      </c>
      <c r="AA78" s="678">
        <f>SUM(AA15:AA77)</f>
        <v>11183.266450000001</v>
      </c>
      <c r="AB78" s="466">
        <f>AA78/Y78</f>
        <v>30.251823864514449</v>
      </c>
      <c r="AC78" s="466"/>
      <c r="AD78" s="893"/>
      <c r="AE78" s="466">
        <f>SUM(AE15:AE77)</f>
        <v>11459.846569999996</v>
      </c>
      <c r="AF78" s="669"/>
    </row>
    <row r="79" spans="1:32" ht="18.75" customHeight="1" x14ac:dyDescent="0.25">
      <c r="A79" s="869"/>
      <c r="B79" s="898"/>
      <c r="C79" s="898"/>
      <c r="D79" s="897"/>
      <c r="E79" s="897"/>
      <c r="F79" s="461"/>
      <c r="G79" s="898"/>
      <c r="H79" s="898"/>
      <c r="I79" s="897"/>
      <c r="J79" s="897"/>
      <c r="K79" s="897"/>
      <c r="L79" s="911"/>
      <c r="M79" s="897"/>
      <c r="N79" s="913"/>
      <c r="O79" s="897"/>
      <c r="P79" s="668"/>
      <c r="Q79" s="448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893"/>
      <c r="AE79" s="466"/>
      <c r="AF79" s="669"/>
    </row>
    <row r="80" spans="1:32" ht="18.75" customHeight="1" x14ac:dyDescent="0.25">
      <c r="A80" s="869"/>
      <c r="B80" s="898"/>
      <c r="C80" s="898"/>
      <c r="D80" s="897"/>
      <c r="E80" s="889" t="s">
        <v>388</v>
      </c>
      <c r="F80" s="461"/>
      <c r="G80" s="898"/>
      <c r="H80" s="898"/>
      <c r="I80" s="897"/>
      <c r="J80" s="897"/>
      <c r="K80" s="897"/>
      <c r="L80" s="911"/>
      <c r="M80" s="897"/>
      <c r="N80" s="913"/>
      <c r="O80" s="897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893"/>
      <c r="AE80" s="466"/>
      <c r="AF80" s="669"/>
    </row>
    <row r="81" spans="1:32" ht="18.75" customHeight="1" x14ac:dyDescent="0.2">
      <c r="A81" s="908">
        <v>64</v>
      </c>
      <c r="B81" s="461" t="s">
        <v>423</v>
      </c>
      <c r="C81" s="908" t="s">
        <v>445</v>
      </c>
      <c r="D81" s="907">
        <v>683.8</v>
      </c>
      <c r="E81" s="907" t="s">
        <v>473</v>
      </c>
      <c r="F81" s="908">
        <v>177.8</v>
      </c>
      <c r="G81" s="908" t="s">
        <v>28</v>
      </c>
      <c r="H81" s="908" t="s">
        <v>48</v>
      </c>
      <c r="I81" s="907">
        <v>590.46</v>
      </c>
      <c r="J81" s="907">
        <v>250</v>
      </c>
      <c r="K81" s="907"/>
      <c r="L81" s="911">
        <v>178</v>
      </c>
      <c r="M81" s="907"/>
      <c r="N81" s="913">
        <v>8.8000000000000007</v>
      </c>
      <c r="O81" s="907"/>
      <c r="P81" s="668">
        <v>44.942029973049692</v>
      </c>
      <c r="Q81" s="668">
        <f t="shared" ref="Q81:Q84" si="11">LEFT(H81,(FIND("K",H81,1)-1))*J81/100</f>
        <v>32.5</v>
      </c>
      <c r="R81" s="432">
        <v>23.99</v>
      </c>
      <c r="S81" s="432">
        <v>24.56</v>
      </c>
      <c r="T81" s="492">
        <v>1357</v>
      </c>
      <c r="U81" s="668">
        <f t="shared" ref="U81:U84" si="12">T81/R81</f>
        <v>56.565235514797834</v>
      </c>
      <c r="V81" s="668">
        <f t="shared" ref="V81:V84" si="13">(S81-R81)/S81*100</f>
        <v>2.3208469055374605</v>
      </c>
      <c r="W81" s="668">
        <v>0.2</v>
      </c>
      <c r="X81" s="432">
        <f t="shared" ref="X81:X84" si="14">S81/Q81</f>
        <v>0.75569230769230766</v>
      </c>
      <c r="Y81" s="432">
        <f>R81*0.985</f>
        <v>23.630149999999997</v>
      </c>
      <c r="Z81" s="432">
        <f>S81*0.985</f>
        <v>24.191599999999998</v>
      </c>
      <c r="AA81" s="670">
        <f>T81*0.985</f>
        <v>1336.645</v>
      </c>
      <c r="AB81" s="432">
        <f t="shared" ref="AB81:AC84" si="15">U81</f>
        <v>56.565235514797834</v>
      </c>
      <c r="AC81" s="670">
        <f t="shared" si="15"/>
        <v>2.3208469055374605</v>
      </c>
      <c r="AD81" s="908">
        <v>31</v>
      </c>
      <c r="AE81" s="432">
        <f>Y81*AD81</f>
        <v>732.53464999999994</v>
      </c>
      <c r="AF81" s="669"/>
    </row>
    <row r="82" spans="1:32" ht="18.75" customHeight="1" x14ac:dyDescent="0.2">
      <c r="A82" s="898">
        <v>65</v>
      </c>
      <c r="B82" s="461" t="s">
        <v>213</v>
      </c>
      <c r="C82" s="898" t="s">
        <v>445</v>
      </c>
      <c r="D82" s="898">
        <v>690.8</v>
      </c>
      <c r="E82" s="898" t="s">
        <v>474</v>
      </c>
      <c r="F82" s="898">
        <v>177.8</v>
      </c>
      <c r="G82" s="898" t="s">
        <v>28</v>
      </c>
      <c r="H82" s="904" t="s">
        <v>218</v>
      </c>
      <c r="I82" s="897">
        <v>651.20000000000005</v>
      </c>
      <c r="J82" s="898">
        <v>100</v>
      </c>
      <c r="K82" s="898"/>
      <c r="L82" s="913">
        <v>351</v>
      </c>
      <c r="M82" s="898"/>
      <c r="N82" s="913">
        <v>6</v>
      </c>
      <c r="O82" s="898"/>
      <c r="P82" s="668">
        <v>34.106235285862091</v>
      </c>
      <c r="Q82" s="668">
        <f t="shared" si="11"/>
        <v>32</v>
      </c>
      <c r="R82" s="432">
        <v>15.526</v>
      </c>
      <c r="S82" s="432">
        <v>20.85</v>
      </c>
      <c r="T82" s="670">
        <v>190</v>
      </c>
      <c r="U82" s="668">
        <f t="shared" si="12"/>
        <v>12.237537034651552</v>
      </c>
      <c r="V82" s="668">
        <f t="shared" si="13"/>
        <v>25.534772182254201</v>
      </c>
      <c r="W82" s="668">
        <v>0.2</v>
      </c>
      <c r="X82" s="432">
        <f t="shared" si="14"/>
        <v>0.65156250000000004</v>
      </c>
      <c r="Y82" s="432">
        <v>0</v>
      </c>
      <c r="Z82" s="432">
        <v>0</v>
      </c>
      <c r="AA82" s="670">
        <v>0</v>
      </c>
      <c r="AB82" s="432">
        <f t="shared" si="15"/>
        <v>12.237537034651552</v>
      </c>
      <c r="AC82" s="670">
        <f>V82</f>
        <v>25.534772182254201</v>
      </c>
      <c r="AD82" s="898">
        <v>0</v>
      </c>
      <c r="AE82" s="432">
        <f t="shared" ref="AE82" si="16">Y82*AD82</f>
        <v>0</v>
      </c>
      <c r="AF82" s="669" t="s">
        <v>483</v>
      </c>
    </row>
    <row r="83" spans="1:32" ht="18.75" customHeight="1" x14ac:dyDescent="0.2">
      <c r="A83" s="898">
        <v>66</v>
      </c>
      <c r="B83" s="461" t="s">
        <v>451</v>
      </c>
      <c r="C83" s="898" t="s">
        <v>445</v>
      </c>
      <c r="D83" s="897">
        <v>683.2700000000001</v>
      </c>
      <c r="E83" s="897" t="s">
        <v>475</v>
      </c>
      <c r="F83" s="898">
        <v>177.8</v>
      </c>
      <c r="G83" s="898" t="s">
        <v>28</v>
      </c>
      <c r="H83" s="898" t="s">
        <v>218</v>
      </c>
      <c r="I83" s="897">
        <v>618.30999999999995</v>
      </c>
      <c r="J83" s="897">
        <v>250</v>
      </c>
      <c r="K83" s="897"/>
      <c r="L83" s="911">
        <v>581</v>
      </c>
      <c r="M83" s="897"/>
      <c r="N83" s="913">
        <v>28.7</v>
      </c>
      <c r="O83" s="897"/>
      <c r="P83" s="668">
        <v>33.081581666977009</v>
      </c>
      <c r="Q83" s="668">
        <f t="shared" si="11"/>
        <v>80</v>
      </c>
      <c r="R83" s="432">
        <v>23.2</v>
      </c>
      <c r="S83" s="432">
        <v>23.4</v>
      </c>
      <c r="T83" s="492">
        <v>2711</v>
      </c>
      <c r="U83" s="668">
        <f t="shared" si="12"/>
        <v>116.85344827586208</v>
      </c>
      <c r="V83" s="668">
        <f t="shared" si="13"/>
        <v>0.85470085470085166</v>
      </c>
      <c r="W83" s="668">
        <v>0.2</v>
      </c>
      <c r="X83" s="432">
        <f t="shared" si="14"/>
        <v>0.29249999999999998</v>
      </c>
      <c r="Y83" s="432">
        <f t="shared" ref="Y83:AA84" si="17">R83*0.985</f>
        <v>22.852</v>
      </c>
      <c r="Z83" s="432">
        <f t="shared" si="17"/>
        <v>23.048999999999999</v>
      </c>
      <c r="AA83" s="670">
        <f t="shared" si="17"/>
        <v>2670.335</v>
      </c>
      <c r="AB83" s="668">
        <f t="shared" si="15"/>
        <v>116.85344827586208</v>
      </c>
      <c r="AC83" s="670">
        <f t="shared" si="15"/>
        <v>0.85470085470085166</v>
      </c>
      <c r="AD83" s="898">
        <v>31</v>
      </c>
      <c r="AE83" s="432">
        <f>Y83*AD83</f>
        <v>708.41200000000003</v>
      </c>
      <c r="AF83" s="669"/>
    </row>
    <row r="84" spans="1:32" ht="18.75" customHeight="1" x14ac:dyDescent="0.2">
      <c r="A84" s="898">
        <v>67</v>
      </c>
      <c r="B84" s="461" t="s">
        <v>424</v>
      </c>
      <c r="C84" s="898" t="s">
        <v>445</v>
      </c>
      <c r="D84" s="897">
        <v>691</v>
      </c>
      <c r="E84" s="897" t="s">
        <v>476</v>
      </c>
      <c r="F84" s="898">
        <v>177.8</v>
      </c>
      <c r="G84" s="898" t="s">
        <v>28</v>
      </c>
      <c r="H84" s="898" t="s">
        <v>48</v>
      </c>
      <c r="I84" s="897">
        <v>655.99</v>
      </c>
      <c r="J84" s="897">
        <v>100</v>
      </c>
      <c r="K84" s="897"/>
      <c r="L84" s="911">
        <v>615</v>
      </c>
      <c r="M84" s="897"/>
      <c r="N84" s="913">
        <v>8.1</v>
      </c>
      <c r="O84" s="897"/>
      <c r="P84" s="668">
        <v>12.104391117643944</v>
      </c>
      <c r="Q84" s="668">
        <f t="shared" si="11"/>
        <v>13</v>
      </c>
      <c r="R84" s="432">
        <v>2.121</v>
      </c>
      <c r="S84" s="432">
        <v>2.1280000000000001</v>
      </c>
      <c r="T84" s="492">
        <v>0</v>
      </c>
      <c r="U84" s="668">
        <f t="shared" si="12"/>
        <v>0</v>
      </c>
      <c r="V84" s="668">
        <f t="shared" si="13"/>
        <v>0.3289473684210581</v>
      </c>
      <c r="W84" s="668">
        <v>0.2</v>
      </c>
      <c r="X84" s="432">
        <f t="shared" si="14"/>
        <v>0.16369230769230769</v>
      </c>
      <c r="Y84" s="432">
        <v>0</v>
      </c>
      <c r="Z84" s="432">
        <f t="shared" si="17"/>
        <v>2.0960800000000002</v>
      </c>
      <c r="AA84" s="670">
        <f>T84*0.985</f>
        <v>0</v>
      </c>
      <c r="AB84" s="432">
        <f t="shared" si="15"/>
        <v>0</v>
      </c>
      <c r="AC84" s="670">
        <f t="shared" si="15"/>
        <v>0.3289473684210581</v>
      </c>
      <c r="AD84" s="898">
        <v>0</v>
      </c>
      <c r="AE84" s="432">
        <f>Y84*AD84</f>
        <v>0</v>
      </c>
      <c r="AF84" s="669" t="s">
        <v>483</v>
      </c>
    </row>
    <row r="85" spans="1:32" ht="18.75" customHeight="1" x14ac:dyDescent="0.25">
      <c r="A85" s="898">
        <v>68</v>
      </c>
      <c r="B85" s="461" t="s">
        <v>155</v>
      </c>
      <c r="C85" s="898" t="s">
        <v>415</v>
      </c>
      <c r="D85" s="898">
        <v>513.9</v>
      </c>
      <c r="E85" s="898" t="s">
        <v>477</v>
      </c>
      <c r="F85" s="898">
        <v>177.8</v>
      </c>
      <c r="G85" s="898"/>
      <c r="H85" s="898"/>
      <c r="I85" s="897">
        <v>9.5</v>
      </c>
      <c r="J85" s="897"/>
      <c r="K85" s="897"/>
      <c r="L85" s="911"/>
      <c r="M85" s="897"/>
      <c r="N85" s="913"/>
      <c r="O85" s="897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898">
        <v>69</v>
      </c>
      <c r="B86" s="461" t="s">
        <v>465</v>
      </c>
      <c r="C86" s="898" t="s">
        <v>46</v>
      </c>
      <c r="D86" s="898">
        <v>571.91</v>
      </c>
      <c r="E86" s="898" t="s">
        <v>478</v>
      </c>
      <c r="F86" s="898">
        <v>177.8</v>
      </c>
      <c r="G86" s="898"/>
      <c r="H86" s="831"/>
      <c r="I86" s="903">
        <v>9.5</v>
      </c>
      <c r="J86" s="897"/>
      <c r="K86" s="897"/>
      <c r="L86" s="911"/>
      <c r="M86" s="897"/>
      <c r="N86" s="913"/>
      <c r="O86" s="897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893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898"/>
      <c r="H87" s="898"/>
      <c r="I87" s="898"/>
      <c r="J87" s="897"/>
      <c r="K87" s="897"/>
      <c r="L87" s="911"/>
      <c r="M87" s="897"/>
      <c r="N87" s="911"/>
      <c r="O87" s="897"/>
      <c r="P87" s="448"/>
      <c r="Q87" s="448"/>
      <c r="R87" s="466">
        <f>SUM(R81:R84)</f>
        <v>64.836999999999989</v>
      </c>
      <c r="S87" s="466">
        <f>SUM(S81:S84)</f>
        <v>70.938000000000002</v>
      </c>
      <c r="T87" s="512">
        <f>SUM(T81:T84)</f>
        <v>4258</v>
      </c>
      <c r="U87" s="466">
        <f>T87/R87</f>
        <v>65.672378425898799</v>
      </c>
      <c r="V87" s="466"/>
      <c r="W87" s="466"/>
      <c r="X87" s="466"/>
      <c r="Y87" s="466">
        <f>SUM(Y81:Y84)</f>
        <v>46.482149999999997</v>
      </c>
      <c r="Z87" s="466">
        <f>SUM(Z81:Z84)</f>
        <v>49.336680000000001</v>
      </c>
      <c r="AA87" s="678">
        <f>SUM(AA81:AA84)</f>
        <v>4006.98</v>
      </c>
      <c r="AB87" s="466">
        <f>AA87/Y87</f>
        <v>86.204704386522579</v>
      </c>
      <c r="AC87" s="466"/>
      <c r="AD87" s="893"/>
      <c r="AE87" s="466">
        <f>SUM(AE81:AE84)</f>
        <v>1440.9466499999999</v>
      </c>
      <c r="AF87" s="669"/>
    </row>
    <row r="88" spans="1:32" ht="18.75" customHeight="1" x14ac:dyDescent="0.25">
      <c r="A88" s="870"/>
      <c r="B88" s="873"/>
      <c r="C88" s="850"/>
      <c r="D88" s="850"/>
      <c r="E88" s="899" t="s">
        <v>470</v>
      </c>
      <c r="F88" s="853"/>
      <c r="G88" s="891"/>
      <c r="H88" s="889"/>
      <c r="I88" s="889"/>
      <c r="J88" s="897"/>
      <c r="K88" s="897"/>
      <c r="L88" s="911"/>
      <c r="M88" s="897"/>
      <c r="N88" s="911"/>
      <c r="O88" s="897"/>
      <c r="P88" s="448"/>
      <c r="Q88" s="448"/>
      <c r="R88" s="923"/>
      <c r="S88" s="437"/>
      <c r="T88" s="923"/>
      <c r="U88" s="891"/>
      <c r="V88" s="909"/>
      <c r="W88" s="891"/>
      <c r="X88" s="421"/>
      <c r="Y88" s="897"/>
      <c r="Z88" s="897"/>
      <c r="AA88" s="897"/>
      <c r="AB88" s="891"/>
      <c r="AC88" s="891"/>
      <c r="AD88" s="897"/>
      <c r="AE88" s="897"/>
      <c r="AF88" s="889"/>
    </row>
    <row r="89" spans="1:32" ht="18.75" customHeight="1" x14ac:dyDescent="0.2">
      <c r="A89" s="892">
        <v>70</v>
      </c>
      <c r="B89" s="904" t="s">
        <v>131</v>
      </c>
      <c r="C89" s="892" t="s">
        <v>313</v>
      </c>
      <c r="D89" s="898">
        <v>389.74</v>
      </c>
      <c r="E89" s="679" t="s">
        <v>136</v>
      </c>
      <c r="F89" s="898">
        <v>177.8</v>
      </c>
      <c r="G89" s="898" t="s">
        <v>28</v>
      </c>
      <c r="H89" s="898" t="s">
        <v>485</v>
      </c>
      <c r="I89" s="897">
        <v>162.85</v>
      </c>
      <c r="J89" s="897">
        <v>85</v>
      </c>
      <c r="K89" s="898"/>
      <c r="L89" s="913">
        <v>60</v>
      </c>
      <c r="M89" s="898"/>
      <c r="N89" s="913">
        <v>0</v>
      </c>
      <c r="O89" s="898"/>
      <c r="P89" s="668">
        <v>11.961774120762113</v>
      </c>
      <c r="Q89" s="448">
        <f>(15*J89)/100</f>
        <v>12.75</v>
      </c>
      <c r="R89" s="432">
        <v>6</v>
      </c>
      <c r="S89" s="432">
        <v>10.568</v>
      </c>
      <c r="T89" s="432">
        <v>0</v>
      </c>
      <c r="U89" s="432">
        <f>T89/R89</f>
        <v>0</v>
      </c>
      <c r="V89" s="432">
        <f t="shared" ref="V89:V92" si="18">(S89-R89)/S89*100</f>
        <v>43.224829674489023</v>
      </c>
      <c r="W89" s="432">
        <v>0.7</v>
      </c>
      <c r="X89" s="432">
        <f t="shared" ref="X89:X92" si="19">S89/Q89</f>
        <v>0.82886274509803914</v>
      </c>
      <c r="Y89" s="432">
        <f>R89*0.985</f>
        <v>5.91</v>
      </c>
      <c r="Z89" s="432">
        <f>S89*0.985</f>
        <v>10.40948</v>
      </c>
      <c r="AA89" s="432">
        <f>T89*0.985</f>
        <v>0</v>
      </c>
      <c r="AB89" s="432">
        <f t="shared" ref="AB89:AC92" si="20">U89</f>
        <v>0</v>
      </c>
      <c r="AC89" s="432">
        <f t="shared" si="20"/>
        <v>43.224829674489023</v>
      </c>
      <c r="AD89" s="898">
        <v>31</v>
      </c>
      <c r="AE89" s="432">
        <f t="shared" ref="AE89:AE92" si="21">Y89*AD89</f>
        <v>183.21</v>
      </c>
      <c r="AF89" s="449"/>
    </row>
    <row r="90" spans="1:32" ht="18.75" customHeight="1" x14ac:dyDescent="0.2">
      <c r="A90" s="912">
        <v>71</v>
      </c>
      <c r="B90" s="913" t="s">
        <v>132</v>
      </c>
      <c r="C90" s="912" t="s">
        <v>313</v>
      </c>
      <c r="D90" s="913">
        <v>387.72</v>
      </c>
      <c r="E90" s="679" t="s">
        <v>135</v>
      </c>
      <c r="F90" s="913">
        <v>177.8</v>
      </c>
      <c r="G90" s="913" t="s">
        <v>28</v>
      </c>
      <c r="H90" s="913" t="s">
        <v>485</v>
      </c>
      <c r="I90" s="911">
        <v>130.86000000000001</v>
      </c>
      <c r="J90" s="913">
        <v>85</v>
      </c>
      <c r="K90" s="913"/>
      <c r="L90" s="913">
        <v>70</v>
      </c>
      <c r="M90" s="913"/>
      <c r="N90" s="913">
        <v>0</v>
      </c>
      <c r="O90" s="913"/>
      <c r="P90" s="668">
        <v>9.6864786297909866</v>
      </c>
      <c r="Q90" s="448">
        <f>(15*J90)/100</f>
        <v>12.75</v>
      </c>
      <c r="R90" s="432">
        <v>5</v>
      </c>
      <c r="S90" s="432">
        <v>6.78</v>
      </c>
      <c r="T90" s="432">
        <v>0</v>
      </c>
      <c r="U90" s="432">
        <f>T90/R90</f>
        <v>0</v>
      </c>
      <c r="V90" s="432">
        <f t="shared" si="18"/>
        <v>26.253687315634224</v>
      </c>
      <c r="W90" s="432">
        <v>0.3</v>
      </c>
      <c r="X90" s="432">
        <f t="shared" si="19"/>
        <v>0.53176470588235292</v>
      </c>
      <c r="Y90" s="432">
        <f t="shared" ref="Y90:Y92" si="22">R90*0.985</f>
        <v>4.9249999999999998</v>
      </c>
      <c r="Z90" s="432">
        <f t="shared" ref="Z90:Z92" si="23">S90*0.985</f>
        <v>6.6783000000000001</v>
      </c>
      <c r="AA90" s="432">
        <f t="shared" ref="AA90:AA92" si="24">T90*0.985</f>
        <v>0</v>
      </c>
      <c r="AB90" s="432">
        <v>0</v>
      </c>
      <c r="AC90" s="432">
        <f>V90</f>
        <v>26.253687315634224</v>
      </c>
      <c r="AD90" s="913">
        <v>31</v>
      </c>
      <c r="AE90" s="432">
        <f t="shared" si="21"/>
        <v>152.67499999999998</v>
      </c>
      <c r="AF90" s="449"/>
    </row>
    <row r="91" spans="1:32" ht="18.75" customHeight="1" x14ac:dyDescent="0.2">
      <c r="A91" s="892">
        <v>72</v>
      </c>
      <c r="B91" s="898" t="s">
        <v>121</v>
      </c>
      <c r="C91" s="892" t="s">
        <v>313</v>
      </c>
      <c r="D91" s="898">
        <v>389.57</v>
      </c>
      <c r="E91" s="898" t="s">
        <v>137</v>
      </c>
      <c r="F91" s="898">
        <v>177.8</v>
      </c>
      <c r="G91" s="898" t="s">
        <v>28</v>
      </c>
      <c r="H91" s="831" t="s">
        <v>466</v>
      </c>
      <c r="I91" s="897">
        <v>133.79</v>
      </c>
      <c r="J91" s="898">
        <v>85</v>
      </c>
      <c r="K91" s="898"/>
      <c r="L91" s="913">
        <v>40</v>
      </c>
      <c r="M91" s="898"/>
      <c r="N91" s="913">
        <v>0</v>
      </c>
      <c r="O91" s="898"/>
      <c r="P91" s="668">
        <v>12.624258993489795</v>
      </c>
      <c r="Q91" s="448">
        <f>(13*J91)/100</f>
        <v>11.05</v>
      </c>
      <c r="R91" s="432">
        <v>4.9000000000000004</v>
      </c>
      <c r="S91" s="432">
        <v>11.09</v>
      </c>
      <c r="T91" s="432">
        <v>0</v>
      </c>
      <c r="U91" s="432">
        <v>0</v>
      </c>
      <c r="V91" s="432">
        <v>75</v>
      </c>
      <c r="W91" s="432">
        <v>1.3</v>
      </c>
      <c r="X91" s="432">
        <f>S91/Q91</f>
        <v>1.0036199095022624</v>
      </c>
      <c r="Y91" s="432">
        <f t="shared" si="22"/>
        <v>4.8265000000000002</v>
      </c>
      <c r="Z91" s="432">
        <f t="shared" si="23"/>
        <v>10.92365</v>
      </c>
      <c r="AA91" s="432">
        <f t="shared" si="24"/>
        <v>0</v>
      </c>
      <c r="AB91" s="432">
        <v>0</v>
      </c>
      <c r="AC91" s="432">
        <v>47</v>
      </c>
      <c r="AD91" s="898">
        <v>31</v>
      </c>
      <c r="AE91" s="432">
        <f t="shared" si="21"/>
        <v>149.6215</v>
      </c>
      <c r="AF91" s="669"/>
    </row>
    <row r="92" spans="1:32" ht="18.75" customHeight="1" x14ac:dyDescent="0.2">
      <c r="A92" s="892">
        <v>73</v>
      </c>
      <c r="B92" s="898" t="s">
        <v>122</v>
      </c>
      <c r="C92" s="892" t="s">
        <v>313</v>
      </c>
      <c r="D92" s="898">
        <v>391.06</v>
      </c>
      <c r="E92" s="898" t="s">
        <v>138</v>
      </c>
      <c r="F92" s="898">
        <v>177.8</v>
      </c>
      <c r="G92" s="898" t="s">
        <v>28</v>
      </c>
      <c r="H92" s="898" t="s">
        <v>58</v>
      </c>
      <c r="I92" s="432">
        <v>151.72999999999999</v>
      </c>
      <c r="J92" s="898">
        <v>330</v>
      </c>
      <c r="K92" s="893"/>
      <c r="L92" s="913">
        <v>58</v>
      </c>
      <c r="M92" s="893"/>
      <c r="N92" s="913">
        <v>0</v>
      </c>
      <c r="O92" s="893"/>
      <c r="P92" s="668">
        <v>12.086355867128212</v>
      </c>
      <c r="Q92" s="448">
        <f>(3*J92)/100</f>
        <v>9.9</v>
      </c>
      <c r="R92" s="432">
        <v>2.2000000000000002</v>
      </c>
      <c r="S92" s="432">
        <v>2.6</v>
      </c>
      <c r="T92" s="432">
        <v>0</v>
      </c>
      <c r="U92" s="432">
        <f>T92/R92</f>
        <v>0</v>
      </c>
      <c r="V92" s="432">
        <f t="shared" si="18"/>
        <v>15.38461538461538</v>
      </c>
      <c r="W92" s="432">
        <v>0.6</v>
      </c>
      <c r="X92" s="432">
        <f t="shared" si="19"/>
        <v>0.26262626262626265</v>
      </c>
      <c r="Y92" s="432">
        <f t="shared" si="22"/>
        <v>2.1670000000000003</v>
      </c>
      <c r="Z92" s="432">
        <f t="shared" si="23"/>
        <v>2.5609999999999999</v>
      </c>
      <c r="AA92" s="432">
        <f t="shared" si="24"/>
        <v>0</v>
      </c>
      <c r="AB92" s="432">
        <f t="shared" si="20"/>
        <v>0</v>
      </c>
      <c r="AC92" s="432">
        <f t="shared" si="20"/>
        <v>15.38461538461538</v>
      </c>
      <c r="AD92" s="898">
        <v>31</v>
      </c>
      <c r="AE92" s="432">
        <f t="shared" si="21"/>
        <v>67.177000000000007</v>
      </c>
      <c r="AF92" s="680"/>
    </row>
    <row r="93" spans="1:32" ht="18.75" customHeight="1" x14ac:dyDescent="0.2">
      <c r="A93" s="892">
        <v>74</v>
      </c>
      <c r="B93" s="898" t="s">
        <v>188</v>
      </c>
      <c r="C93" s="892" t="s">
        <v>344</v>
      </c>
      <c r="D93" s="898">
        <v>400.5</v>
      </c>
      <c r="E93" s="898" t="s">
        <v>345</v>
      </c>
      <c r="F93" s="898">
        <v>177.8</v>
      </c>
      <c r="G93" s="898"/>
      <c r="H93" s="898"/>
      <c r="I93" s="432"/>
      <c r="J93" s="898"/>
      <c r="K93" s="893"/>
      <c r="L93" s="913"/>
      <c r="M93" s="893"/>
      <c r="N93" s="913"/>
      <c r="O93" s="893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898"/>
      <c r="AE93" s="432"/>
      <c r="AF93" s="669"/>
    </row>
    <row r="94" spans="1:32" ht="18.75" customHeight="1" x14ac:dyDescent="0.2">
      <c r="A94" s="892">
        <v>75</v>
      </c>
      <c r="B94" s="898" t="s">
        <v>186</v>
      </c>
      <c r="C94" s="892" t="s">
        <v>346</v>
      </c>
      <c r="D94" s="898">
        <v>349.5</v>
      </c>
      <c r="E94" s="461" t="s">
        <v>347</v>
      </c>
      <c r="F94" s="898">
        <v>177.8</v>
      </c>
      <c r="G94" s="898"/>
      <c r="H94" s="898"/>
      <c r="I94" s="432"/>
      <c r="J94" s="898"/>
      <c r="K94" s="898"/>
      <c r="L94" s="913"/>
      <c r="M94" s="893"/>
      <c r="N94" s="913"/>
      <c r="O94" s="893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898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897"/>
      <c r="G95" s="891"/>
      <c r="H95" s="889"/>
      <c r="I95" s="889"/>
      <c r="J95" s="897"/>
      <c r="K95" s="897"/>
      <c r="L95" s="911"/>
      <c r="M95" s="897"/>
      <c r="N95" s="911"/>
      <c r="O95" s="897"/>
      <c r="P95" s="448"/>
      <c r="Q95" s="448"/>
      <c r="R95" s="466">
        <f>SUM(R89:R94)</f>
        <v>18.100000000000001</v>
      </c>
      <c r="S95" s="466">
        <f>SUM(S89:S94)</f>
        <v>31.038</v>
      </c>
      <c r="T95" s="466">
        <f>SUM(T89:T92)</f>
        <v>0</v>
      </c>
      <c r="U95" s="466">
        <f>SUM(U89:U92)</f>
        <v>0</v>
      </c>
      <c r="V95" s="909"/>
      <c r="W95" s="891"/>
      <c r="X95" s="891"/>
      <c r="Y95" s="466">
        <f>SUM(Y89:Y94)</f>
        <v>17.828500000000002</v>
      </c>
      <c r="Z95" s="466">
        <f>SUM(Z89:Z94)</f>
        <v>30.572430000000004</v>
      </c>
      <c r="AA95" s="466">
        <f>SUM(AA89:AA92)</f>
        <v>0</v>
      </c>
      <c r="AB95" s="466">
        <v>0</v>
      </c>
      <c r="AC95" s="891"/>
      <c r="AD95" s="897"/>
      <c r="AE95" s="466">
        <f>SUM(AE89:AE94)</f>
        <v>552.68349999999998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893"/>
      <c r="G96" s="898"/>
      <c r="H96" s="898"/>
      <c r="I96" s="432"/>
      <c r="J96" s="898"/>
      <c r="K96" s="893"/>
      <c r="L96" s="913"/>
      <c r="M96" s="893"/>
      <c r="N96" s="668"/>
      <c r="O96" s="893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891"/>
      <c r="H97" s="889"/>
      <c r="I97" s="889"/>
      <c r="J97" s="897"/>
      <c r="K97" s="897"/>
      <c r="L97" s="911"/>
      <c r="M97" s="897"/>
      <c r="N97" s="911"/>
      <c r="O97" s="897"/>
      <c r="P97" s="448"/>
      <c r="Q97" s="448"/>
      <c r="R97" s="920"/>
      <c r="S97" s="920"/>
      <c r="T97" s="920"/>
      <c r="U97" s="891"/>
      <c r="V97" s="909"/>
      <c r="W97" s="891"/>
      <c r="X97" s="891"/>
      <c r="Y97" s="897"/>
      <c r="Z97" s="897"/>
      <c r="AA97" s="897"/>
      <c r="AB97" s="891"/>
      <c r="AC97" s="891"/>
      <c r="AD97" s="897"/>
      <c r="AE97" s="897"/>
      <c r="AF97" s="889"/>
    </row>
    <row r="98" spans="1:32" ht="18.75" customHeight="1" x14ac:dyDescent="0.2">
      <c r="A98" s="898">
        <v>76</v>
      </c>
      <c r="B98" s="890" t="s">
        <v>107</v>
      </c>
      <c r="C98" s="897" t="s">
        <v>109</v>
      </c>
      <c r="D98" s="897"/>
      <c r="E98" s="897"/>
      <c r="F98" s="897"/>
      <c r="G98" s="891"/>
      <c r="H98" s="889"/>
      <c r="I98" s="889"/>
      <c r="J98" s="897"/>
      <c r="K98" s="897"/>
      <c r="L98" s="911"/>
      <c r="M98" s="897"/>
      <c r="N98" s="911"/>
      <c r="O98" s="897"/>
      <c r="P98" s="448"/>
      <c r="Q98" s="448"/>
      <c r="R98" s="920"/>
      <c r="S98" s="920"/>
      <c r="T98" s="920"/>
      <c r="U98" s="891"/>
      <c r="V98" s="909"/>
      <c r="W98" s="891"/>
      <c r="X98" s="891"/>
      <c r="Y98" s="889"/>
      <c r="Z98" s="889"/>
      <c r="AA98" s="897"/>
      <c r="AB98" s="891"/>
      <c r="AC98" s="891"/>
      <c r="AD98" s="493"/>
      <c r="AE98" s="897"/>
      <c r="AF98" s="889"/>
    </row>
    <row r="99" spans="1:32" ht="18.75" customHeight="1" x14ac:dyDescent="0.2">
      <c r="A99" s="898">
        <v>77</v>
      </c>
      <c r="B99" s="890" t="s">
        <v>108</v>
      </c>
      <c r="C99" s="897" t="s">
        <v>109</v>
      </c>
      <c r="D99" s="897"/>
      <c r="E99" s="897"/>
      <c r="F99" s="897"/>
      <c r="G99" s="891"/>
      <c r="H99" s="889"/>
      <c r="I99" s="889"/>
      <c r="J99" s="897"/>
      <c r="K99" s="897"/>
      <c r="L99" s="911"/>
      <c r="M99" s="897"/>
      <c r="N99" s="911"/>
      <c r="O99" s="897"/>
      <c r="P99" s="448"/>
      <c r="Q99" s="448"/>
      <c r="R99" s="920"/>
      <c r="S99" s="920"/>
      <c r="T99" s="920"/>
      <c r="U99" s="891"/>
      <c r="V99" s="909"/>
      <c r="W99" s="891"/>
      <c r="X99" s="891"/>
      <c r="Y99" s="889"/>
      <c r="Z99" s="889"/>
      <c r="AA99" s="897"/>
      <c r="AB99" s="891"/>
      <c r="AC99" s="891"/>
      <c r="AD99" s="493"/>
      <c r="AE99" s="897"/>
      <c r="AF99" s="889"/>
    </row>
    <row r="100" spans="1:32" ht="18.75" customHeight="1" x14ac:dyDescent="0.2">
      <c r="A100" s="898">
        <v>78</v>
      </c>
      <c r="B100" s="890" t="s">
        <v>195</v>
      </c>
      <c r="C100" s="892" t="s">
        <v>484</v>
      </c>
      <c r="D100" s="897"/>
      <c r="E100" s="897"/>
      <c r="F100" s="897"/>
      <c r="G100" s="891"/>
      <c r="H100" s="889"/>
      <c r="I100" s="889"/>
      <c r="J100" s="897"/>
      <c r="K100" s="897"/>
      <c r="L100" s="911"/>
      <c r="M100" s="897"/>
      <c r="N100" s="911"/>
      <c r="O100" s="897"/>
      <c r="P100" s="448"/>
      <c r="Q100" s="448"/>
      <c r="R100" s="920"/>
      <c r="S100" s="920"/>
      <c r="T100" s="920"/>
      <c r="U100" s="891"/>
      <c r="V100" s="909"/>
      <c r="W100" s="891"/>
      <c r="X100" s="891"/>
      <c r="Y100" s="889"/>
      <c r="Z100" s="889"/>
      <c r="AA100" s="897"/>
      <c r="AB100" s="891"/>
      <c r="AC100" s="891"/>
      <c r="AD100" s="493"/>
      <c r="AE100" s="897"/>
      <c r="AF100" s="889"/>
    </row>
    <row r="101" spans="1:32" ht="18.75" customHeight="1" x14ac:dyDescent="0.2">
      <c r="A101" s="898">
        <v>79</v>
      </c>
      <c r="B101" s="890" t="s">
        <v>192</v>
      </c>
      <c r="C101" s="892" t="s">
        <v>484</v>
      </c>
      <c r="D101" s="897"/>
      <c r="E101" s="897"/>
      <c r="F101" s="897"/>
      <c r="G101" s="891"/>
      <c r="H101" s="889"/>
      <c r="I101" s="889"/>
      <c r="J101" s="897"/>
      <c r="K101" s="897"/>
      <c r="L101" s="911"/>
      <c r="M101" s="897"/>
      <c r="N101" s="911"/>
      <c r="O101" s="897"/>
      <c r="P101" s="448"/>
      <c r="Q101" s="448"/>
      <c r="R101" s="920"/>
      <c r="S101" s="920"/>
      <c r="T101" s="920"/>
      <c r="U101" s="891"/>
      <c r="V101" s="909"/>
      <c r="W101" s="891"/>
      <c r="X101" s="891"/>
      <c r="Y101" s="889"/>
      <c r="Z101" s="889"/>
      <c r="AA101" s="897"/>
      <c r="AB101" s="891"/>
      <c r="AC101" s="891"/>
      <c r="AD101" s="493"/>
      <c r="AE101" s="897"/>
      <c r="AF101" s="889"/>
    </row>
    <row r="102" spans="1:32" ht="18.75" customHeight="1" x14ac:dyDescent="0.2">
      <c r="A102" s="898"/>
      <c r="B102" s="851"/>
      <c r="C102" s="850"/>
      <c r="D102" s="850"/>
      <c r="E102" s="889" t="s">
        <v>278</v>
      </c>
      <c r="F102" s="850"/>
      <c r="G102" s="891"/>
      <c r="H102" s="889"/>
      <c r="I102" s="889"/>
      <c r="J102" s="897"/>
      <c r="K102" s="897"/>
      <c r="L102" s="911"/>
      <c r="M102" s="897"/>
      <c r="N102" s="911"/>
      <c r="O102" s="897"/>
      <c r="P102" s="448"/>
      <c r="Q102" s="448"/>
      <c r="R102" s="920"/>
      <c r="S102" s="920"/>
      <c r="T102" s="920"/>
      <c r="U102" s="891"/>
      <c r="V102" s="909"/>
      <c r="W102" s="891"/>
      <c r="X102" s="891"/>
      <c r="Y102" s="897"/>
      <c r="Z102" s="897"/>
      <c r="AA102" s="897"/>
      <c r="AB102" s="891"/>
      <c r="AC102" s="891"/>
      <c r="AD102" s="897"/>
      <c r="AE102" s="897"/>
      <c r="AF102" s="889"/>
    </row>
    <row r="103" spans="1:32" ht="18.75" customHeight="1" x14ac:dyDescent="0.2">
      <c r="A103" s="898">
        <v>80</v>
      </c>
      <c r="B103" s="461" t="s">
        <v>189</v>
      </c>
      <c r="C103" s="898" t="s">
        <v>46</v>
      </c>
      <c r="D103" s="898">
        <v>673</v>
      </c>
      <c r="E103" s="898" t="s">
        <v>190</v>
      </c>
      <c r="F103" s="898">
        <v>177.8</v>
      </c>
      <c r="G103" s="898"/>
      <c r="H103" s="898"/>
      <c r="I103" s="897"/>
      <c r="J103" s="897"/>
      <c r="K103" s="897"/>
      <c r="L103" s="911"/>
      <c r="M103" s="897"/>
      <c r="N103" s="911"/>
      <c r="O103" s="897"/>
      <c r="P103" s="448"/>
      <c r="Q103" s="448"/>
      <c r="R103" s="920"/>
      <c r="S103" s="920"/>
      <c r="T103" s="920"/>
      <c r="U103" s="891"/>
      <c r="V103" s="909"/>
      <c r="W103" s="891"/>
      <c r="X103" s="891"/>
      <c r="Y103" s="473"/>
      <c r="Z103" s="683"/>
      <c r="AA103" s="889"/>
      <c r="AB103" s="891"/>
      <c r="AC103" s="897"/>
      <c r="AD103" s="898"/>
      <c r="AE103" s="432"/>
      <c r="AF103" s="449"/>
    </row>
    <row r="104" spans="1:32" ht="18.75" customHeight="1" x14ac:dyDescent="0.3">
      <c r="A104" s="898">
        <v>81</v>
      </c>
      <c r="B104" s="461" t="s">
        <v>181</v>
      </c>
      <c r="C104" s="684" t="s">
        <v>344</v>
      </c>
      <c r="D104" s="898">
        <v>374.5</v>
      </c>
      <c r="E104" s="898" t="s">
        <v>182</v>
      </c>
      <c r="F104" s="898">
        <v>177.8</v>
      </c>
      <c r="G104" s="898"/>
      <c r="H104" s="898"/>
      <c r="I104" s="897"/>
      <c r="J104" s="898"/>
      <c r="K104" s="898"/>
      <c r="L104" s="913"/>
      <c r="M104" s="898"/>
      <c r="N104" s="668"/>
      <c r="O104" s="898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898"/>
      <c r="AE104" s="432"/>
      <c r="AF104" s="449"/>
    </row>
    <row r="105" spans="1:32" ht="18.75" customHeight="1" x14ac:dyDescent="0.2">
      <c r="A105" s="898">
        <v>82</v>
      </c>
      <c r="B105" s="461" t="s">
        <v>174</v>
      </c>
      <c r="C105" s="898" t="s">
        <v>46</v>
      </c>
      <c r="D105" s="898">
        <v>672</v>
      </c>
      <c r="E105" s="898" t="s">
        <v>175</v>
      </c>
      <c r="F105" s="898">
        <v>177.8</v>
      </c>
      <c r="G105" s="898"/>
      <c r="H105" s="898"/>
      <c r="I105" s="897"/>
      <c r="J105" s="898"/>
      <c r="K105" s="898"/>
      <c r="L105" s="913"/>
      <c r="M105" s="898"/>
      <c r="N105" s="668"/>
      <c r="O105" s="898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898"/>
      <c r="AE105" s="432"/>
      <c r="AF105" s="449"/>
    </row>
    <row r="106" spans="1:32" ht="18.75" customHeight="1" x14ac:dyDescent="0.2">
      <c r="A106" s="898">
        <v>83</v>
      </c>
      <c r="B106" s="890" t="s">
        <v>103</v>
      </c>
      <c r="C106" s="898" t="s">
        <v>46</v>
      </c>
      <c r="D106" s="897">
        <v>582</v>
      </c>
      <c r="E106" s="897" t="s">
        <v>112</v>
      </c>
      <c r="F106" s="898">
        <v>177.8</v>
      </c>
      <c r="G106" s="898"/>
      <c r="H106" s="898"/>
      <c r="I106" s="897"/>
      <c r="J106" s="897"/>
      <c r="K106" s="897"/>
      <c r="L106" s="911"/>
      <c r="M106" s="897"/>
      <c r="N106" s="911"/>
      <c r="O106" s="897"/>
      <c r="P106" s="448"/>
      <c r="Q106" s="448"/>
      <c r="R106" s="920"/>
      <c r="S106" s="920"/>
      <c r="T106" s="920"/>
      <c r="U106" s="891"/>
      <c r="V106" s="909"/>
      <c r="W106" s="891"/>
      <c r="X106" s="421"/>
      <c r="Y106" s="492"/>
      <c r="Z106" s="897"/>
      <c r="AA106" s="897"/>
      <c r="AB106" s="891"/>
      <c r="AC106" s="897"/>
      <c r="AD106" s="493"/>
      <c r="AE106" s="437"/>
      <c r="AF106" s="449"/>
    </row>
    <row r="107" spans="1:32" ht="18.75" customHeight="1" x14ac:dyDescent="0.2">
      <c r="A107" s="898">
        <v>84</v>
      </c>
      <c r="B107" s="898" t="s">
        <v>57</v>
      </c>
      <c r="C107" s="892" t="s">
        <v>314</v>
      </c>
      <c r="D107" s="898">
        <v>376.58</v>
      </c>
      <c r="E107" s="461" t="s">
        <v>93</v>
      </c>
      <c r="F107" s="898">
        <v>177.8</v>
      </c>
      <c r="G107" s="898"/>
      <c r="H107" s="898"/>
      <c r="I107" s="897"/>
      <c r="J107" s="897"/>
      <c r="K107" s="897"/>
      <c r="L107" s="911"/>
      <c r="M107" s="897"/>
      <c r="N107" s="911"/>
      <c r="O107" s="897"/>
      <c r="P107" s="448"/>
      <c r="Q107" s="448"/>
      <c r="R107" s="920"/>
      <c r="S107" s="920"/>
      <c r="T107" s="920"/>
      <c r="U107" s="891"/>
      <c r="V107" s="909"/>
      <c r="W107" s="891"/>
      <c r="X107" s="421"/>
      <c r="Y107" s="492"/>
      <c r="Z107" s="897"/>
      <c r="AA107" s="897"/>
      <c r="AB107" s="891"/>
      <c r="AC107" s="897"/>
      <c r="AD107" s="493"/>
      <c r="AE107" s="437"/>
      <c r="AF107" s="449"/>
    </row>
    <row r="108" spans="1:32" ht="18.75" customHeight="1" x14ac:dyDescent="0.2">
      <c r="A108" s="898">
        <v>85</v>
      </c>
      <c r="B108" s="898" t="s">
        <v>184</v>
      </c>
      <c r="C108" s="892" t="s">
        <v>314</v>
      </c>
      <c r="D108" s="898">
        <v>422.78</v>
      </c>
      <c r="E108" s="461" t="s">
        <v>185</v>
      </c>
      <c r="F108" s="898">
        <v>177.8</v>
      </c>
      <c r="G108" s="898"/>
      <c r="H108" s="898"/>
      <c r="I108" s="432"/>
      <c r="J108" s="897"/>
      <c r="K108" s="897"/>
      <c r="L108" s="911"/>
      <c r="M108" s="897"/>
      <c r="N108" s="911"/>
      <c r="O108" s="897"/>
      <c r="P108" s="448"/>
      <c r="Q108" s="448"/>
      <c r="R108" s="920"/>
      <c r="S108" s="920"/>
      <c r="T108" s="920"/>
      <c r="U108" s="891"/>
      <c r="V108" s="909"/>
      <c r="W108" s="891"/>
      <c r="X108" s="421"/>
      <c r="Y108" s="492"/>
      <c r="Z108" s="897"/>
      <c r="AA108" s="897"/>
      <c r="AB108" s="891"/>
      <c r="AC108" s="897"/>
      <c r="AD108" s="493"/>
      <c r="AE108" s="437"/>
      <c r="AF108" s="449"/>
    </row>
    <row r="109" spans="1:32" ht="18.75" customHeight="1" x14ac:dyDescent="0.2">
      <c r="A109" s="898">
        <v>86</v>
      </c>
      <c r="B109" s="890" t="s">
        <v>220</v>
      </c>
      <c r="C109" s="898" t="s">
        <v>46</v>
      </c>
      <c r="D109" s="897">
        <v>685.69</v>
      </c>
      <c r="E109" s="897" t="s">
        <v>222</v>
      </c>
      <c r="F109" s="898">
        <v>177.8</v>
      </c>
      <c r="G109" s="898"/>
      <c r="H109" s="898"/>
      <c r="I109" s="897"/>
      <c r="J109" s="897"/>
      <c r="K109" s="897"/>
      <c r="L109" s="911"/>
      <c r="M109" s="897"/>
      <c r="N109" s="911"/>
      <c r="O109" s="897"/>
      <c r="P109" s="448"/>
      <c r="Q109" s="771"/>
      <c r="R109" s="920"/>
      <c r="S109" s="920"/>
      <c r="T109" s="920"/>
      <c r="U109" s="891"/>
      <c r="V109" s="909"/>
      <c r="W109" s="891"/>
      <c r="X109" s="421"/>
      <c r="Y109" s="492"/>
      <c r="Z109" s="897"/>
      <c r="AA109" s="897"/>
      <c r="AB109" s="891"/>
      <c r="AC109" s="897"/>
      <c r="AD109" s="493"/>
      <c r="AE109" s="437"/>
      <c r="AF109" s="449"/>
    </row>
    <row r="110" spans="1:32" ht="18.75" customHeight="1" x14ac:dyDescent="0.2">
      <c r="A110" s="898"/>
      <c r="B110" s="851"/>
      <c r="C110" s="850"/>
      <c r="D110" s="850"/>
      <c r="E110" s="889" t="s">
        <v>469</v>
      </c>
      <c r="F110" s="850"/>
      <c r="G110" s="898"/>
      <c r="H110" s="898"/>
      <c r="I110" s="897"/>
      <c r="J110" s="898"/>
      <c r="K110" s="898"/>
      <c r="L110" s="913"/>
      <c r="M110" s="898"/>
      <c r="N110" s="668"/>
      <c r="O110" s="898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898"/>
      <c r="AE110" s="432"/>
      <c r="AF110" s="449"/>
    </row>
    <row r="111" spans="1:32" ht="18.75" customHeight="1" x14ac:dyDescent="0.2">
      <c r="A111" s="898">
        <v>87</v>
      </c>
      <c r="B111" s="461" t="s">
        <v>56</v>
      </c>
      <c r="C111" s="898" t="s">
        <v>46</v>
      </c>
      <c r="D111" s="898">
        <v>680.52</v>
      </c>
      <c r="E111" s="898" t="s">
        <v>92</v>
      </c>
      <c r="F111" s="898">
        <v>177.8</v>
      </c>
      <c r="G111" s="898"/>
      <c r="H111" s="898"/>
      <c r="I111" s="897"/>
      <c r="J111" s="898"/>
      <c r="K111" s="898"/>
      <c r="L111" s="913"/>
      <c r="M111" s="898"/>
      <c r="N111" s="668"/>
      <c r="O111" s="898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898"/>
      <c r="AE111" s="432"/>
      <c r="AF111" s="449"/>
    </row>
    <row r="112" spans="1:32" ht="18.75" customHeight="1" x14ac:dyDescent="0.2">
      <c r="A112" s="898"/>
      <c r="B112" s="461"/>
      <c r="C112" s="898"/>
      <c r="D112" s="898"/>
      <c r="E112" s="898"/>
      <c r="F112" s="898"/>
      <c r="G112" s="898"/>
      <c r="H112" s="898"/>
      <c r="I112" s="897"/>
      <c r="J112" s="898"/>
      <c r="K112" s="898"/>
      <c r="L112" s="913"/>
      <c r="M112" s="898"/>
      <c r="N112" s="668"/>
      <c r="O112" s="898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898"/>
      <c r="AE112" s="432"/>
      <c r="AF112" s="449"/>
    </row>
    <row r="113" spans="1:32" ht="18.75" x14ac:dyDescent="0.25">
      <c r="A113" s="870"/>
      <c r="B113" s="898"/>
      <c r="C113" s="898"/>
      <c r="D113" s="898"/>
      <c r="E113" s="461"/>
      <c r="F113" s="898"/>
      <c r="G113" s="898"/>
      <c r="H113" s="898"/>
      <c r="I113" s="897"/>
      <c r="J113" s="898"/>
      <c r="K113" s="898"/>
      <c r="L113" s="913"/>
      <c r="M113" s="898"/>
      <c r="N113" s="668"/>
      <c r="O113" s="898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898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893"/>
      <c r="G114" s="898"/>
      <c r="H114" s="898"/>
      <c r="I114" s="432"/>
      <c r="J114" s="898"/>
      <c r="K114" s="893"/>
      <c r="L114" s="913"/>
      <c r="M114" s="893"/>
      <c r="N114" s="668"/>
      <c r="O114" s="893"/>
      <c r="P114" s="682"/>
      <c r="Q114" s="774"/>
      <c r="R114" s="466">
        <f>R78+R95+R87</f>
        <v>458.23899999999998</v>
      </c>
      <c r="S114" s="466">
        <f>S78+S95+S87</f>
        <v>907.91200000000003</v>
      </c>
      <c r="T114" s="678">
        <f>T78+T95+T87</f>
        <v>15611.57</v>
      </c>
      <c r="U114" s="466">
        <f>T114/R114</f>
        <v>34.068619213990956</v>
      </c>
      <c r="V114" s="466"/>
      <c r="W114" s="466"/>
      <c r="X114" s="466"/>
      <c r="Y114" s="466">
        <f>Y78+Y95+Y87</f>
        <v>433.98311999999999</v>
      </c>
      <c r="Z114" s="466">
        <f>Z78+Z95+Z87</f>
        <v>873.75607000000002</v>
      </c>
      <c r="AA114" s="678">
        <f>AA78+AA95+AA87</f>
        <v>15190.246450000001</v>
      </c>
      <c r="AB114" s="466">
        <f>AB78+AB95+AB87</f>
        <v>116.45652825103703</v>
      </c>
      <c r="AC114" s="466"/>
      <c r="AD114" s="466"/>
      <c r="AE114" s="686">
        <f>AE78+AE95+AE87</f>
        <v>13453.476719999995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12780.802883999995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900"/>
      <c r="Y117" s="900"/>
      <c r="Z117" s="900"/>
      <c r="AA117" s="900"/>
      <c r="AB117" s="900"/>
      <c r="AC117" s="900"/>
      <c r="AD117" s="900"/>
      <c r="AE117" s="900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900" t="s">
        <v>282</v>
      </c>
      <c r="AC118" s="900"/>
      <c r="AD118" s="900"/>
      <c r="AE118" s="900"/>
      <c r="AF118" s="900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4:E114"/>
    <mergeCell ref="K116:M116"/>
    <mergeCell ref="AB13:AB14"/>
    <mergeCell ref="AC13:AC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F118"/>
  <sheetViews>
    <sheetView topLeftCell="A91" zoomScale="66" zoomScaleNormal="66" workbookViewId="0">
      <selection activeCell="V4" sqref="V1:V1048576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9.28515625" style="666" bestFit="1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6" width="9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936"/>
      <c r="G2" s="925"/>
      <c r="H2" s="925"/>
      <c r="I2" s="936"/>
      <c r="J2" s="1909" t="s">
        <v>489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936"/>
      <c r="Y2" s="936"/>
      <c r="Z2" s="936"/>
      <c r="AA2" s="936"/>
      <c r="AB2" s="936"/>
      <c r="AC2" s="936"/>
      <c r="AD2" s="936"/>
      <c r="AE2" s="936"/>
      <c r="AF2" s="405"/>
    </row>
    <row r="3" spans="1:32" ht="18.75" x14ac:dyDescent="0.2">
      <c r="A3" s="1910" t="s">
        <v>54</v>
      </c>
      <c r="B3" s="1910"/>
      <c r="C3" s="1910"/>
      <c r="D3" s="1910"/>
      <c r="E3" s="936"/>
      <c r="F3" s="936"/>
      <c r="G3" s="925"/>
      <c r="H3" s="935"/>
      <c r="I3" s="935"/>
      <c r="J3" s="935"/>
      <c r="K3" s="935"/>
      <c r="L3" s="935"/>
      <c r="M3" s="935"/>
      <c r="N3" s="935"/>
      <c r="O3" s="935"/>
      <c r="P3" s="935"/>
      <c r="Q3" s="767"/>
      <c r="R3" s="936"/>
      <c r="S3" s="936"/>
      <c r="T3" s="936"/>
      <c r="U3" s="936"/>
      <c r="V3" s="936"/>
      <c r="W3" s="936"/>
      <c r="X3" s="936"/>
      <c r="Y3" s="936"/>
      <c r="Z3" s="936"/>
      <c r="AA3" s="936"/>
      <c r="AB3" s="936"/>
      <c r="AC3" s="936"/>
      <c r="AD3" s="936"/>
      <c r="AE3" s="936"/>
      <c r="AF3" s="408" t="s">
        <v>55</v>
      </c>
    </row>
    <row r="4" spans="1:32" ht="18.75" x14ac:dyDescent="0.2">
      <c r="A4" s="926"/>
      <c r="B4" s="926"/>
      <c r="C4" s="926"/>
      <c r="D4" s="926"/>
      <c r="E4" s="936"/>
      <c r="F4" s="936"/>
      <c r="G4" s="925"/>
      <c r="H4" s="935"/>
      <c r="I4" s="935"/>
      <c r="J4" s="935"/>
      <c r="K4" s="935"/>
      <c r="L4" s="935"/>
      <c r="M4" s="935"/>
      <c r="N4" s="935"/>
      <c r="O4" s="935"/>
      <c r="P4" s="935"/>
      <c r="Q4" s="767"/>
      <c r="R4" s="936"/>
      <c r="S4" s="936"/>
      <c r="T4" s="936"/>
      <c r="U4" s="936"/>
      <c r="V4" s="936"/>
      <c r="W4" s="936"/>
      <c r="X4" s="936"/>
      <c r="Y4" s="936"/>
      <c r="Z4" s="936"/>
      <c r="AA4" s="936"/>
      <c r="AB4" s="936"/>
      <c r="AC4" s="936"/>
      <c r="AD4" s="936"/>
      <c r="AE4" s="936"/>
      <c r="AF4" s="408"/>
    </row>
    <row r="5" spans="1:32" ht="18.75" x14ac:dyDescent="0.2">
      <c r="A5" s="927" t="s">
        <v>311</v>
      </c>
      <c r="B5" s="927"/>
      <c r="C5" s="927"/>
      <c r="D5" s="927"/>
      <c r="E5" s="927"/>
      <c r="F5" s="936"/>
      <c r="G5" s="925"/>
      <c r="H5" s="925"/>
      <c r="I5" s="935"/>
      <c r="J5" s="935"/>
      <c r="K5" s="935"/>
      <c r="L5" s="935"/>
      <c r="M5" s="935"/>
      <c r="N5" s="935"/>
      <c r="O5" s="935"/>
      <c r="P5" s="935"/>
      <c r="Q5" s="767"/>
      <c r="R5" s="937"/>
      <c r="S5" s="937"/>
      <c r="T5" s="937"/>
      <c r="U5" s="937"/>
      <c r="V5" s="937"/>
      <c r="W5" s="937"/>
      <c r="X5" s="936"/>
      <c r="Y5" s="936"/>
      <c r="Z5" s="936"/>
      <c r="AA5" s="936"/>
      <c r="AB5" s="936"/>
      <c r="AC5" s="936"/>
      <c r="AD5" s="936"/>
      <c r="AE5" s="936"/>
      <c r="AF5" s="411" t="s">
        <v>468</v>
      </c>
    </row>
    <row r="6" spans="1:32" ht="18.75" x14ac:dyDescent="0.2">
      <c r="A6" s="927" t="s">
        <v>428</v>
      </c>
      <c r="B6" s="412"/>
      <c r="C6" s="412"/>
      <c r="D6" s="412"/>
      <c r="E6" s="936"/>
      <c r="F6" s="936"/>
      <c r="G6" s="925"/>
      <c r="H6" s="925"/>
      <c r="I6" s="936"/>
      <c r="J6" s="936"/>
      <c r="K6" s="925"/>
      <c r="L6" s="925"/>
      <c r="M6" s="936"/>
      <c r="N6" s="936"/>
      <c r="O6" s="936"/>
      <c r="P6" s="413"/>
      <c r="Q6" s="768"/>
      <c r="R6" s="936"/>
      <c r="S6" s="936"/>
      <c r="T6" s="936"/>
      <c r="U6" s="936"/>
      <c r="V6" s="936"/>
      <c r="W6" s="936"/>
      <c r="X6" s="936"/>
      <c r="Y6" s="936"/>
      <c r="Z6" s="936"/>
      <c r="AA6" s="936"/>
      <c r="AB6" s="936"/>
      <c r="AC6" s="936"/>
      <c r="AD6" s="936"/>
      <c r="AE6" s="936"/>
      <c r="AF6" s="415" t="s">
        <v>429</v>
      </c>
    </row>
    <row r="7" spans="1:32" ht="18.75" x14ac:dyDescent="0.2">
      <c r="A7" s="936"/>
      <c r="B7" s="927"/>
      <c r="C7" s="927"/>
      <c r="D7" s="927"/>
      <c r="E7" s="936"/>
      <c r="F7" s="936"/>
      <c r="G7" s="925"/>
      <c r="H7" s="925"/>
      <c r="I7" s="405"/>
      <c r="J7" s="936"/>
      <c r="K7" s="925"/>
      <c r="L7" s="925"/>
      <c r="M7" s="936"/>
      <c r="N7" s="936"/>
      <c r="O7" s="936"/>
      <c r="P7" s="413"/>
      <c r="Q7" s="768"/>
      <c r="R7" s="936"/>
      <c r="S7" s="936"/>
      <c r="T7" s="936"/>
      <c r="U7" s="936"/>
      <c r="V7" s="936"/>
      <c r="W7" s="411"/>
      <c r="X7" s="936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936"/>
      <c r="G8" s="925"/>
      <c r="H8" s="925"/>
      <c r="I8" s="405"/>
      <c r="J8" s="936"/>
      <c r="K8" s="925"/>
      <c r="L8" s="925"/>
      <c r="M8" s="936"/>
      <c r="N8" s="936"/>
      <c r="O8" s="936"/>
      <c r="P8" s="413"/>
      <c r="Q8" s="768"/>
      <c r="R8" s="936"/>
      <c r="S8" s="936"/>
      <c r="T8" s="936"/>
      <c r="U8" s="936"/>
      <c r="V8" s="936"/>
      <c r="W8" s="411"/>
      <c r="X8" s="936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936"/>
      <c r="G9" s="925"/>
      <c r="H9" s="925"/>
      <c r="I9" s="405"/>
      <c r="J9" s="936"/>
      <c r="K9" s="925"/>
      <c r="L9" s="925"/>
      <c r="M9" s="936"/>
      <c r="N9" s="936"/>
      <c r="O9" s="936"/>
      <c r="P9" s="413"/>
      <c r="Q9" s="768"/>
      <c r="R9" s="936"/>
      <c r="S9" s="936"/>
      <c r="T9" s="936"/>
      <c r="U9" s="936"/>
      <c r="V9" s="936"/>
      <c r="W9" s="411"/>
      <c r="X9" s="936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936"/>
      <c r="G10" s="925"/>
      <c r="H10" s="925"/>
      <c r="I10" s="936"/>
      <c r="J10" s="936"/>
      <c r="K10" s="925"/>
      <c r="L10" s="925"/>
      <c r="M10" s="925"/>
      <c r="N10" s="925"/>
      <c r="O10" s="925"/>
      <c r="P10" s="925"/>
      <c r="Q10" s="769"/>
      <c r="R10" s="925"/>
      <c r="S10" s="925"/>
      <c r="T10" s="925"/>
      <c r="U10" s="925"/>
      <c r="V10" s="925"/>
      <c r="W10" s="936"/>
      <c r="X10" s="936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925"/>
      <c r="C11" s="925"/>
      <c r="D11" s="925"/>
      <c r="E11" s="936"/>
      <c r="F11" s="936"/>
      <c r="G11" s="925"/>
      <c r="H11" s="925"/>
      <c r="I11" s="405"/>
      <c r="J11" s="936"/>
      <c r="K11" s="925"/>
      <c r="L11" s="925"/>
      <c r="M11" s="936"/>
      <c r="N11" s="936"/>
      <c r="O11" s="936"/>
      <c r="P11" s="413"/>
      <c r="Q11" s="768"/>
      <c r="R11" s="936"/>
      <c r="S11" s="936"/>
      <c r="T11" s="936"/>
      <c r="U11" s="936"/>
      <c r="V11" s="947"/>
      <c r="W11" s="411"/>
      <c r="X11" s="936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924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924" t="s">
        <v>18</v>
      </c>
      <c r="AE13" s="924" t="s">
        <v>20</v>
      </c>
      <c r="AF13" s="1891" t="s">
        <v>21</v>
      </c>
    </row>
    <row r="14" spans="1:32" ht="37.5" x14ac:dyDescent="0.2">
      <c r="A14" s="1891"/>
      <c r="B14" s="1891"/>
      <c r="C14" s="1903"/>
      <c r="D14" s="929" t="s">
        <v>3</v>
      </c>
      <c r="E14" s="929" t="s">
        <v>3</v>
      </c>
      <c r="F14" s="929" t="s">
        <v>4</v>
      </c>
      <c r="G14" s="1903"/>
      <c r="H14" s="1903"/>
      <c r="I14" s="1891"/>
      <c r="J14" s="929" t="s">
        <v>7</v>
      </c>
      <c r="K14" s="929" t="s">
        <v>30</v>
      </c>
      <c r="L14" s="929" t="s">
        <v>29</v>
      </c>
      <c r="M14" s="929" t="s">
        <v>31</v>
      </c>
      <c r="N14" s="929" t="s">
        <v>32</v>
      </c>
      <c r="O14" s="929" t="s">
        <v>12</v>
      </c>
      <c r="P14" s="448" t="s">
        <v>13</v>
      </c>
      <c r="Q14" s="771" t="s">
        <v>26</v>
      </c>
      <c r="R14" s="929" t="s">
        <v>14</v>
      </c>
      <c r="S14" s="929" t="s">
        <v>25</v>
      </c>
      <c r="T14" s="929" t="s">
        <v>113</v>
      </c>
      <c r="U14" s="1903"/>
      <c r="V14" s="1903"/>
      <c r="W14" s="1903"/>
      <c r="X14" s="1903"/>
      <c r="Y14" s="929" t="s">
        <v>14</v>
      </c>
      <c r="Z14" s="929" t="s">
        <v>25</v>
      </c>
      <c r="AA14" s="929" t="s">
        <v>113</v>
      </c>
      <c r="AB14" s="1903"/>
      <c r="AC14" s="1903"/>
      <c r="AD14" s="929" t="s">
        <v>19</v>
      </c>
      <c r="AE14" s="929" t="s">
        <v>27</v>
      </c>
      <c r="AF14" s="1891"/>
    </row>
    <row r="15" spans="1:32" ht="18.75" customHeight="1" x14ac:dyDescent="0.2">
      <c r="A15" s="933">
        <v>1</v>
      </c>
      <c r="B15" s="461" t="s">
        <v>139</v>
      </c>
      <c r="C15" s="933" t="s">
        <v>46</v>
      </c>
      <c r="D15" s="933">
        <v>610.5</v>
      </c>
      <c r="E15" s="933" t="s">
        <v>203</v>
      </c>
      <c r="F15" s="933">
        <v>177.8</v>
      </c>
      <c r="G15" s="933" t="s">
        <v>28</v>
      </c>
      <c r="H15" s="452" t="s">
        <v>363</v>
      </c>
      <c r="I15" s="929">
        <v>558.54</v>
      </c>
      <c r="J15" s="933">
        <v>175</v>
      </c>
      <c r="K15" s="933"/>
      <c r="L15" s="933">
        <v>403</v>
      </c>
      <c r="M15" s="933"/>
      <c r="N15" s="933">
        <v>0.3</v>
      </c>
      <c r="O15" s="933"/>
      <c r="P15" s="668">
        <v>15.201694468409416</v>
      </c>
      <c r="Q15" s="668">
        <f>J15*7/100</f>
        <v>12.25</v>
      </c>
      <c r="R15" s="432">
        <v>2.6869999999999998</v>
      </c>
      <c r="S15" s="432">
        <v>7.4589999999999996</v>
      </c>
      <c r="T15" s="670">
        <v>7.8</v>
      </c>
      <c r="U15" s="668">
        <f t="shared" ref="U15:U34" si="0">IF(R15=0,0,T15/R15)</f>
        <v>2.9028656494231484</v>
      </c>
      <c r="V15" s="668">
        <f>IF(S15=0,0,(S15-R15)/S15*100)</f>
        <v>63.97640434374582</v>
      </c>
      <c r="W15" s="668">
        <v>0.3</v>
      </c>
      <c r="X15" s="432">
        <f>IF(S15=0,0,S15/Q15)</f>
        <v>0.6088979591836734</v>
      </c>
      <c r="Y15" s="432">
        <f>R15*0.985</f>
        <v>2.6466949999999998</v>
      </c>
      <c r="Z15" s="432">
        <f>S15*0.985</f>
        <v>7.3471149999999996</v>
      </c>
      <c r="AA15" s="670">
        <f>T15*0.985</f>
        <v>7.6829999999999998</v>
      </c>
      <c r="AB15" s="432">
        <f>U15</f>
        <v>2.9028656494231484</v>
      </c>
      <c r="AC15" s="670">
        <f t="shared" ref="AC15:AC77" si="1">V15</f>
        <v>63.97640434374582</v>
      </c>
      <c r="AD15" s="933">
        <v>31</v>
      </c>
      <c r="AE15" s="432">
        <f>Y15*AD15</f>
        <v>82.047545</v>
      </c>
      <c r="AF15" s="669"/>
    </row>
    <row r="16" spans="1:32" ht="18.75" customHeight="1" x14ac:dyDescent="0.2">
      <c r="A16" s="933">
        <v>2</v>
      </c>
      <c r="B16" s="461" t="s">
        <v>140</v>
      </c>
      <c r="C16" s="933" t="s">
        <v>46</v>
      </c>
      <c r="D16" s="933">
        <v>623.5</v>
      </c>
      <c r="E16" s="933" t="s">
        <v>480</v>
      </c>
      <c r="F16" s="933">
        <v>177.8</v>
      </c>
      <c r="G16" s="933" t="s">
        <v>28</v>
      </c>
      <c r="H16" s="933" t="s">
        <v>50</v>
      </c>
      <c r="I16" s="929">
        <v>579.27</v>
      </c>
      <c r="J16" s="933">
        <v>250</v>
      </c>
      <c r="K16" s="933"/>
      <c r="L16" s="933">
        <v>67</v>
      </c>
      <c r="M16" s="933"/>
      <c r="N16" s="933">
        <v>0</v>
      </c>
      <c r="O16" s="933"/>
      <c r="P16" s="668">
        <v>50.429168891550354</v>
      </c>
      <c r="Q16" s="668">
        <f t="shared" ref="Q16:Q39" si="2">LEFT(H16,(FIND("K",H16,1)-1))*J16/100</f>
        <v>15</v>
      </c>
      <c r="R16" s="432">
        <v>0.08</v>
      </c>
      <c r="S16" s="432">
        <v>8.5020000000000007</v>
      </c>
      <c r="T16" s="670">
        <v>0</v>
      </c>
      <c r="U16" s="668">
        <f t="shared" si="0"/>
        <v>0</v>
      </c>
      <c r="V16" s="668">
        <f t="shared" ref="V16:V77" si="3">IF(S16=0,0,(S16-R16)/S16*100)</f>
        <v>99.059044930604571</v>
      </c>
      <c r="W16" s="668">
        <v>0</v>
      </c>
      <c r="X16" s="432">
        <f>IF(S16=0,0,S16/Q16)</f>
        <v>0.56680000000000008</v>
      </c>
      <c r="Y16" s="432">
        <f t="shared" ref="Y16:AA77" si="4">R16*0.985</f>
        <v>7.8799999999999995E-2</v>
      </c>
      <c r="Z16" s="432">
        <f t="shared" si="4"/>
        <v>8.3744700000000005</v>
      </c>
      <c r="AA16" s="670">
        <f t="shared" si="4"/>
        <v>0</v>
      </c>
      <c r="AB16" s="432">
        <f t="shared" ref="AB16:AB77" si="5">U16</f>
        <v>0</v>
      </c>
      <c r="AC16" s="670">
        <f t="shared" si="1"/>
        <v>99.059044930604571</v>
      </c>
      <c r="AD16" s="933">
        <v>0</v>
      </c>
      <c r="AE16" s="432">
        <f t="shared" ref="AE16:AE59" si="6">Y16*AD16</f>
        <v>0</v>
      </c>
      <c r="AF16" s="669" t="s">
        <v>334</v>
      </c>
    </row>
    <row r="17" spans="1:32" ht="18.75" customHeight="1" x14ac:dyDescent="0.2">
      <c r="A17" s="941">
        <v>3</v>
      </c>
      <c r="B17" s="461" t="s">
        <v>141</v>
      </c>
      <c r="C17" s="941" t="s">
        <v>46</v>
      </c>
      <c r="D17" s="941">
        <v>670</v>
      </c>
      <c r="E17" s="941" t="s">
        <v>68</v>
      </c>
      <c r="F17" s="941">
        <v>177.8</v>
      </c>
      <c r="G17" s="941" t="s">
        <v>28</v>
      </c>
      <c r="H17" s="941" t="s">
        <v>218</v>
      </c>
      <c r="I17" s="940">
        <v>565.94000000000005</v>
      </c>
      <c r="J17" s="941">
        <v>210</v>
      </c>
      <c r="K17" s="941"/>
      <c r="L17" s="941">
        <v>487</v>
      </c>
      <c r="M17" s="941"/>
      <c r="N17" s="668">
        <v>7.6</v>
      </c>
      <c r="O17" s="941"/>
      <c r="P17" s="668">
        <v>12.364309740551448</v>
      </c>
      <c r="Q17" s="668">
        <f>LEFT(H17,(FIND("K",H17,1)-1))*J17/100</f>
        <v>67.2</v>
      </c>
      <c r="R17" s="432">
        <v>18.914000000000001</v>
      </c>
      <c r="S17" s="432">
        <v>29.995000000000001</v>
      </c>
      <c r="T17" s="670">
        <v>1987</v>
      </c>
      <c r="U17" s="668">
        <f t="shared" si="0"/>
        <v>105.054457015967</v>
      </c>
      <c r="V17" s="668">
        <f t="shared" si="3"/>
        <v>36.942823803967322</v>
      </c>
      <c r="W17" s="668">
        <v>0.3</v>
      </c>
      <c r="X17" s="432">
        <f t="shared" ref="X17:X77" si="7">IF(S17=0,0,S17/Q17)</f>
        <v>0.44635416666666666</v>
      </c>
      <c r="Y17" s="432">
        <f t="shared" si="4"/>
        <v>18.630290000000002</v>
      </c>
      <c r="Z17" s="432">
        <f t="shared" si="4"/>
        <v>29.545075000000001</v>
      </c>
      <c r="AA17" s="670">
        <f t="shared" si="4"/>
        <v>1957.1949999999999</v>
      </c>
      <c r="AB17" s="432">
        <f t="shared" si="5"/>
        <v>105.054457015967</v>
      </c>
      <c r="AC17" s="670">
        <f t="shared" si="1"/>
        <v>36.942823803967322</v>
      </c>
      <c r="AD17" s="941">
        <v>31</v>
      </c>
      <c r="AE17" s="432">
        <f>Y17*AD17</f>
        <v>577.53899000000001</v>
      </c>
      <c r="AF17" s="669"/>
    </row>
    <row r="18" spans="1:32" ht="18.75" customHeight="1" x14ac:dyDescent="0.2">
      <c r="A18" s="941">
        <v>4</v>
      </c>
      <c r="B18" s="461" t="s">
        <v>142</v>
      </c>
      <c r="C18" s="941" t="s">
        <v>46</v>
      </c>
      <c r="D18" s="941">
        <v>628</v>
      </c>
      <c r="E18" s="941" t="s">
        <v>481</v>
      </c>
      <c r="F18" s="941">
        <v>177.8</v>
      </c>
      <c r="G18" s="941" t="s">
        <v>28</v>
      </c>
      <c r="H18" s="831" t="s">
        <v>466</v>
      </c>
      <c r="I18" s="940">
        <v>541.28</v>
      </c>
      <c r="J18" s="941">
        <v>85</v>
      </c>
      <c r="K18" s="941"/>
      <c r="L18" s="941">
        <v>445</v>
      </c>
      <c r="M18" s="941"/>
      <c r="N18" s="668">
        <v>4.9000000000000004</v>
      </c>
      <c r="O18" s="941"/>
      <c r="P18" s="668">
        <v>16.04752344106765</v>
      </c>
      <c r="Q18" s="668">
        <f>13*J18/100</f>
        <v>11.05</v>
      </c>
      <c r="R18" s="432">
        <v>3.153</v>
      </c>
      <c r="S18" s="432">
        <v>4.6429999999999998</v>
      </c>
      <c r="T18" s="670">
        <v>25.367999999999999</v>
      </c>
      <c r="U18" s="668">
        <f t="shared" si="0"/>
        <v>8.0456707897240722</v>
      </c>
      <c r="V18" s="668">
        <f t="shared" si="3"/>
        <v>32.091320267068703</v>
      </c>
      <c r="W18" s="668">
        <v>0.3</v>
      </c>
      <c r="X18" s="432">
        <f t="shared" si="7"/>
        <v>0.42018099547511306</v>
      </c>
      <c r="Y18" s="432">
        <f t="shared" si="4"/>
        <v>3.1057049999999999</v>
      </c>
      <c r="Z18" s="432">
        <f t="shared" si="4"/>
        <v>4.5733549999999994</v>
      </c>
      <c r="AA18" s="670">
        <f t="shared" si="4"/>
        <v>24.987479999999998</v>
      </c>
      <c r="AB18" s="432">
        <f t="shared" si="5"/>
        <v>8.0456707897240722</v>
      </c>
      <c r="AC18" s="670">
        <f t="shared" si="1"/>
        <v>32.091320267068703</v>
      </c>
      <c r="AD18" s="941">
        <v>31</v>
      </c>
      <c r="AE18" s="432">
        <f t="shared" si="6"/>
        <v>96.276854999999998</v>
      </c>
      <c r="AF18" s="669"/>
    </row>
    <row r="19" spans="1:32" ht="18.75" customHeight="1" x14ac:dyDescent="0.2">
      <c r="A19" s="941">
        <v>5</v>
      </c>
      <c r="B19" s="461" t="s">
        <v>143</v>
      </c>
      <c r="C19" s="941" t="s">
        <v>46</v>
      </c>
      <c r="D19" s="941">
        <v>576.6</v>
      </c>
      <c r="E19" s="941" t="s">
        <v>70</v>
      </c>
      <c r="F19" s="941">
        <v>177.8</v>
      </c>
      <c r="G19" s="941" t="s">
        <v>28</v>
      </c>
      <c r="H19" s="550" t="s">
        <v>53</v>
      </c>
      <c r="I19" s="940">
        <v>546.04999999999995</v>
      </c>
      <c r="J19" s="941">
        <v>85</v>
      </c>
      <c r="K19" s="941"/>
      <c r="L19" s="941">
        <v>435</v>
      </c>
      <c r="M19" s="941"/>
      <c r="N19" s="941">
        <v>5.4</v>
      </c>
      <c r="O19" s="941"/>
      <c r="P19" s="668">
        <v>17.066268903317908</v>
      </c>
      <c r="Q19" s="668">
        <f t="shared" si="2"/>
        <v>11.05</v>
      </c>
      <c r="R19" s="432">
        <v>3.73</v>
      </c>
      <c r="S19" s="432">
        <v>4.1859999999999999</v>
      </c>
      <c r="T19" s="670">
        <v>12.368</v>
      </c>
      <c r="U19" s="668">
        <f t="shared" si="0"/>
        <v>3.3158176943699731</v>
      </c>
      <c r="V19" s="668">
        <f t="shared" si="3"/>
        <v>10.89345437171524</v>
      </c>
      <c r="W19" s="668">
        <v>0.3</v>
      </c>
      <c r="X19" s="432">
        <f t="shared" si="7"/>
        <v>0.37882352941176467</v>
      </c>
      <c r="Y19" s="432">
        <f t="shared" si="4"/>
        <v>3.6740499999999998</v>
      </c>
      <c r="Z19" s="432">
        <f t="shared" si="4"/>
        <v>4.1232100000000003</v>
      </c>
      <c r="AA19" s="670">
        <f t="shared" si="4"/>
        <v>12.18248</v>
      </c>
      <c r="AB19" s="432">
        <f t="shared" si="5"/>
        <v>3.3158176943699731</v>
      </c>
      <c r="AC19" s="670">
        <f t="shared" si="1"/>
        <v>10.89345437171524</v>
      </c>
      <c r="AD19" s="941">
        <v>31</v>
      </c>
      <c r="AE19" s="432">
        <f t="shared" si="6"/>
        <v>113.89555</v>
      </c>
      <c r="AF19" s="669"/>
    </row>
    <row r="20" spans="1:32" ht="18.75" customHeight="1" x14ac:dyDescent="0.2">
      <c r="A20" s="941">
        <v>6</v>
      </c>
      <c r="B20" s="461" t="s">
        <v>144</v>
      </c>
      <c r="C20" s="941" t="s">
        <v>46</v>
      </c>
      <c r="D20" s="941">
        <v>676.6</v>
      </c>
      <c r="E20" s="941" t="s">
        <v>460</v>
      </c>
      <c r="F20" s="941">
        <v>177.8</v>
      </c>
      <c r="G20" s="941" t="s">
        <v>28</v>
      </c>
      <c r="H20" s="941" t="s">
        <v>461</v>
      </c>
      <c r="I20" s="940">
        <v>567.16</v>
      </c>
      <c r="J20" s="941">
        <v>85</v>
      </c>
      <c r="K20" s="941"/>
      <c r="L20" s="941">
        <v>409</v>
      </c>
      <c r="M20" s="941"/>
      <c r="N20" s="941">
        <v>0.6</v>
      </c>
      <c r="O20" s="941"/>
      <c r="P20" s="668">
        <v>16.053397148691062</v>
      </c>
      <c r="Q20" s="668">
        <v>18.7</v>
      </c>
      <c r="R20" s="432">
        <v>2.5880000000000001</v>
      </c>
      <c r="S20" s="432">
        <v>3.5230000000000001</v>
      </c>
      <c r="T20" s="670">
        <v>1.2110000000000001</v>
      </c>
      <c r="U20" s="668">
        <f t="shared" si="0"/>
        <v>0.46792890262751163</v>
      </c>
      <c r="V20" s="668">
        <f t="shared" si="3"/>
        <v>26.539880783423222</v>
      </c>
      <c r="W20" s="668">
        <v>0.8</v>
      </c>
      <c r="X20" s="432">
        <f t="shared" si="7"/>
        <v>0.18839572192513371</v>
      </c>
      <c r="Y20" s="432">
        <f t="shared" si="4"/>
        <v>2.5491800000000002</v>
      </c>
      <c r="Z20" s="432">
        <f t="shared" si="4"/>
        <v>3.4701550000000001</v>
      </c>
      <c r="AA20" s="670">
        <f t="shared" si="4"/>
        <v>1.1928350000000001</v>
      </c>
      <c r="AB20" s="432">
        <v>14.613</v>
      </c>
      <c r="AC20" s="670">
        <f t="shared" si="1"/>
        <v>26.539880783423222</v>
      </c>
      <c r="AD20" s="941">
        <v>31</v>
      </c>
      <c r="AE20" s="432">
        <f t="shared" si="6"/>
        <v>79.02458</v>
      </c>
      <c r="AF20" s="669"/>
    </row>
    <row r="21" spans="1:32" ht="18.75" customHeight="1" x14ac:dyDescent="0.2">
      <c r="A21" s="941">
        <v>7</v>
      </c>
      <c r="B21" s="461" t="s">
        <v>145</v>
      </c>
      <c r="C21" s="941" t="s">
        <v>46</v>
      </c>
      <c r="D21" s="941" t="s">
        <v>47</v>
      </c>
      <c r="E21" s="941" t="s">
        <v>72</v>
      </c>
      <c r="F21" s="941">
        <v>177.8</v>
      </c>
      <c r="G21" s="941" t="s">
        <v>28</v>
      </c>
      <c r="H21" s="941" t="s">
        <v>52</v>
      </c>
      <c r="I21" s="940">
        <v>560</v>
      </c>
      <c r="J21" s="941">
        <v>190</v>
      </c>
      <c r="K21" s="941"/>
      <c r="L21" s="941">
        <v>447</v>
      </c>
      <c r="M21" s="941"/>
      <c r="N21" s="941">
        <v>5.5</v>
      </c>
      <c r="O21" s="941"/>
      <c r="P21" s="668">
        <v>16.82290100051824</v>
      </c>
      <c r="Q21" s="668">
        <f t="shared" si="2"/>
        <v>41.8</v>
      </c>
      <c r="R21" s="432">
        <v>11.486000000000001</v>
      </c>
      <c r="S21" s="432">
        <v>15.621</v>
      </c>
      <c r="T21" s="670">
        <v>123.684</v>
      </c>
      <c r="U21" s="668">
        <f t="shared" si="0"/>
        <v>10.768239596029948</v>
      </c>
      <c r="V21" s="668">
        <f t="shared" si="3"/>
        <v>26.470776518788806</v>
      </c>
      <c r="W21" s="668">
        <v>0.2</v>
      </c>
      <c r="X21" s="432">
        <f t="shared" si="7"/>
        <v>0.37370813397129188</v>
      </c>
      <c r="Y21" s="432">
        <f t="shared" si="4"/>
        <v>11.31371</v>
      </c>
      <c r="Z21" s="432">
        <f t="shared" si="4"/>
        <v>15.386685</v>
      </c>
      <c r="AA21" s="670">
        <f t="shared" si="4"/>
        <v>121.82874</v>
      </c>
      <c r="AB21" s="432">
        <f t="shared" si="5"/>
        <v>10.768239596029948</v>
      </c>
      <c r="AC21" s="670">
        <f t="shared" si="1"/>
        <v>26.470776518788806</v>
      </c>
      <c r="AD21" s="941">
        <v>31</v>
      </c>
      <c r="AE21" s="432">
        <f t="shared" si="6"/>
        <v>350.72501</v>
      </c>
      <c r="AF21" s="669"/>
    </row>
    <row r="22" spans="1:32" ht="18.75" customHeight="1" x14ac:dyDescent="0.2">
      <c r="A22" s="941">
        <v>8</v>
      </c>
      <c r="B22" s="461" t="s">
        <v>146</v>
      </c>
      <c r="C22" s="941" t="s">
        <v>46</v>
      </c>
      <c r="D22" s="941">
        <v>764</v>
      </c>
      <c r="E22" s="436" t="s">
        <v>73</v>
      </c>
      <c r="F22" s="941">
        <v>177.8</v>
      </c>
      <c r="G22" s="941" t="s">
        <v>28</v>
      </c>
      <c r="H22" s="941" t="s">
        <v>52</v>
      </c>
      <c r="I22" s="437">
        <v>550</v>
      </c>
      <c r="J22" s="941">
        <v>155</v>
      </c>
      <c r="K22" s="939"/>
      <c r="L22" s="941">
        <v>442</v>
      </c>
      <c r="M22" s="939"/>
      <c r="N22" s="941">
        <v>6.3</v>
      </c>
      <c r="O22" s="939"/>
      <c r="P22" s="668">
        <v>18.592679396091391</v>
      </c>
      <c r="Q22" s="668">
        <f t="shared" si="2"/>
        <v>34.1</v>
      </c>
      <c r="R22" s="432">
        <v>6.5380000000000003</v>
      </c>
      <c r="S22" s="432">
        <v>18.614999999999998</v>
      </c>
      <c r="T22" s="670">
        <v>37.737000000000002</v>
      </c>
      <c r="U22" s="668">
        <f t="shared" si="0"/>
        <v>5.7719486081370448</v>
      </c>
      <c r="V22" s="668">
        <f t="shared" si="3"/>
        <v>64.877786731130811</v>
      </c>
      <c r="W22" s="668">
        <v>0.2</v>
      </c>
      <c r="X22" s="432">
        <f t="shared" si="7"/>
        <v>0.54589442815249256</v>
      </c>
      <c r="Y22" s="432">
        <f t="shared" si="4"/>
        <v>6.4399300000000004</v>
      </c>
      <c r="Z22" s="432">
        <f t="shared" si="4"/>
        <v>18.335774999999998</v>
      </c>
      <c r="AA22" s="670">
        <f t="shared" si="4"/>
        <v>37.170945000000003</v>
      </c>
      <c r="AB22" s="432">
        <f t="shared" si="5"/>
        <v>5.7719486081370448</v>
      </c>
      <c r="AC22" s="670">
        <f t="shared" si="1"/>
        <v>64.877786731130811</v>
      </c>
      <c r="AD22" s="941">
        <v>31</v>
      </c>
      <c r="AE22" s="432">
        <f t="shared" si="6"/>
        <v>199.63783000000001</v>
      </c>
      <c r="AF22" s="669"/>
    </row>
    <row r="23" spans="1:32" ht="18.75" customHeight="1" x14ac:dyDescent="0.2">
      <c r="A23" s="941">
        <v>9</v>
      </c>
      <c r="B23" s="461" t="s">
        <v>147</v>
      </c>
      <c r="C23" s="941" t="s">
        <v>46</v>
      </c>
      <c r="D23" s="941">
        <v>650.1</v>
      </c>
      <c r="E23" s="941" t="s">
        <v>74</v>
      </c>
      <c r="F23" s="941">
        <v>177.8</v>
      </c>
      <c r="G23" s="941" t="s">
        <v>28</v>
      </c>
      <c r="H23" s="941" t="s">
        <v>52</v>
      </c>
      <c r="I23" s="940">
        <v>591.98</v>
      </c>
      <c r="J23" s="941">
        <v>150</v>
      </c>
      <c r="K23" s="941"/>
      <c r="L23" s="941">
        <v>464</v>
      </c>
      <c r="M23" s="941"/>
      <c r="N23" s="941">
        <v>2.8</v>
      </c>
      <c r="O23" s="941"/>
      <c r="P23" s="668">
        <v>12.709816300707695</v>
      </c>
      <c r="Q23" s="668">
        <f t="shared" si="2"/>
        <v>33</v>
      </c>
      <c r="R23" s="432">
        <v>5.8140000000000001</v>
      </c>
      <c r="S23" s="432">
        <v>10.472</v>
      </c>
      <c r="T23" s="670">
        <v>33.737000000000002</v>
      </c>
      <c r="U23" s="668">
        <f t="shared" si="0"/>
        <v>5.8027175782593741</v>
      </c>
      <c r="V23" s="668">
        <f t="shared" si="3"/>
        <v>44.480519480519476</v>
      </c>
      <c r="W23" s="668">
        <v>0.3</v>
      </c>
      <c r="X23" s="432">
        <f t="shared" si="7"/>
        <v>0.3173333333333333</v>
      </c>
      <c r="Y23" s="432">
        <f t="shared" si="4"/>
        <v>5.7267900000000003</v>
      </c>
      <c r="Z23" s="432">
        <f t="shared" si="4"/>
        <v>10.314919999999999</v>
      </c>
      <c r="AA23" s="670">
        <f t="shared" si="4"/>
        <v>33.230944999999998</v>
      </c>
      <c r="AB23" s="432">
        <f t="shared" si="5"/>
        <v>5.8027175782593741</v>
      </c>
      <c r="AC23" s="670">
        <f t="shared" si="1"/>
        <v>44.480519480519476</v>
      </c>
      <c r="AD23" s="941">
        <v>31</v>
      </c>
      <c r="AE23" s="432">
        <f t="shared" si="6"/>
        <v>177.53049000000001</v>
      </c>
      <c r="AF23" s="669"/>
    </row>
    <row r="24" spans="1:32" ht="18.75" customHeight="1" x14ac:dyDescent="0.2">
      <c r="A24" s="941">
        <v>10</v>
      </c>
      <c r="B24" s="461" t="s">
        <v>148</v>
      </c>
      <c r="C24" s="941" t="s">
        <v>46</v>
      </c>
      <c r="D24" s="941">
        <v>640.20000000000005</v>
      </c>
      <c r="E24" s="941" t="s">
        <v>398</v>
      </c>
      <c r="F24" s="941">
        <v>177.8</v>
      </c>
      <c r="G24" s="941" t="s">
        <v>28</v>
      </c>
      <c r="H24" s="831" t="s">
        <v>466</v>
      </c>
      <c r="I24" s="940">
        <v>565.38</v>
      </c>
      <c r="J24" s="941">
        <v>90</v>
      </c>
      <c r="K24" s="941"/>
      <c r="L24" s="941">
        <v>477</v>
      </c>
      <c r="M24" s="941"/>
      <c r="N24" s="941">
        <v>0</v>
      </c>
      <c r="O24" s="941"/>
      <c r="P24" s="668">
        <v>8.8928522601482296</v>
      </c>
      <c r="Q24" s="668">
        <f>J24*13/100</f>
        <v>11.7</v>
      </c>
      <c r="R24" s="432">
        <v>2.044</v>
      </c>
      <c r="S24" s="432">
        <v>2.2029999999999998</v>
      </c>
      <c r="T24" s="670">
        <v>0</v>
      </c>
      <c r="U24" s="668">
        <f t="shared" si="0"/>
        <v>0</v>
      </c>
      <c r="V24" s="668">
        <f t="shared" si="3"/>
        <v>7.2174307762142451</v>
      </c>
      <c r="W24" s="668">
        <v>0.3</v>
      </c>
      <c r="X24" s="432">
        <f t="shared" si="7"/>
        <v>0.1882905982905983</v>
      </c>
      <c r="Y24" s="432">
        <f t="shared" si="4"/>
        <v>2.0133399999999999</v>
      </c>
      <c r="Z24" s="432">
        <f t="shared" si="4"/>
        <v>2.1699549999999999</v>
      </c>
      <c r="AA24" s="670">
        <f t="shared" si="4"/>
        <v>0</v>
      </c>
      <c r="AB24" s="432">
        <f t="shared" si="5"/>
        <v>0</v>
      </c>
      <c r="AC24" s="670">
        <f t="shared" si="1"/>
        <v>7.2174307762142451</v>
      </c>
      <c r="AD24" s="941">
        <v>31</v>
      </c>
      <c r="AE24" s="432">
        <f t="shared" si="6"/>
        <v>62.413539999999998</v>
      </c>
      <c r="AF24" s="669"/>
    </row>
    <row r="25" spans="1:32" ht="18.75" customHeight="1" x14ac:dyDescent="0.2">
      <c r="A25" s="941">
        <v>11</v>
      </c>
      <c r="B25" s="461" t="s">
        <v>149</v>
      </c>
      <c r="C25" s="941" t="s">
        <v>46</v>
      </c>
      <c r="D25" s="941">
        <v>606.29999999999995</v>
      </c>
      <c r="E25" s="941" t="s">
        <v>76</v>
      </c>
      <c r="F25" s="941">
        <v>177.8</v>
      </c>
      <c r="G25" s="941" t="s">
        <v>28</v>
      </c>
      <c r="H25" s="941" t="s">
        <v>487</v>
      </c>
      <c r="I25" s="940">
        <v>591.96</v>
      </c>
      <c r="J25" s="941">
        <v>85</v>
      </c>
      <c r="K25" s="941"/>
      <c r="L25" s="941">
        <v>461</v>
      </c>
      <c r="M25" s="941"/>
      <c r="N25" s="941">
        <v>4.5</v>
      </c>
      <c r="O25" s="941"/>
      <c r="P25" s="668">
        <v>13.632223284545562</v>
      </c>
      <c r="Q25" s="668">
        <f t="shared" si="2"/>
        <v>12.75</v>
      </c>
      <c r="R25" s="432">
        <v>3.7589999999999999</v>
      </c>
      <c r="S25" s="432">
        <v>7.5979999999999999</v>
      </c>
      <c r="T25" s="670">
        <v>13</v>
      </c>
      <c r="U25" s="668">
        <f t="shared" si="0"/>
        <v>3.4583665868582072</v>
      </c>
      <c r="V25" s="668">
        <f t="shared" si="3"/>
        <v>50.526454330086864</v>
      </c>
      <c r="W25" s="668">
        <v>0.2</v>
      </c>
      <c r="X25" s="432">
        <f t="shared" si="7"/>
        <v>0.59592156862745094</v>
      </c>
      <c r="Y25" s="432">
        <f t="shared" si="4"/>
        <v>3.7026149999999998</v>
      </c>
      <c r="Z25" s="432">
        <f t="shared" si="4"/>
        <v>7.4840299999999997</v>
      </c>
      <c r="AA25" s="670">
        <f t="shared" si="4"/>
        <v>12.805</v>
      </c>
      <c r="AB25" s="432">
        <f t="shared" si="5"/>
        <v>3.4583665868582072</v>
      </c>
      <c r="AC25" s="670">
        <f t="shared" si="1"/>
        <v>50.526454330086864</v>
      </c>
      <c r="AD25" s="941">
        <v>31</v>
      </c>
      <c r="AE25" s="432">
        <f t="shared" si="6"/>
        <v>114.781065</v>
      </c>
      <c r="AF25" s="449"/>
    </row>
    <row r="26" spans="1:32" ht="18.75" customHeight="1" x14ac:dyDescent="0.2">
      <c r="A26" s="933">
        <v>12</v>
      </c>
      <c r="B26" s="461" t="s">
        <v>150</v>
      </c>
      <c r="C26" s="933" t="s">
        <v>46</v>
      </c>
      <c r="D26" s="933">
        <v>661</v>
      </c>
      <c r="E26" s="679" t="s">
        <v>433</v>
      </c>
      <c r="F26" s="933">
        <v>177.8</v>
      </c>
      <c r="G26" s="933" t="s">
        <v>28</v>
      </c>
      <c r="H26" s="933" t="s">
        <v>53</v>
      </c>
      <c r="I26" s="929">
        <v>555.72</v>
      </c>
      <c r="J26" s="933">
        <v>0</v>
      </c>
      <c r="K26" s="933"/>
      <c r="L26" s="933"/>
      <c r="M26" s="933"/>
      <c r="N26" s="933"/>
      <c r="O26" s="933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933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941">
        <v>13</v>
      </c>
      <c r="B27" s="461" t="s">
        <v>151</v>
      </c>
      <c r="C27" s="941" t="s">
        <v>46</v>
      </c>
      <c r="D27" s="941">
        <v>658.32</v>
      </c>
      <c r="E27" s="940" t="s">
        <v>298</v>
      </c>
      <c r="F27" s="941">
        <v>177.8</v>
      </c>
      <c r="G27" s="941" t="s">
        <v>28</v>
      </c>
      <c r="H27" s="941" t="s">
        <v>52</v>
      </c>
      <c r="I27" s="940">
        <v>552.47</v>
      </c>
      <c r="J27" s="941">
        <v>160</v>
      </c>
      <c r="K27" s="941"/>
      <c r="L27" s="941">
        <v>325</v>
      </c>
      <c r="M27" s="941"/>
      <c r="N27" s="941">
        <v>4.5999999999999996</v>
      </c>
      <c r="O27" s="941"/>
      <c r="P27" s="668">
        <v>28.072351433077753</v>
      </c>
      <c r="Q27" s="668">
        <f t="shared" si="2"/>
        <v>35.200000000000003</v>
      </c>
      <c r="R27" s="432">
        <v>8.5540000000000003</v>
      </c>
      <c r="S27" s="432">
        <v>23.98</v>
      </c>
      <c r="T27" s="670">
        <v>23.158000000000001</v>
      </c>
      <c r="U27" s="668">
        <f t="shared" si="0"/>
        <v>2.7072714519523031</v>
      </c>
      <c r="V27" s="668">
        <f t="shared" si="3"/>
        <v>64.328607172643871</v>
      </c>
      <c r="W27" s="668">
        <v>0.3</v>
      </c>
      <c r="X27" s="432">
        <f t="shared" si="7"/>
        <v>0.68124999999999991</v>
      </c>
      <c r="Y27" s="432">
        <f t="shared" si="4"/>
        <v>8.4256899999999995</v>
      </c>
      <c r="Z27" s="432">
        <f t="shared" si="4"/>
        <v>23.6203</v>
      </c>
      <c r="AA27" s="670">
        <f t="shared" si="4"/>
        <v>22.81063</v>
      </c>
      <c r="AB27" s="432">
        <f t="shared" si="5"/>
        <v>2.7072714519523031</v>
      </c>
      <c r="AC27" s="670">
        <f t="shared" si="1"/>
        <v>64.328607172643871</v>
      </c>
      <c r="AD27" s="941">
        <v>31</v>
      </c>
      <c r="AE27" s="432">
        <f t="shared" si="6"/>
        <v>261.19639000000001</v>
      </c>
      <c r="AF27" s="449"/>
    </row>
    <row r="28" spans="1:32" ht="18.75" customHeight="1" x14ac:dyDescent="0.2">
      <c r="A28" s="941">
        <v>14</v>
      </c>
      <c r="B28" s="461" t="s">
        <v>36</v>
      </c>
      <c r="C28" s="941" t="s">
        <v>46</v>
      </c>
      <c r="D28" s="941">
        <v>584.5</v>
      </c>
      <c r="E28" s="940" t="s">
        <v>79</v>
      </c>
      <c r="F28" s="941">
        <v>177.8</v>
      </c>
      <c r="G28" s="941" t="s">
        <v>28</v>
      </c>
      <c r="H28" s="941" t="s">
        <v>49</v>
      </c>
      <c r="I28" s="940">
        <v>525.03</v>
      </c>
      <c r="J28" s="941">
        <v>150</v>
      </c>
      <c r="K28" s="941"/>
      <c r="L28" s="941">
        <v>331</v>
      </c>
      <c r="M28" s="941"/>
      <c r="N28" s="941">
        <v>5.6</v>
      </c>
      <c r="O28" s="941"/>
      <c r="P28" s="668">
        <v>25.447474503422125</v>
      </c>
      <c r="Q28" s="668">
        <f t="shared" si="2"/>
        <v>48</v>
      </c>
      <c r="R28" s="432">
        <v>11.095000000000001</v>
      </c>
      <c r="S28" s="432">
        <v>24.236000000000001</v>
      </c>
      <c r="T28" s="670">
        <v>153.684</v>
      </c>
      <c r="U28" s="668">
        <f t="shared" si="0"/>
        <v>13.85164488508337</v>
      </c>
      <c r="V28" s="668">
        <f t="shared" si="3"/>
        <v>54.220993563294272</v>
      </c>
      <c r="W28" s="668">
        <v>0.3</v>
      </c>
      <c r="X28" s="432">
        <f t="shared" si="7"/>
        <v>0.50491666666666668</v>
      </c>
      <c r="Y28" s="432">
        <f t="shared" si="4"/>
        <v>10.928575</v>
      </c>
      <c r="Z28" s="432">
        <f t="shared" si="4"/>
        <v>23.87246</v>
      </c>
      <c r="AA28" s="670">
        <f t="shared" si="4"/>
        <v>151.37873999999999</v>
      </c>
      <c r="AB28" s="432">
        <f t="shared" si="5"/>
        <v>13.85164488508337</v>
      </c>
      <c r="AC28" s="670">
        <f t="shared" si="1"/>
        <v>54.220993563294272</v>
      </c>
      <c r="AD28" s="941">
        <v>31</v>
      </c>
      <c r="AE28" s="432">
        <f t="shared" si="6"/>
        <v>338.78582499999999</v>
      </c>
      <c r="AF28" s="669"/>
    </row>
    <row r="29" spans="1:32" ht="18.75" customHeight="1" x14ac:dyDescent="0.2">
      <c r="A29" s="941">
        <v>15</v>
      </c>
      <c r="B29" s="461" t="s">
        <v>152</v>
      </c>
      <c r="C29" s="941" t="s">
        <v>46</v>
      </c>
      <c r="D29" s="941">
        <v>565</v>
      </c>
      <c r="E29" s="940" t="s">
        <v>80</v>
      </c>
      <c r="F29" s="941">
        <v>177.8</v>
      </c>
      <c r="G29" s="941" t="s">
        <v>28</v>
      </c>
      <c r="H29" s="941" t="s">
        <v>399</v>
      </c>
      <c r="I29" s="437">
        <v>520.03</v>
      </c>
      <c r="J29" s="941">
        <v>295</v>
      </c>
      <c r="K29" s="941"/>
      <c r="L29" s="941">
        <v>400</v>
      </c>
      <c r="M29" s="941"/>
      <c r="N29" s="941">
        <v>8.1999999999999993</v>
      </c>
      <c r="O29" s="941"/>
      <c r="P29" s="668">
        <v>21.210424521791357</v>
      </c>
      <c r="Q29" s="668">
        <f>J29*13/100</f>
        <v>38.35</v>
      </c>
      <c r="R29" s="432">
        <v>8.0389999999999997</v>
      </c>
      <c r="S29" s="432">
        <v>19.847999999999999</v>
      </c>
      <c r="T29" s="670">
        <v>1377.789</v>
      </c>
      <c r="U29" s="668">
        <f t="shared" si="0"/>
        <v>171.38810797362856</v>
      </c>
      <c r="V29" s="668">
        <f t="shared" si="3"/>
        <v>59.497178557033457</v>
      </c>
      <c r="W29" s="668">
        <v>0.3</v>
      </c>
      <c r="X29" s="432">
        <f t="shared" si="7"/>
        <v>0.51754889178617991</v>
      </c>
      <c r="Y29" s="432">
        <f t="shared" si="4"/>
        <v>7.9184149999999995</v>
      </c>
      <c r="Z29" s="432">
        <f t="shared" si="4"/>
        <v>19.550279999999997</v>
      </c>
      <c r="AA29" s="670">
        <f t="shared" si="4"/>
        <v>1357.122165</v>
      </c>
      <c r="AB29" s="432">
        <f t="shared" si="5"/>
        <v>171.38810797362856</v>
      </c>
      <c r="AC29" s="670">
        <f t="shared" si="1"/>
        <v>59.497178557033457</v>
      </c>
      <c r="AD29" s="941">
        <v>31</v>
      </c>
      <c r="AE29" s="432">
        <f t="shared" si="6"/>
        <v>245.47086499999997</v>
      </c>
      <c r="AF29" s="669"/>
    </row>
    <row r="30" spans="1:32" ht="18.75" customHeight="1" x14ac:dyDescent="0.2">
      <c r="A30" s="941">
        <v>16</v>
      </c>
      <c r="B30" s="461" t="s">
        <v>37</v>
      </c>
      <c r="C30" s="941" t="s">
        <v>46</v>
      </c>
      <c r="D30" s="941">
        <v>670</v>
      </c>
      <c r="E30" s="941" t="s">
        <v>81</v>
      </c>
      <c r="F30" s="941">
        <v>177.8</v>
      </c>
      <c r="G30" s="941" t="s">
        <v>28</v>
      </c>
      <c r="H30" s="941" t="s">
        <v>48</v>
      </c>
      <c r="I30" s="940">
        <v>570.95000000000005</v>
      </c>
      <c r="J30" s="941">
        <v>95</v>
      </c>
      <c r="K30" s="941"/>
      <c r="L30" s="941">
        <v>442</v>
      </c>
      <c r="M30" s="941"/>
      <c r="N30" s="941">
        <v>4.7</v>
      </c>
      <c r="O30" s="941"/>
      <c r="P30" s="668">
        <v>18.052211638910713</v>
      </c>
      <c r="Q30" s="668">
        <f t="shared" si="2"/>
        <v>12.35</v>
      </c>
      <c r="R30" s="432">
        <v>3.1829999999999998</v>
      </c>
      <c r="S30" s="432">
        <v>6.3559999999999999</v>
      </c>
      <c r="T30" s="670">
        <v>11.842000000000001</v>
      </c>
      <c r="U30" s="668">
        <f t="shared" si="0"/>
        <v>3.720389569588439</v>
      </c>
      <c r="V30" s="668">
        <f t="shared" si="3"/>
        <v>49.921334172435493</v>
      </c>
      <c r="W30" s="668">
        <v>0.3</v>
      </c>
      <c r="X30" s="432">
        <f t="shared" si="7"/>
        <v>0.51465587044534411</v>
      </c>
      <c r="Y30" s="432">
        <f t="shared" si="4"/>
        <v>3.1352549999999999</v>
      </c>
      <c r="Z30" s="432">
        <f t="shared" si="4"/>
        <v>6.2606599999999997</v>
      </c>
      <c r="AA30" s="670">
        <f t="shared" si="4"/>
        <v>11.66437</v>
      </c>
      <c r="AB30" s="432">
        <f t="shared" si="5"/>
        <v>3.720389569588439</v>
      </c>
      <c r="AC30" s="670">
        <f t="shared" si="1"/>
        <v>49.921334172435493</v>
      </c>
      <c r="AD30" s="941">
        <v>31</v>
      </c>
      <c r="AE30" s="432">
        <f>Y30*AD30</f>
        <v>97.192904999999996</v>
      </c>
      <c r="AF30" s="449"/>
    </row>
    <row r="31" spans="1:32" ht="18.75" customHeight="1" x14ac:dyDescent="0.2">
      <c r="A31" s="941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941" t="s">
        <v>401</v>
      </c>
      <c r="I31" s="461">
        <v>587.87</v>
      </c>
      <c r="J31" s="461">
        <v>150</v>
      </c>
      <c r="K31" s="461"/>
      <c r="L31" s="461">
        <v>494</v>
      </c>
      <c r="M31" s="461"/>
      <c r="N31" s="461">
        <v>7.1</v>
      </c>
      <c r="O31" s="461"/>
      <c r="P31" s="671">
        <v>13.30306744988761</v>
      </c>
      <c r="Q31" s="668">
        <f>J31*33/100</f>
        <v>49.5</v>
      </c>
      <c r="R31" s="672">
        <v>14.298999999999999</v>
      </c>
      <c r="S31" s="432">
        <v>19.311</v>
      </c>
      <c r="T31" s="699">
        <v>62.789000000000001</v>
      </c>
      <c r="U31" s="668">
        <f t="shared" si="0"/>
        <v>4.3911462340023784</v>
      </c>
      <c r="V31" s="668">
        <f t="shared" si="3"/>
        <v>25.954119413805604</v>
      </c>
      <c r="W31" s="671">
        <v>0.2</v>
      </c>
      <c r="X31" s="432">
        <f t="shared" si="7"/>
        <v>0.39012121212121215</v>
      </c>
      <c r="Y31" s="432">
        <f t="shared" si="4"/>
        <v>14.084515</v>
      </c>
      <c r="Z31" s="432">
        <f t="shared" si="4"/>
        <v>19.021335000000001</v>
      </c>
      <c r="AA31" s="670">
        <f t="shared" si="4"/>
        <v>61.847165000000004</v>
      </c>
      <c r="AB31" s="672">
        <f t="shared" si="5"/>
        <v>4.3911462340023784</v>
      </c>
      <c r="AC31" s="699">
        <f t="shared" si="1"/>
        <v>25.954119413805604</v>
      </c>
      <c r="AD31" s="941">
        <v>31</v>
      </c>
      <c r="AE31" s="672">
        <f>Y31*AD31</f>
        <v>436.61996499999998</v>
      </c>
      <c r="AF31" s="461"/>
    </row>
    <row r="32" spans="1:32" ht="18.600000000000001" customHeight="1" x14ac:dyDescent="0.2">
      <c r="A32" s="941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941">
        <v>177.8</v>
      </c>
      <c r="G32" s="941" t="s">
        <v>28</v>
      </c>
      <c r="H32" s="941" t="s">
        <v>364</v>
      </c>
      <c r="I32" s="437">
        <v>565.79999999999995</v>
      </c>
      <c r="J32" s="941">
        <v>150</v>
      </c>
      <c r="K32" s="941"/>
      <c r="L32" s="941">
        <v>476</v>
      </c>
      <c r="M32" s="941"/>
      <c r="N32" s="941">
        <v>7.2</v>
      </c>
      <c r="O32" s="941"/>
      <c r="P32" s="668">
        <v>16.602824877651649</v>
      </c>
      <c r="Q32" s="668">
        <f>J32*13/100</f>
        <v>19.5</v>
      </c>
      <c r="R32" s="432">
        <v>3.399</v>
      </c>
      <c r="S32" s="432">
        <v>6.4080000000000004</v>
      </c>
      <c r="T32" s="670">
        <v>184.57900000000001</v>
      </c>
      <c r="U32" s="668">
        <f t="shared" si="0"/>
        <v>54.303912915563401</v>
      </c>
      <c r="V32" s="668">
        <f t="shared" si="3"/>
        <v>46.956928838951313</v>
      </c>
      <c r="W32" s="668">
        <v>0.3</v>
      </c>
      <c r="X32" s="432">
        <f t="shared" si="7"/>
        <v>0.32861538461538464</v>
      </c>
      <c r="Y32" s="432">
        <f t="shared" si="4"/>
        <v>3.3480150000000002</v>
      </c>
      <c r="Z32" s="432">
        <f t="shared" si="4"/>
        <v>6.3118800000000004</v>
      </c>
      <c r="AA32" s="670">
        <f t="shared" si="4"/>
        <v>181.810315</v>
      </c>
      <c r="AB32" s="672">
        <f t="shared" si="5"/>
        <v>54.303912915563401</v>
      </c>
      <c r="AC32" s="699">
        <f t="shared" si="1"/>
        <v>46.956928838951313</v>
      </c>
      <c r="AD32" s="941">
        <v>31</v>
      </c>
      <c r="AE32" s="672">
        <f>Y32*AD32</f>
        <v>103.788465</v>
      </c>
      <c r="AF32" s="669"/>
    </row>
    <row r="33" spans="1:32" ht="18.75" customHeight="1" x14ac:dyDescent="0.2">
      <c r="A33" s="941">
        <v>19</v>
      </c>
      <c r="B33" s="461" t="s">
        <v>38</v>
      </c>
      <c r="C33" s="941" t="s">
        <v>46</v>
      </c>
      <c r="D33" s="668">
        <v>580</v>
      </c>
      <c r="E33" s="941" t="s">
        <v>84</v>
      </c>
      <c r="F33" s="941">
        <v>177.8</v>
      </c>
      <c r="G33" s="941" t="s">
        <v>28</v>
      </c>
      <c r="H33" s="941" t="s">
        <v>52</v>
      </c>
      <c r="I33" s="940">
        <v>565.38</v>
      </c>
      <c r="J33" s="941">
        <v>85</v>
      </c>
      <c r="K33" s="941"/>
      <c r="L33" s="941">
        <v>472</v>
      </c>
      <c r="M33" s="941"/>
      <c r="N33" s="941">
        <v>0.4</v>
      </c>
      <c r="O33" s="941"/>
      <c r="P33" s="668">
        <v>6.3099763033688694</v>
      </c>
      <c r="Q33" s="668">
        <f t="shared" si="2"/>
        <v>18.7</v>
      </c>
      <c r="R33" s="432">
        <v>2.3559999999999999</v>
      </c>
      <c r="S33" s="432">
        <v>5.4939999999999998</v>
      </c>
      <c r="T33" s="670">
        <v>4.6319999999999997</v>
      </c>
      <c r="U33" s="668">
        <f t="shared" si="0"/>
        <v>1.9660441426146009</v>
      </c>
      <c r="V33" s="668">
        <f t="shared" si="3"/>
        <v>57.11685475063706</v>
      </c>
      <c r="W33" s="668">
        <v>0.3</v>
      </c>
      <c r="X33" s="432">
        <f t="shared" si="7"/>
        <v>0.29379679144385029</v>
      </c>
      <c r="Y33" s="432">
        <f t="shared" si="4"/>
        <v>2.3206599999999997</v>
      </c>
      <c r="Z33" s="432">
        <f t="shared" si="4"/>
        <v>5.4115899999999995</v>
      </c>
      <c r="AA33" s="670">
        <f t="shared" si="4"/>
        <v>4.5625199999999992</v>
      </c>
      <c r="AB33" s="432">
        <f>U33</f>
        <v>1.9660441426146009</v>
      </c>
      <c r="AC33" s="699">
        <f t="shared" si="1"/>
        <v>57.11685475063706</v>
      </c>
      <c r="AD33" s="941">
        <v>31</v>
      </c>
      <c r="AE33" s="432">
        <f t="shared" si="6"/>
        <v>71.940459999999987</v>
      </c>
      <c r="AF33" s="669"/>
    </row>
    <row r="34" spans="1:32" ht="18.75" customHeight="1" x14ac:dyDescent="0.2">
      <c r="A34" s="941">
        <v>20</v>
      </c>
      <c r="B34" s="461" t="s">
        <v>39</v>
      </c>
      <c r="C34" s="941" t="s">
        <v>46</v>
      </c>
      <c r="D34" s="941">
        <v>728.6</v>
      </c>
      <c r="E34" s="941" t="s">
        <v>411</v>
      </c>
      <c r="F34" s="941">
        <v>177.8</v>
      </c>
      <c r="G34" s="941" t="s">
        <v>28</v>
      </c>
      <c r="H34" s="941" t="s">
        <v>380</v>
      </c>
      <c r="I34" s="940">
        <v>551.77</v>
      </c>
      <c r="J34" s="941">
        <v>350</v>
      </c>
      <c r="K34" s="941"/>
      <c r="L34" s="941">
        <v>462</v>
      </c>
      <c r="M34" s="941"/>
      <c r="N34" s="941">
        <v>2.6</v>
      </c>
      <c r="O34" s="941"/>
      <c r="P34" s="668">
        <v>12.370671269773785</v>
      </c>
      <c r="Q34" s="668">
        <f>J34*23/100</f>
        <v>80.5</v>
      </c>
      <c r="R34" s="432">
        <v>3.177</v>
      </c>
      <c r="S34" s="432">
        <v>7.4020000000000001</v>
      </c>
      <c r="T34" s="670">
        <v>94.158000000000001</v>
      </c>
      <c r="U34" s="668">
        <f t="shared" si="0"/>
        <v>29.637393767705383</v>
      </c>
      <c r="V34" s="668">
        <f t="shared" si="3"/>
        <v>57.079167792488505</v>
      </c>
      <c r="W34" s="668">
        <v>0.3</v>
      </c>
      <c r="X34" s="432">
        <f t="shared" si="7"/>
        <v>9.195031055900621E-2</v>
      </c>
      <c r="Y34" s="432">
        <f t="shared" si="4"/>
        <v>3.1293449999999998</v>
      </c>
      <c r="Z34" s="432">
        <f t="shared" si="4"/>
        <v>7.2909699999999997</v>
      </c>
      <c r="AA34" s="670">
        <f t="shared" si="4"/>
        <v>92.745630000000006</v>
      </c>
      <c r="AB34" s="432">
        <f t="shared" si="5"/>
        <v>29.637393767705383</v>
      </c>
      <c r="AC34" s="699">
        <f t="shared" si="1"/>
        <v>57.079167792488505</v>
      </c>
      <c r="AD34" s="941">
        <v>31</v>
      </c>
      <c r="AE34" s="432">
        <f t="shared" si="6"/>
        <v>97.009694999999994</v>
      </c>
      <c r="AF34" s="669"/>
    </row>
    <row r="35" spans="1:32" ht="18.75" customHeight="1" x14ac:dyDescent="0.2">
      <c r="A35" s="941">
        <v>21</v>
      </c>
      <c r="B35" s="461" t="s">
        <v>40</v>
      </c>
      <c r="C35" s="941" t="s">
        <v>46</v>
      </c>
      <c r="D35" s="941">
        <v>679.7</v>
      </c>
      <c r="E35" s="941" t="s">
        <v>86</v>
      </c>
      <c r="F35" s="941">
        <v>177.8</v>
      </c>
      <c r="G35" s="941" t="s">
        <v>28</v>
      </c>
      <c r="H35" s="946" t="s">
        <v>487</v>
      </c>
      <c r="I35" s="940">
        <v>563.22</v>
      </c>
      <c r="J35" s="941">
        <v>85</v>
      </c>
      <c r="K35" s="941"/>
      <c r="L35" s="941"/>
      <c r="M35" s="941"/>
      <c r="N35" s="941"/>
      <c r="O35" s="941"/>
      <c r="P35" s="668">
        <v>43.445014230906118</v>
      </c>
      <c r="Q35" s="668">
        <f t="shared" si="2"/>
        <v>12.75</v>
      </c>
      <c r="R35" s="432">
        <v>0</v>
      </c>
      <c r="S35" s="432">
        <v>0</v>
      </c>
      <c r="T35" s="670">
        <v>0</v>
      </c>
      <c r="U35" s="668">
        <f>IF(R35=0,0,T35/R35)</f>
        <v>0</v>
      </c>
      <c r="V35" s="668">
        <f t="shared" si="3"/>
        <v>0</v>
      </c>
      <c r="W35" s="668">
        <v>0</v>
      </c>
      <c r="X35" s="432">
        <f t="shared" si="7"/>
        <v>0</v>
      </c>
      <c r="Y35" s="432">
        <v>3.5</v>
      </c>
      <c r="Z35" s="432">
        <v>5</v>
      </c>
      <c r="AA35" s="670">
        <v>0</v>
      </c>
      <c r="AB35" s="432">
        <f t="shared" si="5"/>
        <v>0</v>
      </c>
      <c r="AC35" s="699">
        <v>70</v>
      </c>
      <c r="AD35" s="941">
        <v>31</v>
      </c>
      <c r="AE35" s="432">
        <f>Y35*AD35</f>
        <v>108.5</v>
      </c>
      <c r="AF35" s="449"/>
    </row>
    <row r="36" spans="1:32" ht="18.75" customHeight="1" x14ac:dyDescent="0.2">
      <c r="A36" s="941">
        <v>22</v>
      </c>
      <c r="B36" s="461" t="s">
        <v>41</v>
      </c>
      <c r="C36" s="941" t="s">
        <v>46</v>
      </c>
      <c r="D36" s="941">
        <v>573.70000000000005</v>
      </c>
      <c r="E36" s="941" t="s">
        <v>87</v>
      </c>
      <c r="F36" s="941">
        <v>177.8</v>
      </c>
      <c r="G36" s="941" t="s">
        <v>28</v>
      </c>
      <c r="H36" s="941" t="s">
        <v>52</v>
      </c>
      <c r="I36" s="940">
        <v>554.30999999999995</v>
      </c>
      <c r="J36" s="941">
        <v>317</v>
      </c>
      <c r="K36" s="941"/>
      <c r="L36" s="941">
        <v>474</v>
      </c>
      <c r="M36" s="941"/>
      <c r="N36" s="941">
        <v>5.6</v>
      </c>
      <c r="O36" s="941"/>
      <c r="P36" s="668">
        <v>12.613881275674633</v>
      </c>
      <c r="Q36" s="668">
        <f t="shared" si="2"/>
        <v>69.739999999999995</v>
      </c>
      <c r="R36" s="432">
        <v>9.3620000000000001</v>
      </c>
      <c r="S36" s="432">
        <v>11.565</v>
      </c>
      <c r="T36" s="670">
        <v>316.89499999999998</v>
      </c>
      <c r="U36" s="668">
        <f t="shared" ref="U36:U77" si="8">IF(R36=0,0,T36/R36)</f>
        <v>33.849070711386453</v>
      </c>
      <c r="V36" s="668">
        <f t="shared" si="3"/>
        <v>19.048854301772586</v>
      </c>
      <c r="W36" s="668">
        <v>0.2</v>
      </c>
      <c r="X36" s="432">
        <f t="shared" si="7"/>
        <v>0.16583022655577861</v>
      </c>
      <c r="Y36" s="432">
        <f t="shared" si="4"/>
        <v>9.2215699999999998</v>
      </c>
      <c r="Z36" s="432">
        <f t="shared" si="4"/>
        <v>11.391525</v>
      </c>
      <c r="AA36" s="670">
        <f t="shared" si="4"/>
        <v>312.14157499999999</v>
      </c>
      <c r="AB36" s="432">
        <v>89.536086956521729</v>
      </c>
      <c r="AC36" s="699">
        <f t="shared" si="1"/>
        <v>19.048854301772586</v>
      </c>
      <c r="AD36" s="941">
        <v>31</v>
      </c>
      <c r="AE36" s="432">
        <f t="shared" si="6"/>
        <v>285.86867000000001</v>
      </c>
      <c r="AF36" s="673"/>
    </row>
    <row r="37" spans="1:32" ht="18.75" customHeight="1" x14ac:dyDescent="0.2">
      <c r="A37" s="941">
        <v>23</v>
      </c>
      <c r="B37" s="461" t="s">
        <v>42</v>
      </c>
      <c r="C37" s="941" t="s">
        <v>46</v>
      </c>
      <c r="D37" s="941">
        <v>583.20000000000005</v>
      </c>
      <c r="E37" s="941" t="s">
        <v>434</v>
      </c>
      <c r="F37" s="941">
        <v>177.8</v>
      </c>
      <c r="G37" s="941" t="s">
        <v>28</v>
      </c>
      <c r="H37" s="941" t="s">
        <v>48</v>
      </c>
      <c r="I37" s="940">
        <v>565.09</v>
      </c>
      <c r="J37" s="941">
        <v>300</v>
      </c>
      <c r="K37" s="941"/>
      <c r="L37" s="941">
        <v>177</v>
      </c>
      <c r="M37" s="941"/>
      <c r="N37" s="941">
        <v>6.2</v>
      </c>
      <c r="O37" s="941"/>
      <c r="P37" s="668">
        <v>44.820708982668634</v>
      </c>
      <c r="Q37" s="668">
        <f t="shared" si="2"/>
        <v>39</v>
      </c>
      <c r="R37" s="432">
        <v>1.7889999999999999</v>
      </c>
      <c r="S37" s="432">
        <v>9.8260000000000005</v>
      </c>
      <c r="T37" s="670">
        <v>6.8419999999999996</v>
      </c>
      <c r="U37" s="668">
        <f t="shared" si="8"/>
        <v>3.8244829513694802</v>
      </c>
      <c r="V37" s="668">
        <f t="shared" si="3"/>
        <v>81.793201709749653</v>
      </c>
      <c r="W37" s="668">
        <v>0.3</v>
      </c>
      <c r="X37" s="432">
        <f t="shared" si="7"/>
        <v>0.25194871794871798</v>
      </c>
      <c r="Y37" s="432">
        <f t="shared" si="4"/>
        <v>1.762165</v>
      </c>
      <c r="Z37" s="432">
        <f t="shared" si="4"/>
        <v>9.6786100000000008</v>
      </c>
      <c r="AA37" s="670">
        <f t="shared" si="4"/>
        <v>6.7393699999999992</v>
      </c>
      <c r="AB37" s="432">
        <f t="shared" si="5"/>
        <v>3.8244829513694802</v>
      </c>
      <c r="AC37" s="670">
        <f t="shared" si="1"/>
        <v>81.793201709749653</v>
      </c>
      <c r="AD37" s="941">
        <v>31</v>
      </c>
      <c r="AE37" s="432">
        <f t="shared" si="6"/>
        <v>54.627114999999996</v>
      </c>
      <c r="AF37" s="449"/>
    </row>
    <row r="38" spans="1:32" ht="18.75" customHeight="1" x14ac:dyDescent="0.2">
      <c r="A38" s="941">
        <v>24</v>
      </c>
      <c r="B38" s="461" t="s">
        <v>43</v>
      </c>
      <c r="C38" s="941" t="s">
        <v>46</v>
      </c>
      <c r="D38" s="941">
        <v>682.7</v>
      </c>
      <c r="E38" s="941" t="s">
        <v>435</v>
      </c>
      <c r="F38" s="941">
        <v>177.8</v>
      </c>
      <c r="G38" s="941" t="s">
        <v>28</v>
      </c>
      <c r="H38" s="941" t="s">
        <v>399</v>
      </c>
      <c r="I38" s="446">
        <v>575.91</v>
      </c>
      <c r="J38" s="941">
        <v>200</v>
      </c>
      <c r="K38" s="941"/>
      <c r="L38" s="941">
        <v>293</v>
      </c>
      <c r="M38" s="941"/>
      <c r="N38" s="941">
        <v>5.5</v>
      </c>
      <c r="O38" s="941"/>
      <c r="P38" s="668">
        <v>32.195505550647191</v>
      </c>
      <c r="Q38" s="668">
        <f>J38*13/100</f>
        <v>26</v>
      </c>
      <c r="R38" s="432">
        <v>5.2309999999999999</v>
      </c>
      <c r="S38" s="432">
        <v>25.192</v>
      </c>
      <c r="T38" s="670">
        <v>38.473999999999997</v>
      </c>
      <c r="U38" s="668">
        <f t="shared" si="8"/>
        <v>7.3549990441598156</v>
      </c>
      <c r="V38" s="668">
        <f t="shared" si="3"/>
        <v>79.235471578278819</v>
      </c>
      <c r="W38" s="668">
        <v>0.3</v>
      </c>
      <c r="X38" s="432">
        <f t="shared" si="7"/>
        <v>0.96892307692307689</v>
      </c>
      <c r="Y38" s="432">
        <f t="shared" si="4"/>
        <v>5.1525349999999994</v>
      </c>
      <c r="Z38" s="432">
        <f t="shared" si="4"/>
        <v>24.814119999999999</v>
      </c>
      <c r="AA38" s="670">
        <f t="shared" si="4"/>
        <v>37.896889999999999</v>
      </c>
      <c r="AB38" s="432">
        <f t="shared" si="5"/>
        <v>7.3549990441598156</v>
      </c>
      <c r="AC38" s="670">
        <f t="shared" si="1"/>
        <v>79.235471578278819</v>
      </c>
      <c r="AD38" s="941">
        <v>31</v>
      </c>
      <c r="AE38" s="432">
        <f t="shared" si="6"/>
        <v>159.72858499999998</v>
      </c>
      <c r="AF38" s="669"/>
    </row>
    <row r="39" spans="1:32" ht="18.75" customHeight="1" x14ac:dyDescent="0.2">
      <c r="A39" s="941">
        <v>25</v>
      </c>
      <c r="B39" s="461" t="s">
        <v>44</v>
      </c>
      <c r="C39" s="941" t="s">
        <v>46</v>
      </c>
      <c r="D39" s="941">
        <v>614.20000000000005</v>
      </c>
      <c r="E39" s="941" t="s">
        <v>90</v>
      </c>
      <c r="F39" s="941">
        <v>177.8</v>
      </c>
      <c r="G39" s="941" t="s">
        <v>28</v>
      </c>
      <c r="H39" s="941" t="s">
        <v>52</v>
      </c>
      <c r="I39" s="446">
        <v>573.37</v>
      </c>
      <c r="J39" s="941">
        <v>270</v>
      </c>
      <c r="K39" s="941"/>
      <c r="L39" s="941">
        <v>220</v>
      </c>
      <c r="M39" s="941"/>
      <c r="N39" s="941">
        <v>6</v>
      </c>
      <c r="O39" s="941"/>
      <c r="P39" s="668">
        <v>40.521672595684045</v>
      </c>
      <c r="Q39" s="668">
        <f t="shared" si="2"/>
        <v>59.4</v>
      </c>
      <c r="R39" s="432">
        <v>7.37</v>
      </c>
      <c r="S39" s="432">
        <v>41.094000000000001</v>
      </c>
      <c r="T39" s="670">
        <v>136</v>
      </c>
      <c r="U39" s="668">
        <f t="shared" si="8"/>
        <v>18.453188602442335</v>
      </c>
      <c r="V39" s="668">
        <f t="shared" si="3"/>
        <v>82.06550834671728</v>
      </c>
      <c r="W39" s="668">
        <v>0.3</v>
      </c>
      <c r="X39" s="432">
        <f t="shared" si="7"/>
        <v>0.69181818181818189</v>
      </c>
      <c r="Y39" s="432">
        <f t="shared" si="4"/>
        <v>7.2594500000000002</v>
      </c>
      <c r="Z39" s="432">
        <f t="shared" si="4"/>
        <v>40.477589999999999</v>
      </c>
      <c r="AA39" s="670">
        <f t="shared" si="4"/>
        <v>133.96</v>
      </c>
      <c r="AB39" s="432">
        <f t="shared" si="5"/>
        <v>18.453188602442335</v>
      </c>
      <c r="AC39" s="670">
        <f t="shared" si="1"/>
        <v>82.06550834671728</v>
      </c>
      <c r="AD39" s="941">
        <v>31</v>
      </c>
      <c r="AE39" s="432">
        <f t="shared" si="6"/>
        <v>225.04295000000002</v>
      </c>
      <c r="AF39" s="669"/>
    </row>
    <row r="40" spans="1:32" ht="18.75" customHeight="1" x14ac:dyDescent="0.2">
      <c r="A40" s="941">
        <v>26</v>
      </c>
      <c r="B40" s="461" t="s">
        <v>45</v>
      </c>
      <c r="C40" s="941" t="s">
        <v>46</v>
      </c>
      <c r="D40" s="941">
        <v>636.4</v>
      </c>
      <c r="E40" s="941" t="s">
        <v>91</v>
      </c>
      <c r="F40" s="941">
        <v>177.8</v>
      </c>
      <c r="G40" s="941" t="s">
        <v>28</v>
      </c>
      <c r="H40" s="941" t="s">
        <v>52</v>
      </c>
      <c r="I40" s="940">
        <v>592.95000000000005</v>
      </c>
      <c r="J40" s="941">
        <v>300</v>
      </c>
      <c r="K40" s="941"/>
      <c r="L40" s="941">
        <v>494</v>
      </c>
      <c r="M40" s="941"/>
      <c r="N40" s="941">
        <v>7.5</v>
      </c>
      <c r="O40" s="941"/>
      <c r="P40" s="668">
        <v>14.431394020297301</v>
      </c>
      <c r="Q40" s="668">
        <f>LEFT(H40,(FIND("K",H40,1)-1))*J40/100</f>
        <v>66</v>
      </c>
      <c r="R40" s="432">
        <v>15.465</v>
      </c>
      <c r="S40" s="432">
        <v>35.338000000000001</v>
      </c>
      <c r="T40" s="670">
        <v>379.4</v>
      </c>
      <c r="U40" s="668">
        <f t="shared" si="8"/>
        <v>24.532816036210797</v>
      </c>
      <c r="V40" s="668">
        <f t="shared" si="3"/>
        <v>56.236912105948278</v>
      </c>
      <c r="W40" s="668">
        <v>0.2</v>
      </c>
      <c r="X40" s="432">
        <f t="shared" si="7"/>
        <v>0.53542424242424247</v>
      </c>
      <c r="Y40" s="432">
        <f t="shared" si="4"/>
        <v>15.233025</v>
      </c>
      <c r="Z40" s="432">
        <f t="shared" si="4"/>
        <v>34.807929999999999</v>
      </c>
      <c r="AA40" s="670">
        <f t="shared" si="4"/>
        <v>373.70899999999995</v>
      </c>
      <c r="AB40" s="432">
        <f t="shared" si="5"/>
        <v>24.532816036210797</v>
      </c>
      <c r="AC40" s="670">
        <f t="shared" si="1"/>
        <v>56.236912105948278</v>
      </c>
      <c r="AD40" s="941">
        <v>31</v>
      </c>
      <c r="AE40" s="432">
        <f t="shared" si="6"/>
        <v>472.22377499999999</v>
      </c>
      <c r="AF40" s="669"/>
    </row>
    <row r="41" spans="1:32" ht="18.75" customHeight="1" x14ac:dyDescent="0.2">
      <c r="A41" s="941">
        <v>27</v>
      </c>
      <c r="B41" s="461" t="s">
        <v>206</v>
      </c>
      <c r="C41" s="941" t="s">
        <v>46</v>
      </c>
      <c r="D41" s="941">
        <v>660.2</v>
      </c>
      <c r="E41" s="941" t="s">
        <v>436</v>
      </c>
      <c r="F41" s="941">
        <v>177.8</v>
      </c>
      <c r="G41" s="941" t="s">
        <v>28</v>
      </c>
      <c r="H41" s="941" t="s">
        <v>212</v>
      </c>
      <c r="I41" s="940">
        <v>547.63</v>
      </c>
      <c r="J41" s="941">
        <v>300</v>
      </c>
      <c r="K41" s="941"/>
      <c r="L41" s="941">
        <v>274</v>
      </c>
      <c r="M41" s="941"/>
      <c r="N41" s="941">
        <v>7.1</v>
      </c>
      <c r="O41" s="941"/>
      <c r="P41" s="668">
        <v>34.827006944915517</v>
      </c>
      <c r="Q41" s="668">
        <f t="shared" ref="Q41:Q73" si="9">LEFT(H41,(FIND("K",H41,1)-1))*J41/100</f>
        <v>24</v>
      </c>
      <c r="R41" s="432">
        <v>4.4969999999999999</v>
      </c>
      <c r="S41" s="432">
        <v>14.257999999999999</v>
      </c>
      <c r="T41" s="670">
        <v>79.263000000000005</v>
      </c>
      <c r="U41" s="668">
        <f t="shared" si="8"/>
        <v>17.625750500333556</v>
      </c>
      <c r="V41" s="668">
        <f t="shared" si="3"/>
        <v>68.459812035348577</v>
      </c>
      <c r="W41" s="668">
        <v>0.3</v>
      </c>
      <c r="X41" s="432">
        <f t="shared" si="7"/>
        <v>0.5940833333333333</v>
      </c>
      <c r="Y41" s="432">
        <f t="shared" si="4"/>
        <v>4.4295450000000001</v>
      </c>
      <c r="Z41" s="432">
        <f t="shared" si="4"/>
        <v>14.044129999999999</v>
      </c>
      <c r="AA41" s="670">
        <f t="shared" si="4"/>
        <v>78.074055000000001</v>
      </c>
      <c r="AB41" s="432">
        <f t="shared" si="5"/>
        <v>17.625750500333556</v>
      </c>
      <c r="AC41" s="670">
        <f t="shared" si="1"/>
        <v>68.459812035348577</v>
      </c>
      <c r="AD41" s="941">
        <v>31</v>
      </c>
      <c r="AE41" s="432">
        <f t="shared" si="6"/>
        <v>137.31589500000001</v>
      </c>
      <c r="AF41" s="669"/>
    </row>
    <row r="42" spans="1:32" ht="18.75" customHeight="1" x14ac:dyDescent="0.2">
      <c r="A42" s="941">
        <v>28</v>
      </c>
      <c r="B42" s="938" t="s">
        <v>161</v>
      </c>
      <c r="C42" s="941" t="s">
        <v>46</v>
      </c>
      <c r="D42" s="940">
        <v>677</v>
      </c>
      <c r="E42" s="679" t="s">
        <v>178</v>
      </c>
      <c r="F42" s="941">
        <v>177.8</v>
      </c>
      <c r="G42" s="941" t="s">
        <v>28</v>
      </c>
      <c r="H42" s="941" t="s">
        <v>52</v>
      </c>
      <c r="I42" s="940">
        <v>571.98</v>
      </c>
      <c r="J42" s="940">
        <v>120</v>
      </c>
      <c r="K42" s="940"/>
      <c r="L42" s="940">
        <v>210</v>
      </c>
      <c r="M42" s="940"/>
      <c r="N42" s="941">
        <v>5.9</v>
      </c>
      <c r="O42" s="940"/>
      <c r="P42" s="448">
        <v>37.930280103191443</v>
      </c>
      <c r="Q42" s="668">
        <f t="shared" si="9"/>
        <v>26.4</v>
      </c>
      <c r="R42" s="432">
        <v>10.814</v>
      </c>
      <c r="S42" s="432">
        <v>22.885000000000002</v>
      </c>
      <c r="T42" s="492">
        <v>275.52600000000001</v>
      </c>
      <c r="U42" s="668">
        <f t="shared" si="8"/>
        <v>25.478638801553544</v>
      </c>
      <c r="V42" s="668">
        <f t="shared" si="3"/>
        <v>52.746340397640381</v>
      </c>
      <c r="W42" s="668">
        <v>0.3</v>
      </c>
      <c r="X42" s="432">
        <f t="shared" si="7"/>
        <v>0.86685606060606069</v>
      </c>
      <c r="Y42" s="432">
        <f t="shared" si="4"/>
        <v>10.65179</v>
      </c>
      <c r="Z42" s="432">
        <f t="shared" si="4"/>
        <v>22.541725</v>
      </c>
      <c r="AA42" s="670">
        <f t="shared" si="4"/>
        <v>271.39310999999998</v>
      </c>
      <c r="AB42" s="432">
        <f t="shared" si="5"/>
        <v>25.478638801553544</v>
      </c>
      <c r="AC42" s="670">
        <f t="shared" si="1"/>
        <v>52.746340397640381</v>
      </c>
      <c r="AD42" s="941">
        <v>31</v>
      </c>
      <c r="AE42" s="432">
        <f t="shared" si="6"/>
        <v>330.20549</v>
      </c>
      <c r="AF42" s="449"/>
    </row>
    <row r="43" spans="1:32" ht="18.75" customHeight="1" x14ac:dyDescent="0.2">
      <c r="A43" s="941">
        <v>29</v>
      </c>
      <c r="B43" s="938" t="s">
        <v>162</v>
      </c>
      <c r="C43" s="941" t="s">
        <v>46</v>
      </c>
      <c r="D43" s="940">
        <v>676</v>
      </c>
      <c r="E43" s="679" t="s">
        <v>437</v>
      </c>
      <c r="F43" s="941">
        <v>177.8</v>
      </c>
      <c r="G43" s="941" t="s">
        <v>28</v>
      </c>
      <c r="H43" s="941" t="s">
        <v>50</v>
      </c>
      <c r="I43" s="940">
        <v>549.20000000000005</v>
      </c>
      <c r="J43" s="940">
        <v>150</v>
      </c>
      <c r="K43" s="940"/>
      <c r="L43" s="941">
        <v>427</v>
      </c>
      <c r="M43" s="940"/>
      <c r="N43" s="941">
        <v>3.6</v>
      </c>
      <c r="O43" s="940"/>
      <c r="P43" s="448">
        <v>8.7491753859289219</v>
      </c>
      <c r="Q43" s="668">
        <f t="shared" si="9"/>
        <v>9</v>
      </c>
      <c r="R43" s="432">
        <v>1.4490000000000001</v>
      </c>
      <c r="S43" s="432">
        <v>2.3199999999999998</v>
      </c>
      <c r="T43" s="492">
        <v>5.6319999999999997</v>
      </c>
      <c r="U43" s="668">
        <f t="shared" si="8"/>
        <v>3.8868184955141474</v>
      </c>
      <c r="V43" s="668">
        <f t="shared" si="3"/>
        <v>37.543103448275858</v>
      </c>
      <c r="W43" s="668">
        <v>0.3</v>
      </c>
      <c r="X43" s="432">
        <f t="shared" si="7"/>
        <v>0.25777777777777777</v>
      </c>
      <c r="Y43" s="432">
        <f t="shared" si="4"/>
        <v>1.427265</v>
      </c>
      <c r="Z43" s="432">
        <f t="shared" si="4"/>
        <v>2.2851999999999997</v>
      </c>
      <c r="AA43" s="670">
        <f t="shared" si="4"/>
        <v>5.5475199999999996</v>
      </c>
      <c r="AB43" s="432">
        <f t="shared" si="5"/>
        <v>3.8868184955141474</v>
      </c>
      <c r="AC43" s="670">
        <f t="shared" si="1"/>
        <v>37.543103448275858</v>
      </c>
      <c r="AD43" s="941">
        <v>31</v>
      </c>
      <c r="AE43" s="432">
        <f t="shared" si="6"/>
        <v>44.245215000000002</v>
      </c>
      <c r="AF43" s="449"/>
    </row>
    <row r="44" spans="1:32" ht="18.75" customHeight="1" x14ac:dyDescent="0.2">
      <c r="A44" s="941">
        <v>30</v>
      </c>
      <c r="B44" s="938" t="s">
        <v>163</v>
      </c>
      <c r="C44" s="941" t="s">
        <v>46</v>
      </c>
      <c r="D44" s="940">
        <v>597</v>
      </c>
      <c r="E44" s="941" t="s">
        <v>443</v>
      </c>
      <c r="F44" s="941">
        <v>177.8</v>
      </c>
      <c r="G44" s="941" t="s">
        <v>28</v>
      </c>
      <c r="H44" s="941" t="s">
        <v>48</v>
      </c>
      <c r="I44" s="940">
        <v>555.89</v>
      </c>
      <c r="J44" s="940">
        <v>300</v>
      </c>
      <c r="K44" s="940"/>
      <c r="L44" s="940">
        <v>261</v>
      </c>
      <c r="M44" s="940"/>
      <c r="N44" s="941">
        <v>3.3</v>
      </c>
      <c r="O44" s="940"/>
      <c r="P44" s="448">
        <v>32.977632975325037</v>
      </c>
      <c r="Q44" s="668">
        <f t="shared" si="9"/>
        <v>39</v>
      </c>
      <c r="R44" s="432">
        <v>0.75900000000000001</v>
      </c>
      <c r="S44" s="432">
        <v>2.84</v>
      </c>
      <c r="T44" s="492">
        <v>0.158</v>
      </c>
      <c r="U44" s="668">
        <f t="shared" si="8"/>
        <v>0.20816864295125165</v>
      </c>
      <c r="V44" s="668">
        <f t="shared" si="3"/>
        <v>73.274647887323937</v>
      </c>
      <c r="W44" s="668">
        <v>0.4</v>
      </c>
      <c r="X44" s="432">
        <f t="shared" si="7"/>
        <v>7.2820512820512814E-2</v>
      </c>
      <c r="Y44" s="432">
        <f t="shared" si="4"/>
        <v>0.74761500000000003</v>
      </c>
      <c r="Z44" s="432">
        <f t="shared" si="4"/>
        <v>2.7973999999999997</v>
      </c>
      <c r="AA44" s="670">
        <f t="shared" si="4"/>
        <v>0.15562999999999999</v>
      </c>
      <c r="AB44" s="432">
        <f t="shared" si="5"/>
        <v>0.20816864295125165</v>
      </c>
      <c r="AC44" s="670">
        <f t="shared" si="1"/>
        <v>73.274647887323937</v>
      </c>
      <c r="AD44" s="941">
        <v>31</v>
      </c>
      <c r="AE44" s="432">
        <f t="shared" si="6"/>
        <v>23.176065000000001</v>
      </c>
      <c r="AF44" s="449"/>
    </row>
    <row r="45" spans="1:32" ht="18.75" customHeight="1" x14ac:dyDescent="0.2">
      <c r="A45" s="941">
        <v>31</v>
      </c>
      <c r="B45" s="461" t="s">
        <v>59</v>
      </c>
      <c r="C45" s="941" t="s">
        <v>46</v>
      </c>
      <c r="D45" s="941">
        <v>637.16</v>
      </c>
      <c r="E45" s="941" t="s">
        <v>454</v>
      </c>
      <c r="F45" s="941">
        <v>177.8</v>
      </c>
      <c r="G45" s="941" t="s">
        <v>28</v>
      </c>
      <c r="H45" s="941" t="s">
        <v>48</v>
      </c>
      <c r="I45" s="940">
        <v>536.89</v>
      </c>
      <c r="J45" s="941">
        <v>200</v>
      </c>
      <c r="K45" s="941"/>
      <c r="L45" s="941">
        <v>412</v>
      </c>
      <c r="M45" s="941"/>
      <c r="N45" s="941">
        <v>4.9000000000000004</v>
      </c>
      <c r="O45" s="941"/>
      <c r="P45" s="668">
        <v>18.826357831890004</v>
      </c>
      <c r="Q45" s="668">
        <f t="shared" si="9"/>
        <v>26</v>
      </c>
      <c r="R45" s="432">
        <v>4.47</v>
      </c>
      <c r="S45" s="432">
        <v>13.561</v>
      </c>
      <c r="T45" s="670">
        <v>440.33300000000003</v>
      </c>
      <c r="U45" s="668">
        <f t="shared" si="8"/>
        <v>98.508501118568248</v>
      </c>
      <c r="V45" s="668">
        <f t="shared" si="3"/>
        <v>67.037829068652769</v>
      </c>
      <c r="W45" s="668">
        <v>0.3</v>
      </c>
      <c r="X45" s="432">
        <f t="shared" si="7"/>
        <v>0.52157692307692305</v>
      </c>
      <c r="Y45" s="432">
        <f t="shared" si="4"/>
        <v>4.4029499999999997</v>
      </c>
      <c r="Z45" s="432">
        <f t="shared" si="4"/>
        <v>13.357585</v>
      </c>
      <c r="AA45" s="670">
        <f t="shared" si="4"/>
        <v>433.728005</v>
      </c>
      <c r="AB45" s="432">
        <f>U45</f>
        <v>98.508501118568248</v>
      </c>
      <c r="AC45" s="670">
        <f t="shared" si="1"/>
        <v>67.037829068652769</v>
      </c>
      <c r="AD45" s="941">
        <v>31</v>
      </c>
      <c r="AE45" s="432">
        <f t="shared" si="6"/>
        <v>136.49144999999999</v>
      </c>
      <c r="AF45" s="449"/>
    </row>
    <row r="46" spans="1:32" ht="18.600000000000001" customHeight="1" x14ac:dyDescent="0.2">
      <c r="A46" s="941">
        <v>32</v>
      </c>
      <c r="B46" s="461" t="s">
        <v>207</v>
      </c>
      <c r="C46" s="941" t="s">
        <v>46</v>
      </c>
      <c r="D46" s="941">
        <v>673</v>
      </c>
      <c r="E46" s="941" t="s">
        <v>420</v>
      </c>
      <c r="F46" s="941">
        <v>177.8</v>
      </c>
      <c r="G46" s="941" t="s">
        <v>28</v>
      </c>
      <c r="H46" s="941" t="s">
        <v>50</v>
      </c>
      <c r="I46" s="940">
        <v>564.41999999999996</v>
      </c>
      <c r="J46" s="941">
        <v>215</v>
      </c>
      <c r="K46" s="941"/>
      <c r="L46" s="941">
        <v>195</v>
      </c>
      <c r="M46" s="941"/>
      <c r="N46" s="668">
        <v>0.2</v>
      </c>
      <c r="O46" s="941"/>
      <c r="P46" s="668">
        <v>36.867484565277088</v>
      </c>
      <c r="Q46" s="668">
        <f t="shared" si="9"/>
        <v>12.9</v>
      </c>
      <c r="R46" s="432">
        <v>2.4689999999999999</v>
      </c>
      <c r="S46" s="432">
        <v>7.85</v>
      </c>
      <c r="T46" s="670">
        <v>2.7829999999999999</v>
      </c>
      <c r="U46" s="668">
        <f t="shared" si="8"/>
        <v>1.1271769947347103</v>
      </c>
      <c r="V46" s="668">
        <f t="shared" si="3"/>
        <v>68.547770700636946</v>
      </c>
      <c r="W46" s="668">
        <v>0.2</v>
      </c>
      <c r="X46" s="432">
        <f t="shared" si="7"/>
        <v>0.60852713178294571</v>
      </c>
      <c r="Y46" s="432">
        <f t="shared" si="4"/>
        <v>2.4319649999999999</v>
      </c>
      <c r="Z46" s="432">
        <f t="shared" si="4"/>
        <v>7.7322499999999996</v>
      </c>
      <c r="AA46" s="670">
        <f t="shared" si="4"/>
        <v>2.7412549999999998</v>
      </c>
      <c r="AB46" s="432">
        <f>U46</f>
        <v>1.1271769947347103</v>
      </c>
      <c r="AC46" s="670">
        <f t="shared" si="1"/>
        <v>68.547770700636946</v>
      </c>
      <c r="AD46" s="941">
        <v>31</v>
      </c>
      <c r="AE46" s="432">
        <f t="shared" si="6"/>
        <v>75.390914999999993</v>
      </c>
      <c r="AF46" s="449"/>
    </row>
    <row r="47" spans="1:32" ht="18.75" customHeight="1" x14ac:dyDescent="0.25">
      <c r="A47" s="933">
        <v>33</v>
      </c>
      <c r="B47" s="461" t="s">
        <v>196</v>
      </c>
      <c r="C47" s="933" t="s">
        <v>304</v>
      </c>
      <c r="D47" s="933">
        <v>641</v>
      </c>
      <c r="E47" s="933" t="s">
        <v>296</v>
      </c>
      <c r="F47" s="933">
        <v>177.8</v>
      </c>
      <c r="G47" s="933" t="s">
        <v>28</v>
      </c>
      <c r="H47" s="933" t="s">
        <v>50</v>
      </c>
      <c r="I47" s="929">
        <v>611.92999999999995</v>
      </c>
      <c r="J47" s="933">
        <v>0</v>
      </c>
      <c r="K47" s="933">
        <v>496</v>
      </c>
      <c r="L47" s="868"/>
      <c r="M47" s="668">
        <v>0.3</v>
      </c>
      <c r="N47" s="868"/>
      <c r="O47" s="933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933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941">
        <v>34</v>
      </c>
      <c r="B48" s="461" t="s">
        <v>60</v>
      </c>
      <c r="C48" s="941" t="s">
        <v>46</v>
      </c>
      <c r="D48" s="941">
        <v>638.9</v>
      </c>
      <c r="E48" s="941" t="s">
        <v>462</v>
      </c>
      <c r="F48" s="941">
        <v>177.8</v>
      </c>
      <c r="G48" s="941" t="s">
        <v>28</v>
      </c>
      <c r="H48" s="941" t="s">
        <v>48</v>
      </c>
      <c r="I48" s="940">
        <v>532.05999999999995</v>
      </c>
      <c r="J48" s="941">
        <v>120</v>
      </c>
      <c r="K48" s="941"/>
      <c r="L48" s="941">
        <v>360</v>
      </c>
      <c r="M48" s="941"/>
      <c r="N48" s="941">
        <v>5.0999999999999996</v>
      </c>
      <c r="O48" s="941"/>
      <c r="P48" s="668">
        <v>22.969737136838344</v>
      </c>
      <c r="Q48" s="668">
        <f t="shared" si="9"/>
        <v>15.6</v>
      </c>
      <c r="R48" s="432">
        <v>6.9240000000000004</v>
      </c>
      <c r="S48" s="432">
        <v>11.863</v>
      </c>
      <c r="T48" s="670">
        <v>608.36800000000005</v>
      </c>
      <c r="U48" s="668">
        <f t="shared" si="8"/>
        <v>87.86366262276141</v>
      </c>
      <c r="V48" s="668">
        <f t="shared" si="3"/>
        <v>41.633650847171872</v>
      </c>
      <c r="W48" s="668">
        <v>0.2</v>
      </c>
      <c r="X48" s="432">
        <f t="shared" si="7"/>
        <v>0.76044871794871793</v>
      </c>
      <c r="Y48" s="432">
        <f t="shared" si="4"/>
        <v>6.8201400000000003</v>
      </c>
      <c r="Z48" s="432">
        <f t="shared" si="4"/>
        <v>11.685055</v>
      </c>
      <c r="AA48" s="670">
        <f t="shared" si="4"/>
        <v>599.24248</v>
      </c>
      <c r="AB48" s="432">
        <f t="shared" si="5"/>
        <v>87.86366262276141</v>
      </c>
      <c r="AC48" s="670">
        <f t="shared" si="1"/>
        <v>41.633650847171872</v>
      </c>
      <c r="AD48" s="941">
        <v>31</v>
      </c>
      <c r="AE48" s="432">
        <f t="shared" si="6"/>
        <v>211.42434</v>
      </c>
      <c r="AF48" s="449"/>
    </row>
    <row r="49" spans="1:32" ht="18.75" customHeight="1" x14ac:dyDescent="0.2">
      <c r="A49" s="933">
        <v>35</v>
      </c>
      <c r="B49" s="461" t="s">
        <v>119</v>
      </c>
      <c r="C49" s="933" t="s">
        <v>427</v>
      </c>
      <c r="D49" s="933">
        <v>654.07000000000005</v>
      </c>
      <c r="E49" s="933" t="s">
        <v>410</v>
      </c>
      <c r="F49" s="933">
        <v>177.8</v>
      </c>
      <c r="G49" s="933" t="s">
        <v>28</v>
      </c>
      <c r="H49" s="933" t="s">
        <v>399</v>
      </c>
      <c r="I49" s="929">
        <v>521.47</v>
      </c>
      <c r="J49" s="933">
        <v>0</v>
      </c>
      <c r="K49" s="933"/>
      <c r="L49" s="933">
        <v>478</v>
      </c>
      <c r="M49" s="933"/>
      <c r="N49" s="933">
        <v>0</v>
      </c>
      <c r="O49" s="933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933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941">
        <v>36</v>
      </c>
      <c r="B50" s="461" t="s">
        <v>118</v>
      </c>
      <c r="C50" s="941" t="s">
        <v>408</v>
      </c>
      <c r="D50" s="941">
        <v>728.77</v>
      </c>
      <c r="E50" s="941" t="s">
        <v>442</v>
      </c>
      <c r="F50" s="941">
        <v>177.8</v>
      </c>
      <c r="G50" s="941" t="s">
        <v>28</v>
      </c>
      <c r="H50" s="941" t="s">
        <v>52</v>
      </c>
      <c r="I50" s="940">
        <v>523.04999999999995</v>
      </c>
      <c r="J50" s="941">
        <v>100</v>
      </c>
      <c r="K50" s="941"/>
      <c r="L50" s="941">
        <v>334</v>
      </c>
      <c r="M50" s="941"/>
      <c r="N50" s="941">
        <v>6.4</v>
      </c>
      <c r="O50" s="941"/>
      <c r="P50" s="668">
        <v>27.297686434770107</v>
      </c>
      <c r="Q50" s="668">
        <f t="shared" si="9"/>
        <v>22</v>
      </c>
      <c r="R50" s="432">
        <v>2.867</v>
      </c>
      <c r="S50" s="432">
        <v>9.1039999999999992</v>
      </c>
      <c r="T50" s="670">
        <v>17.367999999999999</v>
      </c>
      <c r="U50" s="668">
        <f t="shared" si="8"/>
        <v>6.0579002441576559</v>
      </c>
      <c r="V50" s="668">
        <f t="shared" si="3"/>
        <v>68.508347978910365</v>
      </c>
      <c r="W50" s="668">
        <v>0.3</v>
      </c>
      <c r="X50" s="432">
        <f t="shared" si="7"/>
        <v>0.41381818181818181</v>
      </c>
      <c r="Y50" s="432">
        <f t="shared" si="4"/>
        <v>2.823995</v>
      </c>
      <c r="Z50" s="432">
        <f t="shared" si="4"/>
        <v>8.9674399999999999</v>
      </c>
      <c r="AA50" s="670">
        <f t="shared" si="4"/>
        <v>17.107479999999999</v>
      </c>
      <c r="AB50" s="432">
        <f t="shared" si="5"/>
        <v>6.0579002441576559</v>
      </c>
      <c r="AC50" s="670">
        <f t="shared" si="1"/>
        <v>68.508347978910365</v>
      </c>
      <c r="AD50" s="941">
        <v>31</v>
      </c>
      <c r="AE50" s="432">
        <f t="shared" si="6"/>
        <v>87.543845000000005</v>
      </c>
      <c r="AF50" s="449"/>
    </row>
    <row r="51" spans="1:32" ht="18.75" customHeight="1" x14ac:dyDescent="0.2">
      <c r="A51" s="941">
        <v>37</v>
      </c>
      <c r="B51" s="461" t="s">
        <v>117</v>
      </c>
      <c r="C51" s="941" t="s">
        <v>46</v>
      </c>
      <c r="D51" s="941">
        <v>671.45</v>
      </c>
      <c r="E51" s="941" t="s">
        <v>128</v>
      </c>
      <c r="F51" s="941">
        <v>177.8</v>
      </c>
      <c r="G51" s="941" t="s">
        <v>28</v>
      </c>
      <c r="H51" s="941" t="s">
        <v>187</v>
      </c>
      <c r="I51" s="940">
        <v>561.1</v>
      </c>
      <c r="J51" s="941">
        <v>250</v>
      </c>
      <c r="K51" s="941"/>
      <c r="L51" s="941">
        <v>129</v>
      </c>
      <c r="M51" s="941"/>
      <c r="N51" s="941">
        <v>0.9</v>
      </c>
      <c r="O51" s="941"/>
      <c r="P51" s="668">
        <v>43.898516969964177</v>
      </c>
      <c r="Q51" s="668">
        <f t="shared" si="9"/>
        <v>15</v>
      </c>
      <c r="R51" s="432">
        <v>0.76400000000000001</v>
      </c>
      <c r="S51" s="432">
        <v>3.0150000000000001</v>
      </c>
      <c r="T51" s="670">
        <v>0.78900000000000003</v>
      </c>
      <c r="U51" s="668">
        <f t="shared" si="8"/>
        <v>1.0327225130890052</v>
      </c>
      <c r="V51" s="668">
        <f t="shared" si="3"/>
        <v>74.660033167495868</v>
      </c>
      <c r="W51" s="668">
        <v>0.2</v>
      </c>
      <c r="X51" s="432">
        <f t="shared" si="7"/>
        <v>0.20100000000000001</v>
      </c>
      <c r="Y51" s="432">
        <f t="shared" si="4"/>
        <v>0.75253999999999999</v>
      </c>
      <c r="Z51" s="432">
        <f t="shared" si="4"/>
        <v>2.9697750000000003</v>
      </c>
      <c r="AA51" s="670">
        <f t="shared" si="4"/>
        <v>0.77716499999999999</v>
      </c>
      <c r="AB51" s="432">
        <f t="shared" si="5"/>
        <v>1.0327225130890052</v>
      </c>
      <c r="AC51" s="670">
        <f t="shared" si="1"/>
        <v>74.660033167495868</v>
      </c>
      <c r="AD51" s="941">
        <v>31</v>
      </c>
      <c r="AE51" s="432">
        <f t="shared" si="6"/>
        <v>23.32874</v>
      </c>
      <c r="AF51" s="669"/>
    </row>
    <row r="52" spans="1:32" ht="18.75" customHeight="1" x14ac:dyDescent="0.2">
      <c r="A52" s="941">
        <v>38</v>
      </c>
      <c r="B52" s="461" t="s">
        <v>130</v>
      </c>
      <c r="C52" s="941" t="s">
        <v>46</v>
      </c>
      <c r="D52" s="941">
        <v>622.6</v>
      </c>
      <c r="E52" s="941" t="s">
        <v>467</v>
      </c>
      <c r="F52" s="941">
        <v>177.8</v>
      </c>
      <c r="G52" s="941" t="s">
        <v>28</v>
      </c>
      <c r="H52" s="941" t="s">
        <v>48</v>
      </c>
      <c r="I52" s="940">
        <v>551.79999999999995</v>
      </c>
      <c r="J52" s="941">
        <v>185</v>
      </c>
      <c r="K52" s="941"/>
      <c r="L52" s="941">
        <v>82</v>
      </c>
      <c r="M52" s="941"/>
      <c r="N52" s="941">
        <v>2.5</v>
      </c>
      <c r="O52" s="941"/>
      <c r="P52" s="668">
        <v>50.387652144083397</v>
      </c>
      <c r="Q52" s="668">
        <f t="shared" si="9"/>
        <v>24.05</v>
      </c>
      <c r="R52" s="432">
        <v>1.012</v>
      </c>
      <c r="S52" s="432">
        <v>16.314</v>
      </c>
      <c r="T52" s="670">
        <v>0.34799999999999998</v>
      </c>
      <c r="U52" s="668">
        <f t="shared" si="8"/>
        <v>0.34387351778656122</v>
      </c>
      <c r="V52" s="668">
        <f t="shared" si="3"/>
        <v>93.796738997180327</v>
      </c>
      <c r="W52" s="668">
        <v>0</v>
      </c>
      <c r="X52" s="432">
        <f t="shared" si="7"/>
        <v>0.67833679833679827</v>
      </c>
      <c r="Y52" s="432">
        <f t="shared" si="4"/>
        <v>0.99682000000000004</v>
      </c>
      <c r="Z52" s="432">
        <f t="shared" si="4"/>
        <v>16.069289999999999</v>
      </c>
      <c r="AA52" s="670">
        <f t="shared" si="4"/>
        <v>0.34277999999999997</v>
      </c>
      <c r="AB52" s="432">
        <f t="shared" si="5"/>
        <v>0.34387351778656122</v>
      </c>
      <c r="AC52" s="670">
        <f t="shared" si="1"/>
        <v>93.796738997180327</v>
      </c>
      <c r="AD52" s="941">
        <v>31</v>
      </c>
      <c r="AE52" s="432">
        <f t="shared" si="6"/>
        <v>30.901420000000002</v>
      </c>
      <c r="AF52" s="669"/>
    </row>
    <row r="53" spans="1:32" ht="18.75" customHeight="1" x14ac:dyDescent="0.2">
      <c r="A53" s="941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941">
        <v>177.8</v>
      </c>
      <c r="G53" s="452" t="s">
        <v>28</v>
      </c>
      <c r="H53" s="452" t="s">
        <v>363</v>
      </c>
      <c r="I53" s="453">
        <v>565.65</v>
      </c>
      <c r="J53" s="452">
        <v>160</v>
      </c>
      <c r="K53" s="452"/>
      <c r="L53" s="452">
        <v>441</v>
      </c>
      <c r="M53" s="452"/>
      <c r="N53" s="941">
        <v>3</v>
      </c>
      <c r="O53" s="452"/>
      <c r="P53" s="675">
        <v>15.435955965872131</v>
      </c>
      <c r="Q53" s="668">
        <f>J53*7/100</f>
        <v>11.2</v>
      </c>
      <c r="R53" s="456">
        <v>1.9159999999999999</v>
      </c>
      <c r="S53" s="432">
        <v>2.0790000000000002</v>
      </c>
      <c r="T53" s="700">
        <v>0</v>
      </c>
      <c r="U53" s="668">
        <f t="shared" si="8"/>
        <v>0</v>
      </c>
      <c r="V53" s="668">
        <f t="shared" si="3"/>
        <v>7.8403078403078519</v>
      </c>
      <c r="W53" s="675">
        <v>0.3</v>
      </c>
      <c r="X53" s="432">
        <f t="shared" si="7"/>
        <v>0.18562500000000004</v>
      </c>
      <c r="Y53" s="432">
        <f t="shared" si="4"/>
        <v>1.8872599999999999</v>
      </c>
      <c r="Z53" s="432">
        <f t="shared" si="4"/>
        <v>2.0478149999999999</v>
      </c>
      <c r="AA53" s="670">
        <f t="shared" si="4"/>
        <v>0</v>
      </c>
      <c r="AB53" s="456">
        <f t="shared" si="5"/>
        <v>0</v>
      </c>
      <c r="AC53" s="670">
        <f t="shared" si="1"/>
        <v>7.8403078403078519</v>
      </c>
      <c r="AD53" s="941">
        <v>31</v>
      </c>
      <c r="AE53" s="456">
        <f t="shared" si="6"/>
        <v>58.50506</v>
      </c>
      <c r="AF53" s="449"/>
    </row>
    <row r="54" spans="1:32" ht="18.75" customHeight="1" x14ac:dyDescent="0.2">
      <c r="A54" s="941">
        <v>40</v>
      </c>
      <c r="B54" s="461" t="s">
        <v>116</v>
      </c>
      <c r="C54" s="941" t="s">
        <v>46</v>
      </c>
      <c r="D54" s="941">
        <v>681.27</v>
      </c>
      <c r="E54" s="941" t="s">
        <v>455</v>
      </c>
      <c r="F54" s="941">
        <v>177.8</v>
      </c>
      <c r="G54" s="941" t="s">
        <v>28</v>
      </c>
      <c r="H54" s="941" t="s">
        <v>53</v>
      </c>
      <c r="I54" s="940">
        <v>559.23</v>
      </c>
      <c r="J54" s="941">
        <v>135</v>
      </c>
      <c r="K54" s="941"/>
      <c r="L54" s="941">
        <v>234</v>
      </c>
      <c r="M54" s="941"/>
      <c r="N54" s="941">
        <v>3.7</v>
      </c>
      <c r="O54" s="941"/>
      <c r="P54" s="668">
        <v>36.278622934939648</v>
      </c>
      <c r="Q54" s="675">
        <f t="shared" si="9"/>
        <v>17.55</v>
      </c>
      <c r="R54" s="432">
        <v>1.8069999999999999</v>
      </c>
      <c r="S54" s="432">
        <v>5.1449999999999996</v>
      </c>
      <c r="T54" s="670">
        <v>3.2629999999999999</v>
      </c>
      <c r="U54" s="668">
        <f t="shared" si="8"/>
        <v>1.8057553956834533</v>
      </c>
      <c r="V54" s="668">
        <f t="shared" si="3"/>
        <v>64.878522837706512</v>
      </c>
      <c r="W54" s="668">
        <v>0.3</v>
      </c>
      <c r="X54" s="432">
        <f t="shared" si="7"/>
        <v>0.29316239316239312</v>
      </c>
      <c r="Y54" s="432">
        <f t="shared" si="4"/>
        <v>1.779895</v>
      </c>
      <c r="Z54" s="432">
        <f t="shared" si="4"/>
        <v>5.0678249999999991</v>
      </c>
      <c r="AA54" s="670">
        <f t="shared" si="4"/>
        <v>3.2140549999999997</v>
      </c>
      <c r="AB54" s="432">
        <f t="shared" si="5"/>
        <v>1.8057553956834533</v>
      </c>
      <c r="AC54" s="670">
        <f t="shared" si="1"/>
        <v>64.878522837706512</v>
      </c>
      <c r="AD54" s="941">
        <v>31</v>
      </c>
      <c r="AE54" s="432">
        <f t="shared" si="6"/>
        <v>55.176744999999997</v>
      </c>
      <c r="AF54" s="449"/>
    </row>
    <row r="55" spans="1:32" ht="18.75" customHeight="1" x14ac:dyDescent="0.2">
      <c r="A55" s="941">
        <v>41</v>
      </c>
      <c r="B55" s="461" t="s">
        <v>120</v>
      </c>
      <c r="C55" s="941" t="s">
        <v>46</v>
      </c>
      <c r="D55" s="941">
        <v>668.57</v>
      </c>
      <c r="E55" s="941" t="s">
        <v>285</v>
      </c>
      <c r="F55" s="941">
        <v>177.8</v>
      </c>
      <c r="G55" s="941" t="s">
        <v>28</v>
      </c>
      <c r="H55" s="941" t="s">
        <v>48</v>
      </c>
      <c r="I55" s="940">
        <v>567.08000000000004</v>
      </c>
      <c r="J55" s="941">
        <v>310</v>
      </c>
      <c r="K55" s="941"/>
      <c r="L55" s="941">
        <v>409</v>
      </c>
      <c r="M55" s="941"/>
      <c r="N55" s="941">
        <v>0.1</v>
      </c>
      <c r="O55" s="941"/>
      <c r="P55" s="668">
        <v>15.977328599526876</v>
      </c>
      <c r="Q55" s="668">
        <f t="shared" si="9"/>
        <v>40.299999999999997</v>
      </c>
      <c r="R55" s="432">
        <v>3.6520000000000001</v>
      </c>
      <c r="S55" s="432">
        <v>5.2439999999999998</v>
      </c>
      <c r="T55" s="670">
        <v>7.6840000000000002</v>
      </c>
      <c r="U55" s="668">
        <f t="shared" si="8"/>
        <v>2.1040525739320919</v>
      </c>
      <c r="V55" s="668">
        <f t="shared" si="3"/>
        <v>30.358504958047288</v>
      </c>
      <c r="W55" s="668">
        <v>0.3</v>
      </c>
      <c r="X55" s="432">
        <f t="shared" si="7"/>
        <v>0.1301240694789082</v>
      </c>
      <c r="Y55" s="432">
        <f t="shared" si="4"/>
        <v>3.5972200000000001</v>
      </c>
      <c r="Z55" s="432">
        <f t="shared" si="4"/>
        <v>5.1653399999999996</v>
      </c>
      <c r="AA55" s="670">
        <f t="shared" si="4"/>
        <v>7.56874</v>
      </c>
      <c r="AB55" s="432">
        <f t="shared" si="5"/>
        <v>2.1040525739320919</v>
      </c>
      <c r="AC55" s="670">
        <f t="shared" si="1"/>
        <v>30.358504958047288</v>
      </c>
      <c r="AD55" s="941">
        <v>31</v>
      </c>
      <c r="AE55" s="432">
        <f t="shared" si="6"/>
        <v>111.51382000000001</v>
      </c>
      <c r="AF55" s="669"/>
    </row>
    <row r="56" spans="1:32" ht="18.75" customHeight="1" x14ac:dyDescent="0.2">
      <c r="A56" s="933">
        <v>42</v>
      </c>
      <c r="B56" s="461" t="s">
        <v>114</v>
      </c>
      <c r="C56" s="933" t="s">
        <v>46</v>
      </c>
      <c r="D56" s="933">
        <v>584.25</v>
      </c>
      <c r="E56" s="933" t="s">
        <v>419</v>
      </c>
      <c r="F56" s="933">
        <v>177.8</v>
      </c>
      <c r="G56" s="933" t="s">
        <v>28</v>
      </c>
      <c r="H56" s="933" t="s">
        <v>383</v>
      </c>
      <c r="I56" s="929">
        <v>560.79999999999995</v>
      </c>
      <c r="J56" s="933">
        <v>0</v>
      </c>
      <c r="K56" s="933">
        <v>0</v>
      </c>
      <c r="L56" s="933"/>
      <c r="M56" s="933">
        <v>1.7</v>
      </c>
      <c r="N56" s="933"/>
      <c r="O56" s="933"/>
      <c r="P56" s="668">
        <v>52.27734397937143</v>
      </c>
      <c r="Q56" s="668">
        <f>J56*3/100</f>
        <v>0</v>
      </c>
      <c r="R56" s="432">
        <v>0</v>
      </c>
      <c r="S56" s="432">
        <v>0</v>
      </c>
      <c r="T56" s="670">
        <v>0</v>
      </c>
      <c r="U56" s="668">
        <f t="shared" si="8"/>
        <v>0</v>
      </c>
      <c r="V56" s="668">
        <f t="shared" si="3"/>
        <v>0</v>
      </c>
      <c r="W56" s="668">
        <v>0</v>
      </c>
      <c r="X56" s="432">
        <f t="shared" si="7"/>
        <v>0</v>
      </c>
      <c r="Y56" s="432">
        <f t="shared" si="4"/>
        <v>0</v>
      </c>
      <c r="Z56" s="432">
        <f t="shared" si="4"/>
        <v>0</v>
      </c>
      <c r="AA56" s="670">
        <f t="shared" si="4"/>
        <v>0</v>
      </c>
      <c r="AB56" s="432">
        <v>0</v>
      </c>
      <c r="AC56" s="670">
        <v>0</v>
      </c>
      <c r="AD56" s="933">
        <v>0</v>
      </c>
      <c r="AE56" s="432">
        <f t="shared" si="6"/>
        <v>0</v>
      </c>
      <c r="AF56" s="669" t="s">
        <v>335</v>
      </c>
    </row>
    <row r="57" spans="1:32" ht="18.75" customHeight="1" x14ac:dyDescent="0.2">
      <c r="A57" s="941">
        <v>43</v>
      </c>
      <c r="B57" s="461" t="s">
        <v>106</v>
      </c>
      <c r="C57" s="941" t="s">
        <v>46</v>
      </c>
      <c r="D57" s="941">
        <v>642.52</v>
      </c>
      <c r="E57" s="941" t="s">
        <v>457</v>
      </c>
      <c r="F57" s="941">
        <v>177.8</v>
      </c>
      <c r="G57" s="941" t="s">
        <v>28</v>
      </c>
      <c r="H57" s="941" t="s">
        <v>456</v>
      </c>
      <c r="I57" s="940">
        <v>546.55999999999995</v>
      </c>
      <c r="J57" s="941">
        <v>150</v>
      </c>
      <c r="K57" s="941"/>
      <c r="L57" s="941">
        <v>172</v>
      </c>
      <c r="M57" s="941"/>
      <c r="N57" s="941">
        <v>5.7</v>
      </c>
      <c r="O57" s="941"/>
      <c r="P57" s="668">
        <v>44.323045037335021</v>
      </c>
      <c r="Q57" s="668">
        <f>J57*23/100</f>
        <v>34.5</v>
      </c>
      <c r="R57" s="432">
        <v>4.1929999999999996</v>
      </c>
      <c r="S57" s="432">
        <v>23.411999999999999</v>
      </c>
      <c r="T57" s="670">
        <v>21.161999999999999</v>
      </c>
      <c r="U57" s="668">
        <f t="shared" si="8"/>
        <v>5.0469830670164564</v>
      </c>
      <c r="V57" s="668">
        <f t="shared" si="3"/>
        <v>82.090381001195979</v>
      </c>
      <c r="W57" s="668">
        <v>0.3</v>
      </c>
      <c r="X57" s="432">
        <f t="shared" si="7"/>
        <v>0.67860869565217385</v>
      </c>
      <c r="Y57" s="432">
        <f t="shared" si="4"/>
        <v>4.1301049999999995</v>
      </c>
      <c r="Z57" s="432">
        <f t="shared" si="4"/>
        <v>23.06082</v>
      </c>
      <c r="AA57" s="670">
        <f t="shared" si="4"/>
        <v>20.844569999999997</v>
      </c>
      <c r="AB57" s="432">
        <f t="shared" si="5"/>
        <v>5.0469830670164564</v>
      </c>
      <c r="AC57" s="670">
        <f t="shared" si="1"/>
        <v>82.090381001195979</v>
      </c>
      <c r="AD57" s="941">
        <v>31</v>
      </c>
      <c r="AE57" s="432">
        <f t="shared" si="6"/>
        <v>128.033255</v>
      </c>
      <c r="AF57" s="449"/>
    </row>
    <row r="58" spans="1:32" ht="18.75" customHeight="1" x14ac:dyDescent="0.2">
      <c r="A58" s="933">
        <v>44</v>
      </c>
      <c r="B58" s="461" t="s">
        <v>105</v>
      </c>
      <c r="C58" s="933" t="s">
        <v>46</v>
      </c>
      <c r="D58" s="933">
        <v>609.6</v>
      </c>
      <c r="E58" s="933" t="s">
        <v>110</v>
      </c>
      <c r="F58" s="933">
        <v>177.8</v>
      </c>
      <c r="G58" s="933" t="s">
        <v>28</v>
      </c>
      <c r="H58" s="452" t="s">
        <v>406</v>
      </c>
      <c r="I58" s="929">
        <v>512.69000000000005</v>
      </c>
      <c r="J58" s="933">
        <v>0</v>
      </c>
      <c r="K58" s="933">
        <v>377</v>
      </c>
      <c r="L58" s="933"/>
      <c r="M58" s="933">
        <v>0.4</v>
      </c>
      <c r="N58" s="933"/>
      <c r="O58" s="933"/>
      <c r="P58" s="668">
        <v>12.957248526527751</v>
      </c>
      <c r="Q58" s="668">
        <f>J58*20/100</f>
        <v>0</v>
      </c>
      <c r="R58" s="432">
        <v>0</v>
      </c>
      <c r="S58" s="432">
        <v>0</v>
      </c>
      <c r="T58" s="670">
        <v>0</v>
      </c>
      <c r="U58" s="668">
        <f t="shared" si="8"/>
        <v>0</v>
      </c>
      <c r="V58" s="668">
        <f t="shared" si="3"/>
        <v>0</v>
      </c>
      <c r="W58" s="668">
        <v>0</v>
      </c>
      <c r="X58" s="432">
        <f t="shared" si="7"/>
        <v>0</v>
      </c>
      <c r="Y58" s="432">
        <f t="shared" si="4"/>
        <v>0</v>
      </c>
      <c r="Z58" s="432">
        <f t="shared" si="4"/>
        <v>0</v>
      </c>
      <c r="AA58" s="670">
        <f t="shared" si="4"/>
        <v>0</v>
      </c>
      <c r="AB58" s="432">
        <v>0</v>
      </c>
      <c r="AC58" s="670">
        <v>0</v>
      </c>
      <c r="AD58" s="933">
        <v>0</v>
      </c>
      <c r="AE58" s="432">
        <f t="shared" si="6"/>
        <v>0</v>
      </c>
      <c r="AF58" s="669" t="s">
        <v>482</v>
      </c>
    </row>
    <row r="59" spans="1:32" ht="18.75" customHeight="1" x14ac:dyDescent="0.2">
      <c r="A59" s="944">
        <v>45</v>
      </c>
      <c r="B59" s="461" t="s">
        <v>104</v>
      </c>
      <c r="C59" s="944" t="s">
        <v>381</v>
      </c>
      <c r="D59" s="944">
        <v>707.14</v>
      </c>
      <c r="E59" s="942" t="s">
        <v>382</v>
      </c>
      <c r="F59" s="944">
        <v>177.8</v>
      </c>
      <c r="G59" s="944" t="s">
        <v>28</v>
      </c>
      <c r="H59" s="944" t="s">
        <v>383</v>
      </c>
      <c r="I59" s="942">
        <v>682.43000000000052</v>
      </c>
      <c r="J59" s="944">
        <v>254</v>
      </c>
      <c r="K59" s="944"/>
      <c r="L59" s="944">
        <v>570</v>
      </c>
      <c r="M59" s="944"/>
      <c r="N59" s="944">
        <v>6.5</v>
      </c>
      <c r="O59" s="944"/>
      <c r="P59" s="668">
        <v>14.54077871240548</v>
      </c>
      <c r="Q59" s="668">
        <f>J59*3/100</f>
        <v>7.62</v>
      </c>
      <c r="R59" s="432">
        <v>0.69299999999999995</v>
      </c>
      <c r="S59" s="432">
        <v>0.73399999999999999</v>
      </c>
      <c r="T59" s="670">
        <v>13.474</v>
      </c>
      <c r="U59" s="668">
        <f t="shared" si="8"/>
        <v>19.443001443001446</v>
      </c>
      <c r="V59" s="668">
        <f t="shared" si="3"/>
        <v>5.5858310626703043</v>
      </c>
      <c r="W59" s="668">
        <v>0.2</v>
      </c>
      <c r="X59" s="432">
        <f t="shared" si="7"/>
        <v>9.6325459317585294E-2</v>
      </c>
      <c r="Y59" s="432">
        <f t="shared" si="4"/>
        <v>0.68260499999999991</v>
      </c>
      <c r="Z59" s="432">
        <f t="shared" si="4"/>
        <v>0.72299000000000002</v>
      </c>
      <c r="AA59" s="670">
        <f t="shared" si="4"/>
        <v>13.271890000000001</v>
      </c>
      <c r="AB59" s="432">
        <f t="shared" si="5"/>
        <v>19.443001443001446</v>
      </c>
      <c r="AC59" s="670">
        <f t="shared" si="1"/>
        <v>5.5858310626703043</v>
      </c>
      <c r="AD59" s="944">
        <v>31</v>
      </c>
      <c r="AE59" s="432">
        <f t="shared" si="6"/>
        <v>21.160754999999998</v>
      </c>
      <c r="AF59" s="669"/>
    </row>
    <row r="60" spans="1:32" ht="18.600000000000001" customHeight="1" x14ac:dyDescent="0.3">
      <c r="A60" s="944">
        <v>46</v>
      </c>
      <c r="B60" s="943" t="s">
        <v>158</v>
      </c>
      <c r="C60" s="944" t="s">
        <v>46</v>
      </c>
      <c r="D60" s="942">
        <v>621.12</v>
      </c>
      <c r="E60" s="942" t="s">
        <v>232</v>
      </c>
      <c r="F60" s="944">
        <v>177.8</v>
      </c>
      <c r="G60" s="944" t="s">
        <v>28</v>
      </c>
      <c r="H60" s="944" t="s">
        <v>403</v>
      </c>
      <c r="I60" s="942">
        <v>544.41999999999996</v>
      </c>
      <c r="J60" s="942">
        <v>175</v>
      </c>
      <c r="K60" s="942"/>
      <c r="L60" s="942">
        <v>461</v>
      </c>
      <c r="M60" s="942"/>
      <c r="N60" s="944">
        <v>7.2</v>
      </c>
      <c r="O60" s="942"/>
      <c r="P60" s="448">
        <v>16.237963609289636</v>
      </c>
      <c r="Q60" s="668">
        <f>J60*23/100</f>
        <v>40.25</v>
      </c>
      <c r="R60" s="432">
        <v>7.5650000000000004</v>
      </c>
      <c r="S60" s="432">
        <v>10.257</v>
      </c>
      <c r="T60" s="492">
        <v>146.15799999999999</v>
      </c>
      <c r="U60" s="668">
        <f t="shared" si="8"/>
        <v>19.320290812954394</v>
      </c>
      <c r="V60" s="668">
        <f t="shared" si="3"/>
        <v>26.245490884274147</v>
      </c>
      <c r="W60" s="668">
        <v>0.2</v>
      </c>
      <c r="X60" s="432">
        <f t="shared" si="7"/>
        <v>0.25483229813664593</v>
      </c>
      <c r="Y60" s="432">
        <f t="shared" si="4"/>
        <v>7.4515250000000002</v>
      </c>
      <c r="Z60" s="432">
        <f t="shared" si="4"/>
        <v>10.103145</v>
      </c>
      <c r="AA60" s="670">
        <f t="shared" si="4"/>
        <v>143.96562999999998</v>
      </c>
      <c r="AB60" s="432">
        <f t="shared" si="5"/>
        <v>19.320290812954394</v>
      </c>
      <c r="AC60" s="670">
        <f t="shared" si="1"/>
        <v>26.245490884274147</v>
      </c>
      <c r="AD60" s="944">
        <v>31</v>
      </c>
      <c r="AE60" s="432">
        <f>Y60*AD60</f>
        <v>230.997275</v>
      </c>
      <c r="AF60" s="458"/>
    </row>
    <row r="61" spans="1:32" ht="18.75" customHeight="1" x14ac:dyDescent="0.2">
      <c r="A61" s="944">
        <v>47</v>
      </c>
      <c r="B61" s="943" t="s">
        <v>160</v>
      </c>
      <c r="C61" s="944" t="s">
        <v>304</v>
      </c>
      <c r="D61" s="942">
        <v>677.33</v>
      </c>
      <c r="E61" s="942" t="s">
        <v>315</v>
      </c>
      <c r="F61" s="944">
        <v>177.8</v>
      </c>
      <c r="G61" s="944" t="s">
        <v>28</v>
      </c>
      <c r="H61" s="944" t="s">
        <v>52</v>
      </c>
      <c r="I61" s="942">
        <v>620.78</v>
      </c>
      <c r="J61" s="942">
        <v>85</v>
      </c>
      <c r="K61" s="942"/>
      <c r="L61" s="944">
        <v>0</v>
      </c>
      <c r="M61" s="942"/>
      <c r="N61" s="944">
        <v>0</v>
      </c>
      <c r="O61" s="942"/>
      <c r="P61" s="448">
        <v>49.760394055761445</v>
      </c>
      <c r="Q61" s="668">
        <f t="shared" si="9"/>
        <v>18.7</v>
      </c>
      <c r="R61" s="432">
        <v>2.59</v>
      </c>
      <c r="S61" s="432">
        <v>2.6429999999999998</v>
      </c>
      <c r="T61" s="492">
        <v>33.316000000000003</v>
      </c>
      <c r="U61" s="668">
        <f t="shared" si="8"/>
        <v>12.863320463320465</v>
      </c>
      <c r="V61" s="668">
        <f t="shared" si="3"/>
        <v>2.0052970109723773</v>
      </c>
      <c r="W61" s="668">
        <v>0.2</v>
      </c>
      <c r="X61" s="432">
        <f t="shared" si="7"/>
        <v>0.14133689839572192</v>
      </c>
      <c r="Y61" s="432">
        <f t="shared" si="4"/>
        <v>2.5511499999999998</v>
      </c>
      <c r="Z61" s="432">
        <f t="shared" si="4"/>
        <v>2.6033549999999996</v>
      </c>
      <c r="AA61" s="670">
        <f t="shared" si="4"/>
        <v>32.81626</v>
      </c>
      <c r="AB61" s="432">
        <f t="shared" si="5"/>
        <v>12.863320463320465</v>
      </c>
      <c r="AC61" s="670">
        <f t="shared" si="1"/>
        <v>2.0052970109723773</v>
      </c>
      <c r="AD61" s="944">
        <v>31</v>
      </c>
      <c r="AE61" s="432">
        <f>Y61*AD61</f>
        <v>79.085649999999987</v>
      </c>
      <c r="AF61" s="669"/>
    </row>
    <row r="62" spans="1:32" ht="18.75" customHeight="1" x14ac:dyDescent="0.2">
      <c r="A62" s="944">
        <v>48</v>
      </c>
      <c r="B62" s="461" t="s">
        <v>164</v>
      </c>
      <c r="C62" s="944" t="s">
        <v>46</v>
      </c>
      <c r="D62" s="942">
        <v>678.47</v>
      </c>
      <c r="E62" s="942" t="s">
        <v>233</v>
      </c>
      <c r="F62" s="944">
        <v>177.8</v>
      </c>
      <c r="G62" s="944" t="s">
        <v>28</v>
      </c>
      <c r="H62" s="944" t="s">
        <v>48</v>
      </c>
      <c r="I62" s="942">
        <v>563.25</v>
      </c>
      <c r="J62" s="942">
        <v>100</v>
      </c>
      <c r="K62" s="942"/>
      <c r="L62" s="942">
        <v>426</v>
      </c>
      <c r="M62" s="942"/>
      <c r="N62" s="944">
        <v>3.7</v>
      </c>
      <c r="O62" s="942"/>
      <c r="P62" s="668">
        <v>17.919805945666621</v>
      </c>
      <c r="Q62" s="668">
        <f t="shared" si="9"/>
        <v>13</v>
      </c>
      <c r="R62" s="432">
        <v>3.8279999999999998</v>
      </c>
      <c r="S62" s="432">
        <v>4.7910000000000004</v>
      </c>
      <c r="T62" s="670">
        <v>14.105</v>
      </c>
      <c r="U62" s="668">
        <f t="shared" si="8"/>
        <v>3.6846917450365728</v>
      </c>
      <c r="V62" s="668">
        <f t="shared" si="3"/>
        <v>20.100187852222927</v>
      </c>
      <c r="W62" s="668">
        <v>0.3</v>
      </c>
      <c r="X62" s="432">
        <f t="shared" si="7"/>
        <v>0.36853846153846159</v>
      </c>
      <c r="Y62" s="432">
        <f t="shared" si="4"/>
        <v>3.7705799999999998</v>
      </c>
      <c r="Z62" s="432">
        <f t="shared" si="4"/>
        <v>4.7191350000000005</v>
      </c>
      <c r="AA62" s="670">
        <f t="shared" si="4"/>
        <v>13.893425000000001</v>
      </c>
      <c r="AB62" s="432">
        <f t="shared" si="5"/>
        <v>3.6846917450365728</v>
      </c>
      <c r="AC62" s="670">
        <f t="shared" si="1"/>
        <v>20.100187852222927</v>
      </c>
      <c r="AD62" s="944">
        <v>31</v>
      </c>
      <c r="AE62" s="432">
        <f t="shared" ref="AE62:AE76" si="10">Y62*AD62</f>
        <v>116.88798</v>
      </c>
      <c r="AF62" s="669"/>
    </row>
    <row r="63" spans="1:32" ht="18.75" customHeight="1" x14ac:dyDescent="0.2">
      <c r="A63" s="944">
        <v>49</v>
      </c>
      <c r="B63" s="461" t="s">
        <v>61</v>
      </c>
      <c r="C63" s="944" t="s">
        <v>46</v>
      </c>
      <c r="D63" s="944">
        <v>667.18</v>
      </c>
      <c r="E63" s="944" t="s">
        <v>96</v>
      </c>
      <c r="F63" s="944">
        <v>177.8</v>
      </c>
      <c r="G63" s="944" t="s">
        <v>28</v>
      </c>
      <c r="H63" s="944" t="s">
        <v>52</v>
      </c>
      <c r="I63" s="942">
        <v>534.21</v>
      </c>
      <c r="J63" s="944">
        <v>200</v>
      </c>
      <c r="K63" s="944"/>
      <c r="L63" s="944">
        <v>451</v>
      </c>
      <c r="M63" s="944"/>
      <c r="N63" s="944">
        <v>5.9</v>
      </c>
      <c r="O63" s="944"/>
      <c r="P63" s="668">
        <v>15.839049551597217</v>
      </c>
      <c r="Q63" s="668">
        <f t="shared" si="9"/>
        <v>44</v>
      </c>
      <c r="R63" s="432">
        <v>6.7450000000000001</v>
      </c>
      <c r="S63" s="432">
        <v>10.971</v>
      </c>
      <c r="T63" s="670">
        <v>121.211</v>
      </c>
      <c r="U63" s="668">
        <f t="shared" si="8"/>
        <v>17.9704966641957</v>
      </c>
      <c r="V63" s="668">
        <f t="shared" si="3"/>
        <v>38.519733843769934</v>
      </c>
      <c r="W63" s="668">
        <v>0.2</v>
      </c>
      <c r="X63" s="432">
        <f t="shared" si="7"/>
        <v>0.24934090909090909</v>
      </c>
      <c r="Y63" s="432">
        <f t="shared" si="4"/>
        <v>6.6438249999999996</v>
      </c>
      <c r="Z63" s="432">
        <f t="shared" si="4"/>
        <v>10.806435</v>
      </c>
      <c r="AA63" s="670">
        <f t="shared" si="4"/>
        <v>119.39283499999999</v>
      </c>
      <c r="AB63" s="432">
        <f t="shared" si="5"/>
        <v>17.9704966641957</v>
      </c>
      <c r="AC63" s="670">
        <f t="shared" si="1"/>
        <v>38.519733843769934</v>
      </c>
      <c r="AD63" s="944">
        <v>31</v>
      </c>
      <c r="AE63" s="432">
        <f t="shared" si="10"/>
        <v>205.958575</v>
      </c>
      <c r="AF63" s="449"/>
    </row>
    <row r="64" spans="1:32" ht="18.75" customHeight="1" x14ac:dyDescent="0.2">
      <c r="A64" s="944">
        <v>50</v>
      </c>
      <c r="B64" s="461" t="s">
        <v>64</v>
      </c>
      <c r="C64" s="944" t="s">
        <v>46</v>
      </c>
      <c r="D64" s="944">
        <v>672.5</v>
      </c>
      <c r="E64" s="944" t="s">
        <v>444</v>
      </c>
      <c r="F64" s="944">
        <v>177.8</v>
      </c>
      <c r="G64" s="944" t="s">
        <v>28</v>
      </c>
      <c r="H64" s="944" t="s">
        <v>49</v>
      </c>
      <c r="I64" s="942">
        <v>523.78</v>
      </c>
      <c r="J64" s="944">
        <v>120</v>
      </c>
      <c r="K64" s="944"/>
      <c r="L64" s="944">
        <v>405</v>
      </c>
      <c r="M64" s="944"/>
      <c r="N64" s="944">
        <v>7</v>
      </c>
      <c r="O64" s="944"/>
      <c r="P64" s="668">
        <v>21.289712231492167</v>
      </c>
      <c r="Q64" s="668">
        <f t="shared" si="9"/>
        <v>38.4</v>
      </c>
      <c r="R64" s="432">
        <v>8.2119999999999997</v>
      </c>
      <c r="S64" s="432">
        <v>12.355</v>
      </c>
      <c r="T64" s="670">
        <v>1522</v>
      </c>
      <c r="U64" s="668">
        <f t="shared" si="8"/>
        <v>185.33852898197759</v>
      </c>
      <c r="V64" s="668">
        <f t="shared" si="3"/>
        <v>33.53298259813841</v>
      </c>
      <c r="W64" s="668">
        <v>0.3</v>
      </c>
      <c r="X64" s="432">
        <f t="shared" si="7"/>
        <v>0.3217447916666667</v>
      </c>
      <c r="Y64" s="432">
        <f t="shared" si="4"/>
        <v>8.0888200000000001</v>
      </c>
      <c r="Z64" s="432">
        <f t="shared" si="4"/>
        <v>12.169675</v>
      </c>
      <c r="AA64" s="670">
        <f t="shared" si="4"/>
        <v>1499.17</v>
      </c>
      <c r="AB64" s="432">
        <f t="shared" si="5"/>
        <v>185.33852898197759</v>
      </c>
      <c r="AC64" s="670">
        <f t="shared" si="1"/>
        <v>33.53298259813841</v>
      </c>
      <c r="AD64" s="944">
        <v>31</v>
      </c>
      <c r="AE64" s="432">
        <f t="shared" si="10"/>
        <v>250.75342000000001</v>
      </c>
      <c r="AF64" s="449"/>
    </row>
    <row r="65" spans="1:32" ht="18.75" customHeight="1" x14ac:dyDescent="0.2">
      <c r="A65" s="944">
        <v>51</v>
      </c>
      <c r="B65" s="461" t="s">
        <v>156</v>
      </c>
      <c r="C65" s="944" t="s">
        <v>46</v>
      </c>
      <c r="D65" s="944">
        <v>679.54</v>
      </c>
      <c r="E65" s="944" t="s">
        <v>166</v>
      </c>
      <c r="F65" s="944">
        <v>177.8</v>
      </c>
      <c r="G65" s="944" t="s">
        <v>28</v>
      </c>
      <c r="H65" s="944" t="s">
        <v>52</v>
      </c>
      <c r="I65" s="942">
        <v>530.98</v>
      </c>
      <c r="J65" s="944">
        <v>250</v>
      </c>
      <c r="K65" s="944"/>
      <c r="L65" s="944">
        <v>456</v>
      </c>
      <c r="M65" s="944"/>
      <c r="N65" s="944">
        <v>7.2</v>
      </c>
      <c r="O65" s="944"/>
      <c r="P65" s="668">
        <v>16.658955800256862</v>
      </c>
      <c r="Q65" s="668">
        <f t="shared" si="9"/>
        <v>55</v>
      </c>
      <c r="R65" s="432">
        <v>3.2160000000000002</v>
      </c>
      <c r="S65" s="432">
        <v>5.3079999999999998</v>
      </c>
      <c r="T65" s="670">
        <v>64.158000000000001</v>
      </c>
      <c r="U65" s="668">
        <f t="shared" si="8"/>
        <v>19.94962686567164</v>
      </c>
      <c r="V65" s="668">
        <f t="shared" si="3"/>
        <v>39.412207987942722</v>
      </c>
      <c r="W65" s="668">
        <v>0.2</v>
      </c>
      <c r="X65" s="432">
        <f t="shared" si="7"/>
        <v>9.6509090909090905E-2</v>
      </c>
      <c r="Y65" s="432">
        <f t="shared" si="4"/>
        <v>3.1677600000000004</v>
      </c>
      <c r="Z65" s="432">
        <f t="shared" si="4"/>
        <v>5.2283799999999996</v>
      </c>
      <c r="AA65" s="670">
        <f t="shared" si="4"/>
        <v>63.195630000000001</v>
      </c>
      <c r="AB65" s="432">
        <f t="shared" si="5"/>
        <v>19.94962686567164</v>
      </c>
      <c r="AC65" s="670">
        <f t="shared" si="1"/>
        <v>39.412207987942722</v>
      </c>
      <c r="AD65" s="944">
        <v>31</v>
      </c>
      <c r="AE65" s="432">
        <f t="shared" si="10"/>
        <v>98.20056000000001</v>
      </c>
      <c r="AF65" s="449"/>
    </row>
    <row r="66" spans="1:32" ht="18.75" customHeight="1" x14ac:dyDescent="0.2">
      <c r="A66" s="944">
        <v>52</v>
      </c>
      <c r="B66" s="461" t="s">
        <v>169</v>
      </c>
      <c r="C66" s="944" t="s">
        <v>46</v>
      </c>
      <c r="D66" s="944">
        <v>647.37</v>
      </c>
      <c r="E66" s="944" t="s">
        <v>463</v>
      </c>
      <c r="F66" s="944">
        <v>177.8</v>
      </c>
      <c r="G66" s="944" t="s">
        <v>28</v>
      </c>
      <c r="H66" s="944" t="s">
        <v>464</v>
      </c>
      <c r="I66" s="942">
        <v>539.76999999999987</v>
      </c>
      <c r="J66" s="944">
        <v>225</v>
      </c>
      <c r="K66" s="944"/>
      <c r="L66" s="944">
        <v>428</v>
      </c>
      <c r="M66" s="944"/>
      <c r="N66" s="944">
        <v>3.3</v>
      </c>
      <c r="O66" s="944"/>
      <c r="P66" s="668">
        <v>17.453467031976455</v>
      </c>
      <c r="Q66" s="668">
        <v>42.9</v>
      </c>
      <c r="R66" s="432">
        <v>3.2749999999999999</v>
      </c>
      <c r="S66" s="432">
        <v>7.681</v>
      </c>
      <c r="T66" s="670">
        <v>39.262999999999998</v>
      </c>
      <c r="U66" s="668">
        <f t="shared" si="8"/>
        <v>11.988702290076336</v>
      </c>
      <c r="V66" s="668">
        <f t="shared" si="3"/>
        <v>57.362322614242942</v>
      </c>
      <c r="W66" s="668">
        <v>0.3</v>
      </c>
      <c r="X66" s="432">
        <f t="shared" si="7"/>
        <v>0.17904428904428904</v>
      </c>
      <c r="Y66" s="432">
        <f t="shared" si="4"/>
        <v>3.2258749999999998</v>
      </c>
      <c r="Z66" s="432">
        <f t="shared" si="4"/>
        <v>7.565785</v>
      </c>
      <c r="AA66" s="670">
        <f t="shared" si="4"/>
        <v>38.674054999999996</v>
      </c>
      <c r="AB66" s="432">
        <f t="shared" si="5"/>
        <v>11.988702290076336</v>
      </c>
      <c r="AC66" s="670">
        <f t="shared" si="1"/>
        <v>57.362322614242942</v>
      </c>
      <c r="AD66" s="944">
        <v>31</v>
      </c>
      <c r="AE66" s="432">
        <f>Y66*AD66</f>
        <v>100.00212499999999</v>
      </c>
      <c r="AF66" s="449"/>
    </row>
    <row r="67" spans="1:32" ht="18.75" customHeight="1" x14ac:dyDescent="0.2">
      <c r="A67" s="944">
        <v>53</v>
      </c>
      <c r="B67" s="461" t="s">
        <v>62</v>
      </c>
      <c r="C67" s="944" t="s">
        <v>46</v>
      </c>
      <c r="D67" s="944">
        <v>673.73</v>
      </c>
      <c r="E67" s="944" t="s">
        <v>97</v>
      </c>
      <c r="F67" s="944">
        <v>177.8</v>
      </c>
      <c r="G67" s="944" t="s">
        <v>28</v>
      </c>
      <c r="H67" s="944" t="s">
        <v>218</v>
      </c>
      <c r="I67" s="942">
        <v>543</v>
      </c>
      <c r="J67" s="944">
        <v>255</v>
      </c>
      <c r="K67" s="944"/>
      <c r="L67" s="944">
        <v>424</v>
      </c>
      <c r="M67" s="944"/>
      <c r="N67" s="944">
        <v>2.6</v>
      </c>
      <c r="O67" s="944"/>
      <c r="P67" s="668">
        <v>15.874407887512124</v>
      </c>
      <c r="Q67" s="668">
        <f t="shared" si="9"/>
        <v>81.599999999999994</v>
      </c>
      <c r="R67" s="432">
        <v>7.7850000000000001</v>
      </c>
      <c r="S67" s="432">
        <v>13.260999999999999</v>
      </c>
      <c r="T67" s="670">
        <v>147.21100000000001</v>
      </c>
      <c r="U67" s="668">
        <f t="shared" si="8"/>
        <v>18.909569685292229</v>
      </c>
      <c r="V67" s="668">
        <f t="shared" si="3"/>
        <v>41.294020058819086</v>
      </c>
      <c r="W67" s="668">
        <v>0.3</v>
      </c>
      <c r="X67" s="432">
        <f t="shared" si="7"/>
        <v>0.16251225490196078</v>
      </c>
      <c r="Y67" s="432">
        <f t="shared" si="4"/>
        <v>7.6682249999999996</v>
      </c>
      <c r="Z67" s="432">
        <f t="shared" si="4"/>
        <v>13.062085</v>
      </c>
      <c r="AA67" s="670">
        <f t="shared" si="4"/>
        <v>145.002835</v>
      </c>
      <c r="AB67" s="432">
        <f t="shared" si="5"/>
        <v>18.909569685292229</v>
      </c>
      <c r="AC67" s="670">
        <f t="shared" si="1"/>
        <v>41.294020058819086</v>
      </c>
      <c r="AD67" s="944">
        <v>31</v>
      </c>
      <c r="AE67" s="432">
        <f t="shared" si="10"/>
        <v>237.71497499999998</v>
      </c>
      <c r="AF67" s="669"/>
    </row>
    <row r="68" spans="1:32" ht="18.75" customHeight="1" x14ac:dyDescent="0.2">
      <c r="A68" s="946">
        <v>54</v>
      </c>
      <c r="B68" s="461" t="s">
        <v>157</v>
      </c>
      <c r="C68" s="946" t="s">
        <v>46</v>
      </c>
      <c r="D68" s="946">
        <v>676.73</v>
      </c>
      <c r="E68" s="946" t="s">
        <v>179</v>
      </c>
      <c r="F68" s="946">
        <v>177.8</v>
      </c>
      <c r="G68" s="946" t="s">
        <v>28</v>
      </c>
      <c r="H68" s="946" t="s">
        <v>218</v>
      </c>
      <c r="I68" s="945">
        <v>579.14</v>
      </c>
      <c r="J68" s="946">
        <v>160</v>
      </c>
      <c r="K68" s="946"/>
      <c r="L68" s="946">
        <v>146</v>
      </c>
      <c r="M68" s="946"/>
      <c r="N68" s="946">
        <v>7.5</v>
      </c>
      <c r="O68" s="946"/>
      <c r="P68" s="668">
        <v>46.145170029542328</v>
      </c>
      <c r="Q68" s="668">
        <f t="shared" si="9"/>
        <v>51.2</v>
      </c>
      <c r="R68" s="432">
        <v>17.097000000000001</v>
      </c>
      <c r="S68" s="432">
        <v>49.018999999999998</v>
      </c>
      <c r="T68" s="670">
        <v>178.57900000000001</v>
      </c>
      <c r="U68" s="668">
        <f t="shared" si="8"/>
        <v>10.445048838977598</v>
      </c>
      <c r="V68" s="668">
        <f t="shared" si="3"/>
        <v>65.121687508925106</v>
      </c>
      <c r="W68" s="668">
        <v>0.3</v>
      </c>
      <c r="X68" s="432">
        <f t="shared" si="7"/>
        <v>0.95740234374999988</v>
      </c>
      <c r="Y68" s="432">
        <f t="shared" si="4"/>
        <v>16.840545000000002</v>
      </c>
      <c r="Z68" s="432">
        <f t="shared" si="4"/>
        <v>48.283715000000001</v>
      </c>
      <c r="AA68" s="670">
        <f t="shared" si="4"/>
        <v>175.90031500000001</v>
      </c>
      <c r="AB68" s="432">
        <f t="shared" si="5"/>
        <v>10.445048838977598</v>
      </c>
      <c r="AC68" s="670">
        <f t="shared" si="1"/>
        <v>65.121687508925106</v>
      </c>
      <c r="AD68" s="946">
        <v>31</v>
      </c>
      <c r="AE68" s="432">
        <f t="shared" si="10"/>
        <v>522.05689500000005</v>
      </c>
      <c r="AF68" s="676"/>
    </row>
    <row r="69" spans="1:32" ht="18.75" customHeight="1" x14ac:dyDescent="0.2">
      <c r="A69" s="946">
        <v>55</v>
      </c>
      <c r="B69" s="461" t="s">
        <v>159</v>
      </c>
      <c r="C69" s="946" t="s">
        <v>46</v>
      </c>
      <c r="D69" s="946">
        <v>676</v>
      </c>
      <c r="E69" s="946" t="s">
        <v>167</v>
      </c>
      <c r="F69" s="946">
        <v>177.8</v>
      </c>
      <c r="G69" s="946" t="s">
        <v>28</v>
      </c>
      <c r="H69" s="946" t="s">
        <v>342</v>
      </c>
      <c r="I69" s="945">
        <v>509.61000000000024</v>
      </c>
      <c r="J69" s="946">
        <v>190</v>
      </c>
      <c r="K69" s="946"/>
      <c r="L69" s="946">
        <v>373</v>
      </c>
      <c r="M69" s="946"/>
      <c r="N69" s="946">
        <v>7.6</v>
      </c>
      <c r="O69" s="946"/>
      <c r="P69" s="668">
        <v>20.699407087181768</v>
      </c>
      <c r="Q69" s="668">
        <f>(20*J69)/100</f>
        <v>38</v>
      </c>
      <c r="R69" s="432">
        <v>16.425000000000001</v>
      </c>
      <c r="S69" s="432">
        <v>18.734000000000002</v>
      </c>
      <c r="T69" s="670">
        <v>414.31599999999997</v>
      </c>
      <c r="U69" s="668">
        <f t="shared" si="8"/>
        <v>25.224718417047182</v>
      </c>
      <c r="V69" s="668">
        <f t="shared" si="3"/>
        <v>12.325184157147437</v>
      </c>
      <c r="W69" s="668">
        <v>0.2</v>
      </c>
      <c r="X69" s="432">
        <f t="shared" si="7"/>
        <v>0.49300000000000005</v>
      </c>
      <c r="Y69" s="432">
        <f t="shared" si="4"/>
        <v>16.178625</v>
      </c>
      <c r="Z69" s="432">
        <f t="shared" si="4"/>
        <v>18.45299</v>
      </c>
      <c r="AA69" s="670">
        <f t="shared" si="4"/>
        <v>408.10125999999997</v>
      </c>
      <c r="AB69" s="432">
        <f t="shared" si="5"/>
        <v>25.224718417047182</v>
      </c>
      <c r="AC69" s="670">
        <f t="shared" si="1"/>
        <v>12.325184157147437</v>
      </c>
      <c r="AD69" s="946">
        <v>31</v>
      </c>
      <c r="AE69" s="432">
        <f t="shared" si="10"/>
        <v>501.537375</v>
      </c>
      <c r="AF69" s="669"/>
    </row>
    <row r="70" spans="1:32" ht="18.75" customHeight="1" x14ac:dyDescent="0.2">
      <c r="A70" s="946">
        <v>56</v>
      </c>
      <c r="B70" s="461" t="s">
        <v>330</v>
      </c>
      <c r="C70" s="946" t="s">
        <v>46</v>
      </c>
      <c r="D70" s="946">
        <v>595</v>
      </c>
      <c r="E70" s="946" t="s">
        <v>367</v>
      </c>
      <c r="F70" s="946">
        <v>178.8</v>
      </c>
      <c r="G70" s="946" t="s">
        <v>28</v>
      </c>
      <c r="H70" s="946" t="s">
        <v>52</v>
      </c>
      <c r="I70" s="945">
        <v>498.89</v>
      </c>
      <c r="J70" s="946">
        <v>250</v>
      </c>
      <c r="K70" s="946"/>
      <c r="L70" s="946">
        <v>354</v>
      </c>
      <c r="M70" s="946"/>
      <c r="N70" s="946">
        <v>9.1</v>
      </c>
      <c r="O70" s="946"/>
      <c r="P70" s="668">
        <v>23.597375210445296</v>
      </c>
      <c r="Q70" s="668">
        <f t="shared" si="9"/>
        <v>55</v>
      </c>
      <c r="R70" s="432">
        <v>20.806000000000001</v>
      </c>
      <c r="S70" s="432">
        <v>21.864999999999998</v>
      </c>
      <c r="T70" s="670">
        <v>721</v>
      </c>
      <c r="U70" s="668">
        <f t="shared" si="8"/>
        <v>34.653465346534652</v>
      </c>
      <c r="V70" s="668">
        <f t="shared" si="3"/>
        <v>4.8433569631831581</v>
      </c>
      <c r="W70" s="668">
        <v>0.2</v>
      </c>
      <c r="X70" s="432">
        <f t="shared" si="7"/>
        <v>0.39754545454545454</v>
      </c>
      <c r="Y70" s="432">
        <f t="shared" si="4"/>
        <v>20.49391</v>
      </c>
      <c r="Z70" s="432">
        <f t="shared" si="4"/>
        <v>21.537025</v>
      </c>
      <c r="AA70" s="670">
        <f t="shared" si="4"/>
        <v>710.18499999999995</v>
      </c>
      <c r="AB70" s="432">
        <v>20</v>
      </c>
      <c r="AC70" s="670">
        <v>17</v>
      </c>
      <c r="AD70" s="946">
        <v>31</v>
      </c>
      <c r="AE70" s="432">
        <f t="shared" si="10"/>
        <v>635.31120999999996</v>
      </c>
      <c r="AF70" s="669"/>
    </row>
    <row r="71" spans="1:32" ht="18.75" customHeight="1" x14ac:dyDescent="0.2">
      <c r="A71" s="946">
        <v>57</v>
      </c>
      <c r="B71" s="461" t="s">
        <v>210</v>
      </c>
      <c r="C71" s="946" t="s">
        <v>46</v>
      </c>
      <c r="D71" s="946">
        <v>728.32</v>
      </c>
      <c r="E71" s="946" t="s">
        <v>226</v>
      </c>
      <c r="F71" s="946">
        <v>177.8</v>
      </c>
      <c r="G71" s="946" t="s">
        <v>28</v>
      </c>
      <c r="H71" s="946" t="s">
        <v>218</v>
      </c>
      <c r="I71" s="945">
        <v>519.38</v>
      </c>
      <c r="J71" s="946">
        <v>280</v>
      </c>
      <c r="K71" s="946"/>
      <c r="L71" s="946">
        <v>168</v>
      </c>
      <c r="M71" s="946"/>
      <c r="N71" s="946">
        <v>9.5</v>
      </c>
      <c r="O71" s="946"/>
      <c r="P71" s="668">
        <v>45.492329220094319</v>
      </c>
      <c r="Q71" s="668">
        <f t="shared" si="9"/>
        <v>89.6</v>
      </c>
      <c r="R71" s="432">
        <v>9.1170000000000009</v>
      </c>
      <c r="S71" s="432">
        <v>44.329000000000001</v>
      </c>
      <c r="T71" s="670">
        <v>176.63200000000001</v>
      </c>
      <c r="U71" s="668">
        <f t="shared" si="8"/>
        <v>19.373916858615772</v>
      </c>
      <c r="V71" s="668">
        <f t="shared" si="3"/>
        <v>79.433328069660945</v>
      </c>
      <c r="W71" s="668">
        <v>0.3</v>
      </c>
      <c r="X71" s="432">
        <f t="shared" si="7"/>
        <v>0.49474330357142859</v>
      </c>
      <c r="Y71" s="432">
        <f t="shared" si="4"/>
        <v>8.980245</v>
      </c>
      <c r="Z71" s="432">
        <f t="shared" si="4"/>
        <v>43.664065000000001</v>
      </c>
      <c r="AA71" s="670">
        <f t="shared" si="4"/>
        <v>173.98251999999999</v>
      </c>
      <c r="AB71" s="432">
        <f t="shared" si="5"/>
        <v>19.373916858615772</v>
      </c>
      <c r="AC71" s="670">
        <f t="shared" si="1"/>
        <v>79.433328069660945</v>
      </c>
      <c r="AD71" s="946">
        <v>31</v>
      </c>
      <c r="AE71" s="432">
        <f t="shared" si="10"/>
        <v>278.38759499999998</v>
      </c>
      <c r="AF71" s="449"/>
    </row>
    <row r="72" spans="1:32" ht="18.75" customHeight="1" x14ac:dyDescent="0.2">
      <c r="A72" s="946">
        <v>58</v>
      </c>
      <c r="B72" s="461" t="s">
        <v>63</v>
      </c>
      <c r="C72" s="946" t="s">
        <v>46</v>
      </c>
      <c r="D72" s="946">
        <v>672.99</v>
      </c>
      <c r="E72" s="946" t="s">
        <v>98</v>
      </c>
      <c r="F72" s="946">
        <v>177.8</v>
      </c>
      <c r="G72" s="946" t="s">
        <v>28</v>
      </c>
      <c r="H72" s="946" t="s">
        <v>310</v>
      </c>
      <c r="I72" s="945">
        <v>536.32000000000005</v>
      </c>
      <c r="J72" s="946">
        <v>310</v>
      </c>
      <c r="K72" s="946"/>
      <c r="L72" s="946">
        <v>406</v>
      </c>
      <c r="M72" s="946"/>
      <c r="N72" s="946">
        <v>8</v>
      </c>
      <c r="O72" s="946"/>
      <c r="P72" s="668">
        <v>22.188402637371311</v>
      </c>
      <c r="Q72" s="668">
        <f t="shared" si="9"/>
        <v>68.2</v>
      </c>
      <c r="R72" s="432">
        <v>15.763</v>
      </c>
      <c r="S72" s="432">
        <v>21.065999999999999</v>
      </c>
      <c r="T72" s="670">
        <v>930.63199999999995</v>
      </c>
      <c r="U72" s="668">
        <f t="shared" si="8"/>
        <v>59.039015415847231</v>
      </c>
      <c r="V72" s="668">
        <f t="shared" si="3"/>
        <v>25.173264976739766</v>
      </c>
      <c r="W72" s="668">
        <v>0.2</v>
      </c>
      <c r="X72" s="432">
        <f t="shared" si="7"/>
        <v>0.30888563049853368</v>
      </c>
      <c r="Y72" s="432">
        <f t="shared" si="4"/>
        <v>15.526555</v>
      </c>
      <c r="Z72" s="432">
        <f t="shared" si="4"/>
        <v>20.75001</v>
      </c>
      <c r="AA72" s="670">
        <f t="shared" si="4"/>
        <v>916.67251999999996</v>
      </c>
      <c r="AB72" s="432">
        <f t="shared" si="5"/>
        <v>59.039015415847231</v>
      </c>
      <c r="AC72" s="670">
        <f t="shared" si="1"/>
        <v>25.173264976739766</v>
      </c>
      <c r="AD72" s="946">
        <v>31</v>
      </c>
      <c r="AE72" s="432">
        <f t="shared" si="10"/>
        <v>481.32320500000003</v>
      </c>
      <c r="AF72" s="449"/>
    </row>
    <row r="73" spans="1:32" ht="18.75" customHeight="1" x14ac:dyDescent="0.2">
      <c r="A73" s="946">
        <v>59</v>
      </c>
      <c r="B73" s="461" t="s">
        <v>217</v>
      </c>
      <c r="C73" s="946" t="s">
        <v>46</v>
      </c>
      <c r="D73" s="946">
        <v>684.57</v>
      </c>
      <c r="E73" s="946" t="s">
        <v>359</v>
      </c>
      <c r="F73" s="946">
        <v>177.8</v>
      </c>
      <c r="G73" s="946" t="s">
        <v>28</v>
      </c>
      <c r="H73" s="946" t="s">
        <v>219</v>
      </c>
      <c r="I73" s="945">
        <v>555.95000000000005</v>
      </c>
      <c r="J73" s="946">
        <v>300</v>
      </c>
      <c r="K73" s="946"/>
      <c r="L73" s="946">
        <v>228</v>
      </c>
      <c r="M73" s="946"/>
      <c r="N73" s="946">
        <v>7.8</v>
      </c>
      <c r="O73" s="946"/>
      <c r="P73" s="668">
        <v>41.438378105169761</v>
      </c>
      <c r="Q73" s="668">
        <f t="shared" si="9"/>
        <v>36</v>
      </c>
      <c r="R73" s="432">
        <v>3.141</v>
      </c>
      <c r="S73" s="432">
        <v>13.224</v>
      </c>
      <c r="T73" s="670">
        <v>31.263000000000002</v>
      </c>
      <c r="U73" s="668">
        <f t="shared" si="8"/>
        <v>9.9531996179560647</v>
      </c>
      <c r="V73" s="668">
        <f t="shared" si="3"/>
        <v>76.247731397459162</v>
      </c>
      <c r="W73" s="668">
        <v>0.2</v>
      </c>
      <c r="X73" s="432">
        <f t="shared" si="7"/>
        <v>0.36733333333333335</v>
      </c>
      <c r="Y73" s="432">
        <f t="shared" si="4"/>
        <v>3.0938849999999998</v>
      </c>
      <c r="Z73" s="432">
        <f t="shared" si="4"/>
        <v>13.025639999999999</v>
      </c>
      <c r="AA73" s="670">
        <f t="shared" si="4"/>
        <v>30.794055</v>
      </c>
      <c r="AB73" s="432">
        <f t="shared" si="5"/>
        <v>9.9531996179560647</v>
      </c>
      <c r="AC73" s="670">
        <f t="shared" si="1"/>
        <v>76.247731397459162</v>
      </c>
      <c r="AD73" s="946">
        <v>31</v>
      </c>
      <c r="AE73" s="432">
        <f t="shared" si="10"/>
        <v>95.910434999999993</v>
      </c>
      <c r="AF73" s="449"/>
    </row>
    <row r="74" spans="1:32" ht="18.75" customHeight="1" x14ac:dyDescent="0.2">
      <c r="A74" s="946">
        <v>60</v>
      </c>
      <c r="B74" s="461" t="s">
        <v>211</v>
      </c>
      <c r="C74" s="946" t="s">
        <v>46</v>
      </c>
      <c r="D74" s="946">
        <v>675.29</v>
      </c>
      <c r="E74" s="946" t="s">
        <v>224</v>
      </c>
      <c r="F74" s="946">
        <v>177.8</v>
      </c>
      <c r="G74" s="946" t="s">
        <v>28</v>
      </c>
      <c r="H74" s="946" t="s">
        <v>384</v>
      </c>
      <c r="I74" s="945">
        <v>554.95999999999981</v>
      </c>
      <c r="J74" s="946">
        <v>200</v>
      </c>
      <c r="K74" s="946"/>
      <c r="L74" s="946">
        <v>419</v>
      </c>
      <c r="M74" s="946"/>
      <c r="N74" s="946">
        <v>0.3</v>
      </c>
      <c r="O74" s="946"/>
      <c r="P74" s="668">
        <v>15.428088037686818</v>
      </c>
      <c r="Q74" s="668">
        <f>(22*J74)/100</f>
        <v>44</v>
      </c>
      <c r="R74" s="432">
        <v>2.835</v>
      </c>
      <c r="S74" s="432">
        <v>5.532</v>
      </c>
      <c r="T74" s="670">
        <v>0</v>
      </c>
      <c r="U74" s="668">
        <f t="shared" si="8"/>
        <v>0</v>
      </c>
      <c r="V74" s="668">
        <f t="shared" si="3"/>
        <v>48.752711496746201</v>
      </c>
      <c r="W74" s="668">
        <v>0.3</v>
      </c>
      <c r="X74" s="432">
        <f t="shared" si="7"/>
        <v>0.12572727272727272</v>
      </c>
      <c r="Y74" s="432">
        <f t="shared" si="4"/>
        <v>2.792475</v>
      </c>
      <c r="Z74" s="432">
        <f t="shared" si="4"/>
        <v>5.44902</v>
      </c>
      <c r="AA74" s="670">
        <f t="shared" si="4"/>
        <v>0</v>
      </c>
      <c r="AB74" s="432">
        <f t="shared" si="5"/>
        <v>0</v>
      </c>
      <c r="AC74" s="670">
        <f t="shared" si="1"/>
        <v>48.752711496746201</v>
      </c>
      <c r="AD74" s="946">
        <v>31</v>
      </c>
      <c r="AE74" s="432">
        <f t="shared" si="10"/>
        <v>86.566725000000005</v>
      </c>
      <c r="AF74" s="449"/>
    </row>
    <row r="75" spans="1:32" ht="18.600000000000001" customHeight="1" x14ac:dyDescent="0.2">
      <c r="A75" s="946">
        <v>61</v>
      </c>
      <c r="B75" s="461" t="s">
        <v>341</v>
      </c>
      <c r="C75" s="946" t="s">
        <v>46</v>
      </c>
      <c r="D75" s="946">
        <v>683.16</v>
      </c>
      <c r="E75" s="946" t="s">
        <v>343</v>
      </c>
      <c r="F75" s="946">
        <v>177.8</v>
      </c>
      <c r="G75" s="946" t="s">
        <v>28</v>
      </c>
      <c r="H75" s="946" t="s">
        <v>342</v>
      </c>
      <c r="I75" s="945">
        <v>571.9</v>
      </c>
      <c r="J75" s="946">
        <v>245</v>
      </c>
      <c r="K75" s="946"/>
      <c r="L75" s="946">
        <v>268</v>
      </c>
      <c r="M75" s="946"/>
      <c r="N75" s="946">
        <v>8.9</v>
      </c>
      <c r="O75" s="946"/>
      <c r="P75" s="668">
        <v>33.844362638741266</v>
      </c>
      <c r="Q75" s="668">
        <f>(20*J75)/100</f>
        <v>49</v>
      </c>
      <c r="R75" s="432">
        <v>29.475999999999999</v>
      </c>
      <c r="S75" s="432">
        <v>37.082000000000001</v>
      </c>
      <c r="T75" s="670">
        <v>568.68399999999997</v>
      </c>
      <c r="U75" s="668">
        <f t="shared" si="8"/>
        <v>19.29311982629936</v>
      </c>
      <c r="V75" s="668">
        <f t="shared" si="3"/>
        <v>20.511299282670841</v>
      </c>
      <c r="W75" s="668">
        <v>0.2</v>
      </c>
      <c r="X75" s="432">
        <f t="shared" si="7"/>
        <v>0.75677551020408163</v>
      </c>
      <c r="Y75" s="432">
        <f t="shared" si="4"/>
        <v>29.033859999999997</v>
      </c>
      <c r="Z75" s="432">
        <f t="shared" si="4"/>
        <v>36.525770000000001</v>
      </c>
      <c r="AA75" s="670">
        <f t="shared" si="4"/>
        <v>560.15373999999997</v>
      </c>
      <c r="AB75" s="432">
        <f t="shared" si="5"/>
        <v>19.29311982629936</v>
      </c>
      <c r="AC75" s="670">
        <f t="shared" si="1"/>
        <v>20.511299282670841</v>
      </c>
      <c r="AD75" s="946">
        <v>31</v>
      </c>
      <c r="AE75" s="432">
        <f t="shared" si="10"/>
        <v>900.0496599999999</v>
      </c>
      <c r="AF75" s="449"/>
    </row>
    <row r="76" spans="1:32" ht="18.75" customHeight="1" x14ac:dyDescent="0.2">
      <c r="A76" s="946">
        <v>62</v>
      </c>
      <c r="B76" s="461" t="s">
        <v>354</v>
      </c>
      <c r="C76" s="946" t="s">
        <v>46</v>
      </c>
      <c r="D76" s="946">
        <v>634.29</v>
      </c>
      <c r="E76" s="832" t="s">
        <v>356</v>
      </c>
      <c r="F76" s="946">
        <v>178.8</v>
      </c>
      <c r="G76" s="946" t="s">
        <v>28</v>
      </c>
      <c r="H76" s="946" t="s">
        <v>366</v>
      </c>
      <c r="I76" s="945">
        <v>540.14</v>
      </c>
      <c r="J76" s="946">
        <v>250</v>
      </c>
      <c r="K76" s="946"/>
      <c r="L76" s="946">
        <v>327</v>
      </c>
      <c r="M76" s="946"/>
      <c r="N76" s="946">
        <v>10</v>
      </c>
      <c r="O76" s="946"/>
      <c r="P76" s="668">
        <v>31.539046577917098</v>
      </c>
      <c r="Q76" s="668">
        <f>(33*J76)/100</f>
        <v>82.5</v>
      </c>
      <c r="R76" s="432">
        <v>20.923999999999999</v>
      </c>
      <c r="S76" s="432">
        <v>52.896999999999998</v>
      </c>
      <c r="T76" s="670">
        <v>243.63200000000001</v>
      </c>
      <c r="U76" s="668">
        <f t="shared" si="8"/>
        <v>11.643662779583254</v>
      </c>
      <c r="V76" s="668">
        <f t="shared" si="3"/>
        <v>60.443881505567418</v>
      </c>
      <c r="W76" s="668">
        <v>0.3</v>
      </c>
      <c r="X76" s="432">
        <f t="shared" si="7"/>
        <v>0.64117575757575751</v>
      </c>
      <c r="Y76" s="432">
        <f t="shared" si="4"/>
        <v>20.610139999999998</v>
      </c>
      <c r="Z76" s="432">
        <f t="shared" si="4"/>
        <v>52.103544999999997</v>
      </c>
      <c r="AA76" s="670">
        <f t="shared" si="4"/>
        <v>239.97752</v>
      </c>
      <c r="AB76" s="432">
        <f t="shared" si="5"/>
        <v>11.643662779583254</v>
      </c>
      <c r="AC76" s="670">
        <f t="shared" si="1"/>
        <v>60.443881505567418</v>
      </c>
      <c r="AD76" s="946">
        <v>31</v>
      </c>
      <c r="AE76" s="432">
        <f t="shared" si="10"/>
        <v>638.91433999999992</v>
      </c>
      <c r="AF76" s="449"/>
    </row>
    <row r="77" spans="1:32" ht="18.75" customHeight="1" x14ac:dyDescent="0.2">
      <c r="A77" s="946">
        <v>63</v>
      </c>
      <c r="B77" s="461" t="s">
        <v>172</v>
      </c>
      <c r="C77" s="946" t="s">
        <v>46</v>
      </c>
      <c r="D77" s="946">
        <v>673</v>
      </c>
      <c r="E77" s="946" t="s">
        <v>173</v>
      </c>
      <c r="F77" s="946">
        <v>177.8</v>
      </c>
      <c r="G77" s="946" t="s">
        <v>28</v>
      </c>
      <c r="H77" s="946" t="s">
        <v>50</v>
      </c>
      <c r="I77" s="945">
        <v>560.79</v>
      </c>
      <c r="J77" s="946">
        <v>365</v>
      </c>
      <c r="K77" s="946"/>
      <c r="L77" s="946">
        <v>210</v>
      </c>
      <c r="M77" s="946"/>
      <c r="N77" s="946">
        <v>6.1</v>
      </c>
      <c r="O77" s="946"/>
      <c r="P77" s="448">
        <v>41.747635027370904</v>
      </c>
      <c r="Q77" s="668">
        <f>LEFT(H77,(FIND("K",H77,1)-1))*J77/100</f>
        <v>21.9</v>
      </c>
      <c r="R77" s="432">
        <v>1.083</v>
      </c>
      <c r="S77" s="432">
        <v>4.4580000000000002</v>
      </c>
      <c r="T77" s="670">
        <v>0</v>
      </c>
      <c r="U77" s="668">
        <f t="shared" si="8"/>
        <v>0</v>
      </c>
      <c r="V77" s="668">
        <f t="shared" si="3"/>
        <v>75.706594885598918</v>
      </c>
      <c r="W77" s="668">
        <v>0.2</v>
      </c>
      <c r="X77" s="432">
        <f t="shared" si="7"/>
        <v>0.20356164383561645</v>
      </c>
      <c r="Y77" s="432">
        <f t="shared" si="4"/>
        <v>1.0667549999999999</v>
      </c>
      <c r="Z77" s="432">
        <f t="shared" si="4"/>
        <v>4.3911300000000004</v>
      </c>
      <c r="AA77" s="670">
        <f t="shared" si="4"/>
        <v>0</v>
      </c>
      <c r="AB77" s="432">
        <f t="shared" si="5"/>
        <v>0</v>
      </c>
      <c r="AC77" s="670">
        <f t="shared" si="1"/>
        <v>75.706594885598918</v>
      </c>
      <c r="AD77" s="946">
        <v>31</v>
      </c>
      <c r="AE77" s="432">
        <f>Y77*AD77</f>
        <v>33.069404999999996</v>
      </c>
      <c r="AF77" s="449"/>
    </row>
    <row r="78" spans="1:32" ht="18.75" customHeight="1" x14ac:dyDescent="0.25">
      <c r="A78" s="869"/>
      <c r="B78" s="933"/>
      <c r="C78" s="933"/>
      <c r="D78" s="929"/>
      <c r="E78" s="929"/>
      <c r="F78" s="461"/>
      <c r="G78" s="933"/>
      <c r="H78" s="933"/>
      <c r="I78" s="929"/>
      <c r="J78" s="929"/>
      <c r="K78" s="929"/>
      <c r="L78" s="929"/>
      <c r="M78" s="929"/>
      <c r="N78" s="933"/>
      <c r="O78" s="929"/>
      <c r="P78" s="668"/>
      <c r="Q78" s="448"/>
      <c r="R78" s="466">
        <f>SUM(R15:R77)</f>
        <v>382.28099999999995</v>
      </c>
      <c r="S78" s="466">
        <f>SUM(S15:S77)</f>
        <v>824.96399999999994</v>
      </c>
      <c r="T78" s="512">
        <f>SUM(T15:T77)</f>
        <v>11860.457999999999</v>
      </c>
      <c r="U78" s="466">
        <f>T78/R78</f>
        <v>31.025496951195588</v>
      </c>
      <c r="V78" s="466"/>
      <c r="W78" s="466"/>
      <c r="X78" s="466"/>
      <c r="Y78" s="466">
        <f>SUM(Y15:Y77)</f>
        <v>380.046785</v>
      </c>
      <c r="Z78" s="466">
        <f>SUM(Z15:Z77)</f>
        <v>817.58953999999994</v>
      </c>
      <c r="AA78" s="678">
        <f>SUM(AA15:AA77)</f>
        <v>11682.551129999998</v>
      </c>
      <c r="AB78" s="466">
        <f>AA78/Y78</f>
        <v>30.739770973197412</v>
      </c>
      <c r="AC78" s="466"/>
      <c r="AD78" s="932"/>
      <c r="AE78" s="466">
        <f>SUM(AE15:AE77)</f>
        <v>11779.007535000001</v>
      </c>
      <c r="AF78" s="669"/>
    </row>
    <row r="79" spans="1:32" ht="18.75" customHeight="1" x14ac:dyDescent="0.25">
      <c r="A79" s="869"/>
      <c r="B79" s="933"/>
      <c r="C79" s="933"/>
      <c r="D79" s="929"/>
      <c r="E79" s="929"/>
      <c r="F79" s="461"/>
      <c r="G79" s="933"/>
      <c r="H79" s="933"/>
      <c r="I79" s="929"/>
      <c r="J79" s="929"/>
      <c r="K79" s="929"/>
      <c r="L79" s="929"/>
      <c r="M79" s="929"/>
      <c r="N79" s="933"/>
      <c r="O79" s="929"/>
      <c r="P79" s="668"/>
      <c r="Q79" s="448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932"/>
      <c r="AE79" s="466"/>
      <c r="AF79" s="669"/>
    </row>
    <row r="80" spans="1:32" ht="18.75" customHeight="1" x14ac:dyDescent="0.25">
      <c r="A80" s="869"/>
      <c r="B80" s="933"/>
      <c r="C80" s="933"/>
      <c r="D80" s="929"/>
      <c r="E80" s="928" t="s">
        <v>388</v>
      </c>
      <c r="F80" s="461"/>
      <c r="G80" s="933"/>
      <c r="H80" s="933"/>
      <c r="I80" s="929"/>
      <c r="J80" s="929"/>
      <c r="K80" s="929"/>
      <c r="L80" s="929"/>
      <c r="M80" s="929"/>
      <c r="N80" s="933"/>
      <c r="O80" s="929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932"/>
      <c r="AE80" s="466"/>
      <c r="AF80" s="669"/>
    </row>
    <row r="81" spans="1:32" ht="18.75" customHeight="1" x14ac:dyDescent="0.2">
      <c r="A81" s="933">
        <v>64</v>
      </c>
      <c r="B81" s="461" t="s">
        <v>423</v>
      </c>
      <c r="C81" s="933" t="s">
        <v>445</v>
      </c>
      <c r="D81" s="929">
        <v>683.8</v>
      </c>
      <c r="E81" s="929" t="s">
        <v>473</v>
      </c>
      <c r="F81" s="933">
        <v>177.8</v>
      </c>
      <c r="G81" s="933" t="s">
        <v>28</v>
      </c>
      <c r="H81" s="933" t="s">
        <v>48</v>
      </c>
      <c r="I81" s="929">
        <v>590.46</v>
      </c>
      <c r="J81" s="929">
        <v>280</v>
      </c>
      <c r="K81" s="929"/>
      <c r="L81" s="929">
        <v>156</v>
      </c>
      <c r="M81" s="929"/>
      <c r="N81" s="933">
        <v>10.6</v>
      </c>
      <c r="O81" s="929"/>
      <c r="P81" s="668">
        <v>48.498811966153276</v>
      </c>
      <c r="Q81" s="668">
        <f t="shared" ref="Q81:Q84" si="11">LEFT(H81,(FIND("K",H81,1)-1))*J81/100</f>
        <v>36.4</v>
      </c>
      <c r="R81" s="432">
        <v>28.613</v>
      </c>
      <c r="S81" s="432">
        <v>29.466000000000001</v>
      </c>
      <c r="T81" s="492">
        <v>1845.452</v>
      </c>
      <c r="U81" s="668">
        <f t="shared" ref="U81:U84" si="12">T81/R81</f>
        <v>64.496976898612516</v>
      </c>
      <c r="V81" s="668">
        <f t="shared" ref="V81:V84" si="13">(S81-R81)/S81*100</f>
        <v>2.8948618747030528</v>
      </c>
      <c r="W81" s="668">
        <v>0.2</v>
      </c>
      <c r="X81" s="432">
        <f t="shared" ref="X81:X84" si="14">S81/Q81</f>
        <v>0.80950549450549458</v>
      </c>
      <c r="Y81" s="432">
        <f t="shared" ref="Y81:AA82" si="15">R81*0.985</f>
        <v>28.183805</v>
      </c>
      <c r="Z81" s="432">
        <f t="shared" si="15"/>
        <v>29.024010000000001</v>
      </c>
      <c r="AA81" s="670">
        <f t="shared" si="15"/>
        <v>1817.7702199999999</v>
      </c>
      <c r="AB81" s="432">
        <f t="shared" ref="AB81:AC84" si="16">U81</f>
        <v>64.496976898612516</v>
      </c>
      <c r="AC81" s="670">
        <f t="shared" si="16"/>
        <v>2.8948618747030528</v>
      </c>
      <c r="AD81" s="933">
        <v>31</v>
      </c>
      <c r="AE81" s="432">
        <f>Y81*AD81</f>
        <v>873.69795499999998</v>
      </c>
      <c r="AF81" s="669"/>
    </row>
    <row r="82" spans="1:32" ht="18.75" customHeight="1" x14ac:dyDescent="0.2">
      <c r="A82" s="933">
        <v>65</v>
      </c>
      <c r="B82" s="461" t="s">
        <v>213</v>
      </c>
      <c r="C82" s="933" t="s">
        <v>445</v>
      </c>
      <c r="D82" s="933">
        <v>690.8</v>
      </c>
      <c r="E82" s="933" t="s">
        <v>474</v>
      </c>
      <c r="F82" s="933">
        <v>177.8</v>
      </c>
      <c r="G82" s="933" t="s">
        <v>28</v>
      </c>
      <c r="H82" s="933" t="s">
        <v>218</v>
      </c>
      <c r="I82" s="929">
        <v>648.29999999999995</v>
      </c>
      <c r="J82" s="933">
        <v>100</v>
      </c>
      <c r="K82" s="933"/>
      <c r="L82" s="933">
        <v>349</v>
      </c>
      <c r="M82" s="933"/>
      <c r="N82" s="933">
        <v>8.3000000000000007</v>
      </c>
      <c r="O82" s="933"/>
      <c r="P82" s="668">
        <v>36.537390831462979</v>
      </c>
      <c r="Q82" s="668">
        <f t="shared" si="11"/>
        <v>32</v>
      </c>
      <c r="R82" s="432">
        <v>17.663</v>
      </c>
      <c r="S82" s="432">
        <v>23.414999999999999</v>
      </c>
      <c r="T82" s="670">
        <v>193</v>
      </c>
      <c r="U82" s="668">
        <f t="shared" si="12"/>
        <v>10.926796127498159</v>
      </c>
      <c r="V82" s="668">
        <f t="shared" si="13"/>
        <v>24.565449498184922</v>
      </c>
      <c r="W82" s="668">
        <v>0.2</v>
      </c>
      <c r="X82" s="432">
        <f t="shared" si="14"/>
        <v>0.73171874999999997</v>
      </c>
      <c r="Y82" s="432">
        <f t="shared" si="15"/>
        <v>17.398054999999999</v>
      </c>
      <c r="Z82" s="432">
        <f t="shared" si="15"/>
        <v>23.063775</v>
      </c>
      <c r="AA82" s="670">
        <f t="shared" si="15"/>
        <v>190.10499999999999</v>
      </c>
      <c r="AB82" s="432">
        <f t="shared" si="16"/>
        <v>10.926796127498159</v>
      </c>
      <c r="AC82" s="670">
        <f>V82</f>
        <v>24.565449498184922</v>
      </c>
      <c r="AD82" s="933">
        <v>31</v>
      </c>
      <c r="AE82" s="432">
        <f t="shared" ref="AE82" si="17">Y82*AD82</f>
        <v>539.33970499999998</v>
      </c>
      <c r="AF82" s="669"/>
    </row>
    <row r="83" spans="1:32" ht="18.600000000000001" customHeight="1" x14ac:dyDescent="0.2">
      <c r="A83" s="933">
        <v>66</v>
      </c>
      <c r="B83" s="461" t="s">
        <v>451</v>
      </c>
      <c r="C83" s="933" t="s">
        <v>445</v>
      </c>
      <c r="D83" s="929">
        <v>683.2700000000001</v>
      </c>
      <c r="E83" s="929" t="s">
        <v>475</v>
      </c>
      <c r="F83" s="933">
        <v>177.8</v>
      </c>
      <c r="G83" s="933" t="s">
        <v>28</v>
      </c>
      <c r="H83" s="933" t="s">
        <v>218</v>
      </c>
      <c r="I83" s="929">
        <v>618.30999999999995</v>
      </c>
      <c r="J83" s="929">
        <v>250</v>
      </c>
      <c r="K83" s="929"/>
      <c r="L83" s="929">
        <v>578</v>
      </c>
      <c r="M83" s="929"/>
      <c r="N83" s="933">
        <v>27.2</v>
      </c>
      <c r="O83" s="929"/>
      <c r="P83" s="668">
        <v>31.889079761431368</v>
      </c>
      <c r="Q83" s="668">
        <f t="shared" si="11"/>
        <v>80</v>
      </c>
      <c r="R83" s="432">
        <v>20.995000000000001</v>
      </c>
      <c r="S83" s="432">
        <v>21.492000000000001</v>
      </c>
      <c r="T83" s="492">
        <v>2399</v>
      </c>
      <c r="U83" s="668">
        <f t="shared" si="12"/>
        <v>114.26530126220528</v>
      </c>
      <c r="V83" s="668">
        <f t="shared" si="13"/>
        <v>2.312488367764749</v>
      </c>
      <c r="W83" s="668">
        <v>0.2</v>
      </c>
      <c r="X83" s="432">
        <f t="shared" si="14"/>
        <v>0.26865</v>
      </c>
      <c r="Y83" s="432">
        <f t="shared" ref="Y83:AA84" si="18">R83*0.985</f>
        <v>20.680075000000002</v>
      </c>
      <c r="Z83" s="432">
        <f t="shared" si="18"/>
        <v>21.169620000000002</v>
      </c>
      <c r="AA83" s="670">
        <f t="shared" si="18"/>
        <v>2363.0149999999999</v>
      </c>
      <c r="AB83" s="668">
        <f t="shared" si="16"/>
        <v>114.26530126220528</v>
      </c>
      <c r="AC83" s="670">
        <f t="shared" si="16"/>
        <v>2.312488367764749</v>
      </c>
      <c r="AD83" s="933">
        <v>31</v>
      </c>
      <c r="AE83" s="432">
        <f>Y83*AD83</f>
        <v>641.08232500000008</v>
      </c>
      <c r="AF83" s="669"/>
    </row>
    <row r="84" spans="1:32" ht="18.75" customHeight="1" x14ac:dyDescent="0.2">
      <c r="A84" s="933">
        <v>67</v>
      </c>
      <c r="B84" s="461" t="s">
        <v>424</v>
      </c>
      <c r="C84" s="933" t="s">
        <v>445</v>
      </c>
      <c r="D84" s="929">
        <v>691</v>
      </c>
      <c r="E84" s="929" t="s">
        <v>476</v>
      </c>
      <c r="F84" s="933">
        <v>177.8</v>
      </c>
      <c r="G84" s="933" t="s">
        <v>28</v>
      </c>
      <c r="H84" s="933" t="s">
        <v>48</v>
      </c>
      <c r="I84" s="929">
        <v>657.25</v>
      </c>
      <c r="J84" s="929">
        <v>0</v>
      </c>
      <c r="K84" s="929"/>
      <c r="L84" s="929"/>
      <c r="M84" s="929"/>
      <c r="N84" s="933"/>
      <c r="O84" s="929"/>
      <c r="P84" s="668"/>
      <c r="Q84" s="668">
        <f t="shared" si="11"/>
        <v>0</v>
      </c>
      <c r="R84" s="432">
        <v>2.121</v>
      </c>
      <c r="S84" s="432">
        <v>2.1280000000000001</v>
      </c>
      <c r="T84" s="492">
        <v>0</v>
      </c>
      <c r="U84" s="668">
        <f t="shared" si="12"/>
        <v>0</v>
      </c>
      <c r="V84" s="668">
        <f t="shared" si="13"/>
        <v>0.3289473684210581</v>
      </c>
      <c r="W84" s="668">
        <v>0.2</v>
      </c>
      <c r="X84" s="432" t="e">
        <f t="shared" si="14"/>
        <v>#DIV/0!</v>
      </c>
      <c r="Y84" s="432">
        <v>0</v>
      </c>
      <c r="Z84" s="432">
        <f t="shared" si="18"/>
        <v>2.0960800000000002</v>
      </c>
      <c r="AA84" s="670">
        <f>T84*0.985</f>
        <v>0</v>
      </c>
      <c r="AB84" s="432">
        <f t="shared" si="16"/>
        <v>0</v>
      </c>
      <c r="AC84" s="670">
        <f t="shared" si="16"/>
        <v>0.3289473684210581</v>
      </c>
      <c r="AD84" s="933">
        <v>0</v>
      </c>
      <c r="AE84" s="432">
        <f>Y84*AD84</f>
        <v>0</v>
      </c>
      <c r="AF84" s="669"/>
    </row>
    <row r="85" spans="1:32" ht="18.75" customHeight="1" x14ac:dyDescent="0.25">
      <c r="A85" s="933">
        <v>68</v>
      </c>
      <c r="B85" s="461" t="s">
        <v>155</v>
      </c>
      <c r="C85" s="933" t="s">
        <v>415</v>
      </c>
      <c r="D85" s="933">
        <v>513.9</v>
      </c>
      <c r="E85" s="933" t="s">
        <v>477</v>
      </c>
      <c r="F85" s="933">
        <v>177.8</v>
      </c>
      <c r="G85" s="933"/>
      <c r="H85" s="933"/>
      <c r="I85" s="929">
        <v>9.5</v>
      </c>
      <c r="J85" s="929"/>
      <c r="K85" s="929"/>
      <c r="L85" s="929"/>
      <c r="M85" s="929"/>
      <c r="N85" s="933"/>
      <c r="O85" s="929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933">
        <v>69</v>
      </c>
      <c r="B86" s="461" t="s">
        <v>465</v>
      </c>
      <c r="C86" s="933" t="s">
        <v>46</v>
      </c>
      <c r="D86" s="933">
        <v>571.91</v>
      </c>
      <c r="E86" s="933" t="s">
        <v>478</v>
      </c>
      <c r="F86" s="933">
        <v>177.8</v>
      </c>
      <c r="G86" s="933"/>
      <c r="H86" s="831"/>
      <c r="I86" s="929">
        <v>9.5</v>
      </c>
      <c r="J86" s="929"/>
      <c r="K86" s="929"/>
      <c r="L86" s="929"/>
      <c r="M86" s="929"/>
      <c r="N86" s="933"/>
      <c r="O86" s="929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932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933"/>
      <c r="H87" s="933"/>
      <c r="I87" s="933"/>
      <c r="J87" s="929"/>
      <c r="K87" s="929"/>
      <c r="L87" s="929"/>
      <c r="M87" s="929"/>
      <c r="N87" s="929"/>
      <c r="O87" s="929"/>
      <c r="P87" s="448"/>
      <c r="Q87" s="448"/>
      <c r="R87" s="466">
        <f>SUM(R81:R84)</f>
        <v>69.391999999999996</v>
      </c>
      <c r="S87" s="466">
        <f>SUM(S81:S84)</f>
        <v>76.501000000000005</v>
      </c>
      <c r="T87" s="512">
        <f>SUM(T81:T84)</f>
        <v>4437.4520000000002</v>
      </c>
      <c r="U87" s="466">
        <f>T87/R87</f>
        <v>63.947602029052348</v>
      </c>
      <c r="V87" s="466"/>
      <c r="W87" s="466"/>
      <c r="X87" s="466"/>
      <c r="Y87" s="466">
        <f>SUM(Y81:Y84)</f>
        <v>66.261934999999994</v>
      </c>
      <c r="Z87" s="466">
        <f>SUM(Z81:Z84)</f>
        <v>75.353485000000006</v>
      </c>
      <c r="AA87" s="678">
        <f>SUM(AA81:AA84)</f>
        <v>4370.8902199999993</v>
      </c>
      <c r="AB87" s="466">
        <f>AA87/Y87</f>
        <v>65.963817989921353</v>
      </c>
      <c r="AC87" s="466"/>
      <c r="AD87" s="932"/>
      <c r="AE87" s="466">
        <f>SUM(AE81:AE84)</f>
        <v>2054.1199850000003</v>
      </c>
      <c r="AF87" s="669"/>
    </row>
    <row r="88" spans="1:32" ht="18.75" customHeight="1" x14ac:dyDescent="0.25">
      <c r="A88" s="870"/>
      <c r="B88" s="873"/>
      <c r="C88" s="850"/>
      <c r="D88" s="850"/>
      <c r="E88" s="934" t="s">
        <v>470</v>
      </c>
      <c r="F88" s="853"/>
      <c r="G88" s="924"/>
      <c r="H88" s="928"/>
      <c r="I88" s="928"/>
      <c r="J88" s="929"/>
      <c r="K88" s="929"/>
      <c r="L88" s="929"/>
      <c r="M88" s="929"/>
      <c r="N88" s="929"/>
      <c r="O88" s="929"/>
      <c r="P88" s="448"/>
      <c r="Q88" s="448"/>
      <c r="R88" s="929"/>
      <c r="S88" s="437"/>
      <c r="T88" s="929"/>
      <c r="U88" s="924"/>
      <c r="V88" s="924"/>
      <c r="W88" s="924"/>
      <c r="X88" s="421"/>
      <c r="Y88" s="929"/>
      <c r="Z88" s="929"/>
      <c r="AA88" s="929"/>
      <c r="AB88" s="924"/>
      <c r="AC88" s="924"/>
      <c r="AD88" s="929"/>
      <c r="AE88" s="929"/>
      <c r="AF88" s="928"/>
    </row>
    <row r="89" spans="1:32" ht="18.75" customHeight="1" x14ac:dyDescent="0.2">
      <c r="A89" s="931">
        <v>70</v>
      </c>
      <c r="B89" s="946" t="s">
        <v>131</v>
      </c>
      <c r="C89" s="931" t="s">
        <v>313</v>
      </c>
      <c r="D89" s="933">
        <v>389.74</v>
      </c>
      <c r="E89" s="679" t="s">
        <v>136</v>
      </c>
      <c r="F89" s="933">
        <v>177.8</v>
      </c>
      <c r="G89" s="933" t="s">
        <v>28</v>
      </c>
      <c r="H89" s="933" t="s">
        <v>485</v>
      </c>
      <c r="I89" s="929">
        <v>132.27000000000001</v>
      </c>
      <c r="J89" s="929">
        <v>85</v>
      </c>
      <c r="K89" s="933"/>
      <c r="L89" s="933">
        <v>43</v>
      </c>
      <c r="M89" s="933"/>
      <c r="N89" s="933">
        <v>0.2</v>
      </c>
      <c r="O89" s="933"/>
      <c r="P89" s="668">
        <v>13.692691261550211</v>
      </c>
      <c r="Q89" s="448">
        <f>(15*J89)/100</f>
        <v>12.75</v>
      </c>
      <c r="R89" s="432">
        <v>8.1189999999999998</v>
      </c>
      <c r="S89" s="432">
        <v>11</v>
      </c>
      <c r="T89" s="432">
        <v>0</v>
      </c>
      <c r="U89" s="432">
        <f>T89/R89</f>
        <v>0</v>
      </c>
      <c r="V89" s="432">
        <f t="shared" ref="V89:V92" si="19">(S89-R89)/S89*100</f>
        <v>26.190909090909091</v>
      </c>
      <c r="W89" s="432">
        <v>0.7</v>
      </c>
      <c r="X89" s="432">
        <f t="shared" ref="X89:X92" si="20">S89/Q89</f>
        <v>0.86274509803921573</v>
      </c>
      <c r="Y89" s="432">
        <f>R89*0.985</f>
        <v>7.9972149999999997</v>
      </c>
      <c r="Z89" s="432">
        <f>S89*0.985</f>
        <v>10.834999999999999</v>
      </c>
      <c r="AA89" s="432">
        <f>T89*0.985</f>
        <v>0</v>
      </c>
      <c r="AB89" s="432">
        <f t="shared" ref="AB89:AC92" si="21">U89</f>
        <v>0</v>
      </c>
      <c r="AC89" s="432">
        <f t="shared" si="21"/>
        <v>26.190909090909091</v>
      </c>
      <c r="AD89" s="933">
        <v>31</v>
      </c>
      <c r="AE89" s="432">
        <f t="shared" ref="AE89:AE92" si="22">Y89*AD89</f>
        <v>247.91366499999998</v>
      </c>
      <c r="AF89" s="449"/>
    </row>
    <row r="90" spans="1:32" ht="18.75" customHeight="1" x14ac:dyDescent="0.2">
      <c r="A90" s="931">
        <v>71</v>
      </c>
      <c r="B90" s="933" t="s">
        <v>132</v>
      </c>
      <c r="C90" s="931" t="s">
        <v>313</v>
      </c>
      <c r="D90" s="933">
        <v>387.72</v>
      </c>
      <c r="E90" s="679" t="s">
        <v>135</v>
      </c>
      <c r="F90" s="933">
        <v>177.8</v>
      </c>
      <c r="G90" s="933" t="s">
        <v>28</v>
      </c>
      <c r="H90" s="933" t="s">
        <v>485</v>
      </c>
      <c r="I90" s="929">
        <v>130.86000000000001</v>
      </c>
      <c r="J90" s="933">
        <v>85</v>
      </c>
      <c r="K90" s="933"/>
      <c r="L90" s="933">
        <v>70</v>
      </c>
      <c r="M90" s="933"/>
      <c r="N90" s="933">
        <v>0</v>
      </c>
      <c r="O90" s="933"/>
      <c r="P90" s="668">
        <v>9.6679061162874635</v>
      </c>
      <c r="Q90" s="448">
        <f>(15*J90)/100</f>
        <v>12.75</v>
      </c>
      <c r="R90" s="432">
        <v>4.7960000000000003</v>
      </c>
      <c r="S90" s="432">
        <v>6.5110000000000001</v>
      </c>
      <c r="T90" s="432">
        <v>0</v>
      </c>
      <c r="U90" s="432">
        <f>T90/R90</f>
        <v>0</v>
      </c>
      <c r="V90" s="432">
        <f t="shared" si="19"/>
        <v>26.340039932422055</v>
      </c>
      <c r="W90" s="432">
        <v>0.5</v>
      </c>
      <c r="X90" s="432">
        <f t="shared" si="20"/>
        <v>0.51066666666666671</v>
      </c>
      <c r="Y90" s="432">
        <f t="shared" ref="Y90:AA92" si="23">R90*0.985</f>
        <v>4.7240600000000006</v>
      </c>
      <c r="Z90" s="432">
        <f t="shared" si="23"/>
        <v>6.413335</v>
      </c>
      <c r="AA90" s="432">
        <f t="shared" si="23"/>
        <v>0</v>
      </c>
      <c r="AB90" s="432">
        <v>0</v>
      </c>
      <c r="AC90" s="432">
        <f>V90</f>
        <v>26.340039932422055</v>
      </c>
      <c r="AD90" s="933">
        <v>31</v>
      </c>
      <c r="AE90" s="432">
        <f t="shared" si="22"/>
        <v>146.44586000000001</v>
      </c>
      <c r="AF90" s="449"/>
    </row>
    <row r="91" spans="1:32" ht="18.75" customHeight="1" x14ac:dyDescent="0.2">
      <c r="A91" s="931">
        <v>72</v>
      </c>
      <c r="B91" s="933" t="s">
        <v>121</v>
      </c>
      <c r="C91" s="931" t="s">
        <v>313</v>
      </c>
      <c r="D91" s="933">
        <v>389.57</v>
      </c>
      <c r="E91" s="933" t="s">
        <v>137</v>
      </c>
      <c r="F91" s="933">
        <v>177.8</v>
      </c>
      <c r="G91" s="933" t="s">
        <v>28</v>
      </c>
      <c r="H91" s="831" t="s">
        <v>466</v>
      </c>
      <c r="I91" s="929">
        <v>133.79</v>
      </c>
      <c r="J91" s="933">
        <v>85</v>
      </c>
      <c r="K91" s="933"/>
      <c r="L91" s="933">
        <v>45</v>
      </c>
      <c r="M91" s="933"/>
      <c r="N91" s="933">
        <v>0</v>
      </c>
      <c r="O91" s="933"/>
      <c r="P91" s="668">
        <v>12.138710570663264</v>
      </c>
      <c r="Q91" s="448">
        <f>(13*J91)/100</f>
        <v>11.05</v>
      </c>
      <c r="R91" s="432">
        <v>5.7140000000000004</v>
      </c>
      <c r="S91" s="432">
        <v>10.996</v>
      </c>
      <c r="T91" s="432">
        <v>0</v>
      </c>
      <c r="U91" s="432">
        <v>0</v>
      </c>
      <c r="V91" s="432">
        <v>75</v>
      </c>
      <c r="W91" s="432">
        <v>0.7</v>
      </c>
      <c r="X91" s="432">
        <f>S91/Q91</f>
        <v>0.9951131221719457</v>
      </c>
      <c r="Y91" s="432">
        <f t="shared" si="23"/>
        <v>5.6282900000000007</v>
      </c>
      <c r="Z91" s="432">
        <f t="shared" si="23"/>
        <v>10.831060000000001</v>
      </c>
      <c r="AA91" s="432">
        <f t="shared" si="23"/>
        <v>0</v>
      </c>
      <c r="AB91" s="432">
        <v>0</v>
      </c>
      <c r="AC91" s="432">
        <v>47</v>
      </c>
      <c r="AD91" s="933">
        <v>31</v>
      </c>
      <c r="AE91" s="432">
        <f t="shared" si="22"/>
        <v>174.47699000000003</v>
      </c>
      <c r="AF91" s="669"/>
    </row>
    <row r="92" spans="1:32" ht="18.75" customHeight="1" x14ac:dyDescent="0.2">
      <c r="A92" s="931">
        <v>73</v>
      </c>
      <c r="B92" s="946" t="s">
        <v>122</v>
      </c>
      <c r="C92" s="931" t="s">
        <v>313</v>
      </c>
      <c r="D92" s="933">
        <v>391.06</v>
      </c>
      <c r="E92" s="933" t="s">
        <v>138</v>
      </c>
      <c r="F92" s="933">
        <v>177.8</v>
      </c>
      <c r="G92" s="933" t="s">
        <v>28</v>
      </c>
      <c r="H92" s="946" t="s">
        <v>488</v>
      </c>
      <c r="I92" s="432">
        <v>150.38</v>
      </c>
      <c r="J92" s="933">
        <v>75</v>
      </c>
      <c r="K92" s="932"/>
      <c r="L92" s="933">
        <v>112</v>
      </c>
      <c r="M92" s="932"/>
      <c r="N92" s="933">
        <v>0.2</v>
      </c>
      <c r="O92" s="932"/>
      <c r="P92" s="668">
        <v>7.2327002756208305</v>
      </c>
      <c r="Q92" s="448">
        <f>(40*J92)/100</f>
        <v>30</v>
      </c>
      <c r="R92" s="432">
        <v>4.9470000000000001</v>
      </c>
      <c r="S92" s="432">
        <v>6.157</v>
      </c>
      <c r="T92" s="432">
        <v>0</v>
      </c>
      <c r="U92" s="432">
        <f>T92/R92</f>
        <v>0</v>
      </c>
      <c r="V92" s="432">
        <f t="shared" si="19"/>
        <v>19.652428130583075</v>
      </c>
      <c r="W92" s="432">
        <v>3.8</v>
      </c>
      <c r="X92" s="432">
        <f t="shared" si="20"/>
        <v>0.20523333333333332</v>
      </c>
      <c r="Y92" s="432">
        <f t="shared" si="23"/>
        <v>4.872795</v>
      </c>
      <c r="Z92" s="432">
        <f t="shared" si="23"/>
        <v>6.0646449999999996</v>
      </c>
      <c r="AA92" s="432">
        <f t="shared" si="23"/>
        <v>0</v>
      </c>
      <c r="AB92" s="432">
        <f t="shared" si="21"/>
        <v>0</v>
      </c>
      <c r="AC92" s="432">
        <f t="shared" si="21"/>
        <v>19.652428130583075</v>
      </c>
      <c r="AD92" s="933">
        <v>31</v>
      </c>
      <c r="AE92" s="432">
        <f t="shared" si="22"/>
        <v>151.056645</v>
      </c>
      <c r="AF92" s="680"/>
    </row>
    <row r="93" spans="1:32" ht="18.75" customHeight="1" x14ac:dyDescent="0.2">
      <c r="A93" s="931">
        <v>74</v>
      </c>
      <c r="B93" s="933" t="s">
        <v>188</v>
      </c>
      <c r="C93" s="931" t="s">
        <v>344</v>
      </c>
      <c r="D93" s="933">
        <v>400.5</v>
      </c>
      <c r="E93" s="933" t="s">
        <v>345</v>
      </c>
      <c r="F93" s="933">
        <v>177.8</v>
      </c>
      <c r="G93" s="933"/>
      <c r="H93" s="933"/>
      <c r="I93" s="432"/>
      <c r="J93" s="933"/>
      <c r="K93" s="932"/>
      <c r="L93" s="933"/>
      <c r="M93" s="932"/>
      <c r="N93" s="933"/>
      <c r="O93" s="932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933"/>
      <c r="AE93" s="432"/>
      <c r="AF93" s="669"/>
    </row>
    <row r="94" spans="1:32" ht="18.75" customHeight="1" x14ac:dyDescent="0.2">
      <c r="A94" s="931">
        <v>75</v>
      </c>
      <c r="B94" s="933" t="s">
        <v>186</v>
      </c>
      <c r="C94" s="931" t="s">
        <v>346</v>
      </c>
      <c r="D94" s="933">
        <v>349.5</v>
      </c>
      <c r="E94" s="461" t="s">
        <v>347</v>
      </c>
      <c r="F94" s="933">
        <v>177.8</v>
      </c>
      <c r="G94" s="933"/>
      <c r="H94" s="933"/>
      <c r="I94" s="432"/>
      <c r="J94" s="933"/>
      <c r="K94" s="933"/>
      <c r="L94" s="933"/>
      <c r="M94" s="932"/>
      <c r="N94" s="933"/>
      <c r="O94" s="932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933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929"/>
      <c r="G95" s="924"/>
      <c r="H95" s="928"/>
      <c r="I95" s="928"/>
      <c r="J95" s="929"/>
      <c r="K95" s="929"/>
      <c r="L95" s="929"/>
      <c r="M95" s="929"/>
      <c r="N95" s="929"/>
      <c r="O95" s="929"/>
      <c r="P95" s="448"/>
      <c r="Q95" s="448"/>
      <c r="R95" s="466">
        <f>SUM(R89:R94)</f>
        <v>23.575999999999997</v>
      </c>
      <c r="S95" s="466">
        <f>SUM(S89:S94)</f>
        <v>34.664000000000001</v>
      </c>
      <c r="T95" s="466">
        <f>SUM(T89:T92)</f>
        <v>0</v>
      </c>
      <c r="U95" s="466">
        <f>SUM(U89:U92)</f>
        <v>0</v>
      </c>
      <c r="V95" s="924"/>
      <c r="W95" s="924"/>
      <c r="X95" s="924"/>
      <c r="Y95" s="466">
        <f>SUM(Y89:Y94)</f>
        <v>23.222360000000002</v>
      </c>
      <c r="Z95" s="466">
        <f>SUM(Z89:Z94)</f>
        <v>34.144039999999997</v>
      </c>
      <c r="AA95" s="466">
        <f>SUM(AA89:AA92)</f>
        <v>0</v>
      </c>
      <c r="AB95" s="466">
        <v>0</v>
      </c>
      <c r="AC95" s="924"/>
      <c r="AD95" s="929"/>
      <c r="AE95" s="466">
        <f>SUM(AE89:AE94)</f>
        <v>719.89315999999997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932"/>
      <c r="G96" s="933"/>
      <c r="H96" s="933"/>
      <c r="I96" s="432"/>
      <c r="J96" s="933"/>
      <c r="K96" s="932"/>
      <c r="L96" s="933"/>
      <c r="M96" s="932"/>
      <c r="N96" s="668"/>
      <c r="O96" s="932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924"/>
      <c r="H97" s="928"/>
      <c r="I97" s="928"/>
      <c r="J97" s="929"/>
      <c r="K97" s="929"/>
      <c r="L97" s="929"/>
      <c r="M97" s="929"/>
      <c r="N97" s="929"/>
      <c r="O97" s="929"/>
      <c r="P97" s="448"/>
      <c r="Q97" s="448"/>
      <c r="R97" s="929"/>
      <c r="S97" s="929"/>
      <c r="T97" s="929"/>
      <c r="U97" s="924"/>
      <c r="V97" s="924"/>
      <c r="W97" s="924"/>
      <c r="X97" s="924"/>
      <c r="Y97" s="929"/>
      <c r="Z97" s="929"/>
      <c r="AA97" s="929"/>
      <c r="AB97" s="924"/>
      <c r="AC97" s="924"/>
      <c r="AD97" s="929"/>
      <c r="AE97" s="929"/>
      <c r="AF97" s="928"/>
    </row>
    <row r="98" spans="1:32" ht="18.75" customHeight="1" x14ac:dyDescent="0.2">
      <c r="A98" s="933">
        <v>76</v>
      </c>
      <c r="B98" s="930" t="s">
        <v>107</v>
      </c>
      <c r="C98" s="929" t="s">
        <v>109</v>
      </c>
      <c r="D98" s="929"/>
      <c r="E98" s="929"/>
      <c r="F98" s="929"/>
      <c r="G98" s="924"/>
      <c r="H98" s="928"/>
      <c r="I98" s="928"/>
      <c r="J98" s="929"/>
      <c r="K98" s="929"/>
      <c r="L98" s="929"/>
      <c r="M98" s="929"/>
      <c r="N98" s="929"/>
      <c r="O98" s="929"/>
      <c r="P98" s="448"/>
      <c r="Q98" s="448"/>
      <c r="R98" s="929"/>
      <c r="S98" s="929"/>
      <c r="T98" s="929"/>
      <c r="U98" s="924"/>
      <c r="V98" s="924"/>
      <c r="W98" s="924"/>
      <c r="X98" s="924"/>
      <c r="Y98" s="928"/>
      <c r="Z98" s="928"/>
      <c r="AA98" s="929"/>
      <c r="AB98" s="924"/>
      <c r="AC98" s="924"/>
      <c r="AD98" s="493"/>
      <c r="AE98" s="929"/>
      <c r="AF98" s="928"/>
    </row>
    <row r="99" spans="1:32" ht="18.75" customHeight="1" x14ac:dyDescent="0.2">
      <c r="A99" s="933">
        <v>77</v>
      </c>
      <c r="B99" s="930" t="s">
        <v>108</v>
      </c>
      <c r="C99" s="929" t="s">
        <v>109</v>
      </c>
      <c r="D99" s="929"/>
      <c r="E99" s="929"/>
      <c r="F99" s="929"/>
      <c r="G99" s="924"/>
      <c r="H99" s="928"/>
      <c r="I99" s="928"/>
      <c r="J99" s="929"/>
      <c r="K99" s="929"/>
      <c r="L99" s="929"/>
      <c r="M99" s="929"/>
      <c r="N99" s="929"/>
      <c r="O99" s="929"/>
      <c r="P99" s="448"/>
      <c r="Q99" s="448"/>
      <c r="R99" s="929"/>
      <c r="S99" s="929"/>
      <c r="T99" s="929"/>
      <c r="U99" s="924"/>
      <c r="V99" s="924"/>
      <c r="W99" s="924"/>
      <c r="X99" s="924"/>
      <c r="Y99" s="928"/>
      <c r="Z99" s="928"/>
      <c r="AA99" s="929"/>
      <c r="AB99" s="924"/>
      <c r="AC99" s="924"/>
      <c r="AD99" s="493"/>
      <c r="AE99" s="929"/>
      <c r="AF99" s="928"/>
    </row>
    <row r="100" spans="1:32" ht="18.75" customHeight="1" x14ac:dyDescent="0.2">
      <c r="A100" s="933">
        <v>78</v>
      </c>
      <c r="B100" s="930" t="s">
        <v>195</v>
      </c>
      <c r="C100" s="931" t="s">
        <v>484</v>
      </c>
      <c r="D100" s="929"/>
      <c r="E100" s="929"/>
      <c r="F100" s="929"/>
      <c r="G100" s="924"/>
      <c r="H100" s="928"/>
      <c r="I100" s="928"/>
      <c r="J100" s="929"/>
      <c r="K100" s="929"/>
      <c r="L100" s="929"/>
      <c r="M100" s="929"/>
      <c r="N100" s="929"/>
      <c r="O100" s="929"/>
      <c r="P100" s="448"/>
      <c r="Q100" s="448"/>
      <c r="R100" s="929"/>
      <c r="S100" s="929"/>
      <c r="T100" s="929"/>
      <c r="U100" s="924"/>
      <c r="V100" s="924"/>
      <c r="W100" s="924"/>
      <c r="X100" s="924"/>
      <c r="Y100" s="928"/>
      <c r="Z100" s="928"/>
      <c r="AA100" s="929"/>
      <c r="AB100" s="924"/>
      <c r="AC100" s="924"/>
      <c r="AD100" s="493"/>
      <c r="AE100" s="929"/>
      <c r="AF100" s="928"/>
    </row>
    <row r="101" spans="1:32" ht="18.75" customHeight="1" x14ac:dyDescent="0.2">
      <c r="A101" s="933">
        <v>79</v>
      </c>
      <c r="B101" s="930" t="s">
        <v>192</v>
      </c>
      <c r="C101" s="931" t="s">
        <v>484</v>
      </c>
      <c r="D101" s="929"/>
      <c r="E101" s="929"/>
      <c r="F101" s="929"/>
      <c r="G101" s="924"/>
      <c r="H101" s="928"/>
      <c r="I101" s="928"/>
      <c r="J101" s="929"/>
      <c r="K101" s="929"/>
      <c r="L101" s="929"/>
      <c r="M101" s="929"/>
      <c r="N101" s="929"/>
      <c r="O101" s="929"/>
      <c r="P101" s="448"/>
      <c r="Q101" s="448"/>
      <c r="R101" s="929"/>
      <c r="S101" s="929"/>
      <c r="T101" s="929"/>
      <c r="U101" s="924"/>
      <c r="V101" s="924"/>
      <c r="W101" s="924"/>
      <c r="X101" s="924"/>
      <c r="Y101" s="928"/>
      <c r="Z101" s="928"/>
      <c r="AA101" s="929"/>
      <c r="AB101" s="924"/>
      <c r="AC101" s="924"/>
      <c r="AD101" s="493"/>
      <c r="AE101" s="929"/>
      <c r="AF101" s="928"/>
    </row>
    <row r="102" spans="1:32" ht="18.75" customHeight="1" x14ac:dyDescent="0.2">
      <c r="A102" s="933"/>
      <c r="B102" s="851"/>
      <c r="C102" s="850"/>
      <c r="D102" s="850"/>
      <c r="E102" s="928" t="s">
        <v>278</v>
      </c>
      <c r="F102" s="850"/>
      <c r="G102" s="924"/>
      <c r="H102" s="928"/>
      <c r="I102" s="928"/>
      <c r="J102" s="929"/>
      <c r="K102" s="929"/>
      <c r="L102" s="929"/>
      <c r="M102" s="929"/>
      <c r="N102" s="929"/>
      <c r="O102" s="929"/>
      <c r="P102" s="448"/>
      <c r="Q102" s="448"/>
      <c r="R102" s="929"/>
      <c r="S102" s="929"/>
      <c r="T102" s="929"/>
      <c r="U102" s="924"/>
      <c r="V102" s="924"/>
      <c r="W102" s="924"/>
      <c r="X102" s="924"/>
      <c r="Y102" s="929"/>
      <c r="Z102" s="929"/>
      <c r="AA102" s="929"/>
      <c r="AB102" s="924"/>
      <c r="AC102" s="924"/>
      <c r="AD102" s="929"/>
      <c r="AE102" s="929"/>
      <c r="AF102" s="928"/>
    </row>
    <row r="103" spans="1:32" ht="18.75" customHeight="1" x14ac:dyDescent="0.2">
      <c r="A103" s="933">
        <v>80</v>
      </c>
      <c r="B103" s="461" t="s">
        <v>189</v>
      </c>
      <c r="C103" s="933" t="s">
        <v>46</v>
      </c>
      <c r="D103" s="933">
        <v>673</v>
      </c>
      <c r="E103" s="933" t="s">
        <v>190</v>
      </c>
      <c r="F103" s="933">
        <v>177.8</v>
      </c>
      <c r="G103" s="933"/>
      <c r="H103" s="933"/>
      <c r="I103" s="929"/>
      <c r="J103" s="929"/>
      <c r="K103" s="929"/>
      <c r="L103" s="929"/>
      <c r="M103" s="929"/>
      <c r="N103" s="929"/>
      <c r="O103" s="929"/>
      <c r="P103" s="448"/>
      <c r="Q103" s="448"/>
      <c r="R103" s="929"/>
      <c r="S103" s="929"/>
      <c r="T103" s="929"/>
      <c r="U103" s="924"/>
      <c r="V103" s="924"/>
      <c r="W103" s="924"/>
      <c r="X103" s="924"/>
      <c r="Y103" s="473"/>
      <c r="Z103" s="683"/>
      <c r="AA103" s="928"/>
      <c r="AB103" s="924"/>
      <c r="AC103" s="929"/>
      <c r="AD103" s="933"/>
      <c r="AE103" s="432"/>
      <c r="AF103" s="449"/>
    </row>
    <row r="104" spans="1:32" ht="18.75" customHeight="1" x14ac:dyDescent="0.3">
      <c r="A104" s="933">
        <v>81</v>
      </c>
      <c r="B104" s="461" t="s">
        <v>181</v>
      </c>
      <c r="C104" s="684" t="s">
        <v>344</v>
      </c>
      <c r="D104" s="933">
        <v>374.5</v>
      </c>
      <c r="E104" s="933" t="s">
        <v>182</v>
      </c>
      <c r="F104" s="933">
        <v>177.8</v>
      </c>
      <c r="G104" s="933"/>
      <c r="H104" s="933"/>
      <c r="I104" s="929"/>
      <c r="J104" s="933"/>
      <c r="K104" s="933"/>
      <c r="L104" s="933"/>
      <c r="M104" s="933"/>
      <c r="N104" s="668"/>
      <c r="O104" s="933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933"/>
      <c r="AE104" s="432"/>
      <c r="AF104" s="449"/>
    </row>
    <row r="105" spans="1:32" ht="18.75" customHeight="1" x14ac:dyDescent="0.2">
      <c r="A105" s="933">
        <v>82</v>
      </c>
      <c r="B105" s="461" t="s">
        <v>174</v>
      </c>
      <c r="C105" s="933" t="s">
        <v>46</v>
      </c>
      <c r="D105" s="933">
        <v>672</v>
      </c>
      <c r="E105" s="933" t="s">
        <v>175</v>
      </c>
      <c r="F105" s="933">
        <v>177.8</v>
      </c>
      <c r="G105" s="933"/>
      <c r="H105" s="933"/>
      <c r="I105" s="929"/>
      <c r="J105" s="933"/>
      <c r="K105" s="933"/>
      <c r="L105" s="933"/>
      <c r="M105" s="933"/>
      <c r="N105" s="668"/>
      <c r="O105" s="933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933"/>
      <c r="AE105" s="432"/>
      <c r="AF105" s="449"/>
    </row>
    <row r="106" spans="1:32" ht="18.75" customHeight="1" x14ac:dyDescent="0.2">
      <c r="A106" s="933">
        <v>83</v>
      </c>
      <c r="B106" s="930" t="s">
        <v>103</v>
      </c>
      <c r="C106" s="933" t="s">
        <v>46</v>
      </c>
      <c r="D106" s="929">
        <v>582</v>
      </c>
      <c r="E106" s="929" t="s">
        <v>112</v>
      </c>
      <c r="F106" s="933">
        <v>177.8</v>
      </c>
      <c r="G106" s="933"/>
      <c r="H106" s="933"/>
      <c r="I106" s="929"/>
      <c r="J106" s="929"/>
      <c r="K106" s="929"/>
      <c r="L106" s="929"/>
      <c r="M106" s="929"/>
      <c r="N106" s="929"/>
      <c r="O106" s="929"/>
      <c r="P106" s="448"/>
      <c r="Q106" s="448"/>
      <c r="R106" s="929"/>
      <c r="S106" s="929"/>
      <c r="T106" s="929"/>
      <c r="U106" s="924"/>
      <c r="V106" s="924"/>
      <c r="W106" s="924"/>
      <c r="X106" s="421"/>
      <c r="Y106" s="492"/>
      <c r="Z106" s="929"/>
      <c r="AA106" s="929"/>
      <c r="AB106" s="924"/>
      <c r="AC106" s="929"/>
      <c r="AD106" s="493"/>
      <c r="AE106" s="437"/>
      <c r="AF106" s="449"/>
    </row>
    <row r="107" spans="1:32" ht="18.75" customHeight="1" x14ac:dyDescent="0.2">
      <c r="A107" s="933">
        <v>84</v>
      </c>
      <c r="B107" s="933" t="s">
        <v>57</v>
      </c>
      <c r="C107" s="931" t="s">
        <v>314</v>
      </c>
      <c r="D107" s="933">
        <v>376.58</v>
      </c>
      <c r="E107" s="461" t="s">
        <v>93</v>
      </c>
      <c r="F107" s="933">
        <v>177.8</v>
      </c>
      <c r="G107" s="933"/>
      <c r="H107" s="933"/>
      <c r="I107" s="929"/>
      <c r="J107" s="929"/>
      <c r="K107" s="929"/>
      <c r="L107" s="929"/>
      <c r="M107" s="929"/>
      <c r="N107" s="929"/>
      <c r="O107" s="929"/>
      <c r="P107" s="448"/>
      <c r="Q107" s="448"/>
      <c r="R107" s="929"/>
      <c r="S107" s="929"/>
      <c r="T107" s="929"/>
      <c r="U107" s="924"/>
      <c r="V107" s="924"/>
      <c r="W107" s="924"/>
      <c r="X107" s="421"/>
      <c r="Y107" s="492"/>
      <c r="Z107" s="929"/>
      <c r="AA107" s="929"/>
      <c r="AB107" s="924"/>
      <c r="AC107" s="929"/>
      <c r="AD107" s="493"/>
      <c r="AE107" s="437"/>
      <c r="AF107" s="449"/>
    </row>
    <row r="108" spans="1:32" ht="18.75" customHeight="1" x14ac:dyDescent="0.2">
      <c r="A108" s="933">
        <v>85</v>
      </c>
      <c r="B108" s="933" t="s">
        <v>184</v>
      </c>
      <c r="C108" s="931" t="s">
        <v>314</v>
      </c>
      <c r="D108" s="933">
        <v>422.78</v>
      </c>
      <c r="E108" s="461" t="s">
        <v>185</v>
      </c>
      <c r="F108" s="933">
        <v>177.8</v>
      </c>
      <c r="G108" s="933"/>
      <c r="H108" s="933"/>
      <c r="I108" s="432"/>
      <c r="J108" s="929"/>
      <c r="K108" s="929"/>
      <c r="L108" s="929"/>
      <c r="M108" s="929"/>
      <c r="N108" s="929"/>
      <c r="O108" s="929"/>
      <c r="P108" s="448"/>
      <c r="Q108" s="448"/>
      <c r="R108" s="929"/>
      <c r="S108" s="929"/>
      <c r="T108" s="929"/>
      <c r="U108" s="924"/>
      <c r="V108" s="924"/>
      <c r="W108" s="924"/>
      <c r="X108" s="421"/>
      <c r="Y108" s="492"/>
      <c r="Z108" s="929"/>
      <c r="AA108" s="929"/>
      <c r="AB108" s="924"/>
      <c r="AC108" s="929"/>
      <c r="AD108" s="493"/>
      <c r="AE108" s="437"/>
      <c r="AF108" s="449"/>
    </row>
    <row r="109" spans="1:32" ht="18.75" customHeight="1" x14ac:dyDescent="0.2">
      <c r="A109" s="933">
        <v>86</v>
      </c>
      <c r="B109" s="930" t="s">
        <v>220</v>
      </c>
      <c r="C109" s="933" t="s">
        <v>46</v>
      </c>
      <c r="D109" s="929">
        <v>685.69</v>
      </c>
      <c r="E109" s="929" t="s">
        <v>222</v>
      </c>
      <c r="F109" s="933">
        <v>177.8</v>
      </c>
      <c r="G109" s="933"/>
      <c r="H109" s="933"/>
      <c r="I109" s="929"/>
      <c r="J109" s="929"/>
      <c r="K109" s="929"/>
      <c r="L109" s="929"/>
      <c r="M109" s="929"/>
      <c r="N109" s="929"/>
      <c r="O109" s="929"/>
      <c r="P109" s="448"/>
      <c r="Q109" s="771"/>
      <c r="R109" s="929"/>
      <c r="S109" s="929"/>
      <c r="T109" s="929"/>
      <c r="U109" s="924"/>
      <c r="V109" s="924"/>
      <c r="W109" s="924"/>
      <c r="X109" s="421"/>
      <c r="Y109" s="492"/>
      <c r="Z109" s="929"/>
      <c r="AA109" s="929"/>
      <c r="AB109" s="924"/>
      <c r="AC109" s="929"/>
      <c r="AD109" s="493"/>
      <c r="AE109" s="437"/>
      <c r="AF109" s="449"/>
    </row>
    <row r="110" spans="1:32" ht="18.75" customHeight="1" x14ac:dyDescent="0.2">
      <c r="A110" s="933"/>
      <c r="B110" s="851"/>
      <c r="C110" s="850"/>
      <c r="D110" s="850"/>
      <c r="E110" s="928" t="s">
        <v>469</v>
      </c>
      <c r="F110" s="850"/>
      <c r="G110" s="933"/>
      <c r="H110" s="933"/>
      <c r="I110" s="929"/>
      <c r="J110" s="933"/>
      <c r="K110" s="933"/>
      <c r="L110" s="933"/>
      <c r="M110" s="933"/>
      <c r="N110" s="668"/>
      <c r="O110" s="933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933"/>
      <c r="AE110" s="432"/>
      <c r="AF110" s="449"/>
    </row>
    <row r="111" spans="1:32" ht="18.75" customHeight="1" x14ac:dyDescent="0.2">
      <c r="A111" s="933">
        <v>87</v>
      </c>
      <c r="B111" s="461" t="s">
        <v>56</v>
      </c>
      <c r="C111" s="933" t="s">
        <v>46</v>
      </c>
      <c r="D111" s="933">
        <v>680.52</v>
      </c>
      <c r="E111" s="933" t="s">
        <v>92</v>
      </c>
      <c r="F111" s="933">
        <v>177.8</v>
      </c>
      <c r="G111" s="933"/>
      <c r="H111" s="933"/>
      <c r="I111" s="929"/>
      <c r="J111" s="933"/>
      <c r="K111" s="933"/>
      <c r="L111" s="933"/>
      <c r="M111" s="933"/>
      <c r="N111" s="668"/>
      <c r="O111" s="933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933"/>
      <c r="AE111" s="432"/>
      <c r="AF111" s="449"/>
    </row>
    <row r="112" spans="1:32" ht="18.75" customHeight="1" x14ac:dyDescent="0.2">
      <c r="A112" s="933"/>
      <c r="B112" s="461"/>
      <c r="C112" s="933"/>
      <c r="D112" s="933"/>
      <c r="E112" s="933"/>
      <c r="F112" s="933"/>
      <c r="G112" s="933"/>
      <c r="H112" s="933"/>
      <c r="I112" s="929"/>
      <c r="J112" s="933"/>
      <c r="K112" s="933"/>
      <c r="L112" s="933"/>
      <c r="M112" s="933"/>
      <c r="N112" s="668"/>
      <c r="O112" s="933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933"/>
      <c r="AE112" s="432"/>
      <c r="AF112" s="449"/>
    </row>
    <row r="113" spans="1:32" ht="18.75" x14ac:dyDescent="0.25">
      <c r="A113" s="870"/>
      <c r="B113" s="933"/>
      <c r="C113" s="933"/>
      <c r="D113" s="933"/>
      <c r="E113" s="461"/>
      <c r="F113" s="933"/>
      <c r="G113" s="933"/>
      <c r="H113" s="933"/>
      <c r="I113" s="929"/>
      <c r="J113" s="933"/>
      <c r="K113" s="933"/>
      <c r="L113" s="933"/>
      <c r="M113" s="933"/>
      <c r="N113" s="668"/>
      <c r="O113" s="933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933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932"/>
      <c r="G114" s="933"/>
      <c r="H114" s="933"/>
      <c r="I114" s="432"/>
      <c r="J114" s="933"/>
      <c r="K114" s="932"/>
      <c r="L114" s="933"/>
      <c r="M114" s="932"/>
      <c r="N114" s="668"/>
      <c r="O114" s="932"/>
      <c r="P114" s="682"/>
      <c r="Q114" s="774"/>
      <c r="R114" s="466">
        <f>R78+R95+R87</f>
        <v>475.24899999999997</v>
      </c>
      <c r="S114" s="466">
        <f>S78+S95+S87</f>
        <v>936.12899999999991</v>
      </c>
      <c r="T114" s="678">
        <f>T78+T95+T87</f>
        <v>16297.91</v>
      </c>
      <c r="U114" s="466">
        <f>T114/R114</f>
        <v>34.293412505865348</v>
      </c>
      <c r="V114" s="466"/>
      <c r="W114" s="466"/>
      <c r="X114" s="466"/>
      <c r="Y114" s="466">
        <f>Y78+Y95+Y87</f>
        <v>469.53107999999997</v>
      </c>
      <c r="Z114" s="466">
        <f>Z78+Z95+Z87</f>
        <v>927.08706499999994</v>
      </c>
      <c r="AA114" s="678">
        <f>AA78+AA95+AA87</f>
        <v>16053.441349999997</v>
      </c>
      <c r="AB114" s="466">
        <f>AB78+AB95+AB87</f>
        <v>96.703588963118762</v>
      </c>
      <c r="AC114" s="466"/>
      <c r="AD114" s="466"/>
      <c r="AE114" s="686">
        <f>AE78+AE95+AE87</f>
        <v>14553.020680000001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13825.369646000001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936"/>
      <c r="Y117" s="936"/>
      <c r="Z117" s="936"/>
      <c r="AA117" s="936"/>
      <c r="AB117" s="936"/>
      <c r="AC117" s="936"/>
      <c r="AD117" s="936"/>
      <c r="AE117" s="936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936" t="s">
        <v>282</v>
      </c>
      <c r="AC118" s="936"/>
      <c r="AD118" s="936"/>
      <c r="AE118" s="936"/>
      <c r="AF118" s="936"/>
    </row>
  </sheetData>
  <mergeCells count="33">
    <mergeCell ref="U13:U14"/>
    <mergeCell ref="AF13:AF14"/>
    <mergeCell ref="B114:E114"/>
    <mergeCell ref="K116:M116"/>
    <mergeCell ref="AB13:AB14"/>
    <mergeCell ref="AC13:AC14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F118"/>
  <sheetViews>
    <sheetView zoomScale="69" zoomScaleNormal="69" workbookViewId="0">
      <selection activeCell="T51" sqref="T51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959"/>
      <c r="G2" s="949"/>
      <c r="H2" s="949"/>
      <c r="I2" s="959"/>
      <c r="J2" s="1909" t="s">
        <v>490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959"/>
      <c r="Y2" s="959"/>
      <c r="Z2" s="959"/>
      <c r="AA2" s="959"/>
      <c r="AB2" s="959"/>
      <c r="AC2" s="959"/>
      <c r="AD2" s="959"/>
      <c r="AE2" s="959"/>
      <c r="AF2" s="405"/>
    </row>
    <row r="3" spans="1:32" ht="18.75" x14ac:dyDescent="0.2">
      <c r="A3" s="1910" t="s">
        <v>54</v>
      </c>
      <c r="B3" s="1910"/>
      <c r="C3" s="1910"/>
      <c r="D3" s="1910"/>
      <c r="E3" s="959"/>
      <c r="F3" s="959"/>
      <c r="G3" s="949"/>
      <c r="H3" s="958"/>
      <c r="I3" s="958"/>
      <c r="J3" s="958"/>
      <c r="K3" s="958"/>
      <c r="L3" s="958"/>
      <c r="M3" s="958"/>
      <c r="N3" s="958"/>
      <c r="O3" s="958"/>
      <c r="P3" s="958"/>
      <c r="Q3" s="767"/>
      <c r="R3" s="959"/>
      <c r="S3" s="959"/>
      <c r="T3" s="959"/>
      <c r="U3" s="959"/>
      <c r="V3" s="959"/>
      <c r="W3" s="959"/>
      <c r="X3" s="959"/>
      <c r="Y3" s="959"/>
      <c r="Z3" s="959"/>
      <c r="AA3" s="959"/>
      <c r="AB3" s="959"/>
      <c r="AC3" s="959"/>
      <c r="AD3" s="959"/>
      <c r="AE3" s="959"/>
      <c r="AF3" s="408" t="s">
        <v>55</v>
      </c>
    </row>
    <row r="4" spans="1:32" ht="18.75" x14ac:dyDescent="0.2">
      <c r="A4" s="950"/>
      <c r="B4" s="950"/>
      <c r="C4" s="950"/>
      <c r="D4" s="950"/>
      <c r="E4" s="959"/>
      <c r="F4" s="959"/>
      <c r="G4" s="949"/>
      <c r="H4" s="958"/>
      <c r="I4" s="958"/>
      <c r="J4" s="958"/>
      <c r="K4" s="958"/>
      <c r="L4" s="958"/>
      <c r="M4" s="958"/>
      <c r="N4" s="958"/>
      <c r="O4" s="958"/>
      <c r="P4" s="958"/>
      <c r="Q4" s="767"/>
      <c r="R4" s="959"/>
      <c r="S4" s="959"/>
      <c r="T4" s="959"/>
      <c r="U4" s="959"/>
      <c r="V4" s="959"/>
      <c r="W4" s="959"/>
      <c r="X4" s="959"/>
      <c r="Y4" s="959"/>
      <c r="Z4" s="959"/>
      <c r="AA4" s="959"/>
      <c r="AB4" s="959"/>
      <c r="AC4" s="959"/>
      <c r="AD4" s="959"/>
      <c r="AE4" s="959"/>
      <c r="AF4" s="408"/>
    </row>
    <row r="5" spans="1:32" ht="18.75" x14ac:dyDescent="0.2">
      <c r="A5" s="951" t="s">
        <v>311</v>
      </c>
      <c r="B5" s="951"/>
      <c r="C5" s="951"/>
      <c r="D5" s="951"/>
      <c r="E5" s="951"/>
      <c r="F5" s="959"/>
      <c r="G5" s="949"/>
      <c r="H5" s="949"/>
      <c r="I5" s="958"/>
      <c r="J5" s="958"/>
      <c r="K5" s="958"/>
      <c r="L5" s="958"/>
      <c r="M5" s="958"/>
      <c r="N5" s="958"/>
      <c r="O5" s="958"/>
      <c r="P5" s="958"/>
      <c r="Q5" s="767"/>
      <c r="R5" s="960"/>
      <c r="S5" s="960"/>
      <c r="T5" s="960"/>
      <c r="U5" s="960"/>
      <c r="V5" s="960"/>
      <c r="W5" s="960"/>
      <c r="X5" s="959"/>
      <c r="Y5" s="959"/>
      <c r="Z5" s="959"/>
      <c r="AA5" s="959"/>
      <c r="AB5" s="959"/>
      <c r="AC5" s="959"/>
      <c r="AD5" s="959"/>
      <c r="AE5" s="959"/>
      <c r="AF5" s="411" t="s">
        <v>468</v>
      </c>
    </row>
    <row r="6" spans="1:32" ht="18.75" x14ac:dyDescent="0.2">
      <c r="A6" s="951" t="s">
        <v>428</v>
      </c>
      <c r="B6" s="412"/>
      <c r="C6" s="412"/>
      <c r="D6" s="412"/>
      <c r="E6" s="959"/>
      <c r="F6" s="959"/>
      <c r="G6" s="949"/>
      <c r="H6" s="949"/>
      <c r="I6" s="959"/>
      <c r="J6" s="959"/>
      <c r="K6" s="949"/>
      <c r="L6" s="949"/>
      <c r="M6" s="959"/>
      <c r="N6" s="959"/>
      <c r="O6" s="959"/>
      <c r="P6" s="413"/>
      <c r="Q6" s="768"/>
      <c r="R6" s="959"/>
      <c r="S6" s="959"/>
      <c r="T6" s="959"/>
      <c r="U6" s="959"/>
      <c r="V6" s="959"/>
      <c r="W6" s="959"/>
      <c r="X6" s="959"/>
      <c r="Y6" s="959"/>
      <c r="Z6" s="959"/>
      <c r="AA6" s="959"/>
      <c r="AB6" s="959"/>
      <c r="AC6" s="959"/>
      <c r="AD6" s="959"/>
      <c r="AE6" s="959"/>
      <c r="AF6" s="415" t="s">
        <v>429</v>
      </c>
    </row>
    <row r="7" spans="1:32" ht="18.75" x14ac:dyDescent="0.2">
      <c r="A7" s="959"/>
      <c r="B7" s="951"/>
      <c r="C7" s="951"/>
      <c r="D7" s="951"/>
      <c r="E7" s="959"/>
      <c r="F7" s="959"/>
      <c r="G7" s="949"/>
      <c r="H7" s="949"/>
      <c r="I7" s="405"/>
      <c r="J7" s="959"/>
      <c r="K7" s="949"/>
      <c r="L7" s="949"/>
      <c r="M7" s="959"/>
      <c r="N7" s="959"/>
      <c r="O7" s="959"/>
      <c r="P7" s="413"/>
      <c r="Q7" s="768"/>
      <c r="R7" s="959"/>
      <c r="S7" s="959"/>
      <c r="T7" s="959"/>
      <c r="U7" s="959"/>
      <c r="V7" s="959"/>
      <c r="W7" s="411"/>
      <c r="X7" s="959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959"/>
      <c r="G8" s="949"/>
      <c r="H8" s="949"/>
      <c r="I8" s="405"/>
      <c r="J8" s="959"/>
      <c r="K8" s="949"/>
      <c r="L8" s="949"/>
      <c r="M8" s="959"/>
      <c r="N8" s="959"/>
      <c r="O8" s="959"/>
      <c r="P8" s="413"/>
      <c r="Q8" s="768"/>
      <c r="R8" s="959"/>
      <c r="S8" s="959"/>
      <c r="T8" s="959"/>
      <c r="U8" s="959"/>
      <c r="V8" s="959"/>
      <c r="W8" s="411"/>
      <c r="X8" s="959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959"/>
      <c r="G9" s="949"/>
      <c r="H9" s="949"/>
      <c r="I9" s="405"/>
      <c r="J9" s="959"/>
      <c r="K9" s="949"/>
      <c r="L9" s="949"/>
      <c r="M9" s="959"/>
      <c r="N9" s="959"/>
      <c r="O9" s="959"/>
      <c r="P9" s="413"/>
      <c r="Q9" s="768"/>
      <c r="R9" s="959"/>
      <c r="S9" s="959"/>
      <c r="T9" s="959"/>
      <c r="U9" s="959"/>
      <c r="V9" s="959"/>
      <c r="W9" s="411"/>
      <c r="X9" s="959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959"/>
      <c r="G10" s="949"/>
      <c r="H10" s="949"/>
      <c r="I10" s="959"/>
      <c r="J10" s="959"/>
      <c r="K10" s="949"/>
      <c r="L10" s="949"/>
      <c r="M10" s="949"/>
      <c r="N10" s="949"/>
      <c r="O10" s="949"/>
      <c r="P10" s="949"/>
      <c r="Q10" s="769"/>
      <c r="R10" s="949"/>
      <c r="S10" s="949"/>
      <c r="T10" s="949"/>
      <c r="U10" s="949"/>
      <c r="V10" s="949"/>
      <c r="W10" s="959"/>
      <c r="X10" s="959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949"/>
      <c r="C11" s="949"/>
      <c r="D11" s="949"/>
      <c r="E11" s="959"/>
      <c r="F11" s="959"/>
      <c r="G11" s="949"/>
      <c r="H11" s="949"/>
      <c r="I11" s="405"/>
      <c r="J11" s="959"/>
      <c r="K11" s="949"/>
      <c r="L11" s="949"/>
      <c r="M11" s="959"/>
      <c r="N11" s="959"/>
      <c r="O11" s="959"/>
      <c r="P11" s="413"/>
      <c r="Q11" s="768"/>
      <c r="R11" s="959"/>
      <c r="S11" s="959"/>
      <c r="T11" s="959"/>
      <c r="U11" s="959"/>
      <c r="V11" s="959"/>
      <c r="W11" s="411"/>
      <c r="X11" s="959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948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948" t="s">
        <v>18</v>
      </c>
      <c r="AE13" s="948" t="s">
        <v>20</v>
      </c>
      <c r="AF13" s="1891" t="s">
        <v>21</v>
      </c>
    </row>
    <row r="14" spans="1:32" ht="37.5" x14ac:dyDescent="0.2">
      <c r="A14" s="1891"/>
      <c r="B14" s="1891"/>
      <c r="C14" s="1903"/>
      <c r="D14" s="953" t="s">
        <v>3</v>
      </c>
      <c r="E14" s="953" t="s">
        <v>3</v>
      </c>
      <c r="F14" s="953" t="s">
        <v>4</v>
      </c>
      <c r="G14" s="1903"/>
      <c r="H14" s="1903"/>
      <c r="I14" s="1891"/>
      <c r="J14" s="953" t="s">
        <v>7</v>
      </c>
      <c r="K14" s="953" t="s">
        <v>30</v>
      </c>
      <c r="L14" s="953" t="s">
        <v>29</v>
      </c>
      <c r="M14" s="953" t="s">
        <v>31</v>
      </c>
      <c r="N14" s="953" t="s">
        <v>32</v>
      </c>
      <c r="O14" s="953" t="s">
        <v>12</v>
      </c>
      <c r="P14" s="448" t="s">
        <v>13</v>
      </c>
      <c r="Q14" s="771" t="s">
        <v>26</v>
      </c>
      <c r="R14" s="953" t="s">
        <v>14</v>
      </c>
      <c r="S14" s="953" t="s">
        <v>25</v>
      </c>
      <c r="T14" s="953" t="s">
        <v>113</v>
      </c>
      <c r="U14" s="1903"/>
      <c r="V14" s="1903"/>
      <c r="W14" s="1903"/>
      <c r="X14" s="1903"/>
      <c r="Y14" s="953" t="s">
        <v>14</v>
      </c>
      <c r="Z14" s="953" t="s">
        <v>25</v>
      </c>
      <c r="AA14" s="953" t="s">
        <v>113</v>
      </c>
      <c r="AB14" s="1903"/>
      <c r="AC14" s="1903"/>
      <c r="AD14" s="953" t="s">
        <v>19</v>
      </c>
      <c r="AE14" s="953" t="s">
        <v>27</v>
      </c>
      <c r="AF14" s="1891"/>
    </row>
    <row r="15" spans="1:32" ht="18.75" customHeight="1" x14ac:dyDescent="0.2">
      <c r="A15" s="956">
        <v>1</v>
      </c>
      <c r="B15" s="461" t="s">
        <v>139</v>
      </c>
      <c r="C15" s="956" t="s">
        <v>46</v>
      </c>
      <c r="D15" s="956">
        <v>610.5</v>
      </c>
      <c r="E15" s="956" t="s">
        <v>203</v>
      </c>
      <c r="F15" s="956">
        <v>177.8</v>
      </c>
      <c r="G15" s="956" t="s">
        <v>28</v>
      </c>
      <c r="H15" s="452" t="s">
        <v>363</v>
      </c>
      <c r="I15" s="953">
        <v>558.54</v>
      </c>
      <c r="J15" s="956">
        <v>175</v>
      </c>
      <c r="K15" s="956"/>
      <c r="L15" s="956">
        <v>401</v>
      </c>
      <c r="M15" s="956"/>
      <c r="N15" s="956">
        <v>0.3</v>
      </c>
      <c r="O15" s="956"/>
      <c r="P15" s="668">
        <v>15.2016944684094</v>
      </c>
      <c r="Q15" s="668">
        <v>8.3000000000000007</v>
      </c>
      <c r="R15" s="432">
        <v>2.27</v>
      </c>
      <c r="S15" s="432">
        <v>7.4589999999999996</v>
      </c>
      <c r="T15" s="670">
        <v>11</v>
      </c>
      <c r="U15" s="668">
        <f t="shared" ref="U15:U34" si="0">IF(R15=0,0,T15/R15)</f>
        <v>4.8458149779735686</v>
      </c>
      <c r="V15" s="668">
        <f>IF(S15=0,0,(S15-R15)/S15*100)</f>
        <v>69.566966081244146</v>
      </c>
      <c r="W15" s="668">
        <v>0.3</v>
      </c>
      <c r="X15" s="432">
        <f>IF(S15=0,0,S15/Q15)</f>
        <v>0.89867469879518058</v>
      </c>
      <c r="Y15" s="432">
        <f>R15*0.985</f>
        <v>2.2359499999999999</v>
      </c>
      <c r="Z15" s="432">
        <f>S15*0.985</f>
        <v>7.3471149999999996</v>
      </c>
      <c r="AA15" s="670">
        <f>T15*0.985</f>
        <v>10.834999999999999</v>
      </c>
      <c r="AB15" s="432">
        <f>U15</f>
        <v>4.8458149779735686</v>
      </c>
      <c r="AC15" s="670">
        <f t="shared" ref="AC15:AC77" si="1">V15</f>
        <v>69.566966081244146</v>
      </c>
      <c r="AD15" s="956">
        <v>30</v>
      </c>
      <c r="AE15" s="432">
        <f>Y15*AD15</f>
        <v>67.078499999999991</v>
      </c>
      <c r="AF15" s="669"/>
    </row>
    <row r="16" spans="1:32" ht="18.75" customHeight="1" x14ac:dyDescent="0.2">
      <c r="A16" s="956">
        <v>2</v>
      </c>
      <c r="B16" s="461" t="s">
        <v>140</v>
      </c>
      <c r="C16" s="956" t="s">
        <v>46</v>
      </c>
      <c r="D16" s="956">
        <v>623.5</v>
      </c>
      <c r="E16" s="956" t="s">
        <v>480</v>
      </c>
      <c r="F16" s="956">
        <v>177.8</v>
      </c>
      <c r="G16" s="956" t="s">
        <v>28</v>
      </c>
      <c r="H16" s="956" t="s">
        <v>50</v>
      </c>
      <c r="I16" s="953">
        <v>579.27</v>
      </c>
      <c r="J16" s="956">
        <v>0</v>
      </c>
      <c r="K16" s="956">
        <v>67</v>
      </c>
      <c r="L16" s="956"/>
      <c r="M16" s="956">
        <v>0</v>
      </c>
      <c r="N16" s="956"/>
      <c r="O16" s="956"/>
      <c r="P16" s="668">
        <v>50.429168891550354</v>
      </c>
      <c r="Q16" s="668">
        <f t="shared" ref="Q16:Q39" si="2">LEFT(H16,(FIND("K",H16,1)-1))*J16/100</f>
        <v>0</v>
      </c>
      <c r="R16" s="432">
        <v>0</v>
      </c>
      <c r="S16" s="432">
        <v>0</v>
      </c>
      <c r="T16" s="670">
        <v>0</v>
      </c>
      <c r="U16" s="668">
        <f t="shared" si="0"/>
        <v>0</v>
      </c>
      <c r="V16" s="668">
        <f t="shared" ref="V16:V77" si="3">IF(S16=0,0,(S16-R16)/S16*100)</f>
        <v>0</v>
      </c>
      <c r="W16" s="668">
        <v>0</v>
      </c>
      <c r="X16" s="432">
        <f>IF(S16=0,0,S16/Q16)</f>
        <v>0</v>
      </c>
      <c r="Y16" s="432">
        <f t="shared" ref="Y16:AA77" si="4">R16*0.985</f>
        <v>0</v>
      </c>
      <c r="Z16" s="432">
        <f t="shared" si="4"/>
        <v>0</v>
      </c>
      <c r="AA16" s="670">
        <f t="shared" si="4"/>
        <v>0</v>
      </c>
      <c r="AB16" s="432">
        <f t="shared" ref="AB16:AB77" si="5">U16</f>
        <v>0</v>
      </c>
      <c r="AC16" s="670">
        <f t="shared" si="1"/>
        <v>0</v>
      </c>
      <c r="AD16" s="956">
        <v>0</v>
      </c>
      <c r="AE16" s="432">
        <f t="shared" ref="AE16:AE59" si="6">Y16*AD16</f>
        <v>0</v>
      </c>
      <c r="AF16" s="669" t="s">
        <v>334</v>
      </c>
    </row>
    <row r="17" spans="1:32" ht="18.75" customHeight="1" x14ac:dyDescent="0.2">
      <c r="A17" s="956">
        <v>3</v>
      </c>
      <c r="B17" s="461" t="s">
        <v>141</v>
      </c>
      <c r="C17" s="956" t="s">
        <v>46</v>
      </c>
      <c r="D17" s="956">
        <v>670</v>
      </c>
      <c r="E17" s="956" t="s">
        <v>68</v>
      </c>
      <c r="F17" s="956">
        <v>177.8</v>
      </c>
      <c r="G17" s="956" t="s">
        <v>28</v>
      </c>
      <c r="H17" s="956" t="s">
        <v>218</v>
      </c>
      <c r="I17" s="953">
        <v>565.94000000000005</v>
      </c>
      <c r="J17" s="956">
        <v>240</v>
      </c>
      <c r="K17" s="956"/>
      <c r="L17" s="956">
        <v>482</v>
      </c>
      <c r="M17" s="956"/>
      <c r="N17" s="668">
        <v>7.9</v>
      </c>
      <c r="O17" s="956"/>
      <c r="P17" s="668">
        <v>12.364309740551448</v>
      </c>
      <c r="Q17" s="668">
        <f>LEFT(H17,(FIND("K",H17,1)-1))*J17/100</f>
        <v>76.8</v>
      </c>
      <c r="R17" s="432">
        <v>15.21</v>
      </c>
      <c r="S17" s="432">
        <v>26.53</v>
      </c>
      <c r="T17" s="670">
        <v>2091</v>
      </c>
      <c r="U17" s="668">
        <f t="shared" si="0"/>
        <v>137.47534516765285</v>
      </c>
      <c r="V17" s="668">
        <f t="shared" si="3"/>
        <v>42.668676969468528</v>
      </c>
      <c r="W17" s="668">
        <v>0.2</v>
      </c>
      <c r="X17" s="432">
        <f t="shared" ref="X17:X77" si="7">IF(S17=0,0,S17/Q17)</f>
        <v>0.34544270833333335</v>
      </c>
      <c r="Y17" s="432">
        <f t="shared" si="4"/>
        <v>14.981850000000001</v>
      </c>
      <c r="Z17" s="432">
        <f t="shared" si="4"/>
        <v>26.13205</v>
      </c>
      <c r="AA17" s="670">
        <f t="shared" si="4"/>
        <v>2059.6349999999998</v>
      </c>
      <c r="AB17" s="432">
        <f t="shared" si="5"/>
        <v>137.47534516765285</v>
      </c>
      <c r="AC17" s="670">
        <f t="shared" si="1"/>
        <v>42.668676969468528</v>
      </c>
      <c r="AD17" s="956">
        <v>30</v>
      </c>
      <c r="AE17" s="432">
        <f>Y17*AD17</f>
        <v>449.45550000000003</v>
      </c>
      <c r="AF17" s="669"/>
    </row>
    <row r="18" spans="1:32" ht="18.75" customHeight="1" x14ac:dyDescent="0.2">
      <c r="A18" s="956">
        <v>4</v>
      </c>
      <c r="B18" s="461" t="s">
        <v>142</v>
      </c>
      <c r="C18" s="956" t="s">
        <v>46</v>
      </c>
      <c r="D18" s="956">
        <v>628</v>
      </c>
      <c r="E18" s="956" t="s">
        <v>481</v>
      </c>
      <c r="F18" s="956">
        <v>177.8</v>
      </c>
      <c r="G18" s="956" t="s">
        <v>28</v>
      </c>
      <c r="H18" s="831" t="s">
        <v>466</v>
      </c>
      <c r="I18" s="953">
        <v>541.28</v>
      </c>
      <c r="J18" s="956">
        <v>85</v>
      </c>
      <c r="K18" s="956"/>
      <c r="L18" s="956">
        <v>440</v>
      </c>
      <c r="M18" s="956"/>
      <c r="N18" s="668">
        <v>4.9000000000000004</v>
      </c>
      <c r="O18" s="956"/>
      <c r="P18" s="668">
        <v>16.04752344106765</v>
      </c>
      <c r="Q18" s="668">
        <f>13*J18/100</f>
        <v>11.05</v>
      </c>
      <c r="R18" s="432">
        <v>4.34</v>
      </c>
      <c r="S18" s="432">
        <v>6.36</v>
      </c>
      <c r="T18" s="670">
        <v>42</v>
      </c>
      <c r="U18" s="668">
        <f t="shared" si="0"/>
        <v>9.67741935483871</v>
      </c>
      <c r="V18" s="668">
        <f t="shared" si="3"/>
        <v>31.761006289308181</v>
      </c>
      <c r="W18" s="668">
        <v>0.2</v>
      </c>
      <c r="X18" s="432">
        <f t="shared" si="7"/>
        <v>0.57556561085972846</v>
      </c>
      <c r="Y18" s="432">
        <f t="shared" si="4"/>
        <v>4.2748999999999997</v>
      </c>
      <c r="Z18" s="432">
        <f t="shared" si="4"/>
        <v>6.2646000000000006</v>
      </c>
      <c r="AA18" s="670">
        <f t="shared" si="4"/>
        <v>41.37</v>
      </c>
      <c r="AB18" s="432">
        <f t="shared" si="5"/>
        <v>9.67741935483871</v>
      </c>
      <c r="AC18" s="670">
        <f t="shared" si="1"/>
        <v>31.761006289308181</v>
      </c>
      <c r="AD18" s="956">
        <v>30</v>
      </c>
      <c r="AE18" s="432">
        <f t="shared" si="6"/>
        <v>128.24699999999999</v>
      </c>
      <c r="AF18" s="669"/>
    </row>
    <row r="19" spans="1:32" ht="18.75" customHeight="1" x14ac:dyDescent="0.2">
      <c r="A19" s="956">
        <v>5</v>
      </c>
      <c r="B19" s="461" t="s">
        <v>143</v>
      </c>
      <c r="C19" s="956" t="s">
        <v>46</v>
      </c>
      <c r="D19" s="956">
        <v>576.6</v>
      </c>
      <c r="E19" s="956" t="s">
        <v>70</v>
      </c>
      <c r="F19" s="956">
        <v>177.8</v>
      </c>
      <c r="G19" s="956" t="s">
        <v>28</v>
      </c>
      <c r="H19" s="550" t="s">
        <v>53</v>
      </c>
      <c r="I19" s="953">
        <v>546.04999999999995</v>
      </c>
      <c r="J19" s="956">
        <v>85</v>
      </c>
      <c r="K19" s="956"/>
      <c r="L19" s="956">
        <v>431</v>
      </c>
      <c r="M19" s="956"/>
      <c r="N19" s="956">
        <v>5.5</v>
      </c>
      <c r="O19" s="956"/>
      <c r="P19" s="668">
        <v>17.066268903317908</v>
      </c>
      <c r="Q19" s="668">
        <f t="shared" si="2"/>
        <v>11.05</v>
      </c>
      <c r="R19" s="432">
        <v>5.18</v>
      </c>
      <c r="S19" s="432">
        <v>6.13</v>
      </c>
      <c r="T19" s="670">
        <v>23</v>
      </c>
      <c r="U19" s="668">
        <f t="shared" si="0"/>
        <v>4.4401544401544406</v>
      </c>
      <c r="V19" s="668">
        <f t="shared" si="3"/>
        <v>15.497553017944538</v>
      </c>
      <c r="W19" s="668">
        <v>0.2</v>
      </c>
      <c r="X19" s="432">
        <f t="shared" si="7"/>
        <v>0.55475113122171937</v>
      </c>
      <c r="Y19" s="432">
        <f t="shared" si="4"/>
        <v>5.1022999999999996</v>
      </c>
      <c r="Z19" s="432">
        <f t="shared" si="4"/>
        <v>6.0380500000000001</v>
      </c>
      <c r="AA19" s="670">
        <f t="shared" si="4"/>
        <v>22.655000000000001</v>
      </c>
      <c r="AB19" s="432">
        <f t="shared" si="5"/>
        <v>4.4401544401544406</v>
      </c>
      <c r="AC19" s="670">
        <f t="shared" si="1"/>
        <v>15.497553017944538</v>
      </c>
      <c r="AD19" s="956">
        <v>30</v>
      </c>
      <c r="AE19" s="432">
        <f t="shared" si="6"/>
        <v>153.06899999999999</v>
      </c>
      <c r="AF19" s="669"/>
    </row>
    <row r="20" spans="1:32" ht="18.75" customHeight="1" x14ac:dyDescent="0.2">
      <c r="A20" s="956">
        <v>6</v>
      </c>
      <c r="B20" s="461" t="s">
        <v>144</v>
      </c>
      <c r="C20" s="956" t="s">
        <v>46</v>
      </c>
      <c r="D20" s="956">
        <v>676.6</v>
      </c>
      <c r="E20" s="956" t="s">
        <v>460</v>
      </c>
      <c r="F20" s="956">
        <v>177.8</v>
      </c>
      <c r="G20" s="956" t="s">
        <v>28</v>
      </c>
      <c r="H20" s="956" t="s">
        <v>461</v>
      </c>
      <c r="I20" s="953">
        <v>567.16</v>
      </c>
      <c r="J20" s="956">
        <v>85</v>
      </c>
      <c r="K20" s="956"/>
      <c r="L20" s="956">
        <v>407</v>
      </c>
      <c r="M20" s="956"/>
      <c r="N20" s="956">
        <v>0.6</v>
      </c>
      <c r="O20" s="956"/>
      <c r="P20" s="668">
        <v>16.053397148691062</v>
      </c>
      <c r="Q20" s="668">
        <v>18.7</v>
      </c>
      <c r="R20" s="432">
        <v>2.39</v>
      </c>
      <c r="S20" s="432">
        <v>4.5</v>
      </c>
      <c r="T20" s="670">
        <v>2</v>
      </c>
      <c r="U20" s="668">
        <f t="shared" si="0"/>
        <v>0.83682008368200833</v>
      </c>
      <c r="V20" s="668">
        <f t="shared" si="3"/>
        <v>46.888888888888886</v>
      </c>
      <c r="W20" s="668">
        <v>0.8</v>
      </c>
      <c r="X20" s="432">
        <f t="shared" si="7"/>
        <v>0.24064171122994654</v>
      </c>
      <c r="Y20" s="432">
        <f t="shared" si="4"/>
        <v>2.3541500000000002</v>
      </c>
      <c r="Z20" s="432">
        <f t="shared" si="4"/>
        <v>4.4325000000000001</v>
      </c>
      <c r="AA20" s="670">
        <f t="shared" si="4"/>
        <v>1.97</v>
      </c>
      <c r="AB20" s="432">
        <v>14.613</v>
      </c>
      <c r="AC20" s="670">
        <f t="shared" si="1"/>
        <v>46.888888888888886</v>
      </c>
      <c r="AD20" s="956">
        <v>30</v>
      </c>
      <c r="AE20" s="432">
        <f t="shared" si="6"/>
        <v>70.624500000000012</v>
      </c>
      <c r="AF20" s="669"/>
    </row>
    <row r="21" spans="1:32" ht="18.75" customHeight="1" x14ac:dyDescent="0.2">
      <c r="A21" s="956">
        <v>7</v>
      </c>
      <c r="B21" s="461" t="s">
        <v>145</v>
      </c>
      <c r="C21" s="956" t="s">
        <v>46</v>
      </c>
      <c r="D21" s="956" t="s">
        <v>47</v>
      </c>
      <c r="E21" s="956" t="s">
        <v>72</v>
      </c>
      <c r="F21" s="956">
        <v>177.8</v>
      </c>
      <c r="G21" s="956" t="s">
        <v>28</v>
      </c>
      <c r="H21" s="956" t="s">
        <v>52</v>
      </c>
      <c r="I21" s="953">
        <v>560</v>
      </c>
      <c r="J21" s="956">
        <v>190</v>
      </c>
      <c r="K21" s="956"/>
      <c r="L21" s="956">
        <v>449</v>
      </c>
      <c r="M21" s="956"/>
      <c r="N21" s="956">
        <v>5.4</v>
      </c>
      <c r="O21" s="956"/>
      <c r="P21" s="668">
        <v>16.82290100051824</v>
      </c>
      <c r="Q21" s="668">
        <f t="shared" si="2"/>
        <v>41.8</v>
      </c>
      <c r="R21" s="432">
        <v>10.26</v>
      </c>
      <c r="S21" s="432">
        <v>15.81</v>
      </c>
      <c r="T21" s="670">
        <v>122</v>
      </c>
      <c r="U21" s="668">
        <f t="shared" si="0"/>
        <v>11.890838206627681</v>
      </c>
      <c r="V21" s="668">
        <f t="shared" si="3"/>
        <v>35.104364326375716</v>
      </c>
      <c r="W21" s="668">
        <v>0.2</v>
      </c>
      <c r="X21" s="432">
        <f t="shared" si="7"/>
        <v>0.37822966507177036</v>
      </c>
      <c r="Y21" s="432">
        <f t="shared" si="4"/>
        <v>10.1061</v>
      </c>
      <c r="Z21" s="432">
        <f t="shared" si="4"/>
        <v>15.572850000000001</v>
      </c>
      <c r="AA21" s="670">
        <f t="shared" si="4"/>
        <v>120.17</v>
      </c>
      <c r="AB21" s="432">
        <f t="shared" si="5"/>
        <v>11.890838206627681</v>
      </c>
      <c r="AC21" s="670">
        <f t="shared" si="1"/>
        <v>35.104364326375716</v>
      </c>
      <c r="AD21" s="956">
        <v>30</v>
      </c>
      <c r="AE21" s="432">
        <f t="shared" si="6"/>
        <v>303.18299999999999</v>
      </c>
      <c r="AF21" s="669"/>
    </row>
    <row r="22" spans="1:32" ht="18.75" customHeight="1" x14ac:dyDescent="0.2">
      <c r="A22" s="956">
        <v>8</v>
      </c>
      <c r="B22" s="461" t="s">
        <v>146</v>
      </c>
      <c r="C22" s="956" t="s">
        <v>46</v>
      </c>
      <c r="D22" s="956">
        <v>764</v>
      </c>
      <c r="E22" s="436" t="s">
        <v>73</v>
      </c>
      <c r="F22" s="956">
        <v>177.8</v>
      </c>
      <c r="G22" s="956" t="s">
        <v>28</v>
      </c>
      <c r="H22" s="956" t="s">
        <v>52</v>
      </c>
      <c r="I22" s="437">
        <v>550</v>
      </c>
      <c r="J22" s="956">
        <v>250</v>
      </c>
      <c r="K22" s="955"/>
      <c r="L22" s="956">
        <v>419</v>
      </c>
      <c r="M22" s="955"/>
      <c r="N22" s="956">
        <v>2.8</v>
      </c>
      <c r="O22" s="955"/>
      <c r="P22" s="668">
        <v>18.592679396091391</v>
      </c>
      <c r="Q22" s="668">
        <f t="shared" si="2"/>
        <v>55</v>
      </c>
      <c r="R22" s="432">
        <v>7.59</v>
      </c>
      <c r="S22" s="432">
        <v>20.65</v>
      </c>
      <c r="T22" s="670">
        <v>70</v>
      </c>
      <c r="U22" s="668">
        <f t="shared" si="0"/>
        <v>9.2226613965744395</v>
      </c>
      <c r="V22" s="668">
        <f t="shared" si="3"/>
        <v>63.244552058111381</v>
      </c>
      <c r="W22" s="668">
        <v>0.3</v>
      </c>
      <c r="X22" s="432">
        <f t="shared" si="7"/>
        <v>0.37545454545454543</v>
      </c>
      <c r="Y22" s="432">
        <f t="shared" si="4"/>
        <v>7.4761499999999996</v>
      </c>
      <c r="Z22" s="432">
        <f t="shared" si="4"/>
        <v>20.340249999999997</v>
      </c>
      <c r="AA22" s="670">
        <f t="shared" si="4"/>
        <v>68.95</v>
      </c>
      <c r="AB22" s="432">
        <f t="shared" si="5"/>
        <v>9.2226613965744395</v>
      </c>
      <c r="AC22" s="670">
        <f t="shared" si="1"/>
        <v>63.244552058111381</v>
      </c>
      <c r="AD22" s="956">
        <v>30</v>
      </c>
      <c r="AE22" s="432">
        <f t="shared" si="6"/>
        <v>224.28449999999998</v>
      </c>
      <c r="AF22" s="669"/>
    </row>
    <row r="23" spans="1:32" ht="18.75" customHeight="1" x14ac:dyDescent="0.2">
      <c r="A23" s="956">
        <v>9</v>
      </c>
      <c r="B23" s="461" t="s">
        <v>147</v>
      </c>
      <c r="C23" s="956" t="s">
        <v>46</v>
      </c>
      <c r="D23" s="956">
        <v>650.1</v>
      </c>
      <c r="E23" s="956" t="s">
        <v>74</v>
      </c>
      <c r="F23" s="956">
        <v>177.8</v>
      </c>
      <c r="G23" s="956" t="s">
        <v>28</v>
      </c>
      <c r="H23" s="956" t="s">
        <v>52</v>
      </c>
      <c r="I23" s="953">
        <v>591.98</v>
      </c>
      <c r="J23" s="956">
        <v>150</v>
      </c>
      <c r="K23" s="956"/>
      <c r="L23" s="956">
        <v>457</v>
      </c>
      <c r="M23" s="956"/>
      <c r="N23" s="956">
        <v>2.7</v>
      </c>
      <c r="O23" s="956"/>
      <c r="P23" s="668">
        <v>12.709816300707695</v>
      </c>
      <c r="Q23" s="668">
        <f t="shared" si="2"/>
        <v>33</v>
      </c>
      <c r="R23" s="432">
        <v>7.22</v>
      </c>
      <c r="S23" s="432">
        <v>13.029</v>
      </c>
      <c r="T23" s="670">
        <v>41</v>
      </c>
      <c r="U23" s="668">
        <f t="shared" si="0"/>
        <v>5.6786703601108037</v>
      </c>
      <c r="V23" s="668">
        <f t="shared" si="3"/>
        <v>44.585156190037608</v>
      </c>
      <c r="W23" s="668">
        <v>0.3</v>
      </c>
      <c r="X23" s="432">
        <f t="shared" si="7"/>
        <v>0.39481818181818179</v>
      </c>
      <c r="Y23" s="432">
        <f t="shared" si="4"/>
        <v>7.1116999999999999</v>
      </c>
      <c r="Z23" s="432">
        <f t="shared" si="4"/>
        <v>12.833565</v>
      </c>
      <c r="AA23" s="670">
        <f t="shared" si="4"/>
        <v>40.384999999999998</v>
      </c>
      <c r="AB23" s="432">
        <f t="shared" si="5"/>
        <v>5.6786703601108037</v>
      </c>
      <c r="AC23" s="670">
        <f t="shared" si="1"/>
        <v>44.585156190037608</v>
      </c>
      <c r="AD23" s="956">
        <v>30</v>
      </c>
      <c r="AE23" s="432">
        <f t="shared" si="6"/>
        <v>213.351</v>
      </c>
      <c r="AF23" s="669"/>
    </row>
    <row r="24" spans="1:32" ht="18.75" customHeight="1" x14ac:dyDescent="0.2">
      <c r="A24" s="956">
        <v>10</v>
      </c>
      <c r="B24" s="461" t="s">
        <v>148</v>
      </c>
      <c r="C24" s="956" t="s">
        <v>46</v>
      </c>
      <c r="D24" s="956">
        <v>640.20000000000005</v>
      </c>
      <c r="E24" s="956" t="s">
        <v>398</v>
      </c>
      <c r="F24" s="956">
        <v>177.8</v>
      </c>
      <c r="G24" s="956" t="s">
        <v>28</v>
      </c>
      <c r="H24" s="831" t="s">
        <v>466</v>
      </c>
      <c r="I24" s="953">
        <v>565.38</v>
      </c>
      <c r="J24" s="956">
        <v>120</v>
      </c>
      <c r="K24" s="956"/>
      <c r="L24" s="956">
        <v>464</v>
      </c>
      <c r="M24" s="956"/>
      <c r="N24" s="956">
        <v>0.1</v>
      </c>
      <c r="O24" s="956"/>
      <c r="P24" s="668">
        <v>8.8928522601482296</v>
      </c>
      <c r="Q24" s="668">
        <f>J24*13/100</f>
        <v>15.6</v>
      </c>
      <c r="R24" s="432">
        <v>2</v>
      </c>
      <c r="S24" s="432">
        <v>2.2029999999999998</v>
      </c>
      <c r="T24" s="670">
        <v>0</v>
      </c>
      <c r="U24" s="668">
        <f t="shared" si="0"/>
        <v>0</v>
      </c>
      <c r="V24" s="668">
        <f t="shared" si="3"/>
        <v>9.2147072174307709</v>
      </c>
      <c r="W24" s="668">
        <v>0.2</v>
      </c>
      <c r="X24" s="432">
        <f t="shared" si="7"/>
        <v>0.14121794871794871</v>
      </c>
      <c r="Y24" s="432">
        <f t="shared" si="4"/>
        <v>1.97</v>
      </c>
      <c r="Z24" s="432">
        <f t="shared" si="4"/>
        <v>2.1699549999999999</v>
      </c>
      <c r="AA24" s="670">
        <f t="shared" si="4"/>
        <v>0</v>
      </c>
      <c r="AB24" s="432">
        <f t="shared" si="5"/>
        <v>0</v>
      </c>
      <c r="AC24" s="670">
        <f t="shared" si="1"/>
        <v>9.2147072174307709</v>
      </c>
      <c r="AD24" s="956">
        <v>30</v>
      </c>
      <c r="AE24" s="432">
        <f t="shared" si="6"/>
        <v>59.1</v>
      </c>
      <c r="AF24" s="669"/>
    </row>
    <row r="25" spans="1:32" ht="18.75" customHeight="1" x14ac:dyDescent="0.2">
      <c r="A25" s="956">
        <v>11</v>
      </c>
      <c r="B25" s="461" t="s">
        <v>149</v>
      </c>
      <c r="C25" s="956" t="s">
        <v>46</v>
      </c>
      <c r="D25" s="956">
        <v>606.29999999999995</v>
      </c>
      <c r="E25" s="956" t="s">
        <v>76</v>
      </c>
      <c r="F25" s="956">
        <v>177.8</v>
      </c>
      <c r="G25" s="956" t="s">
        <v>28</v>
      </c>
      <c r="H25" s="956" t="s">
        <v>487</v>
      </c>
      <c r="I25" s="953">
        <v>591.96</v>
      </c>
      <c r="J25" s="956">
        <v>135</v>
      </c>
      <c r="K25" s="956"/>
      <c r="L25" s="956">
        <v>447</v>
      </c>
      <c r="M25" s="956"/>
      <c r="N25" s="956">
        <v>4.8</v>
      </c>
      <c r="O25" s="956"/>
      <c r="P25" s="668">
        <v>13.632223284545562</v>
      </c>
      <c r="Q25" s="668">
        <f t="shared" si="2"/>
        <v>20.25</v>
      </c>
      <c r="R25" s="432">
        <v>1.0900000000000001</v>
      </c>
      <c r="S25" s="432">
        <v>2.8660000000000001</v>
      </c>
      <c r="T25" s="670">
        <v>2</v>
      </c>
      <c r="U25" s="668">
        <f t="shared" si="0"/>
        <v>1.8348623853211008</v>
      </c>
      <c r="V25" s="668">
        <f t="shared" si="3"/>
        <v>61.967899511514304</v>
      </c>
      <c r="W25" s="668">
        <v>0.5</v>
      </c>
      <c r="X25" s="432">
        <f t="shared" si="7"/>
        <v>0.14153086419753086</v>
      </c>
      <c r="Y25" s="432">
        <f t="shared" si="4"/>
        <v>1.07365</v>
      </c>
      <c r="Z25" s="432">
        <f t="shared" si="4"/>
        <v>2.82301</v>
      </c>
      <c r="AA25" s="670">
        <f t="shared" si="4"/>
        <v>1.97</v>
      </c>
      <c r="AB25" s="432">
        <f t="shared" si="5"/>
        <v>1.8348623853211008</v>
      </c>
      <c r="AC25" s="670">
        <f t="shared" si="1"/>
        <v>61.967899511514304</v>
      </c>
      <c r="AD25" s="956">
        <v>30</v>
      </c>
      <c r="AE25" s="432">
        <f t="shared" si="6"/>
        <v>32.209499999999998</v>
      </c>
      <c r="AF25" s="449"/>
    </row>
    <row r="26" spans="1:32" ht="18.75" customHeight="1" x14ac:dyDescent="0.2">
      <c r="A26" s="956">
        <v>12</v>
      </c>
      <c r="B26" s="461" t="s">
        <v>150</v>
      </c>
      <c r="C26" s="956" t="s">
        <v>46</v>
      </c>
      <c r="D26" s="956">
        <v>661</v>
      </c>
      <c r="E26" s="679" t="s">
        <v>433</v>
      </c>
      <c r="F26" s="956">
        <v>177.8</v>
      </c>
      <c r="G26" s="956" t="s">
        <v>28</v>
      </c>
      <c r="H26" s="956" t="s">
        <v>53</v>
      </c>
      <c r="I26" s="953">
        <v>555.72</v>
      </c>
      <c r="J26" s="956">
        <v>0</v>
      </c>
      <c r="K26" s="956"/>
      <c r="L26" s="956"/>
      <c r="M26" s="956"/>
      <c r="N26" s="956"/>
      <c r="O26" s="956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956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956">
        <v>13</v>
      </c>
      <c r="B27" s="461" t="s">
        <v>151</v>
      </c>
      <c r="C27" s="956" t="s">
        <v>46</v>
      </c>
      <c r="D27" s="956">
        <v>658.32</v>
      </c>
      <c r="E27" s="953" t="s">
        <v>298</v>
      </c>
      <c r="F27" s="956">
        <v>177.8</v>
      </c>
      <c r="G27" s="956" t="s">
        <v>28</v>
      </c>
      <c r="H27" s="956" t="s">
        <v>52</v>
      </c>
      <c r="I27" s="953">
        <v>552.47</v>
      </c>
      <c r="J27" s="956">
        <v>160</v>
      </c>
      <c r="K27" s="956"/>
      <c r="L27" s="956">
        <v>317</v>
      </c>
      <c r="M27" s="956"/>
      <c r="N27" s="956">
        <v>4.2</v>
      </c>
      <c r="O27" s="956"/>
      <c r="P27" s="668">
        <v>28.072351433077753</v>
      </c>
      <c r="Q27" s="668">
        <f t="shared" si="2"/>
        <v>35.200000000000003</v>
      </c>
      <c r="R27" s="432">
        <v>7.46</v>
      </c>
      <c r="S27" s="432">
        <v>24.5</v>
      </c>
      <c r="T27" s="670">
        <v>15</v>
      </c>
      <c r="U27" s="668">
        <f t="shared" si="0"/>
        <v>2.0107238605898123</v>
      </c>
      <c r="V27" s="668">
        <f t="shared" si="3"/>
        <v>69.551020408163268</v>
      </c>
      <c r="W27" s="668">
        <v>0.3</v>
      </c>
      <c r="X27" s="432">
        <f t="shared" si="7"/>
        <v>0.69602272727272718</v>
      </c>
      <c r="Y27" s="432">
        <f t="shared" si="4"/>
        <v>7.3480999999999996</v>
      </c>
      <c r="Z27" s="432">
        <f t="shared" si="4"/>
        <v>24.1325</v>
      </c>
      <c r="AA27" s="670">
        <f t="shared" si="4"/>
        <v>14.775</v>
      </c>
      <c r="AB27" s="432">
        <f t="shared" si="5"/>
        <v>2.0107238605898123</v>
      </c>
      <c r="AC27" s="670">
        <f t="shared" si="1"/>
        <v>69.551020408163268</v>
      </c>
      <c r="AD27" s="956">
        <v>30</v>
      </c>
      <c r="AE27" s="432">
        <f t="shared" si="6"/>
        <v>220.44299999999998</v>
      </c>
      <c r="AF27" s="449"/>
    </row>
    <row r="28" spans="1:32" ht="18.75" customHeight="1" x14ac:dyDescent="0.2">
      <c r="A28" s="956">
        <v>14</v>
      </c>
      <c r="B28" s="461" t="s">
        <v>36</v>
      </c>
      <c r="C28" s="956" t="s">
        <v>46</v>
      </c>
      <c r="D28" s="956">
        <v>584.5</v>
      </c>
      <c r="E28" s="953" t="s">
        <v>79</v>
      </c>
      <c r="F28" s="956">
        <v>177.8</v>
      </c>
      <c r="G28" s="956" t="s">
        <v>28</v>
      </c>
      <c r="H28" s="956" t="s">
        <v>49</v>
      </c>
      <c r="I28" s="953">
        <v>525.03</v>
      </c>
      <c r="J28" s="956">
        <v>200</v>
      </c>
      <c r="K28" s="956"/>
      <c r="L28" s="956">
        <v>334</v>
      </c>
      <c r="M28" s="956"/>
      <c r="N28" s="956">
        <v>5.9</v>
      </c>
      <c r="O28" s="956"/>
      <c r="P28" s="668">
        <v>25.447474503422125</v>
      </c>
      <c r="Q28" s="668">
        <f t="shared" si="2"/>
        <v>64</v>
      </c>
      <c r="R28" s="432">
        <v>14.77</v>
      </c>
      <c r="S28" s="432">
        <v>30</v>
      </c>
      <c r="T28" s="670">
        <v>327</v>
      </c>
      <c r="U28" s="668">
        <f t="shared" si="0"/>
        <v>22.139471902505079</v>
      </c>
      <c r="V28" s="668">
        <f t="shared" si="3"/>
        <v>50.766666666666673</v>
      </c>
      <c r="W28" s="668">
        <v>0.3</v>
      </c>
      <c r="X28" s="432">
        <f t="shared" si="7"/>
        <v>0.46875</v>
      </c>
      <c r="Y28" s="432">
        <f t="shared" si="4"/>
        <v>14.548449999999999</v>
      </c>
      <c r="Z28" s="432">
        <f t="shared" si="4"/>
        <v>29.55</v>
      </c>
      <c r="AA28" s="670">
        <f t="shared" si="4"/>
        <v>322.09499999999997</v>
      </c>
      <c r="AB28" s="432">
        <f t="shared" si="5"/>
        <v>22.139471902505079</v>
      </c>
      <c r="AC28" s="670">
        <f t="shared" si="1"/>
        <v>50.766666666666673</v>
      </c>
      <c r="AD28" s="956">
        <v>30</v>
      </c>
      <c r="AE28" s="432">
        <f t="shared" si="6"/>
        <v>436.45349999999996</v>
      </c>
      <c r="AF28" s="669"/>
    </row>
    <row r="29" spans="1:32" ht="18.75" customHeight="1" x14ac:dyDescent="0.2">
      <c r="A29" s="956">
        <v>15</v>
      </c>
      <c r="B29" s="461" t="s">
        <v>152</v>
      </c>
      <c r="C29" s="956" t="s">
        <v>46</v>
      </c>
      <c r="D29" s="956">
        <v>565</v>
      </c>
      <c r="E29" s="953" t="s">
        <v>80</v>
      </c>
      <c r="F29" s="956">
        <v>177.8</v>
      </c>
      <c r="G29" s="956" t="s">
        <v>28</v>
      </c>
      <c r="H29" s="956" t="s">
        <v>491</v>
      </c>
      <c r="I29" s="437">
        <v>520.03</v>
      </c>
      <c r="J29" s="956">
        <v>150</v>
      </c>
      <c r="K29" s="956"/>
      <c r="L29" s="956">
        <v>395</v>
      </c>
      <c r="M29" s="956"/>
      <c r="N29" s="956">
        <v>8.1</v>
      </c>
      <c r="O29" s="956"/>
      <c r="P29" s="668">
        <v>21.210424521791357</v>
      </c>
      <c r="Q29" s="668">
        <f>J29*13/100</f>
        <v>19.5</v>
      </c>
      <c r="R29" s="432">
        <v>8.73</v>
      </c>
      <c r="S29" s="432">
        <v>20.074999999999999</v>
      </c>
      <c r="T29" s="670">
        <v>971</v>
      </c>
      <c r="U29" s="668">
        <f t="shared" si="0"/>
        <v>111.22565864833905</v>
      </c>
      <c r="V29" s="668">
        <f t="shared" si="3"/>
        <v>56.513075965130753</v>
      </c>
      <c r="W29" s="668">
        <v>0.2</v>
      </c>
      <c r="X29" s="432">
        <f t="shared" si="7"/>
        <v>1.0294871794871794</v>
      </c>
      <c r="Y29" s="432">
        <f t="shared" si="4"/>
        <v>8.5990500000000001</v>
      </c>
      <c r="Z29" s="432">
        <f t="shared" si="4"/>
        <v>19.773875</v>
      </c>
      <c r="AA29" s="670">
        <f t="shared" si="4"/>
        <v>956.43499999999995</v>
      </c>
      <c r="AB29" s="432">
        <f t="shared" si="5"/>
        <v>111.22565864833905</v>
      </c>
      <c r="AC29" s="670">
        <f t="shared" si="1"/>
        <v>56.513075965130753</v>
      </c>
      <c r="AD29" s="956">
        <v>30</v>
      </c>
      <c r="AE29" s="432">
        <f t="shared" si="6"/>
        <v>257.97149999999999</v>
      </c>
      <c r="AF29" s="669"/>
    </row>
    <row r="30" spans="1:32" ht="18.75" customHeight="1" x14ac:dyDescent="0.2">
      <c r="A30" s="956">
        <v>16</v>
      </c>
      <c r="B30" s="461" t="s">
        <v>37</v>
      </c>
      <c r="C30" s="956" t="s">
        <v>46</v>
      </c>
      <c r="D30" s="956">
        <v>670</v>
      </c>
      <c r="E30" s="956" t="s">
        <v>81</v>
      </c>
      <c r="F30" s="956">
        <v>177.8</v>
      </c>
      <c r="G30" s="956" t="s">
        <v>28</v>
      </c>
      <c r="H30" s="956" t="s">
        <v>48</v>
      </c>
      <c r="I30" s="953">
        <v>570.95000000000005</v>
      </c>
      <c r="J30" s="956">
        <v>95</v>
      </c>
      <c r="K30" s="956"/>
      <c r="L30" s="956">
        <v>444</v>
      </c>
      <c r="M30" s="956"/>
      <c r="N30" s="956">
        <v>5.2</v>
      </c>
      <c r="O30" s="956"/>
      <c r="P30" s="668">
        <v>18.052211638910713</v>
      </c>
      <c r="Q30" s="668">
        <f t="shared" si="2"/>
        <v>12.35</v>
      </c>
      <c r="R30" s="432">
        <v>3.55</v>
      </c>
      <c r="S30" s="432">
        <v>7.93</v>
      </c>
      <c r="T30" s="670">
        <v>18</v>
      </c>
      <c r="U30" s="668">
        <f t="shared" si="0"/>
        <v>5.070422535211268</v>
      </c>
      <c r="V30" s="668">
        <f t="shared" si="3"/>
        <v>55.233291298865069</v>
      </c>
      <c r="W30" s="668">
        <v>0.4</v>
      </c>
      <c r="X30" s="432">
        <f t="shared" si="7"/>
        <v>0.64210526315789473</v>
      </c>
      <c r="Y30" s="432">
        <f t="shared" si="4"/>
        <v>3.4967499999999996</v>
      </c>
      <c r="Z30" s="432">
        <f t="shared" si="4"/>
        <v>7.8110499999999998</v>
      </c>
      <c r="AA30" s="670">
        <f t="shared" si="4"/>
        <v>17.73</v>
      </c>
      <c r="AB30" s="432">
        <f t="shared" si="5"/>
        <v>5.070422535211268</v>
      </c>
      <c r="AC30" s="670">
        <f t="shared" si="1"/>
        <v>55.233291298865069</v>
      </c>
      <c r="AD30" s="956">
        <v>30</v>
      </c>
      <c r="AE30" s="432">
        <f>Y30*AD30</f>
        <v>104.90249999999999</v>
      </c>
      <c r="AF30" s="449"/>
    </row>
    <row r="31" spans="1:32" ht="18.75" customHeight="1" x14ac:dyDescent="0.2">
      <c r="A31" s="956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956" t="s">
        <v>401</v>
      </c>
      <c r="I31" s="461">
        <v>587.87</v>
      </c>
      <c r="J31" s="461">
        <v>200</v>
      </c>
      <c r="K31" s="461"/>
      <c r="L31" s="461">
        <v>495</v>
      </c>
      <c r="M31" s="461"/>
      <c r="N31" s="461">
        <v>6.4</v>
      </c>
      <c r="O31" s="461"/>
      <c r="P31" s="671">
        <v>13.30306744988761</v>
      </c>
      <c r="Q31" s="668">
        <f>J31*33/100</f>
        <v>66</v>
      </c>
      <c r="R31" s="672">
        <v>13.35</v>
      </c>
      <c r="S31" s="432">
        <v>21.8</v>
      </c>
      <c r="T31" s="699">
        <v>90</v>
      </c>
      <c r="U31" s="668">
        <f t="shared" si="0"/>
        <v>6.7415730337078656</v>
      </c>
      <c r="V31" s="668">
        <f t="shared" si="3"/>
        <v>38.761467889908261</v>
      </c>
      <c r="W31" s="671">
        <v>0.3</v>
      </c>
      <c r="X31" s="432">
        <f t="shared" si="7"/>
        <v>0.33030303030303032</v>
      </c>
      <c r="Y31" s="432">
        <f t="shared" si="4"/>
        <v>13.149749999999999</v>
      </c>
      <c r="Z31" s="432">
        <f t="shared" si="4"/>
        <v>21.472999999999999</v>
      </c>
      <c r="AA31" s="670">
        <f t="shared" si="4"/>
        <v>88.65</v>
      </c>
      <c r="AB31" s="672">
        <f t="shared" si="5"/>
        <v>6.7415730337078656</v>
      </c>
      <c r="AC31" s="699">
        <f t="shared" si="1"/>
        <v>38.761467889908261</v>
      </c>
      <c r="AD31" s="956">
        <v>30</v>
      </c>
      <c r="AE31" s="672">
        <f>Y31*AD31</f>
        <v>394.49249999999995</v>
      </c>
      <c r="AF31" s="461"/>
    </row>
    <row r="32" spans="1:32" ht="18.600000000000001" customHeight="1" x14ac:dyDescent="0.2">
      <c r="A32" s="956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956">
        <v>177.8</v>
      </c>
      <c r="G32" s="956" t="s">
        <v>28</v>
      </c>
      <c r="H32" s="956" t="s">
        <v>364</v>
      </c>
      <c r="I32" s="437">
        <v>565.79999999999995</v>
      </c>
      <c r="J32" s="956">
        <v>200</v>
      </c>
      <c r="K32" s="956"/>
      <c r="L32" s="956">
        <v>445</v>
      </c>
      <c r="M32" s="956"/>
      <c r="N32" s="956">
        <v>7.6</v>
      </c>
      <c r="O32" s="956"/>
      <c r="P32" s="668">
        <v>16.602824877651649</v>
      </c>
      <c r="Q32" s="668">
        <f>J32*13/100</f>
        <v>26</v>
      </c>
      <c r="R32" s="432">
        <v>1.26</v>
      </c>
      <c r="S32" s="432">
        <v>3.8170000000000002</v>
      </c>
      <c r="T32" s="670">
        <v>90</v>
      </c>
      <c r="U32" s="668">
        <f t="shared" si="0"/>
        <v>71.428571428571431</v>
      </c>
      <c r="V32" s="668">
        <f t="shared" si="3"/>
        <v>66.989782551742223</v>
      </c>
      <c r="W32" s="668">
        <v>0.2</v>
      </c>
      <c r="X32" s="432">
        <f t="shared" si="7"/>
        <v>0.14680769230769231</v>
      </c>
      <c r="Y32" s="432">
        <f t="shared" si="4"/>
        <v>1.2411000000000001</v>
      </c>
      <c r="Z32" s="432">
        <f t="shared" si="4"/>
        <v>3.7597450000000001</v>
      </c>
      <c r="AA32" s="670">
        <f t="shared" si="4"/>
        <v>88.65</v>
      </c>
      <c r="AB32" s="672">
        <f t="shared" si="5"/>
        <v>71.428571428571431</v>
      </c>
      <c r="AC32" s="699">
        <f t="shared" si="1"/>
        <v>66.989782551742223</v>
      </c>
      <c r="AD32" s="956">
        <v>30</v>
      </c>
      <c r="AE32" s="672">
        <f>Y32*AD32</f>
        <v>37.233000000000004</v>
      </c>
      <c r="AF32" s="669"/>
    </row>
    <row r="33" spans="1:32" ht="18.75" customHeight="1" x14ac:dyDescent="0.2">
      <c r="A33" s="956">
        <v>19</v>
      </c>
      <c r="B33" s="461" t="s">
        <v>38</v>
      </c>
      <c r="C33" s="956" t="s">
        <v>46</v>
      </c>
      <c r="D33" s="668">
        <v>580</v>
      </c>
      <c r="E33" s="956" t="s">
        <v>84</v>
      </c>
      <c r="F33" s="956">
        <v>177.8</v>
      </c>
      <c r="G33" s="956" t="s">
        <v>28</v>
      </c>
      <c r="H33" s="956" t="s">
        <v>52</v>
      </c>
      <c r="I33" s="953">
        <v>565.38</v>
      </c>
      <c r="J33" s="956">
        <v>85</v>
      </c>
      <c r="K33" s="956"/>
      <c r="L33" s="956">
        <v>430</v>
      </c>
      <c r="M33" s="956"/>
      <c r="N33" s="956">
        <v>0</v>
      </c>
      <c r="O33" s="956"/>
      <c r="P33" s="668">
        <v>6.3099763033688694</v>
      </c>
      <c r="Q33" s="668">
        <f t="shared" si="2"/>
        <v>18.7</v>
      </c>
      <c r="R33" s="432">
        <v>2.4</v>
      </c>
      <c r="S33" s="432">
        <v>5.9859999999999998</v>
      </c>
      <c r="T33" s="670">
        <v>3</v>
      </c>
      <c r="U33" s="668">
        <f t="shared" si="0"/>
        <v>1.25</v>
      </c>
      <c r="V33" s="668">
        <f t="shared" si="3"/>
        <v>59.906448379552288</v>
      </c>
      <c r="W33" s="668">
        <v>0.2</v>
      </c>
      <c r="X33" s="432">
        <f t="shared" si="7"/>
        <v>0.32010695187165777</v>
      </c>
      <c r="Y33" s="432">
        <f t="shared" si="4"/>
        <v>2.3639999999999999</v>
      </c>
      <c r="Z33" s="432">
        <f t="shared" si="4"/>
        <v>5.89621</v>
      </c>
      <c r="AA33" s="670">
        <f t="shared" si="4"/>
        <v>2.9550000000000001</v>
      </c>
      <c r="AB33" s="432">
        <f>U33</f>
        <v>1.25</v>
      </c>
      <c r="AC33" s="699">
        <f t="shared" si="1"/>
        <v>59.906448379552288</v>
      </c>
      <c r="AD33" s="956">
        <v>30</v>
      </c>
      <c r="AE33" s="432">
        <f t="shared" si="6"/>
        <v>70.92</v>
      </c>
      <c r="AF33" s="669"/>
    </row>
    <row r="34" spans="1:32" ht="18.75" customHeight="1" x14ac:dyDescent="0.2">
      <c r="A34" s="956">
        <v>20</v>
      </c>
      <c r="B34" s="461" t="s">
        <v>39</v>
      </c>
      <c r="C34" s="956" t="s">
        <v>46</v>
      </c>
      <c r="D34" s="956">
        <v>728.6</v>
      </c>
      <c r="E34" s="956" t="s">
        <v>411</v>
      </c>
      <c r="F34" s="956">
        <v>177.8</v>
      </c>
      <c r="G34" s="956" t="s">
        <v>28</v>
      </c>
      <c r="H34" s="956" t="s">
        <v>380</v>
      </c>
      <c r="I34" s="953">
        <v>551.77</v>
      </c>
      <c r="J34" s="956">
        <v>350</v>
      </c>
      <c r="K34" s="956"/>
      <c r="L34" s="956">
        <v>464</v>
      </c>
      <c r="M34" s="956"/>
      <c r="N34" s="956">
        <v>2.2999999999999998</v>
      </c>
      <c r="O34" s="956"/>
      <c r="P34" s="668">
        <v>12.370671269773785</v>
      </c>
      <c r="Q34" s="668">
        <f>J34*23/100</f>
        <v>80.5</v>
      </c>
      <c r="R34" s="432">
        <v>3.01</v>
      </c>
      <c r="S34" s="432">
        <v>8.4499999999999993</v>
      </c>
      <c r="T34" s="670">
        <v>84</v>
      </c>
      <c r="U34" s="668">
        <f t="shared" si="0"/>
        <v>27.90697674418605</v>
      </c>
      <c r="V34" s="668">
        <f t="shared" si="3"/>
        <v>64.378698224852073</v>
      </c>
      <c r="W34" s="668">
        <v>0.2</v>
      </c>
      <c r="X34" s="432">
        <f t="shared" si="7"/>
        <v>0.10496894409937887</v>
      </c>
      <c r="Y34" s="432">
        <f t="shared" si="4"/>
        <v>2.9648499999999998</v>
      </c>
      <c r="Z34" s="432">
        <f t="shared" si="4"/>
        <v>8.3232499999999998</v>
      </c>
      <c r="AA34" s="670">
        <f t="shared" si="4"/>
        <v>82.74</v>
      </c>
      <c r="AB34" s="432">
        <f t="shared" si="5"/>
        <v>27.90697674418605</v>
      </c>
      <c r="AC34" s="699">
        <f t="shared" si="1"/>
        <v>64.378698224852073</v>
      </c>
      <c r="AD34" s="956">
        <v>30</v>
      </c>
      <c r="AE34" s="432">
        <f t="shared" si="6"/>
        <v>88.945499999999996</v>
      </c>
      <c r="AF34" s="669"/>
    </row>
    <row r="35" spans="1:32" ht="18.75" customHeight="1" x14ac:dyDescent="0.2">
      <c r="A35" s="956">
        <v>21</v>
      </c>
      <c r="B35" s="461" t="s">
        <v>40</v>
      </c>
      <c r="C35" s="956" t="s">
        <v>46</v>
      </c>
      <c r="D35" s="956">
        <v>679.7</v>
      </c>
      <c r="E35" s="956" t="s">
        <v>86</v>
      </c>
      <c r="F35" s="956">
        <v>177.8</v>
      </c>
      <c r="G35" s="956" t="s">
        <v>28</v>
      </c>
      <c r="H35" s="956" t="s">
        <v>487</v>
      </c>
      <c r="I35" s="953">
        <v>563.22</v>
      </c>
      <c r="J35" s="956">
        <v>85</v>
      </c>
      <c r="K35" s="956"/>
      <c r="L35" s="956">
        <v>389</v>
      </c>
      <c r="M35" s="956"/>
      <c r="N35" s="956">
        <v>4</v>
      </c>
      <c r="O35" s="956"/>
      <c r="P35" s="668">
        <v>43.445014230906118</v>
      </c>
      <c r="Q35" s="668">
        <f t="shared" si="2"/>
        <v>12.75</v>
      </c>
      <c r="R35" s="432">
        <v>2.0299999999999998</v>
      </c>
      <c r="S35" s="432">
        <v>12.475</v>
      </c>
      <c r="T35" s="670">
        <v>9</v>
      </c>
      <c r="U35" s="668">
        <f>IF(R35=0,0,T35/R35)</f>
        <v>4.4334975369458132</v>
      </c>
      <c r="V35" s="668">
        <f t="shared" si="3"/>
        <v>83.727454909819642</v>
      </c>
      <c r="W35" s="668">
        <v>0.3</v>
      </c>
      <c r="X35" s="432">
        <f t="shared" si="7"/>
        <v>0.97843137254901957</v>
      </c>
      <c r="Y35" s="432">
        <f t="shared" si="4"/>
        <v>1.9995499999999997</v>
      </c>
      <c r="Z35" s="432">
        <f t="shared" si="4"/>
        <v>12.287875</v>
      </c>
      <c r="AA35" s="670">
        <f t="shared" si="4"/>
        <v>8.8650000000000002</v>
      </c>
      <c r="AB35" s="432">
        <f t="shared" si="5"/>
        <v>4.4334975369458132</v>
      </c>
      <c r="AC35" s="699">
        <v>70</v>
      </c>
      <c r="AD35" s="956">
        <v>30</v>
      </c>
      <c r="AE35" s="432">
        <f>Y35*AD35</f>
        <v>59.986499999999992</v>
      </c>
      <c r="AF35" s="449"/>
    </row>
    <row r="36" spans="1:32" ht="18.75" customHeight="1" x14ac:dyDescent="0.2">
      <c r="A36" s="956">
        <v>22</v>
      </c>
      <c r="B36" s="461" t="s">
        <v>41</v>
      </c>
      <c r="C36" s="956" t="s">
        <v>46</v>
      </c>
      <c r="D36" s="956">
        <v>573.70000000000005</v>
      </c>
      <c r="E36" s="956" t="s">
        <v>87</v>
      </c>
      <c r="F36" s="956">
        <v>177.8</v>
      </c>
      <c r="G36" s="956" t="s">
        <v>28</v>
      </c>
      <c r="H36" s="956" t="s">
        <v>52</v>
      </c>
      <c r="I36" s="953">
        <v>554.30999999999995</v>
      </c>
      <c r="J36" s="956">
        <v>317</v>
      </c>
      <c r="K36" s="956"/>
      <c r="L36" s="956">
        <v>473</v>
      </c>
      <c r="M36" s="956"/>
      <c r="N36" s="956">
        <v>5.7</v>
      </c>
      <c r="O36" s="956"/>
      <c r="P36" s="668">
        <v>12.613881275674633</v>
      </c>
      <c r="Q36" s="668">
        <f t="shared" si="2"/>
        <v>69.739999999999995</v>
      </c>
      <c r="R36" s="432">
        <v>9.6300000000000008</v>
      </c>
      <c r="S36" s="432">
        <v>14.327999999999999</v>
      </c>
      <c r="T36" s="670">
        <v>323</v>
      </c>
      <c r="U36" s="668">
        <f t="shared" ref="U36:U77" si="8">IF(R36=0,0,T36/R36)</f>
        <v>33.541017653167181</v>
      </c>
      <c r="V36" s="668">
        <f t="shared" si="3"/>
        <v>32.78894472361808</v>
      </c>
      <c r="W36" s="668">
        <v>0.2</v>
      </c>
      <c r="X36" s="432">
        <f t="shared" si="7"/>
        <v>0.20544880986521366</v>
      </c>
      <c r="Y36" s="432">
        <f t="shared" si="4"/>
        <v>9.4855499999999999</v>
      </c>
      <c r="Z36" s="432">
        <f t="shared" si="4"/>
        <v>14.11308</v>
      </c>
      <c r="AA36" s="670">
        <f t="shared" si="4"/>
        <v>318.15499999999997</v>
      </c>
      <c r="AB36" s="432">
        <v>89.536086956521729</v>
      </c>
      <c r="AC36" s="699">
        <f t="shared" si="1"/>
        <v>32.78894472361808</v>
      </c>
      <c r="AD36" s="956">
        <v>30</v>
      </c>
      <c r="AE36" s="432">
        <f t="shared" si="6"/>
        <v>284.56650000000002</v>
      </c>
      <c r="AF36" s="673"/>
    </row>
    <row r="37" spans="1:32" ht="18.75" customHeight="1" x14ac:dyDescent="0.2">
      <c r="A37" s="956">
        <v>23</v>
      </c>
      <c r="B37" s="461" t="s">
        <v>42</v>
      </c>
      <c r="C37" s="956" t="s">
        <v>46</v>
      </c>
      <c r="D37" s="956">
        <v>583.20000000000005</v>
      </c>
      <c r="E37" s="956" t="s">
        <v>434</v>
      </c>
      <c r="F37" s="956">
        <v>177.8</v>
      </c>
      <c r="G37" s="956" t="s">
        <v>28</v>
      </c>
      <c r="H37" s="956" t="s">
        <v>48</v>
      </c>
      <c r="I37" s="953">
        <v>565.09</v>
      </c>
      <c r="J37" s="956">
        <v>358</v>
      </c>
      <c r="K37" s="956"/>
      <c r="L37" s="956">
        <v>216</v>
      </c>
      <c r="M37" s="956"/>
      <c r="N37" s="956">
        <v>6.3</v>
      </c>
      <c r="O37" s="956"/>
      <c r="P37" s="668">
        <v>44.820708982668634</v>
      </c>
      <c r="Q37" s="668">
        <f t="shared" si="2"/>
        <v>46.54</v>
      </c>
      <c r="R37" s="432">
        <v>3.03</v>
      </c>
      <c r="S37" s="432">
        <v>15.6</v>
      </c>
      <c r="T37" s="670">
        <v>13</v>
      </c>
      <c r="U37" s="668">
        <f t="shared" si="8"/>
        <v>4.2904290429042904</v>
      </c>
      <c r="V37" s="668">
        <f t="shared" si="3"/>
        <v>80.57692307692308</v>
      </c>
      <c r="W37" s="668">
        <v>0.3</v>
      </c>
      <c r="X37" s="432">
        <f t="shared" si="7"/>
        <v>0.33519553072625696</v>
      </c>
      <c r="Y37" s="432">
        <f t="shared" si="4"/>
        <v>2.9845499999999996</v>
      </c>
      <c r="Z37" s="432">
        <f t="shared" si="4"/>
        <v>15.366</v>
      </c>
      <c r="AA37" s="670">
        <f t="shared" si="4"/>
        <v>12.805</v>
      </c>
      <c r="AB37" s="432">
        <f t="shared" si="5"/>
        <v>4.2904290429042904</v>
      </c>
      <c r="AC37" s="670">
        <f t="shared" si="1"/>
        <v>80.57692307692308</v>
      </c>
      <c r="AD37" s="956">
        <v>30</v>
      </c>
      <c r="AE37" s="432">
        <f t="shared" si="6"/>
        <v>89.53649999999999</v>
      </c>
      <c r="AF37" s="449"/>
    </row>
    <row r="38" spans="1:32" ht="18.75" customHeight="1" x14ac:dyDescent="0.2">
      <c r="A38" s="956">
        <v>24</v>
      </c>
      <c r="B38" s="461" t="s">
        <v>43</v>
      </c>
      <c r="C38" s="956" t="s">
        <v>46</v>
      </c>
      <c r="D38" s="956">
        <v>682.7</v>
      </c>
      <c r="E38" s="956" t="s">
        <v>435</v>
      </c>
      <c r="F38" s="956">
        <v>177.8</v>
      </c>
      <c r="G38" s="956" t="s">
        <v>28</v>
      </c>
      <c r="H38" s="956" t="s">
        <v>399</v>
      </c>
      <c r="I38" s="446">
        <v>575.91</v>
      </c>
      <c r="J38" s="956">
        <v>200</v>
      </c>
      <c r="K38" s="956"/>
      <c r="L38" s="956">
        <v>312</v>
      </c>
      <c r="M38" s="956"/>
      <c r="N38" s="956">
        <v>5.4</v>
      </c>
      <c r="O38" s="956"/>
      <c r="P38" s="668">
        <v>32.195505550647191</v>
      </c>
      <c r="Q38" s="668">
        <f>J38*13/100</f>
        <v>26</v>
      </c>
      <c r="R38" s="432">
        <v>6.47</v>
      </c>
      <c r="S38" s="432">
        <v>21.983000000000001</v>
      </c>
      <c r="T38" s="670">
        <v>34</v>
      </c>
      <c r="U38" s="668">
        <f t="shared" si="8"/>
        <v>5.2550231839258119</v>
      </c>
      <c r="V38" s="668">
        <f t="shared" si="3"/>
        <v>70.56816631033071</v>
      </c>
      <c r="W38" s="668">
        <v>0.5</v>
      </c>
      <c r="X38" s="432">
        <f t="shared" si="7"/>
        <v>0.84550000000000003</v>
      </c>
      <c r="Y38" s="432">
        <f t="shared" si="4"/>
        <v>6.3729499999999994</v>
      </c>
      <c r="Z38" s="432">
        <f t="shared" si="4"/>
        <v>21.653255000000001</v>
      </c>
      <c r="AA38" s="670">
        <f t="shared" si="4"/>
        <v>33.49</v>
      </c>
      <c r="AB38" s="432">
        <f t="shared" si="5"/>
        <v>5.2550231839258119</v>
      </c>
      <c r="AC38" s="670">
        <f t="shared" si="1"/>
        <v>70.56816631033071</v>
      </c>
      <c r="AD38" s="956">
        <v>30</v>
      </c>
      <c r="AE38" s="432">
        <f t="shared" si="6"/>
        <v>191.18849999999998</v>
      </c>
      <c r="AF38" s="669"/>
    </row>
    <row r="39" spans="1:32" ht="18.75" customHeight="1" x14ac:dyDescent="0.2">
      <c r="A39" s="956">
        <v>25</v>
      </c>
      <c r="B39" s="461" t="s">
        <v>44</v>
      </c>
      <c r="C39" s="956" t="s">
        <v>46</v>
      </c>
      <c r="D39" s="956">
        <v>614.20000000000005</v>
      </c>
      <c r="E39" s="956" t="s">
        <v>90</v>
      </c>
      <c r="F39" s="956">
        <v>177.8</v>
      </c>
      <c r="G39" s="956" t="s">
        <v>28</v>
      </c>
      <c r="H39" s="956" t="s">
        <v>52</v>
      </c>
      <c r="I39" s="446">
        <v>573.37</v>
      </c>
      <c r="J39" s="956">
        <v>270</v>
      </c>
      <c r="K39" s="956"/>
      <c r="L39" s="956">
        <v>217</v>
      </c>
      <c r="M39" s="956"/>
      <c r="N39" s="956">
        <v>6.2</v>
      </c>
      <c r="O39" s="956"/>
      <c r="P39" s="668">
        <v>40.521672595684045</v>
      </c>
      <c r="Q39" s="668">
        <f t="shared" si="2"/>
        <v>59.4</v>
      </c>
      <c r="R39" s="432">
        <v>6.62</v>
      </c>
      <c r="S39" s="432">
        <v>38.4</v>
      </c>
      <c r="T39" s="670">
        <v>136</v>
      </c>
      <c r="U39" s="668">
        <f t="shared" si="8"/>
        <v>20.543806646525681</v>
      </c>
      <c r="V39" s="668">
        <f t="shared" si="3"/>
        <v>82.760416666666657</v>
      </c>
      <c r="W39" s="668">
        <v>0.7</v>
      </c>
      <c r="X39" s="432">
        <f t="shared" si="7"/>
        <v>0.64646464646464641</v>
      </c>
      <c r="Y39" s="432">
        <f t="shared" si="4"/>
        <v>6.5206999999999997</v>
      </c>
      <c r="Z39" s="432">
        <f t="shared" si="4"/>
        <v>37.823999999999998</v>
      </c>
      <c r="AA39" s="670">
        <f t="shared" si="4"/>
        <v>133.96</v>
      </c>
      <c r="AB39" s="432">
        <f t="shared" si="5"/>
        <v>20.543806646525681</v>
      </c>
      <c r="AC39" s="670">
        <f t="shared" si="1"/>
        <v>82.760416666666657</v>
      </c>
      <c r="AD39" s="956">
        <v>30</v>
      </c>
      <c r="AE39" s="432">
        <f t="shared" si="6"/>
        <v>195.62099999999998</v>
      </c>
      <c r="AF39" s="669"/>
    </row>
    <row r="40" spans="1:32" ht="18.75" customHeight="1" x14ac:dyDescent="0.2">
      <c r="A40" s="956">
        <v>26</v>
      </c>
      <c r="B40" s="461" t="s">
        <v>45</v>
      </c>
      <c r="C40" s="956" t="s">
        <v>46</v>
      </c>
      <c r="D40" s="956">
        <v>636.4</v>
      </c>
      <c r="E40" s="956" t="s">
        <v>91</v>
      </c>
      <c r="F40" s="956">
        <v>177.8</v>
      </c>
      <c r="G40" s="956" t="s">
        <v>28</v>
      </c>
      <c r="H40" s="956" t="s">
        <v>52</v>
      </c>
      <c r="I40" s="953">
        <v>592.95000000000005</v>
      </c>
      <c r="J40" s="956">
        <v>300</v>
      </c>
      <c r="K40" s="956"/>
      <c r="L40" s="956">
        <v>493</v>
      </c>
      <c r="M40" s="956"/>
      <c r="N40" s="956">
        <v>8.3000000000000007</v>
      </c>
      <c r="O40" s="956"/>
      <c r="P40" s="668">
        <v>14.431394020297301</v>
      </c>
      <c r="Q40" s="668">
        <f>LEFT(H40,(FIND("K",H40,1)-1))*J40/100</f>
        <v>66</v>
      </c>
      <c r="R40" s="432">
        <v>16.39</v>
      </c>
      <c r="S40" s="432">
        <v>36.28</v>
      </c>
      <c r="T40" s="670">
        <v>349</v>
      </c>
      <c r="U40" s="668">
        <f t="shared" si="8"/>
        <v>21.293471629042099</v>
      </c>
      <c r="V40" s="668">
        <f t="shared" si="3"/>
        <v>54.823594266813672</v>
      </c>
      <c r="W40" s="668">
        <v>0.2</v>
      </c>
      <c r="X40" s="432">
        <f t="shared" si="7"/>
        <v>0.54969696969696968</v>
      </c>
      <c r="Y40" s="432">
        <f t="shared" si="4"/>
        <v>16.14415</v>
      </c>
      <c r="Z40" s="432">
        <f t="shared" si="4"/>
        <v>35.735799999999998</v>
      </c>
      <c r="AA40" s="670">
        <f t="shared" si="4"/>
        <v>343.76499999999999</v>
      </c>
      <c r="AB40" s="432">
        <f t="shared" si="5"/>
        <v>21.293471629042099</v>
      </c>
      <c r="AC40" s="670">
        <f t="shared" si="1"/>
        <v>54.823594266813672</v>
      </c>
      <c r="AD40" s="956">
        <v>30</v>
      </c>
      <c r="AE40" s="432">
        <f t="shared" si="6"/>
        <v>484.3245</v>
      </c>
      <c r="AF40" s="669"/>
    </row>
    <row r="41" spans="1:32" ht="18.75" customHeight="1" x14ac:dyDescent="0.2">
      <c r="A41" s="956">
        <v>27</v>
      </c>
      <c r="B41" s="461" t="s">
        <v>206</v>
      </c>
      <c r="C41" s="956" t="s">
        <v>46</v>
      </c>
      <c r="D41" s="956">
        <v>660.2</v>
      </c>
      <c r="E41" s="956" t="s">
        <v>436</v>
      </c>
      <c r="F41" s="956">
        <v>177.8</v>
      </c>
      <c r="G41" s="956" t="s">
        <v>28</v>
      </c>
      <c r="H41" s="956" t="s">
        <v>212</v>
      </c>
      <c r="I41" s="953">
        <v>547.63</v>
      </c>
      <c r="J41" s="956">
        <v>300</v>
      </c>
      <c r="K41" s="956"/>
      <c r="L41" s="956">
        <v>252</v>
      </c>
      <c r="M41" s="956"/>
      <c r="N41" s="956">
        <v>7.5</v>
      </c>
      <c r="O41" s="956"/>
      <c r="P41" s="668">
        <v>34.827006944915517</v>
      </c>
      <c r="Q41" s="668">
        <f t="shared" ref="Q41:Q73" si="9">LEFT(H41,(FIND("K",H41,1)-1))*J41/100</f>
        <v>24</v>
      </c>
      <c r="R41" s="432">
        <v>5.03</v>
      </c>
      <c r="S41" s="432">
        <v>18.5</v>
      </c>
      <c r="T41" s="670">
        <v>85</v>
      </c>
      <c r="U41" s="668">
        <f t="shared" si="8"/>
        <v>16.898608349900595</v>
      </c>
      <c r="V41" s="668">
        <f t="shared" si="3"/>
        <v>72.810810810810807</v>
      </c>
      <c r="W41" s="668">
        <v>0.2</v>
      </c>
      <c r="X41" s="432">
        <f t="shared" si="7"/>
        <v>0.77083333333333337</v>
      </c>
      <c r="Y41" s="432">
        <f t="shared" si="4"/>
        <v>4.9545500000000002</v>
      </c>
      <c r="Z41" s="432">
        <f t="shared" si="4"/>
        <v>18.2225</v>
      </c>
      <c r="AA41" s="670">
        <f t="shared" si="4"/>
        <v>83.724999999999994</v>
      </c>
      <c r="AB41" s="432">
        <f t="shared" si="5"/>
        <v>16.898608349900595</v>
      </c>
      <c r="AC41" s="670">
        <f t="shared" si="1"/>
        <v>72.810810810810807</v>
      </c>
      <c r="AD41" s="956">
        <v>30</v>
      </c>
      <c r="AE41" s="432">
        <f t="shared" si="6"/>
        <v>148.63650000000001</v>
      </c>
      <c r="AF41" s="669"/>
    </row>
    <row r="42" spans="1:32" ht="18.75" customHeight="1" x14ac:dyDescent="0.2">
      <c r="A42" s="956">
        <v>28</v>
      </c>
      <c r="B42" s="961" t="s">
        <v>161</v>
      </c>
      <c r="C42" s="956" t="s">
        <v>46</v>
      </c>
      <c r="D42" s="953">
        <v>677</v>
      </c>
      <c r="E42" s="679" t="s">
        <v>178</v>
      </c>
      <c r="F42" s="956">
        <v>177.8</v>
      </c>
      <c r="G42" s="956" t="s">
        <v>28</v>
      </c>
      <c r="H42" s="956" t="s">
        <v>52</v>
      </c>
      <c r="I42" s="953">
        <v>571.98</v>
      </c>
      <c r="J42" s="953">
        <v>140</v>
      </c>
      <c r="K42" s="953"/>
      <c r="L42" s="953">
        <v>221</v>
      </c>
      <c r="M42" s="953"/>
      <c r="N42" s="956">
        <v>5.7</v>
      </c>
      <c r="O42" s="953"/>
      <c r="P42" s="448">
        <v>37.930280103191443</v>
      </c>
      <c r="Q42" s="668">
        <f t="shared" si="9"/>
        <v>30.8</v>
      </c>
      <c r="R42" s="432">
        <v>17.39</v>
      </c>
      <c r="S42" s="432">
        <v>25.475000000000001</v>
      </c>
      <c r="T42" s="492">
        <v>224</v>
      </c>
      <c r="U42" s="668">
        <f t="shared" si="8"/>
        <v>12.880966072455434</v>
      </c>
      <c r="V42" s="668">
        <f t="shared" si="3"/>
        <v>31.736997055937195</v>
      </c>
      <c r="W42" s="668">
        <v>0.2</v>
      </c>
      <c r="X42" s="432">
        <f t="shared" si="7"/>
        <v>0.82711038961038963</v>
      </c>
      <c r="Y42" s="432">
        <f t="shared" si="4"/>
        <v>17.129149999999999</v>
      </c>
      <c r="Z42" s="432">
        <f t="shared" si="4"/>
        <v>25.092874999999999</v>
      </c>
      <c r="AA42" s="670">
        <f t="shared" si="4"/>
        <v>220.64</v>
      </c>
      <c r="AB42" s="432">
        <f t="shared" si="5"/>
        <v>12.880966072455434</v>
      </c>
      <c r="AC42" s="670">
        <f t="shared" si="1"/>
        <v>31.736997055937195</v>
      </c>
      <c r="AD42" s="956">
        <v>30</v>
      </c>
      <c r="AE42" s="432">
        <f t="shared" si="6"/>
        <v>513.87450000000001</v>
      </c>
      <c r="AF42" s="449"/>
    </row>
    <row r="43" spans="1:32" ht="18.75" customHeight="1" x14ac:dyDescent="0.2">
      <c r="A43" s="956">
        <v>29</v>
      </c>
      <c r="B43" s="961" t="s">
        <v>162</v>
      </c>
      <c r="C43" s="956" t="s">
        <v>46</v>
      </c>
      <c r="D43" s="953">
        <v>676</v>
      </c>
      <c r="E43" s="679" t="s">
        <v>437</v>
      </c>
      <c r="F43" s="956">
        <v>177.8</v>
      </c>
      <c r="G43" s="956" t="s">
        <v>28</v>
      </c>
      <c r="H43" s="956" t="s">
        <v>50</v>
      </c>
      <c r="I43" s="953">
        <v>549.20000000000005</v>
      </c>
      <c r="J43" s="953">
        <v>150</v>
      </c>
      <c r="K43" s="953"/>
      <c r="L43" s="956">
        <v>426</v>
      </c>
      <c r="M43" s="953"/>
      <c r="N43" s="956">
        <v>3.6</v>
      </c>
      <c r="O43" s="953"/>
      <c r="P43" s="448">
        <v>8.7491753859289219</v>
      </c>
      <c r="Q43" s="668">
        <f t="shared" si="9"/>
        <v>9</v>
      </c>
      <c r="R43" s="432">
        <v>1.4</v>
      </c>
      <c r="S43" s="432">
        <v>2.78</v>
      </c>
      <c r="T43" s="492">
        <v>5.6319999999999997</v>
      </c>
      <c r="U43" s="668">
        <f t="shared" si="8"/>
        <v>4.0228571428571431</v>
      </c>
      <c r="V43" s="668">
        <f t="shared" si="3"/>
        <v>49.640287769784173</v>
      </c>
      <c r="W43" s="668">
        <v>0.3</v>
      </c>
      <c r="X43" s="432">
        <f t="shared" si="7"/>
        <v>0.30888888888888888</v>
      </c>
      <c r="Y43" s="432">
        <f t="shared" si="4"/>
        <v>1.379</v>
      </c>
      <c r="Z43" s="432">
        <f t="shared" si="4"/>
        <v>2.7382999999999997</v>
      </c>
      <c r="AA43" s="670">
        <f t="shared" si="4"/>
        <v>5.5475199999999996</v>
      </c>
      <c r="AB43" s="432">
        <f t="shared" si="5"/>
        <v>4.0228571428571431</v>
      </c>
      <c r="AC43" s="670">
        <f t="shared" si="1"/>
        <v>49.640287769784173</v>
      </c>
      <c r="AD43" s="956">
        <v>30</v>
      </c>
      <c r="AE43" s="432">
        <f t="shared" si="6"/>
        <v>41.37</v>
      </c>
      <c r="AF43" s="449"/>
    </row>
    <row r="44" spans="1:32" ht="18.75" customHeight="1" x14ac:dyDescent="0.2">
      <c r="A44" s="956">
        <v>30</v>
      </c>
      <c r="B44" s="961" t="s">
        <v>163</v>
      </c>
      <c r="C44" s="956" t="s">
        <v>46</v>
      </c>
      <c r="D44" s="953">
        <v>597</v>
      </c>
      <c r="E44" s="956" t="s">
        <v>443</v>
      </c>
      <c r="F44" s="956">
        <v>177.8</v>
      </c>
      <c r="G44" s="956" t="s">
        <v>28</v>
      </c>
      <c r="H44" s="956" t="s">
        <v>487</v>
      </c>
      <c r="I44" s="953">
        <v>553.79</v>
      </c>
      <c r="J44" s="953">
        <v>85</v>
      </c>
      <c r="K44" s="953"/>
      <c r="L44" s="953">
        <v>256</v>
      </c>
      <c r="M44" s="953"/>
      <c r="N44" s="956">
        <v>3.7</v>
      </c>
      <c r="O44" s="953"/>
      <c r="P44" s="448">
        <v>32.977632975325037</v>
      </c>
      <c r="Q44" s="668">
        <f t="shared" si="9"/>
        <v>12.75</v>
      </c>
      <c r="R44" s="432">
        <v>1.1000000000000001</v>
      </c>
      <c r="S44" s="432">
        <v>5.9450000000000003</v>
      </c>
      <c r="T44" s="492">
        <v>20</v>
      </c>
      <c r="U44" s="668">
        <f t="shared" si="8"/>
        <v>18.18181818181818</v>
      </c>
      <c r="V44" s="668">
        <f t="shared" si="3"/>
        <v>81.497056349873858</v>
      </c>
      <c r="W44" s="668">
        <v>0.5</v>
      </c>
      <c r="X44" s="432">
        <f t="shared" si="7"/>
        <v>0.4662745098039216</v>
      </c>
      <c r="Y44" s="432">
        <f t="shared" si="4"/>
        <v>1.0835000000000001</v>
      </c>
      <c r="Z44" s="432">
        <f t="shared" si="4"/>
        <v>5.8558250000000003</v>
      </c>
      <c r="AA44" s="670">
        <f t="shared" si="4"/>
        <v>19.7</v>
      </c>
      <c r="AB44" s="432">
        <f t="shared" si="5"/>
        <v>18.18181818181818</v>
      </c>
      <c r="AC44" s="670">
        <f t="shared" si="1"/>
        <v>81.497056349873858</v>
      </c>
      <c r="AD44" s="956">
        <v>30</v>
      </c>
      <c r="AE44" s="432">
        <f t="shared" si="6"/>
        <v>32.505000000000003</v>
      </c>
      <c r="AF44" s="449"/>
    </row>
    <row r="45" spans="1:32" ht="18.75" customHeight="1" x14ac:dyDescent="0.2">
      <c r="A45" s="956">
        <v>31</v>
      </c>
      <c r="B45" s="461" t="s">
        <v>59</v>
      </c>
      <c r="C45" s="956" t="s">
        <v>46</v>
      </c>
      <c r="D45" s="956">
        <v>637.16</v>
      </c>
      <c r="E45" s="956" t="s">
        <v>454</v>
      </c>
      <c r="F45" s="956">
        <v>177.8</v>
      </c>
      <c r="G45" s="956" t="s">
        <v>28</v>
      </c>
      <c r="H45" s="956" t="s">
        <v>48</v>
      </c>
      <c r="I45" s="953">
        <v>536.89</v>
      </c>
      <c r="J45" s="956">
        <v>300</v>
      </c>
      <c r="K45" s="956"/>
      <c r="L45" s="956">
        <v>427</v>
      </c>
      <c r="M45" s="956"/>
      <c r="N45" s="956">
        <v>4.7</v>
      </c>
      <c r="O45" s="956"/>
      <c r="P45" s="668">
        <v>18.826357831890004</v>
      </c>
      <c r="Q45" s="668">
        <f t="shared" si="9"/>
        <v>39</v>
      </c>
      <c r="R45" s="432">
        <v>4.95</v>
      </c>
      <c r="S45" s="432">
        <v>12.86</v>
      </c>
      <c r="T45" s="670">
        <v>165</v>
      </c>
      <c r="U45" s="668">
        <f t="shared" si="8"/>
        <v>33.333333333333329</v>
      </c>
      <c r="V45" s="668">
        <f t="shared" si="3"/>
        <v>61.508553654743395</v>
      </c>
      <c r="W45" s="668">
        <v>0.2</v>
      </c>
      <c r="X45" s="432">
        <f t="shared" si="7"/>
        <v>0.32974358974358975</v>
      </c>
      <c r="Y45" s="432">
        <f t="shared" si="4"/>
        <v>4.87575</v>
      </c>
      <c r="Z45" s="432">
        <f t="shared" si="4"/>
        <v>12.6671</v>
      </c>
      <c r="AA45" s="670">
        <f t="shared" si="4"/>
        <v>162.52500000000001</v>
      </c>
      <c r="AB45" s="432">
        <f>U45</f>
        <v>33.333333333333329</v>
      </c>
      <c r="AC45" s="670">
        <f t="shared" si="1"/>
        <v>61.508553654743395</v>
      </c>
      <c r="AD45" s="956">
        <v>30</v>
      </c>
      <c r="AE45" s="432">
        <f t="shared" si="6"/>
        <v>146.27250000000001</v>
      </c>
      <c r="AF45" s="449"/>
    </row>
    <row r="46" spans="1:32" ht="18.600000000000001" customHeight="1" x14ac:dyDescent="0.2">
      <c r="A46" s="956">
        <v>32</v>
      </c>
      <c r="B46" s="461" t="s">
        <v>207</v>
      </c>
      <c r="C46" s="956" t="s">
        <v>46</v>
      </c>
      <c r="D46" s="956">
        <v>673</v>
      </c>
      <c r="E46" s="956" t="s">
        <v>420</v>
      </c>
      <c r="F46" s="956">
        <v>177.8</v>
      </c>
      <c r="G46" s="956" t="s">
        <v>28</v>
      </c>
      <c r="H46" s="956" t="s">
        <v>50</v>
      </c>
      <c r="I46" s="953">
        <v>564.41999999999996</v>
      </c>
      <c r="J46" s="956">
        <v>215</v>
      </c>
      <c r="K46" s="956"/>
      <c r="L46" s="956">
        <v>193</v>
      </c>
      <c r="M46" s="956"/>
      <c r="N46" s="668">
        <v>0</v>
      </c>
      <c r="O46" s="956"/>
      <c r="P46" s="668">
        <v>36.867484565277088</v>
      </c>
      <c r="Q46" s="668">
        <f t="shared" si="9"/>
        <v>12.9</v>
      </c>
      <c r="R46" s="432">
        <v>2.85</v>
      </c>
      <c r="S46" s="432">
        <v>11.1</v>
      </c>
      <c r="T46" s="670">
        <v>0</v>
      </c>
      <c r="U46" s="668">
        <f t="shared" si="8"/>
        <v>0</v>
      </c>
      <c r="V46" s="668">
        <f t="shared" si="3"/>
        <v>74.324324324324337</v>
      </c>
      <c r="W46" s="668">
        <v>0.2</v>
      </c>
      <c r="X46" s="432">
        <f t="shared" si="7"/>
        <v>0.86046511627906974</v>
      </c>
      <c r="Y46" s="432">
        <f t="shared" si="4"/>
        <v>2.8072500000000002</v>
      </c>
      <c r="Z46" s="432">
        <f t="shared" si="4"/>
        <v>10.933499999999999</v>
      </c>
      <c r="AA46" s="670">
        <f t="shared" si="4"/>
        <v>0</v>
      </c>
      <c r="AB46" s="432">
        <f>U46</f>
        <v>0</v>
      </c>
      <c r="AC46" s="670">
        <f t="shared" si="1"/>
        <v>74.324324324324337</v>
      </c>
      <c r="AD46" s="956">
        <v>30</v>
      </c>
      <c r="AE46" s="432">
        <f t="shared" si="6"/>
        <v>84.217500000000001</v>
      </c>
      <c r="AF46" s="449"/>
    </row>
    <row r="47" spans="1:32" ht="18.75" customHeight="1" x14ac:dyDescent="0.25">
      <c r="A47" s="956">
        <v>33</v>
      </c>
      <c r="B47" s="461" t="s">
        <v>196</v>
      </c>
      <c r="C47" s="956" t="s">
        <v>304</v>
      </c>
      <c r="D47" s="956">
        <v>641</v>
      </c>
      <c r="E47" s="956" t="s">
        <v>296</v>
      </c>
      <c r="F47" s="956">
        <v>177.8</v>
      </c>
      <c r="G47" s="956" t="s">
        <v>28</v>
      </c>
      <c r="H47" s="956" t="s">
        <v>50</v>
      </c>
      <c r="I47" s="953">
        <v>611.92999999999995</v>
      </c>
      <c r="J47" s="956">
        <v>0</v>
      </c>
      <c r="K47" s="956">
        <v>496</v>
      </c>
      <c r="L47" s="868"/>
      <c r="M47" s="668">
        <v>0.3</v>
      </c>
      <c r="N47" s="868"/>
      <c r="O47" s="956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956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956">
        <v>34</v>
      </c>
      <c r="B48" s="461" t="s">
        <v>60</v>
      </c>
      <c r="C48" s="956" t="s">
        <v>46</v>
      </c>
      <c r="D48" s="956">
        <v>638.9</v>
      </c>
      <c r="E48" s="956" t="s">
        <v>462</v>
      </c>
      <c r="F48" s="956">
        <v>177.8</v>
      </c>
      <c r="G48" s="956" t="s">
        <v>28</v>
      </c>
      <c r="H48" s="956" t="s">
        <v>48</v>
      </c>
      <c r="I48" s="953">
        <v>532.05999999999995</v>
      </c>
      <c r="J48" s="956">
        <v>135</v>
      </c>
      <c r="K48" s="956"/>
      <c r="L48" s="956">
        <v>370</v>
      </c>
      <c r="M48" s="956"/>
      <c r="N48" s="956">
        <v>5.3</v>
      </c>
      <c r="O48" s="956"/>
      <c r="P48" s="668">
        <v>22.969737136838344</v>
      </c>
      <c r="Q48" s="668">
        <f t="shared" si="9"/>
        <v>17.55</v>
      </c>
      <c r="R48" s="432">
        <v>9.36</v>
      </c>
      <c r="S48" s="432">
        <v>16.638000000000002</v>
      </c>
      <c r="T48" s="670">
        <v>594</v>
      </c>
      <c r="U48" s="668">
        <f t="shared" si="8"/>
        <v>63.461538461538467</v>
      </c>
      <c r="V48" s="668">
        <f t="shared" si="3"/>
        <v>43.743238369996398</v>
      </c>
      <c r="W48" s="668">
        <v>0.2</v>
      </c>
      <c r="X48" s="432">
        <f t="shared" si="7"/>
        <v>0.94803418803418804</v>
      </c>
      <c r="Y48" s="432">
        <f t="shared" si="4"/>
        <v>9.2195999999999998</v>
      </c>
      <c r="Z48" s="432">
        <f t="shared" si="4"/>
        <v>16.388430000000003</v>
      </c>
      <c r="AA48" s="670">
        <f t="shared" si="4"/>
        <v>585.09</v>
      </c>
      <c r="AB48" s="432">
        <f t="shared" si="5"/>
        <v>63.461538461538467</v>
      </c>
      <c r="AC48" s="670">
        <f t="shared" si="1"/>
        <v>43.743238369996398</v>
      </c>
      <c r="AD48" s="956">
        <v>30</v>
      </c>
      <c r="AE48" s="432">
        <f t="shared" si="6"/>
        <v>276.58799999999997</v>
      </c>
      <c r="AF48" s="449"/>
    </row>
    <row r="49" spans="1:32" ht="18.75" customHeight="1" x14ac:dyDescent="0.2">
      <c r="A49" s="956">
        <v>35</v>
      </c>
      <c r="B49" s="461" t="s">
        <v>119</v>
      </c>
      <c r="C49" s="956" t="s">
        <v>427</v>
      </c>
      <c r="D49" s="956">
        <v>654.07000000000005</v>
      </c>
      <c r="E49" s="956" t="s">
        <v>410</v>
      </c>
      <c r="F49" s="956">
        <v>177.8</v>
      </c>
      <c r="G49" s="956" t="s">
        <v>28</v>
      </c>
      <c r="H49" s="956" t="s">
        <v>399</v>
      </c>
      <c r="I49" s="953">
        <v>521.47</v>
      </c>
      <c r="J49" s="956">
        <v>0</v>
      </c>
      <c r="K49" s="956"/>
      <c r="L49" s="956">
        <v>478</v>
      </c>
      <c r="M49" s="956"/>
      <c r="N49" s="956">
        <v>0</v>
      </c>
      <c r="O49" s="956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956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956">
        <v>36</v>
      </c>
      <c r="B50" s="461" t="s">
        <v>118</v>
      </c>
      <c r="C50" s="956" t="s">
        <v>408</v>
      </c>
      <c r="D50" s="956">
        <v>728.77</v>
      </c>
      <c r="E50" s="956" t="s">
        <v>442</v>
      </c>
      <c r="F50" s="956">
        <v>177.8</v>
      </c>
      <c r="G50" s="956" t="s">
        <v>28</v>
      </c>
      <c r="H50" s="956" t="s">
        <v>52</v>
      </c>
      <c r="I50" s="953">
        <v>523.04999999999995</v>
      </c>
      <c r="J50" s="956">
        <v>100</v>
      </c>
      <c r="K50" s="956"/>
      <c r="L50" s="956">
        <v>331</v>
      </c>
      <c r="M50" s="956"/>
      <c r="N50" s="956">
        <v>6.6</v>
      </c>
      <c r="O50" s="956"/>
      <c r="P50" s="668">
        <v>27.297686434770107</v>
      </c>
      <c r="Q50" s="668">
        <f t="shared" si="9"/>
        <v>22</v>
      </c>
      <c r="R50" s="432">
        <v>3.12</v>
      </c>
      <c r="S50" s="432">
        <v>11.243</v>
      </c>
      <c r="T50" s="670">
        <v>33</v>
      </c>
      <c r="U50" s="668">
        <f t="shared" si="8"/>
        <v>10.576923076923077</v>
      </c>
      <c r="V50" s="668">
        <f t="shared" si="3"/>
        <v>72.249399626434226</v>
      </c>
      <c r="W50" s="668">
        <v>0.3</v>
      </c>
      <c r="X50" s="432">
        <f t="shared" si="7"/>
        <v>0.51104545454545458</v>
      </c>
      <c r="Y50" s="432">
        <f t="shared" si="4"/>
        <v>3.0731999999999999</v>
      </c>
      <c r="Z50" s="432">
        <f t="shared" si="4"/>
        <v>11.074355000000001</v>
      </c>
      <c r="AA50" s="670">
        <f t="shared" si="4"/>
        <v>32.505000000000003</v>
      </c>
      <c r="AB50" s="432">
        <f t="shared" si="5"/>
        <v>10.576923076923077</v>
      </c>
      <c r="AC50" s="670">
        <f t="shared" si="1"/>
        <v>72.249399626434226</v>
      </c>
      <c r="AD50" s="956">
        <v>30</v>
      </c>
      <c r="AE50" s="432">
        <f t="shared" si="6"/>
        <v>92.195999999999998</v>
      </c>
      <c r="AF50" s="449"/>
    </row>
    <row r="51" spans="1:32" ht="18.75" customHeight="1" x14ac:dyDescent="0.2">
      <c r="A51" s="956">
        <v>37</v>
      </c>
      <c r="B51" s="461" t="s">
        <v>117</v>
      </c>
      <c r="C51" s="956" t="s">
        <v>46</v>
      </c>
      <c r="D51" s="956">
        <v>671.45</v>
      </c>
      <c r="E51" s="956" t="s">
        <v>128</v>
      </c>
      <c r="F51" s="956">
        <v>177.8</v>
      </c>
      <c r="G51" s="956" t="s">
        <v>28</v>
      </c>
      <c r="H51" s="956" t="s">
        <v>187</v>
      </c>
      <c r="I51" s="953">
        <v>561.1</v>
      </c>
      <c r="J51" s="956">
        <v>250</v>
      </c>
      <c r="K51" s="956"/>
      <c r="L51" s="956">
        <v>126</v>
      </c>
      <c r="M51" s="956"/>
      <c r="N51" s="956">
        <v>1.1000000000000001</v>
      </c>
      <c r="O51" s="956"/>
      <c r="P51" s="668">
        <v>43.898516969964177</v>
      </c>
      <c r="Q51" s="668">
        <f t="shared" si="9"/>
        <v>15</v>
      </c>
      <c r="R51" s="432">
        <v>0.8</v>
      </c>
      <c r="S51" s="432">
        <v>2.9430000000000001</v>
      </c>
      <c r="T51" s="670">
        <v>0.78900000000000003</v>
      </c>
      <c r="U51" s="668">
        <f t="shared" si="8"/>
        <v>0.98624999999999996</v>
      </c>
      <c r="V51" s="668">
        <f t="shared" si="3"/>
        <v>72.816853550798498</v>
      </c>
      <c r="W51" s="668">
        <v>0.2</v>
      </c>
      <c r="X51" s="432">
        <f t="shared" si="7"/>
        <v>0.19620000000000001</v>
      </c>
      <c r="Y51" s="432">
        <f t="shared" si="4"/>
        <v>0.78800000000000003</v>
      </c>
      <c r="Z51" s="432">
        <f t="shared" si="4"/>
        <v>2.8988550000000002</v>
      </c>
      <c r="AA51" s="670">
        <f t="shared" si="4"/>
        <v>0.77716499999999999</v>
      </c>
      <c r="AB51" s="432">
        <f t="shared" si="5"/>
        <v>0.98624999999999996</v>
      </c>
      <c r="AC51" s="670">
        <f t="shared" si="1"/>
        <v>72.816853550798498</v>
      </c>
      <c r="AD51" s="956">
        <v>30</v>
      </c>
      <c r="AE51" s="432">
        <f t="shared" si="6"/>
        <v>23.64</v>
      </c>
      <c r="AF51" s="669"/>
    </row>
    <row r="52" spans="1:32" ht="18.75" customHeight="1" x14ac:dyDescent="0.2">
      <c r="A52" s="956">
        <v>38</v>
      </c>
      <c r="B52" s="461" t="s">
        <v>130</v>
      </c>
      <c r="C52" s="956" t="s">
        <v>46</v>
      </c>
      <c r="D52" s="956">
        <v>622.6</v>
      </c>
      <c r="E52" s="956" t="s">
        <v>467</v>
      </c>
      <c r="F52" s="956">
        <v>177.8</v>
      </c>
      <c r="G52" s="956" t="s">
        <v>28</v>
      </c>
      <c r="H52" s="956" t="s">
        <v>48</v>
      </c>
      <c r="I52" s="953">
        <v>551.79999999999995</v>
      </c>
      <c r="J52" s="956">
        <v>185</v>
      </c>
      <c r="K52" s="956"/>
      <c r="L52" s="956">
        <v>80</v>
      </c>
      <c r="M52" s="956"/>
      <c r="N52" s="956">
        <v>2</v>
      </c>
      <c r="O52" s="956"/>
      <c r="P52" s="668">
        <v>50.387652144083397</v>
      </c>
      <c r="Q52" s="668">
        <f t="shared" si="9"/>
        <v>24.05</v>
      </c>
      <c r="R52" s="432">
        <v>1.1100000000000001</v>
      </c>
      <c r="S52" s="432">
        <v>14.586</v>
      </c>
      <c r="T52" s="670">
        <v>0</v>
      </c>
      <c r="U52" s="668">
        <f t="shared" si="8"/>
        <v>0</v>
      </c>
      <c r="V52" s="668">
        <f t="shared" si="3"/>
        <v>92.389962978198284</v>
      </c>
      <c r="W52" s="668">
        <v>0.2</v>
      </c>
      <c r="X52" s="432">
        <f t="shared" si="7"/>
        <v>0.60648648648648651</v>
      </c>
      <c r="Y52" s="432">
        <f t="shared" si="4"/>
        <v>1.09335</v>
      </c>
      <c r="Z52" s="432">
        <f t="shared" si="4"/>
        <v>14.36721</v>
      </c>
      <c r="AA52" s="670">
        <f t="shared" si="4"/>
        <v>0</v>
      </c>
      <c r="AB52" s="432">
        <f t="shared" si="5"/>
        <v>0</v>
      </c>
      <c r="AC52" s="670">
        <f t="shared" si="1"/>
        <v>92.389962978198284</v>
      </c>
      <c r="AD52" s="956">
        <v>30</v>
      </c>
      <c r="AE52" s="432">
        <f t="shared" si="6"/>
        <v>32.8005</v>
      </c>
      <c r="AF52" s="669"/>
    </row>
    <row r="53" spans="1:32" ht="18.75" customHeight="1" x14ac:dyDescent="0.2">
      <c r="A53" s="956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956">
        <v>177.8</v>
      </c>
      <c r="G53" s="452" t="s">
        <v>28</v>
      </c>
      <c r="H53" s="452" t="s">
        <v>363</v>
      </c>
      <c r="I53" s="453">
        <v>565.65</v>
      </c>
      <c r="J53" s="452">
        <v>210</v>
      </c>
      <c r="K53" s="452"/>
      <c r="L53" s="452">
        <v>438</v>
      </c>
      <c r="M53" s="452"/>
      <c r="N53" s="956">
        <v>2.9</v>
      </c>
      <c r="O53" s="452"/>
      <c r="P53" s="675">
        <v>15.435955965872131</v>
      </c>
      <c r="Q53" s="668">
        <f>J53*7/100</f>
        <v>14.7</v>
      </c>
      <c r="R53" s="456">
        <v>2.38</v>
      </c>
      <c r="S53" s="432">
        <v>3.6659999999999999</v>
      </c>
      <c r="T53" s="700">
        <v>5</v>
      </c>
      <c r="U53" s="668">
        <f t="shared" si="8"/>
        <v>2.1008403361344539</v>
      </c>
      <c r="V53" s="668">
        <f t="shared" si="3"/>
        <v>35.079105291871251</v>
      </c>
      <c r="W53" s="675">
        <v>0.2</v>
      </c>
      <c r="X53" s="432">
        <f t="shared" si="7"/>
        <v>0.24938775510204084</v>
      </c>
      <c r="Y53" s="432">
        <f t="shared" si="4"/>
        <v>2.3443000000000001</v>
      </c>
      <c r="Z53" s="432">
        <f t="shared" si="4"/>
        <v>3.6110099999999998</v>
      </c>
      <c r="AA53" s="670">
        <f t="shared" si="4"/>
        <v>4.9249999999999998</v>
      </c>
      <c r="AB53" s="456">
        <f t="shared" si="5"/>
        <v>2.1008403361344539</v>
      </c>
      <c r="AC53" s="670">
        <f t="shared" si="1"/>
        <v>35.079105291871251</v>
      </c>
      <c r="AD53" s="956">
        <v>30</v>
      </c>
      <c r="AE53" s="456">
        <f t="shared" si="6"/>
        <v>70.329000000000008</v>
      </c>
      <c r="AF53" s="449"/>
    </row>
    <row r="54" spans="1:32" ht="18.75" customHeight="1" x14ac:dyDescent="0.2">
      <c r="A54" s="956">
        <v>40</v>
      </c>
      <c r="B54" s="461" t="s">
        <v>116</v>
      </c>
      <c r="C54" s="956" t="s">
        <v>46</v>
      </c>
      <c r="D54" s="956">
        <v>681.27</v>
      </c>
      <c r="E54" s="956" t="s">
        <v>455</v>
      </c>
      <c r="F54" s="956">
        <v>177.8</v>
      </c>
      <c r="G54" s="956" t="s">
        <v>28</v>
      </c>
      <c r="H54" s="956" t="s">
        <v>53</v>
      </c>
      <c r="I54" s="953">
        <v>559.23</v>
      </c>
      <c r="J54" s="956">
        <v>135</v>
      </c>
      <c r="K54" s="956"/>
      <c r="L54" s="956">
        <v>234</v>
      </c>
      <c r="M54" s="956"/>
      <c r="N54" s="956">
        <v>4.9000000000000004</v>
      </c>
      <c r="O54" s="956"/>
      <c r="P54" s="668">
        <v>36.278622934939648</v>
      </c>
      <c r="Q54" s="675">
        <f t="shared" si="9"/>
        <v>17.55</v>
      </c>
      <c r="R54" s="432">
        <v>2.0699999999999998</v>
      </c>
      <c r="S54" s="432">
        <v>6.2</v>
      </c>
      <c r="T54" s="670">
        <v>3.2629999999999999</v>
      </c>
      <c r="U54" s="668">
        <f t="shared" si="8"/>
        <v>1.576328502415459</v>
      </c>
      <c r="V54" s="668">
        <f t="shared" si="3"/>
        <v>66.612903225806463</v>
      </c>
      <c r="W54" s="668">
        <v>0.2</v>
      </c>
      <c r="X54" s="432">
        <f t="shared" si="7"/>
        <v>0.35327635327635326</v>
      </c>
      <c r="Y54" s="432">
        <f t="shared" si="4"/>
        <v>2.0389499999999998</v>
      </c>
      <c r="Z54" s="432">
        <f t="shared" si="4"/>
        <v>6.1070000000000002</v>
      </c>
      <c r="AA54" s="670">
        <f t="shared" si="4"/>
        <v>3.2140549999999997</v>
      </c>
      <c r="AB54" s="432">
        <f t="shared" si="5"/>
        <v>1.576328502415459</v>
      </c>
      <c r="AC54" s="670">
        <f t="shared" si="1"/>
        <v>66.612903225806463</v>
      </c>
      <c r="AD54" s="956">
        <v>30</v>
      </c>
      <c r="AE54" s="432">
        <f t="shared" si="6"/>
        <v>61.168499999999995</v>
      </c>
      <c r="AF54" s="449"/>
    </row>
    <row r="55" spans="1:32" ht="18.75" customHeight="1" x14ac:dyDescent="0.2">
      <c r="A55" s="956">
        <v>41</v>
      </c>
      <c r="B55" s="461" t="s">
        <v>120</v>
      </c>
      <c r="C55" s="956" t="s">
        <v>46</v>
      </c>
      <c r="D55" s="956">
        <v>668.57</v>
      </c>
      <c r="E55" s="956" t="s">
        <v>285</v>
      </c>
      <c r="F55" s="956">
        <v>177.8</v>
      </c>
      <c r="G55" s="956" t="s">
        <v>28</v>
      </c>
      <c r="H55" s="956" t="s">
        <v>48</v>
      </c>
      <c r="I55" s="953">
        <v>567.08000000000004</v>
      </c>
      <c r="J55" s="956">
        <v>360</v>
      </c>
      <c r="K55" s="956"/>
      <c r="L55" s="956">
        <v>416</v>
      </c>
      <c r="M55" s="956"/>
      <c r="N55" s="956">
        <v>0.1</v>
      </c>
      <c r="O55" s="956"/>
      <c r="P55" s="668">
        <v>15.977328599526876</v>
      </c>
      <c r="Q55" s="668">
        <f t="shared" si="9"/>
        <v>46.8</v>
      </c>
      <c r="R55" s="432">
        <v>4.09</v>
      </c>
      <c r="S55" s="432">
        <v>6.5750000000000002</v>
      </c>
      <c r="T55" s="670">
        <v>11</v>
      </c>
      <c r="U55" s="668">
        <f t="shared" si="8"/>
        <v>2.6894865525672373</v>
      </c>
      <c r="V55" s="668">
        <f t="shared" si="3"/>
        <v>37.794676806083658</v>
      </c>
      <c r="W55" s="668">
        <v>0.3</v>
      </c>
      <c r="X55" s="432">
        <f t="shared" si="7"/>
        <v>0.14049145299145299</v>
      </c>
      <c r="Y55" s="432">
        <f t="shared" si="4"/>
        <v>4.0286499999999998</v>
      </c>
      <c r="Z55" s="432">
        <f t="shared" si="4"/>
        <v>6.476375</v>
      </c>
      <c r="AA55" s="670">
        <f t="shared" si="4"/>
        <v>10.834999999999999</v>
      </c>
      <c r="AB55" s="432">
        <f t="shared" si="5"/>
        <v>2.6894865525672373</v>
      </c>
      <c r="AC55" s="670">
        <f t="shared" si="1"/>
        <v>37.794676806083658</v>
      </c>
      <c r="AD55" s="956">
        <v>30</v>
      </c>
      <c r="AE55" s="432">
        <f t="shared" si="6"/>
        <v>120.8595</v>
      </c>
      <c r="AF55" s="669"/>
    </row>
    <row r="56" spans="1:32" ht="18.75" customHeight="1" x14ac:dyDescent="0.2">
      <c r="A56" s="956">
        <v>42</v>
      </c>
      <c r="B56" s="461" t="s">
        <v>114</v>
      </c>
      <c r="C56" s="956" t="s">
        <v>46</v>
      </c>
      <c r="D56" s="956">
        <v>584.25</v>
      </c>
      <c r="E56" s="956" t="s">
        <v>419</v>
      </c>
      <c r="F56" s="956">
        <v>177.8</v>
      </c>
      <c r="G56" s="956" t="s">
        <v>28</v>
      </c>
      <c r="H56" s="956" t="s">
        <v>492</v>
      </c>
      <c r="I56" s="953">
        <v>560.84</v>
      </c>
      <c r="J56" s="956">
        <v>85</v>
      </c>
      <c r="K56" s="956"/>
      <c r="L56" s="956">
        <v>112</v>
      </c>
      <c r="M56" s="956"/>
      <c r="N56" s="956">
        <v>0.2</v>
      </c>
      <c r="O56" s="956"/>
      <c r="P56" s="668">
        <v>52.27734397937143</v>
      </c>
      <c r="Q56" s="668">
        <f>J56*7/100</f>
        <v>5.95</v>
      </c>
      <c r="R56" s="432">
        <v>1.26</v>
      </c>
      <c r="S56" s="432">
        <v>5.0999999999999996</v>
      </c>
      <c r="T56" s="670">
        <v>0</v>
      </c>
      <c r="U56" s="668">
        <f t="shared" si="8"/>
        <v>0</v>
      </c>
      <c r="V56" s="668">
        <f t="shared" si="3"/>
        <v>75.294117647058826</v>
      </c>
      <c r="W56" s="668">
        <v>0.2</v>
      </c>
      <c r="X56" s="432">
        <f t="shared" si="7"/>
        <v>0.8571428571428571</v>
      </c>
      <c r="Y56" s="432">
        <f t="shared" si="4"/>
        <v>1.2411000000000001</v>
      </c>
      <c r="Z56" s="432">
        <f t="shared" si="4"/>
        <v>5.0234999999999994</v>
      </c>
      <c r="AA56" s="670">
        <f t="shared" si="4"/>
        <v>0</v>
      </c>
      <c r="AB56" s="432">
        <f t="shared" si="5"/>
        <v>0</v>
      </c>
      <c r="AC56" s="670">
        <v>0</v>
      </c>
      <c r="AD56" s="956">
        <v>30</v>
      </c>
      <c r="AE56" s="432">
        <f t="shared" si="6"/>
        <v>37.233000000000004</v>
      </c>
      <c r="AF56" s="669"/>
    </row>
    <row r="57" spans="1:32" ht="18.75" customHeight="1" x14ac:dyDescent="0.2">
      <c r="A57" s="956">
        <v>43</v>
      </c>
      <c r="B57" s="461" t="s">
        <v>106</v>
      </c>
      <c r="C57" s="956" t="s">
        <v>46</v>
      </c>
      <c r="D57" s="956">
        <v>642.52</v>
      </c>
      <c r="E57" s="956" t="s">
        <v>457</v>
      </c>
      <c r="F57" s="956">
        <v>177.8</v>
      </c>
      <c r="G57" s="956" t="s">
        <v>28</v>
      </c>
      <c r="H57" s="956" t="s">
        <v>456</v>
      </c>
      <c r="I57" s="953">
        <v>546.55999999999995</v>
      </c>
      <c r="J57" s="956">
        <v>150</v>
      </c>
      <c r="K57" s="956"/>
      <c r="L57" s="956">
        <v>195</v>
      </c>
      <c r="M57" s="956"/>
      <c r="N57" s="956">
        <v>6.2</v>
      </c>
      <c r="O57" s="956"/>
      <c r="P57" s="668">
        <v>44.323045037335021</v>
      </c>
      <c r="Q57" s="668">
        <f>J57*23/100</f>
        <v>34.5</v>
      </c>
      <c r="R57" s="432">
        <v>3.19</v>
      </c>
      <c r="S57" s="432">
        <v>18.638000000000002</v>
      </c>
      <c r="T57" s="670">
        <v>21.161999999999999</v>
      </c>
      <c r="U57" s="668">
        <f t="shared" si="8"/>
        <v>6.6338557993730403</v>
      </c>
      <c r="V57" s="668">
        <f t="shared" si="3"/>
        <v>82.884429659834751</v>
      </c>
      <c r="W57" s="668">
        <v>0.2</v>
      </c>
      <c r="X57" s="432">
        <f t="shared" si="7"/>
        <v>0.54023188405797107</v>
      </c>
      <c r="Y57" s="432">
        <f t="shared" si="4"/>
        <v>3.14215</v>
      </c>
      <c r="Z57" s="432">
        <f t="shared" si="4"/>
        <v>18.358430000000002</v>
      </c>
      <c r="AA57" s="670">
        <f t="shared" si="4"/>
        <v>20.844569999999997</v>
      </c>
      <c r="AB57" s="432">
        <f t="shared" si="5"/>
        <v>6.6338557993730403</v>
      </c>
      <c r="AC57" s="670">
        <f t="shared" si="1"/>
        <v>82.884429659834751</v>
      </c>
      <c r="AD57" s="956">
        <v>30</v>
      </c>
      <c r="AE57" s="432">
        <f t="shared" si="6"/>
        <v>94.264499999999998</v>
      </c>
      <c r="AF57" s="449"/>
    </row>
    <row r="58" spans="1:32" ht="18.75" customHeight="1" x14ac:dyDescent="0.2">
      <c r="A58" s="956">
        <v>44</v>
      </c>
      <c r="B58" s="461" t="s">
        <v>105</v>
      </c>
      <c r="C58" s="956" t="s">
        <v>46</v>
      </c>
      <c r="D58" s="956">
        <v>609.6</v>
      </c>
      <c r="E58" s="956" t="s">
        <v>110</v>
      </c>
      <c r="F58" s="956">
        <v>177.8</v>
      </c>
      <c r="G58" s="956" t="s">
        <v>28</v>
      </c>
      <c r="H58" s="452" t="s">
        <v>406</v>
      </c>
      <c r="I58" s="953">
        <v>512.69000000000005</v>
      </c>
      <c r="J58" s="956">
        <v>0</v>
      </c>
      <c r="K58" s="956">
        <v>377</v>
      </c>
      <c r="L58" s="956"/>
      <c r="M58" s="956">
        <v>0.4</v>
      </c>
      <c r="N58" s="956"/>
      <c r="O58" s="956"/>
      <c r="P58" s="668">
        <v>12.957248526527751</v>
      </c>
      <c r="Q58" s="668">
        <f>J58*20/100</f>
        <v>0</v>
      </c>
      <c r="R58" s="432">
        <v>0</v>
      </c>
      <c r="S58" s="432">
        <v>0</v>
      </c>
      <c r="T58" s="670">
        <v>0</v>
      </c>
      <c r="U58" s="668">
        <f t="shared" si="8"/>
        <v>0</v>
      </c>
      <c r="V58" s="668">
        <f t="shared" si="3"/>
        <v>0</v>
      </c>
      <c r="W58" s="668">
        <v>0</v>
      </c>
      <c r="X58" s="432">
        <f t="shared" si="7"/>
        <v>0</v>
      </c>
      <c r="Y58" s="432">
        <f t="shared" si="4"/>
        <v>0</v>
      </c>
      <c r="Z58" s="432">
        <f t="shared" si="4"/>
        <v>0</v>
      </c>
      <c r="AA58" s="670">
        <f t="shared" si="4"/>
        <v>0</v>
      </c>
      <c r="AB58" s="432">
        <v>0</v>
      </c>
      <c r="AC58" s="670">
        <v>0</v>
      </c>
      <c r="AD58" s="956">
        <v>0</v>
      </c>
      <c r="AE58" s="432">
        <f t="shared" si="6"/>
        <v>0</v>
      </c>
      <c r="AF58" s="669" t="s">
        <v>482</v>
      </c>
    </row>
    <row r="59" spans="1:32" ht="18.75" customHeight="1" x14ac:dyDescent="0.2">
      <c r="A59" s="956">
        <v>45</v>
      </c>
      <c r="B59" s="461" t="s">
        <v>104</v>
      </c>
      <c r="C59" s="956" t="s">
        <v>381</v>
      </c>
      <c r="D59" s="956">
        <v>707.14</v>
      </c>
      <c r="E59" s="953" t="s">
        <v>382</v>
      </c>
      <c r="F59" s="956">
        <v>177.8</v>
      </c>
      <c r="G59" s="956" t="s">
        <v>28</v>
      </c>
      <c r="H59" s="956" t="s">
        <v>383</v>
      </c>
      <c r="I59" s="953">
        <v>682.43000000000052</v>
      </c>
      <c r="J59" s="956">
        <v>254</v>
      </c>
      <c r="K59" s="956"/>
      <c r="L59" s="956">
        <v>557</v>
      </c>
      <c r="M59" s="956"/>
      <c r="N59" s="956">
        <v>6.7</v>
      </c>
      <c r="O59" s="956"/>
      <c r="P59" s="668">
        <v>14.54077871240548</v>
      </c>
      <c r="Q59" s="668">
        <f>J59*3/100</f>
        <v>7.62</v>
      </c>
      <c r="R59" s="432">
        <v>0.56000000000000005</v>
      </c>
      <c r="S59" s="432">
        <v>0.64</v>
      </c>
      <c r="T59" s="670">
        <v>0</v>
      </c>
      <c r="U59" s="668">
        <f t="shared" si="8"/>
        <v>0</v>
      </c>
      <c r="V59" s="668">
        <f t="shared" si="3"/>
        <v>12.499999999999993</v>
      </c>
      <c r="W59" s="668">
        <v>0.5</v>
      </c>
      <c r="X59" s="432">
        <f t="shared" si="7"/>
        <v>8.3989501312335957E-2</v>
      </c>
      <c r="Y59" s="432">
        <f t="shared" si="4"/>
        <v>0.55160000000000009</v>
      </c>
      <c r="Z59" s="432">
        <f t="shared" si="4"/>
        <v>0.63039999999999996</v>
      </c>
      <c r="AA59" s="670">
        <f t="shared" si="4"/>
        <v>0</v>
      </c>
      <c r="AB59" s="432">
        <f t="shared" si="5"/>
        <v>0</v>
      </c>
      <c r="AC59" s="670">
        <f t="shared" si="1"/>
        <v>12.499999999999993</v>
      </c>
      <c r="AD59" s="956">
        <v>30</v>
      </c>
      <c r="AE59" s="432">
        <f t="shared" si="6"/>
        <v>16.548000000000002</v>
      </c>
      <c r="AF59" s="669"/>
    </row>
    <row r="60" spans="1:32" ht="18.600000000000001" customHeight="1" x14ac:dyDescent="0.3">
      <c r="A60" s="956">
        <v>46</v>
      </c>
      <c r="B60" s="961" t="s">
        <v>158</v>
      </c>
      <c r="C60" s="956" t="s">
        <v>46</v>
      </c>
      <c r="D60" s="953">
        <v>621.12</v>
      </c>
      <c r="E60" s="953" t="s">
        <v>232</v>
      </c>
      <c r="F60" s="956">
        <v>177.8</v>
      </c>
      <c r="G60" s="956" t="s">
        <v>28</v>
      </c>
      <c r="H60" s="956" t="s">
        <v>403</v>
      </c>
      <c r="I60" s="953">
        <v>544.41999999999996</v>
      </c>
      <c r="J60" s="953">
        <v>175</v>
      </c>
      <c r="K60" s="953"/>
      <c r="L60" s="953">
        <v>460</v>
      </c>
      <c r="M60" s="953"/>
      <c r="N60" s="956">
        <v>7.4</v>
      </c>
      <c r="O60" s="953"/>
      <c r="P60" s="448">
        <v>16.237963609289636</v>
      </c>
      <c r="Q60" s="668">
        <f>J60*23/100</f>
        <v>40.25</v>
      </c>
      <c r="R60" s="432">
        <v>9.18</v>
      </c>
      <c r="S60" s="432">
        <v>15.566000000000001</v>
      </c>
      <c r="T60" s="492">
        <v>132</v>
      </c>
      <c r="U60" s="668">
        <f t="shared" si="8"/>
        <v>14.379084967320262</v>
      </c>
      <c r="V60" s="668">
        <f t="shared" si="3"/>
        <v>41.025311576512919</v>
      </c>
      <c r="W60" s="668">
        <v>0.3</v>
      </c>
      <c r="X60" s="432">
        <f t="shared" si="7"/>
        <v>0.38673291925465841</v>
      </c>
      <c r="Y60" s="432">
        <f t="shared" si="4"/>
        <v>9.0422999999999991</v>
      </c>
      <c r="Z60" s="432">
        <f t="shared" si="4"/>
        <v>15.332510000000001</v>
      </c>
      <c r="AA60" s="670">
        <f t="shared" si="4"/>
        <v>130.02000000000001</v>
      </c>
      <c r="AB60" s="432">
        <f t="shared" si="5"/>
        <v>14.379084967320262</v>
      </c>
      <c r="AC60" s="670">
        <f t="shared" si="1"/>
        <v>41.025311576512919</v>
      </c>
      <c r="AD60" s="956">
        <v>30</v>
      </c>
      <c r="AE60" s="432">
        <f>Y60*AD60</f>
        <v>271.26899999999995</v>
      </c>
      <c r="AF60" s="458"/>
    </row>
    <row r="61" spans="1:32" ht="18.75" customHeight="1" x14ac:dyDescent="0.2">
      <c r="A61" s="956">
        <v>47</v>
      </c>
      <c r="B61" s="961" t="s">
        <v>160</v>
      </c>
      <c r="C61" s="956" t="s">
        <v>304</v>
      </c>
      <c r="D61" s="953">
        <v>677.33</v>
      </c>
      <c r="E61" s="953" t="s">
        <v>315</v>
      </c>
      <c r="F61" s="956">
        <v>177.8</v>
      </c>
      <c r="G61" s="956" t="s">
        <v>28</v>
      </c>
      <c r="H61" s="956" t="s">
        <v>52</v>
      </c>
      <c r="I61" s="953">
        <v>620.78</v>
      </c>
      <c r="J61" s="953">
        <v>0</v>
      </c>
      <c r="K61" s="953">
        <v>51</v>
      </c>
      <c r="L61" s="956">
        <v>0</v>
      </c>
      <c r="M61" s="953"/>
      <c r="N61" s="956">
        <v>0</v>
      </c>
      <c r="O61" s="953"/>
      <c r="P61" s="448">
        <v>49.760394055761445</v>
      </c>
      <c r="Q61" s="668">
        <f t="shared" si="9"/>
        <v>0</v>
      </c>
      <c r="R61" s="432">
        <v>0</v>
      </c>
      <c r="S61" s="432">
        <v>0</v>
      </c>
      <c r="T61" s="492">
        <v>0</v>
      </c>
      <c r="U61" s="668">
        <f t="shared" si="8"/>
        <v>0</v>
      </c>
      <c r="V61" s="668">
        <f t="shared" si="3"/>
        <v>0</v>
      </c>
      <c r="W61" s="668">
        <v>0</v>
      </c>
      <c r="X61" s="432">
        <f t="shared" si="7"/>
        <v>0</v>
      </c>
      <c r="Y61" s="432">
        <f t="shared" si="4"/>
        <v>0</v>
      </c>
      <c r="Z61" s="432">
        <f t="shared" si="4"/>
        <v>0</v>
      </c>
      <c r="AA61" s="670">
        <f t="shared" si="4"/>
        <v>0</v>
      </c>
      <c r="AB61" s="432">
        <f t="shared" si="5"/>
        <v>0</v>
      </c>
      <c r="AC61" s="670">
        <f t="shared" si="1"/>
        <v>0</v>
      </c>
      <c r="AD61" s="956">
        <v>30</v>
      </c>
      <c r="AE61" s="432">
        <f>Y61*AD61</f>
        <v>0</v>
      </c>
      <c r="AF61" s="669" t="s">
        <v>334</v>
      </c>
    </row>
    <row r="62" spans="1:32" ht="18.75" customHeight="1" x14ac:dyDescent="0.2">
      <c r="A62" s="956">
        <v>48</v>
      </c>
      <c r="B62" s="461" t="s">
        <v>164</v>
      </c>
      <c r="C62" s="956" t="s">
        <v>46</v>
      </c>
      <c r="D62" s="953">
        <v>678.47</v>
      </c>
      <c r="E62" s="953" t="s">
        <v>233</v>
      </c>
      <c r="F62" s="956">
        <v>177.8</v>
      </c>
      <c r="G62" s="956" t="s">
        <v>28</v>
      </c>
      <c r="H62" s="956" t="s">
        <v>48</v>
      </c>
      <c r="I62" s="953">
        <v>563.25</v>
      </c>
      <c r="J62" s="953">
        <v>100</v>
      </c>
      <c r="K62" s="953"/>
      <c r="L62" s="953">
        <v>436</v>
      </c>
      <c r="M62" s="953"/>
      <c r="N62" s="956">
        <v>4.5999999999999996</v>
      </c>
      <c r="O62" s="953"/>
      <c r="P62" s="668">
        <v>17.919805945666621</v>
      </c>
      <c r="Q62" s="668">
        <f t="shared" si="9"/>
        <v>13</v>
      </c>
      <c r="R62" s="432">
        <v>6.67</v>
      </c>
      <c r="S62" s="432">
        <v>8.5399999999999991</v>
      </c>
      <c r="T62" s="670">
        <v>18</v>
      </c>
      <c r="U62" s="668">
        <f t="shared" si="8"/>
        <v>2.6986506746626686</v>
      </c>
      <c r="V62" s="668">
        <f t="shared" si="3"/>
        <v>21.896955503512874</v>
      </c>
      <c r="W62" s="668">
        <v>0.3</v>
      </c>
      <c r="X62" s="432">
        <f t="shared" si="7"/>
        <v>0.65692307692307683</v>
      </c>
      <c r="Y62" s="432">
        <f t="shared" si="4"/>
        <v>6.5699499999999995</v>
      </c>
      <c r="Z62" s="432">
        <f t="shared" si="4"/>
        <v>8.4118999999999993</v>
      </c>
      <c r="AA62" s="670">
        <f t="shared" si="4"/>
        <v>17.73</v>
      </c>
      <c r="AB62" s="432">
        <f t="shared" si="5"/>
        <v>2.6986506746626686</v>
      </c>
      <c r="AC62" s="670">
        <f t="shared" si="1"/>
        <v>21.896955503512874</v>
      </c>
      <c r="AD62" s="956">
        <v>30</v>
      </c>
      <c r="AE62" s="432">
        <f t="shared" ref="AE62:AE76" si="10">Y62*AD62</f>
        <v>197.09849999999997</v>
      </c>
      <c r="AF62" s="669"/>
    </row>
    <row r="63" spans="1:32" ht="18.75" customHeight="1" x14ac:dyDescent="0.2">
      <c r="A63" s="956">
        <v>49</v>
      </c>
      <c r="B63" s="461" t="s">
        <v>61</v>
      </c>
      <c r="C63" s="956" t="s">
        <v>46</v>
      </c>
      <c r="D63" s="956">
        <v>667.18</v>
      </c>
      <c r="E63" s="956" t="s">
        <v>96</v>
      </c>
      <c r="F63" s="956">
        <v>177.8</v>
      </c>
      <c r="G63" s="956" t="s">
        <v>28</v>
      </c>
      <c r="H63" s="956" t="s">
        <v>52</v>
      </c>
      <c r="I63" s="953">
        <v>534.21</v>
      </c>
      <c r="J63" s="956">
        <v>200</v>
      </c>
      <c r="K63" s="956"/>
      <c r="L63" s="956">
        <v>449</v>
      </c>
      <c r="M63" s="956"/>
      <c r="N63" s="956">
        <v>5.3</v>
      </c>
      <c r="O63" s="956"/>
      <c r="P63" s="668">
        <v>15.839049551597217</v>
      </c>
      <c r="Q63" s="668">
        <f t="shared" si="9"/>
        <v>44</v>
      </c>
      <c r="R63" s="432">
        <v>8.65</v>
      </c>
      <c r="S63" s="432">
        <v>13.975</v>
      </c>
      <c r="T63" s="670">
        <v>125</v>
      </c>
      <c r="U63" s="668">
        <f t="shared" si="8"/>
        <v>14.450867052023121</v>
      </c>
      <c r="V63" s="668">
        <f t="shared" si="3"/>
        <v>38.103756708407865</v>
      </c>
      <c r="W63" s="668">
        <v>0.6</v>
      </c>
      <c r="X63" s="432">
        <f t="shared" si="7"/>
        <v>0.31761363636363638</v>
      </c>
      <c r="Y63" s="432">
        <f t="shared" si="4"/>
        <v>8.5202500000000008</v>
      </c>
      <c r="Z63" s="432">
        <f t="shared" si="4"/>
        <v>13.765374999999999</v>
      </c>
      <c r="AA63" s="670">
        <f t="shared" si="4"/>
        <v>123.125</v>
      </c>
      <c r="AB63" s="432">
        <f t="shared" si="5"/>
        <v>14.450867052023121</v>
      </c>
      <c r="AC63" s="670">
        <f t="shared" si="1"/>
        <v>38.103756708407865</v>
      </c>
      <c r="AD63" s="956">
        <v>30</v>
      </c>
      <c r="AE63" s="432">
        <f t="shared" si="10"/>
        <v>255.60750000000002</v>
      </c>
      <c r="AF63" s="449"/>
    </row>
    <row r="64" spans="1:32" ht="18.75" customHeight="1" x14ac:dyDescent="0.2">
      <c r="A64" s="956">
        <v>50</v>
      </c>
      <c r="B64" s="461" t="s">
        <v>64</v>
      </c>
      <c r="C64" s="956" t="s">
        <v>46</v>
      </c>
      <c r="D64" s="956">
        <v>672.5</v>
      </c>
      <c r="E64" s="956" t="s">
        <v>444</v>
      </c>
      <c r="F64" s="956">
        <v>177.8</v>
      </c>
      <c r="G64" s="956" t="s">
        <v>28</v>
      </c>
      <c r="H64" s="956" t="s">
        <v>49</v>
      </c>
      <c r="I64" s="953">
        <v>523.78</v>
      </c>
      <c r="J64" s="956">
        <v>398</v>
      </c>
      <c r="K64" s="956"/>
      <c r="L64" s="956">
        <v>409</v>
      </c>
      <c r="M64" s="956"/>
      <c r="N64" s="956">
        <v>7.2</v>
      </c>
      <c r="O64" s="956"/>
      <c r="P64" s="668">
        <v>21.289712231492167</v>
      </c>
      <c r="Q64" s="668">
        <f t="shared" si="9"/>
        <v>127.36</v>
      </c>
      <c r="R64" s="432">
        <v>9.19</v>
      </c>
      <c r="S64" s="432">
        <v>13.95</v>
      </c>
      <c r="T64" s="670">
        <v>1653</v>
      </c>
      <c r="U64" s="668">
        <f t="shared" si="8"/>
        <v>179.86942328618065</v>
      </c>
      <c r="V64" s="668">
        <f t="shared" si="3"/>
        <v>34.121863799283155</v>
      </c>
      <c r="W64" s="668">
        <v>0.2</v>
      </c>
      <c r="X64" s="432">
        <f t="shared" si="7"/>
        <v>0.10953203517587939</v>
      </c>
      <c r="Y64" s="432">
        <f t="shared" si="4"/>
        <v>9.0521499999999993</v>
      </c>
      <c r="Z64" s="432">
        <f t="shared" si="4"/>
        <v>13.740749999999998</v>
      </c>
      <c r="AA64" s="670">
        <f t="shared" si="4"/>
        <v>1628.2049999999999</v>
      </c>
      <c r="AB64" s="432">
        <f t="shared" si="5"/>
        <v>179.86942328618065</v>
      </c>
      <c r="AC64" s="670">
        <f t="shared" si="1"/>
        <v>34.121863799283155</v>
      </c>
      <c r="AD64" s="956">
        <v>30</v>
      </c>
      <c r="AE64" s="432">
        <f t="shared" si="10"/>
        <v>271.56449999999995</v>
      </c>
      <c r="AF64" s="449"/>
    </row>
    <row r="65" spans="1:32" ht="18.75" customHeight="1" x14ac:dyDescent="0.2">
      <c r="A65" s="956">
        <v>51</v>
      </c>
      <c r="B65" s="461" t="s">
        <v>156</v>
      </c>
      <c r="C65" s="956" t="s">
        <v>46</v>
      </c>
      <c r="D65" s="956">
        <v>679.54</v>
      </c>
      <c r="E65" s="956" t="s">
        <v>166</v>
      </c>
      <c r="F65" s="956">
        <v>177.8</v>
      </c>
      <c r="G65" s="956" t="s">
        <v>28</v>
      </c>
      <c r="H65" s="956" t="s">
        <v>52</v>
      </c>
      <c r="I65" s="953">
        <v>530.98</v>
      </c>
      <c r="J65" s="956">
        <v>280</v>
      </c>
      <c r="K65" s="956"/>
      <c r="L65" s="956">
        <v>455</v>
      </c>
      <c r="M65" s="956"/>
      <c r="N65" s="956">
        <v>7.4</v>
      </c>
      <c r="O65" s="956"/>
      <c r="P65" s="668">
        <v>16.658955800256862</v>
      </c>
      <c r="Q65" s="668">
        <f t="shared" si="9"/>
        <v>61.6</v>
      </c>
      <c r="R65" s="432">
        <v>4.29</v>
      </c>
      <c r="S65" s="432">
        <v>7.3166000000000002</v>
      </c>
      <c r="T65" s="670">
        <v>60</v>
      </c>
      <c r="U65" s="668">
        <f t="shared" si="8"/>
        <v>13.986013986013987</v>
      </c>
      <c r="V65" s="668">
        <f t="shared" si="3"/>
        <v>41.36620834813985</v>
      </c>
      <c r="W65" s="668">
        <v>0.2</v>
      </c>
      <c r="X65" s="432">
        <f t="shared" si="7"/>
        <v>0.11877597402597402</v>
      </c>
      <c r="Y65" s="432">
        <f t="shared" si="4"/>
        <v>4.2256499999999999</v>
      </c>
      <c r="Z65" s="432">
        <f t="shared" si="4"/>
        <v>7.2068510000000003</v>
      </c>
      <c r="AA65" s="670">
        <f t="shared" si="4"/>
        <v>59.1</v>
      </c>
      <c r="AB65" s="432">
        <f t="shared" si="5"/>
        <v>13.986013986013987</v>
      </c>
      <c r="AC65" s="670">
        <f t="shared" si="1"/>
        <v>41.36620834813985</v>
      </c>
      <c r="AD65" s="956">
        <v>30</v>
      </c>
      <c r="AE65" s="432">
        <f t="shared" si="10"/>
        <v>126.76949999999999</v>
      </c>
      <c r="AF65" s="449"/>
    </row>
    <row r="66" spans="1:32" ht="18.75" customHeight="1" x14ac:dyDescent="0.2">
      <c r="A66" s="956">
        <v>52</v>
      </c>
      <c r="B66" s="461" t="s">
        <v>169</v>
      </c>
      <c r="C66" s="956" t="s">
        <v>46</v>
      </c>
      <c r="D66" s="956">
        <v>647.37</v>
      </c>
      <c r="E66" s="956" t="s">
        <v>463</v>
      </c>
      <c r="F66" s="956">
        <v>177.8</v>
      </c>
      <c r="G66" s="956" t="s">
        <v>28</v>
      </c>
      <c r="H66" s="956" t="s">
        <v>464</v>
      </c>
      <c r="I66" s="953">
        <v>539.76999999999987</v>
      </c>
      <c r="J66" s="956">
        <v>225</v>
      </c>
      <c r="K66" s="956"/>
      <c r="L66" s="956">
        <v>435</v>
      </c>
      <c r="M66" s="956"/>
      <c r="N66" s="956">
        <v>4.5999999999999996</v>
      </c>
      <c r="O66" s="956"/>
      <c r="P66" s="668">
        <v>17.453467031976455</v>
      </c>
      <c r="Q66" s="668">
        <v>42.9</v>
      </c>
      <c r="R66" s="432">
        <v>4.13</v>
      </c>
      <c r="S66" s="432">
        <v>10.45</v>
      </c>
      <c r="T66" s="670">
        <v>24</v>
      </c>
      <c r="U66" s="668">
        <f t="shared" si="8"/>
        <v>5.8111380145278453</v>
      </c>
      <c r="V66" s="668">
        <f t="shared" si="3"/>
        <v>60.47846889952153</v>
      </c>
      <c r="W66" s="668">
        <v>0.4</v>
      </c>
      <c r="X66" s="432">
        <f t="shared" si="7"/>
        <v>0.24358974358974358</v>
      </c>
      <c r="Y66" s="432">
        <f t="shared" si="4"/>
        <v>4.0680499999999995</v>
      </c>
      <c r="Z66" s="432">
        <f t="shared" si="4"/>
        <v>10.293249999999999</v>
      </c>
      <c r="AA66" s="670">
        <f t="shared" si="4"/>
        <v>23.64</v>
      </c>
      <c r="AB66" s="432">
        <f t="shared" si="5"/>
        <v>5.8111380145278453</v>
      </c>
      <c r="AC66" s="670">
        <f t="shared" si="1"/>
        <v>60.47846889952153</v>
      </c>
      <c r="AD66" s="956">
        <v>30</v>
      </c>
      <c r="AE66" s="432">
        <f>Y66*AD66</f>
        <v>122.04149999999998</v>
      </c>
      <c r="AF66" s="449"/>
    </row>
    <row r="67" spans="1:32" ht="18.75" customHeight="1" x14ac:dyDescent="0.2">
      <c r="A67" s="956">
        <v>53</v>
      </c>
      <c r="B67" s="461" t="s">
        <v>62</v>
      </c>
      <c r="C67" s="956" t="s">
        <v>46</v>
      </c>
      <c r="D67" s="956">
        <v>673.73</v>
      </c>
      <c r="E67" s="956" t="s">
        <v>97</v>
      </c>
      <c r="F67" s="956">
        <v>177.8</v>
      </c>
      <c r="G67" s="956" t="s">
        <v>28</v>
      </c>
      <c r="H67" s="956" t="s">
        <v>218</v>
      </c>
      <c r="I67" s="953">
        <v>543</v>
      </c>
      <c r="J67" s="956">
        <v>255</v>
      </c>
      <c r="K67" s="956"/>
      <c r="L67" s="956">
        <v>422</v>
      </c>
      <c r="M67" s="956"/>
      <c r="N67" s="956">
        <v>2.6</v>
      </c>
      <c r="O67" s="956"/>
      <c r="P67" s="668">
        <v>15.874407887512124</v>
      </c>
      <c r="Q67" s="668">
        <f t="shared" si="9"/>
        <v>81.599999999999994</v>
      </c>
      <c r="R67" s="432">
        <v>8.25</v>
      </c>
      <c r="S67" s="432">
        <v>15.7</v>
      </c>
      <c r="T67" s="670">
        <v>144</v>
      </c>
      <c r="U67" s="668">
        <f t="shared" si="8"/>
        <v>17.454545454545453</v>
      </c>
      <c r="V67" s="668">
        <f t="shared" si="3"/>
        <v>47.452229299363054</v>
      </c>
      <c r="W67" s="668">
        <v>0.3</v>
      </c>
      <c r="X67" s="432">
        <f t="shared" si="7"/>
        <v>0.19240196078431374</v>
      </c>
      <c r="Y67" s="432">
        <f t="shared" si="4"/>
        <v>8.1262500000000006</v>
      </c>
      <c r="Z67" s="432">
        <f t="shared" si="4"/>
        <v>15.464499999999999</v>
      </c>
      <c r="AA67" s="670">
        <f t="shared" si="4"/>
        <v>141.84</v>
      </c>
      <c r="AB67" s="432">
        <f t="shared" si="5"/>
        <v>17.454545454545453</v>
      </c>
      <c r="AC67" s="670">
        <f t="shared" si="1"/>
        <v>47.452229299363054</v>
      </c>
      <c r="AD67" s="956">
        <v>30</v>
      </c>
      <c r="AE67" s="432">
        <f t="shared" si="10"/>
        <v>243.78750000000002</v>
      </c>
      <c r="AF67" s="669"/>
    </row>
    <row r="68" spans="1:32" ht="18.75" customHeight="1" x14ac:dyDescent="0.2">
      <c r="A68" s="956">
        <v>54</v>
      </c>
      <c r="B68" s="461" t="s">
        <v>157</v>
      </c>
      <c r="C68" s="956" t="s">
        <v>46</v>
      </c>
      <c r="D68" s="956">
        <v>676.73</v>
      </c>
      <c r="E68" s="956" t="s">
        <v>179</v>
      </c>
      <c r="F68" s="956">
        <v>177.8</v>
      </c>
      <c r="G68" s="956" t="s">
        <v>28</v>
      </c>
      <c r="H68" s="956" t="s">
        <v>218</v>
      </c>
      <c r="I68" s="953">
        <v>579.14</v>
      </c>
      <c r="J68" s="956">
        <v>190</v>
      </c>
      <c r="K68" s="956"/>
      <c r="L68" s="956">
        <v>152</v>
      </c>
      <c r="M68" s="956"/>
      <c r="N68" s="956">
        <v>7.9</v>
      </c>
      <c r="O68" s="956"/>
      <c r="P68" s="668">
        <v>46.145170029542328</v>
      </c>
      <c r="Q68" s="668">
        <f t="shared" si="9"/>
        <v>60.8</v>
      </c>
      <c r="R68" s="432">
        <v>16.28</v>
      </c>
      <c r="S68" s="432">
        <v>50.88</v>
      </c>
      <c r="T68" s="670">
        <v>178.57900000000001</v>
      </c>
      <c r="U68" s="668">
        <f t="shared" si="8"/>
        <v>10.969226044226044</v>
      </c>
      <c r="V68" s="668">
        <f t="shared" si="3"/>
        <v>68.003144654088061</v>
      </c>
      <c r="W68" s="668">
        <v>0.3</v>
      </c>
      <c r="X68" s="432">
        <f t="shared" si="7"/>
        <v>0.83684210526315794</v>
      </c>
      <c r="Y68" s="432">
        <f t="shared" si="4"/>
        <v>16.035800000000002</v>
      </c>
      <c r="Z68" s="432">
        <f t="shared" si="4"/>
        <v>50.116800000000005</v>
      </c>
      <c r="AA68" s="670">
        <f t="shared" si="4"/>
        <v>175.90031500000001</v>
      </c>
      <c r="AB68" s="432">
        <f t="shared" si="5"/>
        <v>10.969226044226044</v>
      </c>
      <c r="AC68" s="670">
        <f t="shared" si="1"/>
        <v>68.003144654088061</v>
      </c>
      <c r="AD68" s="956">
        <v>30</v>
      </c>
      <c r="AE68" s="432">
        <f t="shared" si="10"/>
        <v>481.07400000000007</v>
      </c>
      <c r="AF68" s="676"/>
    </row>
    <row r="69" spans="1:32" ht="18.75" customHeight="1" x14ac:dyDescent="0.2">
      <c r="A69" s="956">
        <v>55</v>
      </c>
      <c r="B69" s="461" t="s">
        <v>159</v>
      </c>
      <c r="C69" s="956" t="s">
        <v>46</v>
      </c>
      <c r="D69" s="956">
        <v>676</v>
      </c>
      <c r="E69" s="956" t="s">
        <v>167</v>
      </c>
      <c r="F69" s="956">
        <v>177.8</v>
      </c>
      <c r="G69" s="956" t="s">
        <v>28</v>
      </c>
      <c r="H69" s="956" t="s">
        <v>342</v>
      </c>
      <c r="I69" s="953">
        <v>509.61000000000024</v>
      </c>
      <c r="J69" s="956">
        <v>220</v>
      </c>
      <c r="K69" s="956"/>
      <c r="L69" s="956">
        <v>392</v>
      </c>
      <c r="M69" s="956"/>
      <c r="N69" s="956">
        <v>7.5</v>
      </c>
      <c r="O69" s="956"/>
      <c r="P69" s="668">
        <v>20.699407087181768</v>
      </c>
      <c r="Q69" s="668">
        <f>(20*J69)/100</f>
        <v>44</v>
      </c>
      <c r="R69" s="432">
        <v>19.12</v>
      </c>
      <c r="S69" s="432">
        <v>24.14</v>
      </c>
      <c r="T69" s="670">
        <v>686</v>
      </c>
      <c r="U69" s="668">
        <f t="shared" si="8"/>
        <v>35.878661087866107</v>
      </c>
      <c r="V69" s="668">
        <f t="shared" si="3"/>
        <v>20.795360397680195</v>
      </c>
      <c r="W69" s="668">
        <v>0.2</v>
      </c>
      <c r="X69" s="432">
        <f t="shared" si="7"/>
        <v>0.5486363636363637</v>
      </c>
      <c r="Y69" s="432">
        <f t="shared" si="4"/>
        <v>18.833200000000001</v>
      </c>
      <c r="Z69" s="432">
        <f t="shared" si="4"/>
        <v>23.777899999999999</v>
      </c>
      <c r="AA69" s="670">
        <f t="shared" si="4"/>
        <v>675.71</v>
      </c>
      <c r="AB69" s="432">
        <f t="shared" si="5"/>
        <v>35.878661087866107</v>
      </c>
      <c r="AC69" s="670">
        <f t="shared" si="1"/>
        <v>20.795360397680195</v>
      </c>
      <c r="AD69" s="956">
        <v>30</v>
      </c>
      <c r="AE69" s="432">
        <f t="shared" si="10"/>
        <v>564.99600000000009</v>
      </c>
      <c r="AF69" s="669"/>
    </row>
    <row r="70" spans="1:32" ht="18.75" customHeight="1" x14ac:dyDescent="0.2">
      <c r="A70" s="956">
        <v>56</v>
      </c>
      <c r="B70" s="461" t="s">
        <v>330</v>
      </c>
      <c r="C70" s="956" t="s">
        <v>46</v>
      </c>
      <c r="D70" s="956">
        <v>595</v>
      </c>
      <c r="E70" s="956" t="s">
        <v>367</v>
      </c>
      <c r="F70" s="956">
        <v>178.8</v>
      </c>
      <c r="G70" s="956" t="s">
        <v>28</v>
      </c>
      <c r="H70" s="956" t="s">
        <v>52</v>
      </c>
      <c r="I70" s="953">
        <v>498.89</v>
      </c>
      <c r="J70" s="956">
        <v>280</v>
      </c>
      <c r="K70" s="956"/>
      <c r="L70" s="956">
        <v>363</v>
      </c>
      <c r="M70" s="956"/>
      <c r="N70" s="956">
        <v>9.3000000000000007</v>
      </c>
      <c r="O70" s="956"/>
      <c r="P70" s="668">
        <v>23.597375210445296</v>
      </c>
      <c r="Q70" s="668">
        <f t="shared" si="9"/>
        <v>61.6</v>
      </c>
      <c r="R70" s="432">
        <v>15.305999999999999</v>
      </c>
      <c r="S70" s="432">
        <v>21.864999999999998</v>
      </c>
      <c r="T70" s="670">
        <v>721</v>
      </c>
      <c r="U70" s="668">
        <f t="shared" si="8"/>
        <v>47.105710179014771</v>
      </c>
      <c r="V70" s="668">
        <f t="shared" si="3"/>
        <v>29.997713240338442</v>
      </c>
      <c r="W70" s="668">
        <v>0.2</v>
      </c>
      <c r="X70" s="432">
        <f t="shared" si="7"/>
        <v>0.35495129870129866</v>
      </c>
      <c r="Y70" s="432">
        <f t="shared" si="4"/>
        <v>15.076409999999999</v>
      </c>
      <c r="Z70" s="432">
        <f t="shared" si="4"/>
        <v>21.537025</v>
      </c>
      <c r="AA70" s="670">
        <f t="shared" si="4"/>
        <v>710.18499999999995</v>
      </c>
      <c r="AB70" s="432">
        <v>20</v>
      </c>
      <c r="AC70" s="670">
        <v>17</v>
      </c>
      <c r="AD70" s="956">
        <v>30</v>
      </c>
      <c r="AE70" s="432">
        <f t="shared" si="10"/>
        <v>452.29229999999995</v>
      </c>
      <c r="AF70" s="669"/>
    </row>
    <row r="71" spans="1:32" ht="18.75" customHeight="1" x14ac:dyDescent="0.2">
      <c r="A71" s="956">
        <v>57</v>
      </c>
      <c r="B71" s="461" t="s">
        <v>210</v>
      </c>
      <c r="C71" s="956" t="s">
        <v>46</v>
      </c>
      <c r="D71" s="956">
        <v>728.32</v>
      </c>
      <c r="E71" s="956" t="s">
        <v>226</v>
      </c>
      <c r="F71" s="956">
        <v>177.8</v>
      </c>
      <c r="G71" s="956" t="s">
        <v>28</v>
      </c>
      <c r="H71" s="956" t="s">
        <v>218</v>
      </c>
      <c r="I71" s="953">
        <v>519.38</v>
      </c>
      <c r="J71" s="956">
        <v>320</v>
      </c>
      <c r="K71" s="956"/>
      <c r="L71" s="956">
        <v>169</v>
      </c>
      <c r="M71" s="956"/>
      <c r="N71" s="956">
        <v>9.8000000000000007</v>
      </c>
      <c r="O71" s="956"/>
      <c r="P71" s="668">
        <v>45.492329220094319</v>
      </c>
      <c r="Q71" s="668">
        <f t="shared" si="9"/>
        <v>102.4</v>
      </c>
      <c r="R71" s="432">
        <v>8.2899999999999991</v>
      </c>
      <c r="S71" s="432">
        <v>38.6</v>
      </c>
      <c r="T71" s="670">
        <v>139</v>
      </c>
      <c r="U71" s="668">
        <f t="shared" si="8"/>
        <v>16.767189384800968</v>
      </c>
      <c r="V71" s="668">
        <f t="shared" si="3"/>
        <v>78.523316062176178</v>
      </c>
      <c r="W71" s="668">
        <v>0.2</v>
      </c>
      <c r="X71" s="432">
        <f t="shared" si="7"/>
        <v>0.376953125</v>
      </c>
      <c r="Y71" s="432">
        <f t="shared" si="4"/>
        <v>8.1656499999999994</v>
      </c>
      <c r="Z71" s="432">
        <f t="shared" si="4"/>
        <v>38.021000000000001</v>
      </c>
      <c r="AA71" s="670">
        <f t="shared" si="4"/>
        <v>136.91499999999999</v>
      </c>
      <c r="AB71" s="432">
        <f t="shared" si="5"/>
        <v>16.767189384800968</v>
      </c>
      <c r="AC71" s="670">
        <f t="shared" si="1"/>
        <v>78.523316062176178</v>
      </c>
      <c r="AD71" s="956">
        <v>30</v>
      </c>
      <c r="AE71" s="432">
        <f t="shared" si="10"/>
        <v>244.96949999999998</v>
      </c>
      <c r="AF71" s="449"/>
    </row>
    <row r="72" spans="1:32" ht="18.75" customHeight="1" x14ac:dyDescent="0.2">
      <c r="A72" s="956">
        <v>58</v>
      </c>
      <c r="B72" s="461" t="s">
        <v>63</v>
      </c>
      <c r="C72" s="956" t="s">
        <v>46</v>
      </c>
      <c r="D72" s="956">
        <v>672.99</v>
      </c>
      <c r="E72" s="956" t="s">
        <v>98</v>
      </c>
      <c r="F72" s="956">
        <v>177.8</v>
      </c>
      <c r="G72" s="956" t="s">
        <v>28</v>
      </c>
      <c r="H72" s="956" t="s">
        <v>310</v>
      </c>
      <c r="I72" s="953">
        <v>536.32000000000005</v>
      </c>
      <c r="J72" s="956">
        <v>310</v>
      </c>
      <c r="K72" s="956"/>
      <c r="L72" s="956">
        <v>427</v>
      </c>
      <c r="M72" s="956"/>
      <c r="N72" s="956">
        <v>8.4</v>
      </c>
      <c r="O72" s="956"/>
      <c r="P72" s="668">
        <v>22.188402637371311</v>
      </c>
      <c r="Q72" s="668">
        <f t="shared" si="9"/>
        <v>68.2</v>
      </c>
      <c r="R72" s="432">
        <v>17.23</v>
      </c>
      <c r="S72" s="432">
        <v>24.9</v>
      </c>
      <c r="T72" s="670">
        <v>833</v>
      </c>
      <c r="U72" s="668">
        <f t="shared" si="8"/>
        <v>48.345908299477657</v>
      </c>
      <c r="V72" s="668">
        <f t="shared" si="3"/>
        <v>30.803212851405615</v>
      </c>
      <c r="W72" s="668">
        <v>0.3</v>
      </c>
      <c r="X72" s="432">
        <f t="shared" si="7"/>
        <v>0.36510263929618764</v>
      </c>
      <c r="Y72" s="432">
        <f t="shared" si="4"/>
        <v>16.971550000000001</v>
      </c>
      <c r="Z72" s="432">
        <f t="shared" si="4"/>
        <v>24.526499999999999</v>
      </c>
      <c r="AA72" s="670">
        <f t="shared" si="4"/>
        <v>820.505</v>
      </c>
      <c r="AB72" s="432">
        <f t="shared" si="5"/>
        <v>48.345908299477657</v>
      </c>
      <c r="AC72" s="670">
        <f t="shared" si="1"/>
        <v>30.803212851405615</v>
      </c>
      <c r="AD72" s="956">
        <v>30</v>
      </c>
      <c r="AE72" s="432">
        <f t="shared" si="10"/>
        <v>509.1465</v>
      </c>
      <c r="AF72" s="449"/>
    </row>
    <row r="73" spans="1:32" ht="18.75" customHeight="1" x14ac:dyDescent="0.2">
      <c r="A73" s="956">
        <v>59</v>
      </c>
      <c r="B73" s="461" t="s">
        <v>217</v>
      </c>
      <c r="C73" s="956" t="s">
        <v>46</v>
      </c>
      <c r="D73" s="956">
        <v>684.57</v>
      </c>
      <c r="E73" s="956" t="s">
        <v>359</v>
      </c>
      <c r="F73" s="956">
        <v>177.8</v>
      </c>
      <c r="G73" s="956" t="s">
        <v>28</v>
      </c>
      <c r="H73" s="956" t="s">
        <v>219</v>
      </c>
      <c r="I73" s="953">
        <v>555.95000000000005</v>
      </c>
      <c r="J73" s="956">
        <v>347</v>
      </c>
      <c r="K73" s="956"/>
      <c r="L73" s="956">
        <v>247</v>
      </c>
      <c r="M73" s="956"/>
      <c r="N73" s="956">
        <v>7.8</v>
      </c>
      <c r="O73" s="956"/>
      <c r="P73" s="668">
        <v>41.438378105169761</v>
      </c>
      <c r="Q73" s="668">
        <f t="shared" si="9"/>
        <v>41.64</v>
      </c>
      <c r="R73" s="432">
        <v>3.19</v>
      </c>
      <c r="S73" s="432">
        <v>15.1</v>
      </c>
      <c r="T73" s="670">
        <v>31.263000000000002</v>
      </c>
      <c r="U73" s="668">
        <f t="shared" si="8"/>
        <v>9.8003134796238243</v>
      </c>
      <c r="V73" s="668">
        <f t="shared" si="3"/>
        <v>78.874172185430467</v>
      </c>
      <c r="W73" s="668">
        <v>0.3</v>
      </c>
      <c r="X73" s="432">
        <f t="shared" si="7"/>
        <v>0.36263208453410178</v>
      </c>
      <c r="Y73" s="432">
        <f t="shared" si="4"/>
        <v>3.14215</v>
      </c>
      <c r="Z73" s="432">
        <f t="shared" si="4"/>
        <v>14.8735</v>
      </c>
      <c r="AA73" s="670">
        <f t="shared" si="4"/>
        <v>30.794055</v>
      </c>
      <c r="AB73" s="432">
        <f t="shared" si="5"/>
        <v>9.8003134796238243</v>
      </c>
      <c r="AC73" s="670">
        <f t="shared" si="1"/>
        <v>78.874172185430467</v>
      </c>
      <c r="AD73" s="956">
        <v>30</v>
      </c>
      <c r="AE73" s="432">
        <f t="shared" si="10"/>
        <v>94.264499999999998</v>
      </c>
      <c r="AF73" s="449"/>
    </row>
    <row r="74" spans="1:32" ht="18.75" customHeight="1" x14ac:dyDescent="0.2">
      <c r="A74" s="956">
        <v>60</v>
      </c>
      <c r="B74" s="461" t="s">
        <v>211</v>
      </c>
      <c r="C74" s="956" t="s">
        <v>46</v>
      </c>
      <c r="D74" s="956">
        <v>675.29</v>
      </c>
      <c r="E74" s="956" t="s">
        <v>224</v>
      </c>
      <c r="F74" s="956">
        <v>177.8</v>
      </c>
      <c r="G74" s="956" t="s">
        <v>28</v>
      </c>
      <c r="H74" s="956" t="s">
        <v>384</v>
      </c>
      <c r="I74" s="953">
        <v>554.95999999999981</v>
      </c>
      <c r="J74" s="956">
        <v>200</v>
      </c>
      <c r="K74" s="956"/>
      <c r="L74" s="956">
        <v>421</v>
      </c>
      <c r="M74" s="956"/>
      <c r="N74" s="956">
        <v>0.3</v>
      </c>
      <c r="O74" s="956"/>
      <c r="P74" s="668">
        <v>15.428088037686818</v>
      </c>
      <c r="Q74" s="668">
        <f>(22*J74)/100</f>
        <v>44</v>
      </c>
      <c r="R74" s="432">
        <v>2.4</v>
      </c>
      <c r="S74" s="432">
        <v>5.9</v>
      </c>
      <c r="T74" s="670">
        <v>0</v>
      </c>
      <c r="U74" s="668">
        <f t="shared" si="8"/>
        <v>0</v>
      </c>
      <c r="V74" s="668">
        <f t="shared" si="3"/>
        <v>59.322033898305094</v>
      </c>
      <c r="W74" s="668">
        <v>0.2</v>
      </c>
      <c r="X74" s="432">
        <f t="shared" si="7"/>
        <v>0.13409090909090909</v>
      </c>
      <c r="Y74" s="432">
        <f t="shared" si="4"/>
        <v>2.3639999999999999</v>
      </c>
      <c r="Z74" s="432">
        <f t="shared" si="4"/>
        <v>5.8115000000000006</v>
      </c>
      <c r="AA74" s="670">
        <f t="shared" si="4"/>
        <v>0</v>
      </c>
      <c r="AB74" s="432">
        <f t="shared" si="5"/>
        <v>0</v>
      </c>
      <c r="AC74" s="670">
        <f t="shared" si="1"/>
        <v>59.322033898305094</v>
      </c>
      <c r="AD74" s="956">
        <v>30</v>
      </c>
      <c r="AE74" s="432">
        <f t="shared" si="10"/>
        <v>70.92</v>
      </c>
      <c r="AF74" s="449"/>
    </row>
    <row r="75" spans="1:32" ht="18.600000000000001" customHeight="1" x14ac:dyDescent="0.2">
      <c r="A75" s="956">
        <v>61</v>
      </c>
      <c r="B75" s="461" t="s">
        <v>341</v>
      </c>
      <c r="C75" s="956" t="s">
        <v>46</v>
      </c>
      <c r="D75" s="956">
        <v>683.16</v>
      </c>
      <c r="E75" s="956" t="s">
        <v>343</v>
      </c>
      <c r="F75" s="956">
        <v>177.8</v>
      </c>
      <c r="G75" s="956" t="s">
        <v>28</v>
      </c>
      <c r="H75" s="956" t="s">
        <v>342</v>
      </c>
      <c r="I75" s="953">
        <v>571.9</v>
      </c>
      <c r="J75" s="956">
        <v>245</v>
      </c>
      <c r="K75" s="956"/>
      <c r="L75" s="956">
        <v>257</v>
      </c>
      <c r="M75" s="956"/>
      <c r="N75" s="956">
        <v>9.1</v>
      </c>
      <c r="O75" s="956"/>
      <c r="P75" s="668">
        <v>33.844362638741266</v>
      </c>
      <c r="Q75" s="668">
        <f>(20*J75)/100</f>
        <v>49</v>
      </c>
      <c r="R75" s="432">
        <v>28.15</v>
      </c>
      <c r="S75" s="432">
        <v>39.328499999999998</v>
      </c>
      <c r="T75" s="670">
        <v>568.68399999999997</v>
      </c>
      <c r="U75" s="668">
        <f t="shared" si="8"/>
        <v>20.201918294849023</v>
      </c>
      <c r="V75" s="668">
        <f t="shared" si="3"/>
        <v>28.423407961147767</v>
      </c>
      <c r="W75" s="668">
        <v>0.3</v>
      </c>
      <c r="X75" s="432">
        <f t="shared" si="7"/>
        <v>0.80262244897959178</v>
      </c>
      <c r="Y75" s="432">
        <f t="shared" si="4"/>
        <v>27.727749999999997</v>
      </c>
      <c r="Z75" s="432">
        <f t="shared" si="4"/>
        <v>38.738572499999997</v>
      </c>
      <c r="AA75" s="670">
        <f t="shared" si="4"/>
        <v>560.15373999999997</v>
      </c>
      <c r="AB75" s="432">
        <f t="shared" si="5"/>
        <v>20.201918294849023</v>
      </c>
      <c r="AC75" s="670">
        <f t="shared" si="1"/>
        <v>28.423407961147767</v>
      </c>
      <c r="AD75" s="956">
        <v>30</v>
      </c>
      <c r="AE75" s="432">
        <f t="shared" si="10"/>
        <v>831.83249999999987</v>
      </c>
      <c r="AF75" s="449"/>
    </row>
    <row r="76" spans="1:32" ht="18.75" customHeight="1" x14ac:dyDescent="0.2">
      <c r="A76" s="956">
        <v>62</v>
      </c>
      <c r="B76" s="461" t="s">
        <v>354</v>
      </c>
      <c r="C76" s="956" t="s">
        <v>46</v>
      </c>
      <c r="D76" s="956">
        <v>634.29</v>
      </c>
      <c r="E76" s="832" t="s">
        <v>356</v>
      </c>
      <c r="F76" s="956">
        <v>178.8</v>
      </c>
      <c r="G76" s="956" t="s">
        <v>28</v>
      </c>
      <c r="H76" s="956" t="s">
        <v>366</v>
      </c>
      <c r="I76" s="953">
        <v>540.14</v>
      </c>
      <c r="J76" s="956">
        <v>250</v>
      </c>
      <c r="K76" s="956"/>
      <c r="L76" s="956">
        <v>318</v>
      </c>
      <c r="M76" s="956"/>
      <c r="N76" s="956">
        <v>10.3</v>
      </c>
      <c r="O76" s="956"/>
      <c r="P76" s="668">
        <v>31.539046577917098</v>
      </c>
      <c r="Q76" s="668">
        <f>(33*J76)/100</f>
        <v>82.5</v>
      </c>
      <c r="R76" s="432">
        <v>17.52</v>
      </c>
      <c r="S76" s="432">
        <v>51.4</v>
      </c>
      <c r="T76" s="670">
        <v>243.63200000000001</v>
      </c>
      <c r="U76" s="668">
        <f t="shared" si="8"/>
        <v>13.905936073059362</v>
      </c>
      <c r="V76" s="668">
        <f t="shared" si="3"/>
        <v>65.914396887159526</v>
      </c>
      <c r="W76" s="668">
        <v>0.3</v>
      </c>
      <c r="X76" s="432">
        <f t="shared" si="7"/>
        <v>0.62303030303030305</v>
      </c>
      <c r="Y76" s="432">
        <f t="shared" si="4"/>
        <v>17.257200000000001</v>
      </c>
      <c r="Z76" s="432">
        <f t="shared" si="4"/>
        <v>50.628999999999998</v>
      </c>
      <c r="AA76" s="670">
        <f t="shared" si="4"/>
        <v>239.97752</v>
      </c>
      <c r="AB76" s="432">
        <f t="shared" si="5"/>
        <v>13.905936073059362</v>
      </c>
      <c r="AC76" s="670">
        <f t="shared" si="1"/>
        <v>65.914396887159526</v>
      </c>
      <c r="AD76" s="956">
        <v>30</v>
      </c>
      <c r="AE76" s="432">
        <f t="shared" si="10"/>
        <v>517.71600000000001</v>
      </c>
      <c r="AF76" s="449"/>
    </row>
    <row r="77" spans="1:32" ht="18.75" customHeight="1" x14ac:dyDescent="0.2">
      <c r="A77" s="956">
        <v>63</v>
      </c>
      <c r="B77" s="461" t="s">
        <v>172</v>
      </c>
      <c r="C77" s="956" t="s">
        <v>46</v>
      </c>
      <c r="D77" s="956">
        <v>673</v>
      </c>
      <c r="E77" s="956" t="s">
        <v>173</v>
      </c>
      <c r="F77" s="956">
        <v>177.8</v>
      </c>
      <c r="G77" s="956" t="s">
        <v>28</v>
      </c>
      <c r="H77" s="956" t="s">
        <v>50</v>
      </c>
      <c r="I77" s="953">
        <v>560.79</v>
      </c>
      <c r="J77" s="956">
        <v>365</v>
      </c>
      <c r="K77" s="956"/>
      <c r="L77" s="956">
        <v>187</v>
      </c>
      <c r="M77" s="956"/>
      <c r="N77" s="956">
        <v>5.3</v>
      </c>
      <c r="O77" s="956"/>
      <c r="P77" s="448">
        <v>41.747635027370904</v>
      </c>
      <c r="Q77" s="668">
        <f>LEFT(H77,(FIND("K",H77,1)-1))*J77/100</f>
        <v>21.9</v>
      </c>
      <c r="R77" s="432">
        <v>0.63</v>
      </c>
      <c r="S77" s="432">
        <v>3.75</v>
      </c>
      <c r="T77" s="670">
        <v>0</v>
      </c>
      <c r="U77" s="668">
        <f t="shared" si="8"/>
        <v>0</v>
      </c>
      <c r="V77" s="668">
        <f t="shared" si="3"/>
        <v>83.2</v>
      </c>
      <c r="W77" s="668">
        <v>0.3</v>
      </c>
      <c r="X77" s="432">
        <f t="shared" si="7"/>
        <v>0.17123287671232879</v>
      </c>
      <c r="Y77" s="432">
        <f t="shared" si="4"/>
        <v>0.62055000000000005</v>
      </c>
      <c r="Z77" s="432">
        <f t="shared" si="4"/>
        <v>3.6937500000000001</v>
      </c>
      <c r="AA77" s="670">
        <f t="shared" si="4"/>
        <v>0</v>
      </c>
      <c r="AB77" s="432">
        <f t="shared" si="5"/>
        <v>0</v>
      </c>
      <c r="AC77" s="670">
        <f t="shared" si="1"/>
        <v>83.2</v>
      </c>
      <c r="AD77" s="956">
        <v>30</v>
      </c>
      <c r="AE77" s="432">
        <f>Y77*AD77</f>
        <v>18.616500000000002</v>
      </c>
      <c r="AF77" s="449"/>
    </row>
    <row r="78" spans="1:32" ht="18.75" customHeight="1" x14ac:dyDescent="0.25">
      <c r="A78" s="869"/>
      <c r="B78" s="962"/>
      <c r="C78" s="956"/>
      <c r="D78" s="953"/>
      <c r="E78" s="953"/>
      <c r="F78" s="461"/>
      <c r="G78" s="956"/>
      <c r="H78" s="956"/>
      <c r="I78" s="953"/>
      <c r="J78" s="953"/>
      <c r="K78" s="953"/>
      <c r="L78" s="953"/>
      <c r="M78" s="953"/>
      <c r="N78" s="956"/>
      <c r="O78" s="953"/>
      <c r="P78" s="668"/>
      <c r="Q78" s="448"/>
      <c r="R78" s="466">
        <f>SUM(R15:R77)</f>
        <v>395.38599999999991</v>
      </c>
      <c r="S78" s="466">
        <f>SUM(S15:S77)</f>
        <v>891.41110000000003</v>
      </c>
      <c r="T78" s="512">
        <f>SUM(T15:T77)</f>
        <v>11591.003999999999</v>
      </c>
      <c r="U78" s="466">
        <f>T78/R78</f>
        <v>29.31566620972923</v>
      </c>
      <c r="V78" s="466"/>
      <c r="W78" s="466"/>
      <c r="X78" s="466"/>
      <c r="Y78" s="466">
        <f>SUM(Y15:Y77)</f>
        <v>389.45521000000002</v>
      </c>
      <c r="Z78" s="466">
        <f>SUM(Z15:Z77)</f>
        <v>878.03993350000019</v>
      </c>
      <c r="AA78" s="678">
        <f>SUM(AA15:AA77)</f>
        <v>11417.138940000001</v>
      </c>
      <c r="AB78" s="466">
        <f>AA78/Y78</f>
        <v>29.315666209729226</v>
      </c>
      <c r="AC78" s="466"/>
      <c r="AD78" s="955"/>
      <c r="AE78" s="466">
        <f>SUM(AE15:AE77)</f>
        <v>11683.656299999999</v>
      </c>
      <c r="AF78" s="669"/>
    </row>
    <row r="79" spans="1:32" ht="18.75" customHeight="1" x14ac:dyDescent="0.25">
      <c r="A79" s="869"/>
      <c r="B79" s="962"/>
      <c r="C79" s="956"/>
      <c r="D79" s="953"/>
      <c r="E79" s="953"/>
      <c r="F79" s="461"/>
      <c r="G79" s="956"/>
      <c r="H79" s="956"/>
      <c r="I79" s="953"/>
      <c r="J79" s="953"/>
      <c r="K79" s="953"/>
      <c r="L79" s="953"/>
      <c r="M79" s="953"/>
      <c r="N79" s="956"/>
      <c r="O79" s="953"/>
      <c r="P79" s="668"/>
      <c r="Q79" s="448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955"/>
      <c r="AE79" s="466"/>
      <c r="AF79" s="669"/>
    </row>
    <row r="80" spans="1:32" ht="18.75" customHeight="1" x14ac:dyDescent="0.25">
      <c r="A80" s="869"/>
      <c r="B80" s="962"/>
      <c r="C80" s="956"/>
      <c r="D80" s="953"/>
      <c r="E80" s="952" t="s">
        <v>388</v>
      </c>
      <c r="F80" s="461"/>
      <c r="G80" s="956"/>
      <c r="H80" s="956"/>
      <c r="I80" s="953"/>
      <c r="J80" s="953"/>
      <c r="K80" s="953"/>
      <c r="L80" s="953"/>
      <c r="M80" s="953"/>
      <c r="N80" s="956"/>
      <c r="O80" s="953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955"/>
      <c r="AE80" s="466"/>
      <c r="AF80" s="669"/>
    </row>
    <row r="81" spans="1:32" ht="18.75" customHeight="1" x14ac:dyDescent="0.2">
      <c r="A81" s="956">
        <v>64</v>
      </c>
      <c r="B81" s="461" t="s">
        <v>423</v>
      </c>
      <c r="C81" s="956" t="s">
        <v>445</v>
      </c>
      <c r="D81" s="953">
        <v>683.8</v>
      </c>
      <c r="E81" s="953" t="s">
        <v>473</v>
      </c>
      <c r="F81" s="956">
        <v>177.8</v>
      </c>
      <c r="G81" s="956" t="s">
        <v>28</v>
      </c>
      <c r="H81" s="956" t="s">
        <v>48</v>
      </c>
      <c r="I81" s="953">
        <v>590.46</v>
      </c>
      <c r="J81" s="953">
        <v>280</v>
      </c>
      <c r="K81" s="953"/>
      <c r="L81" s="953">
        <v>557</v>
      </c>
      <c r="M81" s="953"/>
      <c r="N81" s="956">
        <v>28.8</v>
      </c>
      <c r="O81" s="953"/>
      <c r="P81" s="668">
        <v>48.498811966153276</v>
      </c>
      <c r="Q81" s="668">
        <f t="shared" ref="Q81:Q84" si="11">LEFT(H81,(FIND("K",H81,1)-1))*J81/100</f>
        <v>36.4</v>
      </c>
      <c r="R81" s="432">
        <v>23.29</v>
      </c>
      <c r="S81" s="432">
        <v>24.6</v>
      </c>
      <c r="T81" s="492">
        <v>850</v>
      </c>
      <c r="U81" s="668">
        <f t="shared" ref="U81:U83" si="12">T81/R81</f>
        <v>36.496350364963504</v>
      </c>
      <c r="V81" s="668">
        <f t="shared" ref="V81:V83" si="13">(S81-R81)/S81*100</f>
        <v>5.3252032520325292</v>
      </c>
      <c r="W81" s="668">
        <v>0.2</v>
      </c>
      <c r="X81" s="432">
        <f t="shared" ref="X81:X83" si="14">S81/Q81</f>
        <v>0.67582417582417587</v>
      </c>
      <c r="Y81" s="432">
        <f t="shared" ref="Y81:AA84" si="15">R81*0.985</f>
        <v>22.940649999999998</v>
      </c>
      <c r="Z81" s="432">
        <f t="shared" si="15"/>
        <v>24.231000000000002</v>
      </c>
      <c r="AA81" s="670">
        <f t="shared" si="15"/>
        <v>837.25</v>
      </c>
      <c r="AB81" s="432">
        <f t="shared" ref="AB81:AC84" si="16">U81</f>
        <v>36.496350364963504</v>
      </c>
      <c r="AC81" s="670">
        <f t="shared" si="16"/>
        <v>5.3252032520325292</v>
      </c>
      <c r="AD81" s="956">
        <v>30</v>
      </c>
      <c r="AE81" s="432">
        <f>Y81*AD81</f>
        <v>688.21949999999993</v>
      </c>
      <c r="AF81" s="669"/>
    </row>
    <row r="82" spans="1:32" ht="18.75" customHeight="1" x14ac:dyDescent="0.2">
      <c r="A82" s="956">
        <v>65</v>
      </c>
      <c r="B82" s="461" t="s">
        <v>213</v>
      </c>
      <c r="C82" s="956" t="s">
        <v>445</v>
      </c>
      <c r="D82" s="956">
        <v>690.8</v>
      </c>
      <c r="E82" s="956" t="s">
        <v>474</v>
      </c>
      <c r="F82" s="956">
        <v>177.8</v>
      </c>
      <c r="G82" s="956" t="s">
        <v>28</v>
      </c>
      <c r="H82" s="956" t="s">
        <v>218</v>
      </c>
      <c r="I82" s="953">
        <v>648.29999999999995</v>
      </c>
      <c r="J82" s="956">
        <v>100</v>
      </c>
      <c r="K82" s="956"/>
      <c r="L82" s="956">
        <v>365</v>
      </c>
      <c r="M82" s="956"/>
      <c r="N82" s="956">
        <v>8.6999999999999993</v>
      </c>
      <c r="O82" s="956"/>
      <c r="P82" s="668">
        <v>36.537390831462979</v>
      </c>
      <c r="Q82" s="668">
        <f t="shared" si="11"/>
        <v>32</v>
      </c>
      <c r="R82" s="432">
        <v>14.38</v>
      </c>
      <c r="S82" s="432">
        <v>22</v>
      </c>
      <c r="T82" s="670">
        <v>326</v>
      </c>
      <c r="U82" s="668">
        <f t="shared" si="12"/>
        <v>22.670375521557716</v>
      </c>
      <c r="V82" s="668">
        <f t="shared" si="13"/>
        <v>34.636363636363633</v>
      </c>
      <c r="W82" s="668">
        <v>0.2</v>
      </c>
      <c r="X82" s="432">
        <f t="shared" si="14"/>
        <v>0.6875</v>
      </c>
      <c r="Y82" s="432">
        <f t="shared" si="15"/>
        <v>14.164300000000001</v>
      </c>
      <c r="Z82" s="432">
        <f t="shared" si="15"/>
        <v>21.669999999999998</v>
      </c>
      <c r="AA82" s="670">
        <f t="shared" si="15"/>
        <v>321.11</v>
      </c>
      <c r="AB82" s="432">
        <f t="shared" si="16"/>
        <v>22.670375521557716</v>
      </c>
      <c r="AC82" s="670">
        <f>V82</f>
        <v>34.636363636363633</v>
      </c>
      <c r="AD82" s="956">
        <v>30</v>
      </c>
      <c r="AE82" s="432">
        <f t="shared" ref="AE82" si="17">Y82*AD82</f>
        <v>424.92900000000003</v>
      </c>
      <c r="AF82" s="669"/>
    </row>
    <row r="83" spans="1:32" ht="18.600000000000001" customHeight="1" x14ac:dyDescent="0.2">
      <c r="A83" s="956">
        <v>66</v>
      </c>
      <c r="B83" s="461" t="s">
        <v>451</v>
      </c>
      <c r="C83" s="956" t="s">
        <v>445</v>
      </c>
      <c r="D83" s="953">
        <v>683.2700000000001</v>
      </c>
      <c r="E83" s="953" t="s">
        <v>475</v>
      </c>
      <c r="F83" s="956">
        <v>177.8</v>
      </c>
      <c r="G83" s="956" t="s">
        <v>28</v>
      </c>
      <c r="H83" s="956" t="s">
        <v>218</v>
      </c>
      <c r="I83" s="953">
        <v>618.30999999999995</v>
      </c>
      <c r="J83" s="953">
        <v>250</v>
      </c>
      <c r="K83" s="953"/>
      <c r="L83" s="953">
        <v>582</v>
      </c>
      <c r="M83" s="953"/>
      <c r="N83" s="956">
        <v>25.3</v>
      </c>
      <c r="O83" s="953"/>
      <c r="P83" s="668">
        <v>31.889079761431368</v>
      </c>
      <c r="Q83" s="668">
        <f t="shared" si="11"/>
        <v>80</v>
      </c>
      <c r="R83" s="432">
        <v>19.995000000000001</v>
      </c>
      <c r="S83" s="432">
        <v>21.492000000000001</v>
      </c>
      <c r="T83" s="492">
        <v>2399</v>
      </c>
      <c r="U83" s="668">
        <f t="shared" si="12"/>
        <v>119.97999499874967</v>
      </c>
      <c r="V83" s="668">
        <f t="shared" si="13"/>
        <v>6.9653824678950302</v>
      </c>
      <c r="W83" s="668">
        <v>0.2</v>
      </c>
      <c r="X83" s="432">
        <f t="shared" si="14"/>
        <v>0.26865</v>
      </c>
      <c r="Y83" s="432">
        <f t="shared" si="15"/>
        <v>19.695074999999999</v>
      </c>
      <c r="Z83" s="432">
        <f t="shared" si="15"/>
        <v>21.169620000000002</v>
      </c>
      <c r="AA83" s="670">
        <f t="shared" si="15"/>
        <v>2363.0149999999999</v>
      </c>
      <c r="AB83" s="668">
        <f t="shared" si="16"/>
        <v>119.97999499874967</v>
      </c>
      <c r="AC83" s="670">
        <f t="shared" si="16"/>
        <v>6.9653824678950302</v>
      </c>
      <c r="AD83" s="956">
        <v>30</v>
      </c>
      <c r="AE83" s="432">
        <f>Y83*AD83</f>
        <v>590.85225000000003</v>
      </c>
      <c r="AF83" s="669"/>
    </row>
    <row r="84" spans="1:32" ht="18.75" customHeight="1" x14ac:dyDescent="0.2">
      <c r="A84" s="956">
        <v>67</v>
      </c>
      <c r="B84" s="461" t="s">
        <v>424</v>
      </c>
      <c r="C84" s="956" t="s">
        <v>445</v>
      </c>
      <c r="D84" s="953">
        <v>691</v>
      </c>
      <c r="E84" s="953" t="s">
        <v>476</v>
      </c>
      <c r="F84" s="956">
        <v>177.8</v>
      </c>
      <c r="G84" s="956" t="s">
        <v>28</v>
      </c>
      <c r="H84" s="956" t="s">
        <v>48</v>
      </c>
      <c r="I84" s="953">
        <v>657.25</v>
      </c>
      <c r="J84" s="953">
        <v>0</v>
      </c>
      <c r="K84" s="953"/>
      <c r="L84" s="953"/>
      <c r="M84" s="953"/>
      <c r="N84" s="956"/>
      <c r="O84" s="953"/>
      <c r="P84" s="668"/>
      <c r="Q84" s="668">
        <f t="shared" si="11"/>
        <v>0</v>
      </c>
      <c r="R84" s="432">
        <v>0</v>
      </c>
      <c r="S84" s="432">
        <v>0</v>
      </c>
      <c r="T84" s="492">
        <v>0</v>
      </c>
      <c r="U84" s="668">
        <v>0</v>
      </c>
      <c r="V84" s="668">
        <v>0</v>
      </c>
      <c r="W84" s="668">
        <v>0.2</v>
      </c>
      <c r="X84" s="432">
        <v>0</v>
      </c>
      <c r="Y84" s="432">
        <v>0</v>
      </c>
      <c r="Z84" s="432">
        <f t="shared" si="15"/>
        <v>0</v>
      </c>
      <c r="AA84" s="670">
        <f>T84*0.985</f>
        <v>0</v>
      </c>
      <c r="AB84" s="432">
        <f t="shared" si="16"/>
        <v>0</v>
      </c>
      <c r="AC84" s="670">
        <f t="shared" si="16"/>
        <v>0</v>
      </c>
      <c r="AD84" s="956">
        <v>0</v>
      </c>
      <c r="AE84" s="432">
        <f>Y84*AD84</f>
        <v>0</v>
      </c>
      <c r="AF84" s="669"/>
    </row>
    <row r="85" spans="1:32" ht="18.75" customHeight="1" x14ac:dyDescent="0.25">
      <c r="A85" s="956">
        <v>68</v>
      </c>
      <c r="B85" s="461" t="s">
        <v>155</v>
      </c>
      <c r="C85" s="956" t="s">
        <v>415</v>
      </c>
      <c r="D85" s="956">
        <v>513.9</v>
      </c>
      <c r="E85" s="956" t="s">
        <v>477</v>
      </c>
      <c r="F85" s="956">
        <v>177.8</v>
      </c>
      <c r="G85" s="956"/>
      <c r="H85" s="956"/>
      <c r="I85" s="953">
        <v>9.5</v>
      </c>
      <c r="J85" s="953"/>
      <c r="K85" s="953"/>
      <c r="L85" s="953"/>
      <c r="M85" s="953"/>
      <c r="N85" s="956"/>
      <c r="O85" s="953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956">
        <v>69</v>
      </c>
      <c r="B86" s="461" t="s">
        <v>465</v>
      </c>
      <c r="C86" s="956" t="s">
        <v>46</v>
      </c>
      <c r="D86" s="956">
        <v>571.91</v>
      </c>
      <c r="E86" s="956" t="s">
        <v>478</v>
      </c>
      <c r="F86" s="956">
        <v>177.8</v>
      </c>
      <c r="G86" s="956"/>
      <c r="H86" s="831"/>
      <c r="I86" s="953">
        <v>9.5</v>
      </c>
      <c r="J86" s="953"/>
      <c r="K86" s="953"/>
      <c r="L86" s="953"/>
      <c r="M86" s="953"/>
      <c r="N86" s="956"/>
      <c r="O86" s="953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955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956"/>
      <c r="H87" s="956"/>
      <c r="I87" s="956"/>
      <c r="J87" s="953"/>
      <c r="K87" s="953"/>
      <c r="L87" s="953"/>
      <c r="M87" s="953"/>
      <c r="N87" s="953"/>
      <c r="O87" s="953"/>
      <c r="P87" s="448"/>
      <c r="Q87" s="448"/>
      <c r="R87" s="466">
        <f>SUM(R81:R84)</f>
        <v>57.665000000000006</v>
      </c>
      <c r="S87" s="466">
        <f>SUM(S81:S84)</f>
        <v>68.091999999999999</v>
      </c>
      <c r="T87" s="512">
        <f>SUM(T81:T84)</f>
        <v>3575</v>
      </c>
      <c r="U87" s="466">
        <f>T87/R87</f>
        <v>61.996011445417494</v>
      </c>
      <c r="V87" s="466"/>
      <c r="W87" s="466"/>
      <c r="X87" s="466"/>
      <c r="Y87" s="466">
        <f>SUM(Y81:Y84)</f>
        <v>56.800025000000005</v>
      </c>
      <c r="Z87" s="466">
        <f>SUM(Z81:Z84)</f>
        <v>67.070619999999991</v>
      </c>
      <c r="AA87" s="678">
        <f>SUM(AA81:AA84)</f>
        <v>3521.375</v>
      </c>
      <c r="AB87" s="466">
        <f>AA87/Y87</f>
        <v>61.996011445417494</v>
      </c>
      <c r="AC87" s="466"/>
      <c r="AD87" s="955"/>
      <c r="AE87" s="466">
        <f>SUM(AE81:AE84)</f>
        <v>1704.0007500000002</v>
      </c>
      <c r="AF87" s="669"/>
    </row>
    <row r="88" spans="1:32" ht="18.75" customHeight="1" x14ac:dyDescent="0.25">
      <c r="A88" s="870"/>
      <c r="B88" s="873"/>
      <c r="C88" s="850"/>
      <c r="D88" s="850"/>
      <c r="E88" s="957" t="s">
        <v>470</v>
      </c>
      <c r="F88" s="853"/>
      <c r="G88" s="948"/>
      <c r="H88" s="952"/>
      <c r="I88" s="952"/>
      <c r="J88" s="953"/>
      <c r="K88" s="953"/>
      <c r="L88" s="953"/>
      <c r="M88" s="953"/>
      <c r="N88" s="953"/>
      <c r="O88" s="953"/>
      <c r="P88" s="448"/>
      <c r="Q88" s="448"/>
      <c r="R88" s="953"/>
      <c r="S88" s="437"/>
      <c r="T88" s="953"/>
      <c r="U88" s="948"/>
      <c r="V88" s="948"/>
      <c r="W88" s="948"/>
      <c r="X88" s="421"/>
      <c r="Y88" s="953"/>
      <c r="Z88" s="953"/>
      <c r="AA88" s="953"/>
      <c r="AB88" s="948"/>
      <c r="AC88" s="948"/>
      <c r="AD88" s="953"/>
      <c r="AE88" s="953"/>
      <c r="AF88" s="952"/>
    </row>
    <row r="89" spans="1:32" ht="18.75" customHeight="1" x14ac:dyDescent="0.2">
      <c r="A89" s="954">
        <v>70</v>
      </c>
      <c r="B89" s="962" t="s">
        <v>131</v>
      </c>
      <c r="C89" s="954" t="s">
        <v>313</v>
      </c>
      <c r="D89" s="956">
        <v>389.74</v>
      </c>
      <c r="E89" s="679" t="s">
        <v>136</v>
      </c>
      <c r="F89" s="956">
        <v>177.8</v>
      </c>
      <c r="G89" s="956" t="s">
        <v>28</v>
      </c>
      <c r="H89" s="956" t="s">
        <v>485</v>
      </c>
      <c r="I89" s="953">
        <v>132.27000000000001</v>
      </c>
      <c r="J89" s="953">
        <v>85</v>
      </c>
      <c r="K89" s="956"/>
      <c r="L89" s="956">
        <v>47</v>
      </c>
      <c r="M89" s="956"/>
      <c r="N89" s="956">
        <v>0.5</v>
      </c>
      <c r="O89" s="956"/>
      <c r="P89" s="668">
        <v>13.692691261550211</v>
      </c>
      <c r="Q89" s="448">
        <f>(15*J89)/100</f>
        <v>12.75</v>
      </c>
      <c r="R89" s="432">
        <v>7.67</v>
      </c>
      <c r="S89" s="432">
        <v>10.816599999999999</v>
      </c>
      <c r="T89" s="432">
        <v>0</v>
      </c>
      <c r="U89" s="432">
        <f>T89/R89</f>
        <v>0</v>
      </c>
      <c r="V89" s="432">
        <f t="shared" ref="V89:V92" si="18">(S89-R89)/S89*100</f>
        <v>29.090472052216032</v>
      </c>
      <c r="W89" s="432">
        <v>0.3</v>
      </c>
      <c r="X89" s="432">
        <f t="shared" ref="X89:X92" si="19">S89/Q89</f>
        <v>0.84836078431372541</v>
      </c>
      <c r="Y89" s="432">
        <f>R89*0.985</f>
        <v>7.5549499999999998</v>
      </c>
      <c r="Z89" s="432">
        <f>S89*0.985</f>
        <v>10.654350999999998</v>
      </c>
      <c r="AA89" s="432">
        <f>T89*0.985</f>
        <v>0</v>
      </c>
      <c r="AB89" s="432">
        <f t="shared" ref="AB89:AC92" si="20">U89</f>
        <v>0</v>
      </c>
      <c r="AC89" s="432">
        <f t="shared" si="20"/>
        <v>29.090472052216032</v>
      </c>
      <c r="AD89" s="956">
        <v>30</v>
      </c>
      <c r="AE89" s="432">
        <f t="shared" ref="AE89:AE92" si="21">Y89*AD89</f>
        <v>226.64849999999998</v>
      </c>
      <c r="AF89" s="449"/>
    </row>
    <row r="90" spans="1:32" ht="18.75" customHeight="1" x14ac:dyDescent="0.2">
      <c r="A90" s="954">
        <v>71</v>
      </c>
      <c r="B90" s="962" t="s">
        <v>132</v>
      </c>
      <c r="C90" s="954" t="s">
        <v>313</v>
      </c>
      <c r="D90" s="956">
        <v>387.72</v>
      </c>
      <c r="E90" s="679" t="s">
        <v>135</v>
      </c>
      <c r="F90" s="956">
        <v>177.8</v>
      </c>
      <c r="G90" s="956" t="s">
        <v>28</v>
      </c>
      <c r="H90" s="956" t="s">
        <v>485</v>
      </c>
      <c r="I90" s="953">
        <v>130.34</v>
      </c>
      <c r="J90" s="956">
        <v>85</v>
      </c>
      <c r="K90" s="956"/>
      <c r="L90" s="956">
        <v>51</v>
      </c>
      <c r="M90" s="956"/>
      <c r="N90" s="956">
        <v>0</v>
      </c>
      <c r="O90" s="956"/>
      <c r="P90" s="668">
        <v>9.6679061162874635</v>
      </c>
      <c r="Q90" s="448">
        <f>(15*J90)/100</f>
        <v>12.75</v>
      </c>
      <c r="R90" s="432">
        <v>5.91</v>
      </c>
      <c r="S90" s="432">
        <v>9.3000000000000007</v>
      </c>
      <c r="T90" s="432">
        <v>0</v>
      </c>
      <c r="U90" s="432">
        <f>T90/R90</f>
        <v>0</v>
      </c>
      <c r="V90" s="432">
        <f t="shared" si="18"/>
        <v>36.451612903225808</v>
      </c>
      <c r="W90" s="432">
        <v>0.2</v>
      </c>
      <c r="X90" s="432">
        <f t="shared" si="19"/>
        <v>0.72941176470588243</v>
      </c>
      <c r="Y90" s="432">
        <f t="shared" ref="Y90:AA92" si="22">R90*0.985</f>
        <v>5.8213499999999998</v>
      </c>
      <c r="Z90" s="432">
        <f t="shared" si="22"/>
        <v>9.1605000000000008</v>
      </c>
      <c r="AA90" s="432">
        <f t="shared" si="22"/>
        <v>0</v>
      </c>
      <c r="AB90" s="432">
        <v>0</v>
      </c>
      <c r="AC90" s="432">
        <f>V90</f>
        <v>36.451612903225808</v>
      </c>
      <c r="AD90" s="956">
        <v>30</v>
      </c>
      <c r="AE90" s="432">
        <f t="shared" si="21"/>
        <v>174.6405</v>
      </c>
      <c r="AF90" s="449"/>
    </row>
    <row r="91" spans="1:32" ht="18.75" customHeight="1" x14ac:dyDescent="0.2">
      <c r="A91" s="954">
        <v>72</v>
      </c>
      <c r="B91" s="962" t="s">
        <v>121</v>
      </c>
      <c r="C91" s="954" t="s">
        <v>313</v>
      </c>
      <c r="D91" s="956">
        <v>389.57</v>
      </c>
      <c r="E91" s="956" t="s">
        <v>137</v>
      </c>
      <c r="F91" s="956">
        <v>177.8</v>
      </c>
      <c r="G91" s="956" t="s">
        <v>28</v>
      </c>
      <c r="H91" s="831" t="s">
        <v>466</v>
      </c>
      <c r="I91" s="953">
        <v>133.79</v>
      </c>
      <c r="J91" s="956">
        <v>85</v>
      </c>
      <c r="K91" s="956"/>
      <c r="L91" s="956">
        <v>51</v>
      </c>
      <c r="M91" s="956"/>
      <c r="N91" s="956">
        <v>0</v>
      </c>
      <c r="O91" s="956"/>
      <c r="P91" s="668">
        <v>12.138710570663264</v>
      </c>
      <c r="Q91" s="448">
        <f>(13*J91)/100</f>
        <v>11.05</v>
      </c>
      <c r="R91" s="432">
        <v>4.9000000000000004</v>
      </c>
      <c r="S91" s="432">
        <v>9.4320000000000004</v>
      </c>
      <c r="T91" s="432">
        <v>0</v>
      </c>
      <c r="U91" s="432">
        <v>0</v>
      </c>
      <c r="V91" s="432">
        <v>75</v>
      </c>
      <c r="W91" s="432">
        <v>0.3</v>
      </c>
      <c r="X91" s="432">
        <f>S91/Q91</f>
        <v>0.85357466063348419</v>
      </c>
      <c r="Y91" s="432">
        <f t="shared" si="22"/>
        <v>4.8265000000000002</v>
      </c>
      <c r="Z91" s="432">
        <f t="shared" si="22"/>
        <v>9.2905200000000008</v>
      </c>
      <c r="AA91" s="432">
        <f t="shared" si="22"/>
        <v>0</v>
      </c>
      <c r="AB91" s="432">
        <v>0</v>
      </c>
      <c r="AC91" s="432">
        <v>47</v>
      </c>
      <c r="AD91" s="956">
        <v>30</v>
      </c>
      <c r="AE91" s="432">
        <f t="shared" si="21"/>
        <v>144.79500000000002</v>
      </c>
      <c r="AF91" s="669"/>
    </row>
    <row r="92" spans="1:32" ht="18.75" customHeight="1" x14ac:dyDescent="0.2">
      <c r="A92" s="954">
        <v>73</v>
      </c>
      <c r="B92" s="962" t="s">
        <v>122</v>
      </c>
      <c r="C92" s="954" t="s">
        <v>313</v>
      </c>
      <c r="D92" s="956">
        <v>391.06</v>
      </c>
      <c r="E92" s="956" t="s">
        <v>138</v>
      </c>
      <c r="F92" s="956">
        <v>177.8</v>
      </c>
      <c r="G92" s="956" t="s">
        <v>28</v>
      </c>
      <c r="H92" s="956" t="s">
        <v>488</v>
      </c>
      <c r="I92" s="432">
        <v>150.38</v>
      </c>
      <c r="J92" s="956">
        <v>75</v>
      </c>
      <c r="K92" s="955"/>
      <c r="L92" s="956">
        <v>59</v>
      </c>
      <c r="M92" s="955"/>
      <c r="N92" s="956">
        <v>0.4</v>
      </c>
      <c r="O92" s="955"/>
      <c r="P92" s="668">
        <v>7.2327002756208305</v>
      </c>
      <c r="Q92" s="448">
        <f>(40*J92)/100</f>
        <v>30</v>
      </c>
      <c r="R92" s="432">
        <v>6.49</v>
      </c>
      <c r="S92" s="432">
        <v>9.1</v>
      </c>
      <c r="T92" s="432">
        <v>0</v>
      </c>
      <c r="U92" s="432">
        <f>T92/R92</f>
        <v>0</v>
      </c>
      <c r="V92" s="432">
        <f t="shared" si="18"/>
        <v>28.681318681318675</v>
      </c>
      <c r="W92" s="432">
        <v>0.6</v>
      </c>
      <c r="X92" s="432">
        <f t="shared" si="19"/>
        <v>0.30333333333333334</v>
      </c>
      <c r="Y92" s="432">
        <f t="shared" si="22"/>
        <v>6.3926499999999997</v>
      </c>
      <c r="Z92" s="432">
        <f t="shared" si="22"/>
        <v>8.9634999999999998</v>
      </c>
      <c r="AA92" s="432">
        <f t="shared" si="22"/>
        <v>0</v>
      </c>
      <c r="AB92" s="432">
        <f t="shared" si="20"/>
        <v>0</v>
      </c>
      <c r="AC92" s="432">
        <f t="shared" si="20"/>
        <v>28.681318681318675</v>
      </c>
      <c r="AD92" s="956">
        <v>30</v>
      </c>
      <c r="AE92" s="432">
        <f t="shared" si="21"/>
        <v>191.77949999999998</v>
      </c>
      <c r="AF92" s="680"/>
    </row>
    <row r="93" spans="1:32" ht="18.75" customHeight="1" x14ac:dyDescent="0.2">
      <c r="A93" s="954">
        <v>74</v>
      </c>
      <c r="B93" s="962" t="s">
        <v>188</v>
      </c>
      <c r="C93" s="954" t="s">
        <v>344</v>
      </c>
      <c r="D93" s="956">
        <v>400.5</v>
      </c>
      <c r="E93" s="956" t="s">
        <v>345</v>
      </c>
      <c r="F93" s="956">
        <v>177.8</v>
      </c>
      <c r="G93" s="956"/>
      <c r="H93" s="956"/>
      <c r="I93" s="432"/>
      <c r="J93" s="956"/>
      <c r="K93" s="955"/>
      <c r="L93" s="956"/>
      <c r="M93" s="955"/>
      <c r="N93" s="956"/>
      <c r="O93" s="955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956"/>
      <c r="AE93" s="432"/>
      <c r="AF93" s="669"/>
    </row>
    <row r="94" spans="1:32" ht="18.75" customHeight="1" x14ac:dyDescent="0.2">
      <c r="A94" s="954">
        <v>75</v>
      </c>
      <c r="B94" s="962" t="s">
        <v>186</v>
      </c>
      <c r="C94" s="954" t="s">
        <v>346</v>
      </c>
      <c r="D94" s="956">
        <v>349.5</v>
      </c>
      <c r="E94" s="461" t="s">
        <v>347</v>
      </c>
      <c r="F94" s="956">
        <v>177.8</v>
      </c>
      <c r="G94" s="956"/>
      <c r="H94" s="956"/>
      <c r="I94" s="432"/>
      <c r="J94" s="956"/>
      <c r="K94" s="956"/>
      <c r="L94" s="956"/>
      <c r="M94" s="955"/>
      <c r="N94" s="956"/>
      <c r="O94" s="955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956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953"/>
      <c r="G95" s="948"/>
      <c r="H95" s="952"/>
      <c r="I95" s="952"/>
      <c r="J95" s="953"/>
      <c r="K95" s="953"/>
      <c r="L95" s="953"/>
      <c r="M95" s="953"/>
      <c r="N95" s="953"/>
      <c r="O95" s="953"/>
      <c r="P95" s="448"/>
      <c r="Q95" s="448"/>
      <c r="R95" s="466">
        <f>SUM(R89:R94)</f>
        <v>24.97</v>
      </c>
      <c r="S95" s="466">
        <f>SUM(S89:S94)</f>
        <v>38.648600000000002</v>
      </c>
      <c r="T95" s="466">
        <f>SUM(T89:T92)</f>
        <v>0</v>
      </c>
      <c r="U95" s="466">
        <f>SUM(U89:U92)</f>
        <v>0</v>
      </c>
      <c r="V95" s="948"/>
      <c r="W95" s="948"/>
      <c r="X95" s="948"/>
      <c r="Y95" s="466">
        <f>SUM(Y89:Y94)</f>
        <v>24.59545</v>
      </c>
      <c r="Z95" s="466">
        <f>SUM(Z89:Z94)</f>
        <v>38.068871000000001</v>
      </c>
      <c r="AA95" s="466">
        <f>SUM(AA89:AA92)</f>
        <v>0</v>
      </c>
      <c r="AB95" s="466">
        <v>0</v>
      </c>
      <c r="AC95" s="948"/>
      <c r="AD95" s="953"/>
      <c r="AE95" s="466">
        <f>SUM(AE89:AE94)</f>
        <v>737.86350000000004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955"/>
      <c r="G96" s="956"/>
      <c r="H96" s="956"/>
      <c r="I96" s="432"/>
      <c r="J96" s="956"/>
      <c r="K96" s="955"/>
      <c r="L96" s="956"/>
      <c r="M96" s="955"/>
      <c r="N96" s="668"/>
      <c r="O96" s="955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948"/>
      <c r="H97" s="952"/>
      <c r="I97" s="952"/>
      <c r="J97" s="953"/>
      <c r="K97" s="953"/>
      <c r="L97" s="953"/>
      <c r="M97" s="953"/>
      <c r="N97" s="953"/>
      <c r="O97" s="953"/>
      <c r="P97" s="448"/>
      <c r="Q97" s="448"/>
      <c r="R97" s="953"/>
      <c r="S97" s="953"/>
      <c r="T97" s="953"/>
      <c r="U97" s="948"/>
      <c r="V97" s="948"/>
      <c r="W97" s="948"/>
      <c r="X97" s="948"/>
      <c r="Y97" s="953"/>
      <c r="Z97" s="953"/>
      <c r="AA97" s="953"/>
      <c r="AB97" s="948"/>
      <c r="AC97" s="948"/>
      <c r="AD97" s="953"/>
      <c r="AE97" s="953"/>
      <c r="AF97" s="952"/>
    </row>
    <row r="98" spans="1:32" ht="18.75" customHeight="1" x14ac:dyDescent="0.2">
      <c r="A98" s="956">
        <v>76</v>
      </c>
      <c r="B98" s="961" t="s">
        <v>107</v>
      </c>
      <c r="C98" s="953" t="s">
        <v>109</v>
      </c>
      <c r="D98" s="953"/>
      <c r="E98" s="953"/>
      <c r="F98" s="953"/>
      <c r="G98" s="948"/>
      <c r="H98" s="952"/>
      <c r="I98" s="952"/>
      <c r="J98" s="953"/>
      <c r="K98" s="953"/>
      <c r="L98" s="953"/>
      <c r="M98" s="953"/>
      <c r="N98" s="953"/>
      <c r="O98" s="953"/>
      <c r="P98" s="448"/>
      <c r="Q98" s="448"/>
      <c r="R98" s="953"/>
      <c r="S98" s="953"/>
      <c r="T98" s="953"/>
      <c r="U98" s="948"/>
      <c r="V98" s="948"/>
      <c r="W98" s="948"/>
      <c r="X98" s="948"/>
      <c r="Y98" s="952"/>
      <c r="Z98" s="952"/>
      <c r="AA98" s="953"/>
      <c r="AB98" s="948"/>
      <c r="AC98" s="948"/>
      <c r="AD98" s="493"/>
      <c r="AE98" s="953"/>
      <c r="AF98" s="952"/>
    </row>
    <row r="99" spans="1:32" ht="18.75" customHeight="1" x14ac:dyDescent="0.2">
      <c r="A99" s="956">
        <v>77</v>
      </c>
      <c r="B99" s="961" t="s">
        <v>108</v>
      </c>
      <c r="C99" s="953" t="s">
        <v>109</v>
      </c>
      <c r="D99" s="953"/>
      <c r="E99" s="953"/>
      <c r="F99" s="953"/>
      <c r="G99" s="948"/>
      <c r="H99" s="952"/>
      <c r="I99" s="952"/>
      <c r="J99" s="953"/>
      <c r="K99" s="953"/>
      <c r="L99" s="953"/>
      <c r="M99" s="953"/>
      <c r="N99" s="953"/>
      <c r="O99" s="953"/>
      <c r="P99" s="448"/>
      <c r="Q99" s="448"/>
      <c r="R99" s="953"/>
      <c r="S99" s="953"/>
      <c r="T99" s="953"/>
      <c r="U99" s="948"/>
      <c r="V99" s="948"/>
      <c r="W99" s="948"/>
      <c r="X99" s="948"/>
      <c r="Y99" s="952"/>
      <c r="Z99" s="952"/>
      <c r="AA99" s="953"/>
      <c r="AB99" s="948"/>
      <c r="AC99" s="948"/>
      <c r="AD99" s="493"/>
      <c r="AE99" s="953"/>
      <c r="AF99" s="952"/>
    </row>
    <row r="100" spans="1:32" ht="18.75" customHeight="1" x14ac:dyDescent="0.2">
      <c r="A100" s="956">
        <v>78</v>
      </c>
      <c r="B100" s="961" t="s">
        <v>195</v>
      </c>
      <c r="C100" s="954" t="s">
        <v>484</v>
      </c>
      <c r="D100" s="953"/>
      <c r="E100" s="953"/>
      <c r="F100" s="953"/>
      <c r="G100" s="948"/>
      <c r="H100" s="952"/>
      <c r="I100" s="952"/>
      <c r="J100" s="953"/>
      <c r="K100" s="953"/>
      <c r="L100" s="953"/>
      <c r="M100" s="953"/>
      <c r="N100" s="953"/>
      <c r="O100" s="953"/>
      <c r="P100" s="448"/>
      <c r="Q100" s="448"/>
      <c r="R100" s="953"/>
      <c r="S100" s="953"/>
      <c r="T100" s="953"/>
      <c r="U100" s="948"/>
      <c r="V100" s="948"/>
      <c r="W100" s="948"/>
      <c r="X100" s="948"/>
      <c r="Y100" s="952"/>
      <c r="Z100" s="952"/>
      <c r="AA100" s="953"/>
      <c r="AB100" s="948"/>
      <c r="AC100" s="948"/>
      <c r="AD100" s="493"/>
      <c r="AE100" s="953"/>
      <c r="AF100" s="952"/>
    </row>
    <row r="101" spans="1:32" ht="18.75" customHeight="1" x14ac:dyDescent="0.2">
      <c r="A101" s="956">
        <v>79</v>
      </c>
      <c r="B101" s="961" t="s">
        <v>192</v>
      </c>
      <c r="C101" s="954" t="s">
        <v>484</v>
      </c>
      <c r="D101" s="953"/>
      <c r="E101" s="953"/>
      <c r="F101" s="953"/>
      <c r="G101" s="948"/>
      <c r="H101" s="952"/>
      <c r="I101" s="952"/>
      <c r="J101" s="953"/>
      <c r="K101" s="953"/>
      <c r="L101" s="953"/>
      <c r="M101" s="953"/>
      <c r="N101" s="953"/>
      <c r="O101" s="953"/>
      <c r="P101" s="448"/>
      <c r="Q101" s="448"/>
      <c r="R101" s="953"/>
      <c r="S101" s="953"/>
      <c r="T101" s="953"/>
      <c r="U101" s="948"/>
      <c r="V101" s="948"/>
      <c r="W101" s="948"/>
      <c r="X101" s="948"/>
      <c r="Y101" s="952"/>
      <c r="Z101" s="952"/>
      <c r="AA101" s="953"/>
      <c r="AB101" s="948"/>
      <c r="AC101" s="948"/>
      <c r="AD101" s="493"/>
      <c r="AE101" s="953"/>
      <c r="AF101" s="952"/>
    </row>
    <row r="102" spans="1:32" ht="18.75" customHeight="1" x14ac:dyDescent="0.2">
      <c r="A102" s="956"/>
      <c r="B102" s="851"/>
      <c r="C102" s="850"/>
      <c r="D102" s="850"/>
      <c r="E102" s="952" t="s">
        <v>278</v>
      </c>
      <c r="F102" s="850"/>
      <c r="G102" s="948"/>
      <c r="H102" s="952"/>
      <c r="I102" s="952"/>
      <c r="J102" s="953"/>
      <c r="K102" s="953"/>
      <c r="L102" s="953"/>
      <c r="M102" s="953"/>
      <c r="N102" s="953"/>
      <c r="O102" s="953"/>
      <c r="P102" s="448"/>
      <c r="Q102" s="448"/>
      <c r="R102" s="953"/>
      <c r="S102" s="953"/>
      <c r="T102" s="953"/>
      <c r="U102" s="948"/>
      <c r="V102" s="948"/>
      <c r="W102" s="948"/>
      <c r="X102" s="948"/>
      <c r="Y102" s="953"/>
      <c r="Z102" s="953"/>
      <c r="AA102" s="953"/>
      <c r="AB102" s="948"/>
      <c r="AC102" s="948"/>
      <c r="AD102" s="953"/>
      <c r="AE102" s="953"/>
      <c r="AF102" s="952"/>
    </row>
    <row r="103" spans="1:32" ht="18.75" customHeight="1" x14ac:dyDescent="0.2">
      <c r="A103" s="956">
        <v>80</v>
      </c>
      <c r="B103" s="461" t="s">
        <v>189</v>
      </c>
      <c r="C103" s="956" t="s">
        <v>46</v>
      </c>
      <c r="D103" s="956">
        <v>673</v>
      </c>
      <c r="E103" s="956" t="s">
        <v>190</v>
      </c>
      <c r="F103" s="956">
        <v>177.8</v>
      </c>
      <c r="G103" s="956"/>
      <c r="H103" s="956"/>
      <c r="I103" s="953"/>
      <c r="J103" s="953"/>
      <c r="K103" s="953"/>
      <c r="L103" s="953"/>
      <c r="M103" s="953"/>
      <c r="N103" s="953"/>
      <c r="O103" s="953"/>
      <c r="P103" s="448"/>
      <c r="Q103" s="448"/>
      <c r="R103" s="953"/>
      <c r="S103" s="953"/>
      <c r="T103" s="953"/>
      <c r="U103" s="948"/>
      <c r="V103" s="948"/>
      <c r="W103" s="948"/>
      <c r="X103" s="948"/>
      <c r="Y103" s="473"/>
      <c r="Z103" s="683"/>
      <c r="AA103" s="952"/>
      <c r="AB103" s="948"/>
      <c r="AC103" s="953"/>
      <c r="AD103" s="956"/>
      <c r="AE103" s="432"/>
      <c r="AF103" s="449"/>
    </row>
    <row r="104" spans="1:32" ht="18.75" customHeight="1" x14ac:dyDescent="0.3">
      <c r="A104" s="956">
        <v>81</v>
      </c>
      <c r="B104" s="461" t="s">
        <v>181</v>
      </c>
      <c r="C104" s="684" t="s">
        <v>344</v>
      </c>
      <c r="D104" s="956">
        <v>374.5</v>
      </c>
      <c r="E104" s="956" t="s">
        <v>182</v>
      </c>
      <c r="F104" s="956">
        <v>177.8</v>
      </c>
      <c r="G104" s="956"/>
      <c r="H104" s="956"/>
      <c r="I104" s="953"/>
      <c r="J104" s="956"/>
      <c r="K104" s="956"/>
      <c r="L104" s="956"/>
      <c r="M104" s="956"/>
      <c r="N104" s="668"/>
      <c r="O104" s="956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956"/>
      <c r="AE104" s="432"/>
      <c r="AF104" s="449"/>
    </row>
    <row r="105" spans="1:32" ht="18.75" customHeight="1" x14ac:dyDescent="0.2">
      <c r="A105" s="956">
        <v>82</v>
      </c>
      <c r="B105" s="461" t="s">
        <v>174</v>
      </c>
      <c r="C105" s="956" t="s">
        <v>46</v>
      </c>
      <c r="D105" s="956">
        <v>672</v>
      </c>
      <c r="E105" s="956" t="s">
        <v>175</v>
      </c>
      <c r="F105" s="956">
        <v>177.8</v>
      </c>
      <c r="G105" s="956"/>
      <c r="H105" s="956"/>
      <c r="I105" s="953"/>
      <c r="J105" s="956"/>
      <c r="K105" s="956"/>
      <c r="L105" s="956"/>
      <c r="M105" s="956"/>
      <c r="N105" s="668"/>
      <c r="O105" s="956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956"/>
      <c r="AE105" s="432"/>
      <c r="AF105" s="449"/>
    </row>
    <row r="106" spans="1:32" ht="18.75" customHeight="1" x14ac:dyDescent="0.2">
      <c r="A106" s="956">
        <v>83</v>
      </c>
      <c r="B106" s="961" t="s">
        <v>103</v>
      </c>
      <c r="C106" s="956" t="s">
        <v>46</v>
      </c>
      <c r="D106" s="953">
        <v>582</v>
      </c>
      <c r="E106" s="953" t="s">
        <v>112</v>
      </c>
      <c r="F106" s="956">
        <v>177.8</v>
      </c>
      <c r="G106" s="956"/>
      <c r="H106" s="956"/>
      <c r="I106" s="953"/>
      <c r="J106" s="953"/>
      <c r="K106" s="953"/>
      <c r="L106" s="953"/>
      <c r="M106" s="953"/>
      <c r="N106" s="953"/>
      <c r="O106" s="953"/>
      <c r="P106" s="448"/>
      <c r="Q106" s="448"/>
      <c r="R106" s="953"/>
      <c r="S106" s="953"/>
      <c r="T106" s="953"/>
      <c r="U106" s="948"/>
      <c r="V106" s="948"/>
      <c r="W106" s="948"/>
      <c r="X106" s="421"/>
      <c r="Y106" s="492"/>
      <c r="Z106" s="953"/>
      <c r="AA106" s="953"/>
      <c r="AB106" s="948"/>
      <c r="AC106" s="953"/>
      <c r="AD106" s="493"/>
      <c r="AE106" s="437"/>
      <c r="AF106" s="449"/>
    </row>
    <row r="107" spans="1:32" ht="18.75" customHeight="1" x14ac:dyDescent="0.2">
      <c r="A107" s="956">
        <v>84</v>
      </c>
      <c r="B107" s="962" t="s">
        <v>57</v>
      </c>
      <c r="C107" s="954" t="s">
        <v>314</v>
      </c>
      <c r="D107" s="956">
        <v>376.58</v>
      </c>
      <c r="E107" s="461" t="s">
        <v>93</v>
      </c>
      <c r="F107" s="956">
        <v>177.8</v>
      </c>
      <c r="G107" s="956"/>
      <c r="H107" s="956"/>
      <c r="I107" s="953"/>
      <c r="J107" s="953"/>
      <c r="K107" s="953"/>
      <c r="L107" s="953"/>
      <c r="M107" s="953"/>
      <c r="N107" s="953"/>
      <c r="O107" s="953"/>
      <c r="P107" s="448"/>
      <c r="Q107" s="448"/>
      <c r="R107" s="953"/>
      <c r="S107" s="953"/>
      <c r="T107" s="953"/>
      <c r="U107" s="948"/>
      <c r="V107" s="948"/>
      <c r="W107" s="948"/>
      <c r="X107" s="421"/>
      <c r="Y107" s="492"/>
      <c r="Z107" s="953"/>
      <c r="AA107" s="953"/>
      <c r="AB107" s="948"/>
      <c r="AC107" s="953"/>
      <c r="AD107" s="493"/>
      <c r="AE107" s="437"/>
      <c r="AF107" s="449"/>
    </row>
    <row r="108" spans="1:32" ht="18.75" customHeight="1" x14ac:dyDescent="0.2">
      <c r="A108" s="956">
        <v>85</v>
      </c>
      <c r="B108" s="962" t="s">
        <v>184</v>
      </c>
      <c r="C108" s="954" t="s">
        <v>314</v>
      </c>
      <c r="D108" s="956">
        <v>422.78</v>
      </c>
      <c r="E108" s="461" t="s">
        <v>185</v>
      </c>
      <c r="F108" s="956">
        <v>177.8</v>
      </c>
      <c r="G108" s="956"/>
      <c r="H108" s="956"/>
      <c r="I108" s="432"/>
      <c r="J108" s="953"/>
      <c r="K108" s="953"/>
      <c r="L108" s="953"/>
      <c r="M108" s="953"/>
      <c r="N108" s="953"/>
      <c r="O108" s="953"/>
      <c r="P108" s="448"/>
      <c r="Q108" s="448"/>
      <c r="R108" s="953"/>
      <c r="S108" s="953"/>
      <c r="T108" s="953"/>
      <c r="U108" s="948"/>
      <c r="V108" s="948"/>
      <c r="W108" s="948"/>
      <c r="X108" s="421"/>
      <c r="Y108" s="492"/>
      <c r="Z108" s="953"/>
      <c r="AA108" s="953"/>
      <c r="AB108" s="948"/>
      <c r="AC108" s="953"/>
      <c r="AD108" s="493"/>
      <c r="AE108" s="437"/>
      <c r="AF108" s="449"/>
    </row>
    <row r="109" spans="1:32" ht="18.75" customHeight="1" x14ac:dyDescent="0.2">
      <c r="A109" s="956">
        <v>86</v>
      </c>
      <c r="B109" s="961" t="s">
        <v>220</v>
      </c>
      <c r="C109" s="956" t="s">
        <v>46</v>
      </c>
      <c r="D109" s="953">
        <v>685.69</v>
      </c>
      <c r="E109" s="953" t="s">
        <v>222</v>
      </c>
      <c r="F109" s="956">
        <v>177.8</v>
      </c>
      <c r="G109" s="956"/>
      <c r="H109" s="956"/>
      <c r="I109" s="953"/>
      <c r="J109" s="953"/>
      <c r="K109" s="953"/>
      <c r="L109" s="953"/>
      <c r="M109" s="953"/>
      <c r="N109" s="953"/>
      <c r="O109" s="953"/>
      <c r="P109" s="448"/>
      <c r="Q109" s="771"/>
      <c r="R109" s="953"/>
      <c r="S109" s="953"/>
      <c r="T109" s="953"/>
      <c r="U109" s="948"/>
      <c r="V109" s="948"/>
      <c r="W109" s="948"/>
      <c r="X109" s="421"/>
      <c r="Y109" s="492"/>
      <c r="Z109" s="953"/>
      <c r="AA109" s="953"/>
      <c r="AB109" s="948"/>
      <c r="AC109" s="953"/>
      <c r="AD109" s="493"/>
      <c r="AE109" s="437"/>
      <c r="AF109" s="449"/>
    </row>
    <row r="110" spans="1:32" ht="18.75" customHeight="1" x14ac:dyDescent="0.2">
      <c r="A110" s="956"/>
      <c r="B110" s="851"/>
      <c r="C110" s="850"/>
      <c r="D110" s="850"/>
      <c r="E110" s="952" t="s">
        <v>469</v>
      </c>
      <c r="F110" s="850"/>
      <c r="G110" s="956"/>
      <c r="H110" s="956"/>
      <c r="I110" s="953"/>
      <c r="J110" s="956"/>
      <c r="K110" s="956"/>
      <c r="L110" s="956"/>
      <c r="M110" s="956"/>
      <c r="N110" s="668"/>
      <c r="O110" s="956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956"/>
      <c r="AE110" s="432"/>
      <c r="AF110" s="449"/>
    </row>
    <row r="111" spans="1:32" ht="18.75" customHeight="1" x14ac:dyDescent="0.2">
      <c r="A111" s="956">
        <v>87</v>
      </c>
      <c r="B111" s="461" t="s">
        <v>56</v>
      </c>
      <c r="C111" s="956" t="s">
        <v>46</v>
      </c>
      <c r="D111" s="956">
        <v>680.52</v>
      </c>
      <c r="E111" s="956" t="s">
        <v>92</v>
      </c>
      <c r="F111" s="956">
        <v>177.8</v>
      </c>
      <c r="G111" s="956"/>
      <c r="H111" s="956"/>
      <c r="I111" s="953"/>
      <c r="J111" s="956"/>
      <c r="K111" s="956"/>
      <c r="L111" s="956"/>
      <c r="M111" s="956"/>
      <c r="N111" s="668"/>
      <c r="O111" s="956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956"/>
      <c r="AE111" s="432"/>
      <c r="AF111" s="449"/>
    </row>
    <row r="112" spans="1:32" ht="18.75" customHeight="1" x14ac:dyDescent="0.2">
      <c r="A112" s="956"/>
      <c r="B112" s="461"/>
      <c r="C112" s="956"/>
      <c r="D112" s="956"/>
      <c r="E112" s="956"/>
      <c r="F112" s="956"/>
      <c r="G112" s="956"/>
      <c r="H112" s="956"/>
      <c r="I112" s="953"/>
      <c r="J112" s="956"/>
      <c r="K112" s="956"/>
      <c r="L112" s="956"/>
      <c r="M112" s="956"/>
      <c r="N112" s="668"/>
      <c r="O112" s="956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956"/>
      <c r="AE112" s="432"/>
      <c r="AF112" s="449"/>
    </row>
    <row r="113" spans="1:32" ht="18.75" x14ac:dyDescent="0.25">
      <c r="A113" s="870"/>
      <c r="B113" s="956"/>
      <c r="C113" s="956"/>
      <c r="D113" s="956"/>
      <c r="E113" s="461"/>
      <c r="F113" s="956"/>
      <c r="G113" s="956"/>
      <c r="H113" s="956"/>
      <c r="I113" s="953"/>
      <c r="J113" s="956"/>
      <c r="K113" s="956"/>
      <c r="L113" s="956"/>
      <c r="M113" s="956"/>
      <c r="N113" s="668"/>
      <c r="O113" s="956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956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955"/>
      <c r="G114" s="956"/>
      <c r="H114" s="956"/>
      <c r="I114" s="432"/>
      <c r="J114" s="956"/>
      <c r="K114" s="955"/>
      <c r="L114" s="956"/>
      <c r="M114" s="955"/>
      <c r="N114" s="668"/>
      <c r="O114" s="955"/>
      <c r="P114" s="682"/>
      <c r="Q114" s="774"/>
      <c r="R114" s="466">
        <f>R78+R95+R87</f>
        <v>478.0209999999999</v>
      </c>
      <c r="S114" s="466">
        <f>S78+S95+S87</f>
        <v>998.15170000000001</v>
      </c>
      <c r="T114" s="678">
        <f>T78+T95+T87</f>
        <v>15166.003999999999</v>
      </c>
      <c r="U114" s="466">
        <f>T114/R114</f>
        <v>31.726647992452218</v>
      </c>
      <c r="V114" s="466"/>
      <c r="W114" s="466"/>
      <c r="X114" s="466"/>
      <c r="Y114" s="466">
        <f>Y78+Y95+Y87</f>
        <v>470.850685</v>
      </c>
      <c r="Z114" s="466">
        <f>Z78+Z95+Z87</f>
        <v>983.1794245000001</v>
      </c>
      <c r="AA114" s="678">
        <f>AA78+AA95+AA87</f>
        <v>14938.513940000001</v>
      </c>
      <c r="AB114" s="466">
        <f>AB78+AB95+AB87</f>
        <v>91.311677655146724</v>
      </c>
      <c r="AC114" s="466"/>
      <c r="AD114" s="466"/>
      <c r="AE114" s="686">
        <f>AE78+AE95+AE87</f>
        <v>14125.520549999997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13419.244522499997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959"/>
      <c r="Y117" s="959"/>
      <c r="Z117" s="959"/>
      <c r="AA117" s="959"/>
      <c r="AB117" s="959"/>
      <c r="AC117" s="959"/>
      <c r="AD117" s="959"/>
      <c r="AE117" s="959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959" t="s">
        <v>373</v>
      </c>
      <c r="AC118" s="959"/>
      <c r="AD118" s="959"/>
      <c r="AE118" s="959"/>
      <c r="AF118" s="959"/>
    </row>
  </sheetData>
  <mergeCells count="33">
    <mergeCell ref="U13:U14"/>
    <mergeCell ref="AF13:AF14"/>
    <mergeCell ref="B114:E114"/>
    <mergeCell ref="K116:M116"/>
    <mergeCell ref="AB13:AB14"/>
    <mergeCell ref="AC13:AC14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F118"/>
  <sheetViews>
    <sheetView topLeftCell="A25" zoomScale="69" zoomScaleNormal="69" workbookViewId="0">
      <selection activeCell="A25" sqref="A1:XFD1048576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1003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975"/>
      <c r="G2" s="964"/>
      <c r="H2" s="964"/>
      <c r="I2" s="975"/>
      <c r="J2" s="1909" t="s">
        <v>493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975"/>
      <c r="Y2" s="975"/>
      <c r="Z2" s="975"/>
      <c r="AA2" s="975"/>
      <c r="AB2" s="975"/>
      <c r="AC2" s="975"/>
      <c r="AD2" s="975"/>
      <c r="AE2" s="975"/>
      <c r="AF2" s="405"/>
    </row>
    <row r="3" spans="1:32" ht="18.75" x14ac:dyDescent="0.2">
      <c r="A3" s="1910" t="s">
        <v>54</v>
      </c>
      <c r="B3" s="1910"/>
      <c r="C3" s="1910"/>
      <c r="D3" s="1910"/>
      <c r="E3" s="975"/>
      <c r="F3" s="975"/>
      <c r="G3" s="964"/>
      <c r="H3" s="974"/>
      <c r="I3" s="974"/>
      <c r="J3" s="974"/>
      <c r="K3" s="974"/>
      <c r="L3" s="974"/>
      <c r="M3" s="974"/>
      <c r="N3" s="974"/>
      <c r="O3" s="974"/>
      <c r="P3" s="974"/>
      <c r="Q3" s="990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408" t="s">
        <v>55</v>
      </c>
    </row>
    <row r="4" spans="1:32" ht="18.75" x14ac:dyDescent="0.2">
      <c r="A4" s="965"/>
      <c r="B4" s="965"/>
      <c r="C4" s="965"/>
      <c r="D4" s="965"/>
      <c r="E4" s="975"/>
      <c r="F4" s="975"/>
      <c r="G4" s="964"/>
      <c r="H4" s="974"/>
      <c r="I4" s="974"/>
      <c r="J4" s="974"/>
      <c r="K4" s="974"/>
      <c r="L4" s="974"/>
      <c r="M4" s="974"/>
      <c r="N4" s="974"/>
      <c r="O4" s="974"/>
      <c r="P4" s="974"/>
      <c r="Q4" s="990"/>
      <c r="R4" s="975"/>
      <c r="S4" s="975"/>
      <c r="T4" s="975"/>
      <c r="U4" s="975"/>
      <c r="V4" s="975"/>
      <c r="W4" s="975"/>
      <c r="X4" s="975"/>
      <c r="Y4" s="975"/>
      <c r="Z4" s="975"/>
      <c r="AA4" s="975"/>
      <c r="AB4" s="975"/>
      <c r="AC4" s="975"/>
      <c r="AD4" s="975"/>
      <c r="AE4" s="975"/>
      <c r="AF4" s="408"/>
    </row>
    <row r="5" spans="1:32" ht="18.75" x14ac:dyDescent="0.2">
      <c r="A5" s="966" t="s">
        <v>494</v>
      </c>
      <c r="B5" s="966"/>
      <c r="C5" s="966"/>
      <c r="D5" s="966"/>
      <c r="E5" s="966"/>
      <c r="F5" s="975"/>
      <c r="G5" s="964"/>
      <c r="H5" s="964"/>
      <c r="I5" s="974"/>
      <c r="J5" s="974"/>
      <c r="K5" s="974"/>
      <c r="L5" s="974"/>
      <c r="M5" s="974"/>
      <c r="N5" s="974"/>
      <c r="O5" s="974"/>
      <c r="P5" s="974"/>
      <c r="Q5" s="990"/>
      <c r="R5" s="976"/>
      <c r="S5" s="976"/>
      <c r="T5" s="976"/>
      <c r="U5" s="976"/>
      <c r="V5" s="976"/>
      <c r="W5" s="976"/>
      <c r="X5" s="975"/>
      <c r="Y5" s="975"/>
      <c r="Z5" s="975"/>
      <c r="AA5" s="975"/>
      <c r="AB5" s="975"/>
      <c r="AC5" s="975"/>
      <c r="AD5" s="975"/>
      <c r="AE5" s="975"/>
      <c r="AF5" s="411" t="s">
        <v>468</v>
      </c>
    </row>
    <row r="6" spans="1:32" ht="18.75" x14ac:dyDescent="0.2">
      <c r="A6" s="966" t="s">
        <v>428</v>
      </c>
      <c r="B6" s="412"/>
      <c r="C6" s="412"/>
      <c r="D6" s="412"/>
      <c r="E6" s="975"/>
      <c r="F6" s="975"/>
      <c r="G6" s="964"/>
      <c r="H6" s="964"/>
      <c r="I6" s="975"/>
      <c r="J6" s="975"/>
      <c r="K6" s="964"/>
      <c r="L6" s="964"/>
      <c r="M6" s="975"/>
      <c r="N6" s="975"/>
      <c r="O6" s="975"/>
      <c r="P6" s="413"/>
      <c r="Q6" s="991"/>
      <c r="R6" s="975"/>
      <c r="S6" s="975"/>
      <c r="T6" s="975"/>
      <c r="U6" s="975"/>
      <c r="V6" s="975"/>
      <c r="W6" s="975"/>
      <c r="X6" s="975"/>
      <c r="Y6" s="975"/>
      <c r="Z6" s="975"/>
      <c r="AA6" s="975"/>
      <c r="AB6" s="975"/>
      <c r="AC6" s="975"/>
      <c r="AD6" s="975"/>
      <c r="AE6" s="975"/>
      <c r="AF6" s="415" t="s">
        <v>429</v>
      </c>
    </row>
    <row r="7" spans="1:32" ht="18.75" x14ac:dyDescent="0.2">
      <c r="A7" s="975"/>
      <c r="B7" s="966"/>
      <c r="C7" s="966"/>
      <c r="D7" s="966"/>
      <c r="E7" s="975"/>
      <c r="F7" s="975"/>
      <c r="G7" s="964"/>
      <c r="H7" s="964"/>
      <c r="I7" s="405"/>
      <c r="J7" s="975"/>
      <c r="K7" s="964"/>
      <c r="L7" s="964"/>
      <c r="M7" s="975"/>
      <c r="N7" s="975"/>
      <c r="O7" s="975"/>
      <c r="P7" s="413"/>
      <c r="Q7" s="991"/>
      <c r="R7" s="975"/>
      <c r="S7" s="975"/>
      <c r="T7" s="975"/>
      <c r="U7" s="975"/>
      <c r="V7" s="975"/>
      <c r="W7" s="411"/>
      <c r="X7" s="975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975"/>
      <c r="G8" s="964"/>
      <c r="H8" s="964"/>
      <c r="I8" s="405"/>
      <c r="J8" s="975"/>
      <c r="K8" s="964"/>
      <c r="L8" s="964"/>
      <c r="M8" s="975"/>
      <c r="N8" s="975"/>
      <c r="O8" s="975"/>
      <c r="P8" s="413"/>
      <c r="Q8" s="991"/>
      <c r="R8" s="975"/>
      <c r="S8" s="975"/>
      <c r="T8" s="975"/>
      <c r="U8" s="975"/>
      <c r="V8" s="975"/>
      <c r="W8" s="411"/>
      <c r="X8" s="975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975"/>
      <c r="G9" s="964"/>
      <c r="H9" s="964"/>
      <c r="I9" s="405"/>
      <c r="J9" s="975"/>
      <c r="K9" s="964"/>
      <c r="L9" s="964"/>
      <c r="M9" s="975"/>
      <c r="N9" s="975"/>
      <c r="O9" s="975"/>
      <c r="P9" s="413"/>
      <c r="Q9" s="991"/>
      <c r="R9" s="975"/>
      <c r="S9" s="975"/>
      <c r="T9" s="975"/>
      <c r="U9" s="975"/>
      <c r="V9" s="975"/>
      <c r="W9" s="411"/>
      <c r="X9" s="975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975"/>
      <c r="G10" s="964"/>
      <c r="H10" s="964"/>
      <c r="I10" s="975"/>
      <c r="J10" s="975"/>
      <c r="K10" s="964"/>
      <c r="L10" s="964"/>
      <c r="M10" s="964"/>
      <c r="N10" s="964"/>
      <c r="O10" s="964"/>
      <c r="P10" s="964"/>
      <c r="Q10" s="992"/>
      <c r="R10" s="964"/>
      <c r="S10" s="964"/>
      <c r="T10" s="964"/>
      <c r="U10" s="964"/>
      <c r="V10" s="964"/>
      <c r="W10" s="975"/>
      <c r="X10" s="975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964"/>
      <c r="C11" s="964"/>
      <c r="D11" s="964"/>
      <c r="E11" s="975"/>
      <c r="F11" s="975"/>
      <c r="G11" s="964"/>
      <c r="H11" s="964"/>
      <c r="I11" s="405"/>
      <c r="J11" s="975"/>
      <c r="K11" s="964"/>
      <c r="L11" s="964"/>
      <c r="M11" s="975"/>
      <c r="N11" s="975"/>
      <c r="O11" s="975"/>
      <c r="P11" s="413"/>
      <c r="Q11" s="991"/>
      <c r="R11" s="975"/>
      <c r="S11" s="975"/>
      <c r="T11" s="975"/>
      <c r="U11" s="975"/>
      <c r="V11" s="975"/>
      <c r="W11" s="411"/>
      <c r="X11" s="975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963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993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963" t="s">
        <v>18</v>
      </c>
      <c r="AE13" s="963" t="s">
        <v>20</v>
      </c>
      <c r="AF13" s="1891" t="s">
        <v>21</v>
      </c>
    </row>
    <row r="14" spans="1:32" ht="37.5" x14ac:dyDescent="0.2">
      <c r="A14" s="1891"/>
      <c r="B14" s="1891"/>
      <c r="C14" s="1903"/>
      <c r="D14" s="968" t="s">
        <v>3</v>
      </c>
      <c r="E14" s="968" t="s">
        <v>3</v>
      </c>
      <c r="F14" s="968" t="s">
        <v>4</v>
      </c>
      <c r="G14" s="1903"/>
      <c r="H14" s="1903"/>
      <c r="I14" s="1891"/>
      <c r="J14" s="968" t="s">
        <v>7</v>
      </c>
      <c r="K14" s="968" t="s">
        <v>30</v>
      </c>
      <c r="L14" s="968" t="s">
        <v>29</v>
      </c>
      <c r="M14" s="968" t="s">
        <v>31</v>
      </c>
      <c r="N14" s="968" t="s">
        <v>32</v>
      </c>
      <c r="O14" s="968" t="s">
        <v>12</v>
      </c>
      <c r="P14" s="448" t="s">
        <v>13</v>
      </c>
      <c r="Q14" s="994" t="s">
        <v>26</v>
      </c>
      <c r="R14" s="968" t="s">
        <v>14</v>
      </c>
      <c r="S14" s="968" t="s">
        <v>25</v>
      </c>
      <c r="T14" s="968" t="s">
        <v>113</v>
      </c>
      <c r="U14" s="1903"/>
      <c r="V14" s="1903"/>
      <c r="W14" s="1903"/>
      <c r="X14" s="1903"/>
      <c r="Y14" s="968" t="s">
        <v>14</v>
      </c>
      <c r="Z14" s="968" t="s">
        <v>25</v>
      </c>
      <c r="AA14" s="968" t="s">
        <v>113</v>
      </c>
      <c r="AB14" s="1903"/>
      <c r="AC14" s="1903"/>
      <c r="AD14" s="968" t="s">
        <v>19</v>
      </c>
      <c r="AE14" s="968" t="s">
        <v>27</v>
      </c>
      <c r="AF14" s="1891"/>
    </row>
    <row r="15" spans="1:32" ht="18.75" customHeight="1" x14ac:dyDescent="0.2">
      <c r="A15" s="972">
        <v>1</v>
      </c>
      <c r="B15" s="461" t="s">
        <v>139</v>
      </c>
      <c r="C15" s="972" t="s">
        <v>46</v>
      </c>
      <c r="D15" s="972">
        <v>610.5</v>
      </c>
      <c r="E15" s="972" t="s">
        <v>203</v>
      </c>
      <c r="F15" s="972">
        <v>177.8</v>
      </c>
      <c r="G15" s="972" t="s">
        <v>28</v>
      </c>
      <c r="H15" s="452" t="s">
        <v>363</v>
      </c>
      <c r="I15" s="968">
        <v>558.54</v>
      </c>
      <c r="J15" s="972">
        <v>175</v>
      </c>
      <c r="K15" s="972"/>
      <c r="L15" s="972">
        <v>389</v>
      </c>
      <c r="M15" s="972"/>
      <c r="N15" s="972">
        <v>0.5</v>
      </c>
      <c r="O15" s="972"/>
      <c r="P15" s="668">
        <v>15.2016944684094</v>
      </c>
      <c r="Q15" s="995">
        <v>8.3000000000000007</v>
      </c>
      <c r="R15" s="432">
        <v>2.3370000000000002</v>
      </c>
      <c r="S15" s="432">
        <v>7.0919999999999996</v>
      </c>
      <c r="T15" s="670">
        <v>22</v>
      </c>
      <c r="U15" s="668">
        <f t="shared" ref="U15:U34" si="0">IF(R15=0,0,T15/R15)</f>
        <v>9.4137783483097977</v>
      </c>
      <c r="V15" s="668">
        <f>IF(S15=0,0,(S15-R15)/S15*100)</f>
        <v>67.04737732656514</v>
      </c>
      <c r="W15" s="668">
        <v>0.3</v>
      </c>
      <c r="X15" s="432">
        <f>IF(S15=0,0,S15/Q15)</f>
        <v>0.85445783132530106</v>
      </c>
      <c r="Y15" s="432">
        <f>R15*0.985</f>
        <v>2.3019450000000004</v>
      </c>
      <c r="Z15" s="432">
        <f>S15*0.985</f>
        <v>6.9856199999999999</v>
      </c>
      <c r="AA15" s="670">
        <f>T15*0.985</f>
        <v>21.669999999999998</v>
      </c>
      <c r="AB15" s="432">
        <f>U15</f>
        <v>9.4137783483097977</v>
      </c>
      <c r="AC15" s="670">
        <f t="shared" ref="AC15:AC77" si="1">V15</f>
        <v>67.04737732656514</v>
      </c>
      <c r="AD15" s="972">
        <v>31</v>
      </c>
      <c r="AE15" s="432">
        <f>Y15*AD15</f>
        <v>71.360295000000008</v>
      </c>
      <c r="AF15" s="669"/>
    </row>
    <row r="16" spans="1:32" ht="18.75" customHeight="1" x14ac:dyDescent="0.2">
      <c r="A16" s="972">
        <v>2</v>
      </c>
      <c r="B16" s="461" t="s">
        <v>140</v>
      </c>
      <c r="C16" s="972" t="s">
        <v>46</v>
      </c>
      <c r="D16" s="972">
        <v>623.5</v>
      </c>
      <c r="E16" s="972" t="s">
        <v>480</v>
      </c>
      <c r="F16" s="972">
        <v>177.8</v>
      </c>
      <c r="G16" s="972" t="s">
        <v>28</v>
      </c>
      <c r="H16" s="972" t="s">
        <v>50</v>
      </c>
      <c r="I16" s="968">
        <v>579.27</v>
      </c>
      <c r="J16" s="972">
        <v>0</v>
      </c>
      <c r="K16" s="972">
        <v>67</v>
      </c>
      <c r="L16" s="972"/>
      <c r="M16" s="972">
        <v>0</v>
      </c>
      <c r="N16" s="972"/>
      <c r="O16" s="972"/>
      <c r="P16" s="668">
        <v>50.429168891550354</v>
      </c>
      <c r="Q16" s="995">
        <f t="shared" ref="Q16:Q39" si="2">LEFT(H16,(FIND("K",H16,1)-1))*J16/100</f>
        <v>0</v>
      </c>
      <c r="R16" s="432">
        <v>0</v>
      </c>
      <c r="S16" s="432">
        <v>0</v>
      </c>
      <c r="T16" s="670">
        <v>0</v>
      </c>
      <c r="U16" s="668">
        <f t="shared" si="0"/>
        <v>0</v>
      </c>
      <c r="V16" s="668">
        <f t="shared" ref="V16:V77" si="3">IF(S16=0,0,(S16-R16)/S16*100)</f>
        <v>0</v>
      </c>
      <c r="W16" s="668">
        <v>0</v>
      </c>
      <c r="X16" s="432">
        <f>IF(S16=0,0,S16/Q16)</f>
        <v>0</v>
      </c>
      <c r="Y16" s="432">
        <f t="shared" ref="Y16:AA77" si="4">R16*0.985</f>
        <v>0</v>
      </c>
      <c r="Z16" s="432">
        <f t="shared" si="4"/>
        <v>0</v>
      </c>
      <c r="AA16" s="670">
        <f t="shared" si="4"/>
        <v>0</v>
      </c>
      <c r="AB16" s="432">
        <f t="shared" ref="AB16:AB77" si="5">U16</f>
        <v>0</v>
      </c>
      <c r="AC16" s="670">
        <f t="shared" si="1"/>
        <v>0</v>
      </c>
      <c r="AD16" s="972">
        <v>0</v>
      </c>
      <c r="AE16" s="432">
        <f t="shared" ref="AE16:AE59" si="6">Y16*AD16</f>
        <v>0</v>
      </c>
      <c r="AF16" s="669" t="s">
        <v>334</v>
      </c>
    </row>
    <row r="17" spans="1:32" ht="18.75" customHeight="1" x14ac:dyDescent="0.2">
      <c r="A17" s="972">
        <v>3</v>
      </c>
      <c r="B17" s="461" t="s">
        <v>141</v>
      </c>
      <c r="C17" s="972" t="s">
        <v>46</v>
      </c>
      <c r="D17" s="972">
        <v>670</v>
      </c>
      <c r="E17" s="972" t="s">
        <v>68</v>
      </c>
      <c r="F17" s="972">
        <v>177.8</v>
      </c>
      <c r="G17" s="972" t="s">
        <v>28</v>
      </c>
      <c r="H17" s="972" t="s">
        <v>218</v>
      </c>
      <c r="I17" s="968">
        <v>565.94000000000005</v>
      </c>
      <c r="J17" s="972">
        <v>260</v>
      </c>
      <c r="K17" s="972"/>
      <c r="L17" s="972">
        <v>488</v>
      </c>
      <c r="M17" s="972"/>
      <c r="N17" s="668">
        <v>7.8</v>
      </c>
      <c r="O17" s="972"/>
      <c r="P17" s="668">
        <v>12.364309740551448</v>
      </c>
      <c r="Q17" s="995">
        <f>LEFT(H17,(FIND("K",H17,1)-1))*J17/100</f>
        <v>83.2</v>
      </c>
      <c r="R17" s="432">
        <v>16.720166666666668</v>
      </c>
      <c r="S17" s="432">
        <v>26.321583333333336</v>
      </c>
      <c r="T17" s="670">
        <v>2026</v>
      </c>
      <c r="U17" s="668">
        <f t="shared" si="0"/>
        <v>121.17104095852314</v>
      </c>
      <c r="V17" s="668">
        <f t="shared" si="3"/>
        <v>36.477352236282648</v>
      </c>
      <c r="W17" s="668">
        <v>0.3</v>
      </c>
      <c r="X17" s="432">
        <f t="shared" ref="X17:X77" si="7">IF(S17=0,0,S17/Q17)</f>
        <v>0.31636518429487182</v>
      </c>
      <c r="Y17" s="432">
        <f t="shared" si="4"/>
        <v>16.469364166666669</v>
      </c>
      <c r="Z17" s="432">
        <f t="shared" si="4"/>
        <v>25.926759583333336</v>
      </c>
      <c r="AA17" s="670">
        <f t="shared" si="4"/>
        <v>1995.61</v>
      </c>
      <c r="AB17" s="432">
        <f t="shared" si="5"/>
        <v>121.17104095852314</v>
      </c>
      <c r="AC17" s="670">
        <f t="shared" si="1"/>
        <v>36.477352236282648</v>
      </c>
      <c r="AD17" s="972">
        <v>31</v>
      </c>
      <c r="AE17" s="432">
        <f>Y17*AD17</f>
        <v>510.55028916666674</v>
      </c>
      <c r="AF17" s="669"/>
    </row>
    <row r="18" spans="1:32" ht="18.75" customHeight="1" x14ac:dyDescent="0.2">
      <c r="A18" s="972">
        <v>4</v>
      </c>
      <c r="B18" s="461" t="s">
        <v>142</v>
      </c>
      <c r="C18" s="972" t="s">
        <v>46</v>
      </c>
      <c r="D18" s="972">
        <v>628</v>
      </c>
      <c r="E18" s="972" t="s">
        <v>481</v>
      </c>
      <c r="F18" s="972">
        <v>177.8</v>
      </c>
      <c r="G18" s="972" t="s">
        <v>28</v>
      </c>
      <c r="H18" s="831" t="s">
        <v>466</v>
      </c>
      <c r="I18" s="968">
        <v>541.28</v>
      </c>
      <c r="J18" s="972">
        <v>85</v>
      </c>
      <c r="K18" s="972"/>
      <c r="L18" s="972">
        <v>435</v>
      </c>
      <c r="M18" s="972"/>
      <c r="N18" s="668">
        <v>5</v>
      </c>
      <c r="O18" s="972"/>
      <c r="P18" s="668">
        <v>16.04752344106765</v>
      </c>
      <c r="Q18" s="995">
        <f>13*J18/100</f>
        <v>11.05</v>
      </c>
      <c r="R18" s="432">
        <v>3.582416666666667</v>
      </c>
      <c r="S18" s="432">
        <v>5.4032083333333327</v>
      </c>
      <c r="T18" s="670">
        <v>52</v>
      </c>
      <c r="U18" s="668">
        <f t="shared" si="0"/>
        <v>14.515341133778406</v>
      </c>
      <c r="V18" s="668">
        <f t="shared" si="3"/>
        <v>33.698342805586172</v>
      </c>
      <c r="W18" s="668">
        <v>0.2</v>
      </c>
      <c r="X18" s="432">
        <f t="shared" si="7"/>
        <v>0.48897812971342375</v>
      </c>
      <c r="Y18" s="432">
        <f t="shared" si="4"/>
        <v>3.528680416666667</v>
      </c>
      <c r="Z18" s="432">
        <f t="shared" si="4"/>
        <v>5.322160208333333</v>
      </c>
      <c r="AA18" s="670">
        <f t="shared" si="4"/>
        <v>51.22</v>
      </c>
      <c r="AB18" s="432">
        <f t="shared" si="5"/>
        <v>14.515341133778406</v>
      </c>
      <c r="AC18" s="670">
        <f t="shared" si="1"/>
        <v>33.698342805586172</v>
      </c>
      <c r="AD18" s="972">
        <v>31</v>
      </c>
      <c r="AE18" s="432">
        <f t="shared" si="6"/>
        <v>109.38909291666667</v>
      </c>
      <c r="AF18" s="669"/>
    </row>
    <row r="19" spans="1:32" ht="18.75" customHeight="1" x14ac:dyDescent="0.2">
      <c r="A19" s="972">
        <v>5</v>
      </c>
      <c r="B19" s="461" t="s">
        <v>143</v>
      </c>
      <c r="C19" s="972" t="s">
        <v>46</v>
      </c>
      <c r="D19" s="972">
        <v>576.6</v>
      </c>
      <c r="E19" s="972" t="s">
        <v>70</v>
      </c>
      <c r="F19" s="972">
        <v>177.8</v>
      </c>
      <c r="G19" s="972" t="s">
        <v>28</v>
      </c>
      <c r="H19" s="550" t="s">
        <v>53</v>
      </c>
      <c r="I19" s="968">
        <v>546.04999999999995</v>
      </c>
      <c r="J19" s="972">
        <v>85</v>
      </c>
      <c r="K19" s="972"/>
      <c r="L19" s="972">
        <v>434</v>
      </c>
      <c r="M19" s="972"/>
      <c r="N19" s="972">
        <v>5.6</v>
      </c>
      <c r="O19" s="972"/>
      <c r="P19" s="668">
        <v>17.066268903317908</v>
      </c>
      <c r="Q19" s="995">
        <f t="shared" si="2"/>
        <v>11.05</v>
      </c>
      <c r="R19" s="432">
        <v>4.350625</v>
      </c>
      <c r="S19" s="432">
        <v>4.8037083333333337</v>
      </c>
      <c r="T19" s="670">
        <v>27</v>
      </c>
      <c r="U19" s="668">
        <f t="shared" si="0"/>
        <v>6.2060048843556963</v>
      </c>
      <c r="V19" s="668">
        <f t="shared" si="3"/>
        <v>9.4319492752994734</v>
      </c>
      <c r="W19" s="668">
        <v>0.2</v>
      </c>
      <c r="X19" s="432">
        <f t="shared" si="7"/>
        <v>0.43472473604826545</v>
      </c>
      <c r="Y19" s="432">
        <f t="shared" si="4"/>
        <v>4.2853656249999998</v>
      </c>
      <c r="Z19" s="432">
        <f t="shared" si="4"/>
        <v>4.7316527083333337</v>
      </c>
      <c r="AA19" s="670">
        <f t="shared" si="4"/>
        <v>26.594999999999999</v>
      </c>
      <c r="AB19" s="432">
        <f t="shared" si="5"/>
        <v>6.2060048843556963</v>
      </c>
      <c r="AC19" s="670">
        <f t="shared" si="1"/>
        <v>9.4319492752994734</v>
      </c>
      <c r="AD19" s="972">
        <v>31</v>
      </c>
      <c r="AE19" s="432">
        <f t="shared" si="6"/>
        <v>132.846334375</v>
      </c>
      <c r="AF19" s="669"/>
    </row>
    <row r="20" spans="1:32" ht="18.75" customHeight="1" x14ac:dyDescent="0.2">
      <c r="A20" s="972">
        <v>6</v>
      </c>
      <c r="B20" s="461" t="s">
        <v>144</v>
      </c>
      <c r="C20" s="972" t="s">
        <v>46</v>
      </c>
      <c r="D20" s="972">
        <v>676.6</v>
      </c>
      <c r="E20" s="972" t="s">
        <v>460</v>
      </c>
      <c r="F20" s="972">
        <v>177.8</v>
      </c>
      <c r="G20" s="972" t="s">
        <v>28</v>
      </c>
      <c r="H20" s="972" t="s">
        <v>461</v>
      </c>
      <c r="I20" s="968">
        <v>567.16</v>
      </c>
      <c r="J20" s="972">
        <v>85</v>
      </c>
      <c r="K20" s="972"/>
      <c r="L20" s="972">
        <v>415</v>
      </c>
      <c r="M20" s="972"/>
      <c r="N20" s="972">
        <v>0.7</v>
      </c>
      <c r="O20" s="972"/>
      <c r="P20" s="668">
        <v>16.053397148691062</v>
      </c>
      <c r="Q20" s="995">
        <v>18.7</v>
      </c>
      <c r="R20" s="432">
        <v>2.1869166666666664</v>
      </c>
      <c r="S20" s="432">
        <v>2.953041666666667</v>
      </c>
      <c r="T20" s="670">
        <v>7</v>
      </c>
      <c r="U20" s="668">
        <f t="shared" si="0"/>
        <v>3.2008535609495867</v>
      </c>
      <c r="V20" s="668">
        <f t="shared" si="3"/>
        <v>25.943589237086073</v>
      </c>
      <c r="W20" s="668">
        <v>0.3</v>
      </c>
      <c r="X20" s="432">
        <f t="shared" si="7"/>
        <v>0.15791666666666668</v>
      </c>
      <c r="Y20" s="432">
        <f t="shared" si="4"/>
        <v>2.1541129166666662</v>
      </c>
      <c r="Z20" s="432">
        <f t="shared" si="4"/>
        <v>2.9087460416666668</v>
      </c>
      <c r="AA20" s="670">
        <f t="shared" si="4"/>
        <v>6.8949999999999996</v>
      </c>
      <c r="AB20" s="432">
        <v>14.613</v>
      </c>
      <c r="AC20" s="670">
        <f t="shared" si="1"/>
        <v>25.943589237086073</v>
      </c>
      <c r="AD20" s="972">
        <v>31</v>
      </c>
      <c r="AE20" s="432">
        <f t="shared" si="6"/>
        <v>66.777500416666655</v>
      </c>
      <c r="AF20" s="669"/>
    </row>
    <row r="21" spans="1:32" ht="18.75" customHeight="1" x14ac:dyDescent="0.2">
      <c r="A21" s="972">
        <v>7</v>
      </c>
      <c r="B21" s="461" t="s">
        <v>145</v>
      </c>
      <c r="C21" s="972" t="s">
        <v>46</v>
      </c>
      <c r="D21" s="972" t="s">
        <v>47</v>
      </c>
      <c r="E21" s="972" t="s">
        <v>72</v>
      </c>
      <c r="F21" s="972">
        <v>177.8</v>
      </c>
      <c r="G21" s="972" t="s">
        <v>28</v>
      </c>
      <c r="H21" s="972" t="s">
        <v>52</v>
      </c>
      <c r="I21" s="968">
        <v>560</v>
      </c>
      <c r="J21" s="972">
        <v>190</v>
      </c>
      <c r="K21" s="972"/>
      <c r="L21" s="972">
        <v>446</v>
      </c>
      <c r="M21" s="972"/>
      <c r="N21" s="972">
        <v>5.3</v>
      </c>
      <c r="O21" s="972"/>
      <c r="P21" s="668">
        <v>16.82290100051824</v>
      </c>
      <c r="Q21" s="995">
        <f t="shared" si="2"/>
        <v>41.8</v>
      </c>
      <c r="R21" s="432">
        <v>10.239291666666668</v>
      </c>
      <c r="S21" s="432">
        <v>13.827458333333334</v>
      </c>
      <c r="T21" s="670">
        <v>106</v>
      </c>
      <c r="U21" s="668">
        <f t="shared" si="0"/>
        <v>10.352278600000812</v>
      </c>
      <c r="V21" s="668">
        <f t="shared" si="3"/>
        <v>25.949574970092716</v>
      </c>
      <c r="W21" s="668">
        <v>0.3</v>
      </c>
      <c r="X21" s="432">
        <f t="shared" si="7"/>
        <v>0.33080043859649128</v>
      </c>
      <c r="Y21" s="432">
        <f t="shared" si="4"/>
        <v>10.085702291666667</v>
      </c>
      <c r="Z21" s="432">
        <f t="shared" si="4"/>
        <v>13.620046458333334</v>
      </c>
      <c r="AA21" s="670">
        <f t="shared" si="4"/>
        <v>104.41</v>
      </c>
      <c r="AB21" s="432">
        <f t="shared" si="5"/>
        <v>10.352278600000812</v>
      </c>
      <c r="AC21" s="670">
        <f t="shared" si="1"/>
        <v>25.949574970092716</v>
      </c>
      <c r="AD21" s="972">
        <v>31</v>
      </c>
      <c r="AE21" s="432">
        <f t="shared" si="6"/>
        <v>312.65677104166667</v>
      </c>
      <c r="AF21" s="669"/>
    </row>
    <row r="22" spans="1:32" ht="18.75" customHeight="1" x14ac:dyDescent="0.2">
      <c r="A22" s="972">
        <v>8</v>
      </c>
      <c r="B22" s="461" t="s">
        <v>146</v>
      </c>
      <c r="C22" s="972" t="s">
        <v>46</v>
      </c>
      <c r="D22" s="972">
        <v>764</v>
      </c>
      <c r="E22" s="436" t="s">
        <v>73</v>
      </c>
      <c r="F22" s="972">
        <v>177.8</v>
      </c>
      <c r="G22" s="972" t="s">
        <v>28</v>
      </c>
      <c r="H22" s="972" t="s">
        <v>52</v>
      </c>
      <c r="I22" s="437">
        <v>550</v>
      </c>
      <c r="J22" s="972">
        <v>250</v>
      </c>
      <c r="K22" s="971"/>
      <c r="L22" s="972">
        <v>415</v>
      </c>
      <c r="M22" s="971"/>
      <c r="N22" s="972">
        <v>1.5</v>
      </c>
      <c r="O22" s="971"/>
      <c r="P22" s="668">
        <v>18.592679396091391</v>
      </c>
      <c r="Q22" s="995">
        <f t="shared" si="2"/>
        <v>55</v>
      </c>
      <c r="R22" s="432">
        <v>6.2372083333333359</v>
      </c>
      <c r="S22" s="432">
        <v>16.164041666666666</v>
      </c>
      <c r="T22" s="670">
        <v>46</v>
      </c>
      <c r="U22" s="668">
        <f t="shared" si="0"/>
        <v>7.3750943597897001</v>
      </c>
      <c r="V22" s="668">
        <f t="shared" si="3"/>
        <v>61.413064492430458</v>
      </c>
      <c r="W22" s="668">
        <v>0.3</v>
      </c>
      <c r="X22" s="432">
        <f t="shared" si="7"/>
        <v>0.29389166666666666</v>
      </c>
      <c r="Y22" s="432">
        <f t="shared" si="4"/>
        <v>6.1436502083333355</v>
      </c>
      <c r="Z22" s="432">
        <f t="shared" si="4"/>
        <v>15.921581041666666</v>
      </c>
      <c r="AA22" s="670">
        <f t="shared" si="4"/>
        <v>45.31</v>
      </c>
      <c r="AB22" s="432">
        <f t="shared" si="5"/>
        <v>7.3750943597897001</v>
      </c>
      <c r="AC22" s="670">
        <f t="shared" si="1"/>
        <v>61.413064492430458</v>
      </c>
      <c r="AD22" s="972">
        <v>31</v>
      </c>
      <c r="AE22" s="432">
        <f t="shared" si="6"/>
        <v>190.45315645833341</v>
      </c>
      <c r="AF22" s="669"/>
    </row>
    <row r="23" spans="1:32" ht="18.75" customHeight="1" x14ac:dyDescent="0.2">
      <c r="A23" s="972">
        <v>9</v>
      </c>
      <c r="B23" s="461" t="s">
        <v>147</v>
      </c>
      <c r="C23" s="972" t="s">
        <v>46</v>
      </c>
      <c r="D23" s="972">
        <v>650.1</v>
      </c>
      <c r="E23" s="972" t="s">
        <v>74</v>
      </c>
      <c r="F23" s="972">
        <v>177.8</v>
      </c>
      <c r="G23" s="972" t="s">
        <v>28</v>
      </c>
      <c r="H23" s="972" t="s">
        <v>52</v>
      </c>
      <c r="I23" s="968">
        <v>591.98</v>
      </c>
      <c r="J23" s="972">
        <v>150</v>
      </c>
      <c r="K23" s="972"/>
      <c r="L23" s="972">
        <v>458</v>
      </c>
      <c r="M23" s="972"/>
      <c r="N23" s="972">
        <v>2.8</v>
      </c>
      <c r="O23" s="972"/>
      <c r="P23" s="668">
        <v>12.709816300707695</v>
      </c>
      <c r="Q23" s="995">
        <f t="shared" si="2"/>
        <v>33</v>
      </c>
      <c r="R23" s="432">
        <v>5.5799583333333329</v>
      </c>
      <c r="S23" s="432">
        <v>12.907833333333331</v>
      </c>
      <c r="T23" s="670">
        <v>78</v>
      </c>
      <c r="U23" s="668">
        <f t="shared" si="0"/>
        <v>13.978599003875479</v>
      </c>
      <c r="V23" s="668">
        <f t="shared" si="3"/>
        <v>56.770759358012569</v>
      </c>
      <c r="W23" s="668">
        <v>0.3</v>
      </c>
      <c r="X23" s="432">
        <f t="shared" si="7"/>
        <v>0.39114646464646458</v>
      </c>
      <c r="Y23" s="432">
        <f t="shared" si="4"/>
        <v>5.4962589583333328</v>
      </c>
      <c r="Z23" s="432">
        <f t="shared" si="4"/>
        <v>12.714215833333331</v>
      </c>
      <c r="AA23" s="670">
        <f t="shared" si="4"/>
        <v>76.83</v>
      </c>
      <c r="AB23" s="432">
        <f t="shared" si="5"/>
        <v>13.978599003875479</v>
      </c>
      <c r="AC23" s="670">
        <f t="shared" si="1"/>
        <v>56.770759358012569</v>
      </c>
      <c r="AD23" s="972">
        <v>31</v>
      </c>
      <c r="AE23" s="432">
        <f t="shared" si="6"/>
        <v>170.38402770833332</v>
      </c>
      <c r="AF23" s="669"/>
    </row>
    <row r="24" spans="1:32" ht="18.75" customHeight="1" x14ac:dyDescent="0.2">
      <c r="A24" s="972">
        <v>10</v>
      </c>
      <c r="B24" s="461" t="s">
        <v>148</v>
      </c>
      <c r="C24" s="972" t="s">
        <v>46</v>
      </c>
      <c r="D24" s="972">
        <v>640.20000000000005</v>
      </c>
      <c r="E24" s="972" t="s">
        <v>398</v>
      </c>
      <c r="F24" s="972">
        <v>177.8</v>
      </c>
      <c r="G24" s="972" t="s">
        <v>28</v>
      </c>
      <c r="H24" s="831" t="s">
        <v>466</v>
      </c>
      <c r="I24" s="968">
        <v>565.38</v>
      </c>
      <c r="J24" s="972">
        <v>120</v>
      </c>
      <c r="K24" s="972"/>
      <c r="L24" s="972">
        <v>425</v>
      </c>
      <c r="M24" s="972"/>
      <c r="N24" s="972">
        <v>0.2</v>
      </c>
      <c r="O24" s="972"/>
      <c r="P24" s="668">
        <v>8.8928522601482296</v>
      </c>
      <c r="Q24" s="995">
        <f>J24*13/100</f>
        <v>15.6</v>
      </c>
      <c r="R24" s="432">
        <v>2.8479999999999994</v>
      </c>
      <c r="S24" s="432">
        <v>3.140333333333333</v>
      </c>
      <c r="T24" s="670">
        <v>0</v>
      </c>
      <c r="U24" s="668">
        <f t="shared" si="0"/>
        <v>0</v>
      </c>
      <c r="V24" s="668">
        <f t="shared" si="3"/>
        <v>9.3089905530198571</v>
      </c>
      <c r="W24" s="668">
        <v>0.2</v>
      </c>
      <c r="X24" s="432">
        <f t="shared" si="7"/>
        <v>0.20130341880341879</v>
      </c>
      <c r="Y24" s="432">
        <f t="shared" si="4"/>
        <v>2.8052799999999993</v>
      </c>
      <c r="Z24" s="432">
        <f t="shared" si="4"/>
        <v>3.0932283333333328</v>
      </c>
      <c r="AA24" s="670">
        <f t="shared" si="4"/>
        <v>0</v>
      </c>
      <c r="AB24" s="432">
        <f t="shared" si="5"/>
        <v>0</v>
      </c>
      <c r="AC24" s="670">
        <f t="shared" si="1"/>
        <v>9.3089905530198571</v>
      </c>
      <c r="AD24" s="972">
        <v>31</v>
      </c>
      <c r="AE24" s="432">
        <f t="shared" si="6"/>
        <v>86.963679999999982</v>
      </c>
      <c r="AF24" s="669"/>
    </row>
    <row r="25" spans="1:32" ht="18.75" customHeight="1" x14ac:dyDescent="0.2">
      <c r="A25" s="972">
        <v>11</v>
      </c>
      <c r="B25" s="461" t="s">
        <v>149</v>
      </c>
      <c r="C25" s="972" t="s">
        <v>46</v>
      </c>
      <c r="D25" s="972">
        <v>606.29999999999995</v>
      </c>
      <c r="E25" s="972" t="s">
        <v>76</v>
      </c>
      <c r="F25" s="972">
        <v>177.8</v>
      </c>
      <c r="G25" s="972" t="s">
        <v>28</v>
      </c>
      <c r="H25" s="972" t="s">
        <v>487</v>
      </c>
      <c r="I25" s="968">
        <v>591.96</v>
      </c>
      <c r="J25" s="972">
        <v>135</v>
      </c>
      <c r="K25" s="972"/>
      <c r="L25" s="972">
        <v>460</v>
      </c>
      <c r="M25" s="972"/>
      <c r="N25" s="972">
        <v>5.5</v>
      </c>
      <c r="O25" s="972"/>
      <c r="P25" s="668">
        <v>13.632223284545562</v>
      </c>
      <c r="Q25" s="995">
        <f t="shared" si="2"/>
        <v>20.25</v>
      </c>
      <c r="R25" s="432">
        <v>0.9095833333333333</v>
      </c>
      <c r="S25" s="432">
        <v>2.0197916666666669</v>
      </c>
      <c r="T25" s="670">
        <v>4</v>
      </c>
      <c r="U25" s="668">
        <f t="shared" si="0"/>
        <v>4.3976179569399907</v>
      </c>
      <c r="V25" s="668">
        <f t="shared" si="3"/>
        <v>54.966477565755547</v>
      </c>
      <c r="W25" s="668">
        <v>0.5</v>
      </c>
      <c r="X25" s="432">
        <f t="shared" si="7"/>
        <v>9.9742798353909479E-2</v>
      </c>
      <c r="Y25" s="432">
        <f t="shared" si="4"/>
        <v>0.89593958333333323</v>
      </c>
      <c r="Z25" s="432">
        <f t="shared" si="4"/>
        <v>1.9894947916666668</v>
      </c>
      <c r="AA25" s="670">
        <f t="shared" si="4"/>
        <v>3.94</v>
      </c>
      <c r="AB25" s="432">
        <f t="shared" si="5"/>
        <v>4.3976179569399907</v>
      </c>
      <c r="AC25" s="670">
        <f t="shared" si="1"/>
        <v>54.966477565755547</v>
      </c>
      <c r="AD25" s="972">
        <v>31</v>
      </c>
      <c r="AE25" s="432">
        <f t="shared" si="6"/>
        <v>27.77412708333333</v>
      </c>
      <c r="AF25" s="449"/>
    </row>
    <row r="26" spans="1:32" ht="18.75" customHeight="1" x14ac:dyDescent="0.2">
      <c r="A26" s="972">
        <v>12</v>
      </c>
      <c r="B26" s="461" t="s">
        <v>150</v>
      </c>
      <c r="C26" s="972" t="s">
        <v>46</v>
      </c>
      <c r="D26" s="972">
        <v>661</v>
      </c>
      <c r="E26" s="679" t="s">
        <v>433</v>
      </c>
      <c r="F26" s="972">
        <v>177.8</v>
      </c>
      <c r="G26" s="972" t="s">
        <v>28</v>
      </c>
      <c r="H26" s="972" t="s">
        <v>53</v>
      </c>
      <c r="I26" s="968">
        <v>555.72</v>
      </c>
      <c r="J26" s="972">
        <v>0</v>
      </c>
      <c r="K26" s="972"/>
      <c r="L26" s="972"/>
      <c r="M26" s="972"/>
      <c r="N26" s="972"/>
      <c r="O26" s="972"/>
      <c r="P26" s="668">
        <v>43.685850175429259</v>
      </c>
      <c r="Q26" s="995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972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972">
        <v>13</v>
      </c>
      <c r="B27" s="461" t="s">
        <v>151</v>
      </c>
      <c r="C27" s="972" t="s">
        <v>46</v>
      </c>
      <c r="D27" s="972">
        <v>658.32</v>
      </c>
      <c r="E27" s="968" t="s">
        <v>298</v>
      </c>
      <c r="F27" s="972">
        <v>177.8</v>
      </c>
      <c r="G27" s="972" t="s">
        <v>28</v>
      </c>
      <c r="H27" s="972" t="s">
        <v>52</v>
      </c>
      <c r="I27" s="968">
        <v>552.47</v>
      </c>
      <c r="J27" s="972">
        <v>160</v>
      </c>
      <c r="K27" s="972"/>
      <c r="L27" s="972">
        <v>304</v>
      </c>
      <c r="M27" s="972"/>
      <c r="N27" s="972">
        <v>3.1</v>
      </c>
      <c r="O27" s="972"/>
      <c r="P27" s="668">
        <v>28.072351433077753</v>
      </c>
      <c r="Q27" s="995">
        <f t="shared" si="2"/>
        <v>35.200000000000003</v>
      </c>
      <c r="R27" s="432">
        <v>9.8108333333333313</v>
      </c>
      <c r="S27" s="432">
        <v>24.565416666666664</v>
      </c>
      <c r="T27" s="670">
        <v>16</v>
      </c>
      <c r="U27" s="668">
        <f t="shared" si="0"/>
        <v>1.6308502505733462</v>
      </c>
      <c r="V27" s="668">
        <f t="shared" si="3"/>
        <v>60.062418372712322</v>
      </c>
      <c r="W27" s="668">
        <v>0.4</v>
      </c>
      <c r="X27" s="432">
        <f t="shared" si="7"/>
        <v>0.69788115530303019</v>
      </c>
      <c r="Y27" s="432">
        <f t="shared" si="4"/>
        <v>9.663670833333331</v>
      </c>
      <c r="Z27" s="432">
        <f t="shared" si="4"/>
        <v>24.196935416666665</v>
      </c>
      <c r="AA27" s="670">
        <f t="shared" si="4"/>
        <v>15.76</v>
      </c>
      <c r="AB27" s="432">
        <f t="shared" si="5"/>
        <v>1.6308502505733462</v>
      </c>
      <c r="AC27" s="670">
        <f t="shared" si="1"/>
        <v>60.062418372712322</v>
      </c>
      <c r="AD27" s="972">
        <v>31</v>
      </c>
      <c r="AE27" s="432">
        <f t="shared" si="6"/>
        <v>299.57379583333324</v>
      </c>
      <c r="AF27" s="449"/>
    </row>
    <row r="28" spans="1:32" ht="18.75" customHeight="1" x14ac:dyDescent="0.2">
      <c r="A28" s="972">
        <v>14</v>
      </c>
      <c r="B28" s="461" t="s">
        <v>36</v>
      </c>
      <c r="C28" s="972" t="s">
        <v>46</v>
      </c>
      <c r="D28" s="972">
        <v>584.5</v>
      </c>
      <c r="E28" s="968" t="s">
        <v>79</v>
      </c>
      <c r="F28" s="972">
        <v>177.8</v>
      </c>
      <c r="G28" s="972" t="s">
        <v>28</v>
      </c>
      <c r="H28" s="972" t="s">
        <v>49</v>
      </c>
      <c r="I28" s="968">
        <v>525.03</v>
      </c>
      <c r="J28" s="972">
        <v>200</v>
      </c>
      <c r="K28" s="972"/>
      <c r="L28" s="972">
        <v>347</v>
      </c>
      <c r="M28" s="972"/>
      <c r="N28" s="972">
        <v>5.8</v>
      </c>
      <c r="O28" s="972"/>
      <c r="P28" s="668">
        <v>25.447474503422125</v>
      </c>
      <c r="Q28" s="995">
        <f t="shared" si="2"/>
        <v>64</v>
      </c>
      <c r="R28" s="432">
        <v>15.796458333333335</v>
      </c>
      <c r="S28" s="432">
        <v>32.458708333333334</v>
      </c>
      <c r="T28" s="670">
        <v>250</v>
      </c>
      <c r="U28" s="668">
        <f t="shared" si="0"/>
        <v>15.826332379357185</v>
      </c>
      <c r="V28" s="668">
        <f t="shared" si="3"/>
        <v>51.33368163910815</v>
      </c>
      <c r="W28" s="668">
        <v>0.2</v>
      </c>
      <c r="X28" s="432">
        <f t="shared" si="7"/>
        <v>0.50716731770833334</v>
      </c>
      <c r="Y28" s="432">
        <f t="shared" si="4"/>
        <v>15.559511458333334</v>
      </c>
      <c r="Z28" s="432">
        <f t="shared" si="4"/>
        <v>31.971827708333333</v>
      </c>
      <c r="AA28" s="670">
        <f t="shared" si="4"/>
        <v>246.25</v>
      </c>
      <c r="AB28" s="432">
        <f t="shared" si="5"/>
        <v>15.826332379357185</v>
      </c>
      <c r="AC28" s="670">
        <f t="shared" si="1"/>
        <v>51.33368163910815</v>
      </c>
      <c r="AD28" s="972">
        <v>31</v>
      </c>
      <c r="AE28" s="432">
        <f t="shared" si="6"/>
        <v>482.34485520833334</v>
      </c>
      <c r="AF28" s="669"/>
    </row>
    <row r="29" spans="1:32" ht="18.75" customHeight="1" x14ac:dyDescent="0.2">
      <c r="A29" s="972">
        <v>15</v>
      </c>
      <c r="B29" s="461" t="s">
        <v>152</v>
      </c>
      <c r="C29" s="972" t="s">
        <v>46</v>
      </c>
      <c r="D29" s="972">
        <v>565</v>
      </c>
      <c r="E29" s="968" t="s">
        <v>80</v>
      </c>
      <c r="F29" s="972">
        <v>177.8</v>
      </c>
      <c r="G29" s="972" t="s">
        <v>28</v>
      </c>
      <c r="H29" s="972" t="s">
        <v>491</v>
      </c>
      <c r="I29" s="437">
        <v>520.03</v>
      </c>
      <c r="J29" s="972">
        <v>180</v>
      </c>
      <c r="K29" s="972"/>
      <c r="L29" s="972">
        <v>399</v>
      </c>
      <c r="M29" s="972"/>
      <c r="N29" s="972">
        <v>8.3000000000000007</v>
      </c>
      <c r="O29" s="972"/>
      <c r="P29" s="668">
        <v>21.210424521791357</v>
      </c>
      <c r="Q29" s="995">
        <f>J29*23/100</f>
        <v>41.4</v>
      </c>
      <c r="R29" s="432">
        <v>11.269500000000001</v>
      </c>
      <c r="S29" s="432">
        <v>28.407708333333346</v>
      </c>
      <c r="T29" s="670">
        <v>984</v>
      </c>
      <c r="U29" s="668">
        <f t="shared" si="0"/>
        <v>87.315320111806201</v>
      </c>
      <c r="V29" s="668">
        <f t="shared" si="3"/>
        <v>60.329429365562468</v>
      </c>
      <c r="W29" s="668">
        <v>0.3</v>
      </c>
      <c r="X29" s="432">
        <f t="shared" si="7"/>
        <v>0.68617652979066057</v>
      </c>
      <c r="Y29" s="432">
        <f t="shared" si="4"/>
        <v>11.100457500000001</v>
      </c>
      <c r="Z29" s="432">
        <f t="shared" si="4"/>
        <v>27.981592708333345</v>
      </c>
      <c r="AA29" s="670">
        <f t="shared" si="4"/>
        <v>969.24</v>
      </c>
      <c r="AB29" s="432">
        <f t="shared" si="5"/>
        <v>87.315320111806201</v>
      </c>
      <c r="AC29" s="670">
        <f t="shared" si="1"/>
        <v>60.329429365562468</v>
      </c>
      <c r="AD29" s="972">
        <v>31</v>
      </c>
      <c r="AE29" s="432">
        <f t="shared" si="6"/>
        <v>344.11418250000003</v>
      </c>
      <c r="AF29" s="669"/>
    </row>
    <row r="30" spans="1:32" ht="18.75" customHeight="1" x14ac:dyDescent="0.2">
      <c r="A30" s="972">
        <v>16</v>
      </c>
      <c r="B30" s="461" t="s">
        <v>37</v>
      </c>
      <c r="C30" s="972" t="s">
        <v>46</v>
      </c>
      <c r="D30" s="972">
        <v>670</v>
      </c>
      <c r="E30" s="972" t="s">
        <v>81</v>
      </c>
      <c r="F30" s="972">
        <v>177.8</v>
      </c>
      <c r="G30" s="972" t="s">
        <v>28</v>
      </c>
      <c r="H30" s="972" t="s">
        <v>48</v>
      </c>
      <c r="I30" s="968">
        <v>570.95000000000005</v>
      </c>
      <c r="J30" s="972">
        <v>95</v>
      </c>
      <c r="K30" s="972"/>
      <c r="L30" s="972">
        <v>437</v>
      </c>
      <c r="M30" s="972"/>
      <c r="N30" s="972">
        <v>5.3</v>
      </c>
      <c r="O30" s="972"/>
      <c r="P30" s="668">
        <v>18.052211638910713</v>
      </c>
      <c r="Q30" s="995">
        <f t="shared" si="2"/>
        <v>12.35</v>
      </c>
      <c r="R30" s="432">
        <v>3.2330000000000001</v>
      </c>
      <c r="S30" s="432">
        <v>6.1765833333333324</v>
      </c>
      <c r="T30" s="670">
        <v>13</v>
      </c>
      <c r="U30" s="668">
        <f t="shared" si="0"/>
        <v>4.0210330961954837</v>
      </c>
      <c r="V30" s="668">
        <f t="shared" si="3"/>
        <v>47.657145940986787</v>
      </c>
      <c r="W30" s="668">
        <v>0.4</v>
      </c>
      <c r="X30" s="432">
        <f t="shared" si="7"/>
        <v>0.50012820512820511</v>
      </c>
      <c r="Y30" s="432">
        <f t="shared" si="4"/>
        <v>3.1845050000000001</v>
      </c>
      <c r="Z30" s="432">
        <f t="shared" si="4"/>
        <v>6.083934583333332</v>
      </c>
      <c r="AA30" s="670">
        <f t="shared" si="4"/>
        <v>12.805</v>
      </c>
      <c r="AB30" s="432">
        <f t="shared" si="5"/>
        <v>4.0210330961954837</v>
      </c>
      <c r="AC30" s="670">
        <f t="shared" si="1"/>
        <v>47.657145940986787</v>
      </c>
      <c r="AD30" s="972">
        <v>31</v>
      </c>
      <c r="AE30" s="432">
        <f>Y30*AD30</f>
        <v>98.719655000000003</v>
      </c>
      <c r="AF30" s="449"/>
    </row>
    <row r="31" spans="1:32" ht="18.75" customHeight="1" x14ac:dyDescent="0.2">
      <c r="A31" s="972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972" t="s">
        <v>491</v>
      </c>
      <c r="I31" s="461">
        <v>454.95</v>
      </c>
      <c r="J31" s="461">
        <v>150</v>
      </c>
      <c r="K31" s="461"/>
      <c r="L31" s="461">
        <v>200</v>
      </c>
      <c r="M31" s="461"/>
      <c r="N31" s="461">
        <v>11</v>
      </c>
      <c r="O31" s="461"/>
      <c r="P31" s="671">
        <v>13.30306744988761</v>
      </c>
      <c r="Q31" s="995">
        <f>J31*13/100</f>
        <v>19.5</v>
      </c>
      <c r="R31" s="672">
        <v>11.359384615384617</v>
      </c>
      <c r="S31" s="432">
        <v>25.399923076923077</v>
      </c>
      <c r="T31" s="699">
        <v>16</v>
      </c>
      <c r="U31" s="668">
        <f t="shared" si="0"/>
        <v>1.4085270057966301</v>
      </c>
      <c r="V31" s="668">
        <f t="shared" si="3"/>
        <v>55.277877885759793</v>
      </c>
      <c r="W31" s="671">
        <v>0.3</v>
      </c>
      <c r="X31" s="432">
        <f t="shared" si="7"/>
        <v>1.3025601577909269</v>
      </c>
      <c r="Y31" s="432">
        <f t="shared" si="4"/>
        <v>11.188993846153847</v>
      </c>
      <c r="Z31" s="432">
        <f t="shared" si="4"/>
        <v>25.01892423076923</v>
      </c>
      <c r="AA31" s="670">
        <f t="shared" si="4"/>
        <v>15.76</v>
      </c>
      <c r="AB31" s="672">
        <f t="shared" si="5"/>
        <v>1.4085270057966301</v>
      </c>
      <c r="AC31" s="699">
        <f t="shared" si="1"/>
        <v>55.277877885759793</v>
      </c>
      <c r="AD31" s="972">
        <v>31</v>
      </c>
      <c r="AE31" s="672">
        <f>Y31*AD31</f>
        <v>346.85880923076928</v>
      </c>
      <c r="AF31" s="461"/>
    </row>
    <row r="32" spans="1:32" ht="18.600000000000001" customHeight="1" x14ac:dyDescent="0.2">
      <c r="A32" s="972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972">
        <v>177.8</v>
      </c>
      <c r="G32" s="972" t="s">
        <v>28</v>
      </c>
      <c r="H32" s="972" t="s">
        <v>364</v>
      </c>
      <c r="I32" s="437">
        <v>565.79999999999995</v>
      </c>
      <c r="J32" s="972">
        <v>250</v>
      </c>
      <c r="K32" s="972"/>
      <c r="L32" s="972">
        <v>440</v>
      </c>
      <c r="M32" s="972"/>
      <c r="N32" s="972">
        <v>8.8000000000000007</v>
      </c>
      <c r="O32" s="972"/>
      <c r="P32" s="668">
        <v>16.602824877651649</v>
      </c>
      <c r="Q32" s="995">
        <f>J32*13/100</f>
        <v>32.5</v>
      </c>
      <c r="R32" s="432">
        <v>1.1260000000000001</v>
      </c>
      <c r="S32" s="432">
        <v>2.1215000000000002</v>
      </c>
      <c r="T32" s="670">
        <v>86</v>
      </c>
      <c r="U32" s="668">
        <f t="shared" si="0"/>
        <v>76.376554174067493</v>
      </c>
      <c r="V32" s="668">
        <f t="shared" si="3"/>
        <v>46.924345981616774</v>
      </c>
      <c r="W32" s="668">
        <v>0.3</v>
      </c>
      <c r="X32" s="432">
        <f t="shared" si="7"/>
        <v>6.527692307692308E-2</v>
      </c>
      <c r="Y32" s="432">
        <f t="shared" si="4"/>
        <v>1.10911</v>
      </c>
      <c r="Z32" s="432">
        <f t="shared" si="4"/>
        <v>2.0896775000000001</v>
      </c>
      <c r="AA32" s="670">
        <f t="shared" si="4"/>
        <v>84.71</v>
      </c>
      <c r="AB32" s="672">
        <f t="shared" si="5"/>
        <v>76.376554174067493</v>
      </c>
      <c r="AC32" s="699">
        <f t="shared" si="1"/>
        <v>46.924345981616774</v>
      </c>
      <c r="AD32" s="972">
        <v>31</v>
      </c>
      <c r="AE32" s="672">
        <f>Y32*AD32</f>
        <v>34.38241</v>
      </c>
      <c r="AF32" s="669"/>
    </row>
    <row r="33" spans="1:32" ht="18.75" customHeight="1" x14ac:dyDescent="0.2">
      <c r="A33" s="972">
        <v>19</v>
      </c>
      <c r="B33" s="461" t="s">
        <v>38</v>
      </c>
      <c r="C33" s="972" t="s">
        <v>46</v>
      </c>
      <c r="D33" s="668">
        <v>580</v>
      </c>
      <c r="E33" s="972" t="s">
        <v>84</v>
      </c>
      <c r="F33" s="972">
        <v>177.8</v>
      </c>
      <c r="G33" s="972" t="s">
        <v>28</v>
      </c>
      <c r="H33" s="972" t="s">
        <v>52</v>
      </c>
      <c r="I33" s="968">
        <v>565.38</v>
      </c>
      <c r="J33" s="972">
        <v>85</v>
      </c>
      <c r="K33" s="972"/>
      <c r="L33" s="972">
        <v>441</v>
      </c>
      <c r="M33" s="972"/>
      <c r="N33" s="972">
        <v>0.1</v>
      </c>
      <c r="O33" s="972"/>
      <c r="P33" s="668">
        <v>6.3099763033688694</v>
      </c>
      <c r="Q33" s="995">
        <f t="shared" si="2"/>
        <v>18.7</v>
      </c>
      <c r="R33" s="432">
        <v>2.2837083333333332</v>
      </c>
      <c r="S33" s="432">
        <v>5.2666250000000003</v>
      </c>
      <c r="T33" s="670">
        <v>3</v>
      </c>
      <c r="U33" s="668">
        <f t="shared" si="0"/>
        <v>1.3136528672298347</v>
      </c>
      <c r="V33" s="668">
        <f t="shared" si="3"/>
        <v>56.638106314132244</v>
      </c>
      <c r="W33" s="668">
        <v>0.2</v>
      </c>
      <c r="X33" s="432">
        <f t="shared" si="7"/>
        <v>0.28163770053475939</v>
      </c>
      <c r="Y33" s="432">
        <f t="shared" si="4"/>
        <v>2.2494527083333331</v>
      </c>
      <c r="Z33" s="432">
        <f t="shared" si="4"/>
        <v>5.1876256249999999</v>
      </c>
      <c r="AA33" s="670">
        <f t="shared" si="4"/>
        <v>2.9550000000000001</v>
      </c>
      <c r="AB33" s="432">
        <f>U33</f>
        <v>1.3136528672298347</v>
      </c>
      <c r="AC33" s="699">
        <f t="shared" si="1"/>
        <v>56.638106314132244</v>
      </c>
      <c r="AD33" s="972">
        <v>31</v>
      </c>
      <c r="AE33" s="432">
        <f t="shared" si="6"/>
        <v>69.733033958333323</v>
      </c>
      <c r="AF33" s="669"/>
    </row>
    <row r="34" spans="1:32" ht="18.75" customHeight="1" x14ac:dyDescent="0.2">
      <c r="A34" s="972">
        <v>20</v>
      </c>
      <c r="B34" s="461" t="s">
        <v>39</v>
      </c>
      <c r="C34" s="972" t="s">
        <v>46</v>
      </c>
      <c r="D34" s="972">
        <v>728.6</v>
      </c>
      <c r="E34" s="972" t="s">
        <v>411</v>
      </c>
      <c r="F34" s="972">
        <v>177.8</v>
      </c>
      <c r="G34" s="972" t="s">
        <v>28</v>
      </c>
      <c r="H34" s="972" t="s">
        <v>380</v>
      </c>
      <c r="I34" s="968">
        <v>551.77</v>
      </c>
      <c r="J34" s="972">
        <v>350</v>
      </c>
      <c r="K34" s="972"/>
      <c r="L34" s="972">
        <v>457</v>
      </c>
      <c r="M34" s="972"/>
      <c r="N34" s="972">
        <v>2.2000000000000002</v>
      </c>
      <c r="O34" s="972"/>
      <c r="P34" s="668">
        <v>12.370671269773785</v>
      </c>
      <c r="Q34" s="995">
        <f>J34*23/100</f>
        <v>80.5</v>
      </c>
      <c r="R34" s="432">
        <v>2.5705416666666658</v>
      </c>
      <c r="S34" s="432">
        <v>6.8683749999999995</v>
      </c>
      <c r="T34" s="670">
        <v>74</v>
      </c>
      <c r="U34" s="668">
        <f t="shared" si="0"/>
        <v>28.787706871119909</v>
      </c>
      <c r="V34" s="668">
        <f t="shared" si="3"/>
        <v>62.574238205300873</v>
      </c>
      <c r="W34" s="668">
        <v>0.2</v>
      </c>
      <c r="X34" s="432">
        <f t="shared" si="7"/>
        <v>8.5321428571428562E-2</v>
      </c>
      <c r="Y34" s="432">
        <f t="shared" si="4"/>
        <v>2.5319835416666656</v>
      </c>
      <c r="Z34" s="432">
        <f t="shared" si="4"/>
        <v>6.7653493749999996</v>
      </c>
      <c r="AA34" s="670">
        <f t="shared" si="4"/>
        <v>72.89</v>
      </c>
      <c r="AB34" s="432">
        <f t="shared" si="5"/>
        <v>28.787706871119909</v>
      </c>
      <c r="AC34" s="699">
        <f t="shared" si="1"/>
        <v>62.574238205300873</v>
      </c>
      <c r="AD34" s="972">
        <v>31</v>
      </c>
      <c r="AE34" s="432">
        <f t="shared" si="6"/>
        <v>78.491489791666638</v>
      </c>
      <c r="AF34" s="669"/>
    </row>
    <row r="35" spans="1:32" ht="18.75" customHeight="1" x14ac:dyDescent="0.2">
      <c r="A35" s="972">
        <v>21</v>
      </c>
      <c r="B35" s="461" t="s">
        <v>40</v>
      </c>
      <c r="C35" s="972" t="s">
        <v>46</v>
      </c>
      <c r="D35" s="972">
        <v>679.7</v>
      </c>
      <c r="E35" s="972" t="s">
        <v>86</v>
      </c>
      <c r="F35" s="972">
        <v>177.8</v>
      </c>
      <c r="G35" s="972" t="s">
        <v>28</v>
      </c>
      <c r="H35" s="972" t="s">
        <v>487</v>
      </c>
      <c r="I35" s="968">
        <v>563.22</v>
      </c>
      <c r="J35" s="972">
        <v>115</v>
      </c>
      <c r="K35" s="972"/>
      <c r="L35" s="972">
        <v>421</v>
      </c>
      <c r="M35" s="972"/>
      <c r="N35" s="972">
        <v>1.4</v>
      </c>
      <c r="O35" s="972"/>
      <c r="P35" s="668">
        <v>43.445014230906118</v>
      </c>
      <c r="Q35" s="995">
        <f t="shared" si="2"/>
        <v>17.25</v>
      </c>
      <c r="R35" s="432">
        <v>2.2023333333333333</v>
      </c>
      <c r="S35" s="432">
        <v>8.8531249999999986</v>
      </c>
      <c r="T35" s="670">
        <v>30</v>
      </c>
      <c r="U35" s="668">
        <f>IF(R35=0,0,T35/R35)</f>
        <v>13.621916149538368</v>
      </c>
      <c r="V35" s="668">
        <f t="shared" si="3"/>
        <v>75.123661607247911</v>
      </c>
      <c r="W35" s="668">
        <v>0.3</v>
      </c>
      <c r="X35" s="432">
        <f t="shared" si="7"/>
        <v>0.51322463768115933</v>
      </c>
      <c r="Y35" s="432">
        <f t="shared" si="4"/>
        <v>2.1692983333333333</v>
      </c>
      <c r="Z35" s="432">
        <f t="shared" si="4"/>
        <v>8.7203281249999982</v>
      </c>
      <c r="AA35" s="670">
        <f t="shared" si="4"/>
        <v>29.55</v>
      </c>
      <c r="AB35" s="432">
        <f t="shared" si="5"/>
        <v>13.621916149538368</v>
      </c>
      <c r="AC35" s="699">
        <v>70</v>
      </c>
      <c r="AD35" s="972">
        <v>31</v>
      </c>
      <c r="AE35" s="432">
        <f>Y35*AD35</f>
        <v>67.248248333333336</v>
      </c>
      <c r="AF35" s="449"/>
    </row>
    <row r="36" spans="1:32" ht="18.75" customHeight="1" x14ac:dyDescent="0.2">
      <c r="A36" s="972">
        <v>22</v>
      </c>
      <c r="B36" s="461" t="s">
        <v>41</v>
      </c>
      <c r="C36" s="972" t="s">
        <v>46</v>
      </c>
      <c r="D36" s="972">
        <v>573.70000000000005</v>
      </c>
      <c r="E36" s="972" t="s">
        <v>87</v>
      </c>
      <c r="F36" s="972">
        <v>177.8</v>
      </c>
      <c r="G36" s="972" t="s">
        <v>28</v>
      </c>
      <c r="H36" s="972" t="s">
        <v>52</v>
      </c>
      <c r="I36" s="968">
        <v>554.30999999999995</v>
      </c>
      <c r="J36" s="972">
        <v>317</v>
      </c>
      <c r="K36" s="972"/>
      <c r="L36" s="972">
        <v>466</v>
      </c>
      <c r="M36" s="972"/>
      <c r="N36" s="972">
        <v>5.7</v>
      </c>
      <c r="O36" s="972"/>
      <c r="P36" s="668">
        <v>12.613881275674633</v>
      </c>
      <c r="Q36" s="995">
        <f t="shared" si="2"/>
        <v>69.739999999999995</v>
      </c>
      <c r="R36" s="432">
        <v>10.006791666666667</v>
      </c>
      <c r="S36" s="432">
        <v>12.450208333333334</v>
      </c>
      <c r="T36" s="670">
        <v>336</v>
      </c>
      <c r="U36" s="668">
        <f t="shared" ref="U36:U77" si="8">IF(R36=0,0,T36/R36)</f>
        <v>33.577195488064355</v>
      </c>
      <c r="V36" s="668">
        <f t="shared" si="3"/>
        <v>19.625508274627272</v>
      </c>
      <c r="W36" s="668">
        <v>0.4</v>
      </c>
      <c r="X36" s="432">
        <f t="shared" si="7"/>
        <v>0.17852320523850496</v>
      </c>
      <c r="Y36" s="432">
        <f t="shared" si="4"/>
        <v>9.8566897916666658</v>
      </c>
      <c r="Z36" s="432">
        <f t="shared" si="4"/>
        <v>12.263455208333333</v>
      </c>
      <c r="AA36" s="670">
        <f t="shared" si="4"/>
        <v>330.96</v>
      </c>
      <c r="AB36" s="432">
        <v>89.536086956521729</v>
      </c>
      <c r="AC36" s="699">
        <f t="shared" si="1"/>
        <v>19.625508274627272</v>
      </c>
      <c r="AD36" s="972">
        <v>31</v>
      </c>
      <c r="AE36" s="432">
        <f t="shared" si="6"/>
        <v>305.55738354166664</v>
      </c>
      <c r="AF36" s="673"/>
    </row>
    <row r="37" spans="1:32" ht="18.75" customHeight="1" x14ac:dyDescent="0.2">
      <c r="A37" s="972">
        <v>23</v>
      </c>
      <c r="B37" s="461" t="s">
        <v>42</v>
      </c>
      <c r="C37" s="972" t="s">
        <v>46</v>
      </c>
      <c r="D37" s="972">
        <v>583.20000000000005</v>
      </c>
      <c r="E37" s="972" t="s">
        <v>434</v>
      </c>
      <c r="F37" s="972">
        <v>177.8</v>
      </c>
      <c r="G37" s="972" t="s">
        <v>28</v>
      </c>
      <c r="H37" s="972" t="s">
        <v>48</v>
      </c>
      <c r="I37" s="968">
        <v>565.09</v>
      </c>
      <c r="J37" s="972">
        <v>358</v>
      </c>
      <c r="K37" s="972"/>
      <c r="L37" s="972">
        <v>224</v>
      </c>
      <c r="M37" s="972"/>
      <c r="N37" s="972">
        <v>6.6</v>
      </c>
      <c r="O37" s="972"/>
      <c r="P37" s="668">
        <v>44.820708982668634</v>
      </c>
      <c r="Q37" s="995">
        <f t="shared" si="2"/>
        <v>46.54</v>
      </c>
      <c r="R37" s="432">
        <v>3.6146250000000002</v>
      </c>
      <c r="S37" s="432">
        <v>12.319749999999999</v>
      </c>
      <c r="T37" s="670">
        <v>6</v>
      </c>
      <c r="U37" s="668">
        <f t="shared" si="8"/>
        <v>1.6599232285506795</v>
      </c>
      <c r="V37" s="668">
        <f t="shared" si="3"/>
        <v>70.659915988554957</v>
      </c>
      <c r="W37" s="668">
        <v>0.3</v>
      </c>
      <c r="X37" s="432">
        <f t="shared" si="7"/>
        <v>0.26471314997851308</v>
      </c>
      <c r="Y37" s="432">
        <f t="shared" si="4"/>
        <v>3.560405625</v>
      </c>
      <c r="Z37" s="432">
        <f t="shared" si="4"/>
        <v>12.134953749999999</v>
      </c>
      <c r="AA37" s="670">
        <f t="shared" si="4"/>
        <v>5.91</v>
      </c>
      <c r="AB37" s="432">
        <f t="shared" si="5"/>
        <v>1.6599232285506795</v>
      </c>
      <c r="AC37" s="670">
        <f t="shared" si="1"/>
        <v>70.659915988554957</v>
      </c>
      <c r="AD37" s="972">
        <v>31</v>
      </c>
      <c r="AE37" s="432">
        <f t="shared" si="6"/>
        <v>110.372574375</v>
      </c>
      <c r="AF37" s="449"/>
    </row>
    <row r="38" spans="1:32" ht="18.75" customHeight="1" x14ac:dyDescent="0.2">
      <c r="A38" s="972">
        <v>24</v>
      </c>
      <c r="B38" s="461" t="s">
        <v>43</v>
      </c>
      <c r="C38" s="972" t="s">
        <v>46</v>
      </c>
      <c r="D38" s="972">
        <v>682.7</v>
      </c>
      <c r="E38" s="972" t="s">
        <v>435</v>
      </c>
      <c r="F38" s="972">
        <v>177.8</v>
      </c>
      <c r="G38" s="972" t="s">
        <v>28</v>
      </c>
      <c r="H38" s="972" t="s">
        <v>399</v>
      </c>
      <c r="I38" s="446">
        <v>575.91</v>
      </c>
      <c r="J38" s="972">
        <v>200</v>
      </c>
      <c r="K38" s="972"/>
      <c r="L38" s="972">
        <v>325</v>
      </c>
      <c r="M38" s="972"/>
      <c r="N38" s="972">
        <v>5.6</v>
      </c>
      <c r="O38" s="972"/>
      <c r="P38" s="668">
        <v>32.195505550647191</v>
      </c>
      <c r="Q38" s="995">
        <f>J38*13/100</f>
        <v>26</v>
      </c>
      <c r="R38" s="432">
        <v>5.1038749999999995</v>
      </c>
      <c r="S38" s="432">
        <v>26.511750000000003</v>
      </c>
      <c r="T38" s="670">
        <v>27</v>
      </c>
      <c r="U38" s="668">
        <f t="shared" si="8"/>
        <v>5.2900982096936158</v>
      </c>
      <c r="V38" s="668">
        <f t="shared" si="3"/>
        <v>80.74863032429019</v>
      </c>
      <c r="W38" s="668">
        <v>0.3</v>
      </c>
      <c r="X38" s="432">
        <f t="shared" si="7"/>
        <v>1.0196826923076925</v>
      </c>
      <c r="Y38" s="432">
        <f t="shared" si="4"/>
        <v>5.0273168749999995</v>
      </c>
      <c r="Z38" s="432">
        <f t="shared" si="4"/>
        <v>26.114073750000003</v>
      </c>
      <c r="AA38" s="670">
        <f t="shared" si="4"/>
        <v>26.594999999999999</v>
      </c>
      <c r="AB38" s="432">
        <f t="shared" si="5"/>
        <v>5.2900982096936158</v>
      </c>
      <c r="AC38" s="670">
        <f t="shared" si="1"/>
        <v>80.74863032429019</v>
      </c>
      <c r="AD38" s="972">
        <v>31</v>
      </c>
      <c r="AE38" s="432">
        <f t="shared" si="6"/>
        <v>155.84682312499999</v>
      </c>
      <c r="AF38" s="669"/>
    </row>
    <row r="39" spans="1:32" ht="18.75" customHeight="1" x14ac:dyDescent="0.2">
      <c r="A39" s="972">
        <v>25</v>
      </c>
      <c r="B39" s="461" t="s">
        <v>44</v>
      </c>
      <c r="C39" s="972" t="s">
        <v>46</v>
      </c>
      <c r="D39" s="972">
        <v>614.20000000000005</v>
      </c>
      <c r="E39" s="972" t="s">
        <v>90</v>
      </c>
      <c r="F39" s="972">
        <v>177.8</v>
      </c>
      <c r="G39" s="972" t="s">
        <v>28</v>
      </c>
      <c r="H39" s="972" t="s">
        <v>52</v>
      </c>
      <c r="I39" s="446">
        <v>573.37</v>
      </c>
      <c r="J39" s="972">
        <v>270</v>
      </c>
      <c r="K39" s="972"/>
      <c r="L39" s="972">
        <v>213</v>
      </c>
      <c r="M39" s="972"/>
      <c r="N39" s="972">
        <v>6.2</v>
      </c>
      <c r="O39" s="972"/>
      <c r="P39" s="668">
        <v>40.521672595684045</v>
      </c>
      <c r="Q39" s="995">
        <f t="shared" si="2"/>
        <v>59.4</v>
      </c>
      <c r="R39" s="432">
        <v>5.2794166666666671</v>
      </c>
      <c r="S39" s="432">
        <v>40.209583333333335</v>
      </c>
      <c r="T39" s="670">
        <v>126</v>
      </c>
      <c r="U39" s="668">
        <f t="shared" si="8"/>
        <v>23.866273104667496</v>
      </c>
      <c r="V39" s="668">
        <f t="shared" si="3"/>
        <v>86.870252738256838</v>
      </c>
      <c r="W39" s="668">
        <v>0.2</v>
      </c>
      <c r="X39" s="432">
        <f t="shared" si="7"/>
        <v>0.67692901234567904</v>
      </c>
      <c r="Y39" s="432">
        <f t="shared" si="4"/>
        <v>5.200225416666667</v>
      </c>
      <c r="Z39" s="432">
        <f t="shared" si="4"/>
        <v>39.606439583333334</v>
      </c>
      <c r="AA39" s="670">
        <f t="shared" si="4"/>
        <v>124.11</v>
      </c>
      <c r="AB39" s="432">
        <f t="shared" si="5"/>
        <v>23.866273104667496</v>
      </c>
      <c r="AC39" s="670">
        <f t="shared" si="1"/>
        <v>86.870252738256838</v>
      </c>
      <c r="AD39" s="972">
        <v>31</v>
      </c>
      <c r="AE39" s="432">
        <f t="shared" si="6"/>
        <v>161.20698791666669</v>
      </c>
      <c r="AF39" s="669"/>
    </row>
    <row r="40" spans="1:32" ht="18.75" customHeight="1" x14ac:dyDescent="0.2">
      <c r="A40" s="972">
        <v>26</v>
      </c>
      <c r="B40" s="461" t="s">
        <v>45</v>
      </c>
      <c r="C40" s="972" t="s">
        <v>46</v>
      </c>
      <c r="D40" s="972">
        <v>636.4</v>
      </c>
      <c r="E40" s="972" t="s">
        <v>91</v>
      </c>
      <c r="F40" s="972">
        <v>177.8</v>
      </c>
      <c r="G40" s="972" t="s">
        <v>28</v>
      </c>
      <c r="H40" s="972" t="s">
        <v>52</v>
      </c>
      <c r="I40" s="968">
        <v>592.95000000000005</v>
      </c>
      <c r="J40" s="972">
        <v>300</v>
      </c>
      <c r="K40" s="972"/>
      <c r="L40" s="972">
        <v>473</v>
      </c>
      <c r="M40" s="972"/>
      <c r="N40" s="972">
        <v>8.5</v>
      </c>
      <c r="O40" s="972"/>
      <c r="P40" s="668">
        <v>14.431394020297301</v>
      </c>
      <c r="Q40" s="995">
        <f>LEFT(H40,(FIND("K",H40,1)-1))*J40/100</f>
        <v>66</v>
      </c>
      <c r="R40" s="432">
        <v>13.964166666666664</v>
      </c>
      <c r="S40" s="432">
        <v>42.729708333333342</v>
      </c>
      <c r="T40" s="670">
        <v>226</v>
      </c>
      <c r="U40" s="668">
        <f t="shared" si="8"/>
        <v>16.184281195918128</v>
      </c>
      <c r="V40" s="668">
        <f t="shared" si="3"/>
        <v>67.31977069037643</v>
      </c>
      <c r="W40" s="668">
        <v>0.3</v>
      </c>
      <c r="X40" s="432">
        <f t="shared" si="7"/>
        <v>0.64741982323232339</v>
      </c>
      <c r="Y40" s="432">
        <f t="shared" si="4"/>
        <v>13.754704166666663</v>
      </c>
      <c r="Z40" s="432">
        <f t="shared" si="4"/>
        <v>42.088762708333341</v>
      </c>
      <c r="AA40" s="670">
        <f t="shared" si="4"/>
        <v>222.60999999999999</v>
      </c>
      <c r="AB40" s="432">
        <f t="shared" si="5"/>
        <v>16.184281195918128</v>
      </c>
      <c r="AC40" s="670">
        <f t="shared" si="1"/>
        <v>67.31977069037643</v>
      </c>
      <c r="AD40" s="972">
        <v>31</v>
      </c>
      <c r="AE40" s="432">
        <f t="shared" si="6"/>
        <v>426.39582916666654</v>
      </c>
      <c r="AF40" s="669"/>
    </row>
    <row r="41" spans="1:32" ht="18.75" customHeight="1" x14ac:dyDescent="0.2">
      <c r="A41" s="972">
        <v>27</v>
      </c>
      <c r="B41" s="461" t="s">
        <v>206</v>
      </c>
      <c r="C41" s="972" t="s">
        <v>46</v>
      </c>
      <c r="D41" s="972">
        <v>660.2</v>
      </c>
      <c r="E41" s="972" t="s">
        <v>436</v>
      </c>
      <c r="F41" s="972">
        <v>177.8</v>
      </c>
      <c r="G41" s="972" t="s">
        <v>28</v>
      </c>
      <c r="H41" s="972" t="s">
        <v>212</v>
      </c>
      <c r="I41" s="968">
        <v>547.63</v>
      </c>
      <c r="J41" s="972">
        <v>300</v>
      </c>
      <c r="K41" s="972"/>
      <c r="L41" s="972">
        <v>246</v>
      </c>
      <c r="M41" s="972"/>
      <c r="N41" s="972">
        <v>7.4</v>
      </c>
      <c r="O41" s="972"/>
      <c r="P41" s="668">
        <v>34.827006944915517</v>
      </c>
      <c r="Q41" s="995">
        <f t="shared" ref="Q41:Q73" si="9">LEFT(H41,(FIND("K",H41,1)-1))*J41/100</f>
        <v>24</v>
      </c>
      <c r="R41" s="432">
        <v>4.9853333333333332</v>
      </c>
      <c r="S41" s="432">
        <v>14.900083333333333</v>
      </c>
      <c r="T41" s="670">
        <v>134</v>
      </c>
      <c r="U41" s="668">
        <f t="shared" si="8"/>
        <v>26.878844610858518</v>
      </c>
      <c r="V41" s="668">
        <f t="shared" si="3"/>
        <v>66.541574152269845</v>
      </c>
      <c r="W41" s="668">
        <v>0.3</v>
      </c>
      <c r="X41" s="432">
        <f t="shared" si="7"/>
        <v>0.62083680555555554</v>
      </c>
      <c r="Y41" s="432">
        <f t="shared" si="4"/>
        <v>4.9105533333333335</v>
      </c>
      <c r="Z41" s="432">
        <f t="shared" si="4"/>
        <v>14.676582083333333</v>
      </c>
      <c r="AA41" s="670">
        <f t="shared" si="4"/>
        <v>131.99</v>
      </c>
      <c r="AB41" s="432">
        <f t="shared" si="5"/>
        <v>26.878844610858518</v>
      </c>
      <c r="AC41" s="670">
        <f t="shared" si="1"/>
        <v>66.541574152269845</v>
      </c>
      <c r="AD41" s="972">
        <v>31</v>
      </c>
      <c r="AE41" s="432">
        <f t="shared" si="6"/>
        <v>152.22715333333335</v>
      </c>
      <c r="AF41" s="669"/>
    </row>
    <row r="42" spans="1:32" ht="18.75" customHeight="1" x14ac:dyDescent="0.2">
      <c r="A42" s="972">
        <v>28</v>
      </c>
      <c r="B42" s="969" t="s">
        <v>161</v>
      </c>
      <c r="C42" s="972" t="s">
        <v>46</v>
      </c>
      <c r="D42" s="968">
        <v>677</v>
      </c>
      <c r="E42" s="679" t="s">
        <v>178</v>
      </c>
      <c r="F42" s="972">
        <v>177.8</v>
      </c>
      <c r="G42" s="972" t="s">
        <v>28</v>
      </c>
      <c r="H42" s="972" t="s">
        <v>52</v>
      </c>
      <c r="I42" s="968">
        <v>571.98</v>
      </c>
      <c r="J42" s="968">
        <v>140</v>
      </c>
      <c r="K42" s="968"/>
      <c r="L42" s="968">
        <v>227</v>
      </c>
      <c r="M42" s="968"/>
      <c r="N42" s="972">
        <v>5.8</v>
      </c>
      <c r="O42" s="968"/>
      <c r="P42" s="448">
        <v>37.930280103191443</v>
      </c>
      <c r="Q42" s="995">
        <f t="shared" si="9"/>
        <v>30.8</v>
      </c>
      <c r="R42" s="432">
        <v>15.441499999999998</v>
      </c>
      <c r="S42" s="432">
        <v>26.757541666666665</v>
      </c>
      <c r="T42" s="492">
        <v>279</v>
      </c>
      <c r="U42" s="668">
        <f t="shared" si="8"/>
        <v>18.068192856911573</v>
      </c>
      <c r="V42" s="668">
        <f t="shared" si="3"/>
        <v>42.291036327764296</v>
      </c>
      <c r="W42" s="668">
        <v>0.3</v>
      </c>
      <c r="X42" s="432">
        <f t="shared" si="7"/>
        <v>0.86875135281385274</v>
      </c>
      <c r="Y42" s="432">
        <f t="shared" si="4"/>
        <v>15.209877499999997</v>
      </c>
      <c r="Z42" s="432">
        <f t="shared" si="4"/>
        <v>26.356178541666665</v>
      </c>
      <c r="AA42" s="670">
        <f t="shared" si="4"/>
        <v>274.815</v>
      </c>
      <c r="AB42" s="432">
        <f t="shared" si="5"/>
        <v>18.068192856911573</v>
      </c>
      <c r="AC42" s="670">
        <f t="shared" si="1"/>
        <v>42.291036327764296</v>
      </c>
      <c r="AD42" s="972">
        <v>31</v>
      </c>
      <c r="AE42" s="432">
        <f t="shared" si="6"/>
        <v>471.50620249999992</v>
      </c>
      <c r="AF42" s="449"/>
    </row>
    <row r="43" spans="1:32" ht="18.75" customHeight="1" x14ac:dyDescent="0.2">
      <c r="A43" s="972">
        <v>29</v>
      </c>
      <c r="B43" s="969" t="s">
        <v>162</v>
      </c>
      <c r="C43" s="972" t="s">
        <v>46</v>
      </c>
      <c r="D43" s="968">
        <v>676</v>
      </c>
      <c r="E43" s="679" t="s">
        <v>437</v>
      </c>
      <c r="F43" s="972">
        <v>177.8</v>
      </c>
      <c r="G43" s="972" t="s">
        <v>28</v>
      </c>
      <c r="H43" s="972" t="s">
        <v>50</v>
      </c>
      <c r="I43" s="968">
        <v>549.20000000000005</v>
      </c>
      <c r="J43" s="968">
        <v>150</v>
      </c>
      <c r="K43" s="968"/>
      <c r="L43" s="972">
        <v>424</v>
      </c>
      <c r="M43" s="968"/>
      <c r="N43" s="972">
        <v>3.9</v>
      </c>
      <c r="O43" s="968"/>
      <c r="P43" s="448">
        <v>8.7491753859289219</v>
      </c>
      <c r="Q43" s="995">
        <f t="shared" si="9"/>
        <v>9</v>
      </c>
      <c r="R43" s="432">
        <v>1.0636666666666665</v>
      </c>
      <c r="S43" s="432">
        <v>1.6492916666666668</v>
      </c>
      <c r="T43" s="492">
        <v>10</v>
      </c>
      <c r="U43" s="668">
        <f t="shared" si="8"/>
        <v>9.4014415543716723</v>
      </c>
      <c r="V43" s="668">
        <f t="shared" si="3"/>
        <v>35.507667432988924</v>
      </c>
      <c r="W43" s="668">
        <v>0.2</v>
      </c>
      <c r="X43" s="432">
        <f t="shared" si="7"/>
        <v>0.18325462962962966</v>
      </c>
      <c r="Y43" s="432">
        <f t="shared" si="4"/>
        <v>1.0477116666666666</v>
      </c>
      <c r="Z43" s="432">
        <f t="shared" si="4"/>
        <v>1.6245522916666668</v>
      </c>
      <c r="AA43" s="670">
        <f t="shared" si="4"/>
        <v>9.85</v>
      </c>
      <c r="AB43" s="432">
        <f t="shared" si="5"/>
        <v>9.4014415543716723</v>
      </c>
      <c r="AC43" s="670">
        <f t="shared" si="1"/>
        <v>35.507667432988924</v>
      </c>
      <c r="AD43" s="972">
        <v>31</v>
      </c>
      <c r="AE43" s="432">
        <f t="shared" si="6"/>
        <v>32.479061666666666</v>
      </c>
      <c r="AF43" s="449"/>
    </row>
    <row r="44" spans="1:32" ht="18.75" customHeight="1" x14ac:dyDescent="0.2">
      <c r="A44" s="972">
        <v>30</v>
      </c>
      <c r="B44" s="969" t="s">
        <v>163</v>
      </c>
      <c r="C44" s="972" t="s">
        <v>46</v>
      </c>
      <c r="D44" s="968">
        <v>597</v>
      </c>
      <c r="E44" s="972" t="s">
        <v>443</v>
      </c>
      <c r="F44" s="972">
        <v>177.8</v>
      </c>
      <c r="G44" s="972" t="s">
        <v>28</v>
      </c>
      <c r="H44" s="972" t="s">
        <v>487</v>
      </c>
      <c r="I44" s="968">
        <v>553.79</v>
      </c>
      <c r="J44" s="968">
        <v>85</v>
      </c>
      <c r="K44" s="968"/>
      <c r="L44" s="968">
        <v>427</v>
      </c>
      <c r="M44" s="968"/>
      <c r="N44" s="972">
        <v>4.3</v>
      </c>
      <c r="O44" s="968"/>
      <c r="P44" s="448">
        <v>32.977632975325037</v>
      </c>
      <c r="Q44" s="995">
        <f t="shared" si="9"/>
        <v>12.75</v>
      </c>
      <c r="R44" s="432">
        <v>3.3306666666666671</v>
      </c>
      <c r="S44" s="432">
        <v>10.194000000000001</v>
      </c>
      <c r="T44" s="492">
        <v>12</v>
      </c>
      <c r="U44" s="668">
        <f t="shared" si="8"/>
        <v>3.6028823058446751</v>
      </c>
      <c r="V44" s="668">
        <f t="shared" si="3"/>
        <v>67.327185926361906</v>
      </c>
      <c r="W44" s="668">
        <v>0.5</v>
      </c>
      <c r="X44" s="432">
        <f t="shared" si="7"/>
        <v>0.79952941176470593</v>
      </c>
      <c r="Y44" s="432">
        <f t="shared" si="4"/>
        <v>3.2807066666666671</v>
      </c>
      <c r="Z44" s="432">
        <f t="shared" si="4"/>
        <v>10.041090000000001</v>
      </c>
      <c r="AA44" s="670">
        <f t="shared" si="4"/>
        <v>11.82</v>
      </c>
      <c r="AB44" s="432">
        <f t="shared" si="5"/>
        <v>3.6028823058446751</v>
      </c>
      <c r="AC44" s="670">
        <f t="shared" si="1"/>
        <v>67.327185926361906</v>
      </c>
      <c r="AD44" s="972">
        <v>31</v>
      </c>
      <c r="AE44" s="432">
        <f t="shared" si="6"/>
        <v>101.70190666666667</v>
      </c>
      <c r="AF44" s="449"/>
    </row>
    <row r="45" spans="1:32" ht="18.75" customHeight="1" x14ac:dyDescent="0.2">
      <c r="A45" s="972">
        <v>31</v>
      </c>
      <c r="B45" s="461" t="s">
        <v>59</v>
      </c>
      <c r="C45" s="972" t="s">
        <v>46</v>
      </c>
      <c r="D45" s="972">
        <v>637.16</v>
      </c>
      <c r="E45" s="972" t="s">
        <v>454</v>
      </c>
      <c r="F45" s="972">
        <v>177.8</v>
      </c>
      <c r="G45" s="972" t="s">
        <v>28</v>
      </c>
      <c r="H45" s="972" t="s">
        <v>48</v>
      </c>
      <c r="I45" s="968">
        <v>536.89</v>
      </c>
      <c r="J45" s="972">
        <v>300</v>
      </c>
      <c r="K45" s="972"/>
      <c r="L45" s="972">
        <v>426</v>
      </c>
      <c r="M45" s="972"/>
      <c r="N45" s="972">
        <v>4.5</v>
      </c>
      <c r="O45" s="972"/>
      <c r="P45" s="668">
        <v>18.826357831890004</v>
      </c>
      <c r="Q45" s="995">
        <f t="shared" si="9"/>
        <v>39</v>
      </c>
      <c r="R45" s="432">
        <v>4.1507916666666667</v>
      </c>
      <c r="S45" s="432">
        <v>9.3470833333333321</v>
      </c>
      <c r="T45" s="670">
        <v>91</v>
      </c>
      <c r="U45" s="668">
        <f t="shared" si="8"/>
        <v>21.923528644134151</v>
      </c>
      <c r="V45" s="668">
        <f t="shared" si="3"/>
        <v>55.592653679846649</v>
      </c>
      <c r="W45" s="668">
        <v>0.6</v>
      </c>
      <c r="X45" s="432">
        <f t="shared" si="7"/>
        <v>0.23966880341880339</v>
      </c>
      <c r="Y45" s="432">
        <f t="shared" si="4"/>
        <v>4.0885297916666667</v>
      </c>
      <c r="Z45" s="432">
        <f t="shared" si="4"/>
        <v>9.2068770833333318</v>
      </c>
      <c r="AA45" s="670">
        <f t="shared" si="4"/>
        <v>89.635000000000005</v>
      </c>
      <c r="AB45" s="432">
        <f>U45</f>
        <v>21.923528644134151</v>
      </c>
      <c r="AC45" s="670">
        <f t="shared" si="1"/>
        <v>55.592653679846649</v>
      </c>
      <c r="AD45" s="972">
        <v>31</v>
      </c>
      <c r="AE45" s="432">
        <f t="shared" si="6"/>
        <v>126.74442354166666</v>
      </c>
      <c r="AF45" s="449"/>
    </row>
    <row r="46" spans="1:32" ht="18.600000000000001" customHeight="1" x14ac:dyDescent="0.2">
      <c r="A46" s="972">
        <v>32</v>
      </c>
      <c r="B46" s="461" t="s">
        <v>207</v>
      </c>
      <c r="C46" s="972" t="s">
        <v>46</v>
      </c>
      <c r="D46" s="972">
        <v>673</v>
      </c>
      <c r="E46" s="972" t="s">
        <v>420</v>
      </c>
      <c r="F46" s="972">
        <v>177.8</v>
      </c>
      <c r="G46" s="972" t="s">
        <v>28</v>
      </c>
      <c r="H46" s="972" t="s">
        <v>50</v>
      </c>
      <c r="I46" s="968">
        <v>564.41999999999996</v>
      </c>
      <c r="J46" s="972">
        <v>215</v>
      </c>
      <c r="K46" s="972"/>
      <c r="L46" s="972">
        <v>192</v>
      </c>
      <c r="M46" s="972"/>
      <c r="N46" s="668">
        <v>0.1</v>
      </c>
      <c r="O46" s="972"/>
      <c r="P46" s="668">
        <v>36.867484565277088</v>
      </c>
      <c r="Q46" s="995">
        <f t="shared" si="9"/>
        <v>12.9</v>
      </c>
      <c r="R46" s="432">
        <v>2.842541666666667</v>
      </c>
      <c r="S46" s="432">
        <v>9.6741250000000001</v>
      </c>
      <c r="T46" s="670">
        <v>0</v>
      </c>
      <c r="U46" s="668">
        <f t="shared" si="8"/>
        <v>0</v>
      </c>
      <c r="V46" s="668">
        <f t="shared" si="3"/>
        <v>70.617067004337159</v>
      </c>
      <c r="W46" s="668">
        <v>0.3</v>
      </c>
      <c r="X46" s="432">
        <f t="shared" si="7"/>
        <v>0.74993217054263561</v>
      </c>
      <c r="Y46" s="432">
        <f t="shared" si="4"/>
        <v>2.7999035416666671</v>
      </c>
      <c r="Z46" s="432">
        <f t="shared" si="4"/>
        <v>9.5290131250000005</v>
      </c>
      <c r="AA46" s="670">
        <f t="shared" si="4"/>
        <v>0</v>
      </c>
      <c r="AB46" s="432">
        <f>U46</f>
        <v>0</v>
      </c>
      <c r="AC46" s="670">
        <f t="shared" si="1"/>
        <v>70.617067004337159</v>
      </c>
      <c r="AD46" s="972">
        <v>31</v>
      </c>
      <c r="AE46" s="432">
        <f t="shared" si="6"/>
        <v>86.797009791666682</v>
      </c>
      <c r="AF46" s="449"/>
    </row>
    <row r="47" spans="1:32" ht="18.75" customHeight="1" x14ac:dyDescent="0.25">
      <c r="A47" s="972">
        <v>33</v>
      </c>
      <c r="B47" s="461" t="s">
        <v>196</v>
      </c>
      <c r="C47" s="972" t="s">
        <v>304</v>
      </c>
      <c r="D47" s="972">
        <v>641</v>
      </c>
      <c r="E47" s="972" t="s">
        <v>296</v>
      </c>
      <c r="F47" s="972">
        <v>177.8</v>
      </c>
      <c r="G47" s="972" t="s">
        <v>28</v>
      </c>
      <c r="H47" s="972" t="s">
        <v>50</v>
      </c>
      <c r="I47" s="968">
        <v>611.92999999999995</v>
      </c>
      <c r="J47" s="972">
        <v>0</v>
      </c>
      <c r="K47" s="972">
        <v>496</v>
      </c>
      <c r="L47" s="868"/>
      <c r="M47" s="668">
        <v>0.3</v>
      </c>
      <c r="N47" s="868"/>
      <c r="O47" s="972"/>
      <c r="P47" s="668"/>
      <c r="Q47" s="995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972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972">
        <v>34</v>
      </c>
      <c r="B48" s="461" t="s">
        <v>60</v>
      </c>
      <c r="C48" s="972" t="s">
        <v>46</v>
      </c>
      <c r="D48" s="972">
        <v>638.9</v>
      </c>
      <c r="E48" s="972" t="s">
        <v>462</v>
      </c>
      <c r="F48" s="972">
        <v>177.8</v>
      </c>
      <c r="G48" s="972" t="s">
        <v>28</v>
      </c>
      <c r="H48" s="972" t="s">
        <v>48</v>
      </c>
      <c r="I48" s="968">
        <v>532.05999999999995</v>
      </c>
      <c r="J48" s="972">
        <v>155</v>
      </c>
      <c r="K48" s="972"/>
      <c r="L48" s="972">
        <v>377</v>
      </c>
      <c r="M48" s="972"/>
      <c r="N48" s="972">
        <v>5.3</v>
      </c>
      <c r="O48" s="972"/>
      <c r="P48" s="668">
        <v>22.969737136838344</v>
      </c>
      <c r="Q48" s="995">
        <f t="shared" si="9"/>
        <v>20.149999999999999</v>
      </c>
      <c r="R48" s="432">
        <v>7.0681249999999993</v>
      </c>
      <c r="S48" s="432">
        <v>12.796791666666666</v>
      </c>
      <c r="T48" s="670">
        <v>590</v>
      </c>
      <c r="U48" s="668">
        <f t="shared" si="8"/>
        <v>83.473339817844206</v>
      </c>
      <c r="V48" s="668">
        <f t="shared" si="3"/>
        <v>44.76642908541529</v>
      </c>
      <c r="W48" s="668">
        <v>0.2</v>
      </c>
      <c r="X48" s="432">
        <f t="shared" si="7"/>
        <v>0.63507650951199335</v>
      </c>
      <c r="Y48" s="432">
        <f t="shared" si="4"/>
        <v>6.9621031249999996</v>
      </c>
      <c r="Z48" s="432">
        <f t="shared" si="4"/>
        <v>12.604839791666665</v>
      </c>
      <c r="AA48" s="670">
        <f t="shared" si="4"/>
        <v>581.15</v>
      </c>
      <c r="AB48" s="432">
        <f t="shared" si="5"/>
        <v>83.473339817844206</v>
      </c>
      <c r="AC48" s="670">
        <f t="shared" si="1"/>
        <v>44.76642908541529</v>
      </c>
      <c r="AD48" s="972">
        <v>31</v>
      </c>
      <c r="AE48" s="432">
        <f t="shared" si="6"/>
        <v>215.82519687499999</v>
      </c>
      <c r="AF48" s="449"/>
    </row>
    <row r="49" spans="1:32" ht="18.75" customHeight="1" x14ac:dyDescent="0.2">
      <c r="A49" s="972">
        <v>35</v>
      </c>
      <c r="B49" s="461" t="s">
        <v>119</v>
      </c>
      <c r="C49" s="972" t="s">
        <v>427</v>
      </c>
      <c r="D49" s="972">
        <v>654.07000000000005</v>
      </c>
      <c r="E49" s="972" t="s">
        <v>410</v>
      </c>
      <c r="F49" s="972">
        <v>177.8</v>
      </c>
      <c r="G49" s="972" t="s">
        <v>28</v>
      </c>
      <c r="H49" s="972" t="s">
        <v>399</v>
      </c>
      <c r="I49" s="968">
        <v>521.47</v>
      </c>
      <c r="J49" s="972">
        <v>0</v>
      </c>
      <c r="K49" s="972"/>
      <c r="L49" s="972">
        <v>478</v>
      </c>
      <c r="M49" s="972"/>
      <c r="N49" s="972">
        <v>0</v>
      </c>
      <c r="O49" s="972"/>
      <c r="P49" s="668"/>
      <c r="Q49" s="995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972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972">
        <v>36</v>
      </c>
      <c r="B50" s="461" t="s">
        <v>118</v>
      </c>
      <c r="C50" s="972" t="s">
        <v>408</v>
      </c>
      <c r="D50" s="972">
        <v>728.77</v>
      </c>
      <c r="E50" s="972" t="s">
        <v>442</v>
      </c>
      <c r="F50" s="972">
        <v>177.8</v>
      </c>
      <c r="G50" s="972" t="s">
        <v>28</v>
      </c>
      <c r="H50" s="972" t="s">
        <v>52</v>
      </c>
      <c r="I50" s="968">
        <v>523.04999999999995</v>
      </c>
      <c r="J50" s="972">
        <v>100</v>
      </c>
      <c r="K50" s="972"/>
      <c r="L50" s="972">
        <v>364</v>
      </c>
      <c r="M50" s="972"/>
      <c r="N50" s="972">
        <v>6.8</v>
      </c>
      <c r="O50" s="972"/>
      <c r="P50" s="668">
        <v>27.297686434770107</v>
      </c>
      <c r="Q50" s="995">
        <f t="shared" si="9"/>
        <v>22</v>
      </c>
      <c r="R50" s="432">
        <v>2.6450416666666672</v>
      </c>
      <c r="S50" s="432">
        <v>8.5912083333333324</v>
      </c>
      <c r="T50" s="670">
        <v>42</v>
      </c>
      <c r="U50" s="668">
        <f t="shared" si="8"/>
        <v>15.878766875127988</v>
      </c>
      <c r="V50" s="668">
        <f t="shared" si="3"/>
        <v>69.212227616410175</v>
      </c>
      <c r="W50" s="668">
        <v>0.3</v>
      </c>
      <c r="X50" s="432">
        <f t="shared" si="7"/>
        <v>0.39050946969696965</v>
      </c>
      <c r="Y50" s="432">
        <f t="shared" si="4"/>
        <v>2.6053660416666671</v>
      </c>
      <c r="Z50" s="432">
        <f t="shared" si="4"/>
        <v>8.4623402083333321</v>
      </c>
      <c r="AA50" s="670">
        <f t="shared" si="4"/>
        <v>41.37</v>
      </c>
      <c r="AB50" s="432">
        <f t="shared" si="5"/>
        <v>15.878766875127988</v>
      </c>
      <c r="AC50" s="670">
        <f t="shared" si="1"/>
        <v>69.212227616410175</v>
      </c>
      <c r="AD50" s="972">
        <v>31</v>
      </c>
      <c r="AE50" s="432">
        <f t="shared" si="6"/>
        <v>80.766347291666676</v>
      </c>
      <c r="AF50" s="449"/>
    </row>
    <row r="51" spans="1:32" ht="18.75" customHeight="1" x14ac:dyDescent="0.2">
      <c r="A51" s="972">
        <v>37</v>
      </c>
      <c r="B51" s="461" t="s">
        <v>117</v>
      </c>
      <c r="C51" s="972" t="s">
        <v>46</v>
      </c>
      <c r="D51" s="972">
        <v>671.45</v>
      </c>
      <c r="E51" s="972" t="s">
        <v>128</v>
      </c>
      <c r="F51" s="972">
        <v>177.8</v>
      </c>
      <c r="G51" s="972" t="s">
        <v>28</v>
      </c>
      <c r="H51" s="972" t="s">
        <v>187</v>
      </c>
      <c r="I51" s="968">
        <v>561.1</v>
      </c>
      <c r="J51" s="972">
        <v>250</v>
      </c>
      <c r="K51" s="972"/>
      <c r="L51" s="972">
        <v>109</v>
      </c>
      <c r="M51" s="972"/>
      <c r="N51" s="972">
        <v>1.9</v>
      </c>
      <c r="O51" s="972"/>
      <c r="P51" s="668">
        <v>43.898516969964177</v>
      </c>
      <c r="Q51" s="995">
        <f t="shared" si="9"/>
        <v>15</v>
      </c>
      <c r="R51" s="432">
        <v>0.32824999999999999</v>
      </c>
      <c r="S51" s="432">
        <v>1.4916250000000002</v>
      </c>
      <c r="T51" s="670">
        <v>0</v>
      </c>
      <c r="U51" s="668">
        <f t="shared" si="8"/>
        <v>0</v>
      </c>
      <c r="V51" s="668">
        <f t="shared" si="3"/>
        <v>77.993798709461174</v>
      </c>
      <c r="W51" s="668">
        <v>0.3</v>
      </c>
      <c r="X51" s="432">
        <f t="shared" si="7"/>
        <v>9.9441666666666678E-2</v>
      </c>
      <c r="Y51" s="432">
        <f t="shared" si="4"/>
        <v>0.32332624999999998</v>
      </c>
      <c r="Z51" s="432">
        <f t="shared" si="4"/>
        <v>1.4692506250000001</v>
      </c>
      <c r="AA51" s="670">
        <f t="shared" si="4"/>
        <v>0</v>
      </c>
      <c r="AB51" s="432">
        <f t="shared" si="5"/>
        <v>0</v>
      </c>
      <c r="AC51" s="670">
        <f t="shared" si="1"/>
        <v>77.993798709461174</v>
      </c>
      <c r="AD51" s="972">
        <v>31</v>
      </c>
      <c r="AE51" s="432">
        <f t="shared" si="6"/>
        <v>10.02311375</v>
      </c>
      <c r="AF51" s="669"/>
    </row>
    <row r="52" spans="1:32" ht="18.75" customHeight="1" x14ac:dyDescent="0.2">
      <c r="A52" s="972">
        <v>38</v>
      </c>
      <c r="B52" s="461" t="s">
        <v>130</v>
      </c>
      <c r="C52" s="972" t="s">
        <v>46</v>
      </c>
      <c r="D52" s="972">
        <v>622.6</v>
      </c>
      <c r="E52" s="972" t="s">
        <v>467</v>
      </c>
      <c r="F52" s="972">
        <v>177.8</v>
      </c>
      <c r="G52" s="972" t="s">
        <v>28</v>
      </c>
      <c r="H52" s="972" t="s">
        <v>48</v>
      </c>
      <c r="I52" s="968">
        <v>551.79999999999995</v>
      </c>
      <c r="J52" s="972">
        <v>185</v>
      </c>
      <c r="K52" s="972"/>
      <c r="L52" s="972">
        <v>78</v>
      </c>
      <c r="M52" s="972"/>
      <c r="N52" s="972">
        <v>2</v>
      </c>
      <c r="O52" s="972"/>
      <c r="P52" s="668">
        <v>50.387652144083397</v>
      </c>
      <c r="Q52" s="995">
        <f t="shared" si="9"/>
        <v>24.05</v>
      </c>
      <c r="R52" s="432">
        <v>1.206</v>
      </c>
      <c r="S52" s="432">
        <v>16.60445833333333</v>
      </c>
      <c r="T52" s="670">
        <v>0</v>
      </c>
      <c r="U52" s="668">
        <f t="shared" si="8"/>
        <v>0</v>
      </c>
      <c r="V52" s="668">
        <f t="shared" si="3"/>
        <v>92.736890443580663</v>
      </c>
      <c r="W52" s="668">
        <v>0.3</v>
      </c>
      <c r="X52" s="432">
        <f t="shared" si="7"/>
        <v>0.69041406791406779</v>
      </c>
      <c r="Y52" s="432">
        <f t="shared" si="4"/>
        <v>1.18791</v>
      </c>
      <c r="Z52" s="432">
        <f t="shared" si="4"/>
        <v>16.35539145833333</v>
      </c>
      <c r="AA52" s="670">
        <f t="shared" si="4"/>
        <v>0</v>
      </c>
      <c r="AB52" s="432">
        <f t="shared" si="5"/>
        <v>0</v>
      </c>
      <c r="AC52" s="670">
        <f t="shared" si="1"/>
        <v>92.736890443580663</v>
      </c>
      <c r="AD52" s="972">
        <v>31</v>
      </c>
      <c r="AE52" s="432">
        <f t="shared" si="6"/>
        <v>36.825209999999998</v>
      </c>
      <c r="AF52" s="669"/>
    </row>
    <row r="53" spans="1:32" ht="18.75" customHeight="1" x14ac:dyDescent="0.2">
      <c r="A53" s="972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972">
        <v>177.8</v>
      </c>
      <c r="G53" s="452" t="s">
        <v>28</v>
      </c>
      <c r="H53" s="452" t="s">
        <v>363</v>
      </c>
      <c r="I53" s="453">
        <v>565.65</v>
      </c>
      <c r="J53" s="452">
        <v>210</v>
      </c>
      <c r="K53" s="452"/>
      <c r="L53" s="452">
        <v>444</v>
      </c>
      <c r="M53" s="452"/>
      <c r="N53" s="972">
        <v>4.9000000000000004</v>
      </c>
      <c r="O53" s="452"/>
      <c r="P53" s="675">
        <v>15.435955965872131</v>
      </c>
      <c r="Q53" s="995">
        <f>J53*7/100</f>
        <v>14.7</v>
      </c>
      <c r="R53" s="456">
        <v>2.9830416666666668</v>
      </c>
      <c r="S53" s="432">
        <v>3.2798333333333329</v>
      </c>
      <c r="T53" s="700">
        <v>18</v>
      </c>
      <c r="U53" s="668">
        <f t="shared" si="8"/>
        <v>6.0341094799770927</v>
      </c>
      <c r="V53" s="668">
        <f t="shared" si="3"/>
        <v>9.0489862289750338</v>
      </c>
      <c r="W53" s="675">
        <v>0.2</v>
      </c>
      <c r="X53" s="432">
        <f t="shared" si="7"/>
        <v>0.22311791383219953</v>
      </c>
      <c r="Y53" s="432">
        <f t="shared" si="4"/>
        <v>2.9382960416666668</v>
      </c>
      <c r="Z53" s="432">
        <f t="shared" si="4"/>
        <v>3.2306358333333329</v>
      </c>
      <c r="AA53" s="670">
        <f t="shared" si="4"/>
        <v>17.73</v>
      </c>
      <c r="AB53" s="456">
        <f t="shared" si="5"/>
        <v>6.0341094799770927</v>
      </c>
      <c r="AC53" s="670">
        <f t="shared" si="1"/>
        <v>9.0489862289750338</v>
      </c>
      <c r="AD53" s="972">
        <v>31</v>
      </c>
      <c r="AE53" s="456">
        <f t="shared" si="6"/>
        <v>91.087177291666677</v>
      </c>
      <c r="AF53" s="449"/>
    </row>
    <row r="54" spans="1:32" ht="18.75" customHeight="1" x14ac:dyDescent="0.2">
      <c r="A54" s="972">
        <v>40</v>
      </c>
      <c r="B54" s="461" t="s">
        <v>116</v>
      </c>
      <c r="C54" s="972" t="s">
        <v>46</v>
      </c>
      <c r="D54" s="972">
        <v>681.27</v>
      </c>
      <c r="E54" s="972" t="s">
        <v>455</v>
      </c>
      <c r="F54" s="972">
        <v>177.8</v>
      </c>
      <c r="G54" s="972" t="s">
        <v>28</v>
      </c>
      <c r="H54" s="972" t="s">
        <v>53</v>
      </c>
      <c r="I54" s="968">
        <v>559.23</v>
      </c>
      <c r="J54" s="972">
        <v>135</v>
      </c>
      <c r="K54" s="972"/>
      <c r="L54" s="972">
        <v>228</v>
      </c>
      <c r="M54" s="972"/>
      <c r="N54" s="972">
        <v>5</v>
      </c>
      <c r="O54" s="972"/>
      <c r="P54" s="668">
        <v>36.278622934939648</v>
      </c>
      <c r="Q54" s="996">
        <f t="shared" si="9"/>
        <v>17.55</v>
      </c>
      <c r="R54" s="432">
        <v>1.6402916666666665</v>
      </c>
      <c r="S54" s="432">
        <v>4.6638333333333346</v>
      </c>
      <c r="T54" s="670">
        <v>0</v>
      </c>
      <c r="U54" s="668">
        <f t="shared" si="8"/>
        <v>0</v>
      </c>
      <c r="V54" s="668">
        <f t="shared" si="3"/>
        <v>64.829539363184807</v>
      </c>
      <c r="W54" s="668">
        <v>0.2</v>
      </c>
      <c r="X54" s="432">
        <f t="shared" si="7"/>
        <v>0.26574548907882245</v>
      </c>
      <c r="Y54" s="432">
        <f t="shared" si="4"/>
        <v>1.6156872916666665</v>
      </c>
      <c r="Z54" s="432">
        <f t="shared" si="4"/>
        <v>4.5938758333333345</v>
      </c>
      <c r="AA54" s="670">
        <f t="shared" si="4"/>
        <v>0</v>
      </c>
      <c r="AB54" s="432">
        <f t="shared" si="5"/>
        <v>0</v>
      </c>
      <c r="AC54" s="670">
        <f t="shared" si="1"/>
        <v>64.829539363184807</v>
      </c>
      <c r="AD54" s="972">
        <v>31</v>
      </c>
      <c r="AE54" s="432">
        <f t="shared" si="6"/>
        <v>50.08630604166666</v>
      </c>
      <c r="AF54" s="449"/>
    </row>
    <row r="55" spans="1:32" ht="18.75" customHeight="1" x14ac:dyDescent="0.2">
      <c r="A55" s="972">
        <v>41</v>
      </c>
      <c r="B55" s="461" t="s">
        <v>120</v>
      </c>
      <c r="C55" s="972" t="s">
        <v>46</v>
      </c>
      <c r="D55" s="972">
        <v>668.57</v>
      </c>
      <c r="E55" s="972" t="s">
        <v>285</v>
      </c>
      <c r="F55" s="972">
        <v>177.8</v>
      </c>
      <c r="G55" s="972" t="s">
        <v>28</v>
      </c>
      <c r="H55" s="972" t="s">
        <v>48</v>
      </c>
      <c r="I55" s="968">
        <v>567.08000000000004</v>
      </c>
      <c r="J55" s="972">
        <v>360</v>
      </c>
      <c r="K55" s="972"/>
      <c r="L55" s="972">
        <v>414</v>
      </c>
      <c r="M55" s="972"/>
      <c r="N55" s="972">
        <v>0</v>
      </c>
      <c r="O55" s="972"/>
      <c r="P55" s="668">
        <v>15.977328599526876</v>
      </c>
      <c r="Q55" s="995">
        <f t="shared" si="9"/>
        <v>46.8</v>
      </c>
      <c r="R55" s="432">
        <v>2.8712083333333331</v>
      </c>
      <c r="S55" s="432">
        <v>2.8712083333333331</v>
      </c>
      <c r="T55" s="670">
        <v>10</v>
      </c>
      <c r="U55" s="668">
        <f t="shared" si="8"/>
        <v>3.4828541990160939</v>
      </c>
      <c r="V55" s="668">
        <f t="shared" si="3"/>
        <v>0</v>
      </c>
      <c r="W55" s="668">
        <v>0.3</v>
      </c>
      <c r="X55" s="432">
        <f t="shared" si="7"/>
        <v>6.1350605413105413E-2</v>
      </c>
      <c r="Y55" s="432">
        <f t="shared" si="4"/>
        <v>2.8281402083333331</v>
      </c>
      <c r="Z55" s="432">
        <f t="shared" si="4"/>
        <v>2.8281402083333331</v>
      </c>
      <c r="AA55" s="670">
        <f t="shared" si="4"/>
        <v>9.85</v>
      </c>
      <c r="AB55" s="432">
        <f t="shared" si="5"/>
        <v>3.4828541990160939</v>
      </c>
      <c r="AC55" s="670">
        <f t="shared" si="1"/>
        <v>0</v>
      </c>
      <c r="AD55" s="972">
        <v>31</v>
      </c>
      <c r="AE55" s="432">
        <f t="shared" si="6"/>
        <v>87.672346458333323</v>
      </c>
      <c r="AF55" s="669"/>
    </row>
    <row r="56" spans="1:32" ht="18.75" customHeight="1" x14ac:dyDescent="0.2">
      <c r="A56" s="972">
        <v>42</v>
      </c>
      <c r="B56" s="461" t="s">
        <v>114</v>
      </c>
      <c r="C56" s="972" t="s">
        <v>46</v>
      </c>
      <c r="D56" s="972">
        <v>584.25</v>
      </c>
      <c r="E56" s="972" t="s">
        <v>419</v>
      </c>
      <c r="F56" s="972">
        <v>177.8</v>
      </c>
      <c r="G56" s="972" t="s">
        <v>28</v>
      </c>
      <c r="H56" s="972" t="s">
        <v>492</v>
      </c>
      <c r="I56" s="968">
        <v>560.84</v>
      </c>
      <c r="J56" s="972">
        <v>85</v>
      </c>
      <c r="K56" s="972"/>
      <c r="L56" s="972">
        <v>117</v>
      </c>
      <c r="M56" s="972"/>
      <c r="N56" s="972">
        <v>0.1</v>
      </c>
      <c r="O56" s="972"/>
      <c r="P56" s="668">
        <v>52.27734397937143</v>
      </c>
      <c r="Q56" s="995">
        <f>J56*7/100</f>
        <v>5.95</v>
      </c>
      <c r="R56" s="432">
        <v>0.93895833333333323</v>
      </c>
      <c r="S56" s="432">
        <v>4.6057916666666667</v>
      </c>
      <c r="T56" s="670">
        <v>5</v>
      </c>
      <c r="U56" s="668">
        <f t="shared" si="8"/>
        <v>5.3250499223430223</v>
      </c>
      <c r="V56" s="668">
        <f t="shared" si="3"/>
        <v>79.613530066311426</v>
      </c>
      <c r="W56" s="668">
        <v>0.2</v>
      </c>
      <c r="X56" s="432">
        <f t="shared" si="7"/>
        <v>0.77408263305322123</v>
      </c>
      <c r="Y56" s="432">
        <f t="shared" si="4"/>
        <v>0.92487395833333319</v>
      </c>
      <c r="Z56" s="432">
        <f t="shared" si="4"/>
        <v>4.5367047916666667</v>
      </c>
      <c r="AA56" s="670">
        <f t="shared" si="4"/>
        <v>4.9249999999999998</v>
      </c>
      <c r="AB56" s="432">
        <f t="shared" si="5"/>
        <v>5.3250499223430223</v>
      </c>
      <c r="AC56" s="670">
        <v>0</v>
      </c>
      <c r="AD56" s="972">
        <v>31</v>
      </c>
      <c r="AE56" s="432">
        <f t="shared" si="6"/>
        <v>28.67109270833333</v>
      </c>
      <c r="AF56" s="669"/>
    </row>
    <row r="57" spans="1:32" ht="18.75" customHeight="1" x14ac:dyDescent="0.2">
      <c r="A57" s="972">
        <v>43</v>
      </c>
      <c r="B57" s="461" t="s">
        <v>106</v>
      </c>
      <c r="C57" s="972" t="s">
        <v>46</v>
      </c>
      <c r="D57" s="972">
        <v>642.52</v>
      </c>
      <c r="E57" s="972" t="s">
        <v>457</v>
      </c>
      <c r="F57" s="972">
        <v>177.8</v>
      </c>
      <c r="G57" s="972" t="s">
        <v>28</v>
      </c>
      <c r="H57" s="972" t="s">
        <v>456</v>
      </c>
      <c r="I57" s="968">
        <v>546.55999999999995</v>
      </c>
      <c r="J57" s="972">
        <v>150</v>
      </c>
      <c r="K57" s="972"/>
      <c r="L57" s="972">
        <v>203</v>
      </c>
      <c r="M57" s="972"/>
      <c r="N57" s="972">
        <v>8.1999999999999993</v>
      </c>
      <c r="O57" s="972"/>
      <c r="P57" s="668">
        <v>44.323045037335021</v>
      </c>
      <c r="Q57" s="995">
        <f>J57*23/100</f>
        <v>34.5</v>
      </c>
      <c r="R57" s="432">
        <v>2.9764999999999997</v>
      </c>
      <c r="S57" s="432">
        <v>21.367000000000001</v>
      </c>
      <c r="T57" s="670">
        <v>0</v>
      </c>
      <c r="U57" s="668">
        <f t="shared" si="8"/>
        <v>0</v>
      </c>
      <c r="V57" s="668">
        <f t="shared" si="3"/>
        <v>86.069640099218432</v>
      </c>
      <c r="W57" s="668">
        <v>0.2</v>
      </c>
      <c r="X57" s="432">
        <f t="shared" si="7"/>
        <v>0.6193333333333334</v>
      </c>
      <c r="Y57" s="432">
        <f t="shared" si="4"/>
        <v>2.9318524999999998</v>
      </c>
      <c r="Z57" s="432">
        <f t="shared" si="4"/>
        <v>21.046495</v>
      </c>
      <c r="AA57" s="670">
        <f t="shared" si="4"/>
        <v>0</v>
      </c>
      <c r="AB57" s="432">
        <f t="shared" si="5"/>
        <v>0</v>
      </c>
      <c r="AC57" s="670">
        <f t="shared" si="1"/>
        <v>86.069640099218432</v>
      </c>
      <c r="AD57" s="972">
        <v>31</v>
      </c>
      <c r="AE57" s="432">
        <f t="shared" si="6"/>
        <v>90.887427499999987</v>
      </c>
      <c r="AF57" s="449"/>
    </row>
    <row r="58" spans="1:32" ht="18.75" customHeight="1" x14ac:dyDescent="0.2">
      <c r="A58" s="972">
        <v>44</v>
      </c>
      <c r="B58" s="461" t="s">
        <v>105</v>
      </c>
      <c r="C58" s="972" t="s">
        <v>46</v>
      </c>
      <c r="D58" s="972">
        <v>609.6</v>
      </c>
      <c r="E58" s="972" t="s">
        <v>110</v>
      </c>
      <c r="F58" s="972">
        <v>177.8</v>
      </c>
      <c r="G58" s="972" t="s">
        <v>28</v>
      </c>
      <c r="H58" s="452" t="s">
        <v>406</v>
      </c>
      <c r="I58" s="968">
        <v>512.69000000000005</v>
      </c>
      <c r="J58" s="972">
        <v>0</v>
      </c>
      <c r="K58" s="972">
        <v>377</v>
      </c>
      <c r="L58" s="972"/>
      <c r="M58" s="972">
        <v>0.4</v>
      </c>
      <c r="N58" s="972"/>
      <c r="O58" s="972"/>
      <c r="P58" s="668">
        <v>12.957248526527751</v>
      </c>
      <c r="Q58" s="995">
        <f>J58*20/100</f>
        <v>0</v>
      </c>
      <c r="R58" s="432">
        <v>0</v>
      </c>
      <c r="S58" s="432">
        <v>0</v>
      </c>
      <c r="T58" s="670">
        <v>0</v>
      </c>
      <c r="U58" s="668">
        <f t="shared" si="8"/>
        <v>0</v>
      </c>
      <c r="V58" s="668">
        <f t="shared" si="3"/>
        <v>0</v>
      </c>
      <c r="W58" s="668">
        <v>0</v>
      </c>
      <c r="X58" s="432">
        <f t="shared" si="7"/>
        <v>0</v>
      </c>
      <c r="Y58" s="432">
        <f t="shared" si="4"/>
        <v>0</v>
      </c>
      <c r="Z58" s="432">
        <f t="shared" si="4"/>
        <v>0</v>
      </c>
      <c r="AA58" s="670">
        <f t="shared" si="4"/>
        <v>0</v>
      </c>
      <c r="AB58" s="432">
        <v>0</v>
      </c>
      <c r="AC58" s="670">
        <v>0</v>
      </c>
      <c r="AD58" s="972">
        <v>0</v>
      </c>
      <c r="AE58" s="432">
        <f t="shared" si="6"/>
        <v>0</v>
      </c>
      <c r="AF58" s="669" t="s">
        <v>482</v>
      </c>
    </row>
    <row r="59" spans="1:32" ht="18.75" customHeight="1" x14ac:dyDescent="0.2">
      <c r="A59" s="972">
        <v>45</v>
      </c>
      <c r="B59" s="461" t="s">
        <v>104</v>
      </c>
      <c r="C59" s="972" t="s">
        <v>381</v>
      </c>
      <c r="D59" s="972">
        <v>707.14</v>
      </c>
      <c r="E59" s="968" t="s">
        <v>382</v>
      </c>
      <c r="F59" s="972">
        <v>177.8</v>
      </c>
      <c r="G59" s="972" t="s">
        <v>28</v>
      </c>
      <c r="H59" s="972" t="s">
        <v>383</v>
      </c>
      <c r="I59" s="968">
        <v>682.43000000000052</v>
      </c>
      <c r="J59" s="972">
        <v>254</v>
      </c>
      <c r="K59" s="972"/>
      <c r="L59" s="972">
        <v>554</v>
      </c>
      <c r="M59" s="972"/>
      <c r="N59" s="972">
        <v>6.7</v>
      </c>
      <c r="O59" s="972"/>
      <c r="P59" s="668">
        <v>14.54077871240548</v>
      </c>
      <c r="Q59" s="995">
        <f>J59*3/100</f>
        <v>7.62</v>
      </c>
      <c r="R59" s="432">
        <v>0.60579166666666662</v>
      </c>
      <c r="S59" s="432">
        <v>0.64329166666666671</v>
      </c>
      <c r="T59" s="670">
        <v>0</v>
      </c>
      <c r="U59" s="668">
        <f t="shared" si="8"/>
        <v>0</v>
      </c>
      <c r="V59" s="668">
        <f t="shared" si="3"/>
        <v>5.8293930954077471</v>
      </c>
      <c r="W59" s="668">
        <v>0.3</v>
      </c>
      <c r="X59" s="432">
        <f t="shared" si="7"/>
        <v>8.4421478565179356E-2</v>
      </c>
      <c r="Y59" s="432">
        <f t="shared" si="4"/>
        <v>0.59670479166666657</v>
      </c>
      <c r="Z59" s="432">
        <f t="shared" si="4"/>
        <v>0.63364229166666675</v>
      </c>
      <c r="AA59" s="670">
        <f t="shared" si="4"/>
        <v>0</v>
      </c>
      <c r="AB59" s="432">
        <f t="shared" si="5"/>
        <v>0</v>
      </c>
      <c r="AC59" s="670">
        <f t="shared" si="1"/>
        <v>5.8293930954077471</v>
      </c>
      <c r="AD59" s="972">
        <v>31</v>
      </c>
      <c r="AE59" s="432">
        <f t="shared" si="6"/>
        <v>18.497848541666663</v>
      </c>
      <c r="AF59" s="669"/>
    </row>
    <row r="60" spans="1:32" ht="18.600000000000001" customHeight="1" x14ac:dyDescent="0.3">
      <c r="A60" s="972">
        <v>46</v>
      </c>
      <c r="B60" s="969" t="s">
        <v>158</v>
      </c>
      <c r="C60" s="972" t="s">
        <v>46</v>
      </c>
      <c r="D60" s="968">
        <v>621.12</v>
      </c>
      <c r="E60" s="968" t="s">
        <v>232</v>
      </c>
      <c r="F60" s="972">
        <v>177.8</v>
      </c>
      <c r="G60" s="972" t="s">
        <v>28</v>
      </c>
      <c r="H60" s="972" t="s">
        <v>403</v>
      </c>
      <c r="I60" s="968">
        <v>544.41999999999996</v>
      </c>
      <c r="J60" s="968">
        <v>175</v>
      </c>
      <c r="K60" s="968"/>
      <c r="L60" s="968">
        <v>457</v>
      </c>
      <c r="M60" s="968"/>
      <c r="N60" s="972">
        <v>7.4</v>
      </c>
      <c r="O60" s="968"/>
      <c r="P60" s="448">
        <v>16.237963609289636</v>
      </c>
      <c r="Q60" s="995">
        <f>J60*23/100</f>
        <v>40.25</v>
      </c>
      <c r="R60" s="432">
        <v>6.4596249999999982</v>
      </c>
      <c r="S60" s="432">
        <v>9.0049583333333345</v>
      </c>
      <c r="T60" s="492">
        <v>115</v>
      </c>
      <c r="U60" s="668">
        <f t="shared" si="8"/>
        <v>17.802891034696291</v>
      </c>
      <c r="V60" s="668">
        <f t="shared" si="3"/>
        <v>28.265909059360844</v>
      </c>
      <c r="W60" s="668">
        <v>0.2</v>
      </c>
      <c r="X60" s="432">
        <f t="shared" si="7"/>
        <v>0.22372567287784681</v>
      </c>
      <c r="Y60" s="432">
        <f t="shared" si="4"/>
        <v>6.3627306249999984</v>
      </c>
      <c r="Z60" s="432">
        <f t="shared" si="4"/>
        <v>8.8698839583333342</v>
      </c>
      <c r="AA60" s="670">
        <f t="shared" si="4"/>
        <v>113.27499999999999</v>
      </c>
      <c r="AB60" s="432">
        <f t="shared" si="5"/>
        <v>17.802891034696291</v>
      </c>
      <c r="AC60" s="670">
        <f t="shared" si="1"/>
        <v>28.265909059360844</v>
      </c>
      <c r="AD60" s="972">
        <v>31</v>
      </c>
      <c r="AE60" s="432">
        <f>Y60*AD60</f>
        <v>197.24464937499994</v>
      </c>
      <c r="AF60" s="458"/>
    </row>
    <row r="61" spans="1:32" ht="18.75" customHeight="1" x14ac:dyDescent="0.2">
      <c r="A61" s="972">
        <v>47</v>
      </c>
      <c r="B61" s="969" t="s">
        <v>160</v>
      </c>
      <c r="C61" s="972" t="s">
        <v>304</v>
      </c>
      <c r="D61" s="968">
        <v>677.33</v>
      </c>
      <c r="E61" s="968" t="s">
        <v>315</v>
      </c>
      <c r="F61" s="972">
        <v>177.8</v>
      </c>
      <c r="G61" s="972" t="s">
        <v>28</v>
      </c>
      <c r="H61" s="972" t="s">
        <v>52</v>
      </c>
      <c r="I61" s="968">
        <v>620.78</v>
      </c>
      <c r="J61" s="968">
        <v>0</v>
      </c>
      <c r="K61" s="968">
        <v>51</v>
      </c>
      <c r="L61" s="972">
        <v>0</v>
      </c>
      <c r="M61" s="968"/>
      <c r="N61" s="972">
        <v>0</v>
      </c>
      <c r="O61" s="968"/>
      <c r="P61" s="448">
        <v>49.760394055761445</v>
      </c>
      <c r="Q61" s="995">
        <f t="shared" si="9"/>
        <v>0</v>
      </c>
      <c r="R61" s="432">
        <v>0</v>
      </c>
      <c r="S61" s="432">
        <v>0</v>
      </c>
      <c r="T61" s="492">
        <v>0</v>
      </c>
      <c r="U61" s="668">
        <f t="shared" si="8"/>
        <v>0</v>
      </c>
      <c r="V61" s="668">
        <f t="shared" si="3"/>
        <v>0</v>
      </c>
      <c r="W61" s="668">
        <v>0</v>
      </c>
      <c r="X61" s="432">
        <f t="shared" si="7"/>
        <v>0</v>
      </c>
      <c r="Y61" s="432">
        <f t="shared" si="4"/>
        <v>0</v>
      </c>
      <c r="Z61" s="432">
        <f t="shared" si="4"/>
        <v>0</v>
      </c>
      <c r="AA61" s="670">
        <f t="shared" si="4"/>
        <v>0</v>
      </c>
      <c r="AB61" s="432">
        <f t="shared" si="5"/>
        <v>0</v>
      </c>
      <c r="AC61" s="670">
        <f t="shared" si="1"/>
        <v>0</v>
      </c>
      <c r="AD61" s="972">
        <v>30</v>
      </c>
      <c r="AE61" s="432">
        <f>Y61*AD61</f>
        <v>0</v>
      </c>
      <c r="AF61" s="669" t="s">
        <v>334</v>
      </c>
    </row>
    <row r="62" spans="1:32" ht="18.75" customHeight="1" x14ac:dyDescent="0.2">
      <c r="A62" s="972">
        <v>48</v>
      </c>
      <c r="B62" s="461" t="s">
        <v>164</v>
      </c>
      <c r="C62" s="972" t="s">
        <v>46</v>
      </c>
      <c r="D62" s="968">
        <v>678.47</v>
      </c>
      <c r="E62" s="968" t="s">
        <v>233</v>
      </c>
      <c r="F62" s="972">
        <v>177.8</v>
      </c>
      <c r="G62" s="972" t="s">
        <v>28</v>
      </c>
      <c r="H62" s="972" t="s">
        <v>48</v>
      </c>
      <c r="I62" s="968">
        <v>563.25</v>
      </c>
      <c r="J62" s="968">
        <v>125</v>
      </c>
      <c r="K62" s="968"/>
      <c r="L62" s="968">
        <v>430</v>
      </c>
      <c r="M62" s="968"/>
      <c r="N62" s="972">
        <v>3.7</v>
      </c>
      <c r="O62" s="968"/>
      <c r="P62" s="668">
        <v>17.919805945666621</v>
      </c>
      <c r="Q62" s="995">
        <f t="shared" si="9"/>
        <v>16.25</v>
      </c>
      <c r="R62" s="432">
        <v>5.0205833333333345</v>
      </c>
      <c r="S62" s="432">
        <v>6.633375</v>
      </c>
      <c r="T62" s="670">
        <v>21</v>
      </c>
      <c r="U62" s="668">
        <f t="shared" si="8"/>
        <v>4.1827808853552861</v>
      </c>
      <c r="V62" s="668">
        <f t="shared" si="3"/>
        <v>24.313289489387614</v>
      </c>
      <c r="W62" s="668">
        <v>0.3</v>
      </c>
      <c r="X62" s="432">
        <f t="shared" si="7"/>
        <v>0.40820769230769233</v>
      </c>
      <c r="Y62" s="432">
        <f t="shared" si="4"/>
        <v>4.945274583333334</v>
      </c>
      <c r="Z62" s="432">
        <f t="shared" si="4"/>
        <v>6.5338743749999999</v>
      </c>
      <c r="AA62" s="670">
        <f t="shared" si="4"/>
        <v>20.684999999999999</v>
      </c>
      <c r="AB62" s="432">
        <f t="shared" si="5"/>
        <v>4.1827808853552861</v>
      </c>
      <c r="AC62" s="670">
        <f t="shared" si="1"/>
        <v>24.313289489387614</v>
      </c>
      <c r="AD62" s="972">
        <v>31</v>
      </c>
      <c r="AE62" s="432">
        <f t="shared" ref="AE62:AE76" si="10">Y62*AD62</f>
        <v>153.30351208333335</v>
      </c>
      <c r="AF62" s="669"/>
    </row>
    <row r="63" spans="1:32" ht="18.75" customHeight="1" x14ac:dyDescent="0.2">
      <c r="A63" s="972">
        <v>49</v>
      </c>
      <c r="B63" s="461" t="s">
        <v>61</v>
      </c>
      <c r="C63" s="972" t="s">
        <v>46</v>
      </c>
      <c r="D63" s="972">
        <v>667.18</v>
      </c>
      <c r="E63" s="972" t="s">
        <v>96</v>
      </c>
      <c r="F63" s="972">
        <v>177.8</v>
      </c>
      <c r="G63" s="972" t="s">
        <v>28</v>
      </c>
      <c r="H63" s="972" t="s">
        <v>52</v>
      </c>
      <c r="I63" s="968">
        <v>534.21</v>
      </c>
      <c r="J63" s="972">
        <v>200</v>
      </c>
      <c r="K63" s="972"/>
      <c r="L63" s="972">
        <v>443</v>
      </c>
      <c r="M63" s="972"/>
      <c r="N63" s="972">
        <v>5</v>
      </c>
      <c r="O63" s="972"/>
      <c r="P63" s="668">
        <v>15.839049551597217</v>
      </c>
      <c r="Q63" s="995">
        <f t="shared" si="9"/>
        <v>44</v>
      </c>
      <c r="R63" s="432">
        <v>6.120916666666667</v>
      </c>
      <c r="S63" s="432">
        <v>10.678916666666668</v>
      </c>
      <c r="T63" s="670">
        <v>122</v>
      </c>
      <c r="U63" s="668">
        <f t="shared" si="8"/>
        <v>19.931655117016785</v>
      </c>
      <c r="V63" s="668">
        <f t="shared" si="3"/>
        <v>42.682232124045044</v>
      </c>
      <c r="W63" s="668">
        <v>0.3</v>
      </c>
      <c r="X63" s="432">
        <f t="shared" si="7"/>
        <v>0.24270265151515155</v>
      </c>
      <c r="Y63" s="432">
        <f t="shared" si="4"/>
        <v>6.029102916666667</v>
      </c>
      <c r="Z63" s="432">
        <f t="shared" si="4"/>
        <v>10.518732916666668</v>
      </c>
      <c r="AA63" s="670">
        <f t="shared" si="4"/>
        <v>120.17</v>
      </c>
      <c r="AB63" s="432">
        <f t="shared" si="5"/>
        <v>19.931655117016785</v>
      </c>
      <c r="AC63" s="670">
        <f t="shared" si="1"/>
        <v>42.682232124045044</v>
      </c>
      <c r="AD63" s="972">
        <v>31</v>
      </c>
      <c r="AE63" s="432">
        <f t="shared" si="10"/>
        <v>186.90219041666668</v>
      </c>
      <c r="AF63" s="449"/>
    </row>
    <row r="64" spans="1:32" ht="18.75" customHeight="1" x14ac:dyDescent="0.2">
      <c r="A64" s="972">
        <v>50</v>
      </c>
      <c r="B64" s="461" t="s">
        <v>64</v>
      </c>
      <c r="C64" s="972" t="s">
        <v>46</v>
      </c>
      <c r="D64" s="972">
        <v>672.5</v>
      </c>
      <c r="E64" s="972" t="s">
        <v>444</v>
      </c>
      <c r="F64" s="972">
        <v>177.8</v>
      </c>
      <c r="G64" s="972" t="s">
        <v>28</v>
      </c>
      <c r="H64" s="972" t="s">
        <v>49</v>
      </c>
      <c r="I64" s="968">
        <v>523.78</v>
      </c>
      <c r="J64" s="972">
        <v>140</v>
      </c>
      <c r="K64" s="972"/>
      <c r="L64" s="972">
        <v>406</v>
      </c>
      <c r="M64" s="972"/>
      <c r="N64" s="972">
        <v>7.2</v>
      </c>
      <c r="O64" s="972"/>
      <c r="P64" s="668">
        <v>21.289712231492167</v>
      </c>
      <c r="Q64" s="995">
        <f t="shared" si="9"/>
        <v>44.8</v>
      </c>
      <c r="R64" s="432">
        <v>9.8780833333333309</v>
      </c>
      <c r="S64" s="432">
        <v>13.677500000000002</v>
      </c>
      <c r="T64" s="670">
        <v>1921</v>
      </c>
      <c r="U64" s="668">
        <f t="shared" si="8"/>
        <v>194.47092469018116</v>
      </c>
      <c r="V64" s="668">
        <f t="shared" si="3"/>
        <v>27.77859014196067</v>
      </c>
      <c r="W64" s="668">
        <v>0.2</v>
      </c>
      <c r="X64" s="432">
        <f t="shared" si="7"/>
        <v>0.30530133928571435</v>
      </c>
      <c r="Y64" s="432">
        <f t="shared" si="4"/>
        <v>9.7299120833333301</v>
      </c>
      <c r="Z64" s="432">
        <f t="shared" si="4"/>
        <v>13.472337500000002</v>
      </c>
      <c r="AA64" s="670">
        <f t="shared" si="4"/>
        <v>1892.1849999999999</v>
      </c>
      <c r="AB64" s="432">
        <f t="shared" si="5"/>
        <v>194.47092469018116</v>
      </c>
      <c r="AC64" s="670">
        <f t="shared" si="1"/>
        <v>27.77859014196067</v>
      </c>
      <c r="AD64" s="972">
        <v>31</v>
      </c>
      <c r="AE64" s="432">
        <f t="shared" si="10"/>
        <v>301.62727458333325</v>
      </c>
      <c r="AF64" s="449"/>
    </row>
    <row r="65" spans="1:32" ht="18.75" customHeight="1" x14ac:dyDescent="0.2">
      <c r="A65" s="972">
        <v>51</v>
      </c>
      <c r="B65" s="461" t="s">
        <v>156</v>
      </c>
      <c r="C65" s="972" t="s">
        <v>46</v>
      </c>
      <c r="D65" s="972">
        <v>679.54</v>
      </c>
      <c r="E65" s="972" t="s">
        <v>166</v>
      </c>
      <c r="F65" s="972">
        <v>177.8</v>
      </c>
      <c r="G65" s="972" t="s">
        <v>28</v>
      </c>
      <c r="H65" s="972" t="s">
        <v>52</v>
      </c>
      <c r="I65" s="968">
        <v>530.98</v>
      </c>
      <c r="J65" s="972">
        <v>358</v>
      </c>
      <c r="K65" s="972"/>
      <c r="L65" s="972">
        <v>460</v>
      </c>
      <c r="M65" s="972"/>
      <c r="N65" s="972">
        <v>7.4</v>
      </c>
      <c r="O65" s="972"/>
      <c r="P65" s="668">
        <v>16.658955800256862</v>
      </c>
      <c r="Q65" s="995">
        <f t="shared" si="9"/>
        <v>78.760000000000005</v>
      </c>
      <c r="R65" s="432">
        <v>2.8631666666666669</v>
      </c>
      <c r="S65" s="432">
        <v>4.872041666666667</v>
      </c>
      <c r="T65" s="670">
        <v>50</v>
      </c>
      <c r="U65" s="668">
        <f t="shared" si="8"/>
        <v>17.463181791722452</v>
      </c>
      <c r="V65" s="668">
        <f t="shared" si="3"/>
        <v>41.232713869100053</v>
      </c>
      <c r="W65" s="668">
        <v>0.3</v>
      </c>
      <c r="X65" s="432">
        <f t="shared" si="7"/>
        <v>6.1859340612832235E-2</v>
      </c>
      <c r="Y65" s="432">
        <f t="shared" si="4"/>
        <v>2.8202191666666669</v>
      </c>
      <c r="Z65" s="432">
        <f t="shared" si="4"/>
        <v>4.7989610416666668</v>
      </c>
      <c r="AA65" s="670">
        <f t="shared" si="4"/>
        <v>49.25</v>
      </c>
      <c r="AB65" s="432">
        <f t="shared" si="5"/>
        <v>17.463181791722452</v>
      </c>
      <c r="AC65" s="670">
        <f t="shared" si="1"/>
        <v>41.232713869100053</v>
      </c>
      <c r="AD65" s="972">
        <v>31</v>
      </c>
      <c r="AE65" s="432">
        <f t="shared" si="10"/>
        <v>87.426794166666681</v>
      </c>
      <c r="AF65" s="449"/>
    </row>
    <row r="66" spans="1:32" ht="18.75" customHeight="1" x14ac:dyDescent="0.2">
      <c r="A66" s="972">
        <v>52</v>
      </c>
      <c r="B66" s="461" t="s">
        <v>169</v>
      </c>
      <c r="C66" s="972" t="s">
        <v>46</v>
      </c>
      <c r="D66" s="972">
        <v>647.37</v>
      </c>
      <c r="E66" s="972" t="s">
        <v>463</v>
      </c>
      <c r="F66" s="972">
        <v>177.8</v>
      </c>
      <c r="G66" s="972" t="s">
        <v>28</v>
      </c>
      <c r="H66" s="972" t="s">
        <v>464</v>
      </c>
      <c r="I66" s="968">
        <v>539.76999999999987</v>
      </c>
      <c r="J66" s="972">
        <v>255</v>
      </c>
      <c r="K66" s="972"/>
      <c r="L66" s="972">
        <v>428</v>
      </c>
      <c r="M66" s="972"/>
      <c r="N66" s="972">
        <v>3.9</v>
      </c>
      <c r="O66" s="972"/>
      <c r="P66" s="668">
        <v>17.453467031976455</v>
      </c>
      <c r="Q66" s="995">
        <v>42.9</v>
      </c>
      <c r="R66" s="432">
        <v>3.508916666666666</v>
      </c>
      <c r="S66" s="432">
        <v>8.5022083333333338</v>
      </c>
      <c r="T66" s="670">
        <v>29</v>
      </c>
      <c r="U66" s="668">
        <f t="shared" si="8"/>
        <v>8.2646590828128357</v>
      </c>
      <c r="V66" s="668">
        <f t="shared" si="3"/>
        <v>58.72934972776681</v>
      </c>
      <c r="W66" s="668">
        <v>0.3</v>
      </c>
      <c r="X66" s="432">
        <f t="shared" si="7"/>
        <v>0.19818667443667445</v>
      </c>
      <c r="Y66" s="432">
        <f t="shared" si="4"/>
        <v>3.456282916666666</v>
      </c>
      <c r="Z66" s="432">
        <f t="shared" si="4"/>
        <v>8.3746752083333345</v>
      </c>
      <c r="AA66" s="670">
        <f t="shared" si="4"/>
        <v>28.565000000000001</v>
      </c>
      <c r="AB66" s="432">
        <f t="shared" si="5"/>
        <v>8.2646590828128357</v>
      </c>
      <c r="AC66" s="670">
        <f t="shared" si="1"/>
        <v>58.72934972776681</v>
      </c>
      <c r="AD66" s="972">
        <v>31</v>
      </c>
      <c r="AE66" s="432">
        <f>Y66*AD66</f>
        <v>107.14477041666665</v>
      </c>
      <c r="AF66" s="449"/>
    </row>
    <row r="67" spans="1:32" ht="18.75" customHeight="1" x14ac:dyDescent="0.2">
      <c r="A67" s="972">
        <v>53</v>
      </c>
      <c r="B67" s="461" t="s">
        <v>62</v>
      </c>
      <c r="C67" s="972" t="s">
        <v>46</v>
      </c>
      <c r="D67" s="972">
        <v>673.73</v>
      </c>
      <c r="E67" s="972" t="s">
        <v>97</v>
      </c>
      <c r="F67" s="972">
        <v>177.8</v>
      </c>
      <c r="G67" s="972" t="s">
        <v>28</v>
      </c>
      <c r="H67" s="972" t="s">
        <v>218</v>
      </c>
      <c r="I67" s="968">
        <v>543</v>
      </c>
      <c r="J67" s="972">
        <v>255</v>
      </c>
      <c r="K67" s="972"/>
      <c r="L67" s="972">
        <v>433</v>
      </c>
      <c r="M67" s="972"/>
      <c r="N67" s="972">
        <v>2.5</v>
      </c>
      <c r="O67" s="972"/>
      <c r="P67" s="668">
        <v>15.874407887512124</v>
      </c>
      <c r="Q67" s="995">
        <f t="shared" si="9"/>
        <v>81.599999999999994</v>
      </c>
      <c r="R67" s="432">
        <v>6.7900416666666672</v>
      </c>
      <c r="S67" s="432">
        <v>11.747958333333331</v>
      </c>
      <c r="T67" s="670">
        <v>122</v>
      </c>
      <c r="U67" s="668">
        <f t="shared" si="8"/>
        <v>17.967489153846625</v>
      </c>
      <c r="V67" s="668">
        <f t="shared" si="3"/>
        <v>42.202368496653655</v>
      </c>
      <c r="W67" s="668">
        <v>0.3</v>
      </c>
      <c r="X67" s="432">
        <f t="shared" si="7"/>
        <v>0.14397007761437908</v>
      </c>
      <c r="Y67" s="432">
        <f t="shared" si="4"/>
        <v>6.6881910416666672</v>
      </c>
      <c r="Z67" s="432">
        <f t="shared" si="4"/>
        <v>11.571738958333331</v>
      </c>
      <c r="AA67" s="670">
        <f t="shared" si="4"/>
        <v>120.17</v>
      </c>
      <c r="AB67" s="432">
        <f t="shared" si="5"/>
        <v>17.967489153846625</v>
      </c>
      <c r="AC67" s="670">
        <f t="shared" si="1"/>
        <v>42.202368496653655</v>
      </c>
      <c r="AD67" s="972">
        <v>31</v>
      </c>
      <c r="AE67" s="432">
        <f t="shared" si="10"/>
        <v>207.33392229166668</v>
      </c>
      <c r="AF67" s="669"/>
    </row>
    <row r="68" spans="1:32" ht="18.75" customHeight="1" x14ac:dyDescent="0.2">
      <c r="A68" s="972">
        <v>54</v>
      </c>
      <c r="B68" s="461" t="s">
        <v>157</v>
      </c>
      <c r="C68" s="972" t="s">
        <v>46</v>
      </c>
      <c r="D68" s="972">
        <v>676.73</v>
      </c>
      <c r="E68" s="972" t="s">
        <v>179</v>
      </c>
      <c r="F68" s="972">
        <v>177.8</v>
      </c>
      <c r="G68" s="972" t="s">
        <v>28</v>
      </c>
      <c r="H68" s="972" t="s">
        <v>218</v>
      </c>
      <c r="I68" s="968">
        <v>579.14</v>
      </c>
      <c r="J68" s="972">
        <v>190</v>
      </c>
      <c r="K68" s="972"/>
      <c r="L68" s="972">
        <v>161</v>
      </c>
      <c r="M68" s="972"/>
      <c r="N68" s="972">
        <v>8.5</v>
      </c>
      <c r="O68" s="972"/>
      <c r="P68" s="668">
        <v>46.145170029542328</v>
      </c>
      <c r="Q68" s="995">
        <f t="shared" si="9"/>
        <v>60.8</v>
      </c>
      <c r="R68" s="432">
        <v>14.883750000000001</v>
      </c>
      <c r="S68" s="432">
        <v>49.986833333333323</v>
      </c>
      <c r="T68" s="670">
        <v>190</v>
      </c>
      <c r="U68" s="668">
        <f t="shared" si="8"/>
        <v>12.765600067187368</v>
      </c>
      <c r="V68" s="668">
        <f t="shared" si="3"/>
        <v>70.224659160245523</v>
      </c>
      <c r="W68" s="668">
        <v>0.3</v>
      </c>
      <c r="X68" s="432">
        <f t="shared" si="7"/>
        <v>0.82215186403508755</v>
      </c>
      <c r="Y68" s="432">
        <f t="shared" si="4"/>
        <v>14.660493750000001</v>
      </c>
      <c r="Z68" s="432">
        <f t="shared" si="4"/>
        <v>49.237030833333321</v>
      </c>
      <c r="AA68" s="670">
        <f t="shared" si="4"/>
        <v>187.15</v>
      </c>
      <c r="AB68" s="432">
        <f t="shared" si="5"/>
        <v>12.765600067187368</v>
      </c>
      <c r="AC68" s="670">
        <f t="shared" si="1"/>
        <v>70.224659160245523</v>
      </c>
      <c r="AD68" s="972">
        <v>31</v>
      </c>
      <c r="AE68" s="432">
        <f t="shared" si="10"/>
        <v>454.47530625000002</v>
      </c>
      <c r="AF68" s="676"/>
    </row>
    <row r="69" spans="1:32" ht="18.75" customHeight="1" x14ac:dyDescent="0.2">
      <c r="A69" s="972">
        <v>55</v>
      </c>
      <c r="B69" s="461" t="s">
        <v>159</v>
      </c>
      <c r="C69" s="972" t="s">
        <v>46</v>
      </c>
      <c r="D69" s="972">
        <v>676</v>
      </c>
      <c r="E69" s="972" t="s">
        <v>167</v>
      </c>
      <c r="F69" s="972">
        <v>177.8</v>
      </c>
      <c r="G69" s="972" t="s">
        <v>28</v>
      </c>
      <c r="H69" s="972" t="s">
        <v>342</v>
      </c>
      <c r="I69" s="968">
        <v>509.61000000000024</v>
      </c>
      <c r="J69" s="972">
        <v>300</v>
      </c>
      <c r="K69" s="972"/>
      <c r="L69" s="972">
        <v>441</v>
      </c>
      <c r="M69" s="972"/>
      <c r="N69" s="972">
        <v>7.8</v>
      </c>
      <c r="O69" s="972"/>
      <c r="P69" s="668">
        <v>20.699407087181768</v>
      </c>
      <c r="Q69" s="995">
        <f>(20*J69)/100</f>
        <v>60</v>
      </c>
      <c r="R69" s="432">
        <v>21.874708333333331</v>
      </c>
      <c r="S69" s="432">
        <v>26.432500000000001</v>
      </c>
      <c r="T69" s="670">
        <v>707</v>
      </c>
      <c r="U69" s="668">
        <f t="shared" si="8"/>
        <v>32.320430939079195</v>
      </c>
      <c r="V69" s="668">
        <f t="shared" si="3"/>
        <v>17.243135029477614</v>
      </c>
      <c r="W69" s="668">
        <v>0.3</v>
      </c>
      <c r="X69" s="432">
        <f t="shared" si="7"/>
        <v>0.44054166666666666</v>
      </c>
      <c r="Y69" s="432">
        <f t="shared" si="4"/>
        <v>21.54658770833333</v>
      </c>
      <c r="Z69" s="432">
        <f t="shared" si="4"/>
        <v>26.036012500000002</v>
      </c>
      <c r="AA69" s="670">
        <f t="shared" si="4"/>
        <v>696.39499999999998</v>
      </c>
      <c r="AB69" s="432">
        <f t="shared" si="5"/>
        <v>32.320430939079195</v>
      </c>
      <c r="AC69" s="670">
        <f t="shared" si="1"/>
        <v>17.243135029477614</v>
      </c>
      <c r="AD69" s="972">
        <v>31</v>
      </c>
      <c r="AE69" s="432">
        <f t="shared" si="10"/>
        <v>667.94421895833329</v>
      </c>
      <c r="AF69" s="669"/>
    </row>
    <row r="70" spans="1:32" ht="18.75" customHeight="1" x14ac:dyDescent="0.2">
      <c r="A70" s="972">
        <v>56</v>
      </c>
      <c r="B70" s="461" t="s">
        <v>330</v>
      </c>
      <c r="C70" s="972" t="s">
        <v>46</v>
      </c>
      <c r="D70" s="972">
        <v>595</v>
      </c>
      <c r="E70" s="972" t="s">
        <v>367</v>
      </c>
      <c r="F70" s="972">
        <v>178.8</v>
      </c>
      <c r="G70" s="972" t="s">
        <v>28</v>
      </c>
      <c r="H70" s="972" t="s">
        <v>52</v>
      </c>
      <c r="I70" s="968">
        <v>498.89</v>
      </c>
      <c r="J70" s="972">
        <v>310</v>
      </c>
      <c r="K70" s="972"/>
      <c r="L70" s="972">
        <v>344</v>
      </c>
      <c r="M70" s="972"/>
      <c r="N70" s="972">
        <v>9.3000000000000007</v>
      </c>
      <c r="O70" s="972"/>
      <c r="P70" s="668">
        <v>23.597375210445296</v>
      </c>
      <c r="Q70" s="995">
        <f t="shared" si="9"/>
        <v>68.2</v>
      </c>
      <c r="R70" s="432">
        <v>14.22395833333333</v>
      </c>
      <c r="S70" s="432">
        <v>16.632791666666666</v>
      </c>
      <c r="T70" s="670">
        <v>574</v>
      </c>
      <c r="U70" s="668">
        <f t="shared" si="8"/>
        <v>40.354448919809599</v>
      </c>
      <c r="V70" s="668">
        <f t="shared" si="3"/>
        <v>14.482435550255909</v>
      </c>
      <c r="W70" s="668">
        <v>0.2</v>
      </c>
      <c r="X70" s="432">
        <f t="shared" si="7"/>
        <v>0.24388257575757574</v>
      </c>
      <c r="Y70" s="432">
        <f t="shared" si="4"/>
        <v>14.010598958333331</v>
      </c>
      <c r="Z70" s="432">
        <f t="shared" si="4"/>
        <v>16.383299791666666</v>
      </c>
      <c r="AA70" s="670">
        <f t="shared" si="4"/>
        <v>565.39</v>
      </c>
      <c r="AB70" s="432">
        <v>20</v>
      </c>
      <c r="AC70" s="670">
        <v>17</v>
      </c>
      <c r="AD70" s="972">
        <v>31</v>
      </c>
      <c r="AE70" s="432">
        <f t="shared" si="10"/>
        <v>434.32856770833325</v>
      </c>
      <c r="AF70" s="669"/>
    </row>
    <row r="71" spans="1:32" ht="18.75" customHeight="1" x14ac:dyDescent="0.2">
      <c r="A71" s="972">
        <v>57</v>
      </c>
      <c r="B71" s="461" t="s">
        <v>210</v>
      </c>
      <c r="C71" s="972" t="s">
        <v>46</v>
      </c>
      <c r="D71" s="972">
        <v>728.32</v>
      </c>
      <c r="E71" s="972" t="s">
        <v>226</v>
      </c>
      <c r="F71" s="972">
        <v>177.8</v>
      </c>
      <c r="G71" s="972" t="s">
        <v>28</v>
      </c>
      <c r="H71" s="972" t="s">
        <v>218</v>
      </c>
      <c r="I71" s="968">
        <v>519.38</v>
      </c>
      <c r="J71" s="972">
        <v>320</v>
      </c>
      <c r="K71" s="972"/>
      <c r="L71" s="972">
        <v>164</v>
      </c>
      <c r="M71" s="972"/>
      <c r="N71" s="972">
        <v>9.9</v>
      </c>
      <c r="O71" s="972"/>
      <c r="P71" s="668">
        <v>45.492329220094319</v>
      </c>
      <c r="Q71" s="995">
        <f t="shared" si="9"/>
        <v>102.4</v>
      </c>
      <c r="R71" s="432">
        <v>6.9570416666666679</v>
      </c>
      <c r="S71" s="432">
        <v>37.601041666666667</v>
      </c>
      <c r="T71" s="670">
        <v>92</v>
      </c>
      <c r="U71" s="668">
        <f t="shared" si="8"/>
        <v>13.224011642879814</v>
      </c>
      <c r="V71" s="668">
        <f t="shared" si="3"/>
        <v>81.497742194642214</v>
      </c>
      <c r="W71" s="668">
        <v>0.2</v>
      </c>
      <c r="X71" s="432">
        <f t="shared" si="7"/>
        <v>0.36719767252604163</v>
      </c>
      <c r="Y71" s="432">
        <f t="shared" si="4"/>
        <v>6.8526860416666677</v>
      </c>
      <c r="Z71" s="432">
        <f t="shared" si="4"/>
        <v>37.037026041666664</v>
      </c>
      <c r="AA71" s="670">
        <f t="shared" si="4"/>
        <v>90.62</v>
      </c>
      <c r="AB71" s="432">
        <f t="shared" si="5"/>
        <v>13.224011642879814</v>
      </c>
      <c r="AC71" s="670">
        <f t="shared" si="1"/>
        <v>81.497742194642214</v>
      </c>
      <c r="AD71" s="972">
        <v>31</v>
      </c>
      <c r="AE71" s="432">
        <f t="shared" si="10"/>
        <v>212.43326729166671</v>
      </c>
      <c r="AF71" s="449"/>
    </row>
    <row r="72" spans="1:32" ht="18.75" customHeight="1" x14ac:dyDescent="0.2">
      <c r="A72" s="972">
        <v>58</v>
      </c>
      <c r="B72" s="461" t="s">
        <v>63</v>
      </c>
      <c r="C72" s="972" t="s">
        <v>46</v>
      </c>
      <c r="D72" s="972">
        <v>672.99</v>
      </c>
      <c r="E72" s="972" t="s">
        <v>98</v>
      </c>
      <c r="F72" s="972">
        <v>177.8</v>
      </c>
      <c r="G72" s="972" t="s">
        <v>28</v>
      </c>
      <c r="H72" s="972" t="s">
        <v>310</v>
      </c>
      <c r="I72" s="968">
        <v>536.32000000000005</v>
      </c>
      <c r="J72" s="972">
        <v>310</v>
      </c>
      <c r="K72" s="972"/>
      <c r="L72" s="972">
        <v>415</v>
      </c>
      <c r="M72" s="972"/>
      <c r="N72" s="972">
        <v>8.6</v>
      </c>
      <c r="O72" s="972"/>
      <c r="P72" s="668">
        <v>22.188402637371311</v>
      </c>
      <c r="Q72" s="995">
        <f t="shared" si="9"/>
        <v>68.2</v>
      </c>
      <c r="R72" s="432">
        <v>15.627666666666668</v>
      </c>
      <c r="S72" s="432">
        <v>21.701541666666667</v>
      </c>
      <c r="T72" s="670">
        <v>655</v>
      </c>
      <c r="U72" s="668">
        <f t="shared" si="8"/>
        <v>41.912846874133479</v>
      </c>
      <c r="V72" s="668">
        <f t="shared" si="3"/>
        <v>27.9882189629385</v>
      </c>
      <c r="W72" s="668">
        <v>0.3</v>
      </c>
      <c r="X72" s="432">
        <f t="shared" si="7"/>
        <v>0.31820442326490711</v>
      </c>
      <c r="Y72" s="432">
        <f t="shared" si="4"/>
        <v>15.393251666666668</v>
      </c>
      <c r="Z72" s="432">
        <f t="shared" si="4"/>
        <v>21.376018541666667</v>
      </c>
      <c r="AA72" s="670">
        <f t="shared" si="4"/>
        <v>645.17499999999995</v>
      </c>
      <c r="AB72" s="432">
        <f t="shared" si="5"/>
        <v>41.912846874133479</v>
      </c>
      <c r="AC72" s="670">
        <f t="shared" si="1"/>
        <v>27.9882189629385</v>
      </c>
      <c r="AD72" s="972">
        <v>31</v>
      </c>
      <c r="AE72" s="432">
        <f t="shared" si="10"/>
        <v>477.19080166666669</v>
      </c>
      <c r="AF72" s="449"/>
    </row>
    <row r="73" spans="1:32" ht="18.75" customHeight="1" x14ac:dyDescent="0.2">
      <c r="A73" s="972">
        <v>59</v>
      </c>
      <c r="B73" s="461" t="s">
        <v>217</v>
      </c>
      <c r="C73" s="972" t="s">
        <v>46</v>
      </c>
      <c r="D73" s="972">
        <v>684.57</v>
      </c>
      <c r="E73" s="972" t="s">
        <v>359</v>
      </c>
      <c r="F73" s="972">
        <v>177.8</v>
      </c>
      <c r="G73" s="972" t="s">
        <v>28</v>
      </c>
      <c r="H73" s="972" t="s">
        <v>219</v>
      </c>
      <c r="I73" s="968">
        <v>555.95000000000005</v>
      </c>
      <c r="J73" s="972">
        <v>347</v>
      </c>
      <c r="K73" s="972"/>
      <c r="L73" s="972">
        <v>241</v>
      </c>
      <c r="M73" s="972"/>
      <c r="N73" s="972">
        <v>8.3000000000000007</v>
      </c>
      <c r="O73" s="972"/>
      <c r="P73" s="668">
        <v>41.438378105169761</v>
      </c>
      <c r="Q73" s="995">
        <f t="shared" si="9"/>
        <v>41.64</v>
      </c>
      <c r="R73" s="432">
        <v>3.2400833333333341</v>
      </c>
      <c r="S73" s="432">
        <v>13.369833333333334</v>
      </c>
      <c r="T73" s="670">
        <v>10</v>
      </c>
      <c r="U73" s="668">
        <f t="shared" si="8"/>
        <v>3.0863403719040141</v>
      </c>
      <c r="V73" s="668">
        <f t="shared" si="3"/>
        <v>75.765716351487796</v>
      </c>
      <c r="W73" s="668">
        <v>0.2</v>
      </c>
      <c r="X73" s="432">
        <f t="shared" si="7"/>
        <v>0.32108149215497922</v>
      </c>
      <c r="Y73" s="432">
        <f t="shared" si="4"/>
        <v>3.1914820833333342</v>
      </c>
      <c r="Z73" s="432">
        <f t="shared" si="4"/>
        <v>13.169285833333333</v>
      </c>
      <c r="AA73" s="670">
        <f t="shared" si="4"/>
        <v>9.85</v>
      </c>
      <c r="AB73" s="432">
        <f t="shared" si="5"/>
        <v>3.0863403719040141</v>
      </c>
      <c r="AC73" s="670">
        <f t="shared" si="1"/>
        <v>75.765716351487796</v>
      </c>
      <c r="AD73" s="972">
        <v>31</v>
      </c>
      <c r="AE73" s="432">
        <f t="shared" si="10"/>
        <v>98.935944583333352</v>
      </c>
      <c r="AF73" s="449"/>
    </row>
    <row r="74" spans="1:32" ht="18.75" customHeight="1" x14ac:dyDescent="0.2">
      <c r="A74" s="972">
        <v>60</v>
      </c>
      <c r="B74" s="461" t="s">
        <v>211</v>
      </c>
      <c r="C74" s="972" t="s">
        <v>46</v>
      </c>
      <c r="D74" s="972">
        <v>675.29</v>
      </c>
      <c r="E74" s="972" t="s">
        <v>224</v>
      </c>
      <c r="F74" s="972">
        <v>177.8</v>
      </c>
      <c r="G74" s="972" t="s">
        <v>28</v>
      </c>
      <c r="H74" s="972" t="s">
        <v>384</v>
      </c>
      <c r="I74" s="968">
        <v>554.95999999999981</v>
      </c>
      <c r="J74" s="972">
        <v>200</v>
      </c>
      <c r="K74" s="972"/>
      <c r="L74" s="972">
        <v>416</v>
      </c>
      <c r="M74" s="972"/>
      <c r="N74" s="972">
        <v>0.5</v>
      </c>
      <c r="O74" s="972"/>
      <c r="P74" s="668">
        <v>15.428088037686818</v>
      </c>
      <c r="Q74" s="995">
        <f>(22*J74)/100</f>
        <v>44</v>
      </c>
      <c r="R74" s="432">
        <v>2.9755833333333328</v>
      </c>
      <c r="S74" s="432">
        <v>5.9600833333333334</v>
      </c>
      <c r="T74" s="670">
        <v>0</v>
      </c>
      <c r="U74" s="668">
        <f t="shared" si="8"/>
        <v>0</v>
      </c>
      <c r="V74" s="668">
        <f t="shared" si="3"/>
        <v>50.074803204653186</v>
      </c>
      <c r="W74" s="668">
        <v>0.3</v>
      </c>
      <c r="X74" s="432">
        <f t="shared" si="7"/>
        <v>0.13545643939393939</v>
      </c>
      <c r="Y74" s="432">
        <f t="shared" si="4"/>
        <v>2.9309495833333328</v>
      </c>
      <c r="Z74" s="432">
        <f t="shared" si="4"/>
        <v>5.8706820833333335</v>
      </c>
      <c r="AA74" s="670">
        <f t="shared" si="4"/>
        <v>0</v>
      </c>
      <c r="AB74" s="432">
        <f t="shared" si="5"/>
        <v>0</v>
      </c>
      <c r="AC74" s="670">
        <f t="shared" si="1"/>
        <v>50.074803204653186</v>
      </c>
      <c r="AD74" s="972">
        <v>31</v>
      </c>
      <c r="AE74" s="432">
        <f t="shared" si="10"/>
        <v>90.859437083333319</v>
      </c>
      <c r="AF74" s="449"/>
    </row>
    <row r="75" spans="1:32" ht="18.600000000000001" customHeight="1" x14ac:dyDescent="0.2">
      <c r="A75" s="972">
        <v>61</v>
      </c>
      <c r="B75" s="461" t="s">
        <v>341</v>
      </c>
      <c r="C75" s="972" t="s">
        <v>46</v>
      </c>
      <c r="D75" s="972">
        <v>683.16</v>
      </c>
      <c r="E75" s="972" t="s">
        <v>343</v>
      </c>
      <c r="F75" s="972">
        <v>177.8</v>
      </c>
      <c r="G75" s="972" t="s">
        <v>28</v>
      </c>
      <c r="H75" s="972" t="s">
        <v>342</v>
      </c>
      <c r="I75" s="968">
        <v>571.9</v>
      </c>
      <c r="J75" s="972">
        <v>245</v>
      </c>
      <c r="K75" s="972"/>
      <c r="L75" s="972">
        <v>238</v>
      </c>
      <c r="M75" s="972"/>
      <c r="N75" s="972">
        <v>9.3000000000000007</v>
      </c>
      <c r="O75" s="972"/>
      <c r="P75" s="668">
        <v>33.844362638741266</v>
      </c>
      <c r="Q75" s="995">
        <f>(20*J75)/100</f>
        <v>49</v>
      </c>
      <c r="R75" s="432">
        <v>31.484166666666667</v>
      </c>
      <c r="S75" s="432">
        <v>39.540208333333325</v>
      </c>
      <c r="T75" s="670">
        <v>517</v>
      </c>
      <c r="U75" s="668">
        <f t="shared" si="8"/>
        <v>16.420952330536512</v>
      </c>
      <c r="V75" s="668">
        <f t="shared" si="3"/>
        <v>20.374302529598019</v>
      </c>
      <c r="W75" s="668">
        <v>0.3</v>
      </c>
      <c r="X75" s="432">
        <f t="shared" si="7"/>
        <v>0.80694302721088418</v>
      </c>
      <c r="Y75" s="432">
        <f t="shared" si="4"/>
        <v>31.011904166666667</v>
      </c>
      <c r="Z75" s="432">
        <f t="shared" si="4"/>
        <v>38.947105208333326</v>
      </c>
      <c r="AA75" s="670">
        <f t="shared" si="4"/>
        <v>509.245</v>
      </c>
      <c r="AB75" s="432">
        <f t="shared" si="5"/>
        <v>16.420952330536512</v>
      </c>
      <c r="AC75" s="670">
        <f t="shared" si="1"/>
        <v>20.374302529598019</v>
      </c>
      <c r="AD75" s="972">
        <v>31</v>
      </c>
      <c r="AE75" s="432">
        <f t="shared" si="10"/>
        <v>961.36902916666668</v>
      </c>
      <c r="AF75" s="449"/>
    </row>
    <row r="76" spans="1:32" ht="18.75" customHeight="1" x14ac:dyDescent="0.2">
      <c r="A76" s="972">
        <v>62</v>
      </c>
      <c r="B76" s="461" t="s">
        <v>354</v>
      </c>
      <c r="C76" s="972" t="s">
        <v>46</v>
      </c>
      <c r="D76" s="972">
        <v>634.29</v>
      </c>
      <c r="E76" s="832" t="s">
        <v>356</v>
      </c>
      <c r="F76" s="972">
        <v>178.8</v>
      </c>
      <c r="G76" s="972" t="s">
        <v>28</v>
      </c>
      <c r="H76" s="972" t="s">
        <v>49</v>
      </c>
      <c r="I76" s="968">
        <v>539.22</v>
      </c>
      <c r="J76" s="972">
        <v>230</v>
      </c>
      <c r="K76" s="972"/>
      <c r="L76" s="972">
        <v>275</v>
      </c>
      <c r="M76" s="972"/>
      <c r="N76" s="972">
        <v>10.3</v>
      </c>
      <c r="O76" s="972"/>
      <c r="P76" s="668">
        <v>31.539046577917098</v>
      </c>
      <c r="Q76" s="995">
        <f t="shared" ref="Q76" si="11">LEFT(H76,(FIND("K",H76,1)-1))*J76/100</f>
        <v>73.599999999999994</v>
      </c>
      <c r="R76" s="432">
        <v>24.593</v>
      </c>
      <c r="S76" s="432">
        <v>60.988999999999997</v>
      </c>
      <c r="T76" s="670">
        <v>137</v>
      </c>
      <c r="U76" s="668">
        <f t="shared" si="8"/>
        <v>5.5706908469889802</v>
      </c>
      <c r="V76" s="668">
        <f t="shared" si="3"/>
        <v>59.676335076817132</v>
      </c>
      <c r="W76" s="668">
        <v>0.2</v>
      </c>
      <c r="X76" s="432">
        <f t="shared" si="7"/>
        <v>0.82865489130434788</v>
      </c>
      <c r="Y76" s="432">
        <f t="shared" si="4"/>
        <v>24.224104999999998</v>
      </c>
      <c r="Z76" s="432">
        <f t="shared" si="4"/>
        <v>60.074164999999994</v>
      </c>
      <c r="AA76" s="670">
        <f t="shared" si="4"/>
        <v>134.94499999999999</v>
      </c>
      <c r="AB76" s="432">
        <f t="shared" si="5"/>
        <v>5.5706908469889802</v>
      </c>
      <c r="AC76" s="670">
        <f t="shared" si="1"/>
        <v>59.676335076817132</v>
      </c>
      <c r="AD76" s="972">
        <v>31</v>
      </c>
      <c r="AE76" s="432">
        <f t="shared" si="10"/>
        <v>750.94725499999993</v>
      </c>
      <c r="AF76" s="449"/>
    </row>
    <row r="77" spans="1:32" ht="18.75" customHeight="1" x14ac:dyDescent="0.2">
      <c r="A77" s="972">
        <v>63</v>
      </c>
      <c r="B77" s="461" t="s">
        <v>172</v>
      </c>
      <c r="C77" s="972" t="s">
        <v>46</v>
      </c>
      <c r="D77" s="972">
        <v>673</v>
      </c>
      <c r="E77" s="972" t="s">
        <v>173</v>
      </c>
      <c r="F77" s="972">
        <v>177.8</v>
      </c>
      <c r="G77" s="972" t="s">
        <v>28</v>
      </c>
      <c r="H77" s="972" t="s">
        <v>50</v>
      </c>
      <c r="I77" s="968">
        <v>560.79</v>
      </c>
      <c r="J77" s="972">
        <v>365</v>
      </c>
      <c r="K77" s="972"/>
      <c r="L77" s="972">
        <v>290</v>
      </c>
      <c r="M77" s="972"/>
      <c r="N77" s="972">
        <v>7</v>
      </c>
      <c r="O77" s="972"/>
      <c r="P77" s="448">
        <v>41.747635027370904</v>
      </c>
      <c r="Q77" s="995">
        <f>LEFT(H77,(FIND("K",H77,1)-1))*J77/100</f>
        <v>21.9</v>
      </c>
      <c r="R77" s="432">
        <v>0.82870833333333349</v>
      </c>
      <c r="S77" s="432">
        <v>3.4320833333333329</v>
      </c>
      <c r="T77" s="670">
        <v>0</v>
      </c>
      <c r="U77" s="668">
        <f t="shared" si="8"/>
        <v>0</v>
      </c>
      <c r="V77" s="668">
        <f t="shared" si="3"/>
        <v>75.854073084860985</v>
      </c>
      <c r="W77" s="668">
        <v>0.3</v>
      </c>
      <c r="X77" s="432">
        <f t="shared" si="7"/>
        <v>0.15671613394216133</v>
      </c>
      <c r="Y77" s="432">
        <f t="shared" si="4"/>
        <v>0.81627770833333346</v>
      </c>
      <c r="Z77" s="432">
        <f t="shared" si="4"/>
        <v>3.3806020833333328</v>
      </c>
      <c r="AA77" s="670">
        <f t="shared" si="4"/>
        <v>0</v>
      </c>
      <c r="AB77" s="432">
        <f t="shared" si="5"/>
        <v>0</v>
      </c>
      <c r="AC77" s="670">
        <f t="shared" si="1"/>
        <v>75.854073084860985</v>
      </c>
      <c r="AD77" s="972">
        <v>31</v>
      </c>
      <c r="AE77" s="432">
        <f>Y77*AD77</f>
        <v>25.304608958333336</v>
      </c>
      <c r="AF77" s="449"/>
    </row>
    <row r="78" spans="1:32" ht="18.75" customHeight="1" x14ac:dyDescent="0.25">
      <c r="A78" s="869"/>
      <c r="B78" s="972"/>
      <c r="C78" s="972"/>
      <c r="D78" s="968"/>
      <c r="E78" s="968"/>
      <c r="F78" s="461"/>
      <c r="G78" s="972"/>
      <c r="H78" s="972"/>
      <c r="I78" s="968"/>
      <c r="J78" s="968"/>
      <c r="K78" s="968"/>
      <c r="L78" s="968"/>
      <c r="M78" s="968"/>
      <c r="N78" s="972"/>
      <c r="O78" s="968"/>
      <c r="P78" s="668"/>
      <c r="Q78" s="997"/>
      <c r="R78" s="466">
        <f>SUM(R15:R77)</f>
        <v>385.01950961538455</v>
      </c>
      <c r="S78" s="466">
        <f>SUM(S15:S77)</f>
        <v>859.17200641025647</v>
      </c>
      <c r="T78" s="512">
        <f>SUM(T15:T77)</f>
        <v>11014</v>
      </c>
      <c r="U78" s="466">
        <f>T78/R78</f>
        <v>28.606342600670914</v>
      </c>
      <c r="V78" s="466"/>
      <c r="W78" s="466"/>
      <c r="X78" s="466"/>
      <c r="Y78" s="466">
        <f>SUM(Y15:Y77)</f>
        <v>379.24421697115395</v>
      </c>
      <c r="Z78" s="466">
        <f>SUM(Z15:Z77)</f>
        <v>846.28442631410235</v>
      </c>
      <c r="AA78" s="678">
        <f>SUM(AA15:AA77)</f>
        <v>10848.789999999999</v>
      </c>
      <c r="AB78" s="466">
        <f>AA78/Y78</f>
        <v>28.606342600670899</v>
      </c>
      <c r="AC78" s="466"/>
      <c r="AD78" s="971"/>
      <c r="AE78" s="466">
        <f>SUM(AE15:AE77)</f>
        <v>11756.570726105767</v>
      </c>
      <c r="AF78" s="669"/>
    </row>
    <row r="79" spans="1:32" ht="18.75" customHeight="1" x14ac:dyDescent="0.25">
      <c r="A79" s="869"/>
      <c r="B79" s="972"/>
      <c r="C79" s="972"/>
      <c r="D79" s="968"/>
      <c r="E79" s="968"/>
      <c r="F79" s="461"/>
      <c r="G79" s="972"/>
      <c r="H79" s="972"/>
      <c r="I79" s="968"/>
      <c r="J79" s="968"/>
      <c r="K79" s="968"/>
      <c r="L79" s="968"/>
      <c r="M79" s="968"/>
      <c r="N79" s="972"/>
      <c r="O79" s="968"/>
      <c r="P79" s="668"/>
      <c r="Q79" s="997"/>
      <c r="R79" s="466"/>
      <c r="S79" s="466"/>
      <c r="T79" s="512"/>
      <c r="U79" s="466"/>
      <c r="V79" s="466"/>
      <c r="W79" s="466"/>
      <c r="X79" s="466"/>
      <c r="Y79" s="466"/>
      <c r="Z79" s="708"/>
      <c r="AA79" s="678"/>
      <c r="AB79" s="466"/>
      <c r="AC79" s="466"/>
      <c r="AD79" s="971"/>
      <c r="AE79" s="466"/>
      <c r="AF79" s="669"/>
    </row>
    <row r="80" spans="1:32" ht="18.75" customHeight="1" x14ac:dyDescent="0.25">
      <c r="A80" s="869"/>
      <c r="B80" s="972"/>
      <c r="C80" s="972"/>
      <c r="D80" s="968"/>
      <c r="E80" s="967" t="s">
        <v>388</v>
      </c>
      <c r="F80" s="461"/>
      <c r="G80" s="972"/>
      <c r="H80" s="972"/>
      <c r="I80" s="968"/>
      <c r="J80" s="968"/>
      <c r="K80" s="968"/>
      <c r="L80" s="968"/>
      <c r="M80" s="968"/>
      <c r="N80" s="972"/>
      <c r="O80" s="968"/>
      <c r="P80" s="668"/>
      <c r="Q80" s="997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971"/>
      <c r="AE80" s="466"/>
      <c r="AF80" s="669"/>
    </row>
    <row r="81" spans="1:32" ht="18.75" customHeight="1" x14ac:dyDescent="0.2">
      <c r="A81" s="972">
        <v>64</v>
      </c>
      <c r="B81" s="461" t="s">
        <v>423</v>
      </c>
      <c r="C81" s="972" t="s">
        <v>445</v>
      </c>
      <c r="D81" s="968">
        <v>683.8</v>
      </c>
      <c r="E81" s="968" t="s">
        <v>473</v>
      </c>
      <c r="F81" s="972">
        <v>177.8</v>
      </c>
      <c r="G81" s="972" t="s">
        <v>28</v>
      </c>
      <c r="H81" s="972" t="s">
        <v>48</v>
      </c>
      <c r="I81" s="968">
        <v>590.46</v>
      </c>
      <c r="J81" s="968">
        <v>280</v>
      </c>
      <c r="K81" s="968"/>
      <c r="L81" s="968">
        <v>558</v>
      </c>
      <c r="M81" s="968"/>
      <c r="N81" s="972">
        <v>28.8</v>
      </c>
      <c r="O81" s="968"/>
      <c r="P81" s="668">
        <v>48.498811966153276</v>
      </c>
      <c r="Q81" s="995">
        <f t="shared" ref="Q81:Q84" si="12">LEFT(H81,(FIND("K",H81,1)-1))*J81/100</f>
        <v>36.4</v>
      </c>
      <c r="R81" s="432">
        <v>23.828041666666667</v>
      </c>
      <c r="S81" s="432">
        <v>24.010333333333335</v>
      </c>
      <c r="T81" s="492">
        <v>833</v>
      </c>
      <c r="U81" s="668">
        <f t="shared" ref="U81:U83" si="13">T81/R81</f>
        <v>34.958810784912032</v>
      </c>
      <c r="V81" s="668">
        <f t="shared" ref="V81:V84" si="14">(S81-R81)/S81*100</f>
        <v>0.75922172397995791</v>
      </c>
      <c r="W81" s="668">
        <v>0.2</v>
      </c>
      <c r="X81" s="432">
        <f t="shared" ref="X81:X83" si="15">S81/Q81</f>
        <v>0.65962454212454225</v>
      </c>
      <c r="Y81" s="432">
        <f t="shared" ref="Y81:AA84" si="16">R81*0.985</f>
        <v>23.470621041666668</v>
      </c>
      <c r="Z81" s="432">
        <f t="shared" si="16"/>
        <v>23.650178333333336</v>
      </c>
      <c r="AA81" s="670">
        <f t="shared" si="16"/>
        <v>820.505</v>
      </c>
      <c r="AB81" s="432">
        <f t="shared" ref="AB81:AC84" si="17">U81</f>
        <v>34.958810784912032</v>
      </c>
      <c r="AC81" s="670">
        <f t="shared" si="17"/>
        <v>0.75922172397995791</v>
      </c>
      <c r="AD81" s="972">
        <v>31</v>
      </c>
      <c r="AE81" s="432">
        <f>Y81*AD81</f>
        <v>727.58925229166675</v>
      </c>
      <c r="AF81" s="669"/>
    </row>
    <row r="82" spans="1:32" ht="18.75" customHeight="1" x14ac:dyDescent="0.2">
      <c r="A82" s="972">
        <v>65</v>
      </c>
      <c r="B82" s="461" t="s">
        <v>213</v>
      </c>
      <c r="C82" s="972" t="s">
        <v>445</v>
      </c>
      <c r="D82" s="972">
        <v>690.8</v>
      </c>
      <c r="E82" s="972" t="s">
        <v>474</v>
      </c>
      <c r="F82" s="972">
        <v>177.8</v>
      </c>
      <c r="G82" s="972" t="s">
        <v>28</v>
      </c>
      <c r="H82" s="972" t="s">
        <v>218</v>
      </c>
      <c r="I82" s="968">
        <v>648.29999999999995</v>
      </c>
      <c r="J82" s="972">
        <v>210</v>
      </c>
      <c r="K82" s="972"/>
      <c r="L82" s="972">
        <v>396</v>
      </c>
      <c r="M82" s="972"/>
      <c r="N82" s="972">
        <v>8.6999999999999993</v>
      </c>
      <c r="O82" s="972"/>
      <c r="P82" s="668">
        <v>36.537390831462979</v>
      </c>
      <c r="Q82" s="995">
        <f t="shared" si="12"/>
        <v>67.2</v>
      </c>
      <c r="R82" s="432">
        <v>14.907541666666665</v>
      </c>
      <c r="S82" s="432">
        <v>21.414666666666665</v>
      </c>
      <c r="T82" s="670">
        <v>363</v>
      </c>
      <c r="U82" s="668">
        <f t="shared" si="13"/>
        <v>24.350091256942097</v>
      </c>
      <c r="V82" s="668">
        <f t="shared" si="14"/>
        <v>30.386300666210076</v>
      </c>
      <c r="W82" s="668">
        <v>0.2</v>
      </c>
      <c r="X82" s="432">
        <f t="shared" si="15"/>
        <v>0.31867063492063491</v>
      </c>
      <c r="Y82" s="432">
        <f t="shared" si="16"/>
        <v>14.683928541666665</v>
      </c>
      <c r="Z82" s="432">
        <f t="shared" si="16"/>
        <v>21.093446666666665</v>
      </c>
      <c r="AA82" s="670">
        <f t="shared" si="16"/>
        <v>357.55500000000001</v>
      </c>
      <c r="AB82" s="432">
        <f t="shared" si="17"/>
        <v>24.350091256942097</v>
      </c>
      <c r="AC82" s="670">
        <f>V82</f>
        <v>30.386300666210076</v>
      </c>
      <c r="AD82" s="972">
        <v>31</v>
      </c>
      <c r="AE82" s="432">
        <f t="shared" ref="AE82" si="18">Y82*AD82</f>
        <v>455.20178479166663</v>
      </c>
      <c r="AF82" s="669"/>
    </row>
    <row r="83" spans="1:32" ht="18.600000000000001" customHeight="1" x14ac:dyDescent="0.2">
      <c r="A83" s="972">
        <v>66</v>
      </c>
      <c r="B83" s="461" t="s">
        <v>451</v>
      </c>
      <c r="C83" s="972" t="s">
        <v>445</v>
      </c>
      <c r="D83" s="968">
        <v>683.2700000000001</v>
      </c>
      <c r="E83" s="968" t="s">
        <v>475</v>
      </c>
      <c r="F83" s="972">
        <v>177.8</v>
      </c>
      <c r="G83" s="972" t="s">
        <v>28</v>
      </c>
      <c r="H83" s="972" t="s">
        <v>218</v>
      </c>
      <c r="I83" s="968">
        <v>618.30999999999995</v>
      </c>
      <c r="J83" s="968">
        <v>250</v>
      </c>
      <c r="K83" s="968"/>
      <c r="L83" s="968">
        <v>583</v>
      </c>
      <c r="M83" s="968"/>
      <c r="N83" s="972">
        <v>23.6</v>
      </c>
      <c r="O83" s="968"/>
      <c r="P83" s="668">
        <v>31.889079761431368</v>
      </c>
      <c r="Q83" s="995">
        <f t="shared" si="12"/>
        <v>80</v>
      </c>
      <c r="R83" s="432">
        <v>21.414458333333332</v>
      </c>
      <c r="S83" s="432">
        <v>21.625333333333334</v>
      </c>
      <c r="T83" s="492">
        <v>1998</v>
      </c>
      <c r="U83" s="668">
        <f t="shared" si="13"/>
        <v>93.301449371238675</v>
      </c>
      <c r="V83" s="668">
        <f t="shared" si="14"/>
        <v>0.97512947777298919</v>
      </c>
      <c r="W83" s="668">
        <v>0.2</v>
      </c>
      <c r="X83" s="432">
        <f t="shared" si="15"/>
        <v>0.27031666666666665</v>
      </c>
      <c r="Y83" s="432">
        <f t="shared" si="16"/>
        <v>21.093241458333331</v>
      </c>
      <c r="Z83" s="432">
        <f t="shared" si="16"/>
        <v>21.300953333333332</v>
      </c>
      <c r="AA83" s="670">
        <f t="shared" si="16"/>
        <v>1968.03</v>
      </c>
      <c r="AB83" s="668">
        <f t="shared" si="17"/>
        <v>93.301449371238675</v>
      </c>
      <c r="AC83" s="670">
        <f t="shared" si="17"/>
        <v>0.97512947777298919</v>
      </c>
      <c r="AD83" s="972">
        <v>31</v>
      </c>
      <c r="AE83" s="432">
        <f>Y83*AD83</f>
        <v>653.8904852083333</v>
      </c>
      <c r="AF83" s="669"/>
    </row>
    <row r="84" spans="1:32" ht="18.75" customHeight="1" x14ac:dyDescent="0.2">
      <c r="A84" s="972">
        <v>67</v>
      </c>
      <c r="B84" s="461" t="s">
        <v>424</v>
      </c>
      <c r="C84" s="972" t="s">
        <v>445</v>
      </c>
      <c r="D84" s="968">
        <v>691</v>
      </c>
      <c r="E84" s="968" t="s">
        <v>495</v>
      </c>
      <c r="F84" s="972">
        <v>177.8</v>
      </c>
      <c r="G84" s="972" t="s">
        <v>28</v>
      </c>
      <c r="H84" s="972" t="s">
        <v>48</v>
      </c>
      <c r="I84" s="968">
        <v>628.34</v>
      </c>
      <c r="J84" s="968">
        <v>100</v>
      </c>
      <c r="K84" s="968"/>
      <c r="L84" s="968">
        <v>626</v>
      </c>
      <c r="M84" s="968"/>
      <c r="N84" s="972">
        <v>8.6</v>
      </c>
      <c r="O84" s="968"/>
      <c r="P84" s="668">
        <v>12.1</v>
      </c>
      <c r="Q84" s="995">
        <f t="shared" si="12"/>
        <v>13</v>
      </c>
      <c r="R84" s="432">
        <v>3.3024999999999998</v>
      </c>
      <c r="S84" s="432">
        <v>3.4241666666666664</v>
      </c>
      <c r="T84" s="492">
        <v>0</v>
      </c>
      <c r="U84" s="668">
        <v>0</v>
      </c>
      <c r="V84" s="668">
        <f t="shared" si="14"/>
        <v>3.553175955220246</v>
      </c>
      <c r="W84" s="668">
        <v>0.2</v>
      </c>
      <c r="X84" s="432">
        <v>0</v>
      </c>
      <c r="Y84" s="432">
        <f t="shared" si="16"/>
        <v>3.2529624999999998</v>
      </c>
      <c r="Z84" s="432">
        <f t="shared" si="16"/>
        <v>3.3728041666666662</v>
      </c>
      <c r="AA84" s="670">
        <f t="shared" si="16"/>
        <v>0</v>
      </c>
      <c r="AB84" s="668">
        <f t="shared" si="17"/>
        <v>0</v>
      </c>
      <c r="AC84" s="670">
        <f t="shared" si="17"/>
        <v>3.553175955220246</v>
      </c>
      <c r="AD84" s="972">
        <v>31</v>
      </c>
      <c r="AE84" s="432">
        <f>Y84*AD84</f>
        <v>100.8418375</v>
      </c>
      <c r="AF84" s="669"/>
    </row>
    <row r="85" spans="1:32" ht="18.75" customHeight="1" x14ac:dyDescent="0.25">
      <c r="A85" s="972">
        <v>68</v>
      </c>
      <c r="B85" s="461" t="s">
        <v>155</v>
      </c>
      <c r="C85" s="972" t="s">
        <v>415</v>
      </c>
      <c r="D85" s="972">
        <v>513.9</v>
      </c>
      <c r="E85" s="972" t="s">
        <v>477</v>
      </c>
      <c r="F85" s="972">
        <v>177.8</v>
      </c>
      <c r="G85" s="972"/>
      <c r="H85" s="972"/>
      <c r="I85" s="968">
        <v>9.5</v>
      </c>
      <c r="J85" s="968"/>
      <c r="K85" s="968"/>
      <c r="L85" s="968"/>
      <c r="M85" s="968"/>
      <c r="N85" s="972"/>
      <c r="O85" s="968"/>
      <c r="P85" s="668"/>
      <c r="Q85" s="997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972">
        <v>69</v>
      </c>
      <c r="B86" s="461" t="s">
        <v>465</v>
      </c>
      <c r="C86" s="972" t="s">
        <v>46</v>
      </c>
      <c r="D86" s="972">
        <v>571.91</v>
      </c>
      <c r="E86" s="972" t="s">
        <v>478</v>
      </c>
      <c r="F86" s="972">
        <v>177.8</v>
      </c>
      <c r="G86" s="972"/>
      <c r="H86" s="831"/>
      <c r="I86" s="968">
        <v>9.5</v>
      </c>
      <c r="J86" s="968"/>
      <c r="K86" s="968"/>
      <c r="L86" s="968"/>
      <c r="M86" s="968"/>
      <c r="N86" s="972"/>
      <c r="O86" s="968"/>
      <c r="P86" s="668"/>
      <c r="Q86" s="997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971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972"/>
      <c r="H87" s="972"/>
      <c r="I87" s="972"/>
      <c r="J87" s="968"/>
      <c r="K87" s="968"/>
      <c r="L87" s="968"/>
      <c r="M87" s="968"/>
      <c r="N87" s="968"/>
      <c r="O87" s="968"/>
      <c r="P87" s="448"/>
      <c r="Q87" s="997"/>
      <c r="R87" s="466">
        <f>SUM(R81:R84)</f>
        <v>63.452541666666669</v>
      </c>
      <c r="S87" s="466">
        <f>SUM(S81:S84)</f>
        <v>70.474499999999992</v>
      </c>
      <c r="T87" s="512">
        <f>SUM(T81:T84)</f>
        <v>3194</v>
      </c>
      <c r="U87" s="466">
        <f>T87/R87</f>
        <v>50.336833105582187</v>
      </c>
      <c r="V87" s="466"/>
      <c r="W87" s="466"/>
      <c r="X87" s="466"/>
      <c r="Y87" s="466">
        <f>SUM(Y81:Y84)</f>
        <v>62.500753541666668</v>
      </c>
      <c r="Z87" s="466">
        <f>SUM(Z81:Z84)</f>
        <v>69.417382500000002</v>
      </c>
      <c r="AA87" s="678">
        <f>SUM(AA81:AA84)</f>
        <v>3146.09</v>
      </c>
      <c r="AB87" s="466">
        <f>AA87/Y87</f>
        <v>50.336833105582194</v>
      </c>
      <c r="AC87" s="466"/>
      <c r="AD87" s="971"/>
      <c r="AE87" s="466">
        <f>SUM(AE81:AE84)</f>
        <v>1937.5233597916667</v>
      </c>
      <c r="AF87" s="669"/>
    </row>
    <row r="88" spans="1:32" ht="18.75" customHeight="1" x14ac:dyDescent="0.25">
      <c r="A88" s="870"/>
      <c r="B88" s="873"/>
      <c r="C88" s="850"/>
      <c r="D88" s="850"/>
      <c r="E88" s="973" t="s">
        <v>470</v>
      </c>
      <c r="F88" s="853"/>
      <c r="G88" s="963"/>
      <c r="H88" s="967"/>
      <c r="I88" s="967"/>
      <c r="J88" s="968"/>
      <c r="K88" s="968"/>
      <c r="L88" s="968"/>
      <c r="M88" s="968"/>
      <c r="N88" s="968"/>
      <c r="O88" s="968"/>
      <c r="P88" s="448"/>
      <c r="Q88" s="997"/>
      <c r="R88" s="968"/>
      <c r="S88" s="437"/>
      <c r="T88" s="968"/>
      <c r="U88" s="963"/>
      <c r="V88" s="963"/>
      <c r="W88" s="963"/>
      <c r="X88" s="421"/>
      <c r="Y88" s="968"/>
      <c r="Z88" s="968"/>
      <c r="AA88" s="968"/>
      <c r="AB88" s="963"/>
      <c r="AC88" s="963"/>
      <c r="AD88" s="968"/>
      <c r="AE88" s="968"/>
      <c r="AF88" s="967"/>
    </row>
    <row r="89" spans="1:32" ht="18.75" customHeight="1" x14ac:dyDescent="0.2">
      <c r="A89" s="970">
        <v>70</v>
      </c>
      <c r="B89" s="972" t="s">
        <v>131</v>
      </c>
      <c r="C89" s="970" t="s">
        <v>313</v>
      </c>
      <c r="D89" s="972">
        <v>389.74</v>
      </c>
      <c r="E89" s="679" t="s">
        <v>136</v>
      </c>
      <c r="F89" s="972">
        <v>177.8</v>
      </c>
      <c r="G89" s="972" t="s">
        <v>28</v>
      </c>
      <c r="H89" s="972" t="s">
        <v>485</v>
      </c>
      <c r="I89" s="968">
        <v>132.27000000000001</v>
      </c>
      <c r="J89" s="968">
        <v>85</v>
      </c>
      <c r="K89" s="972"/>
      <c r="L89" s="972">
        <v>49</v>
      </c>
      <c r="M89" s="972"/>
      <c r="N89" s="972">
        <v>0.5</v>
      </c>
      <c r="O89" s="972"/>
      <c r="P89" s="668">
        <v>13.692691261550211</v>
      </c>
      <c r="Q89" s="997">
        <f>(15*J89)/100</f>
        <v>12.75</v>
      </c>
      <c r="R89" s="432">
        <v>7.175416666666667</v>
      </c>
      <c r="S89" s="432">
        <v>11.293083333333335</v>
      </c>
      <c r="T89" s="432">
        <v>0</v>
      </c>
      <c r="U89" s="432">
        <f>T89/R89</f>
        <v>0</v>
      </c>
      <c r="V89" s="432">
        <f t="shared" ref="V89:V92" si="19">(S89-R89)/S89*100</f>
        <v>36.461846115247539</v>
      </c>
      <c r="W89" s="432">
        <v>0.3</v>
      </c>
      <c r="X89" s="432">
        <f t="shared" ref="X89:X92" si="20">S89/Q89</f>
        <v>0.88573202614379098</v>
      </c>
      <c r="Y89" s="432">
        <f>R89*0.985</f>
        <v>7.0677854166666672</v>
      </c>
      <c r="Z89" s="432">
        <f>S89*0.985</f>
        <v>11.123687083333335</v>
      </c>
      <c r="AA89" s="432">
        <f>T89*0.985</f>
        <v>0</v>
      </c>
      <c r="AB89" s="432">
        <f t="shared" ref="AB89:AC92" si="21">U89</f>
        <v>0</v>
      </c>
      <c r="AC89" s="432">
        <f t="shared" si="21"/>
        <v>36.461846115247539</v>
      </c>
      <c r="AD89" s="972">
        <v>31</v>
      </c>
      <c r="AE89" s="432">
        <f t="shared" ref="AE89:AE92" si="22">Y89*AD89</f>
        <v>219.10134791666667</v>
      </c>
      <c r="AF89" s="449"/>
    </row>
    <row r="90" spans="1:32" ht="18.75" customHeight="1" x14ac:dyDescent="0.2">
      <c r="A90" s="970">
        <v>71</v>
      </c>
      <c r="B90" s="972" t="s">
        <v>132</v>
      </c>
      <c r="C90" s="970" t="s">
        <v>313</v>
      </c>
      <c r="D90" s="972">
        <v>387.72</v>
      </c>
      <c r="E90" s="679" t="s">
        <v>135</v>
      </c>
      <c r="F90" s="972">
        <v>177.8</v>
      </c>
      <c r="G90" s="972" t="s">
        <v>28</v>
      </c>
      <c r="H90" s="972" t="s">
        <v>485</v>
      </c>
      <c r="I90" s="968">
        <v>130.34</v>
      </c>
      <c r="J90" s="972">
        <v>85</v>
      </c>
      <c r="K90" s="972"/>
      <c r="L90" s="972">
        <v>62</v>
      </c>
      <c r="M90" s="972"/>
      <c r="N90" s="972">
        <v>0</v>
      </c>
      <c r="O90" s="972"/>
      <c r="P90" s="668">
        <v>9.6679061162874635</v>
      </c>
      <c r="Q90" s="997">
        <f>(15*J90)/100</f>
        <v>12.75</v>
      </c>
      <c r="R90" s="432">
        <v>8.0662499999999984</v>
      </c>
      <c r="S90" s="432">
        <v>11.289958333333338</v>
      </c>
      <c r="T90" s="432">
        <v>0</v>
      </c>
      <c r="U90" s="432">
        <f>T90/R90</f>
        <v>0</v>
      </c>
      <c r="V90" s="432">
        <f t="shared" si="19"/>
        <v>28.553766436988663</v>
      </c>
      <c r="W90" s="432">
        <v>0.3</v>
      </c>
      <c r="X90" s="432">
        <f t="shared" si="20"/>
        <v>0.88548692810457552</v>
      </c>
      <c r="Y90" s="432">
        <f t="shared" ref="Y90:AA92" si="23">R90*0.985</f>
        <v>7.9452562499999981</v>
      </c>
      <c r="Z90" s="432">
        <f t="shared" si="23"/>
        <v>11.120608958333339</v>
      </c>
      <c r="AA90" s="432">
        <f t="shared" si="23"/>
        <v>0</v>
      </c>
      <c r="AB90" s="432">
        <v>0</v>
      </c>
      <c r="AC90" s="432">
        <f>V90</f>
        <v>28.553766436988663</v>
      </c>
      <c r="AD90" s="972">
        <v>31</v>
      </c>
      <c r="AE90" s="432">
        <f t="shared" si="22"/>
        <v>246.30294374999994</v>
      </c>
      <c r="AF90" s="449"/>
    </row>
    <row r="91" spans="1:32" ht="18.75" customHeight="1" x14ac:dyDescent="0.2">
      <c r="A91" s="970">
        <v>72</v>
      </c>
      <c r="B91" s="972" t="s">
        <v>121</v>
      </c>
      <c r="C91" s="970" t="s">
        <v>313</v>
      </c>
      <c r="D91" s="972">
        <v>389.57</v>
      </c>
      <c r="E91" s="972" t="s">
        <v>137</v>
      </c>
      <c r="F91" s="972">
        <v>177.8</v>
      </c>
      <c r="G91" s="972" t="s">
        <v>28</v>
      </c>
      <c r="H91" s="831" t="s">
        <v>466</v>
      </c>
      <c r="I91" s="968">
        <v>133.79</v>
      </c>
      <c r="J91" s="972">
        <v>85</v>
      </c>
      <c r="K91" s="972"/>
      <c r="L91" s="972">
        <v>57</v>
      </c>
      <c r="M91" s="972"/>
      <c r="N91" s="972">
        <v>0</v>
      </c>
      <c r="O91" s="972"/>
      <c r="P91" s="668">
        <v>12.138710570663264</v>
      </c>
      <c r="Q91" s="997">
        <f>(13*J91)/100</f>
        <v>11.05</v>
      </c>
      <c r="R91" s="432">
        <v>5.2566250000000005</v>
      </c>
      <c r="S91" s="432">
        <v>10.387833333333333</v>
      </c>
      <c r="T91" s="432">
        <v>0</v>
      </c>
      <c r="U91" s="432">
        <v>0</v>
      </c>
      <c r="V91" s="432">
        <v>75</v>
      </c>
      <c r="W91" s="432">
        <v>0.5</v>
      </c>
      <c r="X91" s="432">
        <f>S91/Q91</f>
        <v>0.94007541478129708</v>
      </c>
      <c r="Y91" s="432">
        <f t="shared" si="23"/>
        <v>5.1777756250000007</v>
      </c>
      <c r="Z91" s="432">
        <f t="shared" si="23"/>
        <v>10.232015833333334</v>
      </c>
      <c r="AA91" s="432">
        <f t="shared" si="23"/>
        <v>0</v>
      </c>
      <c r="AB91" s="432">
        <v>0</v>
      </c>
      <c r="AC91" s="432">
        <v>47</v>
      </c>
      <c r="AD91" s="972">
        <v>31</v>
      </c>
      <c r="AE91" s="432">
        <f t="shared" si="22"/>
        <v>160.51104437500001</v>
      </c>
      <c r="AF91" s="669"/>
    </row>
    <row r="92" spans="1:32" ht="18.75" customHeight="1" x14ac:dyDescent="0.2">
      <c r="A92" s="970">
        <v>73</v>
      </c>
      <c r="B92" s="972" t="s">
        <v>122</v>
      </c>
      <c r="C92" s="970" t="s">
        <v>313</v>
      </c>
      <c r="D92" s="972">
        <v>391.06</v>
      </c>
      <c r="E92" s="972" t="s">
        <v>138</v>
      </c>
      <c r="F92" s="972">
        <v>177.8</v>
      </c>
      <c r="G92" s="972" t="s">
        <v>28</v>
      </c>
      <c r="H92" s="972" t="s">
        <v>488</v>
      </c>
      <c r="I92" s="432">
        <v>149.29</v>
      </c>
      <c r="J92" s="972">
        <v>85</v>
      </c>
      <c r="K92" s="971"/>
      <c r="L92" s="972">
        <v>69</v>
      </c>
      <c r="M92" s="971"/>
      <c r="N92" s="972">
        <v>0.4</v>
      </c>
      <c r="O92" s="971"/>
      <c r="P92" s="668">
        <v>7.2327002756208305</v>
      </c>
      <c r="Q92" s="997">
        <f>(40*J92)/100</f>
        <v>34</v>
      </c>
      <c r="R92" s="432">
        <v>6.49</v>
      </c>
      <c r="S92" s="432">
        <v>9.1</v>
      </c>
      <c r="T92" s="432">
        <v>0</v>
      </c>
      <c r="U92" s="432">
        <f>T92/R92</f>
        <v>0</v>
      </c>
      <c r="V92" s="432">
        <f t="shared" si="19"/>
        <v>28.681318681318675</v>
      </c>
      <c r="W92" s="432">
        <v>0.6</v>
      </c>
      <c r="X92" s="432">
        <f t="shared" si="20"/>
        <v>0.2676470588235294</v>
      </c>
      <c r="Y92" s="432">
        <f t="shared" si="23"/>
        <v>6.3926499999999997</v>
      </c>
      <c r="Z92" s="432">
        <f t="shared" si="23"/>
        <v>8.9634999999999998</v>
      </c>
      <c r="AA92" s="432">
        <f t="shared" si="23"/>
        <v>0</v>
      </c>
      <c r="AB92" s="432">
        <f t="shared" si="21"/>
        <v>0</v>
      </c>
      <c r="AC92" s="432">
        <f t="shared" si="21"/>
        <v>28.681318681318675</v>
      </c>
      <c r="AD92" s="972">
        <v>31</v>
      </c>
      <c r="AE92" s="432">
        <f t="shared" si="22"/>
        <v>198.17214999999999</v>
      </c>
      <c r="AF92" s="680"/>
    </row>
    <row r="93" spans="1:32" ht="18.75" customHeight="1" x14ac:dyDescent="0.2">
      <c r="A93" s="970">
        <v>74</v>
      </c>
      <c r="B93" s="972" t="s">
        <v>188</v>
      </c>
      <c r="C93" s="970" t="s">
        <v>344</v>
      </c>
      <c r="D93" s="972">
        <v>400.5</v>
      </c>
      <c r="E93" s="972" t="s">
        <v>345</v>
      </c>
      <c r="F93" s="972">
        <v>177.8</v>
      </c>
      <c r="G93" s="972"/>
      <c r="H93" s="972"/>
      <c r="I93" s="432"/>
      <c r="J93" s="972"/>
      <c r="K93" s="971"/>
      <c r="L93" s="972"/>
      <c r="M93" s="971"/>
      <c r="N93" s="972"/>
      <c r="O93" s="971"/>
      <c r="P93" s="668"/>
      <c r="Q93" s="997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972"/>
      <c r="AE93" s="432"/>
      <c r="AF93" s="669"/>
    </row>
    <row r="94" spans="1:32" ht="18.75" customHeight="1" x14ac:dyDescent="0.2">
      <c r="A94" s="970">
        <v>75</v>
      </c>
      <c r="B94" s="972" t="s">
        <v>186</v>
      </c>
      <c r="C94" s="970" t="s">
        <v>346</v>
      </c>
      <c r="D94" s="972">
        <v>349.5</v>
      </c>
      <c r="E94" s="461" t="s">
        <v>347</v>
      </c>
      <c r="F94" s="972">
        <v>177.8</v>
      </c>
      <c r="G94" s="972"/>
      <c r="H94" s="972"/>
      <c r="I94" s="432"/>
      <c r="J94" s="972"/>
      <c r="K94" s="972"/>
      <c r="L94" s="972"/>
      <c r="M94" s="971"/>
      <c r="N94" s="972"/>
      <c r="O94" s="971"/>
      <c r="P94" s="668"/>
      <c r="Q94" s="997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972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968"/>
      <c r="G95" s="963"/>
      <c r="H95" s="967"/>
      <c r="I95" s="967"/>
      <c r="J95" s="968"/>
      <c r="K95" s="968"/>
      <c r="L95" s="968"/>
      <c r="M95" s="968"/>
      <c r="N95" s="968"/>
      <c r="O95" s="968"/>
      <c r="P95" s="448"/>
      <c r="Q95" s="997"/>
      <c r="R95" s="466">
        <f>SUM(R89:R94)</f>
        <v>26.988291666666669</v>
      </c>
      <c r="S95" s="466">
        <f>SUM(S89:S94)</f>
        <v>42.070875000000008</v>
      </c>
      <c r="T95" s="466">
        <f>SUM(T89:T92)</f>
        <v>0</v>
      </c>
      <c r="U95" s="466">
        <f>SUM(U89:U92)</f>
        <v>0</v>
      </c>
      <c r="V95" s="963"/>
      <c r="W95" s="963"/>
      <c r="X95" s="963"/>
      <c r="Y95" s="466">
        <f>SUM(Y89:Y94)</f>
        <v>26.583467291666668</v>
      </c>
      <c r="Z95" s="466">
        <f>SUM(Z89:Z94)</f>
        <v>41.439811875000004</v>
      </c>
      <c r="AA95" s="466">
        <f>SUM(AA89:AA92)</f>
        <v>0</v>
      </c>
      <c r="AB95" s="466">
        <v>0</v>
      </c>
      <c r="AC95" s="963"/>
      <c r="AD95" s="968"/>
      <c r="AE95" s="466">
        <f>SUM(AE89:AE94)</f>
        <v>824.08748604166658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971"/>
      <c r="G96" s="972"/>
      <c r="H96" s="972"/>
      <c r="I96" s="432"/>
      <c r="J96" s="972"/>
      <c r="K96" s="971"/>
      <c r="L96" s="972"/>
      <c r="M96" s="971"/>
      <c r="N96" s="668"/>
      <c r="O96" s="971"/>
      <c r="P96" s="682"/>
      <c r="Q96" s="998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963"/>
      <c r="H97" s="967"/>
      <c r="I97" s="967"/>
      <c r="J97" s="968"/>
      <c r="K97" s="968"/>
      <c r="L97" s="968"/>
      <c r="M97" s="968"/>
      <c r="N97" s="968"/>
      <c r="O97" s="968"/>
      <c r="P97" s="448"/>
      <c r="Q97" s="997"/>
      <c r="R97" s="968"/>
      <c r="S97" s="968"/>
      <c r="T97" s="968"/>
      <c r="U97" s="963"/>
      <c r="V97" s="963"/>
      <c r="W97" s="963"/>
      <c r="X97" s="963"/>
      <c r="Y97" s="968"/>
      <c r="Z97" s="968"/>
      <c r="AA97" s="968"/>
      <c r="AB97" s="963"/>
      <c r="AC97" s="963"/>
      <c r="AD97" s="968"/>
      <c r="AE97" s="968"/>
      <c r="AF97" s="967"/>
    </row>
    <row r="98" spans="1:32" ht="18.75" customHeight="1" x14ac:dyDescent="0.2">
      <c r="A98" s="972">
        <v>76</v>
      </c>
      <c r="B98" s="969" t="s">
        <v>107</v>
      </c>
      <c r="C98" s="968" t="s">
        <v>109</v>
      </c>
      <c r="D98" s="968"/>
      <c r="E98" s="968"/>
      <c r="F98" s="968"/>
      <c r="G98" s="963"/>
      <c r="H98" s="967"/>
      <c r="I98" s="967"/>
      <c r="J98" s="968"/>
      <c r="K98" s="968"/>
      <c r="L98" s="968"/>
      <c r="M98" s="968"/>
      <c r="N98" s="968"/>
      <c r="O98" s="968"/>
      <c r="P98" s="448"/>
      <c r="Q98" s="997"/>
      <c r="R98" s="968"/>
      <c r="S98" s="968"/>
      <c r="T98" s="968"/>
      <c r="U98" s="963"/>
      <c r="V98" s="963"/>
      <c r="W98" s="963"/>
      <c r="X98" s="963"/>
      <c r="Y98" s="967"/>
      <c r="Z98" s="967"/>
      <c r="AA98" s="968"/>
      <c r="AB98" s="963"/>
      <c r="AC98" s="963"/>
      <c r="AD98" s="493"/>
      <c r="AE98" s="968"/>
      <c r="AF98" s="967"/>
    </row>
    <row r="99" spans="1:32" ht="18.75" customHeight="1" x14ac:dyDescent="0.2">
      <c r="A99" s="972">
        <v>77</v>
      </c>
      <c r="B99" s="969" t="s">
        <v>108</v>
      </c>
      <c r="C99" s="968" t="s">
        <v>109</v>
      </c>
      <c r="D99" s="968"/>
      <c r="E99" s="968"/>
      <c r="F99" s="968"/>
      <c r="G99" s="963"/>
      <c r="H99" s="967"/>
      <c r="I99" s="967"/>
      <c r="J99" s="968"/>
      <c r="K99" s="968"/>
      <c r="L99" s="968"/>
      <c r="M99" s="968"/>
      <c r="N99" s="968"/>
      <c r="O99" s="968"/>
      <c r="P99" s="448"/>
      <c r="Q99" s="997"/>
      <c r="R99" s="968"/>
      <c r="S99" s="968"/>
      <c r="T99" s="968"/>
      <c r="U99" s="963"/>
      <c r="V99" s="963"/>
      <c r="W99" s="963"/>
      <c r="X99" s="963"/>
      <c r="Y99" s="967"/>
      <c r="Z99" s="967"/>
      <c r="AA99" s="968"/>
      <c r="AB99" s="963"/>
      <c r="AC99" s="963"/>
      <c r="AD99" s="493"/>
      <c r="AE99" s="968"/>
      <c r="AF99" s="967"/>
    </row>
    <row r="100" spans="1:32" ht="18.75" customHeight="1" x14ac:dyDescent="0.2">
      <c r="A100" s="972">
        <v>78</v>
      </c>
      <c r="B100" s="969" t="s">
        <v>195</v>
      </c>
      <c r="C100" s="970" t="s">
        <v>484</v>
      </c>
      <c r="D100" s="968"/>
      <c r="E100" s="968"/>
      <c r="F100" s="968"/>
      <c r="G100" s="963"/>
      <c r="H100" s="967"/>
      <c r="I100" s="967"/>
      <c r="J100" s="968"/>
      <c r="K100" s="968"/>
      <c r="L100" s="968"/>
      <c r="M100" s="968"/>
      <c r="N100" s="968"/>
      <c r="O100" s="968"/>
      <c r="P100" s="448"/>
      <c r="Q100" s="997"/>
      <c r="R100" s="968"/>
      <c r="S100" s="968"/>
      <c r="T100" s="968"/>
      <c r="U100" s="963"/>
      <c r="V100" s="963"/>
      <c r="W100" s="963"/>
      <c r="X100" s="963"/>
      <c r="Y100" s="967"/>
      <c r="Z100" s="967"/>
      <c r="AA100" s="968"/>
      <c r="AB100" s="963"/>
      <c r="AC100" s="963"/>
      <c r="AD100" s="493"/>
      <c r="AE100" s="968"/>
      <c r="AF100" s="967"/>
    </row>
    <row r="101" spans="1:32" ht="18.75" customHeight="1" x14ac:dyDescent="0.2">
      <c r="A101" s="972">
        <v>79</v>
      </c>
      <c r="B101" s="969" t="s">
        <v>192</v>
      </c>
      <c r="C101" s="970" t="s">
        <v>484</v>
      </c>
      <c r="D101" s="968"/>
      <c r="E101" s="968"/>
      <c r="F101" s="968"/>
      <c r="G101" s="963"/>
      <c r="H101" s="967"/>
      <c r="I101" s="967"/>
      <c r="J101" s="968"/>
      <c r="K101" s="968"/>
      <c r="L101" s="968"/>
      <c r="M101" s="968"/>
      <c r="N101" s="968"/>
      <c r="O101" s="968"/>
      <c r="P101" s="448"/>
      <c r="Q101" s="997"/>
      <c r="R101" s="968"/>
      <c r="S101" s="968"/>
      <c r="T101" s="968"/>
      <c r="U101" s="963"/>
      <c r="V101" s="963"/>
      <c r="W101" s="963"/>
      <c r="X101" s="963"/>
      <c r="Y101" s="967"/>
      <c r="Z101" s="967"/>
      <c r="AA101" s="968"/>
      <c r="AB101" s="963"/>
      <c r="AC101" s="963"/>
      <c r="AD101" s="493"/>
      <c r="AE101" s="968"/>
      <c r="AF101" s="967"/>
    </row>
    <row r="102" spans="1:32" ht="18.75" customHeight="1" x14ac:dyDescent="0.2">
      <c r="A102" s="972"/>
      <c r="B102" s="851"/>
      <c r="C102" s="850"/>
      <c r="D102" s="850"/>
      <c r="E102" s="967" t="s">
        <v>278</v>
      </c>
      <c r="F102" s="850"/>
      <c r="G102" s="963"/>
      <c r="H102" s="967"/>
      <c r="I102" s="967"/>
      <c r="J102" s="968"/>
      <c r="K102" s="968"/>
      <c r="L102" s="968"/>
      <c r="M102" s="968"/>
      <c r="N102" s="968"/>
      <c r="O102" s="968"/>
      <c r="P102" s="448"/>
      <c r="Q102" s="997"/>
      <c r="R102" s="968"/>
      <c r="S102" s="968"/>
      <c r="T102" s="968"/>
      <c r="U102" s="963"/>
      <c r="V102" s="963"/>
      <c r="W102" s="963"/>
      <c r="X102" s="963"/>
      <c r="Y102" s="968"/>
      <c r="Z102" s="968"/>
      <c r="AA102" s="968"/>
      <c r="AB102" s="963"/>
      <c r="AC102" s="963"/>
      <c r="AD102" s="968"/>
      <c r="AE102" s="968"/>
      <c r="AF102" s="967"/>
    </row>
    <row r="103" spans="1:32" ht="18.75" customHeight="1" x14ac:dyDescent="0.2">
      <c r="A103" s="972">
        <v>80</v>
      </c>
      <c r="B103" s="461" t="s">
        <v>189</v>
      </c>
      <c r="C103" s="972" t="s">
        <v>46</v>
      </c>
      <c r="D103" s="972">
        <v>673</v>
      </c>
      <c r="E103" s="972" t="s">
        <v>190</v>
      </c>
      <c r="F103" s="972">
        <v>177.8</v>
      </c>
      <c r="G103" s="972"/>
      <c r="H103" s="972"/>
      <c r="I103" s="968"/>
      <c r="J103" s="968"/>
      <c r="K103" s="968"/>
      <c r="L103" s="968"/>
      <c r="M103" s="968"/>
      <c r="N103" s="968"/>
      <c r="O103" s="968"/>
      <c r="P103" s="448"/>
      <c r="Q103" s="997"/>
      <c r="R103" s="968"/>
      <c r="S103" s="968"/>
      <c r="T103" s="968"/>
      <c r="U103" s="963"/>
      <c r="V103" s="963"/>
      <c r="W103" s="963"/>
      <c r="X103" s="963"/>
      <c r="Y103" s="473"/>
      <c r="Z103" s="683"/>
      <c r="AA103" s="967"/>
      <c r="AB103" s="963"/>
      <c r="AC103" s="968"/>
      <c r="AD103" s="972"/>
      <c r="AE103" s="432"/>
      <c r="AF103" s="449"/>
    </row>
    <row r="104" spans="1:32" ht="18.75" customHeight="1" x14ac:dyDescent="0.3">
      <c r="A104" s="972">
        <v>81</v>
      </c>
      <c r="B104" s="461" t="s">
        <v>181</v>
      </c>
      <c r="C104" s="684" t="s">
        <v>344</v>
      </c>
      <c r="D104" s="972">
        <v>374.5</v>
      </c>
      <c r="E104" s="972" t="s">
        <v>182</v>
      </c>
      <c r="F104" s="972">
        <v>177.8</v>
      </c>
      <c r="G104" s="972"/>
      <c r="H104" s="972"/>
      <c r="I104" s="968"/>
      <c r="J104" s="972"/>
      <c r="K104" s="972"/>
      <c r="L104" s="972"/>
      <c r="M104" s="972"/>
      <c r="N104" s="668"/>
      <c r="O104" s="972"/>
      <c r="P104" s="432"/>
      <c r="Q104" s="995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972"/>
      <c r="AE104" s="432"/>
      <c r="AF104" s="449"/>
    </row>
    <row r="105" spans="1:32" ht="18.75" customHeight="1" x14ac:dyDescent="0.2">
      <c r="A105" s="972">
        <v>82</v>
      </c>
      <c r="B105" s="461" t="s">
        <v>174</v>
      </c>
      <c r="C105" s="972" t="s">
        <v>46</v>
      </c>
      <c r="D105" s="972">
        <v>672</v>
      </c>
      <c r="E105" s="972" t="s">
        <v>175</v>
      </c>
      <c r="F105" s="972">
        <v>177.8</v>
      </c>
      <c r="G105" s="972"/>
      <c r="H105" s="972"/>
      <c r="I105" s="968"/>
      <c r="J105" s="972"/>
      <c r="K105" s="972"/>
      <c r="L105" s="972"/>
      <c r="M105" s="972"/>
      <c r="N105" s="668"/>
      <c r="O105" s="972"/>
      <c r="P105" s="668"/>
      <c r="Q105" s="995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972"/>
      <c r="AE105" s="432"/>
      <c r="AF105" s="449"/>
    </row>
    <row r="106" spans="1:32" ht="18.75" customHeight="1" x14ac:dyDescent="0.2">
      <c r="A106" s="972">
        <v>83</v>
      </c>
      <c r="B106" s="969" t="s">
        <v>103</v>
      </c>
      <c r="C106" s="972" t="s">
        <v>46</v>
      </c>
      <c r="D106" s="968">
        <v>582</v>
      </c>
      <c r="E106" s="968" t="s">
        <v>112</v>
      </c>
      <c r="F106" s="972">
        <v>177.8</v>
      </c>
      <c r="G106" s="972"/>
      <c r="H106" s="972"/>
      <c r="I106" s="968"/>
      <c r="J106" s="968"/>
      <c r="K106" s="968"/>
      <c r="L106" s="968"/>
      <c r="M106" s="968"/>
      <c r="N106" s="968"/>
      <c r="O106" s="968"/>
      <c r="P106" s="448"/>
      <c r="Q106" s="997"/>
      <c r="R106" s="968"/>
      <c r="S106" s="968"/>
      <c r="T106" s="968"/>
      <c r="U106" s="963"/>
      <c r="V106" s="963"/>
      <c r="W106" s="963"/>
      <c r="X106" s="421"/>
      <c r="Y106" s="492"/>
      <c r="Z106" s="968"/>
      <c r="AA106" s="968"/>
      <c r="AB106" s="963"/>
      <c r="AC106" s="968"/>
      <c r="AD106" s="493"/>
      <c r="AE106" s="437"/>
      <c r="AF106" s="449"/>
    </row>
    <row r="107" spans="1:32" ht="18.75" customHeight="1" x14ac:dyDescent="0.2">
      <c r="A107" s="972">
        <v>84</v>
      </c>
      <c r="B107" s="972" t="s">
        <v>57</v>
      </c>
      <c r="C107" s="970" t="s">
        <v>314</v>
      </c>
      <c r="D107" s="972">
        <v>376.58</v>
      </c>
      <c r="E107" s="461" t="s">
        <v>93</v>
      </c>
      <c r="F107" s="972">
        <v>177.8</v>
      </c>
      <c r="G107" s="972"/>
      <c r="H107" s="972"/>
      <c r="I107" s="968"/>
      <c r="J107" s="968"/>
      <c r="K107" s="968"/>
      <c r="L107" s="968"/>
      <c r="M107" s="968"/>
      <c r="N107" s="968"/>
      <c r="O107" s="968"/>
      <c r="P107" s="448"/>
      <c r="Q107" s="997"/>
      <c r="R107" s="968"/>
      <c r="S107" s="968"/>
      <c r="T107" s="968"/>
      <c r="U107" s="963"/>
      <c r="V107" s="963"/>
      <c r="W107" s="963"/>
      <c r="X107" s="421"/>
      <c r="Y107" s="492"/>
      <c r="Z107" s="968"/>
      <c r="AA107" s="968"/>
      <c r="AB107" s="963"/>
      <c r="AC107" s="968"/>
      <c r="AD107" s="493"/>
      <c r="AE107" s="437"/>
      <c r="AF107" s="449"/>
    </row>
    <row r="108" spans="1:32" ht="18.75" customHeight="1" x14ac:dyDescent="0.2">
      <c r="A108" s="972">
        <v>85</v>
      </c>
      <c r="B108" s="972" t="s">
        <v>184</v>
      </c>
      <c r="C108" s="970" t="s">
        <v>314</v>
      </c>
      <c r="D108" s="972">
        <v>422.78</v>
      </c>
      <c r="E108" s="461" t="s">
        <v>185</v>
      </c>
      <c r="F108" s="972">
        <v>177.8</v>
      </c>
      <c r="G108" s="972"/>
      <c r="H108" s="972"/>
      <c r="I108" s="432"/>
      <c r="J108" s="968"/>
      <c r="K108" s="968"/>
      <c r="L108" s="968"/>
      <c r="M108" s="968"/>
      <c r="N108" s="968"/>
      <c r="O108" s="968"/>
      <c r="P108" s="448"/>
      <c r="Q108" s="997"/>
      <c r="R108" s="968"/>
      <c r="S108" s="968"/>
      <c r="T108" s="968"/>
      <c r="U108" s="963"/>
      <c r="V108" s="963"/>
      <c r="W108" s="963"/>
      <c r="X108" s="421"/>
      <c r="Y108" s="492"/>
      <c r="Z108" s="968"/>
      <c r="AA108" s="968"/>
      <c r="AB108" s="963"/>
      <c r="AC108" s="968"/>
      <c r="AD108" s="493"/>
      <c r="AE108" s="437"/>
      <c r="AF108" s="449"/>
    </row>
    <row r="109" spans="1:32" ht="18.75" customHeight="1" x14ac:dyDescent="0.2">
      <c r="A109" s="972">
        <v>86</v>
      </c>
      <c r="B109" s="969" t="s">
        <v>220</v>
      </c>
      <c r="C109" s="972" t="s">
        <v>46</v>
      </c>
      <c r="D109" s="968">
        <v>685.69</v>
      </c>
      <c r="E109" s="968" t="s">
        <v>222</v>
      </c>
      <c r="F109" s="972">
        <v>177.8</v>
      </c>
      <c r="G109" s="972"/>
      <c r="H109" s="972"/>
      <c r="I109" s="968"/>
      <c r="J109" s="968"/>
      <c r="K109" s="968"/>
      <c r="L109" s="968"/>
      <c r="M109" s="968"/>
      <c r="N109" s="968"/>
      <c r="O109" s="968"/>
      <c r="P109" s="448"/>
      <c r="Q109" s="994"/>
      <c r="R109" s="968"/>
      <c r="S109" s="968"/>
      <c r="T109" s="968"/>
      <c r="U109" s="963"/>
      <c r="V109" s="963"/>
      <c r="W109" s="963"/>
      <c r="X109" s="421"/>
      <c r="Y109" s="492"/>
      <c r="Z109" s="968"/>
      <c r="AA109" s="968"/>
      <c r="AB109" s="963"/>
      <c r="AC109" s="968"/>
      <c r="AD109" s="493"/>
      <c r="AE109" s="437"/>
      <c r="AF109" s="449"/>
    </row>
    <row r="110" spans="1:32" ht="18.75" customHeight="1" x14ac:dyDescent="0.2">
      <c r="A110" s="972"/>
      <c r="B110" s="851"/>
      <c r="C110" s="850"/>
      <c r="D110" s="850"/>
      <c r="E110" s="967" t="s">
        <v>469</v>
      </c>
      <c r="F110" s="850"/>
      <c r="G110" s="972"/>
      <c r="H110" s="972"/>
      <c r="I110" s="968"/>
      <c r="J110" s="972"/>
      <c r="K110" s="972"/>
      <c r="L110" s="972"/>
      <c r="M110" s="972"/>
      <c r="N110" s="668"/>
      <c r="O110" s="972"/>
      <c r="P110" s="668"/>
      <c r="Q110" s="999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972"/>
      <c r="AE110" s="432"/>
      <c r="AF110" s="449"/>
    </row>
    <row r="111" spans="1:32" ht="18.75" customHeight="1" x14ac:dyDescent="0.2">
      <c r="A111" s="972">
        <v>87</v>
      </c>
      <c r="B111" s="461" t="s">
        <v>56</v>
      </c>
      <c r="C111" s="972" t="s">
        <v>46</v>
      </c>
      <c r="D111" s="972">
        <v>680.52</v>
      </c>
      <c r="E111" s="972" t="s">
        <v>92</v>
      </c>
      <c r="F111" s="972">
        <v>177.8</v>
      </c>
      <c r="G111" s="972"/>
      <c r="H111" s="972"/>
      <c r="I111" s="968"/>
      <c r="J111" s="972"/>
      <c r="K111" s="972"/>
      <c r="L111" s="972"/>
      <c r="M111" s="972"/>
      <c r="N111" s="668"/>
      <c r="O111" s="972"/>
      <c r="P111" s="668"/>
      <c r="Q111" s="999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972"/>
      <c r="AE111" s="432"/>
      <c r="AF111" s="449"/>
    </row>
    <row r="112" spans="1:32" ht="18.75" customHeight="1" x14ac:dyDescent="0.2">
      <c r="A112" s="972"/>
      <c r="B112" s="461"/>
      <c r="C112" s="972"/>
      <c r="D112" s="972"/>
      <c r="E112" s="972"/>
      <c r="F112" s="972"/>
      <c r="G112" s="972"/>
      <c r="H112" s="972"/>
      <c r="I112" s="968"/>
      <c r="J112" s="972"/>
      <c r="K112" s="972"/>
      <c r="L112" s="972"/>
      <c r="M112" s="972"/>
      <c r="N112" s="668"/>
      <c r="O112" s="972"/>
      <c r="P112" s="432"/>
      <c r="Q112" s="999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972"/>
      <c r="AE112" s="432"/>
      <c r="AF112" s="449"/>
    </row>
    <row r="113" spans="1:32" ht="18.75" x14ac:dyDescent="0.25">
      <c r="A113" s="870"/>
      <c r="B113" s="972"/>
      <c r="C113" s="972"/>
      <c r="D113" s="972"/>
      <c r="E113" s="461"/>
      <c r="F113" s="972"/>
      <c r="G113" s="972"/>
      <c r="H113" s="972"/>
      <c r="I113" s="968"/>
      <c r="J113" s="972"/>
      <c r="K113" s="972"/>
      <c r="L113" s="972"/>
      <c r="M113" s="972"/>
      <c r="N113" s="668"/>
      <c r="O113" s="972"/>
      <c r="P113" s="432"/>
      <c r="Q113" s="999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972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971"/>
      <c r="G114" s="972"/>
      <c r="H114" s="972"/>
      <c r="I114" s="432"/>
      <c r="J114" s="972"/>
      <c r="K114" s="971"/>
      <c r="L114" s="972"/>
      <c r="M114" s="971"/>
      <c r="N114" s="668"/>
      <c r="O114" s="971"/>
      <c r="P114" s="682"/>
      <c r="Q114" s="1000"/>
      <c r="R114" s="466">
        <f>R78+R95+R87</f>
        <v>475.46034294871788</v>
      </c>
      <c r="S114" s="466">
        <f>S78+S95+S87</f>
        <v>971.71738141025651</v>
      </c>
      <c r="T114" s="678">
        <f>T78+T95+T87</f>
        <v>14208</v>
      </c>
      <c r="U114" s="466">
        <f>T114/R114</f>
        <v>29.882618415417337</v>
      </c>
      <c r="V114" s="466"/>
      <c r="W114" s="466"/>
      <c r="X114" s="466"/>
      <c r="Y114" s="466">
        <f>Y78+Y95+Y87</f>
        <v>468.32843780448729</v>
      </c>
      <c r="Z114" s="466">
        <f>Z78+Z95+Z87</f>
        <v>957.14162068910241</v>
      </c>
      <c r="AA114" s="678">
        <f>AA78+AA95+AA87</f>
        <v>13994.88</v>
      </c>
      <c r="AB114" s="466">
        <f>AB78+AB95+AB87</f>
        <v>78.943175706253101</v>
      </c>
      <c r="AC114" s="466"/>
      <c r="AD114" s="466"/>
      <c r="AE114" s="686">
        <f>AE78+AE95+AE87</f>
        <v>14518.1815719391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1001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13792.272493342143</v>
      </c>
      <c r="L116" s="1897"/>
      <c r="M116" s="1897"/>
      <c r="N116" s="460" t="s">
        <v>27</v>
      </c>
      <c r="O116" s="497"/>
      <c r="P116" s="500"/>
      <c r="Q116" s="1001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1002"/>
      <c r="R117" s="412"/>
      <c r="S117" s="412"/>
      <c r="T117" s="412"/>
      <c r="U117" s="412"/>
      <c r="V117" s="412"/>
      <c r="W117" s="412"/>
      <c r="X117" s="975"/>
      <c r="Y117" s="975"/>
      <c r="Z117" s="975"/>
      <c r="AA117" s="975"/>
      <c r="AB117" s="975"/>
      <c r="AC117" s="975"/>
      <c r="AD117" s="975"/>
      <c r="AE117" s="975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1002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975" t="s">
        <v>373</v>
      </c>
      <c r="AC118" s="975"/>
      <c r="AD118" s="975"/>
      <c r="AE118" s="975"/>
      <c r="AF118" s="975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4:E114"/>
    <mergeCell ref="K116:M116"/>
    <mergeCell ref="AB13:AB14"/>
    <mergeCell ref="AC13:AC14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F118"/>
  <sheetViews>
    <sheetView zoomScale="64" zoomScaleNormal="64" workbookViewId="0">
      <selection sqref="A1:XFD1048576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59.425781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987"/>
      <c r="G2" s="981"/>
      <c r="H2" s="981"/>
      <c r="I2" s="987"/>
      <c r="J2" s="1909" t="s">
        <v>496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987"/>
      <c r="Y2" s="987"/>
      <c r="Z2" s="987"/>
      <c r="AA2" s="987"/>
      <c r="AB2" s="987"/>
      <c r="AC2" s="987"/>
      <c r="AD2" s="987"/>
      <c r="AE2" s="987"/>
      <c r="AF2" s="405"/>
    </row>
    <row r="3" spans="1:32" ht="18.75" x14ac:dyDescent="0.2">
      <c r="A3" s="1910" t="s">
        <v>54</v>
      </c>
      <c r="B3" s="1910"/>
      <c r="C3" s="1910"/>
      <c r="D3" s="1910"/>
      <c r="E3" s="987"/>
      <c r="F3" s="987"/>
      <c r="G3" s="981"/>
      <c r="H3" s="988"/>
      <c r="I3" s="988"/>
      <c r="J3" s="988"/>
      <c r="K3" s="988"/>
      <c r="L3" s="988"/>
      <c r="M3" s="988"/>
      <c r="N3" s="988"/>
      <c r="O3" s="988"/>
      <c r="P3" s="988"/>
      <c r="Q3" s="767"/>
      <c r="R3" s="987"/>
      <c r="S3" s="987"/>
      <c r="T3" s="987"/>
      <c r="U3" s="987"/>
      <c r="V3" s="987"/>
      <c r="W3" s="987"/>
      <c r="X3" s="987"/>
      <c r="Y3" s="987"/>
      <c r="Z3" s="987"/>
      <c r="AA3" s="987"/>
      <c r="AB3" s="987"/>
      <c r="AC3" s="987"/>
      <c r="AD3" s="987"/>
      <c r="AE3" s="987"/>
      <c r="AF3" s="408" t="s">
        <v>55</v>
      </c>
    </row>
    <row r="4" spans="1:32" ht="18.75" x14ac:dyDescent="0.2">
      <c r="A4" s="982"/>
      <c r="B4" s="1005"/>
      <c r="C4" s="982"/>
      <c r="D4" s="982"/>
      <c r="E4" s="987"/>
      <c r="F4" s="987"/>
      <c r="G4" s="981"/>
      <c r="H4" s="988"/>
      <c r="I4" s="988"/>
      <c r="J4" s="988"/>
      <c r="K4" s="988"/>
      <c r="L4" s="988"/>
      <c r="M4" s="988"/>
      <c r="N4" s="988"/>
      <c r="O4" s="988"/>
      <c r="P4" s="988"/>
      <c r="Q4" s="767"/>
      <c r="R4" s="987"/>
      <c r="S4" s="987"/>
      <c r="T4" s="987"/>
      <c r="U4" s="987"/>
      <c r="V4" s="987"/>
      <c r="W4" s="987"/>
      <c r="X4" s="987"/>
      <c r="Y4" s="987"/>
      <c r="Z4" s="987"/>
      <c r="AA4" s="987"/>
      <c r="AB4" s="987"/>
      <c r="AC4" s="987"/>
      <c r="AD4" s="987"/>
      <c r="AE4" s="987"/>
      <c r="AF4" s="408"/>
    </row>
    <row r="5" spans="1:32" ht="18.75" x14ac:dyDescent="0.2">
      <c r="A5" s="983" t="s">
        <v>494</v>
      </c>
      <c r="B5" s="1006"/>
      <c r="C5" s="983"/>
      <c r="D5" s="983"/>
      <c r="E5" s="983"/>
      <c r="F5" s="987"/>
      <c r="G5" s="981"/>
      <c r="H5" s="981"/>
      <c r="I5" s="988"/>
      <c r="J5" s="988"/>
      <c r="K5" s="988"/>
      <c r="L5" s="988"/>
      <c r="M5" s="988"/>
      <c r="N5" s="988"/>
      <c r="O5" s="988"/>
      <c r="P5" s="988"/>
      <c r="Q5" s="767"/>
      <c r="R5" s="989"/>
      <c r="S5" s="989"/>
      <c r="T5" s="989"/>
      <c r="U5" s="989"/>
      <c r="V5" s="989"/>
      <c r="W5" s="989"/>
      <c r="X5" s="987"/>
      <c r="Y5" s="987"/>
      <c r="Z5" s="987"/>
      <c r="AA5" s="987"/>
      <c r="AB5" s="987"/>
      <c r="AC5" s="987"/>
      <c r="AD5" s="987"/>
      <c r="AE5" s="987"/>
      <c r="AF5" s="411" t="s">
        <v>468</v>
      </c>
    </row>
    <row r="6" spans="1:32" ht="18.75" x14ac:dyDescent="0.2">
      <c r="A6" s="983" t="s">
        <v>428</v>
      </c>
      <c r="B6" s="412"/>
      <c r="C6" s="412"/>
      <c r="D6" s="412"/>
      <c r="E6" s="987"/>
      <c r="F6" s="987"/>
      <c r="G6" s="981"/>
      <c r="H6" s="981"/>
      <c r="I6" s="987"/>
      <c r="J6" s="987"/>
      <c r="K6" s="981"/>
      <c r="L6" s="981"/>
      <c r="M6" s="987"/>
      <c r="N6" s="987"/>
      <c r="O6" s="987"/>
      <c r="P6" s="413"/>
      <c r="Q6" s="768"/>
      <c r="R6" s="987"/>
      <c r="S6" s="987"/>
      <c r="T6" s="987"/>
      <c r="U6" s="987"/>
      <c r="V6" s="987"/>
      <c r="W6" s="987"/>
      <c r="X6" s="987"/>
      <c r="Y6" s="987"/>
      <c r="Z6" s="987"/>
      <c r="AA6" s="987"/>
      <c r="AB6" s="987"/>
      <c r="AC6" s="987"/>
      <c r="AD6" s="987"/>
      <c r="AE6" s="987"/>
      <c r="AF6" s="415" t="s">
        <v>429</v>
      </c>
    </row>
    <row r="7" spans="1:32" ht="18.75" x14ac:dyDescent="0.2">
      <c r="A7" s="987"/>
      <c r="B7" s="1006"/>
      <c r="C7" s="983"/>
      <c r="D7" s="983"/>
      <c r="E7" s="987"/>
      <c r="F7" s="987"/>
      <c r="G7" s="981"/>
      <c r="H7" s="981"/>
      <c r="I7" s="405"/>
      <c r="J7" s="987"/>
      <c r="K7" s="981"/>
      <c r="L7" s="981"/>
      <c r="M7" s="987"/>
      <c r="N7" s="987"/>
      <c r="O7" s="987"/>
      <c r="P7" s="413"/>
      <c r="Q7" s="768"/>
      <c r="R7" s="987"/>
      <c r="S7" s="987"/>
      <c r="T7" s="987"/>
      <c r="U7" s="987"/>
      <c r="V7" s="987"/>
      <c r="W7" s="411"/>
      <c r="X7" s="987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987"/>
      <c r="G8" s="981"/>
      <c r="H8" s="981"/>
      <c r="I8" s="405"/>
      <c r="J8" s="987"/>
      <c r="K8" s="981"/>
      <c r="L8" s="981"/>
      <c r="M8" s="987"/>
      <c r="N8" s="987"/>
      <c r="O8" s="987"/>
      <c r="P8" s="413"/>
      <c r="Q8" s="768"/>
      <c r="R8" s="987"/>
      <c r="S8" s="987"/>
      <c r="T8" s="987"/>
      <c r="U8" s="987"/>
      <c r="V8" s="987"/>
      <c r="W8" s="411"/>
      <c r="X8" s="987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987"/>
      <c r="G9" s="981"/>
      <c r="H9" s="981"/>
      <c r="I9" s="405"/>
      <c r="J9" s="987"/>
      <c r="K9" s="981"/>
      <c r="L9" s="981"/>
      <c r="M9" s="987"/>
      <c r="N9" s="987"/>
      <c r="O9" s="987"/>
      <c r="P9" s="413"/>
      <c r="Q9" s="768"/>
      <c r="R9" s="987"/>
      <c r="S9" s="987"/>
      <c r="T9" s="987"/>
      <c r="U9" s="987"/>
      <c r="V9" s="987"/>
      <c r="W9" s="411"/>
      <c r="X9" s="987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987"/>
      <c r="G10" s="981"/>
      <c r="H10" s="981"/>
      <c r="I10" s="987"/>
      <c r="J10" s="987"/>
      <c r="K10" s="981"/>
      <c r="L10" s="981"/>
      <c r="M10" s="981"/>
      <c r="N10" s="981"/>
      <c r="O10" s="981"/>
      <c r="P10" s="981"/>
      <c r="Q10" s="769"/>
      <c r="R10" s="981"/>
      <c r="S10" s="981"/>
      <c r="T10" s="981"/>
      <c r="U10" s="981"/>
      <c r="V10" s="981"/>
      <c r="W10" s="987"/>
      <c r="X10" s="987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04"/>
      <c r="C11" s="981"/>
      <c r="D11" s="981"/>
      <c r="E11" s="987"/>
      <c r="F11" s="987"/>
      <c r="G11" s="981"/>
      <c r="H11" s="981"/>
      <c r="I11" s="405"/>
      <c r="J11" s="987"/>
      <c r="K11" s="981"/>
      <c r="L11" s="981"/>
      <c r="M11" s="987"/>
      <c r="N11" s="987"/>
      <c r="O11" s="987"/>
      <c r="P11" s="413"/>
      <c r="Q11" s="768"/>
      <c r="R11" s="987"/>
      <c r="S11" s="987"/>
      <c r="T11" s="987"/>
      <c r="U11" s="987"/>
      <c r="V11" s="987"/>
      <c r="W11" s="411"/>
      <c r="X11" s="987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978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978" t="s">
        <v>18</v>
      </c>
      <c r="AE13" s="978" t="s">
        <v>20</v>
      </c>
      <c r="AF13" s="1891" t="s">
        <v>21</v>
      </c>
    </row>
    <row r="14" spans="1:32" ht="37.5" x14ac:dyDescent="0.2">
      <c r="A14" s="1891"/>
      <c r="B14" s="1891"/>
      <c r="C14" s="1903"/>
      <c r="D14" s="984" t="s">
        <v>3</v>
      </c>
      <c r="E14" s="984" t="s">
        <v>3</v>
      </c>
      <c r="F14" s="984" t="s">
        <v>4</v>
      </c>
      <c r="G14" s="1903"/>
      <c r="H14" s="1903"/>
      <c r="I14" s="1891"/>
      <c r="J14" s="984" t="s">
        <v>7</v>
      </c>
      <c r="K14" s="984" t="s">
        <v>30</v>
      </c>
      <c r="L14" s="984" t="s">
        <v>29</v>
      </c>
      <c r="M14" s="984" t="s">
        <v>31</v>
      </c>
      <c r="N14" s="984" t="s">
        <v>32</v>
      </c>
      <c r="O14" s="984" t="s">
        <v>12</v>
      </c>
      <c r="P14" s="448" t="s">
        <v>13</v>
      </c>
      <c r="Q14" s="771" t="s">
        <v>26</v>
      </c>
      <c r="R14" s="984" t="s">
        <v>14</v>
      </c>
      <c r="S14" s="984" t="s">
        <v>25</v>
      </c>
      <c r="T14" s="984" t="s">
        <v>113</v>
      </c>
      <c r="U14" s="1903"/>
      <c r="V14" s="1903"/>
      <c r="W14" s="1903"/>
      <c r="X14" s="1903"/>
      <c r="Y14" s="984" t="s">
        <v>14</v>
      </c>
      <c r="Z14" s="984" t="s">
        <v>25</v>
      </c>
      <c r="AA14" s="984" t="s">
        <v>113</v>
      </c>
      <c r="AB14" s="1903"/>
      <c r="AC14" s="1903"/>
      <c r="AD14" s="984" t="s">
        <v>19</v>
      </c>
      <c r="AE14" s="984" t="s">
        <v>27</v>
      </c>
      <c r="AF14" s="1891"/>
    </row>
    <row r="15" spans="1:32" ht="18.75" customHeight="1" x14ac:dyDescent="0.2">
      <c r="A15" s="985">
        <v>1</v>
      </c>
      <c r="B15" s="461" t="s">
        <v>139</v>
      </c>
      <c r="C15" s="985" t="s">
        <v>46</v>
      </c>
      <c r="D15" s="985">
        <v>610.5</v>
      </c>
      <c r="E15" s="985" t="s">
        <v>203</v>
      </c>
      <c r="F15" s="985">
        <v>177.8</v>
      </c>
      <c r="G15" s="985" t="s">
        <v>28</v>
      </c>
      <c r="H15" s="452" t="s">
        <v>363</v>
      </c>
      <c r="I15" s="984">
        <v>558.54</v>
      </c>
      <c r="J15" s="985">
        <v>218</v>
      </c>
      <c r="K15" s="985"/>
      <c r="L15" s="985">
        <v>399</v>
      </c>
      <c r="M15" s="985"/>
      <c r="N15" s="985">
        <v>0.2</v>
      </c>
      <c r="O15" s="985"/>
      <c r="P15" s="668">
        <v>15.2016944684094</v>
      </c>
      <c r="Q15" s="668">
        <f>J15*7/100</f>
        <v>15.26</v>
      </c>
      <c r="R15" s="432">
        <v>2.7</v>
      </c>
      <c r="S15" s="432">
        <v>7.9</v>
      </c>
      <c r="T15" s="670">
        <v>21</v>
      </c>
      <c r="U15" s="668">
        <f t="shared" ref="U15:U34" si="0">IF(R15=0,0,T15/R15)</f>
        <v>7.7777777777777777</v>
      </c>
      <c r="V15" s="668">
        <f>IF(S15=0,0,(S15-R15)/S15*100)</f>
        <v>65.822784810126578</v>
      </c>
      <c r="W15" s="668">
        <v>0.2</v>
      </c>
      <c r="X15" s="432">
        <f>IF(S15=0,0,S15/Q15)</f>
        <v>0.51769331585845346</v>
      </c>
      <c r="Y15" s="432">
        <f>R15*0.985</f>
        <v>2.6595</v>
      </c>
      <c r="Z15" s="432">
        <f>S15*0.985</f>
        <v>7.7815000000000003</v>
      </c>
      <c r="AA15" s="670">
        <f>T15*0.985</f>
        <v>20.684999999999999</v>
      </c>
      <c r="AB15" s="432">
        <f>U15</f>
        <v>7.7777777777777777</v>
      </c>
      <c r="AC15" s="670">
        <f t="shared" ref="AC15:AC78" si="1">V15</f>
        <v>65.822784810126578</v>
      </c>
      <c r="AD15" s="985">
        <v>31</v>
      </c>
      <c r="AE15" s="432">
        <f>Y15*AD15</f>
        <v>82.444500000000005</v>
      </c>
      <c r="AF15" s="669"/>
    </row>
    <row r="16" spans="1:32" ht="18.75" customHeight="1" x14ac:dyDescent="0.2">
      <c r="A16" s="985">
        <v>2</v>
      </c>
      <c r="B16" s="461" t="s">
        <v>140</v>
      </c>
      <c r="C16" s="985" t="s">
        <v>46</v>
      </c>
      <c r="D16" s="985">
        <v>623.5</v>
      </c>
      <c r="E16" s="985" t="s">
        <v>480</v>
      </c>
      <c r="F16" s="985">
        <v>177.8</v>
      </c>
      <c r="G16" s="985" t="s">
        <v>28</v>
      </c>
      <c r="H16" s="985" t="s">
        <v>50</v>
      </c>
      <c r="I16" s="984">
        <v>586.46999999999991</v>
      </c>
      <c r="J16" s="985">
        <v>85</v>
      </c>
      <c r="K16" s="985"/>
      <c r="L16" s="985">
        <v>207</v>
      </c>
      <c r="M16" s="985"/>
      <c r="N16" s="985">
        <v>0</v>
      </c>
      <c r="O16" s="985"/>
      <c r="P16" s="668">
        <v>50.429168891550354</v>
      </c>
      <c r="Q16" s="668">
        <f t="shared" ref="Q16:Q39" si="2">LEFT(H16,(FIND("K",H16,1)-1))*J16/100</f>
        <v>5.0999999999999996</v>
      </c>
      <c r="R16" s="432">
        <v>0.20699999999999999</v>
      </c>
      <c r="S16" s="432">
        <v>4.2624444444444443</v>
      </c>
      <c r="T16" s="670">
        <v>0</v>
      </c>
      <c r="U16" s="668">
        <f t="shared" si="0"/>
        <v>0</v>
      </c>
      <c r="V16" s="668">
        <f t="shared" ref="V16:V78" si="3">IF(S16=0,0,(S16-R16)/S16*100)</f>
        <v>95.143631718888486</v>
      </c>
      <c r="W16" s="668">
        <v>0.2</v>
      </c>
      <c r="X16" s="432">
        <f>IF(S16=0,0,S16/Q16)</f>
        <v>0.83577342047930281</v>
      </c>
      <c r="Y16" s="432">
        <f t="shared" ref="Y16:AA78" si="4">R16*0.985</f>
        <v>0.20389499999999999</v>
      </c>
      <c r="Z16" s="432">
        <f t="shared" si="4"/>
        <v>4.1985077777777775</v>
      </c>
      <c r="AA16" s="670">
        <f t="shared" si="4"/>
        <v>0</v>
      </c>
      <c r="AB16" s="432">
        <f t="shared" ref="AB16:AB78" si="5">U16</f>
        <v>0</v>
      </c>
      <c r="AC16" s="670">
        <f t="shared" si="1"/>
        <v>95.143631718888486</v>
      </c>
      <c r="AD16" s="985">
        <v>31</v>
      </c>
      <c r="AE16" s="432">
        <f t="shared" ref="AE16:AE59" si="6">Y16*AD16</f>
        <v>6.3207449999999996</v>
      </c>
      <c r="AF16" s="669"/>
    </row>
    <row r="17" spans="1:32" ht="18.75" customHeight="1" x14ac:dyDescent="0.2">
      <c r="A17" s="985">
        <v>3</v>
      </c>
      <c r="B17" s="461" t="s">
        <v>141</v>
      </c>
      <c r="C17" s="985" t="s">
        <v>46</v>
      </c>
      <c r="D17" s="985">
        <v>670</v>
      </c>
      <c r="E17" s="985" t="s">
        <v>68</v>
      </c>
      <c r="F17" s="985">
        <v>177.8</v>
      </c>
      <c r="G17" s="985" t="s">
        <v>28</v>
      </c>
      <c r="H17" s="985" t="s">
        <v>218</v>
      </c>
      <c r="I17" s="984">
        <v>565.94000000000005</v>
      </c>
      <c r="J17" s="985">
        <v>290</v>
      </c>
      <c r="K17" s="985"/>
      <c r="L17" s="985">
        <v>488</v>
      </c>
      <c r="M17" s="985"/>
      <c r="N17" s="668">
        <v>8.5935483870967708</v>
      </c>
      <c r="O17" s="985"/>
      <c r="P17" s="668">
        <v>12.364309740551448</v>
      </c>
      <c r="Q17" s="668">
        <f>LEFT(H17,(FIND("K",H17,1)-1))*J17/100</f>
        <v>92.8</v>
      </c>
      <c r="R17" s="432">
        <v>17.449580645161291</v>
      </c>
      <c r="S17" s="432">
        <v>27.723387096774196</v>
      </c>
      <c r="T17" s="670">
        <v>1539</v>
      </c>
      <c r="U17" s="668">
        <f t="shared" si="0"/>
        <v>88.196961938266384</v>
      </c>
      <c r="V17" s="668">
        <f t="shared" si="3"/>
        <v>37.058265700904677</v>
      </c>
      <c r="W17" s="668">
        <v>0.2</v>
      </c>
      <c r="X17" s="432">
        <f t="shared" ref="X17:X78" si="7">IF(S17=0,0,S17/Q17)</f>
        <v>0.29874339543937711</v>
      </c>
      <c r="Y17" s="432">
        <f t="shared" si="4"/>
        <v>17.187836935483872</v>
      </c>
      <c r="Z17" s="432">
        <f t="shared" si="4"/>
        <v>27.307536290322584</v>
      </c>
      <c r="AA17" s="670">
        <f t="shared" si="4"/>
        <v>1515.915</v>
      </c>
      <c r="AB17" s="432">
        <f t="shared" si="5"/>
        <v>88.196961938266384</v>
      </c>
      <c r="AC17" s="670">
        <f t="shared" si="1"/>
        <v>37.058265700904677</v>
      </c>
      <c r="AD17" s="985">
        <v>31</v>
      </c>
      <c r="AE17" s="432">
        <f>Y17*AD17</f>
        <v>532.822945</v>
      </c>
      <c r="AF17" s="669"/>
    </row>
    <row r="18" spans="1:32" ht="18.75" customHeight="1" x14ac:dyDescent="0.2">
      <c r="A18" s="985">
        <v>4</v>
      </c>
      <c r="B18" s="461" t="s">
        <v>142</v>
      </c>
      <c r="C18" s="985" t="s">
        <v>46</v>
      </c>
      <c r="D18" s="985">
        <v>628</v>
      </c>
      <c r="E18" s="985" t="s">
        <v>481</v>
      </c>
      <c r="F18" s="985">
        <v>177.8</v>
      </c>
      <c r="G18" s="985" t="s">
        <v>28</v>
      </c>
      <c r="H18" s="831" t="s">
        <v>466</v>
      </c>
      <c r="I18" s="984">
        <v>541.28</v>
      </c>
      <c r="J18" s="985">
        <v>115</v>
      </c>
      <c r="K18" s="985"/>
      <c r="L18" s="985">
        <v>449</v>
      </c>
      <c r="M18" s="985"/>
      <c r="N18" s="668">
        <v>4.838709677419355</v>
      </c>
      <c r="O18" s="985"/>
      <c r="P18" s="668">
        <v>16.04752344106765</v>
      </c>
      <c r="Q18" s="668">
        <f>13*J18/100</f>
        <v>14.95</v>
      </c>
      <c r="R18" s="432">
        <v>3.3647419354838712</v>
      </c>
      <c r="S18" s="432">
        <v>5.0412258064516129</v>
      </c>
      <c r="T18" s="670">
        <v>39</v>
      </c>
      <c r="U18" s="668">
        <f t="shared" si="0"/>
        <v>11.590784894590007</v>
      </c>
      <c r="V18" s="668">
        <f t="shared" si="3"/>
        <v>33.255480617873275</v>
      </c>
      <c r="W18" s="668">
        <v>0.3</v>
      </c>
      <c r="X18" s="432">
        <f t="shared" si="7"/>
        <v>0.3372057395619808</v>
      </c>
      <c r="Y18" s="432">
        <f t="shared" si="4"/>
        <v>3.3142708064516131</v>
      </c>
      <c r="Z18" s="432">
        <f t="shared" si="4"/>
        <v>4.9656074193548383</v>
      </c>
      <c r="AA18" s="670">
        <f t="shared" si="4"/>
        <v>38.414999999999999</v>
      </c>
      <c r="AB18" s="432">
        <f t="shared" si="5"/>
        <v>11.590784894590007</v>
      </c>
      <c r="AC18" s="670">
        <f t="shared" si="1"/>
        <v>33.255480617873275</v>
      </c>
      <c r="AD18" s="985">
        <v>31</v>
      </c>
      <c r="AE18" s="432">
        <f t="shared" si="6"/>
        <v>102.742395</v>
      </c>
      <c r="AF18" s="669"/>
    </row>
    <row r="19" spans="1:32" ht="18.75" customHeight="1" x14ac:dyDescent="0.2">
      <c r="A19" s="985">
        <v>5</v>
      </c>
      <c r="B19" s="461" t="s">
        <v>143</v>
      </c>
      <c r="C19" s="985" t="s">
        <v>46</v>
      </c>
      <c r="D19" s="985">
        <v>576.6</v>
      </c>
      <c r="E19" s="985" t="s">
        <v>70</v>
      </c>
      <c r="F19" s="985">
        <v>177.8</v>
      </c>
      <c r="G19" s="985" t="s">
        <v>28</v>
      </c>
      <c r="H19" s="550" t="s">
        <v>53</v>
      </c>
      <c r="I19" s="984">
        <v>546.04999999999995</v>
      </c>
      <c r="J19" s="985">
        <v>85</v>
      </c>
      <c r="K19" s="985"/>
      <c r="L19" s="985">
        <v>435</v>
      </c>
      <c r="M19" s="985"/>
      <c r="N19" s="668">
        <v>5.7870967741935484</v>
      </c>
      <c r="O19" s="985"/>
      <c r="P19" s="668">
        <v>17.066268903317908</v>
      </c>
      <c r="Q19" s="668">
        <f t="shared" si="2"/>
        <v>11.05</v>
      </c>
      <c r="R19" s="432">
        <v>4.7903548387096766</v>
      </c>
      <c r="S19" s="432">
        <v>5.3288387096774201</v>
      </c>
      <c r="T19" s="670">
        <v>32</v>
      </c>
      <c r="U19" s="668">
        <f t="shared" si="0"/>
        <v>6.6800896963656822</v>
      </c>
      <c r="V19" s="668">
        <f t="shared" si="3"/>
        <v>10.105088562538619</v>
      </c>
      <c r="W19" s="668">
        <v>0.2</v>
      </c>
      <c r="X19" s="432">
        <f t="shared" si="7"/>
        <v>0.48224784702963075</v>
      </c>
      <c r="Y19" s="432">
        <f t="shared" si="4"/>
        <v>4.7184995161290315</v>
      </c>
      <c r="Z19" s="432">
        <f t="shared" si="4"/>
        <v>5.2489061290322585</v>
      </c>
      <c r="AA19" s="670">
        <f t="shared" si="4"/>
        <v>31.52</v>
      </c>
      <c r="AB19" s="432">
        <f t="shared" si="5"/>
        <v>6.6800896963656822</v>
      </c>
      <c r="AC19" s="670">
        <f t="shared" si="1"/>
        <v>10.105088562538619</v>
      </c>
      <c r="AD19" s="985">
        <v>31</v>
      </c>
      <c r="AE19" s="432">
        <f t="shared" si="6"/>
        <v>146.27348499999997</v>
      </c>
      <c r="AF19" s="669"/>
    </row>
    <row r="20" spans="1:32" ht="18.75" customHeight="1" x14ac:dyDescent="0.2">
      <c r="A20" s="985">
        <v>6</v>
      </c>
      <c r="B20" s="461" t="s">
        <v>144</v>
      </c>
      <c r="C20" s="985" t="s">
        <v>46</v>
      </c>
      <c r="D20" s="985">
        <v>676.6</v>
      </c>
      <c r="E20" s="985" t="s">
        <v>460</v>
      </c>
      <c r="F20" s="985">
        <v>177.8</v>
      </c>
      <c r="G20" s="985" t="s">
        <v>28</v>
      </c>
      <c r="H20" s="985" t="s">
        <v>461</v>
      </c>
      <c r="I20" s="984">
        <v>567.16</v>
      </c>
      <c r="J20" s="985">
        <v>85</v>
      </c>
      <c r="K20" s="985"/>
      <c r="L20" s="985">
        <v>404</v>
      </c>
      <c r="M20" s="985"/>
      <c r="N20" s="668">
        <v>0.66451612903225787</v>
      </c>
      <c r="O20" s="985"/>
      <c r="P20" s="668">
        <v>16.053397148691062</v>
      </c>
      <c r="Q20" s="668">
        <v>18.7</v>
      </c>
      <c r="R20" s="432">
        <v>2.2298387096774195</v>
      </c>
      <c r="S20" s="432">
        <v>2.8766774193548388</v>
      </c>
      <c r="T20" s="670">
        <v>4</v>
      </c>
      <c r="U20" s="668">
        <f t="shared" si="0"/>
        <v>1.7938517179023508</v>
      </c>
      <c r="V20" s="668">
        <f t="shared" si="3"/>
        <v>22.485618489072294</v>
      </c>
      <c r="W20" s="668">
        <v>0.3</v>
      </c>
      <c r="X20" s="432">
        <f t="shared" si="7"/>
        <v>0.15383301707779887</v>
      </c>
      <c r="Y20" s="432">
        <f t="shared" si="4"/>
        <v>2.196391129032258</v>
      </c>
      <c r="Z20" s="432">
        <f t="shared" si="4"/>
        <v>2.8335272580645161</v>
      </c>
      <c r="AA20" s="670">
        <f t="shared" si="4"/>
        <v>3.94</v>
      </c>
      <c r="AB20" s="432">
        <v>14.613</v>
      </c>
      <c r="AC20" s="670">
        <f t="shared" si="1"/>
        <v>22.485618489072294</v>
      </c>
      <c r="AD20" s="985">
        <v>31</v>
      </c>
      <c r="AE20" s="432">
        <f t="shared" si="6"/>
        <v>68.088124999999991</v>
      </c>
      <c r="AF20" s="669"/>
    </row>
    <row r="21" spans="1:32" ht="18.75" customHeight="1" x14ac:dyDescent="0.2">
      <c r="A21" s="985">
        <v>7</v>
      </c>
      <c r="B21" s="461" t="s">
        <v>145</v>
      </c>
      <c r="C21" s="985" t="s">
        <v>46</v>
      </c>
      <c r="D21" s="985" t="s">
        <v>47</v>
      </c>
      <c r="E21" s="985" t="s">
        <v>72</v>
      </c>
      <c r="F21" s="985">
        <v>177.8</v>
      </c>
      <c r="G21" s="985" t="s">
        <v>28</v>
      </c>
      <c r="H21" s="985" t="s">
        <v>52</v>
      </c>
      <c r="I21" s="984">
        <v>560</v>
      </c>
      <c r="J21" s="985">
        <v>240</v>
      </c>
      <c r="K21" s="985"/>
      <c r="L21" s="985">
        <v>447</v>
      </c>
      <c r="M21" s="985"/>
      <c r="N21" s="668">
        <v>5.2258064516129021</v>
      </c>
      <c r="O21" s="985"/>
      <c r="P21" s="668">
        <v>16.82290100051824</v>
      </c>
      <c r="Q21" s="668">
        <f t="shared" si="2"/>
        <v>52.8</v>
      </c>
      <c r="R21" s="432">
        <v>10.395903225806453</v>
      </c>
      <c r="S21" s="432">
        <v>14.181225806451614</v>
      </c>
      <c r="T21" s="670">
        <v>123</v>
      </c>
      <c r="U21" s="668">
        <f t="shared" si="0"/>
        <v>11.83158378145237</v>
      </c>
      <c r="V21" s="668">
        <f t="shared" si="3"/>
        <v>26.692492118157123</v>
      </c>
      <c r="W21" s="668">
        <v>0.2</v>
      </c>
      <c r="X21" s="432">
        <f t="shared" si="7"/>
        <v>0.26858382209188664</v>
      </c>
      <c r="Y21" s="432">
        <f t="shared" si="4"/>
        <v>10.239964677419357</v>
      </c>
      <c r="Z21" s="432">
        <f t="shared" si="4"/>
        <v>13.96850741935484</v>
      </c>
      <c r="AA21" s="670">
        <f t="shared" si="4"/>
        <v>121.155</v>
      </c>
      <c r="AB21" s="432">
        <f t="shared" si="5"/>
        <v>11.83158378145237</v>
      </c>
      <c r="AC21" s="670">
        <f t="shared" si="1"/>
        <v>26.692492118157123</v>
      </c>
      <c r="AD21" s="985">
        <v>31</v>
      </c>
      <c r="AE21" s="432">
        <f t="shared" si="6"/>
        <v>317.43890500000003</v>
      </c>
      <c r="AF21" s="669"/>
    </row>
    <row r="22" spans="1:32" ht="18.75" customHeight="1" x14ac:dyDescent="0.2">
      <c r="A22" s="985">
        <v>8</v>
      </c>
      <c r="B22" s="461" t="s">
        <v>146</v>
      </c>
      <c r="C22" s="985" t="s">
        <v>46</v>
      </c>
      <c r="D22" s="985">
        <v>764</v>
      </c>
      <c r="E22" s="436" t="s">
        <v>73</v>
      </c>
      <c r="F22" s="985">
        <v>177.8</v>
      </c>
      <c r="G22" s="985" t="s">
        <v>28</v>
      </c>
      <c r="H22" s="985" t="s">
        <v>52</v>
      </c>
      <c r="I22" s="437">
        <v>550</v>
      </c>
      <c r="J22" s="985">
        <v>275</v>
      </c>
      <c r="K22" s="980"/>
      <c r="L22" s="985">
        <v>388</v>
      </c>
      <c r="M22" s="980"/>
      <c r="N22" s="668">
        <v>0.16774193548387092</v>
      </c>
      <c r="O22" s="980"/>
      <c r="P22" s="668">
        <v>18.592679396091391</v>
      </c>
      <c r="Q22" s="668">
        <f t="shared" si="2"/>
        <v>60.5</v>
      </c>
      <c r="R22" s="432">
        <v>3.0445161290322584</v>
      </c>
      <c r="S22" s="432">
        <v>12.303161290322581</v>
      </c>
      <c r="T22" s="670">
        <v>29</v>
      </c>
      <c r="U22" s="668">
        <f t="shared" si="0"/>
        <v>9.5253231616867975</v>
      </c>
      <c r="V22" s="668">
        <f t="shared" si="3"/>
        <v>75.254196403756708</v>
      </c>
      <c r="W22" s="668">
        <v>0.2</v>
      </c>
      <c r="X22" s="432">
        <f t="shared" si="7"/>
        <v>0.20335803785657158</v>
      </c>
      <c r="Y22" s="432">
        <f t="shared" si="4"/>
        <v>2.9988483870967744</v>
      </c>
      <c r="Z22" s="432">
        <f t="shared" si="4"/>
        <v>12.118613870967742</v>
      </c>
      <c r="AA22" s="670">
        <f t="shared" si="4"/>
        <v>28.565000000000001</v>
      </c>
      <c r="AB22" s="432">
        <f t="shared" si="5"/>
        <v>9.5253231616867975</v>
      </c>
      <c r="AC22" s="670">
        <f t="shared" si="1"/>
        <v>75.254196403756708</v>
      </c>
      <c r="AD22" s="985">
        <v>31</v>
      </c>
      <c r="AE22" s="432">
        <f t="shared" si="6"/>
        <v>92.964300000000009</v>
      </c>
      <c r="AF22" s="669"/>
    </row>
    <row r="23" spans="1:32" ht="18.75" customHeight="1" x14ac:dyDescent="0.2">
      <c r="A23" s="985">
        <v>9</v>
      </c>
      <c r="B23" s="461" t="s">
        <v>147</v>
      </c>
      <c r="C23" s="985" t="s">
        <v>46</v>
      </c>
      <c r="D23" s="985">
        <v>650.1</v>
      </c>
      <c r="E23" s="985" t="s">
        <v>74</v>
      </c>
      <c r="F23" s="985">
        <v>177.8</v>
      </c>
      <c r="G23" s="985" t="s">
        <v>28</v>
      </c>
      <c r="H23" s="985" t="s">
        <v>52</v>
      </c>
      <c r="I23" s="984">
        <v>591.98</v>
      </c>
      <c r="J23" s="985">
        <v>150</v>
      </c>
      <c r="K23" s="985"/>
      <c r="L23" s="985">
        <v>459</v>
      </c>
      <c r="M23" s="985"/>
      <c r="N23" s="668">
        <v>2.3741935483870962</v>
      </c>
      <c r="O23" s="985"/>
      <c r="P23" s="668">
        <v>12.709816300707695</v>
      </c>
      <c r="Q23" s="668">
        <f t="shared" si="2"/>
        <v>33</v>
      </c>
      <c r="R23" s="432">
        <v>5.1561290322580637</v>
      </c>
      <c r="S23" s="432">
        <v>11.963741935483869</v>
      </c>
      <c r="T23" s="670">
        <v>65</v>
      </c>
      <c r="U23" s="668">
        <f t="shared" si="0"/>
        <v>12.606356356356358</v>
      </c>
      <c r="V23" s="668">
        <f t="shared" si="3"/>
        <v>56.902037338625313</v>
      </c>
      <c r="W23" s="668">
        <v>0.2</v>
      </c>
      <c r="X23" s="432">
        <f t="shared" si="7"/>
        <v>0.36253763440860209</v>
      </c>
      <c r="Y23" s="432">
        <f t="shared" si="4"/>
        <v>5.0787870967741924</v>
      </c>
      <c r="Z23" s="432">
        <f t="shared" si="4"/>
        <v>11.78428580645161</v>
      </c>
      <c r="AA23" s="670">
        <f t="shared" si="4"/>
        <v>64.025000000000006</v>
      </c>
      <c r="AB23" s="432">
        <f t="shared" si="5"/>
        <v>12.606356356356358</v>
      </c>
      <c r="AC23" s="670">
        <f t="shared" si="1"/>
        <v>56.902037338625313</v>
      </c>
      <c r="AD23" s="985">
        <v>31</v>
      </c>
      <c r="AE23" s="432">
        <f t="shared" si="6"/>
        <v>157.44239999999996</v>
      </c>
      <c r="AF23" s="669"/>
    </row>
    <row r="24" spans="1:32" ht="18.75" customHeight="1" x14ac:dyDescent="0.2">
      <c r="A24" s="985">
        <v>10</v>
      </c>
      <c r="B24" s="461" t="s">
        <v>148</v>
      </c>
      <c r="C24" s="985" t="s">
        <v>46</v>
      </c>
      <c r="D24" s="985">
        <v>640.20000000000005</v>
      </c>
      <c r="E24" s="985" t="s">
        <v>398</v>
      </c>
      <c r="F24" s="985">
        <v>177.8</v>
      </c>
      <c r="G24" s="985" t="s">
        <v>28</v>
      </c>
      <c r="H24" s="831" t="s">
        <v>466</v>
      </c>
      <c r="I24" s="984">
        <v>565.38</v>
      </c>
      <c r="J24" s="985">
        <v>145</v>
      </c>
      <c r="K24" s="985"/>
      <c r="L24" s="985">
        <v>406</v>
      </c>
      <c r="M24" s="985"/>
      <c r="N24" s="985">
        <v>0</v>
      </c>
      <c r="O24" s="985"/>
      <c r="P24" s="668">
        <v>8.8928522601482296</v>
      </c>
      <c r="Q24" s="668">
        <f>J24*13/100</f>
        <v>18.850000000000001</v>
      </c>
      <c r="R24" s="432">
        <v>2.4315161290322584</v>
      </c>
      <c r="S24" s="432">
        <v>2.9980322580645167</v>
      </c>
      <c r="T24" s="670">
        <v>0</v>
      </c>
      <c r="U24" s="668">
        <f t="shared" si="0"/>
        <v>0</v>
      </c>
      <c r="V24" s="668">
        <f t="shared" si="3"/>
        <v>18.89626529228849</v>
      </c>
      <c r="W24" s="668">
        <v>0.2</v>
      </c>
      <c r="X24" s="432">
        <f t="shared" si="7"/>
        <v>0.15904680414135366</v>
      </c>
      <c r="Y24" s="432">
        <f t="shared" si="4"/>
        <v>2.3950433870967744</v>
      </c>
      <c r="Z24" s="432">
        <f t="shared" si="4"/>
        <v>2.9530617741935488</v>
      </c>
      <c r="AA24" s="670">
        <f t="shared" si="4"/>
        <v>0</v>
      </c>
      <c r="AB24" s="432">
        <f t="shared" si="5"/>
        <v>0</v>
      </c>
      <c r="AC24" s="670">
        <f t="shared" si="1"/>
        <v>18.89626529228849</v>
      </c>
      <c r="AD24" s="985">
        <v>31</v>
      </c>
      <c r="AE24" s="432">
        <f t="shared" si="6"/>
        <v>74.246345000000005</v>
      </c>
      <c r="AF24" s="669"/>
    </row>
    <row r="25" spans="1:32" ht="18.75" customHeight="1" x14ac:dyDescent="0.2">
      <c r="A25" s="985">
        <v>11</v>
      </c>
      <c r="B25" s="461" t="s">
        <v>149</v>
      </c>
      <c r="C25" s="985" t="s">
        <v>46</v>
      </c>
      <c r="D25" s="985">
        <v>606.29999999999995</v>
      </c>
      <c r="E25" s="985" t="s">
        <v>76</v>
      </c>
      <c r="F25" s="985">
        <v>177.8</v>
      </c>
      <c r="G25" s="985" t="s">
        <v>28</v>
      </c>
      <c r="H25" s="985" t="s">
        <v>487</v>
      </c>
      <c r="I25" s="984">
        <v>591.96</v>
      </c>
      <c r="J25" s="985">
        <v>135</v>
      </c>
      <c r="K25" s="985"/>
      <c r="L25" s="985">
        <v>464</v>
      </c>
      <c r="M25" s="985"/>
      <c r="N25" s="985">
        <v>4.4000000000000004</v>
      </c>
      <c r="O25" s="985"/>
      <c r="P25" s="668">
        <v>13.632223284545562</v>
      </c>
      <c r="Q25" s="668">
        <f t="shared" si="2"/>
        <v>20.25</v>
      </c>
      <c r="R25" s="432">
        <v>0.78532258064516103</v>
      </c>
      <c r="S25" s="432">
        <v>2.2589999999999999</v>
      </c>
      <c r="T25" s="670">
        <v>5</v>
      </c>
      <c r="U25" s="668">
        <f t="shared" si="0"/>
        <v>6.3668104333538738</v>
      </c>
      <c r="V25" s="668">
        <f t="shared" si="3"/>
        <v>65.235830870068128</v>
      </c>
      <c r="W25" s="668">
        <v>0.5</v>
      </c>
      <c r="X25" s="432">
        <f t="shared" si="7"/>
        <v>0.11155555555555555</v>
      </c>
      <c r="Y25" s="432">
        <f t="shared" si="4"/>
        <v>0.77354274193548356</v>
      </c>
      <c r="Z25" s="432">
        <f t="shared" si="4"/>
        <v>2.2251149999999997</v>
      </c>
      <c r="AA25" s="670">
        <f t="shared" si="4"/>
        <v>4.9249999999999998</v>
      </c>
      <c r="AB25" s="432">
        <f t="shared" si="5"/>
        <v>6.3668104333538738</v>
      </c>
      <c r="AC25" s="670">
        <f t="shared" si="1"/>
        <v>65.235830870068128</v>
      </c>
      <c r="AD25" s="985">
        <v>31</v>
      </c>
      <c r="AE25" s="432">
        <f t="shared" si="6"/>
        <v>23.979824999999991</v>
      </c>
      <c r="AF25" s="449"/>
    </row>
    <row r="26" spans="1:32" ht="18.75" customHeight="1" x14ac:dyDescent="0.2">
      <c r="A26" s="985">
        <v>12</v>
      </c>
      <c r="B26" s="461" t="s">
        <v>150</v>
      </c>
      <c r="C26" s="985" t="s">
        <v>46</v>
      </c>
      <c r="D26" s="985">
        <v>661</v>
      </c>
      <c r="E26" s="679" t="s">
        <v>433</v>
      </c>
      <c r="F26" s="985">
        <v>177.8</v>
      </c>
      <c r="G26" s="985" t="s">
        <v>28</v>
      </c>
      <c r="H26" s="985" t="s">
        <v>53</v>
      </c>
      <c r="I26" s="984">
        <v>555.72</v>
      </c>
      <c r="J26" s="985">
        <v>0</v>
      </c>
      <c r="K26" s="985"/>
      <c r="L26" s="985"/>
      <c r="M26" s="985"/>
      <c r="N26" s="985"/>
      <c r="O26" s="985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985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985">
        <v>13</v>
      </c>
      <c r="B27" s="461" t="s">
        <v>151</v>
      </c>
      <c r="C27" s="985" t="s">
        <v>46</v>
      </c>
      <c r="D27" s="985">
        <v>658.32</v>
      </c>
      <c r="E27" s="984" t="s">
        <v>298</v>
      </c>
      <c r="F27" s="985">
        <v>177.8</v>
      </c>
      <c r="G27" s="985" t="s">
        <v>28</v>
      </c>
      <c r="H27" s="985" t="s">
        <v>52</v>
      </c>
      <c r="I27" s="984">
        <v>552.47</v>
      </c>
      <c r="J27" s="985">
        <v>160</v>
      </c>
      <c r="K27" s="985"/>
      <c r="L27" s="985">
        <v>289</v>
      </c>
      <c r="M27" s="985"/>
      <c r="N27" s="985">
        <v>2.1</v>
      </c>
      <c r="O27" s="985"/>
      <c r="P27" s="668">
        <v>28.072351433077753</v>
      </c>
      <c r="Q27" s="668">
        <f t="shared" si="2"/>
        <v>35.200000000000003</v>
      </c>
      <c r="R27" s="432">
        <v>8.8535483870967759</v>
      </c>
      <c r="S27" s="432">
        <v>23.978451612903221</v>
      </c>
      <c r="T27" s="670">
        <v>14</v>
      </c>
      <c r="U27" s="668">
        <f t="shared" si="0"/>
        <v>1.5812868906215838</v>
      </c>
      <c r="V27" s="668">
        <f t="shared" si="3"/>
        <v>63.077063815361086</v>
      </c>
      <c r="W27" s="668">
        <v>0.3</v>
      </c>
      <c r="X27" s="432">
        <f t="shared" si="7"/>
        <v>0.68120601173020512</v>
      </c>
      <c r="Y27" s="432">
        <f t="shared" si="4"/>
        <v>8.7207451612903242</v>
      </c>
      <c r="Z27" s="432">
        <f t="shared" si="4"/>
        <v>23.618774838709673</v>
      </c>
      <c r="AA27" s="670">
        <f t="shared" si="4"/>
        <v>13.79</v>
      </c>
      <c r="AB27" s="432">
        <f t="shared" si="5"/>
        <v>1.5812868906215838</v>
      </c>
      <c r="AC27" s="670">
        <f t="shared" si="1"/>
        <v>63.077063815361086</v>
      </c>
      <c r="AD27" s="985">
        <v>31</v>
      </c>
      <c r="AE27" s="432">
        <f t="shared" si="6"/>
        <v>270.34310000000005</v>
      </c>
      <c r="AF27" s="449"/>
    </row>
    <row r="28" spans="1:32" ht="18.75" customHeight="1" x14ac:dyDescent="0.2">
      <c r="A28" s="985">
        <v>14</v>
      </c>
      <c r="B28" s="461" t="s">
        <v>36</v>
      </c>
      <c r="C28" s="985" t="s">
        <v>46</v>
      </c>
      <c r="D28" s="985">
        <v>584.5</v>
      </c>
      <c r="E28" s="984" t="s">
        <v>79</v>
      </c>
      <c r="F28" s="985">
        <v>177.8</v>
      </c>
      <c r="G28" s="985" t="s">
        <v>28</v>
      </c>
      <c r="H28" s="985" t="s">
        <v>49</v>
      </c>
      <c r="I28" s="984">
        <v>525.03</v>
      </c>
      <c r="J28" s="985">
        <v>200</v>
      </c>
      <c r="K28" s="985"/>
      <c r="L28" s="985">
        <v>372</v>
      </c>
      <c r="M28" s="985"/>
      <c r="N28" s="985">
        <v>6.3</v>
      </c>
      <c r="O28" s="985"/>
      <c r="P28" s="668">
        <v>25.447474503422125</v>
      </c>
      <c r="Q28" s="668">
        <f t="shared" si="2"/>
        <v>64</v>
      </c>
      <c r="R28" s="432">
        <v>19.159096774193554</v>
      </c>
      <c r="S28" s="432">
        <v>33.29848387096775</v>
      </c>
      <c r="T28" s="670">
        <v>257</v>
      </c>
      <c r="U28" s="668">
        <f t="shared" si="0"/>
        <v>13.413993521143832</v>
      </c>
      <c r="V28" s="668">
        <f t="shared" si="3"/>
        <v>42.462555206911482</v>
      </c>
      <c r="W28" s="668">
        <v>0.2</v>
      </c>
      <c r="X28" s="432">
        <f t="shared" si="7"/>
        <v>0.5202888104838711</v>
      </c>
      <c r="Y28" s="432">
        <f t="shared" si="4"/>
        <v>18.87171032258065</v>
      </c>
      <c r="Z28" s="432">
        <f t="shared" si="4"/>
        <v>32.799006612903234</v>
      </c>
      <c r="AA28" s="670">
        <f t="shared" si="4"/>
        <v>253.14500000000001</v>
      </c>
      <c r="AB28" s="432">
        <f t="shared" si="5"/>
        <v>13.413993521143832</v>
      </c>
      <c r="AC28" s="670">
        <f t="shared" si="1"/>
        <v>42.462555206911482</v>
      </c>
      <c r="AD28" s="985">
        <v>31</v>
      </c>
      <c r="AE28" s="432">
        <f t="shared" si="6"/>
        <v>585.0230200000002</v>
      </c>
      <c r="AF28" s="669"/>
    </row>
    <row r="29" spans="1:32" ht="18.75" customHeight="1" x14ac:dyDescent="0.2">
      <c r="A29" s="985">
        <v>15</v>
      </c>
      <c r="B29" s="461" t="s">
        <v>152</v>
      </c>
      <c r="C29" s="985" t="s">
        <v>46</v>
      </c>
      <c r="D29" s="985">
        <v>565</v>
      </c>
      <c r="E29" s="984" t="s">
        <v>80</v>
      </c>
      <c r="F29" s="985">
        <v>177.8</v>
      </c>
      <c r="G29" s="985" t="s">
        <v>28</v>
      </c>
      <c r="H29" s="985" t="s">
        <v>491</v>
      </c>
      <c r="I29" s="437">
        <v>520.03</v>
      </c>
      <c r="J29" s="985">
        <v>180</v>
      </c>
      <c r="K29" s="985"/>
      <c r="L29" s="985">
        <v>419</v>
      </c>
      <c r="M29" s="985"/>
      <c r="N29" s="985">
        <v>8.8000000000000007</v>
      </c>
      <c r="O29" s="985"/>
      <c r="P29" s="668">
        <v>21.210424521791357</v>
      </c>
      <c r="Q29" s="668">
        <f>J29*23/100</f>
        <v>41.4</v>
      </c>
      <c r="R29" s="432">
        <v>11.637838709677421</v>
      </c>
      <c r="S29" s="432">
        <v>26.209645161290318</v>
      </c>
      <c r="T29" s="670">
        <v>1096</v>
      </c>
      <c r="U29" s="668">
        <f t="shared" si="0"/>
        <v>94.17556191843623</v>
      </c>
      <c r="V29" s="668">
        <f t="shared" si="3"/>
        <v>55.597114581064091</v>
      </c>
      <c r="W29" s="668">
        <v>0.3</v>
      </c>
      <c r="X29" s="432">
        <f t="shared" si="7"/>
        <v>0.63308321645628785</v>
      </c>
      <c r="Y29" s="432">
        <f t="shared" si="4"/>
        <v>11.463271129032259</v>
      </c>
      <c r="Z29" s="432">
        <f t="shared" si="4"/>
        <v>25.816500483870964</v>
      </c>
      <c r="AA29" s="670">
        <f t="shared" si="4"/>
        <v>1079.56</v>
      </c>
      <c r="AB29" s="432">
        <f t="shared" si="5"/>
        <v>94.17556191843623</v>
      </c>
      <c r="AC29" s="670">
        <f t="shared" si="1"/>
        <v>55.597114581064091</v>
      </c>
      <c r="AD29" s="985">
        <v>31</v>
      </c>
      <c r="AE29" s="432">
        <f t="shared" si="6"/>
        <v>355.36140500000005</v>
      </c>
      <c r="AF29" s="669"/>
    </row>
    <row r="30" spans="1:32" ht="18.75" customHeight="1" x14ac:dyDescent="0.2">
      <c r="A30" s="985">
        <v>16</v>
      </c>
      <c r="B30" s="461" t="s">
        <v>37</v>
      </c>
      <c r="C30" s="985" t="s">
        <v>46</v>
      </c>
      <c r="D30" s="985">
        <v>670</v>
      </c>
      <c r="E30" s="985" t="s">
        <v>81</v>
      </c>
      <c r="F30" s="985">
        <v>177.8</v>
      </c>
      <c r="G30" s="985" t="s">
        <v>28</v>
      </c>
      <c r="H30" s="985" t="s">
        <v>48</v>
      </c>
      <c r="I30" s="984">
        <v>570.95000000000005</v>
      </c>
      <c r="J30" s="985">
        <v>85</v>
      </c>
      <c r="K30" s="985"/>
      <c r="L30" s="985">
        <v>433</v>
      </c>
      <c r="M30" s="985"/>
      <c r="N30" s="985">
        <v>5.8</v>
      </c>
      <c r="O30" s="985"/>
      <c r="P30" s="668">
        <v>18.052211638910713</v>
      </c>
      <c r="Q30" s="668">
        <f t="shared" si="2"/>
        <v>11.05</v>
      </c>
      <c r="R30" s="432">
        <v>3.5561612903225805</v>
      </c>
      <c r="S30" s="432">
        <v>7.2435161290322574</v>
      </c>
      <c r="T30" s="670">
        <v>22</v>
      </c>
      <c r="U30" s="668">
        <f t="shared" si="0"/>
        <v>6.1864460590887242</v>
      </c>
      <c r="V30" s="668">
        <f t="shared" si="3"/>
        <v>50.905592988612725</v>
      </c>
      <c r="W30" s="668">
        <v>0.3</v>
      </c>
      <c r="X30" s="432">
        <f t="shared" si="7"/>
        <v>0.65552182163187844</v>
      </c>
      <c r="Y30" s="432">
        <f t="shared" si="4"/>
        <v>3.5028188709677419</v>
      </c>
      <c r="Z30" s="432">
        <f t="shared" si="4"/>
        <v>7.1348633870967735</v>
      </c>
      <c r="AA30" s="670">
        <f t="shared" si="4"/>
        <v>21.669999999999998</v>
      </c>
      <c r="AB30" s="432">
        <f t="shared" si="5"/>
        <v>6.1864460590887242</v>
      </c>
      <c r="AC30" s="670">
        <f t="shared" si="1"/>
        <v>50.905592988612725</v>
      </c>
      <c r="AD30" s="985">
        <v>31</v>
      </c>
      <c r="AE30" s="432">
        <f>Y30*AD30</f>
        <v>108.587385</v>
      </c>
      <c r="AF30" s="449"/>
    </row>
    <row r="31" spans="1:32" ht="18.75" customHeight="1" x14ac:dyDescent="0.2">
      <c r="A31" s="985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985" t="s">
        <v>491</v>
      </c>
      <c r="I31" s="461">
        <v>454.95</v>
      </c>
      <c r="J31" s="461">
        <v>200</v>
      </c>
      <c r="K31" s="461"/>
      <c r="L31" s="461">
        <v>245</v>
      </c>
      <c r="M31" s="461"/>
      <c r="N31" s="461">
        <v>11.9</v>
      </c>
      <c r="O31" s="461"/>
      <c r="P31" s="671">
        <v>13.30306744988761</v>
      </c>
      <c r="Q31" s="668">
        <f>J31*13/100</f>
        <v>26</v>
      </c>
      <c r="R31" s="672">
        <v>17.762774193548385</v>
      </c>
      <c r="S31" s="432">
        <v>33.713612903225808</v>
      </c>
      <c r="T31" s="699">
        <v>148</v>
      </c>
      <c r="U31" s="668">
        <f t="shared" si="0"/>
        <v>8.3320318317031283</v>
      </c>
      <c r="V31" s="668">
        <f t="shared" si="3"/>
        <v>47.31275391772445</v>
      </c>
      <c r="W31" s="671">
        <v>0.3</v>
      </c>
      <c r="X31" s="432">
        <f t="shared" si="7"/>
        <v>1.2966774193548387</v>
      </c>
      <c r="Y31" s="432">
        <f t="shared" si="4"/>
        <v>17.496332580645159</v>
      </c>
      <c r="Z31" s="432">
        <f t="shared" si="4"/>
        <v>33.207908709677419</v>
      </c>
      <c r="AA31" s="670">
        <f t="shared" si="4"/>
        <v>145.78</v>
      </c>
      <c r="AB31" s="672">
        <f t="shared" si="5"/>
        <v>8.3320318317031283</v>
      </c>
      <c r="AC31" s="699">
        <f t="shared" si="1"/>
        <v>47.31275391772445</v>
      </c>
      <c r="AD31" s="985">
        <v>31</v>
      </c>
      <c r="AE31" s="672">
        <f>Y31*AD31</f>
        <v>542.38630999999998</v>
      </c>
      <c r="AF31" s="461"/>
    </row>
    <row r="32" spans="1:32" ht="18.600000000000001" customHeight="1" x14ac:dyDescent="0.2">
      <c r="A32" s="985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985">
        <v>177.8</v>
      </c>
      <c r="G32" s="985" t="s">
        <v>28</v>
      </c>
      <c r="H32" s="985" t="s">
        <v>364</v>
      </c>
      <c r="I32" s="437">
        <v>565.79999999999995</v>
      </c>
      <c r="J32" s="985">
        <v>250</v>
      </c>
      <c r="K32" s="985"/>
      <c r="L32" s="985">
        <v>492</v>
      </c>
      <c r="M32" s="985"/>
      <c r="N32" s="985">
        <v>8.6</v>
      </c>
      <c r="O32" s="985"/>
      <c r="P32" s="668">
        <v>16.602824877651649</v>
      </c>
      <c r="Q32" s="668">
        <f>J32*13/100</f>
        <v>32.5</v>
      </c>
      <c r="R32" s="432">
        <v>2.9610322580645159</v>
      </c>
      <c r="S32" s="432">
        <v>5.1902903225806449</v>
      </c>
      <c r="T32" s="670">
        <v>193</v>
      </c>
      <c r="U32" s="668">
        <f t="shared" si="0"/>
        <v>65.179972110859339</v>
      </c>
      <c r="V32" s="668">
        <f t="shared" si="3"/>
        <v>42.950546616200228</v>
      </c>
      <c r="W32" s="668">
        <v>0.3</v>
      </c>
      <c r="X32" s="432">
        <f t="shared" si="7"/>
        <v>0.15970124069478908</v>
      </c>
      <c r="Y32" s="432">
        <f t="shared" si="4"/>
        <v>2.9166167741935483</v>
      </c>
      <c r="Z32" s="432">
        <f t="shared" si="4"/>
        <v>5.1124359677419351</v>
      </c>
      <c r="AA32" s="670">
        <f t="shared" si="4"/>
        <v>190.10499999999999</v>
      </c>
      <c r="AB32" s="672">
        <f t="shared" si="5"/>
        <v>65.179972110859339</v>
      </c>
      <c r="AC32" s="699">
        <f t="shared" si="1"/>
        <v>42.950546616200228</v>
      </c>
      <c r="AD32" s="985">
        <v>31</v>
      </c>
      <c r="AE32" s="672">
        <f>Y32*AD32</f>
        <v>90.415120000000002</v>
      </c>
      <c r="AF32" s="669"/>
    </row>
    <row r="33" spans="1:32" ht="18.75" customHeight="1" x14ac:dyDescent="0.2">
      <c r="A33" s="985">
        <v>19</v>
      </c>
      <c r="B33" s="461" t="s">
        <v>38</v>
      </c>
      <c r="C33" s="985" t="s">
        <v>46</v>
      </c>
      <c r="D33" s="668">
        <v>580</v>
      </c>
      <c r="E33" s="985" t="s">
        <v>84</v>
      </c>
      <c r="F33" s="985">
        <v>177.8</v>
      </c>
      <c r="G33" s="985" t="s">
        <v>28</v>
      </c>
      <c r="H33" s="985" t="s">
        <v>52</v>
      </c>
      <c r="I33" s="984">
        <v>565.38</v>
      </c>
      <c r="J33" s="985">
        <v>85</v>
      </c>
      <c r="K33" s="985"/>
      <c r="L33" s="985">
        <v>423</v>
      </c>
      <c r="M33" s="985"/>
      <c r="N33" s="985">
        <v>0</v>
      </c>
      <c r="O33" s="985"/>
      <c r="P33" s="668">
        <v>6.3099763033688694</v>
      </c>
      <c r="Q33" s="668">
        <f t="shared" si="2"/>
        <v>18.7</v>
      </c>
      <c r="R33" s="432">
        <v>2.4617096774193539</v>
      </c>
      <c r="S33" s="432">
        <v>5.5675161290322599</v>
      </c>
      <c r="T33" s="670">
        <v>4</v>
      </c>
      <c r="U33" s="668">
        <f t="shared" si="0"/>
        <v>1.6248869786274953</v>
      </c>
      <c r="V33" s="668">
        <f t="shared" si="3"/>
        <v>55.784417676267317</v>
      </c>
      <c r="W33" s="668">
        <v>0.2</v>
      </c>
      <c r="X33" s="432">
        <f t="shared" si="7"/>
        <v>0.29772813524236685</v>
      </c>
      <c r="Y33" s="432">
        <f t="shared" si="4"/>
        <v>2.4247840322580636</v>
      </c>
      <c r="Z33" s="432">
        <f t="shared" si="4"/>
        <v>5.4840033870967755</v>
      </c>
      <c r="AA33" s="670">
        <f t="shared" si="4"/>
        <v>3.94</v>
      </c>
      <c r="AB33" s="432">
        <f>U33</f>
        <v>1.6248869786274953</v>
      </c>
      <c r="AC33" s="699">
        <f t="shared" si="1"/>
        <v>55.784417676267317</v>
      </c>
      <c r="AD33" s="985">
        <v>31</v>
      </c>
      <c r="AE33" s="432">
        <f t="shared" si="6"/>
        <v>75.168304999999975</v>
      </c>
      <c r="AF33" s="669"/>
    </row>
    <row r="34" spans="1:32" ht="18.75" customHeight="1" x14ac:dyDescent="0.2">
      <c r="A34" s="985">
        <v>20</v>
      </c>
      <c r="B34" s="461" t="s">
        <v>39</v>
      </c>
      <c r="C34" s="985" t="s">
        <v>46</v>
      </c>
      <c r="D34" s="985">
        <v>728.6</v>
      </c>
      <c r="E34" s="985" t="s">
        <v>411</v>
      </c>
      <c r="F34" s="985">
        <v>177.8</v>
      </c>
      <c r="G34" s="985" t="s">
        <v>28</v>
      </c>
      <c r="H34" s="985" t="s">
        <v>380</v>
      </c>
      <c r="I34" s="984">
        <v>551.77</v>
      </c>
      <c r="J34" s="985">
        <v>350</v>
      </c>
      <c r="K34" s="985"/>
      <c r="L34" s="985">
        <v>463</v>
      </c>
      <c r="M34" s="985"/>
      <c r="N34" s="985">
        <v>2.1</v>
      </c>
      <c r="O34" s="985"/>
      <c r="P34" s="668">
        <v>12.370671269773785</v>
      </c>
      <c r="Q34" s="668">
        <f>J34*23/100</f>
        <v>80.5</v>
      </c>
      <c r="R34" s="432">
        <v>3.1342903225806453</v>
      </c>
      <c r="S34" s="432">
        <v>8.0941935483870964</v>
      </c>
      <c r="T34" s="670">
        <v>77</v>
      </c>
      <c r="U34" s="668">
        <f t="shared" si="0"/>
        <v>24.566964791124192</v>
      </c>
      <c r="V34" s="668">
        <f t="shared" si="3"/>
        <v>61.277299537701261</v>
      </c>
      <c r="W34" s="668">
        <v>0.2</v>
      </c>
      <c r="X34" s="432">
        <f t="shared" si="7"/>
        <v>0.1005489881787217</v>
      </c>
      <c r="Y34" s="432">
        <f t="shared" si="4"/>
        <v>3.0872759677419355</v>
      </c>
      <c r="Z34" s="432">
        <f t="shared" si="4"/>
        <v>7.9727806451612899</v>
      </c>
      <c r="AA34" s="670">
        <f t="shared" si="4"/>
        <v>75.844999999999999</v>
      </c>
      <c r="AB34" s="432">
        <f t="shared" si="5"/>
        <v>24.566964791124192</v>
      </c>
      <c r="AC34" s="699">
        <f t="shared" si="1"/>
        <v>61.277299537701261</v>
      </c>
      <c r="AD34" s="985">
        <v>31</v>
      </c>
      <c r="AE34" s="432">
        <f t="shared" si="6"/>
        <v>95.705555000000004</v>
      </c>
      <c r="AF34" s="669"/>
    </row>
    <row r="35" spans="1:32" ht="18.75" customHeight="1" x14ac:dyDescent="0.2">
      <c r="A35" s="985">
        <v>21</v>
      </c>
      <c r="B35" s="461" t="s">
        <v>40</v>
      </c>
      <c r="C35" s="985" t="s">
        <v>46</v>
      </c>
      <c r="D35" s="985">
        <v>679.7</v>
      </c>
      <c r="E35" s="985" t="s">
        <v>86</v>
      </c>
      <c r="F35" s="985">
        <v>177.8</v>
      </c>
      <c r="G35" s="985" t="s">
        <v>28</v>
      </c>
      <c r="H35" s="985" t="s">
        <v>487</v>
      </c>
      <c r="I35" s="984">
        <v>563.22</v>
      </c>
      <c r="J35" s="985">
        <v>140</v>
      </c>
      <c r="K35" s="985"/>
      <c r="L35" s="985">
        <v>411</v>
      </c>
      <c r="M35" s="985"/>
      <c r="N35" s="985">
        <v>0.6</v>
      </c>
      <c r="O35" s="985"/>
      <c r="P35" s="668">
        <v>43.445014230906118</v>
      </c>
      <c r="Q35" s="668">
        <f t="shared" si="2"/>
        <v>21</v>
      </c>
      <c r="R35" s="432">
        <v>2.2971935483870967</v>
      </c>
      <c r="S35" s="432">
        <v>7.7496129032258061</v>
      </c>
      <c r="T35" s="670">
        <v>30</v>
      </c>
      <c r="U35" s="668">
        <f>IF(R35=0,0,T35/R35)</f>
        <v>13.059413309367672</v>
      </c>
      <c r="V35" s="668">
        <f t="shared" si="3"/>
        <v>70.357312331937493</v>
      </c>
      <c r="W35" s="668">
        <v>0.3</v>
      </c>
      <c r="X35" s="432">
        <f t="shared" si="7"/>
        <v>0.36902918586789552</v>
      </c>
      <c r="Y35" s="432">
        <f t="shared" si="4"/>
        <v>2.2627356451612903</v>
      </c>
      <c r="Z35" s="432">
        <f t="shared" si="4"/>
        <v>7.633368709677419</v>
      </c>
      <c r="AA35" s="670">
        <f t="shared" si="4"/>
        <v>29.55</v>
      </c>
      <c r="AB35" s="432">
        <f t="shared" si="5"/>
        <v>13.059413309367672</v>
      </c>
      <c r="AC35" s="699">
        <v>70</v>
      </c>
      <c r="AD35" s="985">
        <v>31</v>
      </c>
      <c r="AE35" s="432">
        <f>Y35*AD35</f>
        <v>70.144805000000005</v>
      </c>
      <c r="AF35" s="449"/>
    </row>
    <row r="36" spans="1:32" ht="18.75" customHeight="1" x14ac:dyDescent="0.2">
      <c r="A36" s="985">
        <v>22</v>
      </c>
      <c r="B36" s="461" t="s">
        <v>41</v>
      </c>
      <c r="C36" s="985" t="s">
        <v>46</v>
      </c>
      <c r="D36" s="985">
        <v>573.70000000000005</v>
      </c>
      <c r="E36" s="985" t="s">
        <v>87</v>
      </c>
      <c r="F36" s="985">
        <v>177.8</v>
      </c>
      <c r="G36" s="985" t="s">
        <v>28</v>
      </c>
      <c r="H36" s="985" t="s">
        <v>52</v>
      </c>
      <c r="I36" s="984">
        <v>554.30999999999995</v>
      </c>
      <c r="J36" s="985">
        <v>317</v>
      </c>
      <c r="K36" s="985"/>
      <c r="L36" s="985">
        <v>470</v>
      </c>
      <c r="M36" s="985"/>
      <c r="N36" s="985">
        <v>6.1</v>
      </c>
      <c r="O36" s="985"/>
      <c r="P36" s="668">
        <v>12.613881275674633</v>
      </c>
      <c r="Q36" s="668">
        <f t="shared" si="2"/>
        <v>69.739999999999995</v>
      </c>
      <c r="R36" s="432">
        <v>8.7740322580645156</v>
      </c>
      <c r="S36" s="432">
        <v>10.998612903225808</v>
      </c>
      <c r="T36" s="670">
        <v>288</v>
      </c>
      <c r="U36" s="668">
        <f t="shared" ref="U36:U78" si="8">IF(R36=0,0,T36/R36)</f>
        <v>32.824132796558764</v>
      </c>
      <c r="V36" s="668">
        <f t="shared" si="3"/>
        <v>20.226010904600894</v>
      </c>
      <c r="W36" s="668">
        <v>0.2</v>
      </c>
      <c r="X36" s="432">
        <f t="shared" si="7"/>
        <v>0.1577088170809551</v>
      </c>
      <c r="Y36" s="432">
        <f t="shared" si="4"/>
        <v>8.6424217741935472</v>
      </c>
      <c r="Z36" s="432">
        <f t="shared" si="4"/>
        <v>10.833633709677422</v>
      </c>
      <c r="AA36" s="670">
        <f t="shared" si="4"/>
        <v>283.68</v>
      </c>
      <c r="AB36" s="432">
        <v>89.536086956521729</v>
      </c>
      <c r="AC36" s="699">
        <f t="shared" si="1"/>
        <v>20.226010904600894</v>
      </c>
      <c r="AD36" s="985">
        <v>31</v>
      </c>
      <c r="AE36" s="432">
        <f t="shared" si="6"/>
        <v>267.91507499999994</v>
      </c>
      <c r="AF36" s="673"/>
    </row>
    <row r="37" spans="1:32" ht="18.75" customHeight="1" x14ac:dyDescent="0.2">
      <c r="A37" s="985">
        <v>23</v>
      </c>
      <c r="B37" s="461" t="s">
        <v>42</v>
      </c>
      <c r="C37" s="985" t="s">
        <v>46</v>
      </c>
      <c r="D37" s="985">
        <v>583.20000000000005</v>
      </c>
      <c r="E37" s="985" t="s">
        <v>434</v>
      </c>
      <c r="F37" s="985">
        <v>177.8</v>
      </c>
      <c r="G37" s="985" t="s">
        <v>28</v>
      </c>
      <c r="H37" s="985" t="s">
        <v>48</v>
      </c>
      <c r="I37" s="984">
        <v>565.09</v>
      </c>
      <c r="J37" s="985">
        <v>358</v>
      </c>
      <c r="K37" s="985"/>
      <c r="L37" s="985">
        <v>202</v>
      </c>
      <c r="M37" s="985"/>
      <c r="N37" s="985">
        <v>6.1</v>
      </c>
      <c r="O37" s="985"/>
      <c r="P37" s="668">
        <v>44.820708982668634</v>
      </c>
      <c r="Q37" s="668">
        <f t="shared" si="2"/>
        <v>46.54</v>
      </c>
      <c r="R37" s="432">
        <v>2.2621612903225805</v>
      </c>
      <c r="S37" s="432">
        <v>9.6076774193548378</v>
      </c>
      <c r="T37" s="670">
        <v>7</v>
      </c>
      <c r="U37" s="668">
        <f t="shared" si="8"/>
        <v>3.0943858998673837</v>
      </c>
      <c r="V37" s="668">
        <f t="shared" si="3"/>
        <v>76.454649843203342</v>
      </c>
      <c r="W37" s="668">
        <v>0.4</v>
      </c>
      <c r="X37" s="432">
        <f t="shared" si="7"/>
        <v>0.20643913664277691</v>
      </c>
      <c r="Y37" s="432">
        <f t="shared" si="4"/>
        <v>2.2282288709677416</v>
      </c>
      <c r="Z37" s="432">
        <f t="shared" si="4"/>
        <v>9.4635622580645151</v>
      </c>
      <c r="AA37" s="670">
        <f t="shared" si="4"/>
        <v>6.8949999999999996</v>
      </c>
      <c r="AB37" s="432">
        <f t="shared" si="5"/>
        <v>3.0943858998673837</v>
      </c>
      <c r="AC37" s="670">
        <f t="shared" si="1"/>
        <v>76.454649843203342</v>
      </c>
      <c r="AD37" s="985">
        <v>31</v>
      </c>
      <c r="AE37" s="432">
        <f t="shared" si="6"/>
        <v>69.07509499999999</v>
      </c>
      <c r="AF37" s="449"/>
    </row>
    <row r="38" spans="1:32" ht="18.75" customHeight="1" x14ac:dyDescent="0.2">
      <c r="A38" s="985">
        <v>24</v>
      </c>
      <c r="B38" s="461" t="s">
        <v>43</v>
      </c>
      <c r="C38" s="985" t="s">
        <v>46</v>
      </c>
      <c r="D38" s="985">
        <v>682.7</v>
      </c>
      <c r="E38" s="985" t="s">
        <v>435</v>
      </c>
      <c r="F38" s="985">
        <v>177.8</v>
      </c>
      <c r="G38" s="985" t="s">
        <v>28</v>
      </c>
      <c r="H38" s="985" t="s">
        <v>399</v>
      </c>
      <c r="I38" s="446">
        <v>575.91</v>
      </c>
      <c r="J38" s="985">
        <v>230</v>
      </c>
      <c r="K38" s="985"/>
      <c r="L38" s="985">
        <v>295</v>
      </c>
      <c r="M38" s="985"/>
      <c r="N38" s="985">
        <v>5.4</v>
      </c>
      <c r="O38" s="985"/>
      <c r="P38" s="668">
        <v>32.195505550647191</v>
      </c>
      <c r="Q38" s="668">
        <f>J38*13/100</f>
        <v>29.9</v>
      </c>
      <c r="R38" s="432">
        <v>7.8088064516129014</v>
      </c>
      <c r="S38" s="432">
        <v>31.58116129032258</v>
      </c>
      <c r="T38" s="670">
        <v>117</v>
      </c>
      <c r="U38" s="668">
        <f t="shared" si="8"/>
        <v>14.983083615273083</v>
      </c>
      <c r="V38" s="668">
        <f t="shared" si="3"/>
        <v>75.273846392704513</v>
      </c>
      <c r="W38" s="668">
        <v>0.4</v>
      </c>
      <c r="X38" s="432">
        <f t="shared" si="7"/>
        <v>1.0562261301111231</v>
      </c>
      <c r="Y38" s="432">
        <f t="shared" si="4"/>
        <v>7.6916743548387077</v>
      </c>
      <c r="Z38" s="432">
        <f t="shared" si="4"/>
        <v>31.107443870967742</v>
      </c>
      <c r="AA38" s="670">
        <f t="shared" si="4"/>
        <v>115.245</v>
      </c>
      <c r="AB38" s="432">
        <f t="shared" si="5"/>
        <v>14.983083615273083</v>
      </c>
      <c r="AC38" s="670">
        <f t="shared" si="1"/>
        <v>75.273846392704513</v>
      </c>
      <c r="AD38" s="985">
        <v>31</v>
      </c>
      <c r="AE38" s="432">
        <f t="shared" si="6"/>
        <v>238.44190499999993</v>
      </c>
      <c r="AF38" s="669"/>
    </row>
    <row r="39" spans="1:32" ht="18.75" customHeight="1" x14ac:dyDescent="0.2">
      <c r="A39" s="985">
        <v>25</v>
      </c>
      <c r="B39" s="461" t="s">
        <v>44</v>
      </c>
      <c r="C39" s="985" t="s">
        <v>46</v>
      </c>
      <c r="D39" s="985">
        <v>614.20000000000005</v>
      </c>
      <c r="E39" s="985" t="s">
        <v>90</v>
      </c>
      <c r="F39" s="985">
        <v>177.8</v>
      </c>
      <c r="G39" s="985" t="s">
        <v>28</v>
      </c>
      <c r="H39" s="985" t="s">
        <v>52</v>
      </c>
      <c r="I39" s="446">
        <v>573.37</v>
      </c>
      <c r="J39" s="985">
        <v>270</v>
      </c>
      <c r="K39" s="985"/>
      <c r="L39" s="985">
        <v>209</v>
      </c>
      <c r="M39" s="985"/>
      <c r="N39" s="985">
        <v>6.1</v>
      </c>
      <c r="O39" s="985"/>
      <c r="P39" s="668">
        <v>40.521672595684045</v>
      </c>
      <c r="Q39" s="668">
        <f t="shared" si="2"/>
        <v>59.4</v>
      </c>
      <c r="R39" s="432">
        <v>4.0812580645161285</v>
      </c>
      <c r="S39" s="432">
        <v>35.743903225806456</v>
      </c>
      <c r="T39" s="670">
        <v>87</v>
      </c>
      <c r="U39" s="668">
        <f t="shared" si="8"/>
        <v>21.316956346477607</v>
      </c>
      <c r="V39" s="668">
        <f t="shared" si="3"/>
        <v>88.581946300790307</v>
      </c>
      <c r="W39" s="668">
        <v>0.2</v>
      </c>
      <c r="X39" s="432">
        <f t="shared" si="7"/>
        <v>0.60174921255566427</v>
      </c>
      <c r="Y39" s="432">
        <f t="shared" si="4"/>
        <v>4.0200391935483868</v>
      </c>
      <c r="Z39" s="432">
        <f t="shared" si="4"/>
        <v>35.207744677419356</v>
      </c>
      <c r="AA39" s="670">
        <f t="shared" si="4"/>
        <v>85.694999999999993</v>
      </c>
      <c r="AB39" s="432">
        <f t="shared" si="5"/>
        <v>21.316956346477607</v>
      </c>
      <c r="AC39" s="670">
        <f t="shared" si="1"/>
        <v>88.581946300790307</v>
      </c>
      <c r="AD39" s="985">
        <v>31</v>
      </c>
      <c r="AE39" s="432">
        <f t="shared" si="6"/>
        <v>124.62121499999999</v>
      </c>
      <c r="AF39" s="669"/>
    </row>
    <row r="40" spans="1:32" ht="18.75" customHeight="1" x14ac:dyDescent="0.2">
      <c r="A40" s="985">
        <v>26</v>
      </c>
      <c r="B40" s="461" t="s">
        <v>45</v>
      </c>
      <c r="C40" s="985" t="s">
        <v>46</v>
      </c>
      <c r="D40" s="985">
        <v>636.4</v>
      </c>
      <c r="E40" s="985" t="s">
        <v>91</v>
      </c>
      <c r="F40" s="985">
        <v>177.8</v>
      </c>
      <c r="G40" s="985" t="s">
        <v>28</v>
      </c>
      <c r="H40" s="985" t="s">
        <v>52</v>
      </c>
      <c r="I40" s="984">
        <v>592.95000000000005</v>
      </c>
      <c r="J40" s="985">
        <v>300</v>
      </c>
      <c r="K40" s="985"/>
      <c r="L40" s="985">
        <v>439</v>
      </c>
      <c r="M40" s="985"/>
      <c r="N40" s="985">
        <v>8.6999999999999993</v>
      </c>
      <c r="O40" s="985"/>
      <c r="P40" s="668">
        <v>14.431394020297301</v>
      </c>
      <c r="Q40" s="668">
        <f>LEFT(H40,(FIND("K",H40,1)-1))*J40/100</f>
        <v>66</v>
      </c>
      <c r="R40" s="432">
        <v>7.8760322580645168</v>
      </c>
      <c r="S40" s="432">
        <v>31.719161290322589</v>
      </c>
      <c r="T40" s="670">
        <v>115</v>
      </c>
      <c r="U40" s="668">
        <f t="shared" si="8"/>
        <v>14.601260664244727</v>
      </c>
      <c r="V40" s="668">
        <f t="shared" si="3"/>
        <v>75.16948135552542</v>
      </c>
      <c r="W40" s="668">
        <v>0.3</v>
      </c>
      <c r="X40" s="432">
        <f t="shared" si="7"/>
        <v>0.48059335288367561</v>
      </c>
      <c r="Y40" s="432">
        <f t="shared" si="4"/>
        <v>7.7578917741935491</v>
      </c>
      <c r="Z40" s="432">
        <f t="shared" si="4"/>
        <v>31.243373870967751</v>
      </c>
      <c r="AA40" s="670">
        <f t="shared" si="4"/>
        <v>113.27499999999999</v>
      </c>
      <c r="AB40" s="432">
        <f t="shared" si="5"/>
        <v>14.601260664244727</v>
      </c>
      <c r="AC40" s="670">
        <f t="shared" si="1"/>
        <v>75.16948135552542</v>
      </c>
      <c r="AD40" s="985">
        <v>31</v>
      </c>
      <c r="AE40" s="432">
        <f t="shared" si="6"/>
        <v>240.49464500000002</v>
      </c>
      <c r="AF40" s="669"/>
    </row>
    <row r="41" spans="1:32" ht="18.75" customHeight="1" x14ac:dyDescent="0.2">
      <c r="A41" s="985">
        <v>27</v>
      </c>
      <c r="B41" s="461" t="s">
        <v>206</v>
      </c>
      <c r="C41" s="985" t="s">
        <v>46</v>
      </c>
      <c r="D41" s="985">
        <v>660.2</v>
      </c>
      <c r="E41" s="985" t="s">
        <v>436</v>
      </c>
      <c r="F41" s="985">
        <v>177.8</v>
      </c>
      <c r="G41" s="985" t="s">
        <v>28</v>
      </c>
      <c r="H41" s="985" t="s">
        <v>212</v>
      </c>
      <c r="I41" s="984">
        <v>547.63</v>
      </c>
      <c r="J41" s="985">
        <v>300</v>
      </c>
      <c r="K41" s="985"/>
      <c r="L41" s="985">
        <v>251</v>
      </c>
      <c r="M41" s="985"/>
      <c r="N41" s="985">
        <v>7.4</v>
      </c>
      <c r="O41" s="985"/>
      <c r="P41" s="668">
        <v>34.827006944915517</v>
      </c>
      <c r="Q41" s="668">
        <f t="shared" ref="Q41:Q73" si="9">LEFT(H41,(FIND("K",H41,1)-1))*J41/100</f>
        <v>24</v>
      </c>
      <c r="R41" s="432">
        <v>5.2906129032258056</v>
      </c>
      <c r="S41" s="432">
        <v>17.68825806451613</v>
      </c>
      <c r="T41" s="670">
        <v>116</v>
      </c>
      <c r="U41" s="668">
        <f t="shared" si="8"/>
        <v>21.925626032717719</v>
      </c>
      <c r="V41" s="668">
        <f t="shared" si="3"/>
        <v>70.08968953342476</v>
      </c>
      <c r="W41" s="668">
        <v>0.3</v>
      </c>
      <c r="X41" s="432">
        <f t="shared" si="7"/>
        <v>0.73701075268817207</v>
      </c>
      <c r="Y41" s="432">
        <f t="shared" si="4"/>
        <v>5.2112537096774183</v>
      </c>
      <c r="Z41" s="432">
        <f t="shared" si="4"/>
        <v>17.422934193548389</v>
      </c>
      <c r="AA41" s="670">
        <f t="shared" si="4"/>
        <v>114.26</v>
      </c>
      <c r="AB41" s="432">
        <f t="shared" si="5"/>
        <v>21.925626032717719</v>
      </c>
      <c r="AC41" s="670">
        <f t="shared" si="1"/>
        <v>70.08968953342476</v>
      </c>
      <c r="AD41" s="985">
        <v>31</v>
      </c>
      <c r="AE41" s="432">
        <f t="shared" si="6"/>
        <v>161.54886499999998</v>
      </c>
      <c r="AF41" s="669"/>
    </row>
    <row r="42" spans="1:32" ht="18.75" customHeight="1" x14ac:dyDescent="0.2">
      <c r="A42" s="985">
        <v>28</v>
      </c>
      <c r="B42" s="1008" t="s">
        <v>161</v>
      </c>
      <c r="C42" s="985" t="s">
        <v>46</v>
      </c>
      <c r="D42" s="984">
        <v>677</v>
      </c>
      <c r="E42" s="679" t="s">
        <v>178</v>
      </c>
      <c r="F42" s="985">
        <v>177.8</v>
      </c>
      <c r="G42" s="985" t="s">
        <v>28</v>
      </c>
      <c r="H42" s="985" t="s">
        <v>52</v>
      </c>
      <c r="I42" s="984">
        <v>571.98</v>
      </c>
      <c r="J42" s="984">
        <v>170</v>
      </c>
      <c r="K42" s="984"/>
      <c r="L42" s="984">
        <v>242</v>
      </c>
      <c r="M42" s="984"/>
      <c r="N42" s="985">
        <v>6.4</v>
      </c>
      <c r="O42" s="984"/>
      <c r="P42" s="448">
        <v>37.930280103191443</v>
      </c>
      <c r="Q42" s="668">
        <f t="shared" si="9"/>
        <v>37.4</v>
      </c>
      <c r="R42" s="432">
        <v>16.558</v>
      </c>
      <c r="S42" s="432">
        <v>27.990483870967747</v>
      </c>
      <c r="T42" s="492">
        <v>329</v>
      </c>
      <c r="U42" s="668">
        <f t="shared" si="8"/>
        <v>19.86954946249547</v>
      </c>
      <c r="V42" s="668">
        <f t="shared" si="3"/>
        <v>40.844180914020328</v>
      </c>
      <c r="W42" s="668">
        <v>0.2</v>
      </c>
      <c r="X42" s="432">
        <f t="shared" si="7"/>
        <v>0.74840865965154402</v>
      </c>
      <c r="Y42" s="432">
        <f t="shared" si="4"/>
        <v>16.309629999999999</v>
      </c>
      <c r="Z42" s="432">
        <f t="shared" si="4"/>
        <v>27.570626612903229</v>
      </c>
      <c r="AA42" s="670">
        <f t="shared" si="4"/>
        <v>324.065</v>
      </c>
      <c r="AB42" s="432">
        <f t="shared" si="5"/>
        <v>19.86954946249547</v>
      </c>
      <c r="AC42" s="670">
        <f t="shared" si="1"/>
        <v>40.844180914020328</v>
      </c>
      <c r="AD42" s="985">
        <v>31</v>
      </c>
      <c r="AE42" s="432">
        <f t="shared" si="6"/>
        <v>505.59852999999998</v>
      </c>
      <c r="AF42" s="449"/>
    </row>
    <row r="43" spans="1:32" ht="18.75" customHeight="1" x14ac:dyDescent="0.2">
      <c r="A43" s="985">
        <v>29</v>
      </c>
      <c r="B43" s="1008" t="s">
        <v>162</v>
      </c>
      <c r="C43" s="985" t="s">
        <v>46</v>
      </c>
      <c r="D43" s="984">
        <v>676</v>
      </c>
      <c r="E43" s="679" t="s">
        <v>437</v>
      </c>
      <c r="F43" s="985">
        <v>177.8</v>
      </c>
      <c r="G43" s="985" t="s">
        <v>28</v>
      </c>
      <c r="H43" s="985" t="s">
        <v>50</v>
      </c>
      <c r="I43" s="984">
        <v>549.20000000000005</v>
      </c>
      <c r="J43" s="984">
        <v>150</v>
      </c>
      <c r="K43" s="984"/>
      <c r="L43" s="985">
        <v>425</v>
      </c>
      <c r="M43" s="984"/>
      <c r="N43" s="985">
        <v>3.3</v>
      </c>
      <c r="O43" s="984"/>
      <c r="P43" s="448">
        <v>8.7491753859289219</v>
      </c>
      <c r="Q43" s="668">
        <f t="shared" si="9"/>
        <v>9</v>
      </c>
      <c r="R43" s="432">
        <v>0.73990322580645151</v>
      </c>
      <c r="S43" s="432">
        <v>1.1659032258064519</v>
      </c>
      <c r="T43" s="492">
        <v>9</v>
      </c>
      <c r="U43" s="668">
        <f t="shared" si="8"/>
        <v>12.163752888346341</v>
      </c>
      <c r="V43" s="668">
        <f t="shared" si="3"/>
        <v>36.538195501203575</v>
      </c>
      <c r="W43" s="668">
        <v>0.2</v>
      </c>
      <c r="X43" s="432">
        <f t="shared" si="7"/>
        <v>0.12954480286738354</v>
      </c>
      <c r="Y43" s="432">
        <f t="shared" si="4"/>
        <v>0.72880467741935473</v>
      </c>
      <c r="Z43" s="432">
        <f t="shared" si="4"/>
        <v>1.1484146774193551</v>
      </c>
      <c r="AA43" s="670">
        <f t="shared" si="4"/>
        <v>8.8650000000000002</v>
      </c>
      <c r="AB43" s="432">
        <f t="shared" si="5"/>
        <v>12.163752888346341</v>
      </c>
      <c r="AC43" s="670">
        <f t="shared" si="1"/>
        <v>36.538195501203575</v>
      </c>
      <c r="AD43" s="985">
        <v>31</v>
      </c>
      <c r="AE43" s="432">
        <f t="shared" si="6"/>
        <v>22.592944999999997</v>
      </c>
      <c r="AF43" s="449"/>
    </row>
    <row r="44" spans="1:32" ht="18.75" customHeight="1" x14ac:dyDescent="0.2">
      <c r="A44" s="985">
        <v>30</v>
      </c>
      <c r="B44" s="1008" t="s">
        <v>163</v>
      </c>
      <c r="C44" s="985" t="s">
        <v>46</v>
      </c>
      <c r="D44" s="984">
        <v>597</v>
      </c>
      <c r="E44" s="985" t="s">
        <v>443</v>
      </c>
      <c r="F44" s="985">
        <v>177.8</v>
      </c>
      <c r="G44" s="985" t="s">
        <v>28</v>
      </c>
      <c r="H44" s="985" t="s">
        <v>487</v>
      </c>
      <c r="I44" s="984">
        <v>553.79</v>
      </c>
      <c r="J44" s="984">
        <v>85</v>
      </c>
      <c r="K44" s="984"/>
      <c r="L44" s="984">
        <v>423</v>
      </c>
      <c r="M44" s="984"/>
      <c r="N44" s="985">
        <v>3.1</v>
      </c>
      <c r="O44" s="984"/>
      <c r="P44" s="448">
        <v>32.977632975325037</v>
      </c>
      <c r="Q44" s="668">
        <f t="shared" si="9"/>
        <v>12.75</v>
      </c>
      <c r="R44" s="432">
        <v>2.7213225806451611</v>
      </c>
      <c r="S44" s="432">
        <v>9.0487096774193549</v>
      </c>
      <c r="T44" s="492">
        <v>10</v>
      </c>
      <c r="U44" s="668">
        <f t="shared" si="8"/>
        <v>3.6746837993859724</v>
      </c>
      <c r="V44" s="668">
        <f t="shared" si="3"/>
        <v>69.925849345834379</v>
      </c>
      <c r="W44" s="668">
        <v>0.4</v>
      </c>
      <c r="X44" s="432">
        <f t="shared" si="7"/>
        <v>0.70970271979759647</v>
      </c>
      <c r="Y44" s="432">
        <f t="shared" si="4"/>
        <v>2.6805027419354834</v>
      </c>
      <c r="Z44" s="432">
        <f t="shared" si="4"/>
        <v>8.9129790322580646</v>
      </c>
      <c r="AA44" s="670">
        <f t="shared" si="4"/>
        <v>9.85</v>
      </c>
      <c r="AB44" s="432">
        <f t="shared" si="5"/>
        <v>3.6746837993859724</v>
      </c>
      <c r="AC44" s="670">
        <f t="shared" si="1"/>
        <v>69.925849345834379</v>
      </c>
      <c r="AD44" s="985">
        <v>31</v>
      </c>
      <c r="AE44" s="432">
        <f t="shared" si="6"/>
        <v>83.095584999999986</v>
      </c>
      <c r="AF44" s="449"/>
    </row>
    <row r="45" spans="1:32" ht="18.75" customHeight="1" x14ac:dyDescent="0.2">
      <c r="A45" s="985">
        <v>31</v>
      </c>
      <c r="B45" s="461" t="s">
        <v>59</v>
      </c>
      <c r="C45" s="985" t="s">
        <v>46</v>
      </c>
      <c r="D45" s="985">
        <v>637.16</v>
      </c>
      <c r="E45" s="985" t="s">
        <v>454</v>
      </c>
      <c r="F45" s="985">
        <v>177.8</v>
      </c>
      <c r="G45" s="985" t="s">
        <v>28</v>
      </c>
      <c r="H45" s="985" t="s">
        <v>487</v>
      </c>
      <c r="I45" s="984">
        <v>536.73</v>
      </c>
      <c r="J45" s="985">
        <v>85</v>
      </c>
      <c r="K45" s="985"/>
      <c r="L45" s="985">
        <v>408</v>
      </c>
      <c r="M45" s="985"/>
      <c r="N45" s="985">
        <v>4.8</v>
      </c>
      <c r="O45" s="985"/>
      <c r="P45" s="668">
        <v>18.826357831890004</v>
      </c>
      <c r="Q45" s="668">
        <f t="shared" si="9"/>
        <v>12.75</v>
      </c>
      <c r="R45" s="432">
        <v>4.5760000000000005</v>
      </c>
      <c r="S45" s="432">
        <v>10.14853086419753</v>
      </c>
      <c r="T45" s="670">
        <v>45</v>
      </c>
      <c r="U45" s="668">
        <f t="shared" si="8"/>
        <v>9.8339160839160833</v>
      </c>
      <c r="V45" s="668">
        <f t="shared" si="3"/>
        <v>54.909729681727327</v>
      </c>
      <c r="W45" s="668">
        <v>0.4</v>
      </c>
      <c r="X45" s="432">
        <f t="shared" si="7"/>
        <v>0.79596320503510043</v>
      </c>
      <c r="Y45" s="432">
        <f t="shared" si="4"/>
        <v>4.5073600000000003</v>
      </c>
      <c r="Z45" s="432">
        <f t="shared" si="4"/>
        <v>9.9963029012345679</v>
      </c>
      <c r="AA45" s="670">
        <f t="shared" si="4"/>
        <v>44.325000000000003</v>
      </c>
      <c r="AB45" s="432">
        <f>U45</f>
        <v>9.8339160839160833</v>
      </c>
      <c r="AC45" s="670">
        <f t="shared" si="1"/>
        <v>54.909729681727327</v>
      </c>
      <c r="AD45" s="985">
        <v>31</v>
      </c>
      <c r="AE45" s="432">
        <f t="shared" si="6"/>
        <v>139.72816</v>
      </c>
      <c r="AF45" s="449"/>
    </row>
    <row r="46" spans="1:32" ht="18.600000000000001" customHeight="1" x14ac:dyDescent="0.2">
      <c r="A46" s="985">
        <v>32</v>
      </c>
      <c r="B46" s="461" t="s">
        <v>207</v>
      </c>
      <c r="C46" s="985" t="s">
        <v>46</v>
      </c>
      <c r="D46" s="985">
        <v>673</v>
      </c>
      <c r="E46" s="985" t="s">
        <v>420</v>
      </c>
      <c r="F46" s="985">
        <v>177.8</v>
      </c>
      <c r="G46" s="985" t="s">
        <v>28</v>
      </c>
      <c r="H46" s="985" t="s">
        <v>50</v>
      </c>
      <c r="I46" s="984">
        <v>564.41999999999996</v>
      </c>
      <c r="J46" s="985">
        <v>215</v>
      </c>
      <c r="K46" s="985"/>
      <c r="L46" s="985">
        <v>185</v>
      </c>
      <c r="M46" s="985"/>
      <c r="N46" s="668">
        <v>0</v>
      </c>
      <c r="O46" s="985"/>
      <c r="P46" s="668">
        <v>36.867484565277088</v>
      </c>
      <c r="Q46" s="668">
        <f t="shared" si="9"/>
        <v>12.9</v>
      </c>
      <c r="R46" s="432">
        <v>2.2479999999999998</v>
      </c>
      <c r="S46" s="432">
        <v>10.095870967741936</v>
      </c>
      <c r="T46" s="670">
        <v>0</v>
      </c>
      <c r="U46" s="668">
        <f t="shared" si="8"/>
        <v>0</v>
      </c>
      <c r="V46" s="668">
        <f t="shared" si="3"/>
        <v>77.733471364850544</v>
      </c>
      <c r="W46" s="668">
        <v>0.3</v>
      </c>
      <c r="X46" s="432">
        <f t="shared" si="7"/>
        <v>0.78262565641410353</v>
      </c>
      <c r="Y46" s="432">
        <f t="shared" si="4"/>
        <v>2.2142799999999996</v>
      </c>
      <c r="Z46" s="432">
        <f t="shared" si="4"/>
        <v>9.9444329032258061</v>
      </c>
      <c r="AA46" s="670">
        <f t="shared" si="4"/>
        <v>0</v>
      </c>
      <c r="AB46" s="432">
        <f>U46</f>
        <v>0</v>
      </c>
      <c r="AC46" s="670">
        <f t="shared" si="1"/>
        <v>77.733471364850544</v>
      </c>
      <c r="AD46" s="985">
        <v>31</v>
      </c>
      <c r="AE46" s="432">
        <f t="shared" si="6"/>
        <v>68.642679999999984</v>
      </c>
      <c r="AF46" s="449"/>
    </row>
    <row r="47" spans="1:32" ht="18.75" customHeight="1" x14ac:dyDescent="0.25">
      <c r="A47" s="985">
        <v>33</v>
      </c>
      <c r="B47" s="461" t="s">
        <v>196</v>
      </c>
      <c r="C47" s="985" t="s">
        <v>304</v>
      </c>
      <c r="D47" s="985">
        <v>641</v>
      </c>
      <c r="E47" s="985" t="s">
        <v>296</v>
      </c>
      <c r="F47" s="985">
        <v>177.8</v>
      </c>
      <c r="G47" s="985" t="s">
        <v>28</v>
      </c>
      <c r="H47" s="985" t="s">
        <v>50</v>
      </c>
      <c r="I47" s="984">
        <v>611.92999999999995</v>
      </c>
      <c r="J47" s="985">
        <v>0</v>
      </c>
      <c r="K47" s="985">
        <v>496</v>
      </c>
      <c r="L47" s="868"/>
      <c r="M47" s="668">
        <v>0.3</v>
      </c>
      <c r="N47" s="868"/>
      <c r="O47" s="985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985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985">
        <v>34</v>
      </c>
      <c r="B48" s="461" t="s">
        <v>60</v>
      </c>
      <c r="C48" s="985" t="s">
        <v>46</v>
      </c>
      <c r="D48" s="985">
        <v>638.9</v>
      </c>
      <c r="E48" s="985" t="s">
        <v>462</v>
      </c>
      <c r="F48" s="985">
        <v>177.8</v>
      </c>
      <c r="G48" s="985" t="s">
        <v>28</v>
      </c>
      <c r="H48" s="985" t="s">
        <v>48</v>
      </c>
      <c r="I48" s="984">
        <v>532.05999999999995</v>
      </c>
      <c r="J48" s="985">
        <v>155</v>
      </c>
      <c r="K48" s="985"/>
      <c r="L48" s="985">
        <v>417</v>
      </c>
      <c r="M48" s="985"/>
      <c r="N48" s="985">
        <v>5.2</v>
      </c>
      <c r="O48" s="985"/>
      <c r="P48" s="668">
        <v>22.969737136838344</v>
      </c>
      <c r="Q48" s="668">
        <f t="shared" si="9"/>
        <v>20.149999999999999</v>
      </c>
      <c r="R48" s="432">
        <v>8.2982258064516099</v>
      </c>
      <c r="S48" s="432">
        <v>15.903419354838711</v>
      </c>
      <c r="T48" s="670">
        <v>416</v>
      </c>
      <c r="U48" s="668">
        <f t="shared" si="8"/>
        <v>50.131197885284472</v>
      </c>
      <c r="V48" s="668">
        <f t="shared" si="3"/>
        <v>47.821121852472409</v>
      </c>
      <c r="W48" s="668">
        <v>0.2</v>
      </c>
      <c r="X48" s="432">
        <f t="shared" si="7"/>
        <v>0.7892515808852959</v>
      </c>
      <c r="Y48" s="432">
        <f t="shared" si="4"/>
        <v>8.1737524193548357</v>
      </c>
      <c r="Z48" s="432">
        <f t="shared" si="4"/>
        <v>15.66486806451613</v>
      </c>
      <c r="AA48" s="670">
        <f t="shared" si="4"/>
        <v>409.76</v>
      </c>
      <c r="AB48" s="432">
        <f t="shared" si="5"/>
        <v>50.131197885284472</v>
      </c>
      <c r="AC48" s="670">
        <f t="shared" si="1"/>
        <v>47.821121852472409</v>
      </c>
      <c r="AD48" s="985">
        <v>31</v>
      </c>
      <c r="AE48" s="432">
        <f t="shared" si="6"/>
        <v>253.38632499999991</v>
      </c>
      <c r="AF48" s="449"/>
    </row>
    <row r="49" spans="1:32" ht="18.75" customHeight="1" x14ac:dyDescent="0.2">
      <c r="A49" s="985">
        <v>35</v>
      </c>
      <c r="B49" s="461" t="s">
        <v>119</v>
      </c>
      <c r="C49" s="985" t="s">
        <v>427</v>
      </c>
      <c r="D49" s="985">
        <v>654.07000000000005</v>
      </c>
      <c r="E49" s="985" t="s">
        <v>410</v>
      </c>
      <c r="F49" s="985">
        <v>177.8</v>
      </c>
      <c r="G49" s="985" t="s">
        <v>28</v>
      </c>
      <c r="H49" s="985" t="s">
        <v>399</v>
      </c>
      <c r="I49" s="984">
        <v>521.47</v>
      </c>
      <c r="J49" s="985">
        <v>0</v>
      </c>
      <c r="K49" s="985"/>
      <c r="L49" s="985">
        <v>478</v>
      </c>
      <c r="M49" s="985"/>
      <c r="N49" s="985">
        <v>0</v>
      </c>
      <c r="O49" s="985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985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985">
        <v>36</v>
      </c>
      <c r="B50" s="461" t="s">
        <v>118</v>
      </c>
      <c r="C50" s="985" t="s">
        <v>408</v>
      </c>
      <c r="D50" s="985">
        <v>728.77</v>
      </c>
      <c r="E50" s="985" t="s">
        <v>442</v>
      </c>
      <c r="F50" s="985">
        <v>177.8</v>
      </c>
      <c r="G50" s="985" t="s">
        <v>28</v>
      </c>
      <c r="H50" s="985" t="s">
        <v>52</v>
      </c>
      <c r="I50" s="984">
        <v>523.04999999999995</v>
      </c>
      <c r="J50" s="985">
        <v>100</v>
      </c>
      <c r="K50" s="985"/>
      <c r="L50" s="985">
        <v>402</v>
      </c>
      <c r="M50" s="985"/>
      <c r="N50" s="985">
        <v>6.9</v>
      </c>
      <c r="O50" s="985"/>
      <c r="P50" s="668">
        <v>27.297686434770107</v>
      </c>
      <c r="Q50" s="668">
        <f t="shared" si="9"/>
        <v>22</v>
      </c>
      <c r="R50" s="432">
        <v>4.1413225806451619</v>
      </c>
      <c r="S50" s="432">
        <v>10.158870967741935</v>
      </c>
      <c r="T50" s="670">
        <v>85</v>
      </c>
      <c r="U50" s="668">
        <f t="shared" si="8"/>
        <v>20.524844018974768</v>
      </c>
      <c r="V50" s="668">
        <f t="shared" si="3"/>
        <v>59.234420893863614</v>
      </c>
      <c r="W50" s="668">
        <v>0.3</v>
      </c>
      <c r="X50" s="432">
        <f t="shared" si="7"/>
        <v>0.46176686217008794</v>
      </c>
      <c r="Y50" s="432">
        <f t="shared" si="4"/>
        <v>4.0792027419354842</v>
      </c>
      <c r="Z50" s="432">
        <f t="shared" si="4"/>
        <v>10.006487903225805</v>
      </c>
      <c r="AA50" s="670">
        <f t="shared" si="4"/>
        <v>83.724999999999994</v>
      </c>
      <c r="AB50" s="432">
        <f t="shared" si="5"/>
        <v>20.524844018974768</v>
      </c>
      <c r="AC50" s="670">
        <f t="shared" si="1"/>
        <v>59.234420893863614</v>
      </c>
      <c r="AD50" s="985">
        <v>31</v>
      </c>
      <c r="AE50" s="432">
        <f t="shared" si="6"/>
        <v>126.455285</v>
      </c>
      <c r="AF50" s="449"/>
    </row>
    <row r="51" spans="1:32" ht="18.75" customHeight="1" x14ac:dyDescent="0.2">
      <c r="A51" s="985">
        <v>37</v>
      </c>
      <c r="B51" s="461" t="s">
        <v>117</v>
      </c>
      <c r="C51" s="985" t="s">
        <v>46</v>
      </c>
      <c r="D51" s="985">
        <v>671.45</v>
      </c>
      <c r="E51" s="985" t="s">
        <v>128</v>
      </c>
      <c r="F51" s="985">
        <v>177.8</v>
      </c>
      <c r="G51" s="985" t="s">
        <v>28</v>
      </c>
      <c r="H51" s="452" t="s">
        <v>363</v>
      </c>
      <c r="I51" s="984">
        <v>561.1</v>
      </c>
      <c r="J51" s="985">
        <v>275</v>
      </c>
      <c r="K51" s="985"/>
      <c r="L51" s="985">
        <v>83</v>
      </c>
      <c r="M51" s="985"/>
      <c r="N51" s="985">
        <v>0.8</v>
      </c>
      <c r="O51" s="985"/>
      <c r="P51" s="668">
        <v>43.898516969964177</v>
      </c>
      <c r="Q51" s="668">
        <f>J51*7/100</f>
        <v>19.25</v>
      </c>
      <c r="R51" s="432">
        <v>1.0043999999999986</v>
      </c>
      <c r="S51" s="432">
        <v>10.8</v>
      </c>
      <c r="T51" s="670">
        <v>0</v>
      </c>
      <c r="U51" s="668">
        <f t="shared" si="8"/>
        <v>0</v>
      </c>
      <c r="V51" s="668">
        <f t="shared" si="3"/>
        <v>90.700000000000017</v>
      </c>
      <c r="W51" s="668">
        <v>0.3</v>
      </c>
      <c r="X51" s="432">
        <f t="shared" si="7"/>
        <v>0.56103896103896111</v>
      </c>
      <c r="Y51" s="432">
        <f t="shared" si="4"/>
        <v>0.9893339999999986</v>
      </c>
      <c r="Z51" s="432">
        <f t="shared" si="4"/>
        <v>10.638</v>
      </c>
      <c r="AA51" s="670">
        <f t="shared" si="4"/>
        <v>0</v>
      </c>
      <c r="AB51" s="432">
        <f t="shared" si="5"/>
        <v>0</v>
      </c>
      <c r="AC51" s="670">
        <f t="shared" si="1"/>
        <v>90.700000000000017</v>
      </c>
      <c r="AD51" s="985">
        <v>31</v>
      </c>
      <c r="AE51" s="432">
        <f t="shared" si="6"/>
        <v>30.669353999999956</v>
      </c>
      <c r="AF51" s="669"/>
    </row>
    <row r="52" spans="1:32" ht="18.75" customHeight="1" x14ac:dyDescent="0.2">
      <c r="A52" s="985">
        <v>38</v>
      </c>
      <c r="B52" s="461" t="s">
        <v>130</v>
      </c>
      <c r="C52" s="985" t="s">
        <v>46</v>
      </c>
      <c r="D52" s="985">
        <v>622.6</v>
      </c>
      <c r="E52" s="985" t="s">
        <v>467</v>
      </c>
      <c r="F52" s="985">
        <v>177.8</v>
      </c>
      <c r="G52" s="985" t="s">
        <v>28</v>
      </c>
      <c r="H52" s="985" t="s">
        <v>48</v>
      </c>
      <c r="I52" s="984">
        <v>551.79999999999995</v>
      </c>
      <c r="J52" s="985">
        <v>235</v>
      </c>
      <c r="K52" s="985"/>
      <c r="L52" s="985">
        <v>81</v>
      </c>
      <c r="M52" s="985"/>
      <c r="N52" s="985">
        <v>0.8</v>
      </c>
      <c r="O52" s="985"/>
      <c r="P52" s="668">
        <v>50.387652144083397</v>
      </c>
      <c r="Q52" s="668">
        <f t="shared" si="9"/>
        <v>30.55</v>
      </c>
      <c r="R52" s="432">
        <v>1.090677419354839</v>
      </c>
      <c r="S52" s="432">
        <v>20.204032258064519</v>
      </c>
      <c r="T52" s="670">
        <v>0</v>
      </c>
      <c r="U52" s="668">
        <f t="shared" si="8"/>
        <v>0</v>
      </c>
      <c r="V52" s="668">
        <f t="shared" si="3"/>
        <v>94.60168442901049</v>
      </c>
      <c r="W52" s="668">
        <v>0.2</v>
      </c>
      <c r="X52" s="432">
        <f t="shared" si="7"/>
        <v>0.66134311810358493</v>
      </c>
      <c r="Y52" s="432">
        <f t="shared" si="4"/>
        <v>1.0743172580645164</v>
      </c>
      <c r="Z52" s="432">
        <f t="shared" si="4"/>
        <v>19.90097177419355</v>
      </c>
      <c r="AA52" s="670">
        <f t="shared" si="4"/>
        <v>0</v>
      </c>
      <c r="AB52" s="432">
        <f t="shared" si="5"/>
        <v>0</v>
      </c>
      <c r="AC52" s="670">
        <f t="shared" si="1"/>
        <v>94.60168442901049</v>
      </c>
      <c r="AD52" s="985">
        <v>31</v>
      </c>
      <c r="AE52" s="432">
        <f t="shared" si="6"/>
        <v>33.303835000000007</v>
      </c>
      <c r="AF52" s="669"/>
    </row>
    <row r="53" spans="1:32" ht="18.75" customHeight="1" x14ac:dyDescent="0.2">
      <c r="A53" s="985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985">
        <v>177.8</v>
      </c>
      <c r="G53" s="452" t="s">
        <v>28</v>
      </c>
      <c r="H53" s="452" t="s">
        <v>363</v>
      </c>
      <c r="I53" s="453">
        <v>565.65</v>
      </c>
      <c r="J53" s="452">
        <v>210</v>
      </c>
      <c r="K53" s="452"/>
      <c r="L53" s="452">
        <v>449</v>
      </c>
      <c r="M53" s="452"/>
      <c r="N53" s="985">
        <v>5.7</v>
      </c>
      <c r="O53" s="452"/>
      <c r="P53" s="675">
        <v>15.435955965872131</v>
      </c>
      <c r="Q53" s="668">
        <f>J53*7/100</f>
        <v>14.7</v>
      </c>
      <c r="R53" s="456">
        <v>2.7450322580645157</v>
      </c>
      <c r="S53" s="432">
        <v>2.9169354838709673</v>
      </c>
      <c r="T53" s="700">
        <v>0</v>
      </c>
      <c r="U53" s="668">
        <f t="shared" si="8"/>
        <v>0</v>
      </c>
      <c r="V53" s="668">
        <f t="shared" si="3"/>
        <v>5.893281725186621</v>
      </c>
      <c r="W53" s="675">
        <v>0.2</v>
      </c>
      <c r="X53" s="432">
        <f t="shared" si="7"/>
        <v>0.19843098529734474</v>
      </c>
      <c r="Y53" s="432">
        <f t="shared" si="4"/>
        <v>2.703856774193548</v>
      </c>
      <c r="Z53" s="432">
        <f t="shared" si="4"/>
        <v>2.8731814516129028</v>
      </c>
      <c r="AA53" s="670">
        <f t="shared" si="4"/>
        <v>0</v>
      </c>
      <c r="AB53" s="456">
        <f t="shared" si="5"/>
        <v>0</v>
      </c>
      <c r="AC53" s="670">
        <f t="shared" si="1"/>
        <v>5.893281725186621</v>
      </c>
      <c r="AD53" s="985">
        <v>31</v>
      </c>
      <c r="AE53" s="456">
        <f t="shared" si="6"/>
        <v>83.819559999999981</v>
      </c>
      <c r="AF53" s="449"/>
    </row>
    <row r="54" spans="1:32" ht="18.75" customHeight="1" x14ac:dyDescent="0.2">
      <c r="A54" s="985">
        <v>40</v>
      </c>
      <c r="B54" s="461" t="s">
        <v>116</v>
      </c>
      <c r="C54" s="985" t="s">
        <v>46</v>
      </c>
      <c r="D54" s="985">
        <v>681.27</v>
      </c>
      <c r="E54" s="985" t="s">
        <v>455</v>
      </c>
      <c r="F54" s="985">
        <v>177.8</v>
      </c>
      <c r="G54" s="985" t="s">
        <v>28</v>
      </c>
      <c r="H54" s="985" t="s">
        <v>53</v>
      </c>
      <c r="I54" s="984">
        <v>559.23</v>
      </c>
      <c r="J54" s="985">
        <v>135</v>
      </c>
      <c r="K54" s="985"/>
      <c r="L54" s="985">
        <v>222</v>
      </c>
      <c r="M54" s="985"/>
      <c r="N54" s="985">
        <v>5.0999999999999996</v>
      </c>
      <c r="O54" s="985"/>
      <c r="P54" s="668">
        <v>36.278622934939648</v>
      </c>
      <c r="Q54" s="675">
        <f t="shared" si="9"/>
        <v>17.55</v>
      </c>
      <c r="R54" s="432">
        <v>1.6711935483870968</v>
      </c>
      <c r="S54" s="432">
        <v>5.4189677419354831</v>
      </c>
      <c r="T54" s="670">
        <v>11</v>
      </c>
      <c r="U54" s="668">
        <f t="shared" si="8"/>
        <v>6.5821221070511706</v>
      </c>
      <c r="V54" s="668">
        <f t="shared" si="3"/>
        <v>69.160297164083147</v>
      </c>
      <c r="W54" s="668">
        <v>0.3</v>
      </c>
      <c r="X54" s="432">
        <f t="shared" si="7"/>
        <v>0.3087730907085745</v>
      </c>
      <c r="Y54" s="432">
        <f t="shared" si="4"/>
        <v>1.6461256451612902</v>
      </c>
      <c r="Z54" s="432">
        <f t="shared" si="4"/>
        <v>5.337683225806451</v>
      </c>
      <c r="AA54" s="670">
        <f t="shared" si="4"/>
        <v>10.834999999999999</v>
      </c>
      <c r="AB54" s="432">
        <f t="shared" si="5"/>
        <v>6.5821221070511706</v>
      </c>
      <c r="AC54" s="670">
        <f t="shared" si="1"/>
        <v>69.160297164083147</v>
      </c>
      <c r="AD54" s="985">
        <v>31</v>
      </c>
      <c r="AE54" s="432">
        <f t="shared" si="6"/>
        <v>51.029894999999996</v>
      </c>
      <c r="AF54" s="449"/>
    </row>
    <row r="55" spans="1:32" ht="18.75" customHeight="1" x14ac:dyDescent="0.2">
      <c r="A55" s="985">
        <v>41</v>
      </c>
      <c r="B55" s="461" t="s">
        <v>120</v>
      </c>
      <c r="C55" s="985" t="s">
        <v>46</v>
      </c>
      <c r="D55" s="985">
        <v>668.57</v>
      </c>
      <c r="E55" s="985" t="s">
        <v>285</v>
      </c>
      <c r="F55" s="985">
        <v>177.8</v>
      </c>
      <c r="G55" s="985" t="s">
        <v>28</v>
      </c>
      <c r="H55" s="985" t="s">
        <v>48</v>
      </c>
      <c r="I55" s="984">
        <v>567.08000000000004</v>
      </c>
      <c r="J55" s="985">
        <v>360</v>
      </c>
      <c r="K55" s="985"/>
      <c r="L55" s="985">
        <v>414</v>
      </c>
      <c r="M55" s="985"/>
      <c r="N55" s="985">
        <v>0</v>
      </c>
      <c r="O55" s="985"/>
      <c r="P55" s="668">
        <v>15.977328599526876</v>
      </c>
      <c r="Q55" s="668">
        <f t="shared" si="9"/>
        <v>46.8</v>
      </c>
      <c r="R55" s="432">
        <v>3.3941290322580651</v>
      </c>
      <c r="S55" s="432">
        <v>5.3907419354838702</v>
      </c>
      <c r="T55" s="670">
        <v>0</v>
      </c>
      <c r="U55" s="668">
        <f t="shared" si="8"/>
        <v>0</v>
      </c>
      <c r="V55" s="668">
        <f t="shared" si="3"/>
        <v>37.037812737488984</v>
      </c>
      <c r="W55" s="668">
        <v>0.3</v>
      </c>
      <c r="X55" s="432">
        <f t="shared" si="7"/>
        <v>0.11518679349324509</v>
      </c>
      <c r="Y55" s="432">
        <f t="shared" si="4"/>
        <v>3.3432170967741941</v>
      </c>
      <c r="Z55" s="432">
        <f t="shared" si="4"/>
        <v>5.3098808064516119</v>
      </c>
      <c r="AA55" s="670">
        <f t="shared" si="4"/>
        <v>0</v>
      </c>
      <c r="AB55" s="432">
        <f t="shared" si="5"/>
        <v>0</v>
      </c>
      <c r="AC55" s="670">
        <f t="shared" si="1"/>
        <v>37.037812737488984</v>
      </c>
      <c r="AD55" s="985">
        <v>31</v>
      </c>
      <c r="AE55" s="432">
        <f t="shared" si="6"/>
        <v>103.63973000000001</v>
      </c>
      <c r="AF55" s="669"/>
    </row>
    <row r="56" spans="1:32" ht="18.75" customHeight="1" x14ac:dyDescent="0.2">
      <c r="A56" s="985">
        <v>42</v>
      </c>
      <c r="B56" s="461" t="s">
        <v>114</v>
      </c>
      <c r="C56" s="985" t="s">
        <v>46</v>
      </c>
      <c r="D56" s="985">
        <v>584.25</v>
      </c>
      <c r="E56" s="985" t="s">
        <v>419</v>
      </c>
      <c r="F56" s="985">
        <v>177.8</v>
      </c>
      <c r="G56" s="985" t="s">
        <v>28</v>
      </c>
      <c r="H56" s="985" t="s">
        <v>492</v>
      </c>
      <c r="I56" s="984">
        <v>560.84</v>
      </c>
      <c r="J56" s="985">
        <v>85</v>
      </c>
      <c r="K56" s="985"/>
      <c r="L56" s="985">
        <v>115</v>
      </c>
      <c r="M56" s="985"/>
      <c r="N56" s="985">
        <v>0.6</v>
      </c>
      <c r="O56" s="985"/>
      <c r="P56" s="668">
        <v>52.27734397937143</v>
      </c>
      <c r="Q56" s="668">
        <f>J56*7/100</f>
        <v>5.95</v>
      </c>
      <c r="R56" s="432">
        <v>1.0412903225806451</v>
      </c>
      <c r="S56" s="432">
        <v>4.7132258064516135</v>
      </c>
      <c r="T56" s="670">
        <v>0</v>
      </c>
      <c r="U56" s="668">
        <f t="shared" si="8"/>
        <v>0</v>
      </c>
      <c r="V56" s="668">
        <f t="shared" si="3"/>
        <v>77.907056327424556</v>
      </c>
      <c r="W56" s="668">
        <v>0.3</v>
      </c>
      <c r="X56" s="432">
        <f t="shared" si="7"/>
        <v>0.79213879100027118</v>
      </c>
      <c r="Y56" s="432">
        <f t="shared" si="4"/>
        <v>1.0256709677419353</v>
      </c>
      <c r="Z56" s="432">
        <f t="shared" si="4"/>
        <v>4.6425274193548391</v>
      </c>
      <c r="AA56" s="670">
        <f t="shared" si="4"/>
        <v>0</v>
      </c>
      <c r="AB56" s="432">
        <f t="shared" si="5"/>
        <v>0</v>
      </c>
      <c r="AC56" s="670">
        <v>0</v>
      </c>
      <c r="AD56" s="985">
        <v>31</v>
      </c>
      <c r="AE56" s="432">
        <f t="shared" si="6"/>
        <v>31.795799999999996</v>
      </c>
      <c r="AF56" s="669"/>
    </row>
    <row r="57" spans="1:32" ht="18.75" customHeight="1" x14ac:dyDescent="0.2">
      <c r="A57" s="985">
        <v>43</v>
      </c>
      <c r="B57" s="461" t="s">
        <v>106</v>
      </c>
      <c r="C57" s="985" t="s">
        <v>46</v>
      </c>
      <c r="D57" s="985">
        <v>642.52</v>
      </c>
      <c r="E57" s="985" t="s">
        <v>457</v>
      </c>
      <c r="F57" s="985">
        <v>177.8</v>
      </c>
      <c r="G57" s="985" t="s">
        <v>28</v>
      </c>
      <c r="H57" s="985" t="s">
        <v>456</v>
      </c>
      <c r="I57" s="984">
        <v>546.55999999999995</v>
      </c>
      <c r="J57" s="985">
        <v>150</v>
      </c>
      <c r="K57" s="985"/>
      <c r="L57" s="985">
        <v>168</v>
      </c>
      <c r="M57" s="985"/>
      <c r="N57" s="985">
        <v>6.6</v>
      </c>
      <c r="O57" s="985"/>
      <c r="P57" s="668">
        <v>44.323045037335021</v>
      </c>
      <c r="Q57" s="668">
        <f>J57*23/100</f>
        <v>34.5</v>
      </c>
      <c r="R57" s="432">
        <v>1.8162857142857147</v>
      </c>
      <c r="S57" s="432">
        <v>11.91161904761905</v>
      </c>
      <c r="T57" s="670">
        <v>9</v>
      </c>
      <c r="U57" s="668">
        <f t="shared" si="8"/>
        <v>4.9551675318546469</v>
      </c>
      <c r="V57" s="668">
        <f t="shared" si="3"/>
        <v>84.75198285787387</v>
      </c>
      <c r="W57" s="668">
        <v>0.3</v>
      </c>
      <c r="X57" s="432">
        <f t="shared" si="7"/>
        <v>0.34526432022084202</v>
      </c>
      <c r="Y57" s="432">
        <f t="shared" si="4"/>
        <v>1.7890414285714289</v>
      </c>
      <c r="Z57" s="432">
        <f t="shared" si="4"/>
        <v>11.732944761904765</v>
      </c>
      <c r="AA57" s="670">
        <f t="shared" si="4"/>
        <v>8.8650000000000002</v>
      </c>
      <c r="AB57" s="432">
        <f t="shared" si="5"/>
        <v>4.9551675318546469</v>
      </c>
      <c r="AC57" s="670">
        <f t="shared" si="1"/>
        <v>84.75198285787387</v>
      </c>
      <c r="AD57" s="985">
        <v>31</v>
      </c>
      <c r="AE57" s="432">
        <f t="shared" si="6"/>
        <v>55.460284285714295</v>
      </c>
      <c r="AF57" s="449"/>
    </row>
    <row r="58" spans="1:32" ht="18.75" customHeight="1" x14ac:dyDescent="0.2">
      <c r="A58" s="985">
        <v>44</v>
      </c>
      <c r="B58" s="461" t="s">
        <v>105</v>
      </c>
      <c r="C58" s="985" t="s">
        <v>46</v>
      </c>
      <c r="D58" s="985">
        <v>609.6</v>
      </c>
      <c r="E58" s="985" t="s">
        <v>110</v>
      </c>
      <c r="F58" s="985">
        <v>177.8</v>
      </c>
      <c r="G58" s="985" t="s">
        <v>28</v>
      </c>
      <c r="H58" s="985" t="s">
        <v>487</v>
      </c>
      <c r="I58" s="984">
        <v>505.30000000000013</v>
      </c>
      <c r="J58" s="985">
        <v>85</v>
      </c>
      <c r="K58" s="985"/>
      <c r="L58" s="985">
        <v>374</v>
      </c>
      <c r="M58" s="985"/>
      <c r="N58" s="985">
        <v>1.1000000000000001</v>
      </c>
      <c r="O58" s="985"/>
      <c r="P58" s="668">
        <v>12.957248526527751</v>
      </c>
      <c r="Q58" s="668">
        <f t="shared" si="9"/>
        <v>12.75</v>
      </c>
      <c r="R58" s="432">
        <v>1.5906470588235291</v>
      </c>
      <c r="S58" s="432">
        <v>1.9627058823529411</v>
      </c>
      <c r="T58" s="670">
        <v>0</v>
      </c>
      <c r="U58" s="668">
        <f t="shared" si="8"/>
        <v>0</v>
      </c>
      <c r="V58" s="668">
        <f t="shared" si="3"/>
        <v>18.956422705748381</v>
      </c>
      <c r="W58" s="668">
        <v>2.6</v>
      </c>
      <c r="X58" s="432">
        <f t="shared" si="7"/>
        <v>0.15393771626297578</v>
      </c>
      <c r="Y58" s="432">
        <f t="shared" si="4"/>
        <v>1.5667873529411762</v>
      </c>
      <c r="Z58" s="432">
        <f t="shared" si="4"/>
        <v>1.9332652941176469</v>
      </c>
      <c r="AA58" s="670">
        <f t="shared" si="4"/>
        <v>0</v>
      </c>
      <c r="AB58" s="432">
        <v>0</v>
      </c>
      <c r="AC58" s="670">
        <v>0</v>
      </c>
      <c r="AD58" s="985">
        <v>31</v>
      </c>
      <c r="AE58" s="432">
        <f t="shared" si="6"/>
        <v>48.570407941176462</v>
      </c>
      <c r="AF58" s="669"/>
    </row>
    <row r="59" spans="1:32" ht="18.75" customHeight="1" x14ac:dyDescent="0.2">
      <c r="A59" s="985">
        <v>45</v>
      </c>
      <c r="B59" s="461" t="s">
        <v>104</v>
      </c>
      <c r="C59" s="985" t="s">
        <v>381</v>
      </c>
      <c r="D59" s="985">
        <v>707.14</v>
      </c>
      <c r="E59" s="984" t="s">
        <v>382</v>
      </c>
      <c r="F59" s="985">
        <v>177.8</v>
      </c>
      <c r="G59" s="985" t="s">
        <v>28</v>
      </c>
      <c r="H59" s="985" t="s">
        <v>383</v>
      </c>
      <c r="I59" s="984">
        <v>682.43000000000052</v>
      </c>
      <c r="J59" s="985">
        <v>254</v>
      </c>
      <c r="K59" s="985"/>
      <c r="L59" s="985">
        <v>548</v>
      </c>
      <c r="M59" s="985"/>
      <c r="N59" s="985">
        <v>6.9</v>
      </c>
      <c r="O59" s="985"/>
      <c r="P59" s="668">
        <v>14.54077871240548</v>
      </c>
      <c r="Q59" s="668">
        <f>J59*3/100</f>
        <v>7.62</v>
      </c>
      <c r="R59" s="432">
        <v>0.66670967741935494</v>
      </c>
      <c r="S59" s="432">
        <v>0.75516129032258072</v>
      </c>
      <c r="T59" s="670">
        <v>8</v>
      </c>
      <c r="U59" s="668">
        <f t="shared" si="8"/>
        <v>11.999225856396359</v>
      </c>
      <c r="V59" s="668">
        <f t="shared" si="3"/>
        <v>11.712943186672359</v>
      </c>
      <c r="W59" s="668">
        <v>0.2</v>
      </c>
      <c r="X59" s="432">
        <f t="shared" si="7"/>
        <v>9.9102531538396418E-2</v>
      </c>
      <c r="Y59" s="432">
        <f t="shared" si="4"/>
        <v>0.65670903225806465</v>
      </c>
      <c r="Z59" s="432">
        <f t="shared" si="4"/>
        <v>0.74383387096774201</v>
      </c>
      <c r="AA59" s="670">
        <f t="shared" si="4"/>
        <v>7.88</v>
      </c>
      <c r="AB59" s="432">
        <f t="shared" si="5"/>
        <v>11.999225856396359</v>
      </c>
      <c r="AC59" s="670">
        <f t="shared" si="1"/>
        <v>11.712943186672359</v>
      </c>
      <c r="AD59" s="985">
        <v>31</v>
      </c>
      <c r="AE59" s="432">
        <f t="shared" si="6"/>
        <v>20.357980000000005</v>
      </c>
      <c r="AF59" s="669"/>
    </row>
    <row r="60" spans="1:32" ht="18.600000000000001" customHeight="1" x14ac:dyDescent="0.3">
      <c r="A60" s="985">
        <v>46</v>
      </c>
      <c r="B60" s="1008" t="s">
        <v>158</v>
      </c>
      <c r="C60" s="985" t="s">
        <v>46</v>
      </c>
      <c r="D60" s="984">
        <v>621.12</v>
      </c>
      <c r="E60" s="984" t="s">
        <v>232</v>
      </c>
      <c r="F60" s="985">
        <v>177.8</v>
      </c>
      <c r="G60" s="985" t="s">
        <v>28</v>
      </c>
      <c r="H60" s="985" t="s">
        <v>403</v>
      </c>
      <c r="I60" s="984">
        <v>544.41999999999996</v>
      </c>
      <c r="J60" s="984">
        <v>175</v>
      </c>
      <c r="K60" s="984"/>
      <c r="L60" s="984">
        <v>460</v>
      </c>
      <c r="M60" s="984"/>
      <c r="N60" s="985">
        <v>7.4</v>
      </c>
      <c r="O60" s="984"/>
      <c r="P60" s="448">
        <v>16.237963609289636</v>
      </c>
      <c r="Q60" s="668">
        <f>J60*23/100</f>
        <v>40.25</v>
      </c>
      <c r="R60" s="432">
        <v>6.2685483870967733</v>
      </c>
      <c r="S60" s="432">
        <v>8.2216774193548368</v>
      </c>
      <c r="T60" s="492">
        <v>92</v>
      </c>
      <c r="U60" s="668">
        <f t="shared" si="8"/>
        <v>14.676444101376562</v>
      </c>
      <c r="V60" s="668">
        <f t="shared" si="3"/>
        <v>23.755846071753659</v>
      </c>
      <c r="W60" s="668">
        <v>0.2</v>
      </c>
      <c r="X60" s="432">
        <f t="shared" si="7"/>
        <v>0.20426527749949905</v>
      </c>
      <c r="Y60" s="432">
        <f t="shared" si="4"/>
        <v>6.1745201612903218</v>
      </c>
      <c r="Z60" s="432">
        <f t="shared" si="4"/>
        <v>8.098352258064514</v>
      </c>
      <c r="AA60" s="670">
        <f t="shared" si="4"/>
        <v>90.62</v>
      </c>
      <c r="AB60" s="432">
        <f t="shared" si="5"/>
        <v>14.676444101376562</v>
      </c>
      <c r="AC60" s="670">
        <f t="shared" si="1"/>
        <v>23.755846071753659</v>
      </c>
      <c r="AD60" s="985">
        <v>31</v>
      </c>
      <c r="AE60" s="432">
        <f>Y60*AD60</f>
        <v>191.41012499999997</v>
      </c>
      <c r="AF60" s="458"/>
    </row>
    <row r="61" spans="1:32" ht="18.75" customHeight="1" x14ac:dyDescent="0.2">
      <c r="A61" s="985">
        <v>47</v>
      </c>
      <c r="B61" s="1008" t="s">
        <v>160</v>
      </c>
      <c r="C61" s="985" t="s">
        <v>304</v>
      </c>
      <c r="D61" s="984">
        <v>677.33</v>
      </c>
      <c r="E61" s="984" t="s">
        <v>315</v>
      </c>
      <c r="F61" s="985">
        <v>177.8</v>
      </c>
      <c r="G61" s="985" t="s">
        <v>28</v>
      </c>
      <c r="H61" s="985" t="s">
        <v>52</v>
      </c>
      <c r="I61" s="984">
        <v>599.4400000000004</v>
      </c>
      <c r="J61" s="984">
        <v>135</v>
      </c>
      <c r="K61" s="984"/>
      <c r="L61" s="985">
        <v>157</v>
      </c>
      <c r="M61" s="984"/>
      <c r="N61" s="985">
        <v>4.8</v>
      </c>
      <c r="O61" s="984"/>
      <c r="P61" s="448">
        <v>49.760394055761445</v>
      </c>
      <c r="Q61" s="668">
        <f t="shared" si="9"/>
        <v>29.7</v>
      </c>
      <c r="R61" s="432">
        <v>0</v>
      </c>
      <c r="S61" s="432">
        <f>AVERAGE(S29:S60)</f>
        <v>12.122313033890379</v>
      </c>
      <c r="T61" s="492">
        <v>0</v>
      </c>
      <c r="U61" s="668">
        <f t="shared" si="8"/>
        <v>0</v>
      </c>
      <c r="V61" s="668">
        <f t="shared" si="3"/>
        <v>100</v>
      </c>
      <c r="W61" s="668">
        <v>0</v>
      </c>
      <c r="X61" s="432">
        <f t="shared" si="7"/>
        <v>0.40815868800977706</v>
      </c>
      <c r="Y61" s="432">
        <f t="shared" si="4"/>
        <v>0</v>
      </c>
      <c r="Z61" s="432">
        <f t="shared" si="4"/>
        <v>11.940478338382023</v>
      </c>
      <c r="AA61" s="670">
        <f t="shared" si="4"/>
        <v>0</v>
      </c>
      <c r="AB61" s="432">
        <f t="shared" si="5"/>
        <v>0</v>
      </c>
      <c r="AC61" s="670">
        <f t="shared" si="1"/>
        <v>100</v>
      </c>
      <c r="AD61" s="985">
        <v>31</v>
      </c>
      <c r="AE61" s="432">
        <f>Y61*AD61</f>
        <v>0</v>
      </c>
      <c r="AF61" s="669"/>
    </row>
    <row r="62" spans="1:32" ht="18.75" customHeight="1" x14ac:dyDescent="0.2">
      <c r="A62" s="985">
        <v>48</v>
      </c>
      <c r="B62" s="461" t="s">
        <v>164</v>
      </c>
      <c r="C62" s="985" t="s">
        <v>46</v>
      </c>
      <c r="D62" s="984">
        <v>678.47</v>
      </c>
      <c r="E62" s="984" t="s">
        <v>233</v>
      </c>
      <c r="F62" s="985">
        <v>177.8</v>
      </c>
      <c r="G62" s="985" t="s">
        <v>28</v>
      </c>
      <c r="H62" s="985" t="s">
        <v>487</v>
      </c>
      <c r="I62" s="984">
        <v>565.48000000000013</v>
      </c>
      <c r="J62" s="984">
        <v>100</v>
      </c>
      <c r="K62" s="984"/>
      <c r="L62" s="984">
        <v>414</v>
      </c>
      <c r="M62" s="984"/>
      <c r="N62" s="985">
        <v>1.5</v>
      </c>
      <c r="O62" s="984"/>
      <c r="P62" s="668">
        <v>17.919805945666621</v>
      </c>
      <c r="Q62" s="668">
        <f t="shared" si="9"/>
        <v>15</v>
      </c>
      <c r="R62" s="432">
        <v>2.5958387096774191</v>
      </c>
      <c r="S62" s="432">
        <v>3.8975483870967746</v>
      </c>
      <c r="T62" s="670">
        <v>4</v>
      </c>
      <c r="U62" s="668">
        <f t="shared" si="8"/>
        <v>1.5409277876502094</v>
      </c>
      <c r="V62" s="668">
        <f t="shared" si="3"/>
        <v>33.398165927299225</v>
      </c>
      <c r="W62" s="668">
        <v>0.3</v>
      </c>
      <c r="X62" s="432">
        <f t="shared" si="7"/>
        <v>0.25983655913978498</v>
      </c>
      <c r="Y62" s="432">
        <f t="shared" si="4"/>
        <v>2.5569011290322576</v>
      </c>
      <c r="Z62" s="432">
        <f t="shared" si="4"/>
        <v>3.8390851612903232</v>
      </c>
      <c r="AA62" s="670">
        <f t="shared" si="4"/>
        <v>3.94</v>
      </c>
      <c r="AB62" s="432">
        <f t="shared" si="5"/>
        <v>1.5409277876502094</v>
      </c>
      <c r="AC62" s="670">
        <f t="shared" si="1"/>
        <v>33.398165927299225</v>
      </c>
      <c r="AD62" s="985">
        <v>31</v>
      </c>
      <c r="AE62" s="432">
        <f t="shared" ref="AE62:AE77" si="10">Y62*AD62</f>
        <v>79.263934999999989</v>
      </c>
      <c r="AF62" s="669"/>
    </row>
    <row r="63" spans="1:32" ht="18.75" customHeight="1" x14ac:dyDescent="0.2">
      <c r="A63" s="985">
        <v>49</v>
      </c>
      <c r="B63" s="461" t="s">
        <v>61</v>
      </c>
      <c r="C63" s="985" t="s">
        <v>46</v>
      </c>
      <c r="D63" s="985">
        <v>667.18</v>
      </c>
      <c r="E63" s="985" t="s">
        <v>96</v>
      </c>
      <c r="F63" s="985">
        <v>177.8</v>
      </c>
      <c r="G63" s="985" t="s">
        <v>28</v>
      </c>
      <c r="H63" s="985" t="s">
        <v>52</v>
      </c>
      <c r="I63" s="984">
        <v>534.21</v>
      </c>
      <c r="J63" s="985">
        <v>200</v>
      </c>
      <c r="K63" s="985"/>
      <c r="L63" s="985">
        <v>449</v>
      </c>
      <c r="M63" s="985"/>
      <c r="N63" s="985">
        <v>4.4000000000000004</v>
      </c>
      <c r="O63" s="985"/>
      <c r="P63" s="668">
        <v>15.839049551597217</v>
      </c>
      <c r="Q63" s="668">
        <f t="shared" si="9"/>
        <v>44</v>
      </c>
      <c r="R63" s="432">
        <v>6.3004516129032266</v>
      </c>
      <c r="S63" s="432">
        <v>10.717064516129032</v>
      </c>
      <c r="T63" s="670">
        <v>92</v>
      </c>
      <c r="U63" s="668">
        <f t="shared" si="8"/>
        <v>14.602127855658066</v>
      </c>
      <c r="V63" s="668">
        <f t="shared" si="3"/>
        <v>41.211032149511318</v>
      </c>
      <c r="W63" s="668">
        <v>0.3</v>
      </c>
      <c r="X63" s="432">
        <f t="shared" si="7"/>
        <v>0.24356964809384163</v>
      </c>
      <c r="Y63" s="432">
        <f t="shared" si="4"/>
        <v>6.2059448387096783</v>
      </c>
      <c r="Z63" s="432">
        <f t="shared" si="4"/>
        <v>10.556308548387095</v>
      </c>
      <c r="AA63" s="670">
        <f t="shared" si="4"/>
        <v>90.62</v>
      </c>
      <c r="AB63" s="432">
        <f t="shared" si="5"/>
        <v>14.602127855658066</v>
      </c>
      <c r="AC63" s="670">
        <f t="shared" si="1"/>
        <v>41.211032149511318</v>
      </c>
      <c r="AD63" s="985">
        <v>31</v>
      </c>
      <c r="AE63" s="432">
        <f t="shared" si="10"/>
        <v>192.38429000000002</v>
      </c>
      <c r="AF63" s="449"/>
    </row>
    <row r="64" spans="1:32" ht="18.75" customHeight="1" x14ac:dyDescent="0.2">
      <c r="A64" s="985">
        <v>50</v>
      </c>
      <c r="B64" s="461" t="s">
        <v>64</v>
      </c>
      <c r="C64" s="985" t="s">
        <v>46</v>
      </c>
      <c r="D64" s="985">
        <v>672.5</v>
      </c>
      <c r="E64" s="985" t="s">
        <v>444</v>
      </c>
      <c r="F64" s="985">
        <v>177.8</v>
      </c>
      <c r="G64" s="985" t="s">
        <v>28</v>
      </c>
      <c r="H64" s="985" t="s">
        <v>49</v>
      </c>
      <c r="I64" s="984">
        <v>523.78</v>
      </c>
      <c r="J64" s="985">
        <v>220</v>
      </c>
      <c r="K64" s="985"/>
      <c r="L64" s="985">
        <v>439</v>
      </c>
      <c r="M64" s="985"/>
      <c r="N64" s="985">
        <v>7.7</v>
      </c>
      <c r="O64" s="985"/>
      <c r="P64" s="668">
        <v>21.289712231492167</v>
      </c>
      <c r="Q64" s="668">
        <f t="shared" si="9"/>
        <v>70.400000000000006</v>
      </c>
      <c r="R64" s="432">
        <v>9.6820000000000022</v>
      </c>
      <c r="S64" s="432">
        <v>14.533967741935482</v>
      </c>
      <c r="T64" s="670">
        <v>2556</v>
      </c>
      <c r="U64" s="668">
        <f t="shared" si="8"/>
        <v>263.99504234662254</v>
      </c>
      <c r="V64" s="668">
        <f t="shared" si="3"/>
        <v>33.383641880089563</v>
      </c>
      <c r="W64" s="668">
        <v>0.3</v>
      </c>
      <c r="X64" s="432">
        <f t="shared" si="7"/>
        <v>0.20644840542521992</v>
      </c>
      <c r="Y64" s="432">
        <f t="shared" si="4"/>
        <v>9.5367700000000024</v>
      </c>
      <c r="Z64" s="432">
        <f t="shared" si="4"/>
        <v>14.315958225806449</v>
      </c>
      <c r="AA64" s="670">
        <f t="shared" si="4"/>
        <v>2517.66</v>
      </c>
      <c r="AB64" s="432">
        <f t="shared" si="5"/>
        <v>263.99504234662254</v>
      </c>
      <c r="AC64" s="670">
        <f t="shared" si="1"/>
        <v>33.383641880089563</v>
      </c>
      <c r="AD64" s="985">
        <v>31</v>
      </c>
      <c r="AE64" s="432">
        <f t="shared" si="10"/>
        <v>295.63987000000009</v>
      </c>
      <c r="AF64" s="449"/>
    </row>
    <row r="65" spans="1:32" ht="18.75" customHeight="1" x14ac:dyDescent="0.2">
      <c r="A65" s="985">
        <v>51</v>
      </c>
      <c r="B65" s="461" t="s">
        <v>156</v>
      </c>
      <c r="C65" s="985" t="s">
        <v>46</v>
      </c>
      <c r="D65" s="985">
        <v>679.54</v>
      </c>
      <c r="E65" s="985" t="s">
        <v>166</v>
      </c>
      <c r="F65" s="985">
        <v>177.8</v>
      </c>
      <c r="G65" s="985" t="s">
        <v>28</v>
      </c>
      <c r="H65" s="985" t="s">
        <v>52</v>
      </c>
      <c r="I65" s="984">
        <v>530.98</v>
      </c>
      <c r="J65" s="985">
        <v>358</v>
      </c>
      <c r="K65" s="985"/>
      <c r="L65" s="985">
        <v>455</v>
      </c>
      <c r="M65" s="985"/>
      <c r="N65" s="985">
        <v>6</v>
      </c>
      <c r="O65" s="985"/>
      <c r="P65" s="668">
        <v>16.658955800256862</v>
      </c>
      <c r="Q65" s="668">
        <f t="shared" si="9"/>
        <v>78.760000000000005</v>
      </c>
      <c r="R65" s="432">
        <v>6.3011290322580651</v>
      </c>
      <c r="S65" s="432">
        <v>9.9492580645161262</v>
      </c>
      <c r="T65" s="670">
        <v>77</v>
      </c>
      <c r="U65" s="668">
        <f t="shared" si="8"/>
        <v>12.220032252284536</v>
      </c>
      <c r="V65" s="668">
        <f t="shared" si="3"/>
        <v>36.667347540909169</v>
      </c>
      <c r="W65" s="668">
        <v>0.4</v>
      </c>
      <c r="X65" s="432">
        <f t="shared" si="7"/>
        <v>0.12632374383590814</v>
      </c>
      <c r="Y65" s="432">
        <f t="shared" si="4"/>
        <v>6.2066120967741938</v>
      </c>
      <c r="Z65" s="432">
        <f t="shared" si="4"/>
        <v>9.8000191935483834</v>
      </c>
      <c r="AA65" s="670">
        <f t="shared" si="4"/>
        <v>75.844999999999999</v>
      </c>
      <c r="AB65" s="432">
        <f t="shared" si="5"/>
        <v>12.220032252284536</v>
      </c>
      <c r="AC65" s="670">
        <f t="shared" si="1"/>
        <v>36.667347540909169</v>
      </c>
      <c r="AD65" s="985">
        <v>31</v>
      </c>
      <c r="AE65" s="432">
        <f t="shared" si="10"/>
        <v>192.40497500000001</v>
      </c>
      <c r="AF65" s="449"/>
    </row>
    <row r="66" spans="1:32" ht="18.75" customHeight="1" x14ac:dyDescent="0.2">
      <c r="A66" s="985">
        <v>52</v>
      </c>
      <c r="B66" s="461" t="s">
        <v>169</v>
      </c>
      <c r="C66" s="985" t="s">
        <v>46</v>
      </c>
      <c r="D66" s="985">
        <v>647.37</v>
      </c>
      <c r="E66" s="985" t="s">
        <v>463</v>
      </c>
      <c r="F66" s="985">
        <v>177.8</v>
      </c>
      <c r="G66" s="985" t="s">
        <v>28</v>
      </c>
      <c r="H66" s="985" t="s">
        <v>464</v>
      </c>
      <c r="I66" s="984">
        <v>539.76999999999987</v>
      </c>
      <c r="J66" s="985">
        <v>255</v>
      </c>
      <c r="K66" s="985"/>
      <c r="L66" s="985">
        <v>431</v>
      </c>
      <c r="M66" s="985"/>
      <c r="N66" s="985">
        <v>3.6</v>
      </c>
      <c r="O66" s="985"/>
      <c r="P66" s="668">
        <v>17.453467031976455</v>
      </c>
      <c r="Q66" s="668">
        <v>42.9</v>
      </c>
      <c r="R66" s="432">
        <v>2.6111935483870963</v>
      </c>
      <c r="S66" s="432">
        <v>6.9781612903225803</v>
      </c>
      <c r="T66" s="670">
        <v>24</v>
      </c>
      <c r="U66" s="668">
        <f t="shared" si="8"/>
        <v>9.191199179710182</v>
      </c>
      <c r="V66" s="668">
        <f t="shared" si="3"/>
        <v>62.580493058990506</v>
      </c>
      <c r="W66" s="668">
        <v>0.2</v>
      </c>
      <c r="X66" s="432">
        <f t="shared" si="7"/>
        <v>0.16266110233852168</v>
      </c>
      <c r="Y66" s="432">
        <f t="shared" si="4"/>
        <v>2.5720256451612897</v>
      </c>
      <c r="Z66" s="432">
        <f t="shared" si="4"/>
        <v>6.8734888709677415</v>
      </c>
      <c r="AA66" s="670">
        <f t="shared" si="4"/>
        <v>23.64</v>
      </c>
      <c r="AB66" s="432">
        <f t="shared" si="5"/>
        <v>9.191199179710182</v>
      </c>
      <c r="AC66" s="670">
        <f t="shared" si="1"/>
        <v>62.580493058990506</v>
      </c>
      <c r="AD66" s="985">
        <v>31</v>
      </c>
      <c r="AE66" s="432">
        <f>Y66*AD66</f>
        <v>79.732794999999982</v>
      </c>
      <c r="AF66" s="449"/>
    </row>
    <row r="67" spans="1:32" ht="18.75" customHeight="1" x14ac:dyDescent="0.2">
      <c r="A67" s="985">
        <v>53</v>
      </c>
      <c r="B67" s="461" t="s">
        <v>62</v>
      </c>
      <c r="C67" s="985" t="s">
        <v>46</v>
      </c>
      <c r="D67" s="985">
        <v>673.73</v>
      </c>
      <c r="E67" s="985" t="s">
        <v>97</v>
      </c>
      <c r="F67" s="985">
        <v>177.8</v>
      </c>
      <c r="G67" s="985" t="s">
        <v>28</v>
      </c>
      <c r="H67" s="985" t="s">
        <v>218</v>
      </c>
      <c r="I67" s="984">
        <v>543</v>
      </c>
      <c r="J67" s="985">
        <v>255</v>
      </c>
      <c r="K67" s="985"/>
      <c r="L67" s="985">
        <v>423</v>
      </c>
      <c r="M67" s="985"/>
      <c r="N67" s="985">
        <v>2</v>
      </c>
      <c r="O67" s="985"/>
      <c r="P67" s="668">
        <v>15.874407887512124</v>
      </c>
      <c r="Q67" s="668">
        <f t="shared" si="9"/>
        <v>81.599999999999994</v>
      </c>
      <c r="R67" s="432">
        <v>7.7470645161290319</v>
      </c>
      <c r="S67" s="432">
        <v>12.490354838709678</v>
      </c>
      <c r="T67" s="670">
        <v>112</v>
      </c>
      <c r="U67" s="668">
        <f t="shared" si="8"/>
        <v>14.457088845306652</v>
      </c>
      <c r="V67" s="668">
        <f t="shared" si="3"/>
        <v>37.975625062951806</v>
      </c>
      <c r="W67" s="668">
        <v>0.2</v>
      </c>
      <c r="X67" s="432">
        <f t="shared" si="7"/>
        <v>0.15306807400379507</v>
      </c>
      <c r="Y67" s="432">
        <f t="shared" si="4"/>
        <v>7.6308585483870965</v>
      </c>
      <c r="Z67" s="432">
        <f t="shared" si="4"/>
        <v>12.302999516129033</v>
      </c>
      <c r="AA67" s="670">
        <f t="shared" si="4"/>
        <v>110.32</v>
      </c>
      <c r="AB67" s="432">
        <f t="shared" si="5"/>
        <v>14.457088845306652</v>
      </c>
      <c r="AC67" s="670">
        <f t="shared" si="1"/>
        <v>37.975625062951806</v>
      </c>
      <c r="AD67" s="985">
        <v>31</v>
      </c>
      <c r="AE67" s="432">
        <f t="shared" si="10"/>
        <v>236.55661499999999</v>
      </c>
      <c r="AF67" s="669"/>
    </row>
    <row r="68" spans="1:32" ht="18.75" customHeight="1" x14ac:dyDescent="0.2">
      <c r="A68" s="985">
        <v>54</v>
      </c>
      <c r="B68" s="461" t="s">
        <v>157</v>
      </c>
      <c r="C68" s="985" t="s">
        <v>46</v>
      </c>
      <c r="D68" s="985">
        <v>676.73</v>
      </c>
      <c r="E68" s="985" t="s">
        <v>179</v>
      </c>
      <c r="F68" s="985">
        <v>177.8</v>
      </c>
      <c r="G68" s="985" t="s">
        <v>28</v>
      </c>
      <c r="H68" s="985" t="s">
        <v>218</v>
      </c>
      <c r="I68" s="984">
        <v>579.14</v>
      </c>
      <c r="J68" s="985">
        <v>220</v>
      </c>
      <c r="K68" s="985"/>
      <c r="L68" s="985">
        <v>168</v>
      </c>
      <c r="M68" s="985"/>
      <c r="N68" s="985">
        <v>8.8000000000000007</v>
      </c>
      <c r="O68" s="985"/>
      <c r="P68" s="668">
        <v>46.145170029542328</v>
      </c>
      <c r="Q68" s="668">
        <f t="shared" si="9"/>
        <v>70.400000000000006</v>
      </c>
      <c r="R68" s="432">
        <v>12.418774193548384</v>
      </c>
      <c r="S68" s="432">
        <v>46.197806451612891</v>
      </c>
      <c r="T68" s="670">
        <v>134</v>
      </c>
      <c r="U68" s="668">
        <f t="shared" si="8"/>
        <v>10.790114862513056</v>
      </c>
      <c r="V68" s="668">
        <f t="shared" si="3"/>
        <v>73.118260048654733</v>
      </c>
      <c r="W68" s="668">
        <v>0.2</v>
      </c>
      <c r="X68" s="432">
        <f t="shared" si="7"/>
        <v>0.65621884164222855</v>
      </c>
      <c r="Y68" s="432">
        <f t="shared" si="4"/>
        <v>12.232492580645157</v>
      </c>
      <c r="Z68" s="432">
        <f t="shared" si="4"/>
        <v>45.504839354838694</v>
      </c>
      <c r="AA68" s="670">
        <f t="shared" si="4"/>
        <v>131.99</v>
      </c>
      <c r="AB68" s="432">
        <f t="shared" si="5"/>
        <v>10.790114862513056</v>
      </c>
      <c r="AC68" s="670">
        <f t="shared" si="1"/>
        <v>73.118260048654733</v>
      </c>
      <c r="AD68" s="985">
        <v>31</v>
      </c>
      <c r="AE68" s="432">
        <f t="shared" si="10"/>
        <v>379.20726999999988</v>
      </c>
      <c r="AF68" s="676"/>
    </row>
    <row r="69" spans="1:32" ht="18.75" customHeight="1" x14ac:dyDescent="0.2">
      <c r="A69" s="985">
        <v>55</v>
      </c>
      <c r="B69" s="461" t="s">
        <v>159</v>
      </c>
      <c r="C69" s="985" t="s">
        <v>46</v>
      </c>
      <c r="D69" s="985">
        <v>676</v>
      </c>
      <c r="E69" s="985" t="s">
        <v>167</v>
      </c>
      <c r="F69" s="985">
        <v>177.8</v>
      </c>
      <c r="G69" s="985" t="s">
        <v>28</v>
      </c>
      <c r="H69" s="985" t="s">
        <v>342</v>
      </c>
      <c r="I69" s="984">
        <v>509.61000000000024</v>
      </c>
      <c r="J69" s="985">
        <v>300</v>
      </c>
      <c r="K69" s="985"/>
      <c r="L69" s="985">
        <v>450</v>
      </c>
      <c r="M69" s="985"/>
      <c r="N69" s="985">
        <v>8.3000000000000007</v>
      </c>
      <c r="O69" s="985"/>
      <c r="P69" s="668">
        <v>20.699407087181768</v>
      </c>
      <c r="Q69" s="668">
        <f>(20*J69)/100</f>
        <v>60</v>
      </c>
      <c r="R69" s="432">
        <v>20.32403225806452</v>
      </c>
      <c r="S69" s="432">
        <v>23.493612903225806</v>
      </c>
      <c r="T69" s="670">
        <v>688</v>
      </c>
      <c r="U69" s="668">
        <f t="shared" si="8"/>
        <v>33.851550286090671</v>
      </c>
      <c r="V69" s="668">
        <f t="shared" si="3"/>
        <v>13.491244016905057</v>
      </c>
      <c r="W69" s="668">
        <v>0.2</v>
      </c>
      <c r="X69" s="432">
        <f t="shared" si="7"/>
        <v>0.39156021505376343</v>
      </c>
      <c r="Y69" s="432">
        <f t="shared" si="4"/>
        <v>20.019171774193552</v>
      </c>
      <c r="Z69" s="432">
        <f t="shared" si="4"/>
        <v>23.141208709677418</v>
      </c>
      <c r="AA69" s="670">
        <f t="shared" si="4"/>
        <v>677.68</v>
      </c>
      <c r="AB69" s="432">
        <f t="shared" si="5"/>
        <v>33.851550286090671</v>
      </c>
      <c r="AC69" s="670">
        <f t="shared" si="1"/>
        <v>13.491244016905057</v>
      </c>
      <c r="AD69" s="985">
        <v>31</v>
      </c>
      <c r="AE69" s="432">
        <f t="shared" si="10"/>
        <v>620.59432500000014</v>
      </c>
      <c r="AF69" s="669"/>
    </row>
    <row r="70" spans="1:32" ht="18.75" customHeight="1" x14ac:dyDescent="0.2">
      <c r="A70" s="985">
        <v>56</v>
      </c>
      <c r="B70" s="461" t="s">
        <v>330</v>
      </c>
      <c r="C70" s="985" t="s">
        <v>46</v>
      </c>
      <c r="D70" s="985">
        <v>595</v>
      </c>
      <c r="E70" s="985" t="s">
        <v>367</v>
      </c>
      <c r="F70" s="985">
        <v>178.8</v>
      </c>
      <c r="G70" s="985" t="s">
        <v>28</v>
      </c>
      <c r="H70" s="1009" t="s">
        <v>491</v>
      </c>
      <c r="I70" s="984">
        <v>496.87000000000006</v>
      </c>
      <c r="J70" s="985">
        <v>250</v>
      </c>
      <c r="K70" s="985"/>
      <c r="L70" s="985">
        <v>384</v>
      </c>
      <c r="M70" s="985"/>
      <c r="N70" s="985">
        <v>9.9</v>
      </c>
      <c r="O70" s="985"/>
      <c r="P70" s="668">
        <v>23.597375210445296</v>
      </c>
      <c r="Q70" s="668">
        <f>J70*23/100</f>
        <v>57.5</v>
      </c>
      <c r="R70" s="432">
        <v>21.742419354838713</v>
      </c>
      <c r="S70" s="432">
        <v>23.461451612903229</v>
      </c>
      <c r="T70" s="670">
        <v>554</v>
      </c>
      <c r="U70" s="668">
        <f t="shared" si="8"/>
        <v>25.48014510062832</v>
      </c>
      <c r="V70" s="668">
        <f t="shared" si="3"/>
        <v>7.3270498621623643</v>
      </c>
      <c r="W70" s="668">
        <v>0.2</v>
      </c>
      <c r="X70" s="432">
        <f t="shared" si="7"/>
        <v>0.4080252454417953</v>
      </c>
      <c r="Y70" s="432">
        <f t="shared" si="4"/>
        <v>21.416283064516133</v>
      </c>
      <c r="Z70" s="432">
        <f t="shared" si="4"/>
        <v>23.10952983870968</v>
      </c>
      <c r="AA70" s="670">
        <f t="shared" si="4"/>
        <v>545.68999999999994</v>
      </c>
      <c r="AB70" s="432">
        <v>20</v>
      </c>
      <c r="AC70" s="670">
        <v>17</v>
      </c>
      <c r="AD70" s="985">
        <v>31</v>
      </c>
      <c r="AE70" s="432">
        <f t="shared" si="10"/>
        <v>663.90477500000009</v>
      </c>
      <c r="AF70" s="669"/>
    </row>
    <row r="71" spans="1:32" ht="18.75" customHeight="1" x14ac:dyDescent="0.2">
      <c r="A71" s="985">
        <v>57</v>
      </c>
      <c r="B71" s="461" t="s">
        <v>210</v>
      </c>
      <c r="C71" s="985" t="s">
        <v>46</v>
      </c>
      <c r="D71" s="985">
        <v>728.32</v>
      </c>
      <c r="E71" s="985" t="s">
        <v>226</v>
      </c>
      <c r="F71" s="985">
        <v>177.8</v>
      </c>
      <c r="G71" s="985" t="s">
        <v>28</v>
      </c>
      <c r="H71" s="985" t="s">
        <v>218</v>
      </c>
      <c r="I71" s="984">
        <v>519.38</v>
      </c>
      <c r="J71" s="985">
        <v>320</v>
      </c>
      <c r="K71" s="985"/>
      <c r="L71" s="985">
        <v>181</v>
      </c>
      <c r="M71" s="985"/>
      <c r="N71" s="985">
        <v>10.7</v>
      </c>
      <c r="O71" s="985"/>
      <c r="P71" s="668">
        <v>45.492329220094319</v>
      </c>
      <c r="Q71" s="668">
        <f t="shared" si="9"/>
        <v>102.4</v>
      </c>
      <c r="R71" s="432">
        <v>5.9176774193548392</v>
      </c>
      <c r="S71" s="432">
        <v>26.777806451612911</v>
      </c>
      <c r="T71" s="670">
        <v>164</v>
      </c>
      <c r="U71" s="668">
        <f t="shared" si="8"/>
        <v>27.713575509136103</v>
      </c>
      <c r="V71" s="668">
        <f t="shared" si="3"/>
        <v>77.90081338421804</v>
      </c>
      <c r="W71" s="668">
        <v>0.2</v>
      </c>
      <c r="X71" s="432">
        <f t="shared" si="7"/>
        <v>0.26150201612903229</v>
      </c>
      <c r="Y71" s="432">
        <f t="shared" si="4"/>
        <v>5.8289122580645163</v>
      </c>
      <c r="Z71" s="432">
        <f t="shared" si="4"/>
        <v>26.376139354838717</v>
      </c>
      <c r="AA71" s="670">
        <f t="shared" si="4"/>
        <v>161.54</v>
      </c>
      <c r="AB71" s="432">
        <f t="shared" si="5"/>
        <v>27.713575509136103</v>
      </c>
      <c r="AC71" s="670">
        <f t="shared" si="1"/>
        <v>77.90081338421804</v>
      </c>
      <c r="AD71" s="985">
        <v>31</v>
      </c>
      <c r="AE71" s="432">
        <f t="shared" si="10"/>
        <v>180.69628</v>
      </c>
      <c r="AF71" s="449"/>
    </row>
    <row r="72" spans="1:32" ht="18.75" customHeight="1" x14ac:dyDescent="0.2">
      <c r="A72" s="985">
        <v>58</v>
      </c>
      <c r="B72" s="461" t="s">
        <v>63</v>
      </c>
      <c r="C72" s="985" t="s">
        <v>46</v>
      </c>
      <c r="D72" s="985">
        <v>672.99</v>
      </c>
      <c r="E72" s="985" t="s">
        <v>98</v>
      </c>
      <c r="F72" s="985">
        <v>177.8</v>
      </c>
      <c r="G72" s="985" t="s">
        <v>28</v>
      </c>
      <c r="H72" s="985" t="s">
        <v>310</v>
      </c>
      <c r="I72" s="984">
        <v>536.32000000000005</v>
      </c>
      <c r="J72" s="985">
        <v>310</v>
      </c>
      <c r="K72" s="985"/>
      <c r="L72" s="985">
        <v>451</v>
      </c>
      <c r="M72" s="985"/>
      <c r="N72" s="985">
        <v>9.3000000000000007</v>
      </c>
      <c r="O72" s="985"/>
      <c r="P72" s="668">
        <v>22.188402637371311</v>
      </c>
      <c r="Q72" s="668">
        <f t="shared" si="9"/>
        <v>68.2</v>
      </c>
      <c r="R72" s="432">
        <v>13.028419354838711</v>
      </c>
      <c r="S72" s="432">
        <v>17.82845161290323</v>
      </c>
      <c r="T72" s="670">
        <v>460</v>
      </c>
      <c r="U72" s="668">
        <f t="shared" si="8"/>
        <v>35.307429663688062</v>
      </c>
      <c r="V72" s="668">
        <f t="shared" si="3"/>
        <v>26.923438794822346</v>
      </c>
      <c r="W72" s="668">
        <v>0.2</v>
      </c>
      <c r="X72" s="432">
        <f t="shared" si="7"/>
        <v>0.26141424652350775</v>
      </c>
      <c r="Y72" s="432">
        <f t="shared" si="4"/>
        <v>12.832993064516129</v>
      </c>
      <c r="Z72" s="432">
        <f t="shared" si="4"/>
        <v>17.561024838709681</v>
      </c>
      <c r="AA72" s="670">
        <f t="shared" si="4"/>
        <v>453.09999999999997</v>
      </c>
      <c r="AB72" s="432">
        <f t="shared" si="5"/>
        <v>35.307429663688062</v>
      </c>
      <c r="AC72" s="670">
        <f t="shared" si="1"/>
        <v>26.923438794822346</v>
      </c>
      <c r="AD72" s="985">
        <v>31</v>
      </c>
      <c r="AE72" s="432">
        <f t="shared" si="10"/>
        <v>397.82278500000001</v>
      </c>
      <c r="AF72" s="449"/>
    </row>
    <row r="73" spans="1:32" ht="18.75" customHeight="1" x14ac:dyDescent="0.2">
      <c r="A73" s="985">
        <v>59</v>
      </c>
      <c r="B73" s="461" t="s">
        <v>217</v>
      </c>
      <c r="C73" s="985" t="s">
        <v>46</v>
      </c>
      <c r="D73" s="985">
        <v>684.57</v>
      </c>
      <c r="E73" s="985" t="s">
        <v>359</v>
      </c>
      <c r="F73" s="985">
        <v>177.8</v>
      </c>
      <c r="G73" s="985" t="s">
        <v>28</v>
      </c>
      <c r="H73" s="985" t="s">
        <v>219</v>
      </c>
      <c r="I73" s="984">
        <v>555.95000000000005</v>
      </c>
      <c r="J73" s="985">
        <v>347</v>
      </c>
      <c r="K73" s="985"/>
      <c r="L73" s="985">
        <v>208</v>
      </c>
      <c r="M73" s="985"/>
      <c r="N73" s="985">
        <v>9</v>
      </c>
      <c r="O73" s="985"/>
      <c r="P73" s="668">
        <v>41.438378105169761</v>
      </c>
      <c r="Q73" s="668">
        <f t="shared" si="9"/>
        <v>41.64</v>
      </c>
      <c r="R73" s="432">
        <v>3.2122903225806452</v>
      </c>
      <c r="S73" s="432">
        <v>15.055193548387095</v>
      </c>
      <c r="T73" s="670">
        <v>39</v>
      </c>
      <c r="U73" s="668">
        <f t="shared" si="8"/>
        <v>12.140870246332131</v>
      </c>
      <c r="V73" s="668">
        <f t="shared" si="3"/>
        <v>78.663241277792878</v>
      </c>
      <c r="W73" s="668">
        <v>0.3</v>
      </c>
      <c r="X73" s="432">
        <f t="shared" si="7"/>
        <v>0.3615560410275479</v>
      </c>
      <c r="Y73" s="432">
        <f t="shared" si="4"/>
        <v>3.1641059677419356</v>
      </c>
      <c r="Z73" s="432">
        <f t="shared" si="4"/>
        <v>14.829365645161289</v>
      </c>
      <c r="AA73" s="670">
        <f t="shared" si="4"/>
        <v>38.414999999999999</v>
      </c>
      <c r="AB73" s="432">
        <f t="shared" si="5"/>
        <v>12.140870246332131</v>
      </c>
      <c r="AC73" s="670">
        <f t="shared" si="1"/>
        <v>78.663241277792878</v>
      </c>
      <c r="AD73" s="985">
        <v>31</v>
      </c>
      <c r="AE73" s="432">
        <f t="shared" si="10"/>
        <v>98.087285000000008</v>
      </c>
      <c r="AF73" s="449"/>
    </row>
    <row r="74" spans="1:32" ht="18.75" customHeight="1" x14ac:dyDescent="0.2">
      <c r="A74" s="985">
        <v>60</v>
      </c>
      <c r="B74" s="461" t="s">
        <v>211</v>
      </c>
      <c r="C74" s="985" t="s">
        <v>46</v>
      </c>
      <c r="D74" s="985">
        <v>675.29</v>
      </c>
      <c r="E74" s="985" t="s">
        <v>224</v>
      </c>
      <c r="F74" s="985">
        <v>177.8</v>
      </c>
      <c r="G74" s="985" t="s">
        <v>28</v>
      </c>
      <c r="H74" s="985" t="s">
        <v>384</v>
      </c>
      <c r="I74" s="984">
        <v>554.95999999999981</v>
      </c>
      <c r="J74" s="985">
        <v>200</v>
      </c>
      <c r="K74" s="985"/>
      <c r="L74" s="985">
        <v>423</v>
      </c>
      <c r="M74" s="985"/>
      <c r="N74" s="985">
        <v>0</v>
      </c>
      <c r="O74" s="985"/>
      <c r="P74" s="668">
        <v>15.428088037686818</v>
      </c>
      <c r="Q74" s="668">
        <f>(22*J74)/100</f>
        <v>44</v>
      </c>
      <c r="R74" s="432">
        <v>2.1165483870967741</v>
      </c>
      <c r="S74" s="432">
        <v>5.0050322580645155</v>
      </c>
      <c r="T74" s="670">
        <v>0</v>
      </c>
      <c r="U74" s="668">
        <f t="shared" si="8"/>
        <v>0</v>
      </c>
      <c r="V74" s="668">
        <f t="shared" si="3"/>
        <v>57.711593493000592</v>
      </c>
      <c r="W74" s="668">
        <v>0.4</v>
      </c>
      <c r="X74" s="432">
        <f t="shared" si="7"/>
        <v>0.11375073313782989</v>
      </c>
      <c r="Y74" s="432">
        <f t="shared" si="4"/>
        <v>2.0848001612903224</v>
      </c>
      <c r="Z74" s="432">
        <f t="shared" si="4"/>
        <v>4.9299567741935473</v>
      </c>
      <c r="AA74" s="670">
        <f t="shared" si="4"/>
        <v>0</v>
      </c>
      <c r="AB74" s="432">
        <f t="shared" si="5"/>
        <v>0</v>
      </c>
      <c r="AC74" s="670">
        <f t="shared" si="1"/>
        <v>57.711593493000592</v>
      </c>
      <c r="AD74" s="985">
        <v>31</v>
      </c>
      <c r="AE74" s="432">
        <f t="shared" si="10"/>
        <v>64.628805</v>
      </c>
      <c r="AF74" s="449"/>
    </row>
    <row r="75" spans="1:32" ht="18.600000000000001" customHeight="1" x14ac:dyDescent="0.2">
      <c r="A75" s="985">
        <v>61</v>
      </c>
      <c r="B75" s="461" t="s">
        <v>341</v>
      </c>
      <c r="C75" s="985" t="s">
        <v>46</v>
      </c>
      <c r="D75" s="985">
        <v>683.16</v>
      </c>
      <c r="E75" s="985" t="s">
        <v>343</v>
      </c>
      <c r="F75" s="985">
        <v>177.8</v>
      </c>
      <c r="G75" s="985" t="s">
        <v>28</v>
      </c>
      <c r="H75" s="985" t="s">
        <v>342</v>
      </c>
      <c r="I75" s="984">
        <v>571.9</v>
      </c>
      <c r="J75" s="985">
        <v>245</v>
      </c>
      <c r="K75" s="985"/>
      <c r="L75" s="985">
        <v>286</v>
      </c>
      <c r="M75" s="985"/>
      <c r="N75" s="985">
        <v>9.9</v>
      </c>
      <c r="O75" s="985"/>
      <c r="P75" s="668">
        <v>33.844362638741266</v>
      </c>
      <c r="Q75" s="668">
        <f>(20*J75)/100</f>
        <v>49</v>
      </c>
      <c r="R75" s="432">
        <v>27.793838709677416</v>
      </c>
      <c r="S75" s="432">
        <v>36.001967741935481</v>
      </c>
      <c r="T75" s="670">
        <v>507</v>
      </c>
      <c r="U75" s="668">
        <f t="shared" si="8"/>
        <v>18.241452909614456</v>
      </c>
      <c r="V75" s="668">
        <f t="shared" si="3"/>
        <v>22.799112234904726</v>
      </c>
      <c r="W75" s="668">
        <v>0.2</v>
      </c>
      <c r="X75" s="432">
        <f t="shared" si="7"/>
        <v>0.73473403554970373</v>
      </c>
      <c r="Y75" s="432">
        <f t="shared" si="4"/>
        <v>27.376931129032254</v>
      </c>
      <c r="Z75" s="432">
        <f t="shared" si="4"/>
        <v>35.461938225806449</v>
      </c>
      <c r="AA75" s="670">
        <f t="shared" si="4"/>
        <v>499.39499999999998</v>
      </c>
      <c r="AB75" s="432">
        <f t="shared" si="5"/>
        <v>18.241452909614456</v>
      </c>
      <c r="AC75" s="670">
        <f t="shared" si="1"/>
        <v>22.799112234904726</v>
      </c>
      <c r="AD75" s="985">
        <v>31</v>
      </c>
      <c r="AE75" s="432">
        <f t="shared" si="10"/>
        <v>848.68486499999983</v>
      </c>
      <c r="AF75" s="449"/>
    </row>
    <row r="76" spans="1:32" ht="18.75" customHeight="1" x14ac:dyDescent="0.2">
      <c r="A76" s="985">
        <v>62</v>
      </c>
      <c r="B76" s="461" t="s">
        <v>354</v>
      </c>
      <c r="C76" s="985" t="s">
        <v>46</v>
      </c>
      <c r="D76" s="985">
        <v>634.29</v>
      </c>
      <c r="E76" s="832" t="s">
        <v>356</v>
      </c>
      <c r="F76" s="985">
        <v>178.8</v>
      </c>
      <c r="G76" s="985" t="s">
        <v>28</v>
      </c>
      <c r="H76" s="985" t="s">
        <v>49</v>
      </c>
      <c r="I76" s="984">
        <v>539.22</v>
      </c>
      <c r="J76" s="985">
        <v>230</v>
      </c>
      <c r="K76" s="985"/>
      <c r="L76" s="985">
        <v>294</v>
      </c>
      <c r="M76" s="985"/>
      <c r="N76" s="985">
        <v>11</v>
      </c>
      <c r="O76" s="985"/>
      <c r="P76" s="668">
        <v>31.539046577917098</v>
      </c>
      <c r="Q76" s="668">
        <f t="shared" ref="Q76:Q78" si="11">LEFT(H76,(FIND("K",H76,1)-1))*J76/100</f>
        <v>73.599999999999994</v>
      </c>
      <c r="R76" s="432">
        <v>16.657645161290326</v>
      </c>
      <c r="S76" s="432">
        <v>59.596548387096789</v>
      </c>
      <c r="T76" s="670">
        <v>197</v>
      </c>
      <c r="U76" s="668">
        <f t="shared" si="8"/>
        <v>11.826401516691936</v>
      </c>
      <c r="V76" s="668">
        <f t="shared" si="3"/>
        <v>72.049312230141055</v>
      </c>
      <c r="W76" s="668">
        <v>0.2</v>
      </c>
      <c r="X76" s="432">
        <f t="shared" si="7"/>
        <v>0.8097357117812064</v>
      </c>
      <c r="Y76" s="432">
        <f t="shared" si="4"/>
        <v>16.407780483870969</v>
      </c>
      <c r="Z76" s="432">
        <f t="shared" si="4"/>
        <v>58.702600161290334</v>
      </c>
      <c r="AA76" s="670">
        <f t="shared" si="4"/>
        <v>194.04499999999999</v>
      </c>
      <c r="AB76" s="432">
        <f t="shared" si="5"/>
        <v>11.826401516691936</v>
      </c>
      <c r="AC76" s="670">
        <f t="shared" si="1"/>
        <v>72.049312230141055</v>
      </c>
      <c r="AD76" s="985">
        <v>31</v>
      </c>
      <c r="AE76" s="432">
        <f t="shared" si="10"/>
        <v>508.64119500000004</v>
      </c>
      <c r="AF76" s="449"/>
    </row>
    <row r="77" spans="1:32" ht="18.75" customHeight="1" x14ac:dyDescent="0.2">
      <c r="A77" s="1009">
        <v>63</v>
      </c>
      <c r="B77" s="461" t="s">
        <v>213</v>
      </c>
      <c r="C77" s="1009" t="s">
        <v>46</v>
      </c>
      <c r="D77" s="1009">
        <v>690.8</v>
      </c>
      <c r="E77" s="1009" t="s">
        <v>497</v>
      </c>
      <c r="F77" s="1009">
        <v>177.8</v>
      </c>
      <c r="G77" s="1009" t="s">
        <v>28</v>
      </c>
      <c r="H77" s="1009" t="s">
        <v>487</v>
      </c>
      <c r="I77" s="1007">
        <v>605.00000000000011</v>
      </c>
      <c r="J77" s="1009">
        <v>85</v>
      </c>
      <c r="K77" s="1009"/>
      <c r="L77" s="1009">
        <v>386</v>
      </c>
      <c r="M77" s="1009"/>
      <c r="N77" s="1009">
        <v>9.1999999999999993</v>
      </c>
      <c r="O77" s="1009"/>
      <c r="P77" s="668">
        <v>36.537390831462979</v>
      </c>
      <c r="Q77" s="668">
        <f t="shared" si="11"/>
        <v>12.75</v>
      </c>
      <c r="R77" s="432">
        <v>5.8241666666666667</v>
      </c>
      <c r="S77" s="432">
        <v>10.936</v>
      </c>
      <c r="T77" s="670">
        <v>0</v>
      </c>
      <c r="U77" s="668">
        <f t="shared" ref="U77" si="12">T77/R77</f>
        <v>0</v>
      </c>
      <c r="V77" s="668">
        <f t="shared" ref="V77" si="13">(S77-R77)/S77*100</f>
        <v>46.743172396976348</v>
      </c>
      <c r="W77" s="668">
        <v>0.2</v>
      </c>
      <c r="X77" s="432">
        <f t="shared" ref="X77" si="14">S77/Q77</f>
        <v>0.85772549019607847</v>
      </c>
      <c r="Y77" s="432">
        <f t="shared" si="4"/>
        <v>5.7368041666666665</v>
      </c>
      <c r="Z77" s="432">
        <f t="shared" si="4"/>
        <v>10.77196</v>
      </c>
      <c r="AA77" s="670">
        <f t="shared" si="4"/>
        <v>0</v>
      </c>
      <c r="AB77" s="432">
        <f t="shared" si="5"/>
        <v>0</v>
      </c>
      <c r="AC77" s="670">
        <f>V77</f>
        <v>46.743172396976348</v>
      </c>
      <c r="AD77" s="1009">
        <v>31</v>
      </c>
      <c r="AE77" s="432">
        <f t="shared" si="10"/>
        <v>177.84092916666665</v>
      </c>
      <c r="AF77" s="669"/>
    </row>
    <row r="78" spans="1:32" ht="18.75" customHeight="1" x14ac:dyDescent="0.2">
      <c r="A78" s="985">
        <v>64</v>
      </c>
      <c r="B78" s="461" t="s">
        <v>172</v>
      </c>
      <c r="C78" s="985" t="s">
        <v>46</v>
      </c>
      <c r="D78" s="985">
        <v>673</v>
      </c>
      <c r="E78" s="985" t="s">
        <v>173</v>
      </c>
      <c r="F78" s="985">
        <v>177.8</v>
      </c>
      <c r="G78" s="985" t="s">
        <v>28</v>
      </c>
      <c r="H78" s="985" t="s">
        <v>487</v>
      </c>
      <c r="I78" s="984">
        <v>555.56000000000006</v>
      </c>
      <c r="J78" s="985">
        <v>135</v>
      </c>
      <c r="K78" s="985"/>
      <c r="L78" s="985">
        <v>232</v>
      </c>
      <c r="M78" s="985"/>
      <c r="N78" s="985">
        <v>7.1</v>
      </c>
      <c r="O78" s="985"/>
      <c r="P78" s="448">
        <v>41.747635027370904</v>
      </c>
      <c r="Q78" s="668">
        <f t="shared" si="11"/>
        <v>20.25</v>
      </c>
      <c r="R78" s="432">
        <v>1.4291612903225801</v>
      </c>
      <c r="S78" s="432">
        <v>7.1377419354838709</v>
      </c>
      <c r="T78" s="670">
        <v>18</v>
      </c>
      <c r="U78" s="668">
        <f t="shared" si="8"/>
        <v>12.594799566630558</v>
      </c>
      <c r="V78" s="668">
        <f t="shared" si="3"/>
        <v>79.977403172594578</v>
      </c>
      <c r="W78" s="668">
        <v>0.4</v>
      </c>
      <c r="X78" s="432">
        <f t="shared" si="7"/>
        <v>0.35248108323377142</v>
      </c>
      <c r="Y78" s="432">
        <f t="shared" si="4"/>
        <v>1.4077238709677413</v>
      </c>
      <c r="Z78" s="432">
        <f t="shared" si="4"/>
        <v>7.0306758064516126</v>
      </c>
      <c r="AA78" s="670">
        <f t="shared" si="4"/>
        <v>17.73</v>
      </c>
      <c r="AB78" s="432">
        <f t="shared" si="5"/>
        <v>12.594799566630558</v>
      </c>
      <c r="AC78" s="670">
        <f t="shared" si="1"/>
        <v>79.977403172594578</v>
      </c>
      <c r="AD78" s="985">
        <v>31</v>
      </c>
      <c r="AE78" s="432">
        <f>Y78*AD78</f>
        <v>43.639439999999979</v>
      </c>
      <c r="AF78" s="449"/>
    </row>
    <row r="79" spans="1:32" ht="18.75" customHeight="1" x14ac:dyDescent="0.25">
      <c r="A79" s="869"/>
      <c r="B79" s="1009"/>
      <c r="C79" s="985"/>
      <c r="D79" s="984"/>
      <c r="E79" s="984"/>
      <c r="F79" s="461"/>
      <c r="G79" s="985"/>
      <c r="H79" s="985"/>
      <c r="I79" s="984"/>
      <c r="J79" s="984"/>
      <c r="K79" s="984"/>
      <c r="L79" s="984"/>
      <c r="M79" s="984"/>
      <c r="N79" s="985"/>
      <c r="O79" s="984"/>
      <c r="P79" s="668"/>
      <c r="Q79" s="448"/>
      <c r="R79" s="466">
        <f>SUM(R15:R78)</f>
        <v>386.74578976235648</v>
      </c>
      <c r="S79" s="466">
        <f>SUM(S15:S78)</f>
        <v>884.20896811121406</v>
      </c>
      <c r="T79" s="512">
        <f>SUM(T15:T78)</f>
        <v>11068</v>
      </c>
      <c r="U79" s="466">
        <f>T79/R79</f>
        <v>28.618281809353242</v>
      </c>
      <c r="V79" s="466"/>
      <c r="W79" s="466"/>
      <c r="X79" s="466"/>
      <c r="Y79" s="466">
        <f>SUM(Y15:Y78)</f>
        <v>380.94460291592122</v>
      </c>
      <c r="Z79" s="466">
        <f>SUM(Z15:Z78)</f>
        <v>870.94583358954583</v>
      </c>
      <c r="AA79" s="678">
        <f>SUM(AA15:AA78)</f>
        <v>10901.980000000003</v>
      </c>
      <c r="AB79" s="466">
        <f>AA79/Y79</f>
        <v>28.618281809353245</v>
      </c>
      <c r="AC79" s="466"/>
      <c r="AD79" s="980"/>
      <c r="AE79" s="466">
        <f>SUM(AE15:AE78)</f>
        <v>11809.282690393557</v>
      </c>
      <c r="AF79" s="669"/>
    </row>
    <row r="80" spans="1:32" ht="18.75" customHeight="1" x14ac:dyDescent="0.25">
      <c r="A80" s="869"/>
      <c r="B80" s="1009"/>
      <c r="C80" s="985"/>
      <c r="D80" s="984"/>
      <c r="E80" s="984"/>
      <c r="F80" s="461"/>
      <c r="G80" s="985"/>
      <c r="H80" s="985"/>
      <c r="I80" s="984"/>
      <c r="J80" s="984"/>
      <c r="K80" s="984"/>
      <c r="L80" s="984"/>
      <c r="M80" s="984"/>
      <c r="N80" s="985"/>
      <c r="O80" s="984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980"/>
      <c r="AE80" s="466"/>
      <c r="AF80" s="669"/>
    </row>
    <row r="81" spans="1:32" ht="18.75" customHeight="1" x14ac:dyDescent="0.25">
      <c r="A81" s="869"/>
      <c r="B81" s="1009"/>
      <c r="C81" s="985"/>
      <c r="D81" s="984"/>
      <c r="E81" s="977" t="s">
        <v>388</v>
      </c>
      <c r="F81" s="461"/>
      <c r="G81" s="985"/>
      <c r="H81" s="985"/>
      <c r="I81" s="984"/>
      <c r="J81" s="984"/>
      <c r="K81" s="984"/>
      <c r="L81" s="984"/>
      <c r="M81" s="984"/>
      <c r="N81" s="985"/>
      <c r="O81" s="984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980"/>
      <c r="AE81" s="466"/>
      <c r="AF81" s="669"/>
    </row>
    <row r="82" spans="1:32" ht="18.75" customHeight="1" x14ac:dyDescent="0.2">
      <c r="A82" s="985">
        <v>65</v>
      </c>
      <c r="B82" s="461" t="s">
        <v>423</v>
      </c>
      <c r="C82" s="985" t="s">
        <v>445</v>
      </c>
      <c r="D82" s="984">
        <v>683.8</v>
      </c>
      <c r="E82" s="984" t="s">
        <v>473</v>
      </c>
      <c r="F82" s="985">
        <v>177.8</v>
      </c>
      <c r="G82" s="985" t="s">
        <v>28</v>
      </c>
      <c r="H82" s="985" t="s">
        <v>48</v>
      </c>
      <c r="I82" s="984">
        <v>590.46</v>
      </c>
      <c r="J82" s="984">
        <v>280</v>
      </c>
      <c r="K82" s="984"/>
      <c r="L82" s="984">
        <v>548</v>
      </c>
      <c r="M82" s="984"/>
      <c r="N82" s="985">
        <v>28.2</v>
      </c>
      <c r="O82" s="984"/>
      <c r="P82" s="668">
        <v>48.498811966153276</v>
      </c>
      <c r="Q82" s="668">
        <f t="shared" ref="Q82:Q84" si="15">LEFT(H82,(FIND("K",H82,1)-1))*J82/100</f>
        <v>36.4</v>
      </c>
      <c r="R82" s="432">
        <v>23.997599999999995</v>
      </c>
      <c r="S82" s="432">
        <v>24.063433333333339</v>
      </c>
      <c r="T82" s="492">
        <v>795</v>
      </c>
      <c r="U82" s="668">
        <f t="shared" ref="U82:U83" si="16">T82/R82</f>
        <v>33.128312831283132</v>
      </c>
      <c r="V82" s="668">
        <f t="shared" ref="V82:V84" si="17">(S82-R82)/S82*100</f>
        <v>0.27358246190974894</v>
      </c>
      <c r="W82" s="668">
        <v>0.2</v>
      </c>
      <c r="X82" s="432">
        <f t="shared" ref="X82:X83" si="18">S82/Q82</f>
        <v>0.66108333333333358</v>
      </c>
      <c r="Y82" s="432">
        <f t="shared" ref="Y82:AA84" si="19">R82*0.985</f>
        <v>23.637635999999993</v>
      </c>
      <c r="Z82" s="432">
        <f t="shared" si="19"/>
        <v>23.702481833333341</v>
      </c>
      <c r="AA82" s="670">
        <f t="shared" si="19"/>
        <v>783.07500000000005</v>
      </c>
      <c r="AB82" s="432">
        <f t="shared" ref="AB82:AC84" si="20">U82</f>
        <v>33.128312831283132</v>
      </c>
      <c r="AC82" s="668">
        <f t="shared" si="20"/>
        <v>0.27358246190974894</v>
      </c>
      <c r="AD82" s="985">
        <v>31</v>
      </c>
      <c r="AE82" s="432">
        <f>Y82*AD82</f>
        <v>732.76671599999975</v>
      </c>
      <c r="AF82" s="669"/>
    </row>
    <row r="83" spans="1:32" ht="18.600000000000001" customHeight="1" x14ac:dyDescent="0.2">
      <c r="A83" s="985">
        <v>66</v>
      </c>
      <c r="B83" s="461" t="s">
        <v>451</v>
      </c>
      <c r="C83" s="985" t="s">
        <v>445</v>
      </c>
      <c r="D83" s="984">
        <v>683.2700000000001</v>
      </c>
      <c r="E83" s="984" t="s">
        <v>475</v>
      </c>
      <c r="F83" s="985">
        <v>177.8</v>
      </c>
      <c r="G83" s="985" t="s">
        <v>28</v>
      </c>
      <c r="H83" s="985" t="s">
        <v>218</v>
      </c>
      <c r="I83" s="984">
        <v>618.30999999999995</v>
      </c>
      <c r="J83" s="984">
        <v>270</v>
      </c>
      <c r="K83" s="984"/>
      <c r="L83" s="984">
        <v>570</v>
      </c>
      <c r="M83" s="984"/>
      <c r="N83" s="985">
        <v>22</v>
      </c>
      <c r="O83" s="984"/>
      <c r="P83" s="668">
        <v>31.889079761431368</v>
      </c>
      <c r="Q83" s="668">
        <f t="shared" si="15"/>
        <v>86.4</v>
      </c>
      <c r="R83" s="432">
        <v>23.070161290322588</v>
      </c>
      <c r="S83" s="432">
        <v>23.571935483870966</v>
      </c>
      <c r="T83" s="492">
        <v>1804</v>
      </c>
      <c r="U83" s="668">
        <f t="shared" si="16"/>
        <v>78.196245674135682</v>
      </c>
      <c r="V83" s="668">
        <f t="shared" si="17"/>
        <v>2.128693224583599</v>
      </c>
      <c r="W83" s="668">
        <v>0.2</v>
      </c>
      <c r="X83" s="432">
        <f t="shared" si="18"/>
        <v>0.27282332735961767</v>
      </c>
      <c r="Y83" s="432">
        <f t="shared" si="19"/>
        <v>22.724108870967747</v>
      </c>
      <c r="Z83" s="432">
        <f t="shared" si="19"/>
        <v>23.218356451612902</v>
      </c>
      <c r="AA83" s="670">
        <f t="shared" si="19"/>
        <v>1776.94</v>
      </c>
      <c r="AB83" s="668">
        <f t="shared" si="20"/>
        <v>78.196245674135682</v>
      </c>
      <c r="AC83" s="670">
        <f t="shared" si="20"/>
        <v>2.128693224583599</v>
      </c>
      <c r="AD83" s="985">
        <v>31</v>
      </c>
      <c r="AE83" s="432">
        <f>Y83*AD83</f>
        <v>704.44737500000019</v>
      </c>
      <c r="AF83" s="669"/>
    </row>
    <row r="84" spans="1:32" ht="18.75" customHeight="1" x14ac:dyDescent="0.2">
      <c r="A84" s="985">
        <v>67</v>
      </c>
      <c r="B84" s="461" t="s">
        <v>424</v>
      </c>
      <c r="C84" s="985" t="s">
        <v>445</v>
      </c>
      <c r="D84" s="984">
        <v>691</v>
      </c>
      <c r="E84" s="984" t="s">
        <v>495</v>
      </c>
      <c r="F84" s="985">
        <v>177.8</v>
      </c>
      <c r="G84" s="985" t="s">
        <v>28</v>
      </c>
      <c r="H84" s="985" t="s">
        <v>48</v>
      </c>
      <c r="I84" s="984">
        <v>628.34</v>
      </c>
      <c r="J84" s="984">
        <v>100</v>
      </c>
      <c r="K84" s="984"/>
      <c r="L84" s="984">
        <v>595</v>
      </c>
      <c r="M84" s="984"/>
      <c r="N84" s="985">
        <v>9.5</v>
      </c>
      <c r="O84" s="984"/>
      <c r="P84" s="668">
        <v>12.1</v>
      </c>
      <c r="Q84" s="668">
        <f t="shared" si="15"/>
        <v>13</v>
      </c>
      <c r="R84" s="432">
        <v>1.7713225806451616</v>
      </c>
      <c r="S84" s="432">
        <v>2.0905161290322574</v>
      </c>
      <c r="T84" s="492">
        <v>0</v>
      </c>
      <c r="U84" s="668">
        <v>0</v>
      </c>
      <c r="V84" s="668">
        <f t="shared" si="17"/>
        <v>15.268647964694585</v>
      </c>
      <c r="W84" s="668">
        <v>0.2</v>
      </c>
      <c r="X84" s="432">
        <v>0</v>
      </c>
      <c r="Y84" s="432">
        <f t="shared" si="19"/>
        <v>1.744752741935484</v>
      </c>
      <c r="Z84" s="432">
        <f t="shared" si="19"/>
        <v>2.0591583870967733</v>
      </c>
      <c r="AA84" s="670">
        <f t="shared" si="19"/>
        <v>0</v>
      </c>
      <c r="AB84" s="668">
        <f t="shared" si="20"/>
        <v>0</v>
      </c>
      <c r="AC84" s="670">
        <f t="shared" si="20"/>
        <v>15.268647964694585</v>
      </c>
      <c r="AD84" s="985">
        <v>31</v>
      </c>
      <c r="AE84" s="432">
        <f>Y84*AD84</f>
        <v>54.087335000000003</v>
      </c>
      <c r="AF84" s="669"/>
    </row>
    <row r="85" spans="1:32" ht="18.75" customHeight="1" x14ac:dyDescent="0.25">
      <c r="A85" s="985">
        <v>68</v>
      </c>
      <c r="B85" s="461" t="s">
        <v>155</v>
      </c>
      <c r="C85" s="985" t="s">
        <v>415</v>
      </c>
      <c r="D85" s="985">
        <v>513.9</v>
      </c>
      <c r="E85" s="985" t="s">
        <v>477</v>
      </c>
      <c r="F85" s="985">
        <v>177.8</v>
      </c>
      <c r="G85" s="985"/>
      <c r="H85" s="985"/>
      <c r="I85" s="984">
        <v>9.5</v>
      </c>
      <c r="J85" s="984"/>
      <c r="K85" s="984"/>
      <c r="L85" s="984"/>
      <c r="M85" s="984"/>
      <c r="N85" s="985"/>
      <c r="O85" s="984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985">
        <v>69</v>
      </c>
      <c r="B86" s="461" t="s">
        <v>465</v>
      </c>
      <c r="C86" s="985" t="s">
        <v>46</v>
      </c>
      <c r="D86" s="985">
        <v>571.91</v>
      </c>
      <c r="E86" s="985" t="s">
        <v>478</v>
      </c>
      <c r="F86" s="985">
        <v>177.8</v>
      </c>
      <c r="G86" s="985"/>
      <c r="H86" s="831"/>
      <c r="I86" s="984">
        <v>9.5</v>
      </c>
      <c r="J86" s="984"/>
      <c r="K86" s="984"/>
      <c r="L86" s="984"/>
      <c r="M86" s="984"/>
      <c r="N86" s="985"/>
      <c r="O86" s="984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980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985"/>
      <c r="H87" s="985"/>
      <c r="I87" s="985"/>
      <c r="J87" s="984"/>
      <c r="K87" s="984"/>
      <c r="L87" s="984"/>
      <c r="M87" s="984"/>
      <c r="N87" s="984"/>
      <c r="O87" s="984"/>
      <c r="P87" s="448"/>
      <c r="Q87" s="448"/>
      <c r="R87" s="466">
        <f>SUM(R82:R84)</f>
        <v>48.839083870967741</v>
      </c>
      <c r="S87" s="466">
        <f>SUM(S82:S84)</f>
        <v>49.725884946236569</v>
      </c>
      <c r="T87" s="512">
        <f>SUM(T82:T84)</f>
        <v>2599</v>
      </c>
      <c r="U87" s="466">
        <f>T87/R87</f>
        <v>53.215576419625847</v>
      </c>
      <c r="V87" s="466"/>
      <c r="W87" s="466"/>
      <c r="X87" s="466"/>
      <c r="Y87" s="466">
        <f>SUM(Y82:Y84)</f>
        <v>48.106497612903226</v>
      </c>
      <c r="Z87" s="466">
        <f>SUM(Z82:Z84)</f>
        <v>48.979996672043015</v>
      </c>
      <c r="AA87" s="678">
        <f>SUM(AA82:AA84)</f>
        <v>2560.0150000000003</v>
      </c>
      <c r="AB87" s="466">
        <f>AA87/Y87</f>
        <v>53.215576419625854</v>
      </c>
      <c r="AC87" s="466"/>
      <c r="AD87" s="980"/>
      <c r="AE87" s="466">
        <f>SUM(AE82:AE84)</f>
        <v>1491.3014259999998</v>
      </c>
      <c r="AF87" s="669"/>
    </row>
    <row r="88" spans="1:32" ht="18.75" customHeight="1" x14ac:dyDescent="0.25">
      <c r="A88" s="870"/>
      <c r="B88" s="873"/>
      <c r="C88" s="850"/>
      <c r="D88" s="850"/>
      <c r="E88" s="986" t="s">
        <v>470</v>
      </c>
      <c r="F88" s="853"/>
      <c r="G88" s="978"/>
      <c r="H88" s="977"/>
      <c r="I88" s="977"/>
      <c r="J88" s="984"/>
      <c r="K88" s="984"/>
      <c r="L88" s="984"/>
      <c r="M88" s="984"/>
      <c r="N88" s="984"/>
      <c r="O88" s="984"/>
      <c r="P88" s="448"/>
      <c r="Q88" s="448"/>
      <c r="R88" s="984"/>
      <c r="S88" s="437"/>
      <c r="T88" s="984"/>
      <c r="U88" s="978"/>
      <c r="V88" s="978"/>
      <c r="W88" s="978"/>
      <c r="X88" s="421"/>
      <c r="Y88" s="984"/>
      <c r="Z88" s="984"/>
      <c r="AA88" s="984"/>
      <c r="AB88" s="978"/>
      <c r="AC88" s="978"/>
      <c r="AD88" s="984"/>
      <c r="AE88" s="984"/>
      <c r="AF88" s="977"/>
    </row>
    <row r="89" spans="1:32" ht="18.75" customHeight="1" x14ac:dyDescent="0.2">
      <c r="A89" s="979">
        <v>70</v>
      </c>
      <c r="B89" s="1009" t="s">
        <v>131</v>
      </c>
      <c r="C89" s="979" t="s">
        <v>313</v>
      </c>
      <c r="D89" s="985">
        <v>389.74</v>
      </c>
      <c r="E89" s="679" t="s">
        <v>136</v>
      </c>
      <c r="F89" s="985">
        <v>177.8</v>
      </c>
      <c r="G89" s="985" t="s">
        <v>28</v>
      </c>
      <c r="H89" s="985" t="s">
        <v>485</v>
      </c>
      <c r="I89" s="984">
        <v>132.27000000000001</v>
      </c>
      <c r="J89" s="984">
        <v>85</v>
      </c>
      <c r="K89" s="985"/>
      <c r="L89" s="985">
        <v>51</v>
      </c>
      <c r="M89" s="985"/>
      <c r="N89" s="985">
        <v>0.6</v>
      </c>
      <c r="O89" s="985"/>
      <c r="P89" s="668">
        <v>13.692691261550211</v>
      </c>
      <c r="Q89" s="448">
        <f>(15*J89)/100</f>
        <v>12.75</v>
      </c>
      <c r="R89" s="432">
        <v>6.4152580645161299</v>
      </c>
      <c r="S89" s="432">
        <v>10.335967741935486</v>
      </c>
      <c r="T89" s="432">
        <v>0</v>
      </c>
      <c r="U89" s="432">
        <f>T89/R89</f>
        <v>0</v>
      </c>
      <c r="V89" s="432">
        <f t="shared" ref="V89:V92" si="21">(S89-R89)/S89*100</f>
        <v>37.932681054257763</v>
      </c>
      <c r="W89" s="432">
        <v>0.4</v>
      </c>
      <c r="X89" s="432">
        <f t="shared" ref="X89:X92" si="22">S89/Q89</f>
        <v>0.81066413662239101</v>
      </c>
      <c r="Y89" s="432">
        <f>R89*0.985</f>
        <v>6.3190291935483875</v>
      </c>
      <c r="Z89" s="432">
        <f>S89*0.985</f>
        <v>10.180928225806452</v>
      </c>
      <c r="AA89" s="432">
        <f>T89*0.985</f>
        <v>0</v>
      </c>
      <c r="AB89" s="432">
        <f t="shared" ref="AB89:AC92" si="23">U89</f>
        <v>0</v>
      </c>
      <c r="AC89" s="432">
        <f t="shared" si="23"/>
        <v>37.932681054257763</v>
      </c>
      <c r="AD89" s="985">
        <v>31</v>
      </c>
      <c r="AE89" s="432">
        <f t="shared" ref="AE89:AE92" si="24">Y89*AD89</f>
        <v>195.88990500000003</v>
      </c>
      <c r="AF89" s="449"/>
    </row>
    <row r="90" spans="1:32" ht="18.75" customHeight="1" x14ac:dyDescent="0.2">
      <c r="A90" s="979">
        <v>71</v>
      </c>
      <c r="B90" s="1009" t="s">
        <v>132</v>
      </c>
      <c r="C90" s="979" t="s">
        <v>313</v>
      </c>
      <c r="D90" s="985">
        <v>387.72</v>
      </c>
      <c r="E90" s="679" t="s">
        <v>135</v>
      </c>
      <c r="F90" s="985">
        <v>177.8</v>
      </c>
      <c r="G90" s="985" t="s">
        <v>28</v>
      </c>
      <c r="H90" s="985" t="s">
        <v>485</v>
      </c>
      <c r="I90" s="984">
        <v>130.34</v>
      </c>
      <c r="J90" s="985">
        <v>85</v>
      </c>
      <c r="K90" s="985"/>
      <c r="L90" s="985">
        <v>61</v>
      </c>
      <c r="M90" s="985"/>
      <c r="N90" s="985">
        <v>0</v>
      </c>
      <c r="O90" s="985"/>
      <c r="P90" s="668">
        <v>9.6679061162874635</v>
      </c>
      <c r="Q90" s="448">
        <f>(15*J90)/100</f>
        <v>12.75</v>
      </c>
      <c r="R90" s="432">
        <v>6.5894193548387081</v>
      </c>
      <c r="S90" s="432">
        <v>9.7798387096774153</v>
      </c>
      <c r="T90" s="432">
        <v>0</v>
      </c>
      <c r="U90" s="432">
        <f>T90/R90</f>
        <v>0</v>
      </c>
      <c r="V90" s="432">
        <f t="shared" si="21"/>
        <v>32.622412797888991</v>
      </c>
      <c r="W90" s="432">
        <v>0.3</v>
      </c>
      <c r="X90" s="432">
        <f t="shared" si="22"/>
        <v>0.7670461733080326</v>
      </c>
      <c r="Y90" s="432">
        <f t="shared" ref="Y90:AA92" si="25">R90*0.985</f>
        <v>6.4905780645161277</v>
      </c>
      <c r="Z90" s="432">
        <f t="shared" si="25"/>
        <v>9.6331411290322535</v>
      </c>
      <c r="AA90" s="432">
        <f t="shared" si="25"/>
        <v>0</v>
      </c>
      <c r="AB90" s="432">
        <v>0</v>
      </c>
      <c r="AC90" s="432">
        <f>V90</f>
        <v>32.622412797888991</v>
      </c>
      <c r="AD90" s="985">
        <v>31</v>
      </c>
      <c r="AE90" s="432">
        <f t="shared" si="24"/>
        <v>201.20791999999997</v>
      </c>
      <c r="AF90" s="449"/>
    </row>
    <row r="91" spans="1:32" ht="18.75" customHeight="1" x14ac:dyDescent="0.2">
      <c r="A91" s="979">
        <v>72</v>
      </c>
      <c r="B91" s="1009" t="s">
        <v>121</v>
      </c>
      <c r="C91" s="979" t="s">
        <v>313</v>
      </c>
      <c r="D91" s="985">
        <v>389.57</v>
      </c>
      <c r="E91" s="985" t="s">
        <v>137</v>
      </c>
      <c r="F91" s="985">
        <v>177.8</v>
      </c>
      <c r="G91" s="985" t="s">
        <v>28</v>
      </c>
      <c r="H91" s="831" t="s">
        <v>466</v>
      </c>
      <c r="I91" s="984">
        <v>123.65000000000003</v>
      </c>
      <c r="J91" s="985">
        <v>85</v>
      </c>
      <c r="K91" s="985"/>
      <c r="L91" s="985">
        <v>42</v>
      </c>
      <c r="M91" s="985"/>
      <c r="N91" s="985">
        <v>0</v>
      </c>
      <c r="O91" s="985"/>
      <c r="P91" s="668">
        <v>12.138710570663264</v>
      </c>
      <c r="Q91" s="448">
        <f>(13*J91)/100</f>
        <v>11.05</v>
      </c>
      <c r="R91" s="432">
        <v>4.2261034482758619</v>
      </c>
      <c r="S91" s="432">
        <v>10.146241379310347</v>
      </c>
      <c r="T91" s="432">
        <v>0</v>
      </c>
      <c r="U91" s="432">
        <v>0</v>
      </c>
      <c r="V91" s="432">
        <v>75</v>
      </c>
      <c r="W91" s="432">
        <v>0.7</v>
      </c>
      <c r="X91" s="432">
        <f>S91/Q91</f>
        <v>0.91821188953034805</v>
      </c>
      <c r="Y91" s="432">
        <f t="shared" si="25"/>
        <v>4.1627118965517242</v>
      </c>
      <c r="Z91" s="432">
        <f t="shared" si="25"/>
        <v>9.9940477586206917</v>
      </c>
      <c r="AA91" s="432">
        <f t="shared" si="25"/>
        <v>0</v>
      </c>
      <c r="AB91" s="432">
        <v>0</v>
      </c>
      <c r="AC91" s="432">
        <v>47</v>
      </c>
      <c r="AD91" s="985">
        <v>31</v>
      </c>
      <c r="AE91" s="432">
        <f t="shared" si="24"/>
        <v>129.04406879310346</v>
      </c>
      <c r="AF91" s="669"/>
    </row>
    <row r="92" spans="1:32" ht="18.75" customHeight="1" x14ac:dyDescent="0.2">
      <c r="A92" s="979">
        <v>73</v>
      </c>
      <c r="B92" s="1009" t="s">
        <v>122</v>
      </c>
      <c r="C92" s="979" t="s">
        <v>313</v>
      </c>
      <c r="D92" s="985">
        <v>391.06</v>
      </c>
      <c r="E92" s="985" t="s">
        <v>138</v>
      </c>
      <c r="F92" s="985">
        <v>177.8</v>
      </c>
      <c r="G92" s="985" t="s">
        <v>28</v>
      </c>
      <c r="H92" s="985" t="s">
        <v>485</v>
      </c>
      <c r="I92" s="432">
        <v>148.36999999999998</v>
      </c>
      <c r="J92" s="985">
        <v>85</v>
      </c>
      <c r="K92" s="980"/>
      <c r="L92" s="985">
        <v>81</v>
      </c>
      <c r="M92" s="980"/>
      <c r="N92" s="985">
        <v>0.4</v>
      </c>
      <c r="O92" s="980"/>
      <c r="P92" s="668">
        <v>7.2327002756208305</v>
      </c>
      <c r="Q92" s="448">
        <f>(15*J92)/100</f>
        <v>12.75</v>
      </c>
      <c r="R92" s="432">
        <v>4.895548387096774</v>
      </c>
      <c r="S92" s="432">
        <v>5.645935483870967</v>
      </c>
      <c r="T92" s="432">
        <v>0</v>
      </c>
      <c r="U92" s="432">
        <f>T92/R92</f>
        <v>0</v>
      </c>
      <c r="V92" s="432">
        <f t="shared" si="21"/>
        <v>13.290748697321503</v>
      </c>
      <c r="W92" s="432">
        <v>0.6</v>
      </c>
      <c r="X92" s="432">
        <f t="shared" si="22"/>
        <v>0.44281846932321312</v>
      </c>
      <c r="Y92" s="432">
        <f t="shared" si="25"/>
        <v>4.8221151612903226</v>
      </c>
      <c r="Z92" s="432">
        <f t="shared" si="25"/>
        <v>5.5612464516129023</v>
      </c>
      <c r="AA92" s="432">
        <f t="shared" si="25"/>
        <v>0</v>
      </c>
      <c r="AB92" s="432">
        <f t="shared" si="23"/>
        <v>0</v>
      </c>
      <c r="AC92" s="432">
        <f t="shared" si="23"/>
        <v>13.290748697321503</v>
      </c>
      <c r="AD92" s="985">
        <v>31</v>
      </c>
      <c r="AE92" s="432">
        <f t="shared" si="24"/>
        <v>149.48557</v>
      </c>
      <c r="AF92" s="680"/>
    </row>
    <row r="93" spans="1:32" ht="18.75" customHeight="1" x14ac:dyDescent="0.2">
      <c r="A93" s="979">
        <v>74</v>
      </c>
      <c r="B93" s="1009" t="s">
        <v>188</v>
      </c>
      <c r="C93" s="979" t="s">
        <v>344</v>
      </c>
      <c r="D93" s="985">
        <v>400.5</v>
      </c>
      <c r="E93" s="985" t="s">
        <v>345</v>
      </c>
      <c r="F93" s="985">
        <v>177.8</v>
      </c>
      <c r="G93" s="985"/>
      <c r="H93" s="985"/>
      <c r="I93" s="432"/>
      <c r="J93" s="985"/>
      <c r="K93" s="980"/>
      <c r="L93" s="985"/>
      <c r="M93" s="980"/>
      <c r="N93" s="985"/>
      <c r="O93" s="980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985"/>
      <c r="AE93" s="432"/>
      <c r="AF93" s="669"/>
    </row>
    <row r="94" spans="1:32" ht="18.75" customHeight="1" x14ac:dyDescent="0.2">
      <c r="A94" s="979">
        <v>75</v>
      </c>
      <c r="B94" s="1009" t="s">
        <v>186</v>
      </c>
      <c r="C94" s="979" t="s">
        <v>346</v>
      </c>
      <c r="D94" s="985">
        <v>349.5</v>
      </c>
      <c r="E94" s="461" t="s">
        <v>347</v>
      </c>
      <c r="F94" s="985">
        <v>177.8</v>
      </c>
      <c r="G94" s="985"/>
      <c r="H94" s="985"/>
      <c r="I94" s="432"/>
      <c r="J94" s="985"/>
      <c r="K94" s="985"/>
      <c r="L94" s="985"/>
      <c r="M94" s="980"/>
      <c r="N94" s="985"/>
      <c r="O94" s="980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985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984"/>
      <c r="G95" s="978"/>
      <c r="H95" s="977"/>
      <c r="I95" s="977"/>
      <c r="J95" s="984"/>
      <c r="K95" s="984"/>
      <c r="L95" s="984"/>
      <c r="M95" s="984"/>
      <c r="N95" s="984"/>
      <c r="O95" s="984"/>
      <c r="P95" s="448"/>
      <c r="Q95" s="448"/>
      <c r="R95" s="466">
        <f>SUM(R89:R94)</f>
        <v>22.126329254727473</v>
      </c>
      <c r="S95" s="466">
        <f>SUM(S89:S94)</f>
        <v>35.907983314794215</v>
      </c>
      <c r="T95" s="466">
        <f>SUM(T89:T92)</f>
        <v>0</v>
      </c>
      <c r="U95" s="466">
        <f>SUM(U89:U92)</f>
        <v>0</v>
      </c>
      <c r="V95" s="978"/>
      <c r="W95" s="978"/>
      <c r="X95" s="978"/>
      <c r="Y95" s="466">
        <f>SUM(Y89:Y94)</f>
        <v>21.794434315906564</v>
      </c>
      <c r="Z95" s="466">
        <f>SUM(Z89:Z94)</f>
        <v>35.369363565072305</v>
      </c>
      <c r="AA95" s="466">
        <f>SUM(AA89:AA92)</f>
        <v>0</v>
      </c>
      <c r="AB95" s="466">
        <v>0</v>
      </c>
      <c r="AC95" s="978"/>
      <c r="AD95" s="984"/>
      <c r="AE95" s="466">
        <f>SUM(AE89:AE94)</f>
        <v>675.62746379310352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980"/>
      <c r="G96" s="985"/>
      <c r="H96" s="985"/>
      <c r="I96" s="432"/>
      <c r="J96" s="985"/>
      <c r="K96" s="980"/>
      <c r="L96" s="985"/>
      <c r="M96" s="980"/>
      <c r="N96" s="668"/>
      <c r="O96" s="980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978"/>
      <c r="H97" s="977"/>
      <c r="I97" s="977"/>
      <c r="J97" s="984"/>
      <c r="K97" s="984"/>
      <c r="L97" s="984"/>
      <c r="M97" s="984"/>
      <c r="N97" s="984"/>
      <c r="O97" s="984"/>
      <c r="P97" s="448"/>
      <c r="Q97" s="448"/>
      <c r="R97" s="984"/>
      <c r="S97" s="984"/>
      <c r="T97" s="984"/>
      <c r="U97" s="978"/>
      <c r="V97" s="978"/>
      <c r="W97" s="978"/>
      <c r="X97" s="978"/>
      <c r="Y97" s="984"/>
      <c r="Z97" s="984"/>
      <c r="AA97" s="984"/>
      <c r="AB97" s="978"/>
      <c r="AC97" s="978"/>
      <c r="AD97" s="984"/>
      <c r="AE97" s="984"/>
      <c r="AF97" s="977"/>
    </row>
    <row r="98" spans="1:32" ht="18.75" customHeight="1" x14ac:dyDescent="0.2">
      <c r="A98" s="985">
        <v>76</v>
      </c>
      <c r="B98" s="1008" t="s">
        <v>107</v>
      </c>
      <c r="C98" s="984" t="s">
        <v>109</v>
      </c>
      <c r="D98" s="984"/>
      <c r="E98" s="984"/>
      <c r="F98" s="984"/>
      <c r="G98" s="978"/>
      <c r="H98" s="977"/>
      <c r="I98" s="977"/>
      <c r="J98" s="984"/>
      <c r="K98" s="984"/>
      <c r="L98" s="984"/>
      <c r="M98" s="984"/>
      <c r="N98" s="984"/>
      <c r="O98" s="984"/>
      <c r="P98" s="448"/>
      <c r="Q98" s="448"/>
      <c r="R98" s="984"/>
      <c r="S98" s="984"/>
      <c r="T98" s="984"/>
      <c r="U98" s="978"/>
      <c r="V98" s="978"/>
      <c r="W98" s="978"/>
      <c r="X98" s="978"/>
      <c r="Y98" s="977"/>
      <c r="Z98" s="977"/>
      <c r="AA98" s="984"/>
      <c r="AB98" s="978"/>
      <c r="AC98" s="978"/>
      <c r="AD98" s="493"/>
      <c r="AE98" s="984"/>
      <c r="AF98" s="977"/>
    </row>
    <row r="99" spans="1:32" ht="18.75" customHeight="1" x14ac:dyDescent="0.2">
      <c r="A99" s="985">
        <v>77</v>
      </c>
      <c r="B99" s="1008" t="s">
        <v>108</v>
      </c>
      <c r="C99" s="984" t="s">
        <v>109</v>
      </c>
      <c r="D99" s="984"/>
      <c r="E99" s="984"/>
      <c r="F99" s="984"/>
      <c r="G99" s="978"/>
      <c r="H99" s="977"/>
      <c r="I99" s="977"/>
      <c r="J99" s="984"/>
      <c r="K99" s="984"/>
      <c r="L99" s="984"/>
      <c r="M99" s="984"/>
      <c r="N99" s="984"/>
      <c r="O99" s="984"/>
      <c r="P99" s="448"/>
      <c r="Q99" s="448"/>
      <c r="R99" s="984"/>
      <c r="S99" s="984"/>
      <c r="T99" s="984"/>
      <c r="U99" s="978"/>
      <c r="V99" s="978"/>
      <c r="W99" s="978"/>
      <c r="X99" s="978"/>
      <c r="Y99" s="977"/>
      <c r="Z99" s="977"/>
      <c r="AA99" s="984"/>
      <c r="AB99" s="978"/>
      <c r="AC99" s="978"/>
      <c r="AD99" s="493"/>
      <c r="AE99" s="984"/>
      <c r="AF99" s="977"/>
    </row>
    <row r="100" spans="1:32" ht="18.75" customHeight="1" x14ac:dyDescent="0.2">
      <c r="A100" s="985">
        <v>78</v>
      </c>
      <c r="B100" s="1008" t="s">
        <v>195</v>
      </c>
      <c r="C100" s="979" t="s">
        <v>484</v>
      </c>
      <c r="D100" s="984"/>
      <c r="E100" s="984"/>
      <c r="F100" s="984"/>
      <c r="G100" s="978"/>
      <c r="H100" s="977"/>
      <c r="I100" s="977"/>
      <c r="J100" s="984"/>
      <c r="K100" s="984"/>
      <c r="L100" s="984"/>
      <c r="M100" s="984"/>
      <c r="N100" s="984"/>
      <c r="O100" s="984"/>
      <c r="P100" s="448"/>
      <c r="Q100" s="448"/>
      <c r="R100" s="984"/>
      <c r="S100" s="984"/>
      <c r="T100" s="984"/>
      <c r="U100" s="978"/>
      <c r="V100" s="978"/>
      <c r="W100" s="978"/>
      <c r="X100" s="978"/>
      <c r="Y100" s="977"/>
      <c r="Z100" s="977"/>
      <c r="AA100" s="984"/>
      <c r="AB100" s="978"/>
      <c r="AC100" s="978"/>
      <c r="AD100" s="493"/>
      <c r="AE100" s="984"/>
      <c r="AF100" s="977"/>
    </row>
    <row r="101" spans="1:32" ht="18.75" customHeight="1" x14ac:dyDescent="0.2">
      <c r="A101" s="985">
        <v>79</v>
      </c>
      <c r="B101" s="1008" t="s">
        <v>192</v>
      </c>
      <c r="C101" s="979" t="s">
        <v>484</v>
      </c>
      <c r="D101" s="984"/>
      <c r="E101" s="984"/>
      <c r="F101" s="984"/>
      <c r="G101" s="978"/>
      <c r="H101" s="977"/>
      <c r="I101" s="977"/>
      <c r="J101" s="984"/>
      <c r="K101" s="984"/>
      <c r="L101" s="984"/>
      <c r="M101" s="984"/>
      <c r="N101" s="984"/>
      <c r="O101" s="984"/>
      <c r="P101" s="448"/>
      <c r="Q101" s="448"/>
      <c r="R101" s="984"/>
      <c r="S101" s="984"/>
      <c r="T101" s="984"/>
      <c r="U101" s="978"/>
      <c r="V101" s="978"/>
      <c r="W101" s="978"/>
      <c r="X101" s="978"/>
      <c r="Y101" s="977"/>
      <c r="Z101" s="977"/>
      <c r="AA101" s="984"/>
      <c r="AB101" s="978"/>
      <c r="AC101" s="978"/>
      <c r="AD101" s="493"/>
      <c r="AE101" s="984"/>
      <c r="AF101" s="977"/>
    </row>
    <row r="102" spans="1:32" ht="18.75" customHeight="1" x14ac:dyDescent="0.2">
      <c r="A102" s="985"/>
      <c r="B102" s="851"/>
      <c r="C102" s="850"/>
      <c r="D102" s="850"/>
      <c r="E102" s="977" t="s">
        <v>278</v>
      </c>
      <c r="F102" s="850"/>
      <c r="G102" s="978"/>
      <c r="H102" s="977"/>
      <c r="I102" s="977"/>
      <c r="J102" s="984"/>
      <c r="K102" s="984"/>
      <c r="L102" s="984"/>
      <c r="M102" s="984"/>
      <c r="N102" s="984"/>
      <c r="O102" s="984"/>
      <c r="P102" s="448"/>
      <c r="Q102" s="448"/>
      <c r="R102" s="984"/>
      <c r="S102" s="984"/>
      <c r="T102" s="984"/>
      <c r="U102" s="978"/>
      <c r="V102" s="978"/>
      <c r="W102" s="978"/>
      <c r="X102" s="978"/>
      <c r="Y102" s="984"/>
      <c r="Z102" s="984"/>
      <c r="AA102" s="984"/>
      <c r="AB102" s="978"/>
      <c r="AC102" s="978"/>
      <c r="AD102" s="984"/>
      <c r="AE102" s="984"/>
      <c r="AF102" s="977"/>
    </row>
    <row r="103" spans="1:32" ht="18.75" customHeight="1" x14ac:dyDescent="0.2">
      <c r="A103" s="985">
        <v>80</v>
      </c>
      <c r="B103" s="461" t="s">
        <v>189</v>
      </c>
      <c r="C103" s="985" t="s">
        <v>46</v>
      </c>
      <c r="D103" s="985">
        <v>673</v>
      </c>
      <c r="E103" s="985" t="s">
        <v>190</v>
      </c>
      <c r="F103" s="985">
        <v>177.8</v>
      </c>
      <c r="G103" s="985"/>
      <c r="H103" s="985"/>
      <c r="I103" s="984"/>
      <c r="J103" s="984"/>
      <c r="K103" s="984"/>
      <c r="L103" s="984"/>
      <c r="M103" s="984"/>
      <c r="N103" s="984"/>
      <c r="O103" s="984"/>
      <c r="P103" s="448"/>
      <c r="Q103" s="448"/>
      <c r="R103" s="984"/>
      <c r="S103" s="984"/>
      <c r="T103" s="984"/>
      <c r="U103" s="978"/>
      <c r="V103" s="978"/>
      <c r="W103" s="978"/>
      <c r="X103" s="978"/>
      <c r="Y103" s="473"/>
      <c r="Z103" s="683"/>
      <c r="AA103" s="977"/>
      <c r="AB103" s="978"/>
      <c r="AC103" s="984"/>
      <c r="AD103" s="985"/>
      <c r="AE103" s="432"/>
      <c r="AF103" s="449"/>
    </row>
    <row r="104" spans="1:32" ht="18.75" customHeight="1" x14ac:dyDescent="0.3">
      <c r="A104" s="985">
        <v>81</v>
      </c>
      <c r="B104" s="461" t="s">
        <v>181</v>
      </c>
      <c r="C104" s="684" t="s">
        <v>344</v>
      </c>
      <c r="D104" s="985">
        <v>374.5</v>
      </c>
      <c r="E104" s="985" t="s">
        <v>182</v>
      </c>
      <c r="F104" s="985">
        <v>177.8</v>
      </c>
      <c r="G104" s="985"/>
      <c r="H104" s="985"/>
      <c r="I104" s="984"/>
      <c r="J104" s="985"/>
      <c r="K104" s="985"/>
      <c r="L104" s="985"/>
      <c r="M104" s="985"/>
      <c r="N104" s="668"/>
      <c r="O104" s="985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985"/>
      <c r="AE104" s="432"/>
      <c r="AF104" s="449"/>
    </row>
    <row r="105" spans="1:32" ht="18.75" customHeight="1" x14ac:dyDescent="0.2">
      <c r="A105" s="985">
        <v>82</v>
      </c>
      <c r="B105" s="461" t="s">
        <v>174</v>
      </c>
      <c r="C105" s="985" t="s">
        <v>46</v>
      </c>
      <c r="D105" s="985">
        <v>672</v>
      </c>
      <c r="E105" s="985" t="s">
        <v>175</v>
      </c>
      <c r="F105" s="985">
        <v>177.8</v>
      </c>
      <c r="G105" s="985"/>
      <c r="H105" s="985"/>
      <c r="I105" s="984"/>
      <c r="J105" s="985"/>
      <c r="K105" s="985"/>
      <c r="L105" s="985"/>
      <c r="M105" s="985"/>
      <c r="N105" s="668"/>
      <c r="O105" s="985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985"/>
      <c r="AE105" s="432"/>
      <c r="AF105" s="449"/>
    </row>
    <row r="106" spans="1:32" ht="18.75" customHeight="1" x14ac:dyDescent="0.2">
      <c r="A106" s="985">
        <v>83</v>
      </c>
      <c r="B106" s="1008" t="s">
        <v>103</v>
      </c>
      <c r="C106" s="985" t="s">
        <v>46</v>
      </c>
      <c r="D106" s="984">
        <v>582</v>
      </c>
      <c r="E106" s="984" t="s">
        <v>112</v>
      </c>
      <c r="F106" s="985">
        <v>177.8</v>
      </c>
      <c r="G106" s="985"/>
      <c r="H106" s="985"/>
      <c r="I106" s="984"/>
      <c r="J106" s="984"/>
      <c r="K106" s="984"/>
      <c r="L106" s="984"/>
      <c r="M106" s="984"/>
      <c r="N106" s="984"/>
      <c r="O106" s="984"/>
      <c r="P106" s="448"/>
      <c r="Q106" s="448"/>
      <c r="R106" s="984"/>
      <c r="S106" s="984"/>
      <c r="T106" s="984"/>
      <c r="U106" s="978"/>
      <c r="V106" s="978"/>
      <c r="W106" s="978"/>
      <c r="X106" s="421"/>
      <c r="Y106" s="492"/>
      <c r="Z106" s="984"/>
      <c r="AA106" s="984"/>
      <c r="AB106" s="978"/>
      <c r="AC106" s="984"/>
      <c r="AD106" s="493"/>
      <c r="AE106" s="437"/>
      <c r="AF106" s="449"/>
    </row>
    <row r="107" spans="1:32" ht="18.75" customHeight="1" x14ac:dyDescent="0.2">
      <c r="A107" s="985">
        <v>84</v>
      </c>
      <c r="B107" s="1009" t="s">
        <v>57</v>
      </c>
      <c r="C107" s="979" t="s">
        <v>314</v>
      </c>
      <c r="D107" s="985">
        <v>376.58</v>
      </c>
      <c r="E107" s="461" t="s">
        <v>93</v>
      </c>
      <c r="F107" s="985">
        <v>177.8</v>
      </c>
      <c r="G107" s="985"/>
      <c r="H107" s="985"/>
      <c r="I107" s="984"/>
      <c r="J107" s="984"/>
      <c r="K107" s="984"/>
      <c r="L107" s="984"/>
      <c r="M107" s="984"/>
      <c r="N107" s="984"/>
      <c r="O107" s="984"/>
      <c r="P107" s="448"/>
      <c r="Q107" s="448"/>
      <c r="R107" s="984"/>
      <c r="S107" s="984"/>
      <c r="T107" s="984"/>
      <c r="U107" s="978"/>
      <c r="V107" s="978"/>
      <c r="W107" s="978"/>
      <c r="X107" s="421"/>
      <c r="Y107" s="492"/>
      <c r="Z107" s="984"/>
      <c r="AA107" s="984"/>
      <c r="AB107" s="978"/>
      <c r="AC107" s="984"/>
      <c r="AD107" s="493"/>
      <c r="AE107" s="437"/>
      <c r="AF107" s="449"/>
    </row>
    <row r="108" spans="1:32" ht="18.75" customHeight="1" x14ac:dyDescent="0.2">
      <c r="A108" s="985">
        <v>85</v>
      </c>
      <c r="B108" s="1009" t="s">
        <v>184</v>
      </c>
      <c r="C108" s="979" t="s">
        <v>314</v>
      </c>
      <c r="D108" s="985">
        <v>422.78</v>
      </c>
      <c r="E108" s="461" t="s">
        <v>185</v>
      </c>
      <c r="F108" s="985">
        <v>177.8</v>
      </c>
      <c r="G108" s="985"/>
      <c r="H108" s="985"/>
      <c r="I108" s="432"/>
      <c r="J108" s="984"/>
      <c r="K108" s="984"/>
      <c r="L108" s="984"/>
      <c r="M108" s="984"/>
      <c r="N108" s="984"/>
      <c r="O108" s="984"/>
      <c r="P108" s="448"/>
      <c r="Q108" s="448"/>
      <c r="R108" s="984"/>
      <c r="S108" s="984"/>
      <c r="T108" s="984"/>
      <c r="U108" s="978"/>
      <c r="V108" s="978"/>
      <c r="W108" s="978"/>
      <c r="X108" s="421"/>
      <c r="Y108" s="492"/>
      <c r="Z108" s="984"/>
      <c r="AA108" s="984"/>
      <c r="AB108" s="978"/>
      <c r="AC108" s="984"/>
      <c r="AD108" s="493"/>
      <c r="AE108" s="437"/>
      <c r="AF108" s="449"/>
    </row>
    <row r="109" spans="1:32" ht="18.75" customHeight="1" x14ac:dyDescent="0.2">
      <c r="A109" s="985">
        <v>86</v>
      </c>
      <c r="B109" s="1008" t="s">
        <v>220</v>
      </c>
      <c r="C109" s="985" t="s">
        <v>46</v>
      </c>
      <c r="D109" s="984">
        <v>685.69</v>
      </c>
      <c r="E109" s="984" t="s">
        <v>222</v>
      </c>
      <c r="F109" s="985">
        <v>177.8</v>
      </c>
      <c r="G109" s="985"/>
      <c r="H109" s="985"/>
      <c r="I109" s="984"/>
      <c r="J109" s="984"/>
      <c r="K109" s="984"/>
      <c r="L109" s="984"/>
      <c r="M109" s="984"/>
      <c r="N109" s="984"/>
      <c r="O109" s="984"/>
      <c r="P109" s="448"/>
      <c r="Q109" s="771"/>
      <c r="R109" s="984"/>
      <c r="S109" s="984"/>
      <c r="T109" s="984"/>
      <c r="U109" s="978"/>
      <c r="V109" s="978"/>
      <c r="W109" s="978"/>
      <c r="X109" s="421"/>
      <c r="Y109" s="492"/>
      <c r="Z109" s="984"/>
      <c r="AA109" s="984"/>
      <c r="AB109" s="978"/>
      <c r="AC109" s="984"/>
      <c r="AD109" s="493"/>
      <c r="AE109" s="437"/>
      <c r="AF109" s="449"/>
    </row>
    <row r="110" spans="1:32" ht="18.75" customHeight="1" x14ac:dyDescent="0.2">
      <c r="A110" s="985"/>
      <c r="B110" s="851"/>
      <c r="C110" s="850"/>
      <c r="D110" s="850"/>
      <c r="E110" s="977" t="s">
        <v>469</v>
      </c>
      <c r="F110" s="850"/>
      <c r="G110" s="985"/>
      <c r="H110" s="985"/>
      <c r="I110" s="984"/>
      <c r="J110" s="985"/>
      <c r="K110" s="985"/>
      <c r="L110" s="985"/>
      <c r="M110" s="985"/>
      <c r="N110" s="668"/>
      <c r="O110" s="985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985"/>
      <c r="AE110" s="432"/>
      <c r="AF110" s="449"/>
    </row>
    <row r="111" spans="1:32" ht="18.75" customHeight="1" x14ac:dyDescent="0.2">
      <c r="A111" s="985">
        <v>87</v>
      </c>
      <c r="B111" s="461" t="s">
        <v>56</v>
      </c>
      <c r="C111" s="985" t="s">
        <v>46</v>
      </c>
      <c r="D111" s="985">
        <v>680.52</v>
      </c>
      <c r="E111" s="985" t="s">
        <v>92</v>
      </c>
      <c r="F111" s="985">
        <v>177.8</v>
      </c>
      <c r="G111" s="985"/>
      <c r="H111" s="985"/>
      <c r="I111" s="984"/>
      <c r="J111" s="985"/>
      <c r="K111" s="985"/>
      <c r="L111" s="985"/>
      <c r="M111" s="985"/>
      <c r="N111" s="668"/>
      <c r="O111" s="985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985"/>
      <c r="AE111" s="432"/>
      <c r="AF111" s="449"/>
    </row>
    <row r="112" spans="1:32" ht="18.75" customHeight="1" x14ac:dyDescent="0.2">
      <c r="A112" s="985"/>
      <c r="B112" s="461"/>
      <c r="C112" s="985"/>
      <c r="D112" s="985"/>
      <c r="E112" s="985"/>
      <c r="F112" s="985"/>
      <c r="G112" s="985"/>
      <c r="H112" s="985"/>
      <c r="I112" s="984"/>
      <c r="J112" s="985"/>
      <c r="K112" s="985"/>
      <c r="L112" s="985"/>
      <c r="M112" s="985"/>
      <c r="N112" s="668"/>
      <c r="O112" s="985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985"/>
      <c r="AE112" s="432"/>
      <c r="AF112" s="449"/>
    </row>
    <row r="113" spans="1:32" ht="18.75" x14ac:dyDescent="0.25">
      <c r="A113" s="870"/>
      <c r="B113" s="1009"/>
      <c r="C113" s="985"/>
      <c r="D113" s="985"/>
      <c r="E113" s="461"/>
      <c r="F113" s="985"/>
      <c r="G113" s="985"/>
      <c r="H113" s="985"/>
      <c r="I113" s="984"/>
      <c r="J113" s="985"/>
      <c r="K113" s="985"/>
      <c r="L113" s="985"/>
      <c r="M113" s="985"/>
      <c r="N113" s="668"/>
      <c r="O113" s="985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985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980"/>
      <c r="G114" s="985"/>
      <c r="H114" s="985"/>
      <c r="I114" s="432"/>
      <c r="J114" s="985"/>
      <c r="K114" s="980"/>
      <c r="L114" s="985"/>
      <c r="M114" s="980"/>
      <c r="N114" s="668"/>
      <c r="O114" s="980"/>
      <c r="P114" s="682"/>
      <c r="Q114" s="774"/>
      <c r="R114" s="466">
        <f>R79+R95+R87</f>
        <v>457.71120288805167</v>
      </c>
      <c r="S114" s="466">
        <f>S79+S95+S87</f>
        <v>969.84283637224485</v>
      </c>
      <c r="T114" s="678">
        <f>T79+T95+T87</f>
        <v>13667</v>
      </c>
      <c r="U114" s="466">
        <f>T114/R114</f>
        <v>29.859439563122763</v>
      </c>
      <c r="V114" s="466"/>
      <c r="W114" s="466"/>
      <c r="X114" s="466"/>
      <c r="Y114" s="466">
        <f>Y79+Y95+Y87</f>
        <v>450.84553484473105</v>
      </c>
      <c r="Z114" s="466">
        <f>Z79+Z95+Z87</f>
        <v>955.29519382666115</v>
      </c>
      <c r="AA114" s="678">
        <f>AA79+AA95+AA87</f>
        <v>13461.995000000003</v>
      </c>
      <c r="AB114" s="466">
        <f>AB79+AB95+AB87</f>
        <v>81.833858228979096</v>
      </c>
      <c r="AC114" s="466"/>
      <c r="AD114" s="466"/>
      <c r="AE114" s="686">
        <f>AE79+AE95+AE87</f>
        <v>13976.21158018666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13277.401001177326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987"/>
      <c r="Y117" s="987"/>
      <c r="Z117" s="987"/>
      <c r="AA117" s="987"/>
      <c r="AB117" s="987"/>
      <c r="AC117" s="987"/>
      <c r="AD117" s="987"/>
      <c r="AE117" s="987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987" t="s">
        <v>373</v>
      </c>
      <c r="AC118" s="987"/>
      <c r="AD118" s="987"/>
      <c r="AE118" s="987"/>
      <c r="AF118" s="987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4:E114"/>
    <mergeCell ref="K116:M116"/>
    <mergeCell ref="AB13:AB14"/>
    <mergeCell ref="AC13:AC14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F118"/>
  <sheetViews>
    <sheetView topLeftCell="M70" zoomScale="73" zoomScaleNormal="73" workbookViewId="0">
      <selection activeCell="AC99" sqref="AC99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9.710937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9.28515625" style="666" bestFit="1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021"/>
      <c r="G2" s="1015"/>
      <c r="H2" s="1015"/>
      <c r="I2" s="1021"/>
      <c r="J2" s="1909" t="s">
        <v>498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021"/>
      <c r="Y2" s="1021"/>
      <c r="Z2" s="1021"/>
      <c r="AA2" s="1021"/>
      <c r="AB2" s="1021"/>
      <c r="AC2" s="1021"/>
      <c r="AD2" s="1021"/>
      <c r="AE2" s="1021"/>
      <c r="AF2" s="405"/>
    </row>
    <row r="3" spans="1:32" ht="18.75" x14ac:dyDescent="0.2">
      <c r="A3" s="1910" t="s">
        <v>54</v>
      </c>
      <c r="B3" s="1910"/>
      <c r="C3" s="1910"/>
      <c r="D3" s="1910"/>
      <c r="E3" s="1021"/>
      <c r="F3" s="1021"/>
      <c r="G3" s="1015"/>
      <c r="H3" s="1022"/>
      <c r="I3" s="1022"/>
      <c r="J3" s="1022"/>
      <c r="K3" s="1022"/>
      <c r="L3" s="1022"/>
      <c r="M3" s="1022"/>
      <c r="N3" s="1022"/>
      <c r="O3" s="1022"/>
      <c r="P3" s="1022"/>
      <c r="Q3" s="767"/>
      <c r="R3" s="1021"/>
      <c r="S3" s="1021"/>
      <c r="T3" s="1021"/>
      <c r="U3" s="1021"/>
      <c r="V3" s="1021"/>
      <c r="W3" s="1021"/>
      <c r="X3" s="1021"/>
      <c r="Y3" s="1021"/>
      <c r="Z3" s="1021"/>
      <c r="AA3" s="1021"/>
      <c r="AB3" s="1021"/>
      <c r="AC3" s="1021"/>
      <c r="AD3" s="1021"/>
      <c r="AE3" s="1021"/>
      <c r="AF3" s="408" t="s">
        <v>55</v>
      </c>
    </row>
    <row r="4" spans="1:32" ht="18.75" x14ac:dyDescent="0.2">
      <c r="A4" s="1016"/>
      <c r="B4" s="1016"/>
      <c r="C4" s="1016"/>
      <c r="D4" s="1016"/>
      <c r="E4" s="1021"/>
      <c r="F4" s="1021"/>
      <c r="G4" s="1015"/>
      <c r="H4" s="1022"/>
      <c r="I4" s="1022"/>
      <c r="J4" s="1022"/>
      <c r="K4" s="1022"/>
      <c r="L4" s="1022"/>
      <c r="M4" s="1022"/>
      <c r="N4" s="1022"/>
      <c r="O4" s="1022"/>
      <c r="P4" s="1022"/>
      <c r="Q4" s="767"/>
      <c r="R4" s="1021"/>
      <c r="S4" s="1021"/>
      <c r="T4" s="1021"/>
      <c r="U4" s="1021"/>
      <c r="V4" s="1021"/>
      <c r="W4" s="1021"/>
      <c r="X4" s="1021"/>
      <c r="Y4" s="1021"/>
      <c r="Z4" s="1021"/>
      <c r="AA4" s="1021"/>
      <c r="AB4" s="1021"/>
      <c r="AC4" s="1021"/>
      <c r="AD4" s="1021"/>
      <c r="AE4" s="1021"/>
      <c r="AF4" s="408"/>
    </row>
    <row r="5" spans="1:32" ht="18.75" x14ac:dyDescent="0.2">
      <c r="A5" s="1017" t="s">
        <v>494</v>
      </c>
      <c r="B5" s="1017"/>
      <c r="C5" s="1017"/>
      <c r="D5" s="1017"/>
      <c r="E5" s="1017"/>
      <c r="F5" s="1021"/>
      <c r="G5" s="1015"/>
      <c r="H5" s="1015"/>
      <c r="I5" s="1022"/>
      <c r="J5" s="1022"/>
      <c r="K5" s="1022"/>
      <c r="L5" s="1022"/>
      <c r="M5" s="1022"/>
      <c r="N5" s="1022"/>
      <c r="O5" s="1022"/>
      <c r="P5" s="1022"/>
      <c r="Q5" s="767"/>
      <c r="R5" s="1023"/>
      <c r="S5" s="1023"/>
      <c r="T5" s="1023"/>
      <c r="U5" s="1023"/>
      <c r="V5" s="1023"/>
      <c r="W5" s="1023"/>
      <c r="X5" s="1021"/>
      <c r="Y5" s="1021"/>
      <c r="Z5" s="1021"/>
      <c r="AA5" s="1021"/>
      <c r="AB5" s="1021"/>
      <c r="AC5" s="1021"/>
      <c r="AD5" s="1021"/>
      <c r="AE5" s="1021"/>
      <c r="AF5" s="411" t="s">
        <v>468</v>
      </c>
    </row>
    <row r="6" spans="1:32" ht="18.75" x14ac:dyDescent="0.2">
      <c r="A6" s="1017" t="s">
        <v>428</v>
      </c>
      <c r="B6" s="412"/>
      <c r="C6" s="412"/>
      <c r="D6" s="412"/>
      <c r="E6" s="1021"/>
      <c r="F6" s="1021"/>
      <c r="G6" s="1015"/>
      <c r="H6" s="1015"/>
      <c r="I6" s="1021"/>
      <c r="J6" s="1021"/>
      <c r="K6" s="1015"/>
      <c r="L6" s="1015"/>
      <c r="M6" s="1021"/>
      <c r="N6" s="1021"/>
      <c r="O6" s="1021"/>
      <c r="P6" s="413"/>
      <c r="Q6" s="768"/>
      <c r="R6" s="1021"/>
      <c r="S6" s="1021"/>
      <c r="T6" s="1021"/>
      <c r="U6" s="1021"/>
      <c r="V6" s="1021"/>
      <c r="W6" s="1021"/>
      <c r="X6" s="1021"/>
      <c r="Y6" s="1021"/>
      <c r="Z6" s="1021"/>
      <c r="AA6" s="1021"/>
      <c r="AB6" s="1021"/>
      <c r="AC6" s="1021"/>
      <c r="AD6" s="1021"/>
      <c r="AE6" s="1021"/>
      <c r="AF6" s="415" t="s">
        <v>429</v>
      </c>
    </row>
    <row r="7" spans="1:32" ht="18.75" x14ac:dyDescent="0.2">
      <c r="A7" s="1021"/>
      <c r="B7" s="1017"/>
      <c r="C7" s="1017"/>
      <c r="D7" s="1017"/>
      <c r="E7" s="1021"/>
      <c r="F7" s="1021"/>
      <c r="G7" s="1015"/>
      <c r="H7" s="1015"/>
      <c r="I7" s="405"/>
      <c r="J7" s="1021"/>
      <c r="K7" s="1015"/>
      <c r="L7" s="1015"/>
      <c r="M7" s="1021"/>
      <c r="N7" s="1021"/>
      <c r="O7" s="1021"/>
      <c r="P7" s="413"/>
      <c r="Q7" s="768"/>
      <c r="R7" s="1021"/>
      <c r="S7" s="1021"/>
      <c r="T7" s="1021"/>
      <c r="U7" s="1021"/>
      <c r="V7" s="1021"/>
      <c r="W7" s="411"/>
      <c r="X7" s="1021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021"/>
      <c r="G8" s="1015"/>
      <c r="H8" s="1015"/>
      <c r="I8" s="405"/>
      <c r="J8" s="1021"/>
      <c r="K8" s="1015"/>
      <c r="L8" s="1015"/>
      <c r="M8" s="1021"/>
      <c r="N8" s="1021"/>
      <c r="O8" s="1021"/>
      <c r="P8" s="413"/>
      <c r="Q8" s="768"/>
      <c r="R8" s="1021"/>
      <c r="S8" s="1021"/>
      <c r="T8" s="1021"/>
      <c r="U8" s="1021"/>
      <c r="V8" s="1021"/>
      <c r="W8" s="411"/>
      <c r="X8" s="1021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428</v>
      </c>
      <c r="B9" s="1911"/>
      <c r="C9" s="1911"/>
      <c r="D9" s="1911"/>
      <c r="E9" s="1911"/>
      <c r="F9" s="1021"/>
      <c r="G9" s="1015"/>
      <c r="H9" s="1015"/>
      <c r="I9" s="405"/>
      <c r="J9" s="1021"/>
      <c r="K9" s="1015"/>
      <c r="L9" s="1015"/>
      <c r="M9" s="1021"/>
      <c r="N9" s="1021"/>
      <c r="O9" s="1021"/>
      <c r="P9" s="413"/>
      <c r="Q9" s="768"/>
      <c r="R9" s="1021"/>
      <c r="S9" s="1021"/>
      <c r="T9" s="1021"/>
      <c r="U9" s="1021"/>
      <c r="V9" s="1021"/>
      <c r="W9" s="411"/>
      <c r="X9" s="1021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021"/>
      <c r="G10" s="1015"/>
      <c r="H10" s="1015"/>
      <c r="I10" s="1021"/>
      <c r="J10" s="1021"/>
      <c r="K10" s="1015"/>
      <c r="L10" s="1015"/>
      <c r="M10" s="1015"/>
      <c r="N10" s="1015"/>
      <c r="O10" s="1015"/>
      <c r="P10" s="1015"/>
      <c r="Q10" s="769"/>
      <c r="R10" s="1015"/>
      <c r="S10" s="1015"/>
      <c r="T10" s="1015"/>
      <c r="U10" s="1015"/>
      <c r="V10" s="1015"/>
      <c r="W10" s="1021"/>
      <c r="X10" s="1021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15"/>
      <c r="C11" s="1015"/>
      <c r="D11" s="1015"/>
      <c r="E11" s="1021"/>
      <c r="F11" s="1021"/>
      <c r="G11" s="1015"/>
      <c r="H11" s="1015"/>
      <c r="I11" s="405"/>
      <c r="J11" s="1021"/>
      <c r="K11" s="1015"/>
      <c r="L11" s="1015"/>
      <c r="M11" s="1021"/>
      <c r="N11" s="1021"/>
      <c r="O11" s="1021"/>
      <c r="P11" s="413"/>
      <c r="Q11" s="768"/>
      <c r="R11" s="1021"/>
      <c r="S11" s="1021"/>
      <c r="T11" s="1021"/>
      <c r="U11" s="1021"/>
      <c r="V11" s="1021"/>
      <c r="W11" s="411"/>
      <c r="X11" s="1021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012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012" t="s">
        <v>18</v>
      </c>
      <c r="AE13" s="1012" t="s">
        <v>20</v>
      </c>
      <c r="AF13" s="1891" t="s">
        <v>21</v>
      </c>
    </row>
    <row r="14" spans="1:32" ht="37.5" x14ac:dyDescent="0.2">
      <c r="A14" s="1891"/>
      <c r="B14" s="1891"/>
      <c r="C14" s="1903"/>
      <c r="D14" s="1018" t="s">
        <v>3</v>
      </c>
      <c r="E14" s="1018" t="s">
        <v>3</v>
      </c>
      <c r="F14" s="1018" t="s">
        <v>4</v>
      </c>
      <c r="G14" s="1903"/>
      <c r="H14" s="1903"/>
      <c r="I14" s="1891"/>
      <c r="J14" s="1018" t="s">
        <v>7</v>
      </c>
      <c r="K14" s="1018" t="s">
        <v>30</v>
      </c>
      <c r="L14" s="1018" t="s">
        <v>29</v>
      </c>
      <c r="M14" s="1018" t="s">
        <v>31</v>
      </c>
      <c r="N14" s="1018" t="s">
        <v>32</v>
      </c>
      <c r="O14" s="1018" t="s">
        <v>12</v>
      </c>
      <c r="P14" s="448" t="s">
        <v>13</v>
      </c>
      <c r="Q14" s="771" t="s">
        <v>26</v>
      </c>
      <c r="R14" s="1018" t="s">
        <v>14</v>
      </c>
      <c r="S14" s="1018" t="s">
        <v>25</v>
      </c>
      <c r="T14" s="1018" t="s">
        <v>113</v>
      </c>
      <c r="U14" s="1903"/>
      <c r="V14" s="1903"/>
      <c r="W14" s="1903"/>
      <c r="X14" s="1903"/>
      <c r="Y14" s="1018" t="s">
        <v>14</v>
      </c>
      <c r="Z14" s="1018" t="s">
        <v>25</v>
      </c>
      <c r="AA14" s="1018" t="s">
        <v>113</v>
      </c>
      <c r="AB14" s="1903"/>
      <c r="AC14" s="1903"/>
      <c r="AD14" s="1018" t="s">
        <v>19</v>
      </c>
      <c r="AE14" s="1018" t="s">
        <v>27</v>
      </c>
      <c r="AF14" s="1891"/>
    </row>
    <row r="15" spans="1:32" ht="18.75" customHeight="1" x14ac:dyDescent="0.2">
      <c r="A15" s="1019">
        <v>1</v>
      </c>
      <c r="B15" s="461" t="s">
        <v>139</v>
      </c>
      <c r="C15" s="1019" t="s">
        <v>46</v>
      </c>
      <c r="D15" s="1019">
        <v>610.5</v>
      </c>
      <c r="E15" s="1019" t="s">
        <v>203</v>
      </c>
      <c r="F15" s="1019">
        <v>177.8</v>
      </c>
      <c r="G15" s="1019" t="s">
        <v>28</v>
      </c>
      <c r="H15" s="452" t="s">
        <v>363</v>
      </c>
      <c r="I15" s="1018">
        <v>558.54</v>
      </c>
      <c r="J15" s="1019">
        <v>218</v>
      </c>
      <c r="K15" s="1019"/>
      <c r="L15" s="1019">
        <v>399</v>
      </c>
      <c r="M15" s="1019"/>
      <c r="N15" s="1019">
        <v>0.2</v>
      </c>
      <c r="O15" s="1019"/>
      <c r="P15" s="668">
        <v>15.2016944684094</v>
      </c>
      <c r="Q15" s="668">
        <f>J15*7/100</f>
        <v>15.26</v>
      </c>
      <c r="R15" s="432">
        <v>2.9797857142857147</v>
      </c>
      <c r="S15" s="432">
        <v>8.1991428571428582</v>
      </c>
      <c r="T15" s="670">
        <v>21</v>
      </c>
      <c r="U15" s="668">
        <f t="shared" ref="U15:U34" si="0">IF(R15=0,0,T15/R15)</f>
        <v>7.047486636143538</v>
      </c>
      <c r="V15" s="668">
        <f>IF(S15=0,0,(S15-R15)/S15*100)</f>
        <v>63.657350942607238</v>
      </c>
      <c r="W15" s="668">
        <v>0.2</v>
      </c>
      <c r="X15" s="432">
        <f>IF(S15=0,0,S15/Q15)</f>
        <v>0.53729638644448607</v>
      </c>
      <c r="Y15" s="432">
        <f>R15*0.985</f>
        <v>2.935088928571429</v>
      </c>
      <c r="Z15" s="432">
        <f>S15*0.985</f>
        <v>8.076155714285715</v>
      </c>
      <c r="AA15" s="670">
        <v>11</v>
      </c>
      <c r="AB15" s="432">
        <f>U15</f>
        <v>7.047486636143538</v>
      </c>
      <c r="AC15" s="670">
        <f t="shared" ref="AC15:AC78" si="1">V15</f>
        <v>63.657350942607238</v>
      </c>
      <c r="AD15" s="1019">
        <v>31</v>
      </c>
      <c r="AE15" s="432">
        <f>Y15*AD15</f>
        <v>90.987756785714296</v>
      </c>
      <c r="AF15" s="669"/>
    </row>
    <row r="16" spans="1:32" ht="18.75" customHeight="1" x14ac:dyDescent="0.2">
      <c r="A16" s="1019">
        <v>2</v>
      </c>
      <c r="B16" s="461" t="s">
        <v>140</v>
      </c>
      <c r="C16" s="1019" t="s">
        <v>46</v>
      </c>
      <c r="D16" s="1019">
        <v>623.5</v>
      </c>
      <c r="E16" s="1019" t="s">
        <v>480</v>
      </c>
      <c r="F16" s="1019">
        <v>177.8</v>
      </c>
      <c r="G16" s="1019" t="s">
        <v>28</v>
      </c>
      <c r="H16" s="1019" t="s">
        <v>50</v>
      </c>
      <c r="I16" s="1018">
        <v>586.46999999999991</v>
      </c>
      <c r="J16" s="1019">
        <v>185</v>
      </c>
      <c r="K16" s="1019"/>
      <c r="L16" s="1019">
        <v>220</v>
      </c>
      <c r="M16" s="1019"/>
      <c r="N16" s="1019">
        <v>1.6</v>
      </c>
      <c r="O16" s="1019"/>
      <c r="P16" s="668">
        <v>50.429168891550354</v>
      </c>
      <c r="Q16" s="668">
        <f t="shared" ref="Q16:Q39" si="2">LEFT(H16,(FIND("K",H16,1)-1))*J16/100</f>
        <v>11.1</v>
      </c>
      <c r="R16" s="432">
        <v>0.18067857142857144</v>
      </c>
      <c r="S16" s="432">
        <v>4.056107142857142</v>
      </c>
      <c r="T16" s="670">
        <v>0</v>
      </c>
      <c r="U16" s="668">
        <f t="shared" si="0"/>
        <v>0</v>
      </c>
      <c r="V16" s="668">
        <f t="shared" ref="V16:V78" si="3">IF(S16=0,0,(S16-R16)/S16*100)</f>
        <v>95.54551778182811</v>
      </c>
      <c r="W16" s="668">
        <v>0.1</v>
      </c>
      <c r="X16" s="432">
        <f>IF(S16=0,0,S16/Q16)</f>
        <v>0.36541505791505785</v>
      </c>
      <c r="Y16" s="432">
        <f t="shared" ref="Y16:AA78" si="4">R16*0.985</f>
        <v>0.17796839285714286</v>
      </c>
      <c r="Z16" s="432">
        <f t="shared" si="4"/>
        <v>3.9952655357142848</v>
      </c>
      <c r="AA16" s="670">
        <f t="shared" si="4"/>
        <v>0</v>
      </c>
      <c r="AB16" s="432">
        <f t="shared" ref="AB16:AB78" si="5">U16</f>
        <v>0</v>
      </c>
      <c r="AC16" s="670">
        <f t="shared" si="1"/>
        <v>95.54551778182811</v>
      </c>
      <c r="AD16" s="1019">
        <v>31</v>
      </c>
      <c r="AE16" s="432">
        <f t="shared" ref="AE16:AE59" si="6">Y16*AD16</f>
        <v>5.5170201785714283</v>
      </c>
      <c r="AF16" s="669"/>
    </row>
    <row r="17" spans="1:32" ht="18.75" customHeight="1" x14ac:dyDescent="0.2">
      <c r="A17" s="1019">
        <v>3</v>
      </c>
      <c r="B17" s="461" t="s">
        <v>141</v>
      </c>
      <c r="C17" s="1019" t="s">
        <v>46</v>
      </c>
      <c r="D17" s="1019">
        <v>670</v>
      </c>
      <c r="E17" s="1019" t="s">
        <v>68</v>
      </c>
      <c r="F17" s="1019">
        <v>177.8</v>
      </c>
      <c r="G17" s="1019" t="s">
        <v>28</v>
      </c>
      <c r="H17" s="1019" t="s">
        <v>218</v>
      </c>
      <c r="I17" s="1018">
        <v>565.94000000000005</v>
      </c>
      <c r="J17" s="1019">
        <v>290</v>
      </c>
      <c r="K17" s="1019"/>
      <c r="L17" s="1019">
        <v>489</v>
      </c>
      <c r="M17" s="1019"/>
      <c r="N17" s="668">
        <v>8.6999999999999993</v>
      </c>
      <c r="O17" s="1019"/>
      <c r="P17" s="668">
        <v>12.364309740551448</v>
      </c>
      <c r="Q17" s="668">
        <f>LEFT(H17,(FIND("K",H17,1)-1))*J17/100</f>
        <v>92.8</v>
      </c>
      <c r="R17" s="432">
        <v>14.775785714285716</v>
      </c>
      <c r="S17" s="432">
        <v>23.227142857142862</v>
      </c>
      <c r="T17" s="670">
        <v>1570</v>
      </c>
      <c r="U17" s="668">
        <f t="shared" si="0"/>
        <v>106.25492480457891</v>
      </c>
      <c r="V17" s="668">
        <f t="shared" si="3"/>
        <v>36.385694077126523</v>
      </c>
      <c r="W17" s="668">
        <v>0.2</v>
      </c>
      <c r="X17" s="432">
        <f t="shared" ref="X17:X78" si="7">IF(S17=0,0,S17/Q17)</f>
        <v>0.25029248768472911</v>
      </c>
      <c r="Y17" s="432">
        <f t="shared" si="4"/>
        <v>14.554148928571429</v>
      </c>
      <c r="Z17" s="432">
        <f t="shared" si="4"/>
        <v>22.878735714285718</v>
      </c>
      <c r="AA17" s="670">
        <f t="shared" si="4"/>
        <v>1546.45</v>
      </c>
      <c r="AB17" s="432">
        <f t="shared" si="5"/>
        <v>106.25492480457891</v>
      </c>
      <c r="AC17" s="670">
        <f t="shared" si="1"/>
        <v>36.385694077126523</v>
      </c>
      <c r="AD17" s="1019">
        <v>31</v>
      </c>
      <c r="AE17" s="432">
        <f>Y17*AD17</f>
        <v>451.17861678571433</v>
      </c>
      <c r="AF17" s="669"/>
    </row>
    <row r="18" spans="1:32" ht="18.75" customHeight="1" x14ac:dyDescent="0.2">
      <c r="A18" s="1019">
        <v>4</v>
      </c>
      <c r="B18" s="461" t="s">
        <v>142</v>
      </c>
      <c r="C18" s="1019" t="s">
        <v>46</v>
      </c>
      <c r="D18" s="1019">
        <v>628</v>
      </c>
      <c r="E18" s="1019" t="s">
        <v>481</v>
      </c>
      <c r="F18" s="1019">
        <v>177.8</v>
      </c>
      <c r="G18" s="1019" t="s">
        <v>28</v>
      </c>
      <c r="H18" s="831" t="s">
        <v>466</v>
      </c>
      <c r="I18" s="1018">
        <v>541.28</v>
      </c>
      <c r="J18" s="1019">
        <v>140</v>
      </c>
      <c r="K18" s="1019"/>
      <c r="L18" s="1019">
        <v>452</v>
      </c>
      <c r="M18" s="1019"/>
      <c r="N18" s="668">
        <v>4.838709677419355</v>
      </c>
      <c r="O18" s="1019"/>
      <c r="P18" s="668">
        <v>16.04752344106765</v>
      </c>
      <c r="Q18" s="668">
        <f>13*J18/100</f>
        <v>18.2</v>
      </c>
      <c r="R18" s="432">
        <v>3.8458571428571426</v>
      </c>
      <c r="S18" s="432">
        <v>5.7802500000000006</v>
      </c>
      <c r="T18" s="670">
        <v>37</v>
      </c>
      <c r="U18" s="668">
        <f t="shared" si="0"/>
        <v>9.6207421715389483</v>
      </c>
      <c r="V18" s="668">
        <f t="shared" si="3"/>
        <v>33.465556976650795</v>
      </c>
      <c r="W18" s="668">
        <v>0.3</v>
      </c>
      <c r="X18" s="432">
        <f t="shared" si="7"/>
        <v>0.31759615384615386</v>
      </c>
      <c r="Y18" s="432">
        <f t="shared" si="4"/>
        <v>3.7881692857142855</v>
      </c>
      <c r="Z18" s="432">
        <f t="shared" si="4"/>
        <v>5.6935462500000007</v>
      </c>
      <c r="AA18" s="670">
        <f t="shared" si="4"/>
        <v>36.445</v>
      </c>
      <c r="AB18" s="432">
        <f t="shared" si="5"/>
        <v>9.6207421715389483</v>
      </c>
      <c r="AC18" s="670">
        <f t="shared" si="1"/>
        <v>33.465556976650795</v>
      </c>
      <c r="AD18" s="1019">
        <v>31</v>
      </c>
      <c r="AE18" s="432">
        <f t="shared" si="6"/>
        <v>117.43324785714285</v>
      </c>
      <c r="AF18" s="669"/>
    </row>
    <row r="19" spans="1:32" ht="18.75" customHeight="1" x14ac:dyDescent="0.2">
      <c r="A19" s="1019">
        <v>5</v>
      </c>
      <c r="B19" s="461" t="s">
        <v>143</v>
      </c>
      <c r="C19" s="1019" t="s">
        <v>46</v>
      </c>
      <c r="D19" s="1019">
        <v>576.6</v>
      </c>
      <c r="E19" s="1019" t="s">
        <v>70</v>
      </c>
      <c r="F19" s="1019">
        <v>177.8</v>
      </c>
      <c r="G19" s="1019" t="s">
        <v>28</v>
      </c>
      <c r="H19" s="550" t="s">
        <v>53</v>
      </c>
      <c r="I19" s="1018">
        <v>546.04999999999995</v>
      </c>
      <c r="J19" s="1019">
        <v>125</v>
      </c>
      <c r="K19" s="1019"/>
      <c r="L19" s="1019">
        <v>434</v>
      </c>
      <c r="M19" s="1019"/>
      <c r="N19" s="668">
        <v>5.6</v>
      </c>
      <c r="O19" s="1019"/>
      <c r="P19" s="668">
        <v>17.066268903317908</v>
      </c>
      <c r="Q19" s="668">
        <f t="shared" si="2"/>
        <v>16.25</v>
      </c>
      <c r="R19" s="432">
        <v>4.9309285714285709</v>
      </c>
      <c r="S19" s="432">
        <v>5.6085714285714294</v>
      </c>
      <c r="T19" s="670">
        <v>37</v>
      </c>
      <c r="U19" s="668">
        <f t="shared" si="0"/>
        <v>7.5036576709689573</v>
      </c>
      <c r="V19" s="668">
        <f t="shared" si="3"/>
        <v>12.082272032603182</v>
      </c>
      <c r="W19" s="668">
        <v>0.2</v>
      </c>
      <c r="X19" s="432">
        <f t="shared" si="7"/>
        <v>0.3451428571428572</v>
      </c>
      <c r="Y19" s="432">
        <f t="shared" si="4"/>
        <v>4.8569646428571422</v>
      </c>
      <c r="Z19" s="432">
        <f t="shared" si="4"/>
        <v>5.5244428571428577</v>
      </c>
      <c r="AA19" s="670">
        <f t="shared" si="4"/>
        <v>36.445</v>
      </c>
      <c r="AB19" s="432">
        <f t="shared" si="5"/>
        <v>7.5036576709689573</v>
      </c>
      <c r="AC19" s="670">
        <f t="shared" si="1"/>
        <v>12.082272032603182</v>
      </c>
      <c r="AD19" s="1019">
        <v>31</v>
      </c>
      <c r="AE19" s="432">
        <f t="shared" si="6"/>
        <v>150.5659039285714</v>
      </c>
      <c r="AF19" s="669"/>
    </row>
    <row r="20" spans="1:32" ht="18.75" customHeight="1" x14ac:dyDescent="0.2">
      <c r="A20" s="1019">
        <v>6</v>
      </c>
      <c r="B20" s="461" t="s">
        <v>144</v>
      </c>
      <c r="C20" s="1019" t="s">
        <v>46</v>
      </c>
      <c r="D20" s="1019">
        <v>676.6</v>
      </c>
      <c r="E20" s="1019" t="s">
        <v>460</v>
      </c>
      <c r="F20" s="1019">
        <v>177.8</v>
      </c>
      <c r="G20" s="1019" t="s">
        <v>28</v>
      </c>
      <c r="H20" s="1019" t="s">
        <v>461</v>
      </c>
      <c r="I20" s="1018">
        <v>567.16</v>
      </c>
      <c r="J20" s="1019">
        <v>85</v>
      </c>
      <c r="K20" s="1019"/>
      <c r="L20" s="1019">
        <v>398</v>
      </c>
      <c r="M20" s="1019"/>
      <c r="N20" s="668">
        <v>0.66451612903225787</v>
      </c>
      <c r="O20" s="1019"/>
      <c r="P20" s="668">
        <v>16.053397148691062</v>
      </c>
      <c r="Q20" s="668">
        <v>18.7</v>
      </c>
      <c r="R20" s="432">
        <v>2.2594642857142855</v>
      </c>
      <c r="S20" s="432">
        <v>2.9586428571428569</v>
      </c>
      <c r="T20" s="670">
        <v>6</v>
      </c>
      <c r="U20" s="668">
        <f t="shared" si="0"/>
        <v>2.6554967201454205</v>
      </c>
      <c r="V20" s="668">
        <f t="shared" si="3"/>
        <v>23.631732695975476</v>
      </c>
      <c r="W20" s="668">
        <v>0.3</v>
      </c>
      <c r="X20" s="432">
        <f t="shared" si="7"/>
        <v>0.15821619556913674</v>
      </c>
      <c r="Y20" s="432">
        <f t="shared" si="4"/>
        <v>2.225572321428571</v>
      </c>
      <c r="Z20" s="432">
        <f t="shared" si="4"/>
        <v>2.9142632142857141</v>
      </c>
      <c r="AA20" s="670">
        <f t="shared" si="4"/>
        <v>5.91</v>
      </c>
      <c r="AB20" s="432">
        <v>14.613</v>
      </c>
      <c r="AC20" s="670">
        <f t="shared" si="1"/>
        <v>23.631732695975476</v>
      </c>
      <c r="AD20" s="1019">
        <v>31</v>
      </c>
      <c r="AE20" s="432">
        <f t="shared" si="6"/>
        <v>68.992741964285699</v>
      </c>
      <c r="AF20" s="669"/>
    </row>
    <row r="21" spans="1:32" ht="18.75" customHeight="1" x14ac:dyDescent="0.2">
      <c r="A21" s="1019">
        <v>7</v>
      </c>
      <c r="B21" s="461" t="s">
        <v>145</v>
      </c>
      <c r="C21" s="1019" t="s">
        <v>46</v>
      </c>
      <c r="D21" s="1019" t="s">
        <v>47</v>
      </c>
      <c r="E21" s="1019" t="s">
        <v>72</v>
      </c>
      <c r="F21" s="1019">
        <v>177.8</v>
      </c>
      <c r="G21" s="1019" t="s">
        <v>28</v>
      </c>
      <c r="H21" s="1019" t="s">
        <v>52</v>
      </c>
      <c r="I21" s="1018">
        <v>560</v>
      </c>
      <c r="J21" s="1019">
        <v>280</v>
      </c>
      <c r="K21" s="1019"/>
      <c r="L21" s="1019">
        <v>449</v>
      </c>
      <c r="M21" s="1019"/>
      <c r="N21" s="668">
        <v>5.9</v>
      </c>
      <c r="O21" s="1019"/>
      <c r="P21" s="668">
        <v>16.82290100051824</v>
      </c>
      <c r="Q21" s="668">
        <f t="shared" si="2"/>
        <v>61.6</v>
      </c>
      <c r="R21" s="432">
        <v>10.306107142857142</v>
      </c>
      <c r="S21" s="432">
        <v>13.888642857142857</v>
      </c>
      <c r="T21" s="670">
        <v>105</v>
      </c>
      <c r="U21" s="668">
        <f t="shared" si="0"/>
        <v>10.188133942773183</v>
      </c>
      <c r="V21" s="668">
        <f t="shared" si="3"/>
        <v>25.794714077792243</v>
      </c>
      <c r="W21" s="668">
        <v>0.3</v>
      </c>
      <c r="X21" s="432">
        <f t="shared" si="7"/>
        <v>0.22546498144712429</v>
      </c>
      <c r="Y21" s="432">
        <f t="shared" si="4"/>
        <v>10.151515535714285</v>
      </c>
      <c r="Z21" s="432">
        <f t="shared" si="4"/>
        <v>13.680313214285714</v>
      </c>
      <c r="AA21" s="670">
        <f t="shared" si="4"/>
        <v>103.425</v>
      </c>
      <c r="AB21" s="432">
        <f t="shared" si="5"/>
        <v>10.188133942773183</v>
      </c>
      <c r="AC21" s="670">
        <f t="shared" si="1"/>
        <v>25.794714077792243</v>
      </c>
      <c r="AD21" s="1019">
        <v>31</v>
      </c>
      <c r="AE21" s="432">
        <f t="shared" si="6"/>
        <v>314.69698160714285</v>
      </c>
      <c r="AF21" s="669"/>
    </row>
    <row r="22" spans="1:32" ht="18.75" customHeight="1" x14ac:dyDescent="0.2">
      <c r="A22" s="1019">
        <v>8</v>
      </c>
      <c r="B22" s="461" t="s">
        <v>146</v>
      </c>
      <c r="C22" s="1019" t="s">
        <v>46</v>
      </c>
      <c r="D22" s="1019">
        <v>764</v>
      </c>
      <c r="E22" s="436" t="s">
        <v>73</v>
      </c>
      <c r="F22" s="1019">
        <v>177.8</v>
      </c>
      <c r="G22" s="1019" t="s">
        <v>28</v>
      </c>
      <c r="H22" s="1019" t="s">
        <v>52</v>
      </c>
      <c r="I22" s="437">
        <v>550</v>
      </c>
      <c r="J22" s="1019">
        <v>300</v>
      </c>
      <c r="K22" s="1014"/>
      <c r="L22" s="1019">
        <v>395</v>
      </c>
      <c r="M22" s="1014"/>
      <c r="N22" s="668">
        <v>0.1</v>
      </c>
      <c r="O22" s="1014"/>
      <c r="P22" s="668">
        <v>18.592679396091391</v>
      </c>
      <c r="Q22" s="668">
        <f t="shared" si="2"/>
        <v>66</v>
      </c>
      <c r="R22" s="432">
        <v>3.2614285714285716</v>
      </c>
      <c r="S22" s="432">
        <v>11.086035714285716</v>
      </c>
      <c r="T22" s="670">
        <v>12</v>
      </c>
      <c r="U22" s="668">
        <f t="shared" si="0"/>
        <v>3.6793692509855451</v>
      </c>
      <c r="V22" s="668">
        <f t="shared" si="3"/>
        <v>70.580749913823382</v>
      </c>
      <c r="W22" s="668">
        <v>0.3</v>
      </c>
      <c r="X22" s="432">
        <f t="shared" si="7"/>
        <v>0.16797023809523812</v>
      </c>
      <c r="Y22" s="432">
        <f t="shared" si="4"/>
        <v>3.212507142857143</v>
      </c>
      <c r="Z22" s="432">
        <f t="shared" si="4"/>
        <v>10.91974517857143</v>
      </c>
      <c r="AA22" s="670">
        <f t="shared" si="4"/>
        <v>11.82</v>
      </c>
      <c r="AB22" s="432">
        <f t="shared" si="5"/>
        <v>3.6793692509855451</v>
      </c>
      <c r="AC22" s="670">
        <f t="shared" si="1"/>
        <v>70.580749913823382</v>
      </c>
      <c r="AD22" s="1019">
        <v>31</v>
      </c>
      <c r="AE22" s="432">
        <f t="shared" si="6"/>
        <v>99.587721428571427</v>
      </c>
      <c r="AF22" s="669"/>
    </row>
    <row r="23" spans="1:32" ht="18.75" customHeight="1" x14ac:dyDescent="0.2">
      <c r="A23" s="1019">
        <v>9</v>
      </c>
      <c r="B23" s="461" t="s">
        <v>147</v>
      </c>
      <c r="C23" s="1019" t="s">
        <v>46</v>
      </c>
      <c r="D23" s="1019">
        <v>650.1</v>
      </c>
      <c r="E23" s="1019" t="s">
        <v>74</v>
      </c>
      <c r="F23" s="1019">
        <v>177.8</v>
      </c>
      <c r="G23" s="1019" t="s">
        <v>28</v>
      </c>
      <c r="H23" s="1019" t="s">
        <v>52</v>
      </c>
      <c r="I23" s="1018">
        <v>591.98</v>
      </c>
      <c r="J23" s="1019">
        <v>175</v>
      </c>
      <c r="K23" s="1019"/>
      <c r="L23" s="1019">
        <v>459</v>
      </c>
      <c r="M23" s="1019"/>
      <c r="N23" s="668">
        <v>2.2999999999999998</v>
      </c>
      <c r="O23" s="1019"/>
      <c r="P23" s="668">
        <v>12.709816300707695</v>
      </c>
      <c r="Q23" s="668">
        <f t="shared" si="2"/>
        <v>38.5</v>
      </c>
      <c r="R23" s="432">
        <v>4.6320000000000006</v>
      </c>
      <c r="S23" s="432">
        <v>9.634857142857145</v>
      </c>
      <c r="T23" s="670">
        <v>61</v>
      </c>
      <c r="U23" s="668">
        <f t="shared" si="0"/>
        <v>13.169257340241794</v>
      </c>
      <c r="V23" s="668">
        <f t="shared" si="3"/>
        <v>51.924559634659872</v>
      </c>
      <c r="W23" s="668">
        <v>0.2</v>
      </c>
      <c r="X23" s="432">
        <f t="shared" si="7"/>
        <v>0.25025602968460114</v>
      </c>
      <c r="Y23" s="432">
        <f t="shared" si="4"/>
        <v>4.5625200000000001</v>
      </c>
      <c r="Z23" s="432">
        <f t="shared" si="4"/>
        <v>9.4903342857142885</v>
      </c>
      <c r="AA23" s="670">
        <f t="shared" si="4"/>
        <v>60.085000000000001</v>
      </c>
      <c r="AB23" s="432">
        <f t="shared" si="5"/>
        <v>13.169257340241794</v>
      </c>
      <c r="AC23" s="670">
        <f t="shared" si="1"/>
        <v>51.924559634659872</v>
      </c>
      <c r="AD23" s="1019">
        <v>31</v>
      </c>
      <c r="AE23" s="432">
        <f t="shared" si="6"/>
        <v>141.43812</v>
      </c>
      <c r="AF23" s="669"/>
    </row>
    <row r="24" spans="1:32" ht="18.75" customHeight="1" x14ac:dyDescent="0.2">
      <c r="A24" s="1019">
        <v>10</v>
      </c>
      <c r="B24" s="461" t="s">
        <v>148</v>
      </c>
      <c r="C24" s="1019" t="s">
        <v>46</v>
      </c>
      <c r="D24" s="1019">
        <v>640.20000000000005</v>
      </c>
      <c r="E24" s="1019" t="s">
        <v>398</v>
      </c>
      <c r="F24" s="1019">
        <v>177.8</v>
      </c>
      <c r="G24" s="1019" t="s">
        <v>28</v>
      </c>
      <c r="H24" s="831" t="s">
        <v>466</v>
      </c>
      <c r="I24" s="1018">
        <v>565.38</v>
      </c>
      <c r="J24" s="1019">
        <v>145</v>
      </c>
      <c r="K24" s="1019"/>
      <c r="L24" s="1019">
        <v>425</v>
      </c>
      <c r="M24" s="1019"/>
      <c r="N24" s="1019">
        <v>0</v>
      </c>
      <c r="O24" s="1019"/>
      <c r="P24" s="668">
        <v>8.8928522601482296</v>
      </c>
      <c r="Q24" s="668">
        <f>J24*13/100</f>
        <v>18.850000000000001</v>
      </c>
      <c r="R24" s="432">
        <v>2.4120714285714278</v>
      </c>
      <c r="S24" s="432">
        <v>3.0794642857142853</v>
      </c>
      <c r="T24" s="670">
        <v>0</v>
      </c>
      <c r="U24" s="668">
        <f t="shared" si="0"/>
        <v>0</v>
      </c>
      <c r="V24" s="668">
        <f t="shared" si="3"/>
        <v>21.672368802551482</v>
      </c>
      <c r="W24" s="668">
        <v>0.3</v>
      </c>
      <c r="X24" s="432">
        <f t="shared" si="7"/>
        <v>0.1633668056081849</v>
      </c>
      <c r="Y24" s="432">
        <f t="shared" si="4"/>
        <v>2.3758903571428562</v>
      </c>
      <c r="Z24" s="432">
        <f t="shared" si="4"/>
        <v>3.0332723214285711</v>
      </c>
      <c r="AA24" s="670">
        <f t="shared" si="4"/>
        <v>0</v>
      </c>
      <c r="AB24" s="432">
        <f t="shared" si="5"/>
        <v>0</v>
      </c>
      <c r="AC24" s="670">
        <f t="shared" si="1"/>
        <v>21.672368802551482</v>
      </c>
      <c r="AD24" s="1019">
        <v>31</v>
      </c>
      <c r="AE24" s="432">
        <f t="shared" si="6"/>
        <v>73.652601071428549</v>
      </c>
      <c r="AF24" s="669"/>
    </row>
    <row r="25" spans="1:32" ht="18.75" customHeight="1" x14ac:dyDescent="0.2">
      <c r="A25" s="1019">
        <v>11</v>
      </c>
      <c r="B25" s="461" t="s">
        <v>149</v>
      </c>
      <c r="C25" s="1019" t="s">
        <v>46</v>
      </c>
      <c r="D25" s="1019">
        <v>606.29999999999995</v>
      </c>
      <c r="E25" s="1019" t="s">
        <v>76</v>
      </c>
      <c r="F25" s="1019">
        <v>177.8</v>
      </c>
      <c r="G25" s="1019" t="s">
        <v>28</v>
      </c>
      <c r="H25" s="1019" t="s">
        <v>487</v>
      </c>
      <c r="I25" s="1018">
        <v>591.96</v>
      </c>
      <c r="J25" s="1019">
        <v>160</v>
      </c>
      <c r="K25" s="1019"/>
      <c r="L25" s="1019">
        <v>466</v>
      </c>
      <c r="M25" s="1019"/>
      <c r="N25" s="1019">
        <v>5.6</v>
      </c>
      <c r="O25" s="1019"/>
      <c r="P25" s="668">
        <v>13.632223284545562</v>
      </c>
      <c r="Q25" s="668">
        <f t="shared" si="2"/>
        <v>24</v>
      </c>
      <c r="R25" s="432">
        <v>0.78532258064516103</v>
      </c>
      <c r="S25" s="432">
        <v>2.2589999999999999</v>
      </c>
      <c r="T25" s="670">
        <v>4</v>
      </c>
      <c r="U25" s="668">
        <f t="shared" si="0"/>
        <v>5.0934483466830986</v>
      </c>
      <c r="V25" s="668">
        <f t="shared" si="3"/>
        <v>65.235830870068128</v>
      </c>
      <c r="W25" s="668">
        <v>0.5</v>
      </c>
      <c r="X25" s="432">
        <f t="shared" si="7"/>
        <v>9.4125E-2</v>
      </c>
      <c r="Y25" s="432">
        <f t="shared" si="4"/>
        <v>0.77354274193548356</v>
      </c>
      <c r="Z25" s="432">
        <f t="shared" si="4"/>
        <v>2.2251149999999997</v>
      </c>
      <c r="AA25" s="670">
        <f t="shared" si="4"/>
        <v>3.94</v>
      </c>
      <c r="AB25" s="432">
        <f t="shared" si="5"/>
        <v>5.0934483466830986</v>
      </c>
      <c r="AC25" s="670">
        <f t="shared" si="1"/>
        <v>65.235830870068128</v>
      </c>
      <c r="AD25" s="1019">
        <v>31</v>
      </c>
      <c r="AE25" s="432">
        <f t="shared" si="6"/>
        <v>23.979824999999991</v>
      </c>
      <c r="AF25" s="449"/>
    </row>
    <row r="26" spans="1:32" ht="18.75" customHeight="1" x14ac:dyDescent="0.2">
      <c r="A26" s="1019">
        <v>12</v>
      </c>
      <c r="B26" s="461" t="s">
        <v>150</v>
      </c>
      <c r="C26" s="1019" t="s">
        <v>46</v>
      </c>
      <c r="D26" s="1019">
        <v>661</v>
      </c>
      <c r="E26" s="679" t="s">
        <v>433</v>
      </c>
      <c r="F26" s="1019">
        <v>177.8</v>
      </c>
      <c r="G26" s="1019" t="s">
        <v>28</v>
      </c>
      <c r="H26" s="1019" t="s">
        <v>53</v>
      </c>
      <c r="I26" s="1018">
        <v>555.72</v>
      </c>
      <c r="J26" s="1019">
        <v>0</v>
      </c>
      <c r="K26" s="1019"/>
      <c r="L26" s="1019"/>
      <c r="M26" s="1019"/>
      <c r="N26" s="1019"/>
      <c r="O26" s="1019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1019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1019">
        <v>13</v>
      </c>
      <c r="B27" s="461" t="s">
        <v>151</v>
      </c>
      <c r="C27" s="1019" t="s">
        <v>46</v>
      </c>
      <c r="D27" s="1019">
        <v>658.32</v>
      </c>
      <c r="E27" s="1018" t="s">
        <v>298</v>
      </c>
      <c r="F27" s="1019">
        <v>177.8</v>
      </c>
      <c r="G27" s="1019" t="s">
        <v>28</v>
      </c>
      <c r="H27" s="1019" t="s">
        <v>52</v>
      </c>
      <c r="I27" s="1018">
        <v>552.47</v>
      </c>
      <c r="J27" s="1019">
        <v>160</v>
      </c>
      <c r="K27" s="1019"/>
      <c r="L27" s="1019">
        <v>293</v>
      </c>
      <c r="M27" s="1019"/>
      <c r="N27" s="1019">
        <v>2.2999999999999998</v>
      </c>
      <c r="O27" s="1019"/>
      <c r="P27" s="668">
        <v>28.072351433077753</v>
      </c>
      <c r="Q27" s="668">
        <f t="shared" si="2"/>
        <v>35.200000000000003</v>
      </c>
      <c r="R27" s="432">
        <v>8.3521428571428586</v>
      </c>
      <c r="S27" s="432">
        <v>24.400535714285713</v>
      </c>
      <c r="T27" s="670">
        <v>17</v>
      </c>
      <c r="U27" s="668">
        <f t="shared" si="0"/>
        <v>2.0354057983408875</v>
      </c>
      <c r="V27" s="668">
        <f t="shared" si="3"/>
        <v>65.770657845626914</v>
      </c>
      <c r="W27" s="668">
        <v>0.4</v>
      </c>
      <c r="X27" s="432">
        <f t="shared" si="7"/>
        <v>0.69319703733766225</v>
      </c>
      <c r="Y27" s="432">
        <f t="shared" si="4"/>
        <v>8.2268607142857153</v>
      </c>
      <c r="Z27" s="432">
        <f t="shared" si="4"/>
        <v>24.034527678571425</v>
      </c>
      <c r="AA27" s="670">
        <f t="shared" si="4"/>
        <v>16.745000000000001</v>
      </c>
      <c r="AB27" s="432">
        <f t="shared" si="5"/>
        <v>2.0354057983408875</v>
      </c>
      <c r="AC27" s="670">
        <f t="shared" si="1"/>
        <v>65.770657845626914</v>
      </c>
      <c r="AD27" s="1019">
        <v>31</v>
      </c>
      <c r="AE27" s="432">
        <f t="shared" si="6"/>
        <v>255.03268214285717</v>
      </c>
      <c r="AF27" s="449"/>
    </row>
    <row r="28" spans="1:32" ht="18.75" customHeight="1" x14ac:dyDescent="0.2">
      <c r="A28" s="1019">
        <v>14</v>
      </c>
      <c r="B28" s="461" t="s">
        <v>36</v>
      </c>
      <c r="C28" s="1019" t="s">
        <v>46</v>
      </c>
      <c r="D28" s="1019">
        <v>584.5</v>
      </c>
      <c r="E28" s="1018" t="s">
        <v>79</v>
      </c>
      <c r="F28" s="1019">
        <v>177.8</v>
      </c>
      <c r="G28" s="1019" t="s">
        <v>28</v>
      </c>
      <c r="H28" s="1019" t="s">
        <v>49</v>
      </c>
      <c r="I28" s="1018">
        <v>525.03</v>
      </c>
      <c r="J28" s="1019">
        <v>225</v>
      </c>
      <c r="K28" s="1019"/>
      <c r="L28" s="1019">
        <v>363</v>
      </c>
      <c r="M28" s="1019"/>
      <c r="N28" s="1019">
        <v>6.4</v>
      </c>
      <c r="O28" s="1019"/>
      <c r="P28" s="668">
        <v>25.447474503422125</v>
      </c>
      <c r="Q28" s="668">
        <f t="shared" si="2"/>
        <v>72</v>
      </c>
      <c r="R28" s="432">
        <v>17.285964285714289</v>
      </c>
      <c r="S28" s="432">
        <v>35.726607142857141</v>
      </c>
      <c r="T28" s="670">
        <v>236</v>
      </c>
      <c r="U28" s="668">
        <f t="shared" si="0"/>
        <v>13.652695105649295</v>
      </c>
      <c r="V28" s="668">
        <f t="shared" si="3"/>
        <v>51.615992482593484</v>
      </c>
      <c r="W28" s="668">
        <v>0.3</v>
      </c>
      <c r="X28" s="432">
        <f t="shared" si="7"/>
        <v>0.49620287698412696</v>
      </c>
      <c r="Y28" s="432">
        <f t="shared" si="4"/>
        <v>17.026674821428575</v>
      </c>
      <c r="Z28" s="432">
        <f t="shared" si="4"/>
        <v>35.19070803571428</v>
      </c>
      <c r="AA28" s="670">
        <f t="shared" si="4"/>
        <v>232.46</v>
      </c>
      <c r="AB28" s="432">
        <f t="shared" si="5"/>
        <v>13.652695105649295</v>
      </c>
      <c r="AC28" s="670">
        <f t="shared" si="1"/>
        <v>51.615992482593484</v>
      </c>
      <c r="AD28" s="1019">
        <v>31</v>
      </c>
      <c r="AE28" s="432">
        <f t="shared" si="6"/>
        <v>527.82691946428577</v>
      </c>
      <c r="AF28" s="669"/>
    </row>
    <row r="29" spans="1:32" ht="18.75" customHeight="1" x14ac:dyDescent="0.2">
      <c r="A29" s="1019">
        <v>15</v>
      </c>
      <c r="B29" s="461" t="s">
        <v>152</v>
      </c>
      <c r="C29" s="1019" t="s">
        <v>46</v>
      </c>
      <c r="D29" s="1019">
        <v>565</v>
      </c>
      <c r="E29" s="1018" t="s">
        <v>80</v>
      </c>
      <c r="F29" s="1019">
        <v>177.8</v>
      </c>
      <c r="G29" s="1019" t="s">
        <v>28</v>
      </c>
      <c r="H29" s="1019" t="s">
        <v>491</v>
      </c>
      <c r="I29" s="437">
        <v>520.03</v>
      </c>
      <c r="J29" s="1019">
        <v>140</v>
      </c>
      <c r="K29" s="1019"/>
      <c r="L29" s="1019">
        <v>431</v>
      </c>
      <c r="M29" s="1019"/>
      <c r="N29" s="1019">
        <v>9</v>
      </c>
      <c r="O29" s="1019"/>
      <c r="P29" s="668">
        <v>21.210424521791357</v>
      </c>
      <c r="Q29" s="668">
        <f>J29*23/100</f>
        <v>32.200000000000003</v>
      </c>
      <c r="R29" s="432">
        <v>12.507249999999996</v>
      </c>
      <c r="S29" s="432">
        <v>26.763500000000004</v>
      </c>
      <c r="T29" s="670">
        <v>1153</v>
      </c>
      <c r="U29" s="668">
        <f t="shared" si="0"/>
        <v>92.18653181154933</v>
      </c>
      <c r="V29" s="668">
        <f t="shared" si="3"/>
        <v>53.267509854839631</v>
      </c>
      <c r="W29" s="668">
        <v>0.2</v>
      </c>
      <c r="X29" s="432">
        <f t="shared" si="7"/>
        <v>0.83116459627329198</v>
      </c>
      <c r="Y29" s="432">
        <f t="shared" si="4"/>
        <v>12.319641249999995</v>
      </c>
      <c r="Z29" s="432">
        <f t="shared" si="4"/>
        <v>26.362047500000003</v>
      </c>
      <c r="AA29" s="670">
        <f t="shared" si="4"/>
        <v>1135.7049999999999</v>
      </c>
      <c r="AB29" s="432">
        <f t="shared" si="5"/>
        <v>92.18653181154933</v>
      </c>
      <c r="AC29" s="670">
        <f t="shared" si="1"/>
        <v>53.267509854839631</v>
      </c>
      <c r="AD29" s="1019">
        <v>31</v>
      </c>
      <c r="AE29" s="432">
        <f t="shared" si="6"/>
        <v>381.90887874999981</v>
      </c>
      <c r="AF29" s="669"/>
    </row>
    <row r="30" spans="1:32" ht="18.75" customHeight="1" x14ac:dyDescent="0.2">
      <c r="A30" s="1019">
        <v>16</v>
      </c>
      <c r="B30" s="461" t="s">
        <v>37</v>
      </c>
      <c r="C30" s="1019" t="s">
        <v>46</v>
      </c>
      <c r="D30" s="1019">
        <v>670</v>
      </c>
      <c r="E30" s="1019" t="s">
        <v>81</v>
      </c>
      <c r="F30" s="1019">
        <v>177.8</v>
      </c>
      <c r="G30" s="1019" t="s">
        <v>28</v>
      </c>
      <c r="H30" s="1019" t="s">
        <v>48</v>
      </c>
      <c r="I30" s="1018">
        <v>570.95000000000005</v>
      </c>
      <c r="J30" s="1019">
        <v>85</v>
      </c>
      <c r="K30" s="1019"/>
      <c r="L30" s="1019">
        <v>450</v>
      </c>
      <c r="M30" s="1019"/>
      <c r="N30" s="1019">
        <v>4.9000000000000004</v>
      </c>
      <c r="O30" s="1019"/>
      <c r="P30" s="668">
        <v>18.052211638910713</v>
      </c>
      <c r="Q30" s="668">
        <f t="shared" si="2"/>
        <v>11.05</v>
      </c>
      <c r="R30" s="432">
        <v>3.267464285714285</v>
      </c>
      <c r="S30" s="432">
        <v>6.8800357142857136</v>
      </c>
      <c r="T30" s="670">
        <v>24</v>
      </c>
      <c r="U30" s="668">
        <f t="shared" si="0"/>
        <v>7.3451453180163755</v>
      </c>
      <c r="V30" s="668">
        <f t="shared" si="3"/>
        <v>52.508033077070827</v>
      </c>
      <c r="W30" s="668">
        <v>0.3</v>
      </c>
      <c r="X30" s="432">
        <f t="shared" si="7"/>
        <v>0.62262766645119572</v>
      </c>
      <c r="Y30" s="432">
        <f t="shared" si="4"/>
        <v>3.2184523214285705</v>
      </c>
      <c r="Z30" s="432">
        <f t="shared" si="4"/>
        <v>6.776835178571428</v>
      </c>
      <c r="AA30" s="670">
        <f t="shared" si="4"/>
        <v>23.64</v>
      </c>
      <c r="AB30" s="432">
        <f t="shared" si="5"/>
        <v>7.3451453180163755</v>
      </c>
      <c r="AC30" s="670">
        <f t="shared" si="1"/>
        <v>52.508033077070827</v>
      </c>
      <c r="AD30" s="1019">
        <v>31</v>
      </c>
      <c r="AE30" s="432">
        <f>Y30*AD30</f>
        <v>99.772021964285685</v>
      </c>
      <c r="AF30" s="449"/>
    </row>
    <row r="31" spans="1:32" ht="18.75" customHeight="1" x14ac:dyDescent="0.2">
      <c r="A31" s="1019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019" t="s">
        <v>491</v>
      </c>
      <c r="I31" s="461">
        <v>454.95</v>
      </c>
      <c r="J31" s="461">
        <v>330</v>
      </c>
      <c r="K31" s="461"/>
      <c r="L31" s="461">
        <v>338</v>
      </c>
      <c r="M31" s="461"/>
      <c r="N31" s="461">
        <v>9.9</v>
      </c>
      <c r="O31" s="461"/>
      <c r="P31" s="671">
        <v>13.30306744988761</v>
      </c>
      <c r="Q31" s="668">
        <f>J31*13/100</f>
        <v>42.9</v>
      </c>
      <c r="R31" s="672">
        <v>14.658035714285713</v>
      </c>
      <c r="S31" s="432">
        <v>34.539035714285717</v>
      </c>
      <c r="T31" s="699">
        <v>153</v>
      </c>
      <c r="U31" s="668">
        <f t="shared" si="0"/>
        <v>10.437960650545167</v>
      </c>
      <c r="V31" s="668">
        <f t="shared" si="3"/>
        <v>57.560958460044695</v>
      </c>
      <c r="W31" s="671">
        <v>0.3</v>
      </c>
      <c r="X31" s="432">
        <f t="shared" si="7"/>
        <v>0.80510572760572774</v>
      </c>
      <c r="Y31" s="432">
        <f t="shared" si="4"/>
        <v>14.438165178571428</v>
      </c>
      <c r="Z31" s="432">
        <f t="shared" si="4"/>
        <v>34.020950178571432</v>
      </c>
      <c r="AA31" s="670">
        <f t="shared" si="4"/>
        <v>150.70499999999998</v>
      </c>
      <c r="AB31" s="672">
        <f t="shared" si="5"/>
        <v>10.437960650545167</v>
      </c>
      <c r="AC31" s="699">
        <f t="shared" si="1"/>
        <v>57.560958460044695</v>
      </c>
      <c r="AD31" s="1019">
        <v>31</v>
      </c>
      <c r="AE31" s="672">
        <f>Y31*AD31</f>
        <v>447.58312053571427</v>
      </c>
      <c r="AF31" s="461"/>
    </row>
    <row r="32" spans="1:32" ht="18.600000000000001" customHeight="1" x14ac:dyDescent="0.2">
      <c r="A32" s="1019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019">
        <v>177.8</v>
      </c>
      <c r="G32" s="1019" t="s">
        <v>28</v>
      </c>
      <c r="H32" s="1019" t="s">
        <v>364</v>
      </c>
      <c r="I32" s="437">
        <v>565.79999999999995</v>
      </c>
      <c r="J32" s="1019">
        <v>275</v>
      </c>
      <c r="K32" s="1019"/>
      <c r="L32" s="1019">
        <v>491</v>
      </c>
      <c r="M32" s="1019"/>
      <c r="N32" s="1019">
        <v>8.3000000000000007</v>
      </c>
      <c r="O32" s="1019"/>
      <c r="P32" s="668">
        <v>16.602824877651649</v>
      </c>
      <c r="Q32" s="668">
        <f>J32*13/100</f>
        <v>35.75</v>
      </c>
      <c r="R32" s="432">
        <v>3.3407499999999999</v>
      </c>
      <c r="S32" s="432">
        <v>5.7079999999999993</v>
      </c>
      <c r="T32" s="670">
        <v>163</v>
      </c>
      <c r="U32" s="668">
        <f t="shared" si="0"/>
        <v>48.791439048117937</v>
      </c>
      <c r="V32" s="668">
        <f t="shared" si="3"/>
        <v>41.472494744218636</v>
      </c>
      <c r="W32" s="668">
        <v>0.3</v>
      </c>
      <c r="X32" s="432">
        <f t="shared" si="7"/>
        <v>0.15966433566433563</v>
      </c>
      <c r="Y32" s="432">
        <f t="shared" si="4"/>
        <v>3.2906387499999998</v>
      </c>
      <c r="Z32" s="432">
        <f t="shared" si="4"/>
        <v>5.6223799999999988</v>
      </c>
      <c r="AA32" s="670">
        <f t="shared" si="4"/>
        <v>160.55500000000001</v>
      </c>
      <c r="AB32" s="672">
        <f t="shared" si="5"/>
        <v>48.791439048117937</v>
      </c>
      <c r="AC32" s="699">
        <f t="shared" si="1"/>
        <v>41.472494744218636</v>
      </c>
      <c r="AD32" s="1019">
        <v>31</v>
      </c>
      <c r="AE32" s="672">
        <f>Y32*AD32</f>
        <v>102.00980125</v>
      </c>
      <c r="AF32" s="669"/>
    </row>
    <row r="33" spans="1:32" ht="18.75" customHeight="1" x14ac:dyDescent="0.2">
      <c r="A33" s="1019">
        <v>19</v>
      </c>
      <c r="B33" s="461" t="s">
        <v>38</v>
      </c>
      <c r="C33" s="1019" t="s">
        <v>46</v>
      </c>
      <c r="D33" s="668">
        <v>580</v>
      </c>
      <c r="E33" s="1019" t="s">
        <v>84</v>
      </c>
      <c r="F33" s="1019">
        <v>177.8</v>
      </c>
      <c r="G33" s="1019" t="s">
        <v>28</v>
      </c>
      <c r="H33" s="1019" t="s">
        <v>52</v>
      </c>
      <c r="I33" s="1018">
        <v>565.38</v>
      </c>
      <c r="J33" s="1019">
        <v>85</v>
      </c>
      <c r="K33" s="1019"/>
      <c r="L33" s="1019">
        <v>459</v>
      </c>
      <c r="M33" s="1019"/>
      <c r="N33" s="1019">
        <v>0</v>
      </c>
      <c r="O33" s="1019"/>
      <c r="P33" s="668">
        <v>6.3099763033688694</v>
      </c>
      <c r="Q33" s="668">
        <f t="shared" si="2"/>
        <v>18.7</v>
      </c>
      <c r="R33" s="432">
        <v>2.6917499999999994</v>
      </c>
      <c r="S33" s="432">
        <v>5.4100357142857147</v>
      </c>
      <c r="T33" s="670">
        <v>7</v>
      </c>
      <c r="U33" s="668">
        <f t="shared" si="0"/>
        <v>2.6005386830129105</v>
      </c>
      <c r="V33" s="668">
        <f t="shared" si="3"/>
        <v>50.245245278285743</v>
      </c>
      <c r="W33" s="668">
        <v>0.3</v>
      </c>
      <c r="X33" s="432">
        <f t="shared" si="7"/>
        <v>0.28930672268907565</v>
      </c>
      <c r="Y33" s="432">
        <f t="shared" si="4"/>
        <v>2.6513737499999994</v>
      </c>
      <c r="Z33" s="432">
        <f t="shared" si="4"/>
        <v>5.3288851785714293</v>
      </c>
      <c r="AA33" s="670">
        <f t="shared" si="4"/>
        <v>6.8949999999999996</v>
      </c>
      <c r="AB33" s="432">
        <f>U33</f>
        <v>2.6005386830129105</v>
      </c>
      <c r="AC33" s="699">
        <f t="shared" si="1"/>
        <v>50.245245278285743</v>
      </c>
      <c r="AD33" s="1019">
        <v>31</v>
      </c>
      <c r="AE33" s="432">
        <f t="shared" si="6"/>
        <v>82.192586249999977</v>
      </c>
      <c r="AF33" s="669"/>
    </row>
    <row r="34" spans="1:32" ht="18.75" customHeight="1" x14ac:dyDescent="0.2">
      <c r="A34" s="1019">
        <v>20</v>
      </c>
      <c r="B34" s="461" t="s">
        <v>39</v>
      </c>
      <c r="C34" s="1019" t="s">
        <v>46</v>
      </c>
      <c r="D34" s="1019">
        <v>728.6</v>
      </c>
      <c r="E34" s="1019" t="s">
        <v>411</v>
      </c>
      <c r="F34" s="1019">
        <v>177.8</v>
      </c>
      <c r="G34" s="1019" t="s">
        <v>28</v>
      </c>
      <c r="H34" s="1019" t="s">
        <v>380</v>
      </c>
      <c r="I34" s="1018">
        <v>551.77</v>
      </c>
      <c r="J34" s="1019">
        <v>350</v>
      </c>
      <c r="K34" s="1019"/>
      <c r="L34" s="1019">
        <v>463</v>
      </c>
      <c r="M34" s="1019"/>
      <c r="N34" s="1019">
        <v>2.2999999999999998</v>
      </c>
      <c r="O34" s="1019"/>
      <c r="P34" s="668">
        <v>12.370671269773785</v>
      </c>
      <c r="Q34" s="668">
        <f>J34*23/100</f>
        <v>80.5</v>
      </c>
      <c r="R34" s="432">
        <v>2.989642857142857</v>
      </c>
      <c r="S34" s="432">
        <v>7.2023214285714303</v>
      </c>
      <c r="T34" s="670">
        <v>110</v>
      </c>
      <c r="U34" s="668">
        <f t="shared" si="0"/>
        <v>36.793692509855454</v>
      </c>
      <c r="V34" s="668">
        <f t="shared" si="3"/>
        <v>58.49056603773586</v>
      </c>
      <c r="W34" s="668">
        <v>0.3</v>
      </c>
      <c r="X34" s="432">
        <f t="shared" si="7"/>
        <v>8.9469831410825221E-2</v>
      </c>
      <c r="Y34" s="432">
        <f t="shared" si="4"/>
        <v>2.9447982142857141</v>
      </c>
      <c r="Z34" s="432">
        <f t="shared" si="4"/>
        <v>7.094286607142859</v>
      </c>
      <c r="AA34" s="670">
        <f t="shared" si="4"/>
        <v>108.35</v>
      </c>
      <c r="AB34" s="432">
        <f t="shared" si="5"/>
        <v>36.793692509855454</v>
      </c>
      <c r="AC34" s="699">
        <f t="shared" si="1"/>
        <v>58.49056603773586</v>
      </c>
      <c r="AD34" s="1019">
        <v>31</v>
      </c>
      <c r="AE34" s="432">
        <f t="shared" si="6"/>
        <v>91.288744642857139</v>
      </c>
      <c r="AF34" s="669"/>
    </row>
    <row r="35" spans="1:32" ht="18.75" customHeight="1" x14ac:dyDescent="0.2">
      <c r="A35" s="1019">
        <v>21</v>
      </c>
      <c r="B35" s="461" t="s">
        <v>40</v>
      </c>
      <c r="C35" s="1019" t="s">
        <v>46</v>
      </c>
      <c r="D35" s="1019">
        <v>679.7</v>
      </c>
      <c r="E35" s="1019" t="s">
        <v>86</v>
      </c>
      <c r="F35" s="1019">
        <v>177.8</v>
      </c>
      <c r="G35" s="1019" t="s">
        <v>28</v>
      </c>
      <c r="H35" s="1019" t="s">
        <v>487</v>
      </c>
      <c r="I35" s="1018">
        <v>563.22</v>
      </c>
      <c r="J35" s="1019">
        <v>140</v>
      </c>
      <c r="K35" s="1019"/>
      <c r="L35" s="1019">
        <v>413</v>
      </c>
      <c r="M35" s="1019"/>
      <c r="N35" s="1019">
        <v>0.7</v>
      </c>
      <c r="O35" s="1019"/>
      <c r="P35" s="668">
        <v>43.445014230906118</v>
      </c>
      <c r="Q35" s="668">
        <f t="shared" si="2"/>
        <v>21</v>
      </c>
      <c r="R35" s="432">
        <v>2.553500000000001</v>
      </c>
      <c r="S35" s="432">
        <v>8.0171071428571405</v>
      </c>
      <c r="T35" s="670">
        <v>12</v>
      </c>
      <c r="U35" s="668">
        <f>IF(R35=0,0,T35/R35)</f>
        <v>4.6994321519483044</v>
      </c>
      <c r="V35" s="668">
        <f t="shared" si="3"/>
        <v>68.149359182818856</v>
      </c>
      <c r="W35" s="668">
        <v>0.2</v>
      </c>
      <c r="X35" s="432">
        <f t="shared" si="7"/>
        <v>0.38176700680272097</v>
      </c>
      <c r="Y35" s="432">
        <f t="shared" si="4"/>
        <v>2.5151975000000011</v>
      </c>
      <c r="Z35" s="432">
        <f t="shared" si="4"/>
        <v>7.8968505357142833</v>
      </c>
      <c r="AA35" s="670">
        <f t="shared" si="4"/>
        <v>11.82</v>
      </c>
      <c r="AB35" s="432">
        <f t="shared" si="5"/>
        <v>4.6994321519483044</v>
      </c>
      <c r="AC35" s="699">
        <v>70</v>
      </c>
      <c r="AD35" s="1019">
        <v>31</v>
      </c>
      <c r="AE35" s="432">
        <f>Y35*AD35</f>
        <v>77.971122500000035</v>
      </c>
      <c r="AF35" s="449"/>
    </row>
    <row r="36" spans="1:32" ht="18.75" customHeight="1" x14ac:dyDescent="0.2">
      <c r="A36" s="1019">
        <v>22</v>
      </c>
      <c r="B36" s="461" t="s">
        <v>41</v>
      </c>
      <c r="C36" s="1019" t="s">
        <v>46</v>
      </c>
      <c r="D36" s="1019">
        <v>573.70000000000005</v>
      </c>
      <c r="E36" s="1019" t="s">
        <v>87</v>
      </c>
      <c r="F36" s="1019">
        <v>177.8</v>
      </c>
      <c r="G36" s="1019" t="s">
        <v>28</v>
      </c>
      <c r="H36" s="1019" t="s">
        <v>52</v>
      </c>
      <c r="I36" s="1018">
        <v>554.30999999999995</v>
      </c>
      <c r="J36" s="1019">
        <v>317</v>
      </c>
      <c r="K36" s="1019"/>
      <c r="L36" s="1019">
        <v>469</v>
      </c>
      <c r="M36" s="1019"/>
      <c r="N36" s="1019">
        <v>6.3</v>
      </c>
      <c r="O36" s="1019"/>
      <c r="P36" s="668">
        <v>12.613881275674633</v>
      </c>
      <c r="Q36" s="668">
        <f t="shared" si="2"/>
        <v>69.739999999999995</v>
      </c>
      <c r="R36" s="432">
        <v>9.0357857142857139</v>
      </c>
      <c r="S36" s="432">
        <v>11.240571428571428</v>
      </c>
      <c r="T36" s="670">
        <v>305</v>
      </c>
      <c r="U36" s="668">
        <f t="shared" ref="U36:U78" si="8">IF(R36=0,0,T36/R36)</f>
        <v>33.754673876095843</v>
      </c>
      <c r="V36" s="668">
        <f t="shared" si="3"/>
        <v>19.614534085709927</v>
      </c>
      <c r="W36" s="668">
        <v>0.2</v>
      </c>
      <c r="X36" s="432">
        <f t="shared" si="7"/>
        <v>0.16117825392273341</v>
      </c>
      <c r="Y36" s="432">
        <f t="shared" si="4"/>
        <v>8.9002489285714272</v>
      </c>
      <c r="Z36" s="432">
        <f t="shared" si="4"/>
        <v>11.071962857142857</v>
      </c>
      <c r="AA36" s="670">
        <f t="shared" si="4"/>
        <v>300.42500000000001</v>
      </c>
      <c r="AB36" s="432">
        <v>89.536086956521729</v>
      </c>
      <c r="AC36" s="699">
        <f t="shared" si="1"/>
        <v>19.614534085709927</v>
      </c>
      <c r="AD36" s="1019">
        <v>31</v>
      </c>
      <c r="AE36" s="432">
        <f t="shared" si="6"/>
        <v>275.90771678571423</v>
      </c>
      <c r="AF36" s="673"/>
    </row>
    <row r="37" spans="1:32" ht="18.75" customHeight="1" x14ac:dyDescent="0.2">
      <c r="A37" s="1019">
        <v>23</v>
      </c>
      <c r="B37" s="461" t="s">
        <v>42</v>
      </c>
      <c r="C37" s="1019" t="s">
        <v>46</v>
      </c>
      <c r="D37" s="1019">
        <v>583.20000000000005</v>
      </c>
      <c r="E37" s="1019" t="s">
        <v>434</v>
      </c>
      <c r="F37" s="1019">
        <v>177.8</v>
      </c>
      <c r="G37" s="1019" t="s">
        <v>28</v>
      </c>
      <c r="H37" s="1019" t="s">
        <v>48</v>
      </c>
      <c r="I37" s="1018">
        <v>565.09</v>
      </c>
      <c r="J37" s="1019">
        <v>358</v>
      </c>
      <c r="K37" s="1019"/>
      <c r="L37" s="1019">
        <v>223</v>
      </c>
      <c r="M37" s="1019"/>
      <c r="N37" s="1019">
        <v>7.2</v>
      </c>
      <c r="O37" s="1019"/>
      <c r="P37" s="668">
        <v>44.820708982668634</v>
      </c>
      <c r="Q37" s="668">
        <f t="shared" si="2"/>
        <v>46.54</v>
      </c>
      <c r="R37" s="432">
        <v>2.593428571428571</v>
      </c>
      <c r="S37" s="432">
        <v>10.243357142857144</v>
      </c>
      <c r="T37" s="670">
        <v>17</v>
      </c>
      <c r="U37" s="668">
        <f t="shared" si="8"/>
        <v>6.555029194667843</v>
      </c>
      <c r="V37" s="668">
        <f t="shared" si="3"/>
        <v>74.681849561039556</v>
      </c>
      <c r="W37" s="668">
        <v>0.3</v>
      </c>
      <c r="X37" s="432">
        <f t="shared" si="7"/>
        <v>0.22009791884093563</v>
      </c>
      <c r="Y37" s="432">
        <f t="shared" si="4"/>
        <v>2.5545271428571423</v>
      </c>
      <c r="Z37" s="432">
        <f t="shared" si="4"/>
        <v>10.089706785714288</v>
      </c>
      <c r="AA37" s="670">
        <f t="shared" si="4"/>
        <v>16.745000000000001</v>
      </c>
      <c r="AB37" s="432">
        <f t="shared" si="5"/>
        <v>6.555029194667843</v>
      </c>
      <c r="AC37" s="670">
        <f t="shared" si="1"/>
        <v>74.681849561039556</v>
      </c>
      <c r="AD37" s="1019">
        <v>31</v>
      </c>
      <c r="AE37" s="432">
        <f t="shared" si="6"/>
        <v>79.190341428571415</v>
      </c>
      <c r="AF37" s="449"/>
    </row>
    <row r="38" spans="1:32" ht="18.75" customHeight="1" x14ac:dyDescent="0.2">
      <c r="A38" s="1019">
        <v>24</v>
      </c>
      <c r="B38" s="461" t="s">
        <v>43</v>
      </c>
      <c r="C38" s="1019" t="s">
        <v>46</v>
      </c>
      <c r="D38" s="1019">
        <v>682.7</v>
      </c>
      <c r="E38" s="1019" t="s">
        <v>435</v>
      </c>
      <c r="F38" s="1019">
        <v>177.8</v>
      </c>
      <c r="G38" s="1019" t="s">
        <v>28</v>
      </c>
      <c r="H38" s="1019" t="s">
        <v>399</v>
      </c>
      <c r="I38" s="446">
        <v>575.91</v>
      </c>
      <c r="J38" s="1019">
        <v>250</v>
      </c>
      <c r="K38" s="1019"/>
      <c r="L38" s="1019">
        <v>299</v>
      </c>
      <c r="M38" s="1019"/>
      <c r="N38" s="1019">
        <v>5.5</v>
      </c>
      <c r="O38" s="1019"/>
      <c r="P38" s="668">
        <v>32.195505550647191</v>
      </c>
      <c r="Q38" s="668">
        <f>J38*13/100</f>
        <v>32.5</v>
      </c>
      <c r="R38" s="432">
        <v>7.7325357142857154</v>
      </c>
      <c r="S38" s="432">
        <v>31.632000000000001</v>
      </c>
      <c r="T38" s="670">
        <v>94</v>
      </c>
      <c r="U38" s="668">
        <f t="shared" si="8"/>
        <v>12.156426232385419</v>
      </c>
      <c r="V38" s="668">
        <f t="shared" si="3"/>
        <v>75.554705000361295</v>
      </c>
      <c r="W38" s="668">
        <v>0.5</v>
      </c>
      <c r="X38" s="432">
        <f t="shared" si="7"/>
        <v>0.97329230769230779</v>
      </c>
      <c r="Y38" s="432">
        <f t="shared" si="4"/>
        <v>7.6165476785714299</v>
      </c>
      <c r="Z38" s="432">
        <f t="shared" si="4"/>
        <v>31.157520000000002</v>
      </c>
      <c r="AA38" s="670">
        <f t="shared" si="4"/>
        <v>92.59</v>
      </c>
      <c r="AB38" s="432">
        <f t="shared" si="5"/>
        <v>12.156426232385419</v>
      </c>
      <c r="AC38" s="670">
        <f t="shared" si="1"/>
        <v>75.554705000361295</v>
      </c>
      <c r="AD38" s="1019">
        <v>31</v>
      </c>
      <c r="AE38" s="432">
        <f t="shared" si="6"/>
        <v>236.11297803571432</v>
      </c>
      <c r="AF38" s="669"/>
    </row>
    <row r="39" spans="1:32" ht="18.75" customHeight="1" x14ac:dyDescent="0.2">
      <c r="A39" s="1019">
        <v>25</v>
      </c>
      <c r="B39" s="461" t="s">
        <v>44</v>
      </c>
      <c r="C39" s="1019" t="s">
        <v>46</v>
      </c>
      <c r="D39" s="1019">
        <v>614.20000000000005</v>
      </c>
      <c r="E39" s="1019" t="s">
        <v>90</v>
      </c>
      <c r="F39" s="1019">
        <v>177.8</v>
      </c>
      <c r="G39" s="1019" t="s">
        <v>28</v>
      </c>
      <c r="H39" s="1019" t="s">
        <v>52</v>
      </c>
      <c r="I39" s="446">
        <v>573.37</v>
      </c>
      <c r="J39" s="1019">
        <v>270</v>
      </c>
      <c r="K39" s="1019"/>
      <c r="L39" s="1019">
        <v>204</v>
      </c>
      <c r="M39" s="1019"/>
      <c r="N39" s="1019">
        <v>6.4</v>
      </c>
      <c r="O39" s="1019"/>
      <c r="P39" s="668">
        <v>40.521672595684045</v>
      </c>
      <c r="Q39" s="668">
        <f t="shared" si="2"/>
        <v>59.4</v>
      </c>
      <c r="R39" s="432">
        <v>3.8900357142857152</v>
      </c>
      <c r="S39" s="432">
        <v>33.926392857142865</v>
      </c>
      <c r="T39" s="670">
        <v>83</v>
      </c>
      <c r="U39" s="668">
        <f t="shared" si="8"/>
        <v>21.336565033372807</v>
      </c>
      <c r="V39" s="668">
        <f t="shared" si="3"/>
        <v>88.533895334331987</v>
      </c>
      <c r="W39" s="668">
        <v>0.4</v>
      </c>
      <c r="X39" s="432">
        <f t="shared" si="7"/>
        <v>0.57115139490139499</v>
      </c>
      <c r="Y39" s="432">
        <f t="shared" si="4"/>
        <v>3.8316851785714294</v>
      </c>
      <c r="Z39" s="432">
        <f t="shared" si="4"/>
        <v>33.417496964285725</v>
      </c>
      <c r="AA39" s="670">
        <f t="shared" si="4"/>
        <v>81.754999999999995</v>
      </c>
      <c r="AB39" s="432">
        <f t="shared" si="5"/>
        <v>21.336565033372807</v>
      </c>
      <c r="AC39" s="670">
        <f t="shared" si="1"/>
        <v>88.533895334331987</v>
      </c>
      <c r="AD39" s="1019">
        <v>31</v>
      </c>
      <c r="AE39" s="432">
        <f t="shared" si="6"/>
        <v>118.78224053571431</v>
      </c>
      <c r="AF39" s="669"/>
    </row>
    <row r="40" spans="1:32" ht="18.75" customHeight="1" x14ac:dyDescent="0.2">
      <c r="A40" s="1019">
        <v>26</v>
      </c>
      <c r="B40" s="461" t="s">
        <v>45</v>
      </c>
      <c r="C40" s="1019" t="s">
        <v>46</v>
      </c>
      <c r="D40" s="1019">
        <v>636.4</v>
      </c>
      <c r="E40" s="1019" t="s">
        <v>91</v>
      </c>
      <c r="F40" s="1019">
        <v>177.8</v>
      </c>
      <c r="G40" s="1019" t="s">
        <v>28</v>
      </c>
      <c r="H40" s="1019" t="s">
        <v>52</v>
      </c>
      <c r="I40" s="1018">
        <v>592.95000000000005</v>
      </c>
      <c r="J40" s="1019">
        <v>300</v>
      </c>
      <c r="K40" s="1019"/>
      <c r="L40" s="1019">
        <v>480</v>
      </c>
      <c r="M40" s="1019"/>
      <c r="N40" s="1019">
        <v>9.6</v>
      </c>
      <c r="O40" s="1019"/>
      <c r="P40" s="668">
        <v>14.431394020297301</v>
      </c>
      <c r="Q40" s="668">
        <f>LEFT(H40,(FIND("K",H40,1)-1))*J40/100</f>
        <v>66</v>
      </c>
      <c r="R40" s="432">
        <v>10.784749999999999</v>
      </c>
      <c r="S40" s="432">
        <v>36.263857142857141</v>
      </c>
      <c r="T40" s="670">
        <v>150</v>
      </c>
      <c r="U40" s="668">
        <f t="shared" si="8"/>
        <v>13.908528245902781</v>
      </c>
      <c r="V40" s="668">
        <f t="shared" si="3"/>
        <v>70.260333980704914</v>
      </c>
      <c r="W40" s="668">
        <v>0.3</v>
      </c>
      <c r="X40" s="432">
        <f t="shared" si="7"/>
        <v>0.54945238095238091</v>
      </c>
      <c r="Y40" s="432">
        <f t="shared" si="4"/>
        <v>10.62297875</v>
      </c>
      <c r="Z40" s="432">
        <f t="shared" si="4"/>
        <v>35.719899285714284</v>
      </c>
      <c r="AA40" s="670">
        <f t="shared" si="4"/>
        <v>147.75</v>
      </c>
      <c r="AB40" s="432">
        <f t="shared" si="5"/>
        <v>13.908528245902781</v>
      </c>
      <c r="AC40" s="670">
        <f t="shared" si="1"/>
        <v>70.260333980704914</v>
      </c>
      <c r="AD40" s="1019">
        <v>31</v>
      </c>
      <c r="AE40" s="432">
        <f t="shared" si="6"/>
        <v>329.31234124999997</v>
      </c>
      <c r="AF40" s="669"/>
    </row>
    <row r="41" spans="1:32" ht="18.75" customHeight="1" x14ac:dyDescent="0.2">
      <c r="A41" s="1019">
        <v>27</v>
      </c>
      <c r="B41" s="461" t="s">
        <v>206</v>
      </c>
      <c r="C41" s="1019" t="s">
        <v>46</v>
      </c>
      <c r="D41" s="1019">
        <v>660.2</v>
      </c>
      <c r="E41" s="1019" t="s">
        <v>436</v>
      </c>
      <c r="F41" s="1019">
        <v>177.8</v>
      </c>
      <c r="G41" s="1019" t="s">
        <v>28</v>
      </c>
      <c r="H41" s="1019" t="s">
        <v>212</v>
      </c>
      <c r="I41" s="1018">
        <v>547.63</v>
      </c>
      <c r="J41" s="1019">
        <v>300</v>
      </c>
      <c r="K41" s="1019"/>
      <c r="L41" s="1019">
        <v>257</v>
      </c>
      <c r="M41" s="1019"/>
      <c r="N41" s="1019">
        <v>7.6</v>
      </c>
      <c r="O41" s="1019"/>
      <c r="P41" s="668">
        <v>34.827006944915517</v>
      </c>
      <c r="Q41" s="668">
        <f t="shared" ref="Q41:Q73" si="9">LEFT(H41,(FIND("K",H41,1)-1))*J41/100</f>
        <v>24</v>
      </c>
      <c r="R41" s="432">
        <v>4.6721071428571435</v>
      </c>
      <c r="S41" s="432">
        <v>14.81564285714286</v>
      </c>
      <c r="T41" s="670">
        <v>123</v>
      </c>
      <c r="U41" s="668">
        <f t="shared" si="8"/>
        <v>26.326451050688352</v>
      </c>
      <c r="V41" s="668">
        <f t="shared" si="3"/>
        <v>68.465039364764081</v>
      </c>
      <c r="W41" s="668">
        <v>0.4</v>
      </c>
      <c r="X41" s="432">
        <f t="shared" si="7"/>
        <v>0.61731845238095251</v>
      </c>
      <c r="Y41" s="432">
        <f t="shared" si="4"/>
        <v>4.6020255357142865</v>
      </c>
      <c r="Z41" s="432">
        <f t="shared" si="4"/>
        <v>14.593408214285716</v>
      </c>
      <c r="AA41" s="670">
        <f t="shared" si="4"/>
        <v>121.155</v>
      </c>
      <c r="AB41" s="432">
        <f t="shared" si="5"/>
        <v>26.326451050688352</v>
      </c>
      <c r="AC41" s="670">
        <f t="shared" si="1"/>
        <v>68.465039364764081</v>
      </c>
      <c r="AD41" s="1019">
        <v>31</v>
      </c>
      <c r="AE41" s="432">
        <f t="shared" si="6"/>
        <v>142.66279160714288</v>
      </c>
      <c r="AF41" s="669"/>
    </row>
    <row r="42" spans="1:32" ht="18.75" customHeight="1" x14ac:dyDescent="0.2">
      <c r="A42" s="1019">
        <v>28</v>
      </c>
      <c r="B42" s="1025" t="s">
        <v>161</v>
      </c>
      <c r="C42" s="1019" t="s">
        <v>46</v>
      </c>
      <c r="D42" s="1018">
        <v>677</v>
      </c>
      <c r="E42" s="679" t="s">
        <v>178</v>
      </c>
      <c r="F42" s="1019">
        <v>177.8</v>
      </c>
      <c r="G42" s="1019" t="s">
        <v>28</v>
      </c>
      <c r="H42" s="1019" t="s">
        <v>52</v>
      </c>
      <c r="I42" s="1018">
        <v>571.98</v>
      </c>
      <c r="J42" s="1018">
        <v>190</v>
      </c>
      <c r="K42" s="1018"/>
      <c r="L42" s="1018">
        <v>213</v>
      </c>
      <c r="M42" s="1018"/>
      <c r="N42" s="1019">
        <v>6.5</v>
      </c>
      <c r="O42" s="1018"/>
      <c r="P42" s="448">
        <v>37.930280103191443</v>
      </c>
      <c r="Q42" s="668">
        <f t="shared" si="9"/>
        <v>41.8</v>
      </c>
      <c r="R42" s="432">
        <v>9.1513214285714266</v>
      </c>
      <c r="S42" s="432">
        <v>22.231750000000002</v>
      </c>
      <c r="T42" s="492">
        <v>162</v>
      </c>
      <c r="U42" s="668">
        <f t="shared" si="8"/>
        <v>17.70236148565586</v>
      </c>
      <c r="V42" s="668">
        <f t="shared" si="3"/>
        <v>58.836702335302327</v>
      </c>
      <c r="W42" s="668">
        <v>0.3</v>
      </c>
      <c r="X42" s="432">
        <f t="shared" si="7"/>
        <v>0.53186004784689001</v>
      </c>
      <c r="Y42" s="432">
        <f t="shared" si="4"/>
        <v>9.0140516071428554</v>
      </c>
      <c r="Z42" s="432">
        <f t="shared" si="4"/>
        <v>21.898273750000001</v>
      </c>
      <c r="AA42" s="670">
        <f t="shared" si="4"/>
        <v>159.57</v>
      </c>
      <c r="AB42" s="432">
        <f t="shared" si="5"/>
        <v>17.70236148565586</v>
      </c>
      <c r="AC42" s="670">
        <f t="shared" si="1"/>
        <v>58.836702335302327</v>
      </c>
      <c r="AD42" s="1019">
        <v>31</v>
      </c>
      <c r="AE42" s="432">
        <f t="shared" si="6"/>
        <v>279.43559982142853</v>
      </c>
      <c r="AF42" s="449"/>
    </row>
    <row r="43" spans="1:32" ht="18.75" customHeight="1" x14ac:dyDescent="0.2">
      <c r="A43" s="1019">
        <v>29</v>
      </c>
      <c r="B43" s="1025" t="s">
        <v>162</v>
      </c>
      <c r="C43" s="1019" t="s">
        <v>46</v>
      </c>
      <c r="D43" s="1018">
        <v>676</v>
      </c>
      <c r="E43" s="679" t="s">
        <v>437</v>
      </c>
      <c r="F43" s="1019">
        <v>177.8</v>
      </c>
      <c r="G43" s="1019" t="s">
        <v>28</v>
      </c>
      <c r="H43" s="1019" t="s">
        <v>50</v>
      </c>
      <c r="I43" s="1018">
        <v>549.20000000000005</v>
      </c>
      <c r="J43" s="1018">
        <v>200</v>
      </c>
      <c r="K43" s="1018"/>
      <c r="L43" s="1019">
        <v>428</v>
      </c>
      <c r="M43" s="1018"/>
      <c r="N43" s="1019">
        <v>4.3</v>
      </c>
      <c r="O43" s="1018"/>
      <c r="P43" s="448">
        <v>8.7491753859289219</v>
      </c>
      <c r="Q43" s="668">
        <f t="shared" si="9"/>
        <v>12</v>
      </c>
      <c r="R43" s="432">
        <v>1.333892857142857</v>
      </c>
      <c r="S43" s="432">
        <v>2.0692142857142857</v>
      </c>
      <c r="T43" s="492">
        <v>16</v>
      </c>
      <c r="U43" s="668">
        <f t="shared" si="8"/>
        <v>11.994966398029399</v>
      </c>
      <c r="V43" s="668">
        <f t="shared" si="3"/>
        <v>35.536262901722537</v>
      </c>
      <c r="W43" s="668">
        <v>0.2</v>
      </c>
      <c r="X43" s="432">
        <f t="shared" si="7"/>
        <v>0.17243452380952382</v>
      </c>
      <c r="Y43" s="432">
        <f t="shared" si="4"/>
        <v>1.3138844642857141</v>
      </c>
      <c r="Z43" s="432">
        <f t="shared" si="4"/>
        <v>2.0381760714285715</v>
      </c>
      <c r="AA43" s="670">
        <f t="shared" si="4"/>
        <v>15.76</v>
      </c>
      <c r="AB43" s="432">
        <f t="shared" si="5"/>
        <v>11.994966398029399</v>
      </c>
      <c r="AC43" s="670">
        <f t="shared" si="1"/>
        <v>35.536262901722537</v>
      </c>
      <c r="AD43" s="1019">
        <v>31</v>
      </c>
      <c r="AE43" s="432">
        <f t="shared" si="6"/>
        <v>40.730418392857139</v>
      </c>
      <c r="AF43" s="449"/>
    </row>
    <row r="44" spans="1:32" ht="18.75" customHeight="1" x14ac:dyDescent="0.2">
      <c r="A44" s="1019">
        <v>30</v>
      </c>
      <c r="B44" s="1025" t="s">
        <v>163</v>
      </c>
      <c r="C44" s="1019" t="s">
        <v>46</v>
      </c>
      <c r="D44" s="1018">
        <v>597</v>
      </c>
      <c r="E44" s="1019" t="s">
        <v>443</v>
      </c>
      <c r="F44" s="1019">
        <v>177.8</v>
      </c>
      <c r="G44" s="1019" t="s">
        <v>28</v>
      </c>
      <c r="H44" s="1019" t="s">
        <v>487</v>
      </c>
      <c r="I44" s="1018">
        <v>553.79</v>
      </c>
      <c r="J44" s="1018">
        <v>85</v>
      </c>
      <c r="K44" s="1018"/>
      <c r="L44" s="1018">
        <v>434</v>
      </c>
      <c r="M44" s="1018"/>
      <c r="N44" s="1019">
        <v>3.9</v>
      </c>
      <c r="O44" s="1018"/>
      <c r="P44" s="448">
        <v>32.977632975325037</v>
      </c>
      <c r="Q44" s="668">
        <f t="shared" si="9"/>
        <v>12.75</v>
      </c>
      <c r="R44" s="432">
        <v>2.5489999999999999</v>
      </c>
      <c r="S44" s="432">
        <v>9.3193928571428568</v>
      </c>
      <c r="T44" s="492">
        <v>10</v>
      </c>
      <c r="U44" s="668">
        <f t="shared" si="8"/>
        <v>3.9231071008238527</v>
      </c>
      <c r="V44" s="668">
        <f t="shared" si="3"/>
        <v>72.64843279950027</v>
      </c>
      <c r="W44" s="668">
        <v>0.3</v>
      </c>
      <c r="X44" s="432">
        <f t="shared" si="7"/>
        <v>0.73093277310924365</v>
      </c>
      <c r="Y44" s="432">
        <f t="shared" si="4"/>
        <v>2.5107649999999997</v>
      </c>
      <c r="Z44" s="432">
        <f t="shared" si="4"/>
        <v>9.1796019642857143</v>
      </c>
      <c r="AA44" s="670">
        <f t="shared" si="4"/>
        <v>9.85</v>
      </c>
      <c r="AB44" s="432">
        <f t="shared" si="5"/>
        <v>3.9231071008238527</v>
      </c>
      <c r="AC44" s="670">
        <f t="shared" si="1"/>
        <v>72.64843279950027</v>
      </c>
      <c r="AD44" s="1019">
        <v>31</v>
      </c>
      <c r="AE44" s="432">
        <f t="shared" si="6"/>
        <v>77.833714999999984</v>
      </c>
      <c r="AF44" s="449"/>
    </row>
    <row r="45" spans="1:32" ht="18.75" customHeight="1" x14ac:dyDescent="0.2">
      <c r="A45" s="1019">
        <v>31</v>
      </c>
      <c r="B45" s="461" t="s">
        <v>59</v>
      </c>
      <c r="C45" s="1019" t="s">
        <v>46</v>
      </c>
      <c r="D45" s="1019">
        <v>637.16</v>
      </c>
      <c r="E45" s="1019" t="s">
        <v>454</v>
      </c>
      <c r="F45" s="1019">
        <v>177.8</v>
      </c>
      <c r="G45" s="1019" t="s">
        <v>28</v>
      </c>
      <c r="H45" s="1019" t="s">
        <v>487</v>
      </c>
      <c r="I45" s="1018">
        <v>536.73</v>
      </c>
      <c r="J45" s="1019">
        <v>200</v>
      </c>
      <c r="K45" s="1019"/>
      <c r="L45" s="1019">
        <v>430</v>
      </c>
      <c r="M45" s="1019"/>
      <c r="N45" s="1019">
        <v>5</v>
      </c>
      <c r="O45" s="1019"/>
      <c r="P45" s="668">
        <v>18.826357831890004</v>
      </c>
      <c r="Q45" s="668">
        <f t="shared" si="9"/>
        <v>30</v>
      </c>
      <c r="R45" s="432">
        <v>4.542535714285715</v>
      </c>
      <c r="S45" s="432">
        <v>10.317428571428568</v>
      </c>
      <c r="T45" s="670">
        <v>32</v>
      </c>
      <c r="U45" s="668">
        <f t="shared" si="8"/>
        <v>7.0445235905056167</v>
      </c>
      <c r="V45" s="668">
        <f t="shared" si="3"/>
        <v>55.972210683725152</v>
      </c>
      <c r="W45" s="668">
        <v>0.3</v>
      </c>
      <c r="X45" s="432">
        <f t="shared" si="7"/>
        <v>0.34391428571428562</v>
      </c>
      <c r="Y45" s="432">
        <f t="shared" si="4"/>
        <v>4.474397678571429</v>
      </c>
      <c r="Z45" s="432">
        <f t="shared" si="4"/>
        <v>10.16266714285714</v>
      </c>
      <c r="AA45" s="670">
        <f t="shared" si="4"/>
        <v>31.52</v>
      </c>
      <c r="AB45" s="432">
        <f>U45</f>
        <v>7.0445235905056167</v>
      </c>
      <c r="AC45" s="670">
        <f t="shared" si="1"/>
        <v>55.972210683725152</v>
      </c>
      <c r="AD45" s="1019">
        <v>31</v>
      </c>
      <c r="AE45" s="432">
        <f t="shared" si="6"/>
        <v>138.70632803571431</v>
      </c>
      <c r="AF45" s="449"/>
    </row>
    <row r="46" spans="1:32" ht="18.600000000000001" customHeight="1" x14ac:dyDescent="0.2">
      <c r="A46" s="1019">
        <v>32</v>
      </c>
      <c r="B46" s="461" t="s">
        <v>207</v>
      </c>
      <c r="C46" s="1019" t="s">
        <v>46</v>
      </c>
      <c r="D46" s="1019">
        <v>673</v>
      </c>
      <c r="E46" s="1019" t="s">
        <v>420</v>
      </c>
      <c r="F46" s="1019">
        <v>177.8</v>
      </c>
      <c r="G46" s="1019" t="s">
        <v>28</v>
      </c>
      <c r="H46" s="1019" t="s">
        <v>50</v>
      </c>
      <c r="I46" s="1018">
        <v>564.41999999999996</v>
      </c>
      <c r="J46" s="1024">
        <v>215</v>
      </c>
      <c r="K46" s="1019"/>
      <c r="L46" s="1019">
        <v>186</v>
      </c>
      <c r="M46" s="1019"/>
      <c r="N46" s="668">
        <v>0</v>
      </c>
      <c r="O46" s="1019"/>
      <c r="P46" s="668">
        <v>36.867484565277088</v>
      </c>
      <c r="Q46" s="668">
        <f t="shared" si="9"/>
        <v>12.9</v>
      </c>
      <c r="R46" s="432">
        <v>2.3192499999999998</v>
      </c>
      <c r="S46" s="432">
        <v>9.8397499999999987</v>
      </c>
      <c r="T46" s="670">
        <v>0</v>
      </c>
      <c r="U46" s="668">
        <f t="shared" si="8"/>
        <v>0</v>
      </c>
      <c r="V46" s="668">
        <f t="shared" si="3"/>
        <v>76.429787342158079</v>
      </c>
      <c r="W46" s="668">
        <v>0.3</v>
      </c>
      <c r="X46" s="432">
        <f t="shared" si="7"/>
        <v>0.76277131782945728</v>
      </c>
      <c r="Y46" s="432">
        <f t="shared" si="4"/>
        <v>2.2844612499999997</v>
      </c>
      <c r="Z46" s="432">
        <f t="shared" si="4"/>
        <v>9.6921537499999992</v>
      </c>
      <c r="AA46" s="670">
        <f t="shared" si="4"/>
        <v>0</v>
      </c>
      <c r="AB46" s="432">
        <f>U46</f>
        <v>0</v>
      </c>
      <c r="AC46" s="670">
        <f t="shared" si="1"/>
        <v>76.429787342158079</v>
      </c>
      <c r="AD46" s="1019">
        <v>31</v>
      </c>
      <c r="AE46" s="432">
        <f t="shared" si="6"/>
        <v>70.818298749999997</v>
      </c>
      <c r="AF46" s="449"/>
    </row>
    <row r="47" spans="1:32" ht="18.75" customHeight="1" x14ac:dyDescent="0.25">
      <c r="A47" s="1019">
        <v>33</v>
      </c>
      <c r="B47" s="461" t="s">
        <v>196</v>
      </c>
      <c r="C47" s="1019" t="s">
        <v>304</v>
      </c>
      <c r="D47" s="1019">
        <v>641</v>
      </c>
      <c r="E47" s="1019" t="s">
        <v>296</v>
      </c>
      <c r="F47" s="1019">
        <v>177.8</v>
      </c>
      <c r="G47" s="1019" t="s">
        <v>28</v>
      </c>
      <c r="H47" s="1019" t="s">
        <v>50</v>
      </c>
      <c r="I47" s="1018">
        <v>611.92999999999995</v>
      </c>
      <c r="J47" s="1019">
        <v>0</v>
      </c>
      <c r="K47" s="1019">
        <v>496</v>
      </c>
      <c r="L47" s="868"/>
      <c r="M47" s="668">
        <v>0.3</v>
      </c>
      <c r="N47" s="868"/>
      <c r="O47" s="1019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1019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1019">
        <v>34</v>
      </c>
      <c r="B48" s="461" t="s">
        <v>60</v>
      </c>
      <c r="C48" s="1019" t="s">
        <v>46</v>
      </c>
      <c r="D48" s="1019">
        <v>638.9</v>
      </c>
      <c r="E48" s="1019" t="s">
        <v>462</v>
      </c>
      <c r="F48" s="1019">
        <v>177.8</v>
      </c>
      <c r="G48" s="1019" t="s">
        <v>28</v>
      </c>
      <c r="H48" s="1019" t="s">
        <v>48</v>
      </c>
      <c r="I48" s="1018">
        <v>532.05999999999995</v>
      </c>
      <c r="J48" s="1019">
        <v>240</v>
      </c>
      <c r="K48" s="1019"/>
      <c r="L48" s="1019">
        <v>431</v>
      </c>
      <c r="M48" s="1019"/>
      <c r="N48" s="1019">
        <v>5.3</v>
      </c>
      <c r="O48" s="1019"/>
      <c r="P48" s="668">
        <v>22.969737136838344</v>
      </c>
      <c r="Q48" s="668">
        <f t="shared" si="9"/>
        <v>31.2</v>
      </c>
      <c r="R48" s="432">
        <v>8.2982258064516099</v>
      </c>
      <c r="S48" s="432">
        <v>15.903419354838711</v>
      </c>
      <c r="T48" s="670">
        <v>416</v>
      </c>
      <c r="U48" s="668">
        <f t="shared" si="8"/>
        <v>50.131197885284472</v>
      </c>
      <c r="V48" s="668">
        <f t="shared" si="3"/>
        <v>47.821121852472409</v>
      </c>
      <c r="W48" s="668">
        <v>0.3</v>
      </c>
      <c r="X48" s="432">
        <f t="shared" si="7"/>
        <v>0.50972497932175354</v>
      </c>
      <c r="Y48" s="432">
        <f t="shared" si="4"/>
        <v>8.1737524193548357</v>
      </c>
      <c r="Z48" s="432">
        <f t="shared" si="4"/>
        <v>15.66486806451613</v>
      </c>
      <c r="AA48" s="670">
        <f t="shared" si="4"/>
        <v>409.76</v>
      </c>
      <c r="AB48" s="432">
        <f t="shared" si="5"/>
        <v>50.131197885284472</v>
      </c>
      <c r="AC48" s="670">
        <f t="shared" si="1"/>
        <v>47.821121852472409</v>
      </c>
      <c r="AD48" s="1019">
        <v>31</v>
      </c>
      <c r="AE48" s="432">
        <f t="shared" si="6"/>
        <v>253.38632499999991</v>
      </c>
      <c r="AF48" s="449"/>
    </row>
    <row r="49" spans="1:32" ht="18.75" customHeight="1" x14ac:dyDescent="0.2">
      <c r="A49" s="1019">
        <v>35</v>
      </c>
      <c r="B49" s="461" t="s">
        <v>119</v>
      </c>
      <c r="C49" s="1019" t="s">
        <v>427</v>
      </c>
      <c r="D49" s="1019">
        <v>654.07000000000005</v>
      </c>
      <c r="E49" s="1019" t="s">
        <v>410</v>
      </c>
      <c r="F49" s="1019">
        <v>177.8</v>
      </c>
      <c r="G49" s="1019" t="s">
        <v>28</v>
      </c>
      <c r="H49" s="1019" t="s">
        <v>399</v>
      </c>
      <c r="I49" s="1018">
        <v>521.47</v>
      </c>
      <c r="J49" s="1019">
        <v>0</v>
      </c>
      <c r="K49" s="1019"/>
      <c r="L49" s="1019">
        <v>478</v>
      </c>
      <c r="M49" s="1019"/>
      <c r="N49" s="1019">
        <v>0</v>
      </c>
      <c r="O49" s="1019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1019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1019">
        <v>36</v>
      </c>
      <c r="B50" s="461" t="s">
        <v>118</v>
      </c>
      <c r="C50" s="1019" t="s">
        <v>408</v>
      </c>
      <c r="D50" s="1019">
        <v>728.77</v>
      </c>
      <c r="E50" s="1019" t="s">
        <v>442</v>
      </c>
      <c r="F50" s="1019">
        <v>177.8</v>
      </c>
      <c r="G50" s="1019" t="s">
        <v>28</v>
      </c>
      <c r="H50" s="1019" t="s">
        <v>52</v>
      </c>
      <c r="I50" s="1018">
        <v>523.04999999999995</v>
      </c>
      <c r="J50" s="1019">
        <v>115</v>
      </c>
      <c r="K50" s="1019"/>
      <c r="L50" s="1019">
        <v>391</v>
      </c>
      <c r="M50" s="1019"/>
      <c r="N50" s="1019">
        <v>6.9</v>
      </c>
      <c r="O50" s="1019"/>
      <c r="P50" s="668">
        <v>27.297686434770107</v>
      </c>
      <c r="Q50" s="668">
        <f t="shared" si="9"/>
        <v>25.3</v>
      </c>
      <c r="R50" s="432">
        <v>3.2801071428571431</v>
      </c>
      <c r="S50" s="432">
        <v>9.4398571428571447</v>
      </c>
      <c r="T50" s="670">
        <v>75</v>
      </c>
      <c r="U50" s="668">
        <f t="shared" si="8"/>
        <v>22.865106758272269</v>
      </c>
      <c r="V50" s="668">
        <f t="shared" si="3"/>
        <v>65.252576461508198</v>
      </c>
      <c r="W50" s="668">
        <v>0.2</v>
      </c>
      <c r="X50" s="432">
        <f t="shared" si="7"/>
        <v>0.37311688311688318</v>
      </c>
      <c r="Y50" s="432">
        <f t="shared" si="4"/>
        <v>3.2309055357142857</v>
      </c>
      <c r="Z50" s="432">
        <f t="shared" si="4"/>
        <v>9.2982592857142876</v>
      </c>
      <c r="AA50" s="670">
        <f t="shared" si="4"/>
        <v>73.875</v>
      </c>
      <c r="AB50" s="432">
        <f t="shared" si="5"/>
        <v>22.865106758272269</v>
      </c>
      <c r="AC50" s="670">
        <f t="shared" si="1"/>
        <v>65.252576461508198</v>
      </c>
      <c r="AD50" s="1019">
        <v>31</v>
      </c>
      <c r="AE50" s="432">
        <f t="shared" si="6"/>
        <v>100.15807160714286</v>
      </c>
      <c r="AF50" s="449"/>
    </row>
    <row r="51" spans="1:32" ht="18.75" customHeight="1" x14ac:dyDescent="0.2">
      <c r="A51" s="1019">
        <v>37</v>
      </c>
      <c r="B51" s="461" t="s">
        <v>117</v>
      </c>
      <c r="C51" s="1019" t="s">
        <v>46</v>
      </c>
      <c r="D51" s="1019">
        <v>671.45</v>
      </c>
      <c r="E51" s="1019" t="s">
        <v>128</v>
      </c>
      <c r="F51" s="1019">
        <v>177.8</v>
      </c>
      <c r="G51" s="1019" t="s">
        <v>28</v>
      </c>
      <c r="H51" s="452" t="s">
        <v>363</v>
      </c>
      <c r="I51" s="1018">
        <v>564.18000000000018</v>
      </c>
      <c r="J51" s="1019">
        <v>85</v>
      </c>
      <c r="K51" s="1019"/>
      <c r="L51" s="1019">
        <v>225</v>
      </c>
      <c r="M51" s="1019"/>
      <c r="N51" s="1019">
        <v>0.2</v>
      </c>
      <c r="O51" s="1019"/>
      <c r="P51" s="668">
        <v>43.898516969964177</v>
      </c>
      <c r="Q51" s="668">
        <f>J51*7/100</f>
        <v>5.95</v>
      </c>
      <c r="R51" s="432">
        <v>3.2801071428571431</v>
      </c>
      <c r="S51" s="432">
        <v>9.4398571428571447</v>
      </c>
      <c r="T51" s="670">
        <v>0</v>
      </c>
      <c r="U51" s="668">
        <f t="shared" si="8"/>
        <v>0</v>
      </c>
      <c r="V51" s="668">
        <f t="shared" si="3"/>
        <v>65.252576461508198</v>
      </c>
      <c r="W51" s="668">
        <v>0.2</v>
      </c>
      <c r="X51" s="432">
        <f t="shared" si="7"/>
        <v>1.5865306122448983</v>
      </c>
      <c r="Y51" s="432">
        <f t="shared" si="4"/>
        <v>3.2309055357142857</v>
      </c>
      <c r="Z51" s="432">
        <f t="shared" si="4"/>
        <v>9.2982592857142876</v>
      </c>
      <c r="AA51" s="670">
        <f t="shared" si="4"/>
        <v>0</v>
      </c>
      <c r="AB51" s="432">
        <f t="shared" si="5"/>
        <v>0</v>
      </c>
      <c r="AC51" s="670">
        <f t="shared" si="1"/>
        <v>65.252576461508198</v>
      </c>
      <c r="AD51" s="1019">
        <v>31</v>
      </c>
      <c r="AE51" s="432">
        <f t="shared" si="6"/>
        <v>100.15807160714286</v>
      </c>
      <c r="AF51" s="669"/>
    </row>
    <row r="52" spans="1:32" ht="18.75" customHeight="1" x14ac:dyDescent="0.2">
      <c r="A52" s="1019">
        <v>38</v>
      </c>
      <c r="B52" s="461" t="s">
        <v>130</v>
      </c>
      <c r="C52" s="1019" t="s">
        <v>46</v>
      </c>
      <c r="D52" s="1019">
        <v>622.6</v>
      </c>
      <c r="E52" s="1019" t="s">
        <v>467</v>
      </c>
      <c r="F52" s="1019">
        <v>177.8</v>
      </c>
      <c r="G52" s="1019" t="s">
        <v>28</v>
      </c>
      <c r="H52" s="1019" t="s">
        <v>48</v>
      </c>
      <c r="I52" s="1018">
        <v>551.79999999999995</v>
      </c>
      <c r="J52" s="1019"/>
      <c r="K52" s="1019">
        <v>81</v>
      </c>
      <c r="L52" s="1019"/>
      <c r="M52" s="1019">
        <v>0.2</v>
      </c>
      <c r="N52" s="1019"/>
      <c r="O52" s="1019"/>
      <c r="P52" s="668">
        <v>50.387652144083397</v>
      </c>
      <c r="Q52" s="668">
        <f t="shared" si="9"/>
        <v>0</v>
      </c>
      <c r="R52" s="432">
        <v>0</v>
      </c>
      <c r="S52" s="432">
        <v>0</v>
      </c>
      <c r="T52" s="670">
        <v>0</v>
      </c>
      <c r="U52" s="668">
        <f t="shared" si="8"/>
        <v>0</v>
      </c>
      <c r="V52" s="668">
        <f t="shared" si="3"/>
        <v>0</v>
      </c>
      <c r="W52" s="668">
        <v>0.2</v>
      </c>
      <c r="X52" s="432">
        <f t="shared" si="7"/>
        <v>0</v>
      </c>
      <c r="Y52" s="432">
        <f t="shared" si="4"/>
        <v>0</v>
      </c>
      <c r="Z52" s="432">
        <f t="shared" si="4"/>
        <v>0</v>
      </c>
      <c r="AA52" s="670">
        <f t="shared" si="4"/>
        <v>0</v>
      </c>
      <c r="AB52" s="432">
        <f t="shared" si="5"/>
        <v>0</v>
      </c>
      <c r="AC52" s="670">
        <f t="shared" si="1"/>
        <v>0</v>
      </c>
      <c r="AD52" s="1019">
        <v>31</v>
      </c>
      <c r="AE52" s="432">
        <f t="shared" si="6"/>
        <v>0</v>
      </c>
      <c r="AF52" s="449" t="s">
        <v>335</v>
      </c>
    </row>
    <row r="53" spans="1:32" ht="18.75" customHeight="1" x14ac:dyDescent="0.2">
      <c r="A53" s="1019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019">
        <v>177.8</v>
      </c>
      <c r="G53" s="452" t="s">
        <v>28</v>
      </c>
      <c r="H53" s="452" t="s">
        <v>363</v>
      </c>
      <c r="I53" s="453">
        <v>565.65</v>
      </c>
      <c r="J53" s="452">
        <v>250</v>
      </c>
      <c r="K53" s="452"/>
      <c r="L53" s="452">
        <v>446</v>
      </c>
      <c r="M53" s="452"/>
      <c r="N53" s="1019">
        <v>4.8</v>
      </c>
      <c r="O53" s="452"/>
      <c r="P53" s="675">
        <v>15.435955965872131</v>
      </c>
      <c r="Q53" s="668">
        <f>J53*7/100</f>
        <v>17.5</v>
      </c>
      <c r="R53" s="456">
        <v>2.674464285714286</v>
      </c>
      <c r="S53" s="432">
        <v>2.9304642857142857</v>
      </c>
      <c r="T53" s="700">
        <v>22</v>
      </c>
      <c r="U53" s="668">
        <f t="shared" si="8"/>
        <v>8.2259464512252105</v>
      </c>
      <c r="V53" s="668">
        <f t="shared" si="3"/>
        <v>8.7358170938295903</v>
      </c>
      <c r="W53" s="675">
        <v>0.3</v>
      </c>
      <c r="X53" s="432">
        <f t="shared" si="7"/>
        <v>0.16745510204081632</v>
      </c>
      <c r="Y53" s="432">
        <f t="shared" si="4"/>
        <v>2.6343473214285718</v>
      </c>
      <c r="Z53" s="432">
        <f t="shared" si="4"/>
        <v>2.8865073214285712</v>
      </c>
      <c r="AA53" s="670">
        <f t="shared" si="4"/>
        <v>21.669999999999998</v>
      </c>
      <c r="AB53" s="456">
        <f t="shared" si="5"/>
        <v>8.2259464512252105</v>
      </c>
      <c r="AC53" s="670">
        <f t="shared" si="1"/>
        <v>8.7358170938295903</v>
      </c>
      <c r="AD53" s="1019">
        <v>31</v>
      </c>
      <c r="AE53" s="456">
        <f t="shared" si="6"/>
        <v>81.664766964285718</v>
      </c>
      <c r="AF53" s="449"/>
    </row>
    <row r="54" spans="1:32" ht="18.75" customHeight="1" x14ac:dyDescent="0.2">
      <c r="A54" s="1019">
        <v>40</v>
      </c>
      <c r="B54" s="461" t="s">
        <v>116</v>
      </c>
      <c r="C54" s="1019" t="s">
        <v>46</v>
      </c>
      <c r="D54" s="1019">
        <v>681.27</v>
      </c>
      <c r="E54" s="1019" t="s">
        <v>455</v>
      </c>
      <c r="F54" s="1019">
        <v>177.8</v>
      </c>
      <c r="G54" s="1019" t="s">
        <v>28</v>
      </c>
      <c r="H54" s="1019" t="s">
        <v>53</v>
      </c>
      <c r="I54" s="1018">
        <v>559.23</v>
      </c>
      <c r="J54" s="1019">
        <v>135</v>
      </c>
      <c r="K54" s="1019"/>
      <c r="L54" s="670">
        <v>217.53571428571428</v>
      </c>
      <c r="M54" s="1019"/>
      <c r="N54" s="1019">
        <v>5.0999999999999996</v>
      </c>
      <c r="O54" s="1019"/>
      <c r="P54" s="668">
        <v>36.278622934939648</v>
      </c>
      <c r="Q54" s="675">
        <f t="shared" si="9"/>
        <v>17.55</v>
      </c>
      <c r="R54" s="432">
        <v>1.1349285714285713</v>
      </c>
      <c r="S54" s="432">
        <v>4.5071071428571425</v>
      </c>
      <c r="T54" s="670">
        <v>1</v>
      </c>
      <c r="U54" s="668">
        <f t="shared" si="8"/>
        <v>0.88111271949147218</v>
      </c>
      <c r="V54" s="668">
        <f t="shared" si="3"/>
        <v>74.819134858437863</v>
      </c>
      <c r="W54" s="668">
        <v>0.3</v>
      </c>
      <c r="X54" s="432">
        <f t="shared" si="7"/>
        <v>0.25681522181522176</v>
      </c>
      <c r="Y54" s="432">
        <f t="shared" si="4"/>
        <v>1.1179046428571426</v>
      </c>
      <c r="Z54" s="432">
        <f t="shared" si="4"/>
        <v>4.4395005357142852</v>
      </c>
      <c r="AA54" s="670">
        <f t="shared" si="4"/>
        <v>0.98499999999999999</v>
      </c>
      <c r="AB54" s="432">
        <f t="shared" si="5"/>
        <v>0.88111271949147218</v>
      </c>
      <c r="AC54" s="670">
        <f t="shared" si="1"/>
        <v>74.819134858437863</v>
      </c>
      <c r="AD54" s="1019">
        <v>31</v>
      </c>
      <c r="AE54" s="432">
        <f t="shared" si="6"/>
        <v>34.655043928571423</v>
      </c>
      <c r="AF54" s="449"/>
    </row>
    <row r="55" spans="1:32" ht="18.75" customHeight="1" x14ac:dyDescent="0.2">
      <c r="A55" s="1019">
        <v>41</v>
      </c>
      <c r="B55" s="461" t="s">
        <v>120</v>
      </c>
      <c r="C55" s="1019" t="s">
        <v>46</v>
      </c>
      <c r="D55" s="1019">
        <v>668.57</v>
      </c>
      <c r="E55" s="1019" t="s">
        <v>285</v>
      </c>
      <c r="F55" s="1019">
        <v>177.8</v>
      </c>
      <c r="G55" s="1019" t="s">
        <v>28</v>
      </c>
      <c r="H55" s="1019" t="s">
        <v>48</v>
      </c>
      <c r="I55" s="1018">
        <v>567.08000000000004</v>
      </c>
      <c r="J55" s="1019">
        <v>360</v>
      </c>
      <c r="K55" s="1019"/>
      <c r="L55" s="670">
        <v>424.5</v>
      </c>
      <c r="M55" s="1019"/>
      <c r="N55" s="1019">
        <v>0.1</v>
      </c>
      <c r="O55" s="1019"/>
      <c r="P55" s="668">
        <v>15.977328599526876</v>
      </c>
      <c r="Q55" s="668">
        <f t="shared" si="9"/>
        <v>46.8</v>
      </c>
      <c r="R55" s="432">
        <v>2.9845357142857147</v>
      </c>
      <c r="S55" s="432">
        <v>4.7107499999999991</v>
      </c>
      <c r="T55" s="670">
        <v>13</v>
      </c>
      <c r="U55" s="668">
        <f t="shared" si="8"/>
        <v>4.3557863750044872</v>
      </c>
      <c r="V55" s="668">
        <f t="shared" si="3"/>
        <v>36.644149779000898</v>
      </c>
      <c r="W55" s="668">
        <v>0.3</v>
      </c>
      <c r="X55" s="432">
        <f t="shared" si="7"/>
        <v>0.10065705128205127</v>
      </c>
      <c r="Y55" s="432">
        <f t="shared" si="4"/>
        <v>2.9397676785714291</v>
      </c>
      <c r="Z55" s="432">
        <f t="shared" si="4"/>
        <v>4.6400887499999994</v>
      </c>
      <c r="AA55" s="670">
        <f t="shared" si="4"/>
        <v>12.805</v>
      </c>
      <c r="AB55" s="432">
        <f t="shared" si="5"/>
        <v>4.3557863750044872</v>
      </c>
      <c r="AC55" s="670">
        <f t="shared" si="1"/>
        <v>36.644149779000898</v>
      </c>
      <c r="AD55" s="1019">
        <v>31</v>
      </c>
      <c r="AE55" s="432">
        <f t="shared" si="6"/>
        <v>91.132798035714302</v>
      </c>
      <c r="AF55" s="669"/>
    </row>
    <row r="56" spans="1:32" ht="18.75" customHeight="1" x14ac:dyDescent="0.2">
      <c r="A56" s="1019">
        <v>42</v>
      </c>
      <c r="B56" s="461" t="s">
        <v>114</v>
      </c>
      <c r="C56" s="1019" t="s">
        <v>46</v>
      </c>
      <c r="D56" s="1019">
        <v>584.25</v>
      </c>
      <c r="E56" s="1019" t="s">
        <v>419</v>
      </c>
      <c r="F56" s="1019">
        <v>177.8</v>
      </c>
      <c r="G56" s="1019" t="s">
        <v>28</v>
      </c>
      <c r="H56" s="1019" t="s">
        <v>492</v>
      </c>
      <c r="I56" s="1018">
        <v>560.84</v>
      </c>
      <c r="J56" s="1019">
        <v>85</v>
      </c>
      <c r="K56" s="1019"/>
      <c r="L56" s="1019">
        <v>107</v>
      </c>
      <c r="M56" s="1019"/>
      <c r="N56" s="1019">
        <v>1.1000000000000001</v>
      </c>
      <c r="O56" s="1019"/>
      <c r="P56" s="668">
        <v>52.27734397937143</v>
      </c>
      <c r="Q56" s="668">
        <f>J56*7/100</f>
        <v>5.95</v>
      </c>
      <c r="R56" s="432">
        <v>0.96592857142857158</v>
      </c>
      <c r="S56" s="432">
        <v>5.0531071428571419</v>
      </c>
      <c r="T56" s="670">
        <v>0</v>
      </c>
      <c r="U56" s="668">
        <f t="shared" si="8"/>
        <v>0</v>
      </c>
      <c r="V56" s="668">
        <f t="shared" si="3"/>
        <v>80.884462883515781</v>
      </c>
      <c r="W56" s="668">
        <v>0.4</v>
      </c>
      <c r="X56" s="432">
        <f t="shared" si="7"/>
        <v>0.84926170468187256</v>
      </c>
      <c r="Y56" s="432">
        <f t="shared" si="4"/>
        <v>0.951439642857143</v>
      </c>
      <c r="Z56" s="432">
        <f t="shared" si="4"/>
        <v>4.9773105357142846</v>
      </c>
      <c r="AA56" s="670">
        <f t="shared" si="4"/>
        <v>0</v>
      </c>
      <c r="AB56" s="432">
        <f t="shared" si="5"/>
        <v>0</v>
      </c>
      <c r="AC56" s="670">
        <v>0</v>
      </c>
      <c r="AD56" s="1019">
        <v>31</v>
      </c>
      <c r="AE56" s="432">
        <f t="shared" si="6"/>
        <v>29.494628928571434</v>
      </c>
      <c r="AF56" s="669"/>
    </row>
    <row r="57" spans="1:32" ht="18.75" customHeight="1" x14ac:dyDescent="0.2">
      <c r="A57" s="1019">
        <v>43</v>
      </c>
      <c r="B57" s="461" t="s">
        <v>106</v>
      </c>
      <c r="C57" s="1019" t="s">
        <v>46</v>
      </c>
      <c r="D57" s="1019">
        <v>642.52</v>
      </c>
      <c r="E57" s="1019" t="s">
        <v>457</v>
      </c>
      <c r="F57" s="1019">
        <v>177.8</v>
      </c>
      <c r="G57" s="1019" t="s">
        <v>28</v>
      </c>
      <c r="H57" s="1019" t="s">
        <v>456</v>
      </c>
      <c r="I57" s="1018">
        <v>546.55999999999995</v>
      </c>
      <c r="J57" s="1019">
        <v>200</v>
      </c>
      <c r="K57" s="1019"/>
      <c r="L57" s="1019">
        <v>147</v>
      </c>
      <c r="M57" s="1019"/>
      <c r="N57" s="1019">
        <v>6.3</v>
      </c>
      <c r="O57" s="1019"/>
      <c r="P57" s="668">
        <v>44.323045037335021</v>
      </c>
      <c r="Q57" s="668">
        <f>J57*23/100</f>
        <v>46</v>
      </c>
      <c r="R57" s="432">
        <v>2.8362222222222222</v>
      </c>
      <c r="S57" s="432">
        <v>18.606833333333331</v>
      </c>
      <c r="T57" s="670">
        <v>19</v>
      </c>
      <c r="U57" s="668">
        <f t="shared" si="8"/>
        <v>6.6990519470343965</v>
      </c>
      <c r="V57" s="668">
        <f t="shared" si="3"/>
        <v>84.757093421473002</v>
      </c>
      <c r="W57" s="668">
        <v>0.5</v>
      </c>
      <c r="X57" s="432">
        <f t="shared" si="7"/>
        <v>0.40449637681159417</v>
      </c>
      <c r="Y57" s="432">
        <f t="shared" si="4"/>
        <v>2.793678888888889</v>
      </c>
      <c r="Z57" s="432">
        <f t="shared" si="4"/>
        <v>18.32773083333333</v>
      </c>
      <c r="AA57" s="670">
        <f t="shared" si="4"/>
        <v>18.715</v>
      </c>
      <c r="AB57" s="432">
        <f t="shared" si="5"/>
        <v>6.6990519470343965</v>
      </c>
      <c r="AC57" s="670">
        <f t="shared" si="1"/>
        <v>84.757093421473002</v>
      </c>
      <c r="AD57" s="1019">
        <v>31</v>
      </c>
      <c r="AE57" s="432">
        <f t="shared" si="6"/>
        <v>86.604045555555558</v>
      </c>
      <c r="AF57" s="449"/>
    </row>
    <row r="58" spans="1:32" ht="18.75" customHeight="1" x14ac:dyDescent="0.2">
      <c r="A58" s="1019">
        <v>44</v>
      </c>
      <c r="B58" s="461" t="s">
        <v>105</v>
      </c>
      <c r="C58" s="1019" t="s">
        <v>46</v>
      </c>
      <c r="D58" s="1019">
        <v>609.6</v>
      </c>
      <c r="E58" s="1019" t="s">
        <v>110</v>
      </c>
      <c r="F58" s="1019">
        <v>177.8</v>
      </c>
      <c r="G58" s="1019" t="s">
        <v>28</v>
      </c>
      <c r="H58" s="1019" t="s">
        <v>487</v>
      </c>
      <c r="I58" s="1018">
        <v>505.30000000000013</v>
      </c>
      <c r="J58" s="1019">
        <v>85</v>
      </c>
      <c r="K58" s="1019"/>
      <c r="L58" s="1019">
        <v>378</v>
      </c>
      <c r="M58" s="1019"/>
      <c r="N58" s="1019">
        <v>1.9</v>
      </c>
      <c r="O58" s="1019"/>
      <c r="P58" s="668">
        <v>12.957248526527751</v>
      </c>
      <c r="Q58" s="668">
        <f t="shared" si="9"/>
        <v>12.75</v>
      </c>
      <c r="R58" s="432">
        <v>1.886333333333333</v>
      </c>
      <c r="S58" s="432">
        <v>1.941111111111111</v>
      </c>
      <c r="T58" s="670">
        <v>0</v>
      </c>
      <c r="U58" s="668">
        <f t="shared" si="8"/>
        <v>0</v>
      </c>
      <c r="V58" s="668">
        <f t="shared" si="3"/>
        <v>2.8219805380652678</v>
      </c>
      <c r="W58" s="668">
        <v>0.4</v>
      </c>
      <c r="X58" s="432">
        <f t="shared" si="7"/>
        <v>0.15224400871459695</v>
      </c>
      <c r="Y58" s="432">
        <f t="shared" si="4"/>
        <v>1.858038333333333</v>
      </c>
      <c r="Z58" s="432">
        <f t="shared" si="4"/>
        <v>1.9119944444444443</v>
      </c>
      <c r="AA58" s="670">
        <f t="shared" si="4"/>
        <v>0</v>
      </c>
      <c r="AB58" s="432">
        <v>0</v>
      </c>
      <c r="AC58" s="670">
        <v>0</v>
      </c>
      <c r="AD58" s="1019">
        <v>31</v>
      </c>
      <c r="AE58" s="432">
        <f t="shared" si="6"/>
        <v>57.599188333333323</v>
      </c>
      <c r="AF58" s="669"/>
    </row>
    <row r="59" spans="1:32" ht="18.75" customHeight="1" x14ac:dyDescent="0.2">
      <c r="A59" s="1019">
        <v>45</v>
      </c>
      <c r="B59" s="461" t="s">
        <v>104</v>
      </c>
      <c r="C59" s="1019" t="s">
        <v>381</v>
      </c>
      <c r="D59" s="1019">
        <v>707.14</v>
      </c>
      <c r="E59" s="1018" t="s">
        <v>382</v>
      </c>
      <c r="F59" s="1019">
        <v>177.8</v>
      </c>
      <c r="G59" s="1019" t="s">
        <v>28</v>
      </c>
      <c r="H59" s="1019" t="s">
        <v>383</v>
      </c>
      <c r="I59" s="1018">
        <v>682.43000000000052</v>
      </c>
      <c r="J59" s="1019">
        <v>0</v>
      </c>
      <c r="K59" s="1019"/>
      <c r="L59" s="1019">
        <v>548</v>
      </c>
      <c r="M59" s="1019"/>
      <c r="N59" s="1019">
        <v>6.9</v>
      </c>
      <c r="O59" s="1019"/>
      <c r="P59" s="668">
        <v>14.54077871240548</v>
      </c>
      <c r="Q59" s="668">
        <f>J59*3/100</f>
        <v>0</v>
      </c>
      <c r="R59" s="432">
        <v>0</v>
      </c>
      <c r="S59" s="432">
        <v>0</v>
      </c>
      <c r="T59" s="670">
        <v>0</v>
      </c>
      <c r="U59" s="668">
        <f t="shared" si="8"/>
        <v>0</v>
      </c>
      <c r="V59" s="668">
        <f t="shared" si="3"/>
        <v>0</v>
      </c>
      <c r="W59" s="668">
        <v>0</v>
      </c>
      <c r="X59" s="432">
        <f t="shared" si="7"/>
        <v>0</v>
      </c>
      <c r="Y59" s="432">
        <f t="shared" si="4"/>
        <v>0</v>
      </c>
      <c r="Z59" s="432">
        <f t="shared" si="4"/>
        <v>0</v>
      </c>
      <c r="AA59" s="670">
        <f t="shared" si="4"/>
        <v>0</v>
      </c>
      <c r="AB59" s="432">
        <f t="shared" si="5"/>
        <v>0</v>
      </c>
      <c r="AC59" s="670">
        <f t="shared" si="1"/>
        <v>0</v>
      </c>
      <c r="AD59" s="1019">
        <v>31</v>
      </c>
      <c r="AE59" s="432">
        <f t="shared" si="6"/>
        <v>0</v>
      </c>
      <c r="AF59" s="669" t="s">
        <v>335</v>
      </c>
    </row>
    <row r="60" spans="1:32" ht="18.600000000000001" customHeight="1" x14ac:dyDescent="0.3">
      <c r="A60" s="1019">
        <v>46</v>
      </c>
      <c r="B60" s="1025" t="s">
        <v>158</v>
      </c>
      <c r="C60" s="1019" t="s">
        <v>46</v>
      </c>
      <c r="D60" s="1018">
        <v>621.12</v>
      </c>
      <c r="E60" s="1018" t="s">
        <v>232</v>
      </c>
      <c r="F60" s="1019">
        <v>177.8</v>
      </c>
      <c r="G60" s="1019" t="s">
        <v>28</v>
      </c>
      <c r="H60" s="1019" t="s">
        <v>403</v>
      </c>
      <c r="I60" s="1018">
        <v>544.41999999999996</v>
      </c>
      <c r="J60" s="1018">
        <v>250</v>
      </c>
      <c r="K60" s="1018"/>
      <c r="L60" s="1018">
        <v>463</v>
      </c>
      <c r="M60" s="1018"/>
      <c r="N60" s="1019">
        <v>7.6</v>
      </c>
      <c r="O60" s="1018"/>
      <c r="P60" s="448">
        <v>16.237963609289636</v>
      </c>
      <c r="Q60" s="668">
        <f>J60*23/100</f>
        <v>57.5</v>
      </c>
      <c r="R60" s="432">
        <v>5.7684285714285712</v>
      </c>
      <c r="S60" s="432">
        <v>8.0658214285714287</v>
      </c>
      <c r="T60" s="492">
        <v>89</v>
      </c>
      <c r="U60" s="668">
        <f t="shared" si="8"/>
        <v>15.428812006240868</v>
      </c>
      <c r="V60" s="668">
        <f t="shared" si="3"/>
        <v>28.48306124165903</v>
      </c>
      <c r="W60" s="668">
        <v>0.2</v>
      </c>
      <c r="X60" s="432">
        <f t="shared" si="7"/>
        <v>0.1402751552795031</v>
      </c>
      <c r="Y60" s="432">
        <f t="shared" si="4"/>
        <v>5.681902142857143</v>
      </c>
      <c r="Z60" s="432">
        <f t="shared" si="4"/>
        <v>7.9448341071428574</v>
      </c>
      <c r="AA60" s="670">
        <f t="shared" si="4"/>
        <v>87.664999999999992</v>
      </c>
      <c r="AB60" s="432">
        <f t="shared" si="5"/>
        <v>15.428812006240868</v>
      </c>
      <c r="AC60" s="670">
        <f t="shared" si="1"/>
        <v>28.48306124165903</v>
      </c>
      <c r="AD60" s="1019">
        <v>31</v>
      </c>
      <c r="AE60" s="432">
        <f>Y60*AD60</f>
        <v>176.13896642857142</v>
      </c>
      <c r="AF60" s="458"/>
    </row>
    <row r="61" spans="1:32" ht="18.75" customHeight="1" x14ac:dyDescent="0.2">
      <c r="A61" s="1019">
        <v>47</v>
      </c>
      <c r="B61" s="1025" t="s">
        <v>160</v>
      </c>
      <c r="C61" s="1019" t="s">
        <v>304</v>
      </c>
      <c r="D61" s="1018">
        <v>677.33</v>
      </c>
      <c r="E61" s="1018" t="s">
        <v>315</v>
      </c>
      <c r="F61" s="1019">
        <v>177.8</v>
      </c>
      <c r="G61" s="1019" t="s">
        <v>28</v>
      </c>
      <c r="H61" s="1019" t="s">
        <v>52</v>
      </c>
      <c r="I61" s="1018">
        <v>599.4400000000004</v>
      </c>
      <c r="J61" s="1018">
        <v>135</v>
      </c>
      <c r="K61" s="1018"/>
      <c r="L61" s="1019">
        <v>158</v>
      </c>
      <c r="M61" s="1018"/>
      <c r="N61" s="1019">
        <v>4.5999999999999996</v>
      </c>
      <c r="O61" s="1018"/>
      <c r="P61" s="448">
        <v>49.760394055761445</v>
      </c>
      <c r="Q61" s="668">
        <f t="shared" si="9"/>
        <v>29.7</v>
      </c>
      <c r="R61" s="432">
        <v>0</v>
      </c>
      <c r="S61" s="432">
        <v>1.7275714285714285</v>
      </c>
      <c r="T61" s="492">
        <v>0</v>
      </c>
      <c r="U61" s="668">
        <f t="shared" si="8"/>
        <v>0</v>
      </c>
      <c r="V61" s="668">
        <f t="shared" si="3"/>
        <v>100</v>
      </c>
      <c r="W61" s="668">
        <v>0</v>
      </c>
      <c r="X61" s="432">
        <f t="shared" si="7"/>
        <v>5.8167388167388166E-2</v>
      </c>
      <c r="Y61" s="432">
        <f t="shared" si="4"/>
        <v>0</v>
      </c>
      <c r="Z61" s="432">
        <f t="shared" si="4"/>
        <v>1.7016578571428571</v>
      </c>
      <c r="AA61" s="670">
        <f t="shared" si="4"/>
        <v>0</v>
      </c>
      <c r="AB61" s="432">
        <f t="shared" si="5"/>
        <v>0</v>
      </c>
      <c r="AC61" s="670">
        <f t="shared" si="1"/>
        <v>100</v>
      </c>
      <c r="AD61" s="1019">
        <v>31</v>
      </c>
      <c r="AE61" s="432">
        <f>Y61*AD61</f>
        <v>0</v>
      </c>
      <c r="AF61" s="669"/>
    </row>
    <row r="62" spans="1:32" ht="18.75" customHeight="1" x14ac:dyDescent="0.2">
      <c r="A62" s="1019">
        <v>48</v>
      </c>
      <c r="B62" s="461" t="s">
        <v>164</v>
      </c>
      <c r="C62" s="1019" t="s">
        <v>46</v>
      </c>
      <c r="D62" s="1018">
        <v>678.47</v>
      </c>
      <c r="E62" s="1018" t="s">
        <v>233</v>
      </c>
      <c r="F62" s="1019">
        <v>177.8</v>
      </c>
      <c r="G62" s="1019" t="s">
        <v>28</v>
      </c>
      <c r="H62" s="1019" t="s">
        <v>487</v>
      </c>
      <c r="I62" s="1018">
        <v>565.48000000000013</v>
      </c>
      <c r="J62" s="1018">
        <v>100</v>
      </c>
      <c r="K62" s="1018"/>
      <c r="L62" s="1018">
        <v>388</v>
      </c>
      <c r="M62" s="1018"/>
      <c r="N62" s="1019">
        <v>5.7</v>
      </c>
      <c r="O62" s="1018"/>
      <c r="P62" s="668">
        <v>17.919805945666621</v>
      </c>
      <c r="Q62" s="668">
        <f t="shared" si="9"/>
        <v>15</v>
      </c>
      <c r="R62" s="432">
        <v>3.7096428571428568</v>
      </c>
      <c r="S62" s="432">
        <v>7.7131071428571412</v>
      </c>
      <c r="T62" s="670">
        <v>0</v>
      </c>
      <c r="U62" s="668">
        <f t="shared" si="8"/>
        <v>0</v>
      </c>
      <c r="V62" s="668">
        <f t="shared" si="3"/>
        <v>51.904689142322667</v>
      </c>
      <c r="W62" s="668">
        <v>0.4</v>
      </c>
      <c r="X62" s="432">
        <f t="shared" si="7"/>
        <v>0.51420714285714275</v>
      </c>
      <c r="Y62" s="432">
        <f t="shared" si="4"/>
        <v>3.6539982142857137</v>
      </c>
      <c r="Z62" s="432">
        <f t="shared" si="4"/>
        <v>7.5974105357142836</v>
      </c>
      <c r="AA62" s="670">
        <f t="shared" si="4"/>
        <v>0</v>
      </c>
      <c r="AB62" s="432">
        <f t="shared" si="5"/>
        <v>0</v>
      </c>
      <c r="AC62" s="670">
        <f t="shared" si="1"/>
        <v>51.904689142322667</v>
      </c>
      <c r="AD62" s="1019">
        <v>31</v>
      </c>
      <c r="AE62" s="432">
        <f t="shared" ref="AE62:AE77" si="10">Y62*AD62</f>
        <v>113.27394464285713</v>
      </c>
      <c r="AF62" s="669"/>
    </row>
    <row r="63" spans="1:32" ht="18.75" customHeight="1" x14ac:dyDescent="0.2">
      <c r="A63" s="1019">
        <v>49</v>
      </c>
      <c r="B63" s="461" t="s">
        <v>61</v>
      </c>
      <c r="C63" s="1019" t="s">
        <v>46</v>
      </c>
      <c r="D63" s="1019">
        <v>667.18</v>
      </c>
      <c r="E63" s="1019" t="s">
        <v>96</v>
      </c>
      <c r="F63" s="1019">
        <v>177.8</v>
      </c>
      <c r="G63" s="1019" t="s">
        <v>28</v>
      </c>
      <c r="H63" s="1019" t="s">
        <v>52</v>
      </c>
      <c r="I63" s="1018">
        <v>534.21</v>
      </c>
      <c r="J63" s="1019">
        <v>200</v>
      </c>
      <c r="K63" s="1019"/>
      <c r="L63" s="1019">
        <v>450</v>
      </c>
      <c r="M63" s="1019"/>
      <c r="N63" s="1019">
        <v>4.5</v>
      </c>
      <c r="O63" s="1019"/>
      <c r="P63" s="668">
        <v>15.839049551597217</v>
      </c>
      <c r="Q63" s="668">
        <f t="shared" si="9"/>
        <v>44</v>
      </c>
      <c r="R63" s="432">
        <v>6.7877500000000008</v>
      </c>
      <c r="S63" s="432">
        <v>11.683071428571429</v>
      </c>
      <c r="T63" s="670">
        <v>87</v>
      </c>
      <c r="U63" s="668">
        <f t="shared" si="8"/>
        <v>12.817207469338145</v>
      </c>
      <c r="V63" s="668">
        <f t="shared" si="3"/>
        <v>41.900980050500415</v>
      </c>
      <c r="W63" s="668">
        <v>0.2</v>
      </c>
      <c r="X63" s="432">
        <f t="shared" si="7"/>
        <v>0.26552435064935065</v>
      </c>
      <c r="Y63" s="432">
        <f t="shared" si="4"/>
        <v>6.6859337500000011</v>
      </c>
      <c r="Z63" s="432">
        <f t="shared" si="4"/>
        <v>11.507825357142858</v>
      </c>
      <c r="AA63" s="670">
        <f t="shared" si="4"/>
        <v>85.694999999999993</v>
      </c>
      <c r="AB63" s="432">
        <f t="shared" si="5"/>
        <v>12.817207469338145</v>
      </c>
      <c r="AC63" s="670">
        <f t="shared" si="1"/>
        <v>41.900980050500415</v>
      </c>
      <c r="AD63" s="1019">
        <v>31</v>
      </c>
      <c r="AE63" s="432">
        <f t="shared" si="10"/>
        <v>207.26394625000003</v>
      </c>
      <c r="AF63" s="449"/>
    </row>
    <row r="64" spans="1:32" ht="18.75" customHeight="1" x14ac:dyDescent="0.2">
      <c r="A64" s="1019">
        <v>50</v>
      </c>
      <c r="B64" s="461" t="s">
        <v>64</v>
      </c>
      <c r="C64" s="1019" t="s">
        <v>46</v>
      </c>
      <c r="D64" s="1019">
        <v>672.5</v>
      </c>
      <c r="E64" s="1019" t="s">
        <v>444</v>
      </c>
      <c r="F64" s="1019">
        <v>177.8</v>
      </c>
      <c r="G64" s="1019" t="s">
        <v>28</v>
      </c>
      <c r="H64" s="1019" t="s">
        <v>49</v>
      </c>
      <c r="I64" s="1018">
        <v>523.78</v>
      </c>
      <c r="J64" s="1019">
        <v>250</v>
      </c>
      <c r="K64" s="1019"/>
      <c r="L64" s="1019">
        <v>449</v>
      </c>
      <c r="M64" s="1019"/>
      <c r="N64" s="1019">
        <v>7.9</v>
      </c>
      <c r="O64" s="1019"/>
      <c r="P64" s="668">
        <v>21.289712231492167</v>
      </c>
      <c r="Q64" s="668">
        <f t="shared" si="9"/>
        <v>80</v>
      </c>
      <c r="R64" s="432">
        <v>10.426928571428572</v>
      </c>
      <c r="S64" s="432">
        <v>13.684035714285713</v>
      </c>
      <c r="T64" s="670">
        <v>2565</v>
      </c>
      <c r="U64" s="668">
        <f t="shared" si="8"/>
        <v>245.99765716516984</v>
      </c>
      <c r="V64" s="668">
        <f t="shared" si="3"/>
        <v>23.802240880274969</v>
      </c>
      <c r="W64" s="668">
        <v>0.3</v>
      </c>
      <c r="X64" s="432">
        <f t="shared" si="7"/>
        <v>0.17105044642857142</v>
      </c>
      <c r="Y64" s="432">
        <f t="shared" si="4"/>
        <v>10.270524642857144</v>
      </c>
      <c r="Z64" s="432">
        <f t="shared" si="4"/>
        <v>13.478775178571427</v>
      </c>
      <c r="AA64" s="670">
        <f t="shared" si="4"/>
        <v>2526.5250000000001</v>
      </c>
      <c r="AB64" s="432">
        <f t="shared" si="5"/>
        <v>245.99765716516984</v>
      </c>
      <c r="AC64" s="670">
        <f t="shared" si="1"/>
        <v>23.802240880274969</v>
      </c>
      <c r="AD64" s="1019">
        <v>31</v>
      </c>
      <c r="AE64" s="432">
        <f t="shared" si="10"/>
        <v>318.38626392857145</v>
      </c>
      <c r="AF64" s="449"/>
    </row>
    <row r="65" spans="1:32" ht="18.75" customHeight="1" x14ac:dyDescent="0.2">
      <c r="A65" s="1019">
        <v>51</v>
      </c>
      <c r="B65" s="461" t="s">
        <v>156</v>
      </c>
      <c r="C65" s="1019" t="s">
        <v>46</v>
      </c>
      <c r="D65" s="1019">
        <v>679.54</v>
      </c>
      <c r="E65" s="1019" t="s">
        <v>166</v>
      </c>
      <c r="F65" s="1019">
        <v>177.8</v>
      </c>
      <c r="G65" s="1019" t="s">
        <v>28</v>
      </c>
      <c r="H65" s="1019" t="s">
        <v>52</v>
      </c>
      <c r="I65" s="1018">
        <v>530.98</v>
      </c>
      <c r="J65" s="1019">
        <v>358</v>
      </c>
      <c r="K65" s="1019"/>
      <c r="L65" s="1019">
        <v>454</v>
      </c>
      <c r="M65" s="1019"/>
      <c r="N65" s="1019">
        <v>4.9000000000000004</v>
      </c>
      <c r="O65" s="1019"/>
      <c r="P65" s="668">
        <v>16.658955800256862</v>
      </c>
      <c r="Q65" s="668">
        <f t="shared" si="9"/>
        <v>78.760000000000005</v>
      </c>
      <c r="R65" s="432">
        <v>6.2173571428571419</v>
      </c>
      <c r="S65" s="432">
        <v>11.092071428571428</v>
      </c>
      <c r="T65" s="670">
        <v>84</v>
      </c>
      <c r="U65" s="668">
        <f t="shared" si="8"/>
        <v>13.51056374435624</v>
      </c>
      <c r="V65" s="668">
        <f t="shared" si="3"/>
        <v>43.947736156456671</v>
      </c>
      <c r="W65" s="668">
        <v>0.2</v>
      </c>
      <c r="X65" s="432">
        <f t="shared" si="7"/>
        <v>0.14083381702096784</v>
      </c>
      <c r="Y65" s="432">
        <f t="shared" si="4"/>
        <v>6.1240967857142845</v>
      </c>
      <c r="Z65" s="432">
        <f t="shared" si="4"/>
        <v>10.925690357142857</v>
      </c>
      <c r="AA65" s="670">
        <f t="shared" si="4"/>
        <v>82.74</v>
      </c>
      <c r="AB65" s="432">
        <f t="shared" si="5"/>
        <v>13.51056374435624</v>
      </c>
      <c r="AC65" s="670">
        <f t="shared" si="1"/>
        <v>43.947736156456671</v>
      </c>
      <c r="AD65" s="1019">
        <v>31</v>
      </c>
      <c r="AE65" s="432">
        <f t="shared" si="10"/>
        <v>189.84700035714283</v>
      </c>
      <c r="AF65" s="449"/>
    </row>
    <row r="66" spans="1:32" ht="18.75" customHeight="1" x14ac:dyDescent="0.2">
      <c r="A66" s="1019">
        <v>52</v>
      </c>
      <c r="B66" s="461" t="s">
        <v>169</v>
      </c>
      <c r="C66" s="1019" t="s">
        <v>46</v>
      </c>
      <c r="D66" s="1019">
        <v>647.37</v>
      </c>
      <c r="E66" s="1019" t="s">
        <v>463</v>
      </c>
      <c r="F66" s="1019">
        <v>177.8</v>
      </c>
      <c r="G66" s="1019" t="s">
        <v>28</v>
      </c>
      <c r="H66" s="1019" t="s">
        <v>464</v>
      </c>
      <c r="I66" s="1018">
        <v>539.76999999999987</v>
      </c>
      <c r="J66" s="1019">
        <v>255</v>
      </c>
      <c r="K66" s="1019"/>
      <c r="L66" s="1019">
        <v>437</v>
      </c>
      <c r="M66" s="1019"/>
      <c r="N66" s="1019">
        <v>4.3</v>
      </c>
      <c r="O66" s="1019"/>
      <c r="P66" s="668">
        <v>17.453467031976455</v>
      </c>
      <c r="Q66" s="668">
        <v>42.9</v>
      </c>
      <c r="R66" s="432">
        <v>2.738</v>
      </c>
      <c r="S66" s="432">
        <v>6.918785714285713</v>
      </c>
      <c r="T66" s="670">
        <v>23</v>
      </c>
      <c r="U66" s="668">
        <f t="shared" si="8"/>
        <v>8.4002921840759672</v>
      </c>
      <c r="V66" s="668">
        <f t="shared" si="3"/>
        <v>60.426581873367539</v>
      </c>
      <c r="W66" s="668">
        <v>0.2</v>
      </c>
      <c r="X66" s="432">
        <f t="shared" si="7"/>
        <v>0.16127705627705624</v>
      </c>
      <c r="Y66" s="432">
        <f t="shared" si="4"/>
        <v>2.69693</v>
      </c>
      <c r="Z66" s="432">
        <f t="shared" si="4"/>
        <v>6.8150039285714268</v>
      </c>
      <c r="AA66" s="670">
        <f t="shared" si="4"/>
        <v>22.655000000000001</v>
      </c>
      <c r="AB66" s="432">
        <f t="shared" si="5"/>
        <v>8.4002921840759672</v>
      </c>
      <c r="AC66" s="670">
        <f t="shared" si="1"/>
        <v>60.426581873367539</v>
      </c>
      <c r="AD66" s="1019">
        <v>31</v>
      </c>
      <c r="AE66" s="432">
        <f>Y66*AD66</f>
        <v>83.604830000000007</v>
      </c>
      <c r="AF66" s="449"/>
    </row>
    <row r="67" spans="1:32" ht="18.75" customHeight="1" x14ac:dyDescent="0.2">
      <c r="A67" s="1019">
        <v>53</v>
      </c>
      <c r="B67" s="461" t="s">
        <v>62</v>
      </c>
      <c r="C67" s="1019" t="s">
        <v>46</v>
      </c>
      <c r="D67" s="1019">
        <v>673.73</v>
      </c>
      <c r="E67" s="1019" t="s">
        <v>97</v>
      </c>
      <c r="F67" s="1019">
        <v>177.8</v>
      </c>
      <c r="G67" s="1019" t="s">
        <v>28</v>
      </c>
      <c r="H67" s="1019" t="s">
        <v>218</v>
      </c>
      <c r="I67" s="1018">
        <v>543</v>
      </c>
      <c r="J67" s="1019">
        <v>255</v>
      </c>
      <c r="K67" s="1019"/>
      <c r="L67" s="1019">
        <v>420</v>
      </c>
      <c r="M67" s="1019"/>
      <c r="N67" s="1019">
        <v>1.5</v>
      </c>
      <c r="O67" s="1019"/>
      <c r="P67" s="668">
        <v>15.874407887512124</v>
      </c>
      <c r="Q67" s="668">
        <f t="shared" si="9"/>
        <v>81.599999999999994</v>
      </c>
      <c r="R67" s="432">
        <v>8.2603214285714284</v>
      </c>
      <c r="S67" s="432">
        <v>14.842321428571429</v>
      </c>
      <c r="T67" s="670">
        <v>81</v>
      </c>
      <c r="U67" s="668">
        <f t="shared" si="8"/>
        <v>9.805913813454163</v>
      </c>
      <c r="V67" s="668">
        <f t="shared" si="3"/>
        <v>44.346162638208789</v>
      </c>
      <c r="W67" s="668">
        <v>0.3</v>
      </c>
      <c r="X67" s="432">
        <f t="shared" si="7"/>
        <v>0.18189119397759104</v>
      </c>
      <c r="Y67" s="432">
        <f t="shared" si="4"/>
        <v>8.1364166071428574</v>
      </c>
      <c r="Z67" s="432">
        <f t="shared" si="4"/>
        <v>14.619686607142857</v>
      </c>
      <c r="AA67" s="670">
        <f t="shared" si="4"/>
        <v>79.784999999999997</v>
      </c>
      <c r="AB67" s="432">
        <f t="shared" si="5"/>
        <v>9.805913813454163</v>
      </c>
      <c r="AC67" s="670">
        <f t="shared" si="1"/>
        <v>44.346162638208789</v>
      </c>
      <c r="AD67" s="1019">
        <v>31</v>
      </c>
      <c r="AE67" s="432">
        <f t="shared" si="10"/>
        <v>252.22891482142859</v>
      </c>
      <c r="AF67" s="669"/>
    </row>
    <row r="68" spans="1:32" ht="18.75" customHeight="1" x14ac:dyDescent="0.2">
      <c r="A68" s="1019">
        <v>54</v>
      </c>
      <c r="B68" s="461" t="s">
        <v>157</v>
      </c>
      <c r="C68" s="1019" t="s">
        <v>46</v>
      </c>
      <c r="D68" s="1019">
        <v>676.73</v>
      </c>
      <c r="E68" s="1019" t="s">
        <v>179</v>
      </c>
      <c r="F68" s="1019">
        <v>177.8</v>
      </c>
      <c r="G68" s="1019" t="s">
        <v>28</v>
      </c>
      <c r="H68" s="1019" t="s">
        <v>218</v>
      </c>
      <c r="I68" s="1018">
        <v>579.14</v>
      </c>
      <c r="J68" s="1019">
        <v>220</v>
      </c>
      <c r="K68" s="1019"/>
      <c r="L68" s="1019">
        <v>183</v>
      </c>
      <c r="M68" s="1019"/>
      <c r="N68" s="1019">
        <v>8.9</v>
      </c>
      <c r="O68" s="1019"/>
      <c r="P68" s="668">
        <v>46.145170029542328</v>
      </c>
      <c r="Q68" s="668">
        <f t="shared" si="9"/>
        <v>70.400000000000006</v>
      </c>
      <c r="R68" s="432">
        <v>14.757821428571424</v>
      </c>
      <c r="S68" s="432">
        <v>48.808607142857149</v>
      </c>
      <c r="T68" s="670">
        <v>187</v>
      </c>
      <c r="U68" s="668">
        <f t="shared" si="8"/>
        <v>12.671246965894603</v>
      </c>
      <c r="V68" s="668">
        <f t="shared" si="3"/>
        <v>69.763895565843555</v>
      </c>
      <c r="W68" s="668">
        <v>0.3</v>
      </c>
      <c r="X68" s="432">
        <f t="shared" si="7"/>
        <v>0.6933040787337662</v>
      </c>
      <c r="Y68" s="432">
        <f t="shared" si="4"/>
        <v>14.536454107142852</v>
      </c>
      <c r="Z68" s="432">
        <f t="shared" si="4"/>
        <v>48.076478035714288</v>
      </c>
      <c r="AA68" s="670">
        <f t="shared" si="4"/>
        <v>184.19499999999999</v>
      </c>
      <c r="AB68" s="432">
        <f t="shared" si="5"/>
        <v>12.671246965894603</v>
      </c>
      <c r="AC68" s="670">
        <f t="shared" si="1"/>
        <v>69.763895565843555</v>
      </c>
      <c r="AD68" s="1019">
        <v>31</v>
      </c>
      <c r="AE68" s="432">
        <f t="shared" si="10"/>
        <v>450.63007732142842</v>
      </c>
      <c r="AF68" s="676"/>
    </row>
    <row r="69" spans="1:32" ht="18.75" customHeight="1" x14ac:dyDescent="0.2">
      <c r="A69" s="1019">
        <v>55</v>
      </c>
      <c r="B69" s="461" t="s">
        <v>159</v>
      </c>
      <c r="C69" s="1019" t="s">
        <v>46</v>
      </c>
      <c r="D69" s="1019">
        <v>676</v>
      </c>
      <c r="E69" s="1019" t="s">
        <v>167</v>
      </c>
      <c r="F69" s="1019">
        <v>177.8</v>
      </c>
      <c r="G69" s="1019" t="s">
        <v>28</v>
      </c>
      <c r="H69" s="1019" t="s">
        <v>342</v>
      </c>
      <c r="I69" s="1018">
        <v>509.61000000000024</v>
      </c>
      <c r="J69" s="1019">
        <v>300</v>
      </c>
      <c r="K69" s="1019"/>
      <c r="L69" s="1019">
        <v>452</v>
      </c>
      <c r="M69" s="1019"/>
      <c r="N69" s="1019">
        <v>8.6</v>
      </c>
      <c r="O69" s="1019"/>
      <c r="P69" s="668">
        <v>20.699407087181768</v>
      </c>
      <c r="Q69" s="668">
        <f>(20*J69)/100</f>
        <v>60</v>
      </c>
      <c r="R69" s="432">
        <v>19.607500000000005</v>
      </c>
      <c r="S69" s="432">
        <v>23.37142857142857</v>
      </c>
      <c r="T69" s="670">
        <v>628</v>
      </c>
      <c r="U69" s="668">
        <f t="shared" si="8"/>
        <v>32.028560499808741</v>
      </c>
      <c r="V69" s="668">
        <f t="shared" si="3"/>
        <v>16.104828850855718</v>
      </c>
      <c r="W69" s="668">
        <v>0.2</v>
      </c>
      <c r="X69" s="432">
        <f t="shared" si="7"/>
        <v>0.38952380952380949</v>
      </c>
      <c r="Y69" s="432">
        <f t="shared" si="4"/>
        <v>19.313387500000005</v>
      </c>
      <c r="Z69" s="432">
        <f t="shared" si="4"/>
        <v>23.020857142857142</v>
      </c>
      <c r="AA69" s="670">
        <f t="shared" si="4"/>
        <v>618.58000000000004</v>
      </c>
      <c r="AB69" s="432">
        <f t="shared" si="5"/>
        <v>32.028560499808741</v>
      </c>
      <c r="AC69" s="670">
        <f t="shared" si="1"/>
        <v>16.104828850855718</v>
      </c>
      <c r="AD69" s="1019">
        <v>31</v>
      </c>
      <c r="AE69" s="432">
        <f t="shared" si="10"/>
        <v>598.71501250000017</v>
      </c>
      <c r="AF69" s="669"/>
    </row>
    <row r="70" spans="1:32" ht="18.75" customHeight="1" x14ac:dyDescent="0.2">
      <c r="A70" s="1019">
        <v>56</v>
      </c>
      <c r="B70" s="461" t="s">
        <v>330</v>
      </c>
      <c r="C70" s="1019" t="s">
        <v>46</v>
      </c>
      <c r="D70" s="1019">
        <v>595</v>
      </c>
      <c r="E70" s="1019" t="s">
        <v>367</v>
      </c>
      <c r="F70" s="1019">
        <v>178.8</v>
      </c>
      <c r="G70" s="1019" t="s">
        <v>28</v>
      </c>
      <c r="H70" s="1019" t="s">
        <v>491</v>
      </c>
      <c r="I70" s="1018">
        <v>496.87000000000006</v>
      </c>
      <c r="J70" s="1019">
        <v>265</v>
      </c>
      <c r="K70" s="1019"/>
      <c r="L70" s="1019">
        <v>406</v>
      </c>
      <c r="M70" s="1019"/>
      <c r="N70" s="1019">
        <v>10.4</v>
      </c>
      <c r="O70" s="1019"/>
      <c r="P70" s="668">
        <v>23.597375210445296</v>
      </c>
      <c r="Q70" s="668">
        <f>J70*23/100</f>
        <v>60.95</v>
      </c>
      <c r="R70" s="432">
        <v>20.513214285714287</v>
      </c>
      <c r="S70" s="432">
        <v>26.683249999999994</v>
      </c>
      <c r="T70" s="670">
        <v>673</v>
      </c>
      <c r="U70" s="668">
        <f t="shared" si="8"/>
        <v>32.808120201263989</v>
      </c>
      <c r="V70" s="668">
        <f t="shared" si="3"/>
        <v>23.123254154893829</v>
      </c>
      <c r="W70" s="668">
        <v>0.2</v>
      </c>
      <c r="X70" s="432">
        <f t="shared" si="7"/>
        <v>0.43778917145200974</v>
      </c>
      <c r="Y70" s="432">
        <f t="shared" si="4"/>
        <v>20.205516071428573</v>
      </c>
      <c r="Z70" s="432">
        <f t="shared" si="4"/>
        <v>26.283001249999995</v>
      </c>
      <c r="AA70" s="670">
        <f t="shared" si="4"/>
        <v>662.90499999999997</v>
      </c>
      <c r="AB70" s="432">
        <v>20</v>
      </c>
      <c r="AC70" s="670">
        <v>17</v>
      </c>
      <c r="AD70" s="1019">
        <v>31</v>
      </c>
      <c r="AE70" s="432">
        <f t="shared" si="10"/>
        <v>626.37099821428581</v>
      </c>
      <c r="AF70" s="669"/>
    </row>
    <row r="71" spans="1:32" ht="18.75" customHeight="1" x14ac:dyDescent="0.2">
      <c r="A71" s="1019">
        <v>57</v>
      </c>
      <c r="B71" s="461" t="s">
        <v>210</v>
      </c>
      <c r="C71" s="1019" t="s">
        <v>46</v>
      </c>
      <c r="D71" s="1019">
        <v>728.32</v>
      </c>
      <c r="E71" s="1019" t="s">
        <v>226</v>
      </c>
      <c r="F71" s="1019">
        <v>177.8</v>
      </c>
      <c r="G71" s="1019" t="s">
        <v>28</v>
      </c>
      <c r="H71" s="1019" t="s">
        <v>218</v>
      </c>
      <c r="I71" s="1018">
        <v>519.38</v>
      </c>
      <c r="J71" s="1019">
        <v>347</v>
      </c>
      <c r="K71" s="1019"/>
      <c r="L71" s="1019">
        <v>188</v>
      </c>
      <c r="M71" s="1019"/>
      <c r="N71" s="1019">
        <v>10.9</v>
      </c>
      <c r="O71" s="1019"/>
      <c r="P71" s="668">
        <v>45.492329220094319</v>
      </c>
      <c r="Q71" s="668">
        <f t="shared" si="9"/>
        <v>111.04</v>
      </c>
      <c r="R71" s="432">
        <v>6.2057857142857129</v>
      </c>
      <c r="S71" s="432">
        <v>27.111500000000003</v>
      </c>
      <c r="T71" s="670">
        <v>133</v>
      </c>
      <c r="U71" s="668">
        <f t="shared" si="8"/>
        <v>21.431613356199865</v>
      </c>
      <c r="V71" s="668">
        <f t="shared" si="3"/>
        <v>77.110135129794685</v>
      </c>
      <c r="W71" s="668">
        <v>0.3</v>
      </c>
      <c r="X71" s="432">
        <f t="shared" si="7"/>
        <v>0.24415976224783864</v>
      </c>
      <c r="Y71" s="432">
        <f t="shared" si="4"/>
        <v>6.1126989285714268</v>
      </c>
      <c r="Z71" s="432">
        <f t="shared" si="4"/>
        <v>26.704827500000004</v>
      </c>
      <c r="AA71" s="670">
        <f t="shared" si="4"/>
        <v>131.005</v>
      </c>
      <c r="AB71" s="432">
        <f t="shared" si="5"/>
        <v>21.431613356199865</v>
      </c>
      <c r="AC71" s="670">
        <f t="shared" si="1"/>
        <v>77.110135129794685</v>
      </c>
      <c r="AD71" s="1019">
        <v>31</v>
      </c>
      <c r="AE71" s="432">
        <f t="shared" si="10"/>
        <v>189.49366678571423</v>
      </c>
      <c r="AF71" s="449"/>
    </row>
    <row r="72" spans="1:32" ht="18.75" customHeight="1" x14ac:dyDescent="0.2">
      <c r="A72" s="1019">
        <v>58</v>
      </c>
      <c r="B72" s="461" t="s">
        <v>63</v>
      </c>
      <c r="C72" s="1019" t="s">
        <v>46</v>
      </c>
      <c r="D72" s="1019">
        <v>672.99</v>
      </c>
      <c r="E72" s="1019" t="s">
        <v>98</v>
      </c>
      <c r="F72" s="1019">
        <v>177.8</v>
      </c>
      <c r="G72" s="1019" t="s">
        <v>28</v>
      </c>
      <c r="H72" s="1019" t="s">
        <v>310</v>
      </c>
      <c r="I72" s="1018">
        <v>536.32000000000005</v>
      </c>
      <c r="J72" s="1019">
        <v>310</v>
      </c>
      <c r="K72" s="1019"/>
      <c r="L72" s="1019">
        <v>453</v>
      </c>
      <c r="M72" s="1019"/>
      <c r="N72" s="1019">
        <v>9.5</v>
      </c>
      <c r="O72" s="1019"/>
      <c r="P72" s="668">
        <v>22.188402637371311</v>
      </c>
      <c r="Q72" s="668">
        <f t="shared" si="9"/>
        <v>68.2</v>
      </c>
      <c r="R72" s="432">
        <v>14.993499999999999</v>
      </c>
      <c r="S72" s="432">
        <v>20.074821428571425</v>
      </c>
      <c r="T72" s="670">
        <v>391</v>
      </c>
      <c r="U72" s="668">
        <f t="shared" si="8"/>
        <v>26.077967119084938</v>
      </c>
      <c r="V72" s="668">
        <f t="shared" si="3"/>
        <v>25.311913466584823</v>
      </c>
      <c r="W72" s="668">
        <v>0.2</v>
      </c>
      <c r="X72" s="432">
        <f t="shared" si="7"/>
        <v>0.2943522203602848</v>
      </c>
      <c r="Y72" s="432">
        <f t="shared" si="4"/>
        <v>14.768597499999998</v>
      </c>
      <c r="Z72" s="432">
        <f t="shared" si="4"/>
        <v>19.773699107142853</v>
      </c>
      <c r="AA72" s="670">
        <f t="shared" si="4"/>
        <v>385.13499999999999</v>
      </c>
      <c r="AB72" s="432">
        <f t="shared" si="5"/>
        <v>26.077967119084938</v>
      </c>
      <c r="AC72" s="670">
        <f t="shared" si="1"/>
        <v>25.311913466584823</v>
      </c>
      <c r="AD72" s="1019">
        <v>31</v>
      </c>
      <c r="AE72" s="432">
        <f t="shared" si="10"/>
        <v>457.82652249999995</v>
      </c>
      <c r="AF72" s="449"/>
    </row>
    <row r="73" spans="1:32" ht="18.75" customHeight="1" x14ac:dyDescent="0.2">
      <c r="A73" s="1019">
        <v>59</v>
      </c>
      <c r="B73" s="461" t="s">
        <v>217</v>
      </c>
      <c r="C73" s="1019" t="s">
        <v>46</v>
      </c>
      <c r="D73" s="1019">
        <v>684.57</v>
      </c>
      <c r="E73" s="1019" t="s">
        <v>359</v>
      </c>
      <c r="F73" s="1019">
        <v>177.8</v>
      </c>
      <c r="G73" s="1019" t="s">
        <v>28</v>
      </c>
      <c r="H73" s="1019" t="s">
        <v>219</v>
      </c>
      <c r="I73" s="1018">
        <v>555.95000000000005</v>
      </c>
      <c r="J73" s="1019">
        <v>347</v>
      </c>
      <c r="K73" s="1019"/>
      <c r="L73" s="1019">
        <v>191</v>
      </c>
      <c r="M73" s="1019"/>
      <c r="N73" s="1019">
        <v>9.1999999999999993</v>
      </c>
      <c r="O73" s="1019"/>
      <c r="P73" s="668">
        <v>41.438378105169761</v>
      </c>
      <c r="Q73" s="668">
        <f t="shared" si="9"/>
        <v>41.64</v>
      </c>
      <c r="R73" s="432">
        <v>2.9154285714285715</v>
      </c>
      <c r="S73" s="432">
        <v>14.834178571428566</v>
      </c>
      <c r="T73" s="670">
        <v>0</v>
      </c>
      <c r="U73" s="668">
        <f t="shared" si="8"/>
        <v>0</v>
      </c>
      <c r="V73" s="668">
        <f t="shared" si="3"/>
        <v>80.346545261064577</v>
      </c>
      <c r="W73" s="668">
        <v>0.3</v>
      </c>
      <c r="X73" s="432">
        <f t="shared" si="7"/>
        <v>0.35624828461644009</v>
      </c>
      <c r="Y73" s="432">
        <f t="shared" si="4"/>
        <v>2.8716971428571427</v>
      </c>
      <c r="Z73" s="432">
        <f t="shared" si="4"/>
        <v>14.611665892857138</v>
      </c>
      <c r="AA73" s="670">
        <f t="shared" si="4"/>
        <v>0</v>
      </c>
      <c r="AB73" s="432">
        <f t="shared" si="5"/>
        <v>0</v>
      </c>
      <c r="AC73" s="670">
        <f t="shared" si="1"/>
        <v>80.346545261064577</v>
      </c>
      <c r="AD73" s="1019">
        <v>31</v>
      </c>
      <c r="AE73" s="432">
        <f t="shared" si="10"/>
        <v>89.022611428571423</v>
      </c>
      <c r="AF73" s="449"/>
    </row>
    <row r="74" spans="1:32" ht="18.75" customHeight="1" x14ac:dyDescent="0.2">
      <c r="A74" s="1019">
        <v>60</v>
      </c>
      <c r="B74" s="461" t="s">
        <v>211</v>
      </c>
      <c r="C74" s="1019" t="s">
        <v>46</v>
      </c>
      <c r="D74" s="1019">
        <v>675.29</v>
      </c>
      <c r="E74" s="1019" t="s">
        <v>224</v>
      </c>
      <c r="F74" s="1019">
        <v>177.8</v>
      </c>
      <c r="G74" s="1019" t="s">
        <v>28</v>
      </c>
      <c r="H74" s="1019" t="s">
        <v>384</v>
      </c>
      <c r="I74" s="1018">
        <v>554.95999999999981</v>
      </c>
      <c r="J74" s="1019">
        <v>220</v>
      </c>
      <c r="K74" s="1019"/>
      <c r="L74" s="1019">
        <v>410</v>
      </c>
      <c r="M74" s="1019"/>
      <c r="N74" s="1019">
        <v>0.1</v>
      </c>
      <c r="O74" s="1019"/>
      <c r="P74" s="668">
        <v>15.428088037686818</v>
      </c>
      <c r="Q74" s="668">
        <f>(22*J74)/100</f>
        <v>48.4</v>
      </c>
      <c r="R74" s="432">
        <v>2.1220714285714286</v>
      </c>
      <c r="S74" s="432">
        <v>4.9397857142857147</v>
      </c>
      <c r="T74" s="670">
        <v>0</v>
      </c>
      <c r="U74" s="668">
        <f t="shared" si="8"/>
        <v>0</v>
      </c>
      <c r="V74" s="668">
        <f t="shared" si="3"/>
        <v>57.041225038680111</v>
      </c>
      <c r="W74" s="668">
        <v>0.3</v>
      </c>
      <c r="X74" s="432">
        <f t="shared" si="7"/>
        <v>0.10206168831168833</v>
      </c>
      <c r="Y74" s="432">
        <f t="shared" si="4"/>
        <v>2.0902403571428572</v>
      </c>
      <c r="Z74" s="432">
        <f t="shared" si="4"/>
        <v>4.8656889285714291</v>
      </c>
      <c r="AA74" s="670">
        <f t="shared" si="4"/>
        <v>0</v>
      </c>
      <c r="AB74" s="432">
        <f t="shared" si="5"/>
        <v>0</v>
      </c>
      <c r="AC74" s="670">
        <f t="shared" si="1"/>
        <v>57.041225038680111</v>
      </c>
      <c r="AD74" s="1019">
        <v>31</v>
      </c>
      <c r="AE74" s="432">
        <f t="shared" si="10"/>
        <v>64.797451071428569</v>
      </c>
      <c r="AF74" s="449"/>
    </row>
    <row r="75" spans="1:32" ht="18.600000000000001" customHeight="1" x14ac:dyDescent="0.2">
      <c r="A75" s="1019">
        <v>61</v>
      </c>
      <c r="B75" s="461" t="s">
        <v>341</v>
      </c>
      <c r="C75" s="1019" t="s">
        <v>46</v>
      </c>
      <c r="D75" s="1019">
        <v>683.16</v>
      </c>
      <c r="E75" s="1019" t="s">
        <v>343</v>
      </c>
      <c r="F75" s="1019">
        <v>177.8</v>
      </c>
      <c r="G75" s="1019" t="s">
        <v>28</v>
      </c>
      <c r="H75" s="1019" t="s">
        <v>342</v>
      </c>
      <c r="I75" s="1018">
        <v>571.9</v>
      </c>
      <c r="J75" s="1019">
        <v>245</v>
      </c>
      <c r="K75" s="1019"/>
      <c r="L75" s="1019">
        <v>284</v>
      </c>
      <c r="M75" s="1019"/>
      <c r="N75" s="1019">
        <v>10.1</v>
      </c>
      <c r="O75" s="1019"/>
      <c r="P75" s="668">
        <v>33.844362638741266</v>
      </c>
      <c r="Q75" s="668">
        <f>(20*J75)/100</f>
        <v>49</v>
      </c>
      <c r="R75" s="432">
        <v>28.18375</v>
      </c>
      <c r="S75" s="432">
        <v>37.374928571428562</v>
      </c>
      <c r="T75" s="670">
        <v>449</v>
      </c>
      <c r="U75" s="668">
        <f t="shared" si="8"/>
        <v>15.931166008781656</v>
      </c>
      <c r="V75" s="668">
        <f t="shared" si="3"/>
        <v>24.591829129152639</v>
      </c>
      <c r="W75" s="668">
        <v>0.2</v>
      </c>
      <c r="X75" s="432">
        <f t="shared" si="7"/>
        <v>0.76275364431486858</v>
      </c>
      <c r="Y75" s="432">
        <f t="shared" si="4"/>
        <v>27.760993750000001</v>
      </c>
      <c r="Z75" s="432">
        <f t="shared" si="4"/>
        <v>36.814304642857131</v>
      </c>
      <c r="AA75" s="670">
        <f t="shared" si="4"/>
        <v>442.26499999999999</v>
      </c>
      <c r="AB75" s="432">
        <f t="shared" si="5"/>
        <v>15.931166008781656</v>
      </c>
      <c r="AC75" s="670">
        <f t="shared" si="1"/>
        <v>24.591829129152639</v>
      </c>
      <c r="AD75" s="1019">
        <v>31</v>
      </c>
      <c r="AE75" s="432">
        <f t="shared" si="10"/>
        <v>860.59080625000001</v>
      </c>
      <c r="AF75" s="449"/>
    </row>
    <row r="76" spans="1:32" ht="18.75" customHeight="1" x14ac:dyDescent="0.2">
      <c r="A76" s="1019">
        <v>62</v>
      </c>
      <c r="B76" s="461" t="s">
        <v>354</v>
      </c>
      <c r="C76" s="1019" t="s">
        <v>46</v>
      </c>
      <c r="D76" s="1019">
        <v>634.29</v>
      </c>
      <c r="E76" s="832" t="s">
        <v>356</v>
      </c>
      <c r="F76" s="1019">
        <v>178.8</v>
      </c>
      <c r="G76" s="1019" t="s">
        <v>28</v>
      </c>
      <c r="H76" s="1019" t="s">
        <v>49</v>
      </c>
      <c r="I76" s="1018">
        <v>539.22</v>
      </c>
      <c r="J76" s="1019">
        <v>230</v>
      </c>
      <c r="K76" s="1019"/>
      <c r="L76" s="1019">
        <v>292</v>
      </c>
      <c r="M76" s="1019"/>
      <c r="N76" s="1019">
        <v>11.2</v>
      </c>
      <c r="O76" s="1019"/>
      <c r="P76" s="668">
        <v>31.539046577917098</v>
      </c>
      <c r="Q76" s="668">
        <f t="shared" ref="Q76:Q78" si="11">LEFT(H76,(FIND("K",H76,1)-1))*J76/100</f>
        <v>73.599999999999994</v>
      </c>
      <c r="R76" s="432">
        <v>18.905214285714287</v>
      </c>
      <c r="S76" s="432">
        <v>58.97128571428572</v>
      </c>
      <c r="T76" s="670">
        <v>242</v>
      </c>
      <c r="U76" s="668">
        <f t="shared" si="8"/>
        <v>12.800701242665477</v>
      </c>
      <c r="V76" s="668">
        <f t="shared" si="3"/>
        <v>67.941661680381984</v>
      </c>
      <c r="W76" s="668">
        <v>0.3</v>
      </c>
      <c r="X76" s="432">
        <f t="shared" si="7"/>
        <v>0.80124029503105609</v>
      </c>
      <c r="Y76" s="432">
        <f t="shared" si="4"/>
        <v>18.621636071428572</v>
      </c>
      <c r="Z76" s="432">
        <f t="shared" si="4"/>
        <v>58.086716428571435</v>
      </c>
      <c r="AA76" s="670">
        <f t="shared" si="4"/>
        <v>238.37</v>
      </c>
      <c r="AB76" s="432">
        <f t="shared" si="5"/>
        <v>12.800701242665477</v>
      </c>
      <c r="AC76" s="670">
        <f t="shared" si="1"/>
        <v>67.941661680381984</v>
      </c>
      <c r="AD76" s="1019">
        <v>31</v>
      </c>
      <c r="AE76" s="432">
        <f t="shared" si="10"/>
        <v>577.27071821428569</v>
      </c>
      <c r="AF76" s="449"/>
    </row>
    <row r="77" spans="1:32" ht="18.75" customHeight="1" x14ac:dyDescent="0.2">
      <c r="A77" s="1019">
        <v>63</v>
      </c>
      <c r="B77" s="461" t="s">
        <v>213</v>
      </c>
      <c r="C77" s="1019" t="s">
        <v>46</v>
      </c>
      <c r="D77" s="1019">
        <v>690.8</v>
      </c>
      <c r="E77" s="1019" t="s">
        <v>497</v>
      </c>
      <c r="F77" s="1019">
        <v>177.8</v>
      </c>
      <c r="G77" s="1019" t="s">
        <v>28</v>
      </c>
      <c r="H77" s="1019" t="s">
        <v>487</v>
      </c>
      <c r="I77" s="1018">
        <v>605.00000000000011</v>
      </c>
      <c r="J77" s="1019">
        <v>85</v>
      </c>
      <c r="K77" s="1019"/>
      <c r="L77" s="1019">
        <v>381</v>
      </c>
      <c r="M77" s="1019"/>
      <c r="N77" s="1019">
        <v>9.9</v>
      </c>
      <c r="O77" s="1019"/>
      <c r="P77" s="668">
        <v>36.537390831462979</v>
      </c>
      <c r="Q77" s="668">
        <f t="shared" si="11"/>
        <v>12.75</v>
      </c>
      <c r="R77" s="432">
        <v>5.8241666666666667</v>
      </c>
      <c r="S77" s="432">
        <v>10.936</v>
      </c>
      <c r="T77" s="670">
        <v>0</v>
      </c>
      <c r="U77" s="668">
        <f t="shared" ref="U77" si="12">T77/R77</f>
        <v>0</v>
      </c>
      <c r="V77" s="668">
        <f t="shared" ref="V77" si="13">(S77-R77)/S77*100</f>
        <v>46.743172396976348</v>
      </c>
      <c r="W77" s="668">
        <v>0.2</v>
      </c>
      <c r="X77" s="432">
        <f t="shared" ref="X77" si="14">S77/Q77</f>
        <v>0.85772549019607847</v>
      </c>
      <c r="Y77" s="432">
        <f t="shared" si="4"/>
        <v>5.7368041666666665</v>
      </c>
      <c r="Z77" s="432">
        <f t="shared" si="4"/>
        <v>10.77196</v>
      </c>
      <c r="AA77" s="670">
        <f t="shared" si="4"/>
        <v>0</v>
      </c>
      <c r="AB77" s="432">
        <f t="shared" si="5"/>
        <v>0</v>
      </c>
      <c r="AC77" s="670">
        <f>V77</f>
        <v>46.743172396976348</v>
      </c>
      <c r="AD77" s="1019">
        <v>31</v>
      </c>
      <c r="AE77" s="432">
        <f t="shared" si="10"/>
        <v>177.84092916666665</v>
      </c>
      <c r="AF77" s="669"/>
    </row>
    <row r="78" spans="1:32" ht="18.75" customHeight="1" x14ac:dyDescent="0.2">
      <c r="A78" s="1019">
        <v>64</v>
      </c>
      <c r="B78" s="461" t="s">
        <v>172</v>
      </c>
      <c r="C78" s="1019" t="s">
        <v>46</v>
      </c>
      <c r="D78" s="1019">
        <v>673</v>
      </c>
      <c r="E78" s="1019" t="s">
        <v>173</v>
      </c>
      <c r="F78" s="1019">
        <v>177.8</v>
      </c>
      <c r="G78" s="1019" t="s">
        <v>28</v>
      </c>
      <c r="H78" s="1019" t="s">
        <v>487</v>
      </c>
      <c r="I78" s="1018">
        <v>555.56000000000006</v>
      </c>
      <c r="J78" s="1019">
        <v>135</v>
      </c>
      <c r="K78" s="1019"/>
      <c r="L78" s="1019">
        <v>221</v>
      </c>
      <c r="M78" s="1019"/>
      <c r="N78" s="1019">
        <v>7.1</v>
      </c>
      <c r="O78" s="1019"/>
      <c r="P78" s="448">
        <v>41.747635027370904</v>
      </c>
      <c r="Q78" s="668">
        <f t="shared" si="11"/>
        <v>20.25</v>
      </c>
      <c r="R78" s="432">
        <v>1.235357142857143</v>
      </c>
      <c r="S78" s="432">
        <v>6.1569642857142863</v>
      </c>
      <c r="T78" s="670">
        <v>9</v>
      </c>
      <c r="U78" s="668">
        <f t="shared" si="8"/>
        <v>7.2853425845620112</v>
      </c>
      <c r="V78" s="668">
        <f t="shared" si="3"/>
        <v>79.935612981815012</v>
      </c>
      <c r="W78" s="668">
        <v>0.3</v>
      </c>
      <c r="X78" s="432">
        <f t="shared" si="7"/>
        <v>0.30404761904761907</v>
      </c>
      <c r="Y78" s="432">
        <f t="shared" si="4"/>
        <v>1.2168267857142858</v>
      </c>
      <c r="Z78" s="432">
        <f t="shared" si="4"/>
        <v>6.0646098214285722</v>
      </c>
      <c r="AA78" s="670">
        <f t="shared" si="4"/>
        <v>8.8650000000000002</v>
      </c>
      <c r="AB78" s="432">
        <f t="shared" si="5"/>
        <v>7.2853425845620112</v>
      </c>
      <c r="AC78" s="670">
        <f t="shared" si="1"/>
        <v>79.935612981815012</v>
      </c>
      <c r="AD78" s="1019">
        <v>31</v>
      </c>
      <c r="AE78" s="432">
        <f>Y78*AD78</f>
        <v>37.721630357142857</v>
      </c>
      <c r="AF78" s="449"/>
    </row>
    <row r="79" spans="1:32" ht="18.75" customHeight="1" x14ac:dyDescent="0.25">
      <c r="A79" s="869"/>
      <c r="B79" s="1019"/>
      <c r="C79" s="1019"/>
      <c r="D79" s="1018"/>
      <c r="E79" s="1018"/>
      <c r="F79" s="461"/>
      <c r="G79" s="1019"/>
      <c r="H79" s="1019"/>
      <c r="I79" s="1018"/>
      <c r="J79" s="1018"/>
      <c r="K79" s="1018"/>
      <c r="L79" s="1018"/>
      <c r="M79" s="1018"/>
      <c r="N79" s="1019"/>
      <c r="O79" s="1018"/>
      <c r="P79" s="668"/>
      <c r="Q79" s="448"/>
      <c r="R79" s="466">
        <f>SUM(R15:R78)</f>
        <v>383.13366346646177</v>
      </c>
      <c r="S79" s="466">
        <f>SUM(S15:S78)</f>
        <v>863.8464352278545</v>
      </c>
      <c r="T79" s="512">
        <f>SUM(T15:T78)</f>
        <v>10907</v>
      </c>
      <c r="U79" s="466">
        <f>T79/R79</f>
        <v>28.467871763909262</v>
      </c>
      <c r="V79" s="466"/>
      <c r="W79" s="466"/>
      <c r="X79" s="466"/>
      <c r="Y79" s="466">
        <f>SUM(Y15:Y78)</f>
        <v>377.3866585144649</v>
      </c>
      <c r="Z79" s="466">
        <f>SUM(Z15:Z78)</f>
        <v>850.88873869943677</v>
      </c>
      <c r="AA79" s="678">
        <f>SUM(AA15:AA78)</f>
        <v>10733.710000000001</v>
      </c>
      <c r="AB79" s="466">
        <f>AA79/Y79</f>
        <v>28.442208429550476</v>
      </c>
      <c r="AC79" s="466"/>
      <c r="AD79" s="1014"/>
      <c r="AE79" s="466">
        <f>SUM(AE15:AE78)</f>
        <v>11698.986413948414</v>
      </c>
      <c r="AF79" s="669"/>
    </row>
    <row r="80" spans="1:32" ht="18.75" customHeight="1" x14ac:dyDescent="0.25">
      <c r="A80" s="869"/>
      <c r="B80" s="1019"/>
      <c r="C80" s="1019"/>
      <c r="D80" s="1018"/>
      <c r="E80" s="1018"/>
      <c r="F80" s="461"/>
      <c r="G80" s="1019"/>
      <c r="H80" s="1019"/>
      <c r="I80" s="1018"/>
      <c r="J80" s="1018"/>
      <c r="K80" s="1018"/>
      <c r="L80" s="1018"/>
      <c r="M80" s="1018"/>
      <c r="N80" s="1019"/>
      <c r="O80" s="1018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1014"/>
      <c r="AE80" s="466"/>
      <c r="AF80" s="669"/>
    </row>
    <row r="81" spans="1:32" ht="18.75" customHeight="1" x14ac:dyDescent="0.25">
      <c r="A81" s="869"/>
      <c r="B81" s="1026"/>
      <c r="C81" s="1019"/>
      <c r="D81" s="1018"/>
      <c r="E81" s="1010" t="s">
        <v>388</v>
      </c>
      <c r="F81" s="461"/>
      <c r="G81" s="1019"/>
      <c r="H81" s="1019"/>
      <c r="I81" s="1018"/>
      <c r="J81" s="1018"/>
      <c r="K81" s="1018"/>
      <c r="L81" s="1018"/>
      <c r="M81" s="1018"/>
      <c r="N81" s="1019"/>
      <c r="O81" s="1018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1014"/>
      <c r="AE81" s="466"/>
      <c r="AF81" s="669"/>
    </row>
    <row r="82" spans="1:32" ht="18.75" customHeight="1" x14ac:dyDescent="0.2">
      <c r="A82" s="1019">
        <v>65</v>
      </c>
      <c r="B82" s="461" t="s">
        <v>423</v>
      </c>
      <c r="C82" s="1019" t="s">
        <v>445</v>
      </c>
      <c r="D82" s="1018">
        <v>683.8</v>
      </c>
      <c r="E82" s="1018" t="s">
        <v>473</v>
      </c>
      <c r="F82" s="1019">
        <v>177.8</v>
      </c>
      <c r="G82" s="1019" t="s">
        <v>28</v>
      </c>
      <c r="H82" s="1019" t="s">
        <v>48</v>
      </c>
      <c r="I82" s="1018">
        <v>590.46</v>
      </c>
      <c r="J82" s="1018"/>
      <c r="K82" s="1018">
        <v>548</v>
      </c>
      <c r="L82" s="1018"/>
      <c r="M82" s="1018">
        <v>28.2</v>
      </c>
      <c r="N82" s="1019"/>
      <c r="O82" s="1018"/>
      <c r="P82" s="668">
        <v>48.498811966153276</v>
      </c>
      <c r="Q82" s="668">
        <f t="shared" ref="Q82:Q84" si="15">LEFT(H82,(FIND("K",H82,1)-1))*J82/100</f>
        <v>0</v>
      </c>
      <c r="R82" s="432"/>
      <c r="S82" s="432"/>
      <c r="T82" s="492"/>
      <c r="U82" s="668"/>
      <c r="V82" s="668"/>
      <c r="W82" s="668"/>
      <c r="X82" s="432"/>
      <c r="Y82" s="432"/>
      <c r="Z82" s="432"/>
      <c r="AA82" s="670"/>
      <c r="AB82" s="432"/>
      <c r="AC82" s="668"/>
      <c r="AD82" s="1019"/>
      <c r="AE82" s="432"/>
      <c r="AF82" s="449" t="s">
        <v>432</v>
      </c>
    </row>
    <row r="83" spans="1:32" ht="18.600000000000001" customHeight="1" x14ac:dyDescent="0.2">
      <c r="A83" s="1019">
        <v>66</v>
      </c>
      <c r="B83" s="461" t="s">
        <v>451</v>
      </c>
      <c r="C83" s="1019" t="s">
        <v>445</v>
      </c>
      <c r="D83" s="1018">
        <v>683.2700000000001</v>
      </c>
      <c r="E83" s="1018" t="s">
        <v>475</v>
      </c>
      <c r="F83" s="1019">
        <v>177.8</v>
      </c>
      <c r="G83" s="1019" t="s">
        <v>28</v>
      </c>
      <c r="H83" s="1019" t="s">
        <v>218</v>
      </c>
      <c r="I83" s="1018">
        <v>618.30999999999995</v>
      </c>
      <c r="J83" s="1018">
        <v>270</v>
      </c>
      <c r="K83" s="1018"/>
      <c r="L83" s="1018">
        <v>565</v>
      </c>
      <c r="M83" s="1018"/>
      <c r="N83" s="1019">
        <v>21.6</v>
      </c>
      <c r="O83" s="1018"/>
      <c r="P83" s="668">
        <v>31.889079761431368</v>
      </c>
      <c r="Q83" s="668">
        <f t="shared" si="15"/>
        <v>86.4</v>
      </c>
      <c r="R83" s="432">
        <v>23.481178571428568</v>
      </c>
      <c r="S83" s="432">
        <v>23.635464285714285</v>
      </c>
      <c r="T83" s="492">
        <v>1764</v>
      </c>
      <c r="U83" s="668">
        <f t="shared" ref="U83" si="16">T83/R83</f>
        <v>75.1239974873493</v>
      </c>
      <c r="V83" s="668">
        <f t="shared" ref="V83" si="17">(S83-R83)/S83*100</f>
        <v>0.65277209036663486</v>
      </c>
      <c r="W83" s="668">
        <v>0.2</v>
      </c>
      <c r="X83" s="432">
        <f t="shared" ref="X83" si="18">S83/Q83</f>
        <v>0.2735586144179894</v>
      </c>
      <c r="Y83" s="432">
        <f t="shared" ref="Y83:AA83" si="19">R83*0.985</f>
        <v>23.12896089285714</v>
      </c>
      <c r="Z83" s="432">
        <f t="shared" si="19"/>
        <v>23.280932321428569</v>
      </c>
      <c r="AA83" s="670">
        <f t="shared" si="19"/>
        <v>1737.54</v>
      </c>
      <c r="AB83" s="668">
        <f t="shared" ref="AB83:AC83" si="20">U83</f>
        <v>75.1239974873493</v>
      </c>
      <c r="AC83" s="670">
        <f t="shared" si="20"/>
        <v>0.65277209036663486</v>
      </c>
      <c r="AD83" s="1019">
        <v>31</v>
      </c>
      <c r="AE83" s="432">
        <f>Y83*AD83</f>
        <v>716.9977876785714</v>
      </c>
      <c r="AF83" s="669"/>
    </row>
    <row r="84" spans="1:32" ht="18.75" customHeight="1" x14ac:dyDescent="0.2">
      <c r="A84" s="1019">
        <v>67</v>
      </c>
      <c r="B84" s="461" t="s">
        <v>424</v>
      </c>
      <c r="C84" s="1019" t="s">
        <v>445</v>
      </c>
      <c r="D84" s="1018">
        <v>691</v>
      </c>
      <c r="E84" s="1018" t="s">
        <v>495</v>
      </c>
      <c r="F84" s="1019">
        <v>177.8</v>
      </c>
      <c r="G84" s="1019" t="s">
        <v>28</v>
      </c>
      <c r="H84" s="1019" t="s">
        <v>48</v>
      </c>
      <c r="I84" s="1018">
        <v>628.34</v>
      </c>
      <c r="J84" s="1018"/>
      <c r="K84" s="1018">
        <v>605</v>
      </c>
      <c r="L84" s="1018"/>
      <c r="M84" s="1018">
        <v>9.5</v>
      </c>
      <c r="N84" s="1019"/>
      <c r="O84" s="1018"/>
      <c r="P84" s="668">
        <v>12.1</v>
      </c>
      <c r="Q84" s="668">
        <f t="shared" si="15"/>
        <v>0</v>
      </c>
      <c r="R84" s="432"/>
      <c r="S84" s="432"/>
      <c r="T84" s="492"/>
      <c r="U84" s="668"/>
      <c r="V84" s="668"/>
      <c r="W84" s="668"/>
      <c r="X84" s="432"/>
      <c r="Y84" s="432"/>
      <c r="Z84" s="432"/>
      <c r="AA84" s="670"/>
      <c r="AB84" s="668"/>
      <c r="AC84" s="670"/>
      <c r="AD84" s="1019"/>
      <c r="AE84" s="432">
        <f>Y84*AD84</f>
        <v>0</v>
      </c>
      <c r="AF84" s="449" t="s">
        <v>432</v>
      </c>
    </row>
    <row r="85" spans="1:32" ht="18.75" customHeight="1" x14ac:dyDescent="0.25">
      <c r="A85" s="1019">
        <v>68</v>
      </c>
      <c r="B85" s="461" t="s">
        <v>155</v>
      </c>
      <c r="C85" s="1019" t="s">
        <v>415</v>
      </c>
      <c r="D85" s="1019">
        <v>513.9</v>
      </c>
      <c r="E85" s="1019" t="s">
        <v>477</v>
      </c>
      <c r="F85" s="1019">
        <v>177.8</v>
      </c>
      <c r="G85" s="1019"/>
      <c r="H85" s="1019"/>
      <c r="I85" s="1018">
        <v>9.5</v>
      </c>
      <c r="J85" s="1018"/>
      <c r="K85" s="1018"/>
      <c r="L85" s="1018"/>
      <c r="M85" s="1018"/>
      <c r="N85" s="1019"/>
      <c r="O85" s="1018"/>
      <c r="P85" s="668"/>
      <c r="Q85" s="448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  <c r="AF85" s="669" t="s">
        <v>334</v>
      </c>
    </row>
    <row r="86" spans="1:32" ht="18.75" customHeight="1" x14ac:dyDescent="0.2">
      <c r="A86" s="1019">
        <v>69</v>
      </c>
      <c r="B86" s="461" t="s">
        <v>465</v>
      </c>
      <c r="C86" s="1019" t="s">
        <v>46</v>
      </c>
      <c r="D86" s="1019">
        <v>571.91</v>
      </c>
      <c r="E86" s="1019" t="s">
        <v>478</v>
      </c>
      <c r="F86" s="1019">
        <v>177.8</v>
      </c>
      <c r="G86" s="1019"/>
      <c r="H86" s="831"/>
      <c r="I86" s="1018">
        <v>9.5</v>
      </c>
      <c r="J86" s="1018"/>
      <c r="K86" s="1018"/>
      <c r="L86" s="1018"/>
      <c r="M86" s="1018"/>
      <c r="N86" s="1019"/>
      <c r="O86" s="1018"/>
      <c r="P86" s="668"/>
      <c r="Q86" s="448"/>
      <c r="R86" s="466"/>
      <c r="S86" s="466"/>
      <c r="T86" s="512"/>
      <c r="U86" s="466"/>
      <c r="V86" s="466"/>
      <c r="W86" s="466"/>
      <c r="X86" s="466"/>
      <c r="Y86" s="466"/>
      <c r="Z86" s="466"/>
      <c r="AA86" s="678"/>
      <c r="AB86" s="466"/>
      <c r="AC86" s="466"/>
      <c r="AD86" s="1014"/>
      <c r="AE86" s="466"/>
      <c r="AF86" s="669" t="s">
        <v>471</v>
      </c>
    </row>
    <row r="87" spans="1:32" ht="18.75" customHeight="1" x14ac:dyDescent="0.25">
      <c r="A87" s="869"/>
      <c r="B87" s="673"/>
      <c r="C87" s="673"/>
      <c r="D87" s="673"/>
      <c r="E87" s="673"/>
      <c r="F87" s="461"/>
      <c r="G87" s="1019"/>
      <c r="H87" s="1019"/>
      <c r="I87" s="1019"/>
      <c r="J87" s="1018"/>
      <c r="K87" s="1018"/>
      <c r="L87" s="1018"/>
      <c r="M87" s="1018"/>
      <c r="N87" s="1018"/>
      <c r="O87" s="1018"/>
      <c r="P87" s="448"/>
      <c r="Q87" s="448"/>
      <c r="R87" s="466">
        <f>SUM(R82:R84)</f>
        <v>23.481178571428568</v>
      </c>
      <c r="S87" s="466">
        <f>SUM(S82:S84)</f>
        <v>23.635464285714285</v>
      </c>
      <c r="T87" s="512">
        <f>SUM(T82:T84)</f>
        <v>1764</v>
      </c>
      <c r="U87" s="466">
        <f>T87/R87</f>
        <v>75.1239974873493</v>
      </c>
      <c r="V87" s="466"/>
      <c r="W87" s="466"/>
      <c r="X87" s="466"/>
      <c r="Y87" s="466">
        <f>SUM(Y82:Y84)</f>
        <v>23.12896089285714</v>
      </c>
      <c r="Z87" s="466">
        <f>SUM(Z82:Z84)</f>
        <v>23.280932321428569</v>
      </c>
      <c r="AA87" s="678">
        <f>SUM(AA82:AA84)</f>
        <v>1737.54</v>
      </c>
      <c r="AB87" s="466">
        <f>AA87/Y87</f>
        <v>75.1239974873493</v>
      </c>
      <c r="AC87" s="466"/>
      <c r="AD87" s="1014"/>
      <c r="AE87" s="466">
        <f>SUM(AE82:AE84)</f>
        <v>716.9977876785714</v>
      </c>
      <c r="AF87" s="669"/>
    </row>
    <row r="88" spans="1:32" ht="18.75" customHeight="1" x14ac:dyDescent="0.25">
      <c r="A88" s="870"/>
      <c r="B88" s="873"/>
      <c r="C88" s="850"/>
      <c r="D88" s="850"/>
      <c r="E88" s="1020" t="s">
        <v>470</v>
      </c>
      <c r="F88" s="853"/>
      <c r="G88" s="1012"/>
      <c r="H88" s="1010"/>
      <c r="I88" s="1010"/>
      <c r="J88" s="1018"/>
      <c r="K88" s="1018"/>
      <c r="L88" s="1018"/>
      <c r="M88" s="1018"/>
      <c r="N88" s="1018"/>
      <c r="O88" s="1018"/>
      <c r="P88" s="448"/>
      <c r="Q88" s="448"/>
      <c r="R88" s="1018"/>
      <c r="S88" s="437"/>
      <c r="T88" s="1018"/>
      <c r="U88" s="1012"/>
      <c r="V88" s="1012"/>
      <c r="W88" s="1012"/>
      <c r="X88" s="421"/>
      <c r="Y88" s="1018"/>
      <c r="Z88" s="1018"/>
      <c r="AA88" s="1018"/>
      <c r="AB88" s="1012"/>
      <c r="AC88" s="1012"/>
      <c r="AD88" s="1018"/>
      <c r="AE88" s="1018"/>
      <c r="AF88" s="1010"/>
    </row>
    <row r="89" spans="1:32" ht="18.75" customHeight="1" x14ac:dyDescent="0.2">
      <c r="A89" s="1013">
        <v>70</v>
      </c>
      <c r="B89" s="1026" t="s">
        <v>131</v>
      </c>
      <c r="C89" s="1013" t="s">
        <v>313</v>
      </c>
      <c r="D89" s="1019">
        <v>389.74</v>
      </c>
      <c r="E89" s="679" t="s">
        <v>136</v>
      </c>
      <c r="F89" s="1019">
        <v>177.8</v>
      </c>
      <c r="G89" s="1019" t="s">
        <v>28</v>
      </c>
      <c r="H89" s="1019" t="s">
        <v>485</v>
      </c>
      <c r="I89" s="1018">
        <v>132.27000000000001</v>
      </c>
      <c r="J89" s="1018">
        <v>85</v>
      </c>
      <c r="K89" s="1019"/>
      <c r="L89" s="1019">
        <v>56</v>
      </c>
      <c r="M89" s="1019"/>
      <c r="N89" s="1019">
        <v>0.8</v>
      </c>
      <c r="O89" s="1019"/>
      <c r="P89" s="668">
        <v>13.692691261550211</v>
      </c>
      <c r="Q89" s="448">
        <f>(15*J89)/100</f>
        <v>12.75</v>
      </c>
      <c r="R89" s="432">
        <v>7.2673928571428572</v>
      </c>
      <c r="S89" s="432">
        <v>10.709571428571428</v>
      </c>
      <c r="T89" s="432">
        <v>0</v>
      </c>
      <c r="U89" s="432">
        <f>T89/R89</f>
        <v>0</v>
      </c>
      <c r="V89" s="432">
        <f t="shared" ref="V89:V92" si="21">(S89-R89)/S89*100</f>
        <v>32.141142102525109</v>
      </c>
      <c r="W89" s="432">
        <v>0.3</v>
      </c>
      <c r="X89" s="432">
        <f t="shared" ref="X89:X92" si="22">S89/Q89</f>
        <v>0.83996638655462175</v>
      </c>
      <c r="Y89" s="432">
        <f>R89*0.985</f>
        <v>7.1583819642857138</v>
      </c>
      <c r="Z89" s="432">
        <f>S89*0.985</f>
        <v>10.548927857142855</v>
      </c>
      <c r="AA89" s="432">
        <f>T89*0.985</f>
        <v>0</v>
      </c>
      <c r="AB89" s="432">
        <f t="shared" ref="AB89:AC92" si="23">U89</f>
        <v>0</v>
      </c>
      <c r="AC89" s="432">
        <f t="shared" si="23"/>
        <v>32.141142102525109</v>
      </c>
      <c r="AD89" s="1019">
        <v>31</v>
      </c>
      <c r="AE89" s="432">
        <f t="shared" ref="AE89:AE92" si="24">Y89*AD89</f>
        <v>221.90984089285712</v>
      </c>
      <c r="AF89" s="449"/>
    </row>
    <row r="90" spans="1:32" ht="18.75" customHeight="1" x14ac:dyDescent="0.2">
      <c r="A90" s="1013">
        <v>71</v>
      </c>
      <c r="B90" s="1026" t="s">
        <v>132</v>
      </c>
      <c r="C90" s="1013" t="s">
        <v>313</v>
      </c>
      <c r="D90" s="1019">
        <v>387.72</v>
      </c>
      <c r="E90" s="679" t="s">
        <v>135</v>
      </c>
      <c r="F90" s="1019">
        <v>177.8</v>
      </c>
      <c r="G90" s="1019" t="s">
        <v>28</v>
      </c>
      <c r="H90" s="1019" t="s">
        <v>485</v>
      </c>
      <c r="I90" s="1018">
        <v>130.34</v>
      </c>
      <c r="J90" s="1019">
        <v>85</v>
      </c>
      <c r="K90" s="1019"/>
      <c r="L90" s="1019">
        <v>62</v>
      </c>
      <c r="M90" s="1019"/>
      <c r="N90" s="1019">
        <v>0.1</v>
      </c>
      <c r="O90" s="1019"/>
      <c r="P90" s="668">
        <v>9.6679061162874635</v>
      </c>
      <c r="Q90" s="448">
        <f>(15*J90)/100</f>
        <v>12.75</v>
      </c>
      <c r="R90" s="432">
        <v>7.7941785714285698</v>
      </c>
      <c r="S90" s="432">
        <v>10.816714285714285</v>
      </c>
      <c r="T90" s="432">
        <v>0</v>
      </c>
      <c r="U90" s="432">
        <f>T90/R90</f>
        <v>0</v>
      </c>
      <c r="V90" s="432">
        <f t="shared" si="21"/>
        <v>27.943196375978985</v>
      </c>
      <c r="W90" s="432">
        <v>0.3</v>
      </c>
      <c r="X90" s="432">
        <f t="shared" si="22"/>
        <v>0.84836974789915964</v>
      </c>
      <c r="Y90" s="432">
        <f t="shared" ref="Y90:AA92" si="25">R90*0.985</f>
        <v>7.6772658928571413</v>
      </c>
      <c r="Z90" s="432">
        <f t="shared" si="25"/>
        <v>10.65446357142857</v>
      </c>
      <c r="AA90" s="432">
        <f t="shared" si="25"/>
        <v>0</v>
      </c>
      <c r="AB90" s="432">
        <v>0</v>
      </c>
      <c r="AC90" s="432">
        <f>V90</f>
        <v>27.943196375978985</v>
      </c>
      <c r="AD90" s="1019">
        <v>31</v>
      </c>
      <c r="AE90" s="432">
        <f t="shared" si="24"/>
        <v>237.99524267857137</v>
      </c>
      <c r="AF90" s="449"/>
    </row>
    <row r="91" spans="1:32" ht="18.75" customHeight="1" x14ac:dyDescent="0.2">
      <c r="A91" s="1013">
        <v>72</v>
      </c>
      <c r="B91" s="1026" t="s">
        <v>121</v>
      </c>
      <c r="C91" s="1013" t="s">
        <v>313</v>
      </c>
      <c r="D91" s="1019">
        <v>389.57</v>
      </c>
      <c r="E91" s="1019" t="s">
        <v>137</v>
      </c>
      <c r="F91" s="1019">
        <v>177.8</v>
      </c>
      <c r="G91" s="1019" t="s">
        <v>28</v>
      </c>
      <c r="H91" s="831" t="s">
        <v>466</v>
      </c>
      <c r="I91" s="1018">
        <v>123.65000000000003</v>
      </c>
      <c r="J91" s="1019">
        <v>85</v>
      </c>
      <c r="K91" s="1019"/>
      <c r="L91" s="1019">
        <v>40</v>
      </c>
      <c r="M91" s="1019"/>
      <c r="N91" s="1019">
        <v>0</v>
      </c>
      <c r="O91" s="1019"/>
      <c r="P91" s="668">
        <v>12.138710570663264</v>
      </c>
      <c r="Q91" s="448">
        <f>(13*J91)/100</f>
        <v>11.05</v>
      </c>
      <c r="R91" s="432">
        <v>4.651357142857143</v>
      </c>
      <c r="S91" s="432">
        <v>10.736214285714285</v>
      </c>
      <c r="T91" s="432">
        <v>0</v>
      </c>
      <c r="U91" s="432">
        <v>0</v>
      </c>
      <c r="V91" s="432">
        <v>75</v>
      </c>
      <c r="W91" s="432">
        <v>0.3</v>
      </c>
      <c r="X91" s="432">
        <f>S91/Q91</f>
        <v>0.97160310277957318</v>
      </c>
      <c r="Y91" s="432">
        <f t="shared" si="25"/>
        <v>4.5815867857142853</v>
      </c>
      <c r="Z91" s="432">
        <f t="shared" si="25"/>
        <v>10.575171071428571</v>
      </c>
      <c r="AA91" s="432">
        <f t="shared" si="25"/>
        <v>0</v>
      </c>
      <c r="AB91" s="432">
        <v>0</v>
      </c>
      <c r="AC91" s="432">
        <v>47</v>
      </c>
      <c r="AD91" s="1019">
        <v>31</v>
      </c>
      <c r="AE91" s="432">
        <f t="shared" si="24"/>
        <v>142.02919035714285</v>
      </c>
      <c r="AF91" s="669"/>
    </row>
    <row r="92" spans="1:32" ht="18.75" customHeight="1" x14ac:dyDescent="0.2">
      <c r="A92" s="1013">
        <v>73</v>
      </c>
      <c r="B92" s="1026" t="s">
        <v>122</v>
      </c>
      <c r="C92" s="1013" t="s">
        <v>313</v>
      </c>
      <c r="D92" s="1019">
        <v>391.06</v>
      </c>
      <c r="E92" s="1019" t="s">
        <v>138</v>
      </c>
      <c r="F92" s="1019">
        <v>177.8</v>
      </c>
      <c r="G92" s="1019" t="s">
        <v>28</v>
      </c>
      <c r="H92" s="1019" t="s">
        <v>485</v>
      </c>
      <c r="I92" s="432">
        <v>148.36999999999998</v>
      </c>
      <c r="J92" s="1019">
        <v>85</v>
      </c>
      <c r="K92" s="1014"/>
      <c r="L92" s="1019">
        <v>81</v>
      </c>
      <c r="M92" s="1014"/>
      <c r="N92" s="1019">
        <v>0.4</v>
      </c>
      <c r="O92" s="1014"/>
      <c r="P92" s="668">
        <v>7.2327002756208305</v>
      </c>
      <c r="Q92" s="448">
        <f>(15*J92)/100</f>
        <v>12.75</v>
      </c>
      <c r="R92" s="432">
        <v>5.3336428571428565</v>
      </c>
      <c r="S92" s="432">
        <v>6.0178214285714287</v>
      </c>
      <c r="T92" s="432">
        <v>0</v>
      </c>
      <c r="U92" s="432">
        <f>T92/R92</f>
        <v>0</v>
      </c>
      <c r="V92" s="432">
        <f t="shared" si="21"/>
        <v>11.369206938913596</v>
      </c>
      <c r="W92" s="432">
        <v>0.3</v>
      </c>
      <c r="X92" s="432">
        <f t="shared" si="22"/>
        <v>0.47198599439775912</v>
      </c>
      <c r="Y92" s="432">
        <f t="shared" si="25"/>
        <v>5.2536382142857132</v>
      </c>
      <c r="Z92" s="432">
        <f t="shared" si="25"/>
        <v>5.927554107142857</v>
      </c>
      <c r="AA92" s="432">
        <f t="shared" si="25"/>
        <v>0</v>
      </c>
      <c r="AB92" s="432">
        <f t="shared" si="23"/>
        <v>0</v>
      </c>
      <c r="AC92" s="432">
        <f t="shared" si="23"/>
        <v>11.369206938913596</v>
      </c>
      <c r="AD92" s="1019">
        <v>31</v>
      </c>
      <c r="AE92" s="432">
        <f t="shared" si="24"/>
        <v>162.86278464285712</v>
      </c>
      <c r="AF92" s="680"/>
    </row>
    <row r="93" spans="1:32" ht="18.75" customHeight="1" x14ac:dyDescent="0.2">
      <c r="A93" s="1013">
        <v>74</v>
      </c>
      <c r="B93" s="1026" t="s">
        <v>188</v>
      </c>
      <c r="C93" s="1013" t="s">
        <v>344</v>
      </c>
      <c r="D93" s="1019">
        <v>400.5</v>
      </c>
      <c r="E93" s="1019" t="s">
        <v>345</v>
      </c>
      <c r="F93" s="1019">
        <v>177.8</v>
      </c>
      <c r="G93" s="1019"/>
      <c r="H93" s="1019"/>
      <c r="I93" s="432"/>
      <c r="J93" s="1019"/>
      <c r="K93" s="1014"/>
      <c r="L93" s="1019"/>
      <c r="M93" s="1014"/>
      <c r="N93" s="1019"/>
      <c r="O93" s="1014"/>
      <c r="P93" s="668"/>
      <c r="Q93" s="448"/>
      <c r="R93" s="432"/>
      <c r="S93" s="432"/>
      <c r="T93" s="432"/>
      <c r="U93" s="432"/>
      <c r="V93" s="432"/>
      <c r="W93" s="432"/>
      <c r="X93" s="432"/>
      <c r="Y93" s="432"/>
      <c r="Z93" s="432"/>
      <c r="AA93" s="432"/>
      <c r="AB93" s="432"/>
      <c r="AC93" s="432"/>
      <c r="AD93" s="1019"/>
      <c r="AE93" s="432"/>
      <c r="AF93" s="669"/>
    </row>
    <row r="94" spans="1:32" ht="18.75" customHeight="1" x14ac:dyDescent="0.2">
      <c r="A94" s="1013">
        <v>75</v>
      </c>
      <c r="B94" s="1019" t="s">
        <v>186</v>
      </c>
      <c r="C94" s="1013" t="s">
        <v>346</v>
      </c>
      <c r="D94" s="1019">
        <v>349.5</v>
      </c>
      <c r="E94" s="461" t="s">
        <v>347</v>
      </c>
      <c r="F94" s="1019">
        <v>177.8</v>
      </c>
      <c r="G94" s="1019"/>
      <c r="H94" s="1019"/>
      <c r="I94" s="432"/>
      <c r="J94" s="1019"/>
      <c r="K94" s="1019"/>
      <c r="L94" s="1019"/>
      <c r="M94" s="1014"/>
      <c r="N94" s="1019"/>
      <c r="O94" s="1014"/>
      <c r="P94" s="668"/>
      <c r="Q94" s="448"/>
      <c r="R94" s="432"/>
      <c r="S94" s="432"/>
      <c r="T94" s="432"/>
      <c r="U94" s="432"/>
      <c r="V94" s="432"/>
      <c r="W94" s="432"/>
      <c r="X94" s="432"/>
      <c r="Y94" s="432"/>
      <c r="Z94" s="432"/>
      <c r="AA94" s="432"/>
      <c r="AB94" s="432"/>
      <c r="AC94" s="432"/>
      <c r="AD94" s="1019"/>
      <c r="AE94" s="432"/>
      <c r="AF94" s="669"/>
    </row>
    <row r="95" spans="1:32" ht="18.75" customHeight="1" x14ac:dyDescent="0.25">
      <c r="A95" s="869"/>
      <c r="B95" s="847"/>
      <c r="C95" s="852"/>
      <c r="D95" s="852"/>
      <c r="E95" s="848"/>
      <c r="F95" s="1018"/>
      <c r="G95" s="1012"/>
      <c r="H95" s="1010"/>
      <c r="I95" s="1010"/>
      <c r="J95" s="1018"/>
      <c r="K95" s="1018"/>
      <c r="L95" s="1018"/>
      <c r="M95" s="1018"/>
      <c r="N95" s="1018"/>
      <c r="O95" s="1018"/>
      <c r="P95" s="448"/>
      <c r="Q95" s="448"/>
      <c r="R95" s="466">
        <f>SUM(R89:R94)</f>
        <v>25.046571428571426</v>
      </c>
      <c r="S95" s="466">
        <f>SUM(S89:S94)</f>
        <v>38.280321428571426</v>
      </c>
      <c r="T95" s="466">
        <f>SUM(T89:T92)</f>
        <v>0</v>
      </c>
      <c r="U95" s="466">
        <f>SUM(U89:U92)</f>
        <v>0</v>
      </c>
      <c r="V95" s="1012"/>
      <c r="W95" s="1012"/>
      <c r="X95" s="1012"/>
      <c r="Y95" s="466">
        <f>SUM(Y89:Y94)</f>
        <v>24.670872857142854</v>
      </c>
      <c r="Z95" s="466">
        <f>SUM(Z89:Z94)</f>
        <v>37.706116607142853</v>
      </c>
      <c r="AA95" s="466">
        <f>SUM(AA89:AA92)</f>
        <v>0</v>
      </c>
      <c r="AB95" s="466">
        <v>0</v>
      </c>
      <c r="AC95" s="1012"/>
      <c r="AD95" s="1018"/>
      <c r="AE95" s="466">
        <f>SUM(AE89:AE94)</f>
        <v>764.79705857142847</v>
      </c>
      <c r="AF95" s="471"/>
    </row>
    <row r="96" spans="1:32" ht="18.75" customHeight="1" x14ac:dyDescent="0.25">
      <c r="A96" s="869"/>
      <c r="B96" s="847"/>
      <c r="C96" s="852"/>
      <c r="D96" s="852"/>
      <c r="E96" s="848"/>
      <c r="F96" s="1014"/>
      <c r="G96" s="1019"/>
      <c r="H96" s="1019"/>
      <c r="I96" s="432"/>
      <c r="J96" s="1019"/>
      <c r="K96" s="1014"/>
      <c r="L96" s="1019"/>
      <c r="M96" s="1014"/>
      <c r="N96" s="668"/>
      <c r="O96" s="1014"/>
      <c r="P96" s="682"/>
      <c r="Q96" s="682"/>
      <c r="R96" s="466"/>
      <c r="S96" s="466"/>
      <c r="T96" s="466"/>
      <c r="U96" s="466"/>
      <c r="V96" s="466"/>
      <c r="W96" s="466"/>
      <c r="X96" s="466"/>
      <c r="Y96" s="466"/>
      <c r="Z96" s="678"/>
      <c r="AA96" s="466"/>
      <c r="AB96" s="466"/>
      <c r="AC96" s="466"/>
      <c r="AD96" s="466"/>
      <c r="AE96" s="466"/>
      <c r="AF96" s="680"/>
    </row>
    <row r="97" spans="1:32" ht="18.75" customHeight="1" x14ac:dyDescent="0.25">
      <c r="A97" s="869"/>
      <c r="B97" s="849"/>
      <c r="C97" s="850"/>
      <c r="D97" s="850"/>
      <c r="E97" s="851" t="s">
        <v>472</v>
      </c>
      <c r="F97" s="850"/>
      <c r="G97" s="1012"/>
      <c r="H97" s="1010"/>
      <c r="I97" s="1010"/>
      <c r="J97" s="1018"/>
      <c r="K97" s="1018"/>
      <c r="L97" s="1018"/>
      <c r="M97" s="1018"/>
      <c r="N97" s="1018"/>
      <c r="O97" s="1018"/>
      <c r="P97" s="448"/>
      <c r="Q97" s="448"/>
      <c r="R97" s="1018"/>
      <c r="S97" s="1018"/>
      <c r="T97" s="1018"/>
      <c r="U97" s="1012"/>
      <c r="V97" s="1012"/>
      <c r="W97" s="1012"/>
      <c r="X97" s="1012"/>
      <c r="Y97" s="1018"/>
      <c r="Z97" s="1018"/>
      <c r="AA97" s="1018"/>
      <c r="AB97" s="1012"/>
      <c r="AC97" s="1012"/>
      <c r="AD97" s="1018"/>
      <c r="AE97" s="1018"/>
      <c r="AF97" s="1010"/>
    </row>
    <row r="98" spans="1:32" ht="18.75" customHeight="1" x14ac:dyDescent="0.2">
      <c r="A98" s="1019">
        <v>76</v>
      </c>
      <c r="B98" s="1011" t="s">
        <v>107</v>
      </c>
      <c r="C98" s="1018" t="s">
        <v>109</v>
      </c>
      <c r="D98" s="1018"/>
      <c r="E98" s="1018"/>
      <c r="F98" s="1018"/>
      <c r="G98" s="1012"/>
      <c r="H98" s="1010"/>
      <c r="I98" s="1010"/>
      <c r="J98" s="1018"/>
      <c r="K98" s="1018"/>
      <c r="L98" s="1018"/>
      <c r="M98" s="1018"/>
      <c r="N98" s="1018"/>
      <c r="O98" s="1018"/>
      <c r="P98" s="448"/>
      <c r="Q98" s="448"/>
      <c r="R98" s="1018"/>
      <c r="S98" s="1018"/>
      <c r="T98" s="1018"/>
      <c r="U98" s="1012"/>
      <c r="V98" s="1012"/>
      <c r="W98" s="1012"/>
      <c r="X98" s="1012"/>
      <c r="Y98" s="1010"/>
      <c r="Z98" s="1010"/>
      <c r="AA98" s="1018"/>
      <c r="AB98" s="1012"/>
      <c r="AC98" s="1012"/>
      <c r="AD98" s="493"/>
      <c r="AE98" s="1018"/>
      <c r="AF98" s="1010"/>
    </row>
    <row r="99" spans="1:32" ht="18.75" customHeight="1" x14ac:dyDescent="0.2">
      <c r="A99" s="1019">
        <v>77</v>
      </c>
      <c r="B99" s="1011" t="s">
        <v>108</v>
      </c>
      <c r="C99" s="1018" t="s">
        <v>109</v>
      </c>
      <c r="D99" s="1018"/>
      <c r="E99" s="1018"/>
      <c r="F99" s="1018"/>
      <c r="G99" s="1012"/>
      <c r="H99" s="1010"/>
      <c r="I99" s="1010"/>
      <c r="J99" s="1018"/>
      <c r="K99" s="1018"/>
      <c r="L99" s="1018"/>
      <c r="M99" s="1018"/>
      <c r="N99" s="1018"/>
      <c r="O99" s="1018"/>
      <c r="P99" s="448"/>
      <c r="Q99" s="448"/>
      <c r="R99" s="1018"/>
      <c r="S99" s="1018"/>
      <c r="T99" s="1018"/>
      <c r="U99" s="1012"/>
      <c r="V99" s="1012"/>
      <c r="W99" s="1012"/>
      <c r="X99" s="1012"/>
      <c r="Y99" s="1010"/>
      <c r="Z99" s="1010"/>
      <c r="AA99" s="1018"/>
      <c r="AB99" s="1012"/>
      <c r="AC99" s="1012"/>
      <c r="AD99" s="493"/>
      <c r="AE99" s="1018"/>
      <c r="AF99" s="1010"/>
    </row>
    <row r="100" spans="1:32" ht="18.75" customHeight="1" x14ac:dyDescent="0.2">
      <c r="A100" s="1019">
        <v>78</v>
      </c>
      <c r="B100" s="1011" t="s">
        <v>195</v>
      </c>
      <c r="C100" s="1013" t="s">
        <v>484</v>
      </c>
      <c r="D100" s="1018"/>
      <c r="E100" s="1018"/>
      <c r="F100" s="1018"/>
      <c r="G100" s="1012"/>
      <c r="H100" s="1010"/>
      <c r="I100" s="1010"/>
      <c r="J100" s="1018"/>
      <c r="K100" s="1018"/>
      <c r="L100" s="1018"/>
      <c r="M100" s="1018"/>
      <c r="N100" s="1018"/>
      <c r="O100" s="1018"/>
      <c r="P100" s="448"/>
      <c r="Q100" s="448"/>
      <c r="R100" s="1018"/>
      <c r="S100" s="1018"/>
      <c r="T100" s="1018"/>
      <c r="U100" s="1012"/>
      <c r="V100" s="1012"/>
      <c r="W100" s="1012"/>
      <c r="X100" s="1012"/>
      <c r="Y100" s="1010"/>
      <c r="Z100" s="1010"/>
      <c r="AA100" s="1018"/>
      <c r="AB100" s="1012"/>
      <c r="AC100" s="1012"/>
      <c r="AD100" s="493"/>
      <c r="AE100" s="1018"/>
      <c r="AF100" s="1010"/>
    </row>
    <row r="101" spans="1:32" ht="18.75" customHeight="1" x14ac:dyDescent="0.2">
      <c r="A101" s="1019">
        <v>79</v>
      </c>
      <c r="B101" s="1011" t="s">
        <v>192</v>
      </c>
      <c r="C101" s="1013" t="s">
        <v>484</v>
      </c>
      <c r="D101" s="1018"/>
      <c r="E101" s="1018"/>
      <c r="F101" s="1018"/>
      <c r="G101" s="1012"/>
      <c r="H101" s="1010"/>
      <c r="I101" s="1010"/>
      <c r="J101" s="1018"/>
      <c r="K101" s="1018"/>
      <c r="L101" s="1018"/>
      <c r="M101" s="1018"/>
      <c r="N101" s="1018"/>
      <c r="O101" s="1018"/>
      <c r="P101" s="448"/>
      <c r="Q101" s="448"/>
      <c r="R101" s="1018"/>
      <c r="S101" s="1018"/>
      <c r="T101" s="1018"/>
      <c r="U101" s="1012"/>
      <c r="V101" s="1012"/>
      <c r="W101" s="1012"/>
      <c r="X101" s="1012"/>
      <c r="Y101" s="1010"/>
      <c r="Z101" s="1010"/>
      <c r="AA101" s="1018"/>
      <c r="AB101" s="1012"/>
      <c r="AC101" s="1012"/>
      <c r="AD101" s="493"/>
      <c r="AE101" s="1018"/>
      <c r="AF101" s="1010"/>
    </row>
    <row r="102" spans="1:32" ht="18.75" customHeight="1" x14ac:dyDescent="0.2">
      <c r="A102" s="1019"/>
      <c r="B102" s="851"/>
      <c r="C102" s="850"/>
      <c r="D102" s="850"/>
      <c r="E102" s="1010" t="s">
        <v>278</v>
      </c>
      <c r="F102" s="850"/>
      <c r="G102" s="1012"/>
      <c r="H102" s="1010"/>
      <c r="I102" s="1010"/>
      <c r="J102" s="1018"/>
      <c r="K102" s="1018"/>
      <c r="L102" s="1018"/>
      <c r="M102" s="1018"/>
      <c r="N102" s="1018"/>
      <c r="O102" s="1018"/>
      <c r="P102" s="448"/>
      <c r="Q102" s="448"/>
      <c r="R102" s="1018"/>
      <c r="S102" s="1018"/>
      <c r="T102" s="1018"/>
      <c r="U102" s="1012"/>
      <c r="V102" s="1012"/>
      <c r="W102" s="1012"/>
      <c r="X102" s="1012"/>
      <c r="Y102" s="1018"/>
      <c r="Z102" s="1018"/>
      <c r="AA102" s="1018"/>
      <c r="AB102" s="1012"/>
      <c r="AC102" s="1012"/>
      <c r="AD102" s="1018"/>
      <c r="AE102" s="1018"/>
      <c r="AF102" s="1010"/>
    </row>
    <row r="103" spans="1:32" ht="18.75" customHeight="1" x14ac:dyDescent="0.2">
      <c r="A103" s="1019">
        <v>80</v>
      </c>
      <c r="B103" s="461" t="s">
        <v>189</v>
      </c>
      <c r="C103" s="1019" t="s">
        <v>46</v>
      </c>
      <c r="D103" s="1019">
        <v>673</v>
      </c>
      <c r="E103" s="1019" t="s">
        <v>190</v>
      </c>
      <c r="F103" s="1019">
        <v>177.8</v>
      </c>
      <c r="G103" s="1019"/>
      <c r="H103" s="1019"/>
      <c r="I103" s="1018"/>
      <c r="J103" s="1018"/>
      <c r="K103" s="1018"/>
      <c r="L103" s="1018"/>
      <c r="M103" s="1018"/>
      <c r="N103" s="1018"/>
      <c r="O103" s="1018"/>
      <c r="P103" s="448"/>
      <c r="Q103" s="448"/>
      <c r="R103" s="1018"/>
      <c r="S103" s="1018"/>
      <c r="T103" s="1018"/>
      <c r="U103" s="1012"/>
      <c r="V103" s="1012"/>
      <c r="W103" s="1012"/>
      <c r="X103" s="1012"/>
      <c r="Y103" s="473"/>
      <c r="Z103" s="683"/>
      <c r="AA103" s="1010"/>
      <c r="AB103" s="1012"/>
      <c r="AC103" s="1018"/>
      <c r="AD103" s="1019"/>
      <c r="AE103" s="432"/>
      <c r="AF103" s="449"/>
    </row>
    <row r="104" spans="1:32" ht="18.75" customHeight="1" x14ac:dyDescent="0.3">
      <c r="A104" s="1019">
        <v>81</v>
      </c>
      <c r="B104" s="461" t="s">
        <v>181</v>
      </c>
      <c r="C104" s="684" t="s">
        <v>344</v>
      </c>
      <c r="D104" s="1019">
        <v>374.5</v>
      </c>
      <c r="E104" s="1019" t="s">
        <v>182</v>
      </c>
      <c r="F104" s="1019">
        <v>177.8</v>
      </c>
      <c r="G104" s="1019"/>
      <c r="H104" s="1019"/>
      <c r="I104" s="1018"/>
      <c r="J104" s="1019"/>
      <c r="K104" s="1019"/>
      <c r="L104" s="1019"/>
      <c r="M104" s="1019"/>
      <c r="N104" s="668"/>
      <c r="O104" s="1019"/>
      <c r="P104" s="432"/>
      <c r="Q104" s="668"/>
      <c r="R104" s="432"/>
      <c r="S104" s="432"/>
      <c r="T104" s="432"/>
      <c r="U104" s="432"/>
      <c r="V104" s="432"/>
      <c r="W104" s="432"/>
      <c r="X104" s="685"/>
      <c r="Y104" s="432"/>
      <c r="Z104" s="432"/>
      <c r="AA104" s="432"/>
      <c r="AB104" s="432"/>
      <c r="AC104" s="432"/>
      <c r="AD104" s="1019"/>
      <c r="AE104" s="432"/>
      <c r="AF104" s="449"/>
    </row>
    <row r="105" spans="1:32" ht="18.75" customHeight="1" x14ac:dyDescent="0.2">
      <c r="A105" s="1019">
        <v>82</v>
      </c>
      <c r="B105" s="461" t="s">
        <v>174</v>
      </c>
      <c r="C105" s="1019" t="s">
        <v>46</v>
      </c>
      <c r="D105" s="1019">
        <v>672</v>
      </c>
      <c r="E105" s="1019" t="s">
        <v>175</v>
      </c>
      <c r="F105" s="1019">
        <v>177.8</v>
      </c>
      <c r="G105" s="1019"/>
      <c r="H105" s="1019"/>
      <c r="I105" s="1018"/>
      <c r="J105" s="1019"/>
      <c r="K105" s="1019"/>
      <c r="L105" s="1019"/>
      <c r="M105" s="1019"/>
      <c r="N105" s="668"/>
      <c r="O105" s="1019"/>
      <c r="P105" s="668"/>
      <c r="Q105" s="668"/>
      <c r="R105" s="432"/>
      <c r="S105" s="432"/>
      <c r="T105" s="432"/>
      <c r="U105" s="432"/>
      <c r="V105" s="432"/>
      <c r="W105" s="432"/>
      <c r="X105" s="432"/>
      <c r="Y105" s="432"/>
      <c r="Z105" s="432"/>
      <c r="AA105" s="432"/>
      <c r="AB105" s="432"/>
      <c r="AC105" s="432"/>
      <c r="AD105" s="1019"/>
      <c r="AE105" s="432"/>
      <c r="AF105" s="449"/>
    </row>
    <row r="106" spans="1:32" ht="18.75" customHeight="1" x14ac:dyDescent="0.2">
      <c r="A106" s="1019">
        <v>83</v>
      </c>
      <c r="B106" s="1011" t="s">
        <v>103</v>
      </c>
      <c r="C106" s="1019" t="s">
        <v>46</v>
      </c>
      <c r="D106" s="1018">
        <v>582</v>
      </c>
      <c r="E106" s="1018" t="s">
        <v>112</v>
      </c>
      <c r="F106" s="1019">
        <v>177.8</v>
      </c>
      <c r="G106" s="1019"/>
      <c r="H106" s="1019"/>
      <c r="I106" s="1018"/>
      <c r="J106" s="1018"/>
      <c r="K106" s="1018"/>
      <c r="L106" s="1018"/>
      <c r="M106" s="1018"/>
      <c r="N106" s="1018"/>
      <c r="O106" s="1018"/>
      <c r="P106" s="448"/>
      <c r="Q106" s="448"/>
      <c r="R106" s="1018"/>
      <c r="S106" s="1018"/>
      <c r="T106" s="1018"/>
      <c r="U106" s="1012"/>
      <c r="V106" s="1012"/>
      <c r="W106" s="1012"/>
      <c r="X106" s="421"/>
      <c r="Y106" s="492"/>
      <c r="Z106" s="1018"/>
      <c r="AA106" s="1018"/>
      <c r="AB106" s="1012"/>
      <c r="AC106" s="1018"/>
      <c r="AD106" s="493"/>
      <c r="AE106" s="437"/>
      <c r="AF106" s="449"/>
    </row>
    <row r="107" spans="1:32" ht="18.75" customHeight="1" x14ac:dyDescent="0.2">
      <c r="A107" s="1019">
        <v>84</v>
      </c>
      <c r="B107" s="1019" t="s">
        <v>57</v>
      </c>
      <c r="C107" s="1013" t="s">
        <v>314</v>
      </c>
      <c r="D107" s="1019">
        <v>376.58</v>
      </c>
      <c r="E107" s="461" t="s">
        <v>93</v>
      </c>
      <c r="F107" s="1019">
        <v>177.8</v>
      </c>
      <c r="G107" s="1019"/>
      <c r="H107" s="1019"/>
      <c r="I107" s="1018"/>
      <c r="J107" s="1018"/>
      <c r="K107" s="1018"/>
      <c r="L107" s="1018"/>
      <c r="M107" s="1018"/>
      <c r="N107" s="1018"/>
      <c r="O107" s="1018"/>
      <c r="P107" s="448"/>
      <c r="Q107" s="448"/>
      <c r="R107" s="1018"/>
      <c r="S107" s="1018"/>
      <c r="T107" s="1018"/>
      <c r="U107" s="1012"/>
      <c r="V107" s="1012"/>
      <c r="W107" s="1012"/>
      <c r="X107" s="421"/>
      <c r="Y107" s="492"/>
      <c r="Z107" s="1018"/>
      <c r="AA107" s="1018"/>
      <c r="AB107" s="1012"/>
      <c r="AC107" s="1018"/>
      <c r="AD107" s="493"/>
      <c r="AE107" s="437"/>
      <c r="AF107" s="449"/>
    </row>
    <row r="108" spans="1:32" ht="18.75" customHeight="1" x14ac:dyDescent="0.2">
      <c r="A108" s="1019">
        <v>85</v>
      </c>
      <c r="B108" s="1019" t="s">
        <v>184</v>
      </c>
      <c r="C108" s="1013" t="s">
        <v>314</v>
      </c>
      <c r="D108" s="1019">
        <v>422.78</v>
      </c>
      <c r="E108" s="461" t="s">
        <v>185</v>
      </c>
      <c r="F108" s="1019">
        <v>177.8</v>
      </c>
      <c r="G108" s="1019"/>
      <c r="H108" s="1019"/>
      <c r="I108" s="432"/>
      <c r="J108" s="1018"/>
      <c r="K108" s="1018"/>
      <c r="L108" s="1018"/>
      <c r="M108" s="1018"/>
      <c r="N108" s="1018"/>
      <c r="O108" s="1018"/>
      <c r="P108" s="448"/>
      <c r="Q108" s="448"/>
      <c r="R108" s="1018"/>
      <c r="S108" s="1018"/>
      <c r="T108" s="1018"/>
      <c r="U108" s="1012"/>
      <c r="V108" s="1012"/>
      <c r="W108" s="1012"/>
      <c r="X108" s="421"/>
      <c r="Y108" s="492"/>
      <c r="Z108" s="1018"/>
      <c r="AA108" s="1018"/>
      <c r="AB108" s="1012"/>
      <c r="AC108" s="1018"/>
      <c r="AD108" s="493"/>
      <c r="AE108" s="437"/>
      <c r="AF108" s="449"/>
    </row>
    <row r="109" spans="1:32" ht="18.75" customHeight="1" x14ac:dyDescent="0.2">
      <c r="A109" s="1019">
        <v>86</v>
      </c>
      <c r="B109" s="1011" t="s">
        <v>220</v>
      </c>
      <c r="C109" s="1019" t="s">
        <v>46</v>
      </c>
      <c r="D109" s="1018">
        <v>685.69</v>
      </c>
      <c r="E109" s="1018" t="s">
        <v>222</v>
      </c>
      <c r="F109" s="1019">
        <v>177.8</v>
      </c>
      <c r="G109" s="1019"/>
      <c r="H109" s="1019"/>
      <c r="I109" s="1018"/>
      <c r="J109" s="1018"/>
      <c r="K109" s="1018"/>
      <c r="L109" s="1018"/>
      <c r="M109" s="1018"/>
      <c r="N109" s="1018"/>
      <c r="O109" s="1018"/>
      <c r="P109" s="448"/>
      <c r="Q109" s="771"/>
      <c r="R109" s="1018"/>
      <c r="S109" s="1018"/>
      <c r="T109" s="1018"/>
      <c r="U109" s="1012"/>
      <c r="V109" s="1012"/>
      <c r="W109" s="1012"/>
      <c r="X109" s="421"/>
      <c r="Y109" s="492"/>
      <c r="Z109" s="1018"/>
      <c r="AA109" s="1018"/>
      <c r="AB109" s="1012"/>
      <c r="AC109" s="1018"/>
      <c r="AD109" s="493"/>
      <c r="AE109" s="437"/>
      <c r="AF109" s="449"/>
    </row>
    <row r="110" spans="1:32" ht="18.75" customHeight="1" x14ac:dyDescent="0.2">
      <c r="A110" s="1019"/>
      <c r="B110" s="851"/>
      <c r="C110" s="850"/>
      <c r="D110" s="850"/>
      <c r="E110" s="1010" t="s">
        <v>469</v>
      </c>
      <c r="F110" s="850"/>
      <c r="G110" s="1019"/>
      <c r="H110" s="1019"/>
      <c r="I110" s="1018"/>
      <c r="J110" s="1019"/>
      <c r="K110" s="1019"/>
      <c r="L110" s="1019"/>
      <c r="M110" s="1019"/>
      <c r="N110" s="668"/>
      <c r="O110" s="1019"/>
      <c r="P110" s="668"/>
      <c r="Q110" s="772"/>
      <c r="R110" s="432"/>
      <c r="S110" s="432"/>
      <c r="T110" s="432"/>
      <c r="U110" s="432"/>
      <c r="V110" s="432"/>
      <c r="W110" s="432"/>
      <c r="X110" s="432"/>
      <c r="Y110" s="432"/>
      <c r="Z110" s="432"/>
      <c r="AA110" s="432"/>
      <c r="AB110" s="432"/>
      <c r="AC110" s="432"/>
      <c r="AD110" s="1019"/>
      <c r="AE110" s="432"/>
      <c r="AF110" s="449"/>
    </row>
    <row r="111" spans="1:32" ht="18.75" customHeight="1" x14ac:dyDescent="0.2">
      <c r="A111" s="1019">
        <v>87</v>
      </c>
      <c r="B111" s="461" t="s">
        <v>56</v>
      </c>
      <c r="C111" s="1019" t="s">
        <v>46</v>
      </c>
      <c r="D111" s="1019">
        <v>680.52</v>
      </c>
      <c r="E111" s="1019" t="s">
        <v>92</v>
      </c>
      <c r="F111" s="1019">
        <v>177.8</v>
      </c>
      <c r="G111" s="1019"/>
      <c r="H111" s="1019"/>
      <c r="I111" s="1018"/>
      <c r="J111" s="1019"/>
      <c r="K111" s="1019"/>
      <c r="L111" s="1019"/>
      <c r="M111" s="1019"/>
      <c r="N111" s="668"/>
      <c r="O111" s="1019"/>
      <c r="P111" s="668"/>
      <c r="Q111" s="772"/>
      <c r="R111" s="432"/>
      <c r="S111" s="432"/>
      <c r="T111" s="432"/>
      <c r="U111" s="432"/>
      <c r="V111" s="432"/>
      <c r="W111" s="432"/>
      <c r="X111" s="432"/>
      <c r="Y111" s="432"/>
      <c r="Z111" s="432"/>
      <c r="AA111" s="432"/>
      <c r="AB111" s="432"/>
      <c r="AC111" s="432"/>
      <c r="AD111" s="1019"/>
      <c r="AE111" s="432"/>
      <c r="AF111" s="449"/>
    </row>
    <row r="112" spans="1:32" ht="18.75" customHeight="1" x14ac:dyDescent="0.2">
      <c r="A112" s="1019"/>
      <c r="B112" s="461"/>
      <c r="C112" s="1019"/>
      <c r="D112" s="1019"/>
      <c r="E112" s="1019"/>
      <c r="F112" s="1019"/>
      <c r="G112" s="1019"/>
      <c r="H112" s="1019"/>
      <c r="I112" s="1018"/>
      <c r="J112" s="1019"/>
      <c r="K112" s="1019"/>
      <c r="L112" s="1019"/>
      <c r="M112" s="1019"/>
      <c r="N112" s="668"/>
      <c r="O112" s="1019"/>
      <c r="P112" s="432"/>
      <c r="Q112" s="772"/>
      <c r="R112" s="432"/>
      <c r="S112" s="432"/>
      <c r="T112" s="432"/>
      <c r="U112" s="432"/>
      <c r="V112" s="432"/>
      <c r="W112" s="432"/>
      <c r="X112" s="685"/>
      <c r="Y112" s="432"/>
      <c r="Z112" s="432"/>
      <c r="AA112" s="432"/>
      <c r="AB112" s="432"/>
      <c r="AC112" s="432"/>
      <c r="AD112" s="1019"/>
      <c r="AE112" s="432"/>
      <c r="AF112" s="449"/>
    </row>
    <row r="113" spans="1:32" ht="18.75" x14ac:dyDescent="0.25">
      <c r="A113" s="870"/>
      <c r="B113" s="1019"/>
      <c r="C113" s="1019"/>
      <c r="D113" s="1019"/>
      <c r="E113" s="461"/>
      <c r="F113" s="1019"/>
      <c r="G113" s="1019"/>
      <c r="H113" s="1019"/>
      <c r="I113" s="1018"/>
      <c r="J113" s="1019"/>
      <c r="K113" s="1019"/>
      <c r="L113" s="1019"/>
      <c r="M113" s="1019"/>
      <c r="N113" s="668"/>
      <c r="O113" s="1019"/>
      <c r="P113" s="432"/>
      <c r="Q113" s="772"/>
      <c r="R113" s="432"/>
      <c r="S113" s="432"/>
      <c r="T113" s="432"/>
      <c r="U113" s="432"/>
      <c r="V113" s="432"/>
      <c r="W113" s="432"/>
      <c r="X113" s="685"/>
      <c r="Y113" s="432"/>
      <c r="Z113" s="432"/>
      <c r="AA113" s="432"/>
      <c r="AB113" s="432"/>
      <c r="AC113" s="432"/>
      <c r="AD113" s="1019"/>
      <c r="AE113" s="432"/>
      <c r="AF113" s="449"/>
    </row>
    <row r="114" spans="1:32" ht="18.75" x14ac:dyDescent="0.25">
      <c r="A114" s="871"/>
      <c r="B114" s="1939"/>
      <c r="C114" s="1939"/>
      <c r="D114" s="1939"/>
      <c r="E114" s="1940"/>
      <c r="F114" s="1014"/>
      <c r="G114" s="1019"/>
      <c r="H114" s="1019"/>
      <c r="I114" s="432"/>
      <c r="J114" s="1019"/>
      <c r="K114" s="1014"/>
      <c r="L114" s="1019"/>
      <c r="M114" s="1014"/>
      <c r="N114" s="668"/>
      <c r="O114" s="1014"/>
      <c r="P114" s="682"/>
      <c r="Q114" s="774"/>
      <c r="R114" s="466">
        <f>R79+R95+R87</f>
        <v>431.66141346646179</v>
      </c>
      <c r="S114" s="466">
        <f>S79+S95+S87</f>
        <v>925.76222094214017</v>
      </c>
      <c r="T114" s="678">
        <f>T79+T95+T87</f>
        <v>12671</v>
      </c>
      <c r="U114" s="466">
        <f>T114/R114</f>
        <v>29.354025179701363</v>
      </c>
      <c r="V114" s="466"/>
      <c r="W114" s="466"/>
      <c r="X114" s="466"/>
      <c r="Y114" s="466">
        <f>Y79+Y95+Y87</f>
        <v>425.1864922644649</v>
      </c>
      <c r="Z114" s="466">
        <f>Z79+Z95+Z87</f>
        <v>911.8757876280082</v>
      </c>
      <c r="AA114" s="678">
        <f>AA79+AA95+AA87</f>
        <v>12471.25</v>
      </c>
      <c r="AB114" s="466">
        <f>AB79+AB95+AB87</f>
        <v>103.56620591689978</v>
      </c>
      <c r="AC114" s="466"/>
      <c r="AD114" s="466"/>
      <c r="AE114" s="686">
        <f>AE79+AE95+AE87</f>
        <v>13180.781260198413</v>
      </c>
      <c r="AF114" s="680"/>
    </row>
    <row r="115" spans="1:32" ht="18.75" x14ac:dyDescent="0.25">
      <c r="A115" s="868"/>
      <c r="B115" s="497"/>
      <c r="C115" s="497"/>
      <c r="D115" s="497"/>
      <c r="E115" s="497"/>
      <c r="F115" s="497"/>
      <c r="G115" s="498"/>
      <c r="H115" s="499"/>
      <c r="I115" s="499"/>
      <c r="J115" s="497"/>
      <c r="K115" s="497"/>
      <c r="L115" s="497"/>
      <c r="M115" s="497"/>
      <c r="N115" s="497"/>
      <c r="O115" s="497"/>
      <c r="P115" s="500"/>
      <c r="Q115" s="775"/>
      <c r="R115" s="497"/>
      <c r="S115" s="497"/>
      <c r="T115" s="497"/>
      <c r="U115" s="498"/>
      <c r="V115" s="498"/>
      <c r="W115" s="498"/>
      <c r="X115" s="498"/>
      <c r="Y115" s="497"/>
      <c r="Z115" s="497"/>
      <c r="AA115" s="497"/>
      <c r="AB115" s="498"/>
      <c r="AC115" s="498"/>
      <c r="AD115" s="497"/>
      <c r="AE115" s="497"/>
      <c r="AF115" s="499"/>
    </row>
    <row r="116" spans="1:32" ht="18.75" x14ac:dyDescent="0.25">
      <c r="A116" s="868"/>
      <c r="B116" s="412"/>
      <c r="C116" s="460"/>
      <c r="D116" s="412"/>
      <c r="E116" s="687">
        <v>0.95</v>
      </c>
      <c r="F116" s="412"/>
      <c r="G116" s="412" t="s">
        <v>102</v>
      </c>
      <c r="H116" s="460"/>
      <c r="I116" s="688"/>
      <c r="J116" s="412"/>
      <c r="K116" s="1941">
        <f>AE114*E116</f>
        <v>12521.742197188492</v>
      </c>
      <c r="L116" s="1897"/>
      <c r="M116" s="1897"/>
      <c r="N116" s="460" t="s">
        <v>27</v>
      </c>
      <c r="O116" s="497"/>
      <c r="P116" s="500"/>
      <c r="Q116" s="775"/>
      <c r="R116" s="497"/>
      <c r="S116" s="497"/>
      <c r="T116" s="497"/>
      <c r="U116" s="498"/>
      <c r="V116" s="498"/>
      <c r="W116" s="498"/>
      <c r="X116" s="498"/>
      <c r="Y116" s="497"/>
      <c r="Z116" s="497"/>
      <c r="AA116" s="497"/>
      <c r="AB116" s="498"/>
      <c r="AC116" s="498"/>
      <c r="AD116" s="497"/>
      <c r="AE116" s="497"/>
      <c r="AF116" s="499"/>
    </row>
    <row r="117" spans="1:32" ht="18.75" x14ac:dyDescent="0.25">
      <c r="A117" s="868"/>
      <c r="B117" s="412"/>
      <c r="C117" s="460"/>
      <c r="D117" s="412"/>
      <c r="E117" s="687"/>
      <c r="F117" s="412"/>
      <c r="G117" s="460"/>
      <c r="H117" s="460"/>
      <c r="I117" s="688"/>
      <c r="J117" s="412"/>
      <c r="K117" s="460"/>
      <c r="L117" s="689"/>
      <c r="M117" s="412"/>
      <c r="N117" s="412"/>
      <c r="O117" s="412"/>
      <c r="P117" s="690"/>
      <c r="Q117" s="776"/>
      <c r="R117" s="412"/>
      <c r="S117" s="412"/>
      <c r="T117" s="412"/>
      <c r="U117" s="412"/>
      <c r="V117" s="412"/>
      <c r="W117" s="412"/>
      <c r="X117" s="1021"/>
      <c r="Y117" s="1021"/>
      <c r="Z117" s="1021"/>
      <c r="AA117" s="1021"/>
      <c r="AB117" s="1021"/>
      <c r="AC117" s="1021"/>
      <c r="AD117" s="1021"/>
      <c r="AE117" s="1021"/>
      <c r="AF117" s="692"/>
    </row>
    <row r="118" spans="1:32" ht="18.75" x14ac:dyDescent="0.25">
      <c r="A118" s="868"/>
      <c r="B118" s="412"/>
      <c r="C118" s="412"/>
      <c r="D118" s="412"/>
      <c r="E118" s="693" t="s">
        <v>214</v>
      </c>
      <c r="F118" s="1911" t="s">
        <v>264</v>
      </c>
      <c r="G118" s="1911"/>
      <c r="H118" s="1911"/>
      <c r="I118" s="412"/>
      <c r="J118" s="412"/>
      <c r="K118" s="460"/>
      <c r="L118" s="460"/>
      <c r="M118" s="412"/>
      <c r="N118" s="412"/>
      <c r="O118" s="412"/>
      <c r="P118" s="412"/>
      <c r="Q118" s="776"/>
      <c r="R118" s="412"/>
      <c r="S118" s="412"/>
      <c r="T118" s="412"/>
      <c r="U118" s="412"/>
      <c r="V118" s="412"/>
      <c r="W118" s="412"/>
      <c r="X118" s="1938" t="s">
        <v>352</v>
      </c>
      <c r="Y118" s="1937"/>
      <c r="Z118" s="1937"/>
      <c r="AA118" s="1937"/>
      <c r="AB118" s="1021" t="s">
        <v>373</v>
      </c>
      <c r="AC118" s="1021"/>
      <c r="AD118" s="1021"/>
      <c r="AE118" s="1021"/>
      <c r="AF118" s="1021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18:H118"/>
    <mergeCell ref="X118:AA118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4:E114"/>
    <mergeCell ref="K116:M116"/>
    <mergeCell ref="AB13:AB14"/>
    <mergeCell ref="AC13:AC14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121"/>
  <sheetViews>
    <sheetView zoomScale="64" zoomScaleNormal="64" workbookViewId="0">
      <selection sqref="A1:XFD1048576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10.85546875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039"/>
      <c r="G2" s="1028"/>
      <c r="H2" s="1028"/>
      <c r="I2" s="1039"/>
      <c r="J2" s="1909" t="s">
        <v>500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039"/>
      <c r="Y2" s="1039"/>
      <c r="Z2" s="1039"/>
      <c r="AA2" s="1039"/>
      <c r="AB2" s="1039"/>
      <c r="AC2" s="1039"/>
      <c r="AD2" s="1039"/>
      <c r="AE2" s="1039"/>
      <c r="AF2" s="405"/>
    </row>
    <row r="3" spans="1:32" ht="18.75" x14ac:dyDescent="0.2">
      <c r="A3" s="1910" t="s">
        <v>54</v>
      </c>
      <c r="B3" s="1910"/>
      <c r="C3" s="1910"/>
      <c r="D3" s="1910"/>
      <c r="E3" s="1039"/>
      <c r="F3" s="1039"/>
      <c r="G3" s="1028"/>
      <c r="H3" s="1038"/>
      <c r="I3" s="1038"/>
      <c r="J3" s="1038"/>
      <c r="K3" s="1038"/>
      <c r="L3" s="1038"/>
      <c r="M3" s="1038"/>
      <c r="N3" s="1038"/>
      <c r="O3" s="1038"/>
      <c r="P3" s="1038"/>
      <c r="Q3" s="767"/>
      <c r="R3" s="1039"/>
      <c r="S3" s="1039"/>
      <c r="T3" s="1039"/>
      <c r="U3" s="1039"/>
      <c r="V3" s="1039"/>
      <c r="W3" s="1039"/>
      <c r="X3" s="1039"/>
      <c r="Y3" s="1039"/>
      <c r="Z3" s="1039"/>
      <c r="AA3" s="1039"/>
      <c r="AB3" s="1039"/>
      <c r="AC3" s="1039"/>
      <c r="AD3" s="1039"/>
      <c r="AE3" s="1039"/>
      <c r="AF3" s="408" t="s">
        <v>55</v>
      </c>
    </row>
    <row r="4" spans="1:32" ht="18.75" x14ac:dyDescent="0.2">
      <c r="A4" s="1029"/>
      <c r="B4" s="1029"/>
      <c r="C4" s="1029"/>
      <c r="D4" s="1029"/>
      <c r="E4" s="1039"/>
      <c r="F4" s="1039"/>
      <c r="G4" s="1028"/>
      <c r="H4" s="1038"/>
      <c r="I4" s="1038"/>
      <c r="J4" s="1038"/>
      <c r="K4" s="1038"/>
      <c r="L4" s="1038"/>
      <c r="M4" s="1038"/>
      <c r="N4" s="1038"/>
      <c r="O4" s="1038"/>
      <c r="P4" s="1038"/>
      <c r="Q4" s="767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408"/>
    </row>
    <row r="5" spans="1:32" ht="18.75" x14ac:dyDescent="0.2">
      <c r="A5" s="1030" t="s">
        <v>494</v>
      </c>
      <c r="B5" s="1030"/>
      <c r="C5" s="1030"/>
      <c r="D5" s="1030"/>
      <c r="E5" s="1030"/>
      <c r="F5" s="1039"/>
      <c r="G5" s="1028"/>
      <c r="H5" s="1028"/>
      <c r="I5" s="1038"/>
      <c r="J5" s="1038"/>
      <c r="K5" s="1038"/>
      <c r="L5" s="1038"/>
      <c r="M5" s="1038"/>
      <c r="N5" s="1038"/>
      <c r="O5" s="1038"/>
      <c r="P5" s="1038"/>
      <c r="Q5" s="767"/>
      <c r="R5" s="1040"/>
      <c r="S5" s="1040"/>
      <c r="T5" s="1040"/>
      <c r="U5" s="1040"/>
      <c r="V5" s="1040"/>
      <c r="W5" s="1040"/>
      <c r="X5" s="1039"/>
      <c r="Y5" s="1039"/>
      <c r="Z5" s="1039"/>
      <c r="AA5" s="1039"/>
      <c r="AB5" s="1039"/>
      <c r="AC5" s="1039"/>
      <c r="AD5" s="1039"/>
      <c r="AE5" s="1039"/>
      <c r="AF5" s="411" t="s">
        <v>468</v>
      </c>
    </row>
    <row r="6" spans="1:32" ht="18.75" x14ac:dyDescent="0.2">
      <c r="A6" s="1030" t="s">
        <v>499</v>
      </c>
      <c r="B6" s="412"/>
      <c r="C6" s="412"/>
      <c r="D6" s="412"/>
      <c r="E6" s="1039"/>
      <c r="F6" s="1039"/>
      <c r="G6" s="1028"/>
      <c r="H6" s="1028"/>
      <c r="I6" s="1039"/>
      <c r="J6" s="1039"/>
      <c r="K6" s="1028"/>
      <c r="L6" s="1028"/>
      <c r="M6" s="1039"/>
      <c r="N6" s="1039"/>
      <c r="O6" s="1039"/>
      <c r="P6" s="413"/>
      <c r="Q6" s="768"/>
      <c r="R6" s="1039"/>
      <c r="S6" s="1039"/>
      <c r="T6" s="1039"/>
      <c r="U6" s="1039"/>
      <c r="V6" s="1039"/>
      <c r="W6" s="1039"/>
      <c r="X6" s="1039"/>
      <c r="Y6" s="1039"/>
      <c r="Z6" s="1039"/>
      <c r="AA6" s="1039"/>
      <c r="AB6" s="1039"/>
      <c r="AC6" s="1039"/>
      <c r="AD6" s="1039"/>
      <c r="AE6" s="1039"/>
      <c r="AF6" s="415" t="s">
        <v>511</v>
      </c>
    </row>
    <row r="7" spans="1:32" ht="18.75" x14ac:dyDescent="0.2">
      <c r="A7" s="1039"/>
      <c r="B7" s="1030"/>
      <c r="C7" s="1030"/>
      <c r="D7" s="1030"/>
      <c r="E7" s="1039"/>
      <c r="F7" s="1039"/>
      <c r="G7" s="1028"/>
      <c r="H7" s="1028"/>
      <c r="I7" s="405"/>
      <c r="J7" s="1039"/>
      <c r="K7" s="1028"/>
      <c r="L7" s="1028"/>
      <c r="M7" s="1039"/>
      <c r="N7" s="1039"/>
      <c r="O7" s="1039"/>
      <c r="P7" s="413"/>
      <c r="Q7" s="768"/>
      <c r="R7" s="1039"/>
      <c r="S7" s="1039"/>
      <c r="T7" s="1039"/>
      <c r="U7" s="1039"/>
      <c r="V7" s="1039"/>
      <c r="W7" s="411"/>
      <c r="X7" s="1039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039"/>
      <c r="G8" s="1028"/>
      <c r="H8" s="1028"/>
      <c r="I8" s="405"/>
      <c r="J8" s="1039"/>
      <c r="K8" s="1028"/>
      <c r="L8" s="1028"/>
      <c r="M8" s="1039"/>
      <c r="N8" s="1039"/>
      <c r="O8" s="1039"/>
      <c r="P8" s="413"/>
      <c r="Q8" s="768"/>
      <c r="R8" s="1039"/>
      <c r="S8" s="1039"/>
      <c r="T8" s="1039"/>
      <c r="U8" s="1039"/>
      <c r="V8" s="1039"/>
      <c r="W8" s="411"/>
      <c r="X8" s="1039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039"/>
      <c r="G9" s="1028"/>
      <c r="H9" s="1028"/>
      <c r="I9" s="405"/>
      <c r="J9" s="1039"/>
      <c r="K9" s="1028"/>
      <c r="L9" s="1028"/>
      <c r="M9" s="1039"/>
      <c r="N9" s="1039"/>
      <c r="O9" s="1039"/>
      <c r="P9" s="413"/>
      <c r="Q9" s="768"/>
      <c r="R9" s="1039"/>
      <c r="S9" s="1039"/>
      <c r="T9" s="1039"/>
      <c r="U9" s="1039"/>
      <c r="V9" s="1039"/>
      <c r="W9" s="411"/>
      <c r="X9" s="1039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039"/>
      <c r="G10" s="1028"/>
      <c r="H10" s="1028"/>
      <c r="I10" s="1039"/>
      <c r="J10" s="1039"/>
      <c r="K10" s="1028"/>
      <c r="L10" s="1028"/>
      <c r="M10" s="1028"/>
      <c r="N10" s="1028"/>
      <c r="O10" s="1028"/>
      <c r="P10" s="1028"/>
      <c r="Q10" s="769"/>
      <c r="R10" s="1028"/>
      <c r="S10" s="1028"/>
      <c r="T10" s="1028"/>
      <c r="U10" s="1028"/>
      <c r="V10" s="1028"/>
      <c r="W10" s="1039"/>
      <c r="X10" s="1039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28"/>
      <c r="C11" s="1028"/>
      <c r="D11" s="1028"/>
      <c r="E11" s="1039"/>
      <c r="F11" s="1039"/>
      <c r="G11" s="1028"/>
      <c r="H11" s="1028"/>
      <c r="I11" s="405"/>
      <c r="J11" s="1039"/>
      <c r="K11" s="1028"/>
      <c r="L11" s="1028"/>
      <c r="M11" s="1039"/>
      <c r="N11" s="1039"/>
      <c r="O11" s="1039"/>
      <c r="P11" s="413"/>
      <c r="Q11" s="768"/>
      <c r="R11" s="1039"/>
      <c r="S11" s="1039"/>
      <c r="T11" s="1039"/>
      <c r="U11" s="1039"/>
      <c r="V11" s="1039"/>
      <c r="W11" s="411"/>
      <c r="X11" s="1039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027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027" t="s">
        <v>18</v>
      </c>
      <c r="AE13" s="1027" t="s">
        <v>20</v>
      </c>
      <c r="AF13" s="1891" t="s">
        <v>21</v>
      </c>
    </row>
    <row r="14" spans="1:32" ht="37.5" x14ac:dyDescent="0.2">
      <c r="A14" s="1891"/>
      <c r="B14" s="1891"/>
      <c r="C14" s="1903"/>
      <c r="D14" s="1032" t="s">
        <v>3</v>
      </c>
      <c r="E14" s="1032" t="s">
        <v>3</v>
      </c>
      <c r="F14" s="1032" t="s">
        <v>4</v>
      </c>
      <c r="G14" s="1903"/>
      <c r="H14" s="1903"/>
      <c r="I14" s="1891"/>
      <c r="J14" s="1032" t="s">
        <v>7</v>
      </c>
      <c r="K14" s="1032" t="s">
        <v>30</v>
      </c>
      <c r="L14" s="1032" t="s">
        <v>29</v>
      </c>
      <c r="M14" s="1032" t="s">
        <v>31</v>
      </c>
      <c r="N14" s="1032" t="s">
        <v>32</v>
      </c>
      <c r="O14" s="1032" t="s">
        <v>12</v>
      </c>
      <c r="P14" s="448" t="s">
        <v>13</v>
      </c>
      <c r="Q14" s="771" t="s">
        <v>26</v>
      </c>
      <c r="R14" s="1032" t="s">
        <v>14</v>
      </c>
      <c r="S14" s="1032" t="s">
        <v>25</v>
      </c>
      <c r="T14" s="1032" t="s">
        <v>113</v>
      </c>
      <c r="U14" s="1903"/>
      <c r="V14" s="1903"/>
      <c r="W14" s="1903"/>
      <c r="X14" s="1903"/>
      <c r="Y14" s="1032" t="s">
        <v>14</v>
      </c>
      <c r="Z14" s="1032" t="s">
        <v>25</v>
      </c>
      <c r="AA14" s="1032" t="s">
        <v>113</v>
      </c>
      <c r="AB14" s="1903"/>
      <c r="AC14" s="1903"/>
      <c r="AD14" s="1032" t="s">
        <v>19</v>
      </c>
      <c r="AE14" s="1032" t="s">
        <v>27</v>
      </c>
      <c r="AF14" s="1891"/>
    </row>
    <row r="15" spans="1:32" ht="18.75" customHeight="1" x14ac:dyDescent="0.2">
      <c r="A15" s="1036">
        <v>1</v>
      </c>
      <c r="B15" s="461" t="s">
        <v>139</v>
      </c>
      <c r="C15" s="1036" t="s">
        <v>46</v>
      </c>
      <c r="D15" s="1036">
        <v>610.5</v>
      </c>
      <c r="E15" s="1036" t="s">
        <v>203</v>
      </c>
      <c r="F15" s="1036">
        <v>177.8</v>
      </c>
      <c r="G15" s="1036" t="s">
        <v>28</v>
      </c>
      <c r="H15" s="452" t="s">
        <v>363</v>
      </c>
      <c r="I15" s="1032">
        <v>558.54</v>
      </c>
      <c r="J15" s="1036">
        <v>218</v>
      </c>
      <c r="K15" s="1036"/>
      <c r="L15" s="1036">
        <v>399</v>
      </c>
      <c r="M15" s="1036"/>
      <c r="N15" s="1036">
        <v>0.6</v>
      </c>
      <c r="O15" s="1036"/>
      <c r="P15" s="668">
        <v>15.90126961728599</v>
      </c>
      <c r="Q15" s="668">
        <f>J15*7/100</f>
        <v>15.26</v>
      </c>
      <c r="R15" s="432">
        <v>2.483354838709678</v>
      </c>
      <c r="S15" s="432">
        <v>7.2790645161290319</v>
      </c>
      <c r="T15" s="670">
        <v>11</v>
      </c>
      <c r="U15" s="668">
        <f t="shared" ref="U15:U34" si="0">IF(R15=0,0,T15/R15)</f>
        <v>4.4294918424607701</v>
      </c>
      <c r="V15" s="668">
        <f>IF(S15=0,0,(S15-R15)/S15*100)</f>
        <v>65.883599009089238</v>
      </c>
      <c r="W15" s="668">
        <v>0.2</v>
      </c>
      <c r="X15" s="432">
        <f>IF(S15=0,0,S15/Q15)</f>
        <v>0.47700291717752502</v>
      </c>
      <c r="Y15" s="432">
        <f>R15*0.985</f>
        <v>2.4461045161290329</v>
      </c>
      <c r="Z15" s="432">
        <f>S15*0.985</f>
        <v>7.1698785483870964</v>
      </c>
      <c r="AA15" s="670">
        <v>11</v>
      </c>
      <c r="AB15" s="432">
        <f>U15</f>
        <v>4.4294918424607701</v>
      </c>
      <c r="AC15" s="670">
        <f t="shared" ref="AC15:AC78" si="1">V15</f>
        <v>65.883599009089238</v>
      </c>
      <c r="AD15" s="1036">
        <v>31</v>
      </c>
      <c r="AE15" s="432">
        <f>Y15*AD15</f>
        <v>75.829240000000027</v>
      </c>
      <c r="AF15" s="669"/>
    </row>
    <row r="16" spans="1:32" ht="18.75" customHeight="1" x14ac:dyDescent="0.2">
      <c r="A16" s="1036">
        <v>2</v>
      </c>
      <c r="B16" s="461" t="s">
        <v>140</v>
      </c>
      <c r="C16" s="1036" t="s">
        <v>46</v>
      </c>
      <c r="D16" s="1036">
        <v>623.5</v>
      </c>
      <c r="E16" s="1036" t="s">
        <v>480</v>
      </c>
      <c r="F16" s="1036">
        <v>177.8</v>
      </c>
      <c r="G16" s="1036" t="s">
        <v>28</v>
      </c>
      <c r="H16" s="1036" t="s">
        <v>50</v>
      </c>
      <c r="I16" s="1032">
        <v>586.46999999999991</v>
      </c>
      <c r="J16" s="1036">
        <v>185</v>
      </c>
      <c r="K16" s="1036"/>
      <c r="L16" s="1036">
        <v>295</v>
      </c>
      <c r="M16" s="1036"/>
      <c r="N16" s="1036">
        <v>6.7</v>
      </c>
      <c r="O16" s="1036"/>
      <c r="P16" s="668">
        <v>34.768617938042283</v>
      </c>
      <c r="Q16" s="668">
        <f t="shared" ref="Q16:Q39" si="2">LEFT(H16,(FIND("K",H16,1)-1))*J16/100</f>
        <v>11.1</v>
      </c>
      <c r="R16" s="432">
        <v>0.79958064516129024</v>
      </c>
      <c r="S16" s="432">
        <v>3.0999677419354836</v>
      </c>
      <c r="T16" s="670">
        <v>2</v>
      </c>
      <c r="U16" s="668">
        <f t="shared" si="0"/>
        <v>2.5013111711784406</v>
      </c>
      <c r="V16" s="668">
        <f t="shared" ref="V16:V78" si="3">IF(S16=0,0,(S16-R16)/S16*100)</f>
        <v>74.206807563033948</v>
      </c>
      <c r="W16" s="668">
        <v>0.2</v>
      </c>
      <c r="X16" s="432">
        <f>IF(S16=0,0,S16/Q16)</f>
        <v>0.27927637314734088</v>
      </c>
      <c r="Y16" s="432">
        <f t="shared" ref="Y16:AA78" si="4">R16*0.985</f>
        <v>0.78758693548387082</v>
      </c>
      <c r="Z16" s="432">
        <f t="shared" si="4"/>
        <v>3.0534682258064514</v>
      </c>
      <c r="AA16" s="670">
        <f t="shared" si="4"/>
        <v>1.97</v>
      </c>
      <c r="AB16" s="432">
        <f t="shared" ref="AB16:AB78" si="5">U16</f>
        <v>2.5013111711784406</v>
      </c>
      <c r="AC16" s="670">
        <f t="shared" si="1"/>
        <v>74.206807563033948</v>
      </c>
      <c r="AD16" s="1036">
        <v>31</v>
      </c>
      <c r="AE16" s="432">
        <f t="shared" ref="AE16:AE59" si="6">Y16*AD16</f>
        <v>24.415194999999997</v>
      </c>
      <c r="AF16" s="669"/>
    </row>
    <row r="17" spans="1:32" ht="18.75" customHeight="1" x14ac:dyDescent="0.2">
      <c r="A17" s="1036">
        <v>3</v>
      </c>
      <c r="B17" s="461" t="s">
        <v>141</v>
      </c>
      <c r="C17" s="1036" t="s">
        <v>46</v>
      </c>
      <c r="D17" s="1036">
        <v>670</v>
      </c>
      <c r="E17" s="1036" t="s">
        <v>68</v>
      </c>
      <c r="F17" s="1036">
        <v>177.8</v>
      </c>
      <c r="G17" s="1036" t="s">
        <v>28</v>
      </c>
      <c r="H17" s="1036" t="s">
        <v>218</v>
      </c>
      <c r="I17" s="1032">
        <v>565.94000000000005</v>
      </c>
      <c r="J17" s="1036">
        <v>290</v>
      </c>
      <c r="K17" s="1036"/>
      <c r="L17" s="1036">
        <v>492</v>
      </c>
      <c r="M17" s="1036"/>
      <c r="N17" s="668">
        <v>9.3000000000000007</v>
      </c>
      <c r="O17" s="1036"/>
      <c r="P17" s="668">
        <v>12.364309740551448</v>
      </c>
      <c r="Q17" s="668">
        <f>LEFT(H17,(FIND("K",H17,1)-1))*J17/100</f>
        <v>92.8</v>
      </c>
      <c r="R17" s="432">
        <v>17.043677419354839</v>
      </c>
      <c r="S17" s="432">
        <v>25.590677419354837</v>
      </c>
      <c r="T17" s="670">
        <v>1209.1290322580646</v>
      </c>
      <c r="U17" s="668">
        <f t="shared" si="0"/>
        <v>70.942966268827348</v>
      </c>
      <c r="V17" s="668">
        <f t="shared" si="3"/>
        <v>33.39888139708134</v>
      </c>
      <c r="W17" s="668">
        <v>0.3</v>
      </c>
      <c r="X17" s="432">
        <f t="shared" ref="X17:X78" si="7">IF(S17=0,0,S17/Q17)</f>
        <v>0.27576161012235817</v>
      </c>
      <c r="Y17" s="432">
        <f t="shared" si="4"/>
        <v>16.788022258064515</v>
      </c>
      <c r="Z17" s="432">
        <f t="shared" si="4"/>
        <v>25.206817258064515</v>
      </c>
      <c r="AA17" s="670">
        <f t="shared" si="4"/>
        <v>1190.9920967741937</v>
      </c>
      <c r="AB17" s="432">
        <f t="shared" si="5"/>
        <v>70.942966268827348</v>
      </c>
      <c r="AC17" s="670">
        <f t="shared" si="1"/>
        <v>33.39888139708134</v>
      </c>
      <c r="AD17" s="1036">
        <v>31</v>
      </c>
      <c r="AE17" s="432">
        <f>Y17*AD17</f>
        <v>520.42868999999996</v>
      </c>
      <c r="AF17" s="669"/>
    </row>
    <row r="18" spans="1:32" ht="18.75" customHeight="1" x14ac:dyDescent="0.2">
      <c r="A18" s="1036">
        <v>4</v>
      </c>
      <c r="B18" s="461" t="s">
        <v>142</v>
      </c>
      <c r="C18" s="1036" t="s">
        <v>46</v>
      </c>
      <c r="D18" s="1036">
        <v>628</v>
      </c>
      <c r="E18" s="1036" t="s">
        <v>481</v>
      </c>
      <c r="F18" s="1036">
        <v>177.8</v>
      </c>
      <c r="G18" s="1036" t="s">
        <v>28</v>
      </c>
      <c r="H18" s="831" t="s">
        <v>466</v>
      </c>
      <c r="I18" s="1032">
        <v>541.28</v>
      </c>
      <c r="J18" s="1036">
        <v>190</v>
      </c>
      <c r="K18" s="1036"/>
      <c r="L18" s="1036">
        <v>449</v>
      </c>
      <c r="M18" s="1036"/>
      <c r="N18" s="668">
        <v>4.3</v>
      </c>
      <c r="O18" s="1036"/>
      <c r="P18" s="668">
        <v>16.04752344106765</v>
      </c>
      <c r="Q18" s="668">
        <f>13*J18/100</f>
        <v>24.7</v>
      </c>
      <c r="R18" s="432">
        <v>4.4028064516129026</v>
      </c>
      <c r="S18" s="432">
        <v>6.287129032258064</v>
      </c>
      <c r="T18" s="670">
        <v>36</v>
      </c>
      <c r="U18" s="668">
        <f t="shared" si="0"/>
        <v>8.1766028999098825</v>
      </c>
      <c r="V18" s="668">
        <f t="shared" si="3"/>
        <v>29.971113539694517</v>
      </c>
      <c r="W18" s="668">
        <v>0.3</v>
      </c>
      <c r="X18" s="432">
        <f t="shared" si="7"/>
        <v>0.25453963693352488</v>
      </c>
      <c r="Y18" s="432">
        <f t="shared" si="4"/>
        <v>4.3367643548387091</v>
      </c>
      <c r="Z18" s="432">
        <f t="shared" si="4"/>
        <v>6.1928220967741927</v>
      </c>
      <c r="AA18" s="670">
        <f t="shared" si="4"/>
        <v>35.46</v>
      </c>
      <c r="AB18" s="432">
        <f t="shared" si="5"/>
        <v>8.1766028999098825</v>
      </c>
      <c r="AC18" s="670">
        <f t="shared" si="1"/>
        <v>29.971113539694517</v>
      </c>
      <c r="AD18" s="1036">
        <v>31</v>
      </c>
      <c r="AE18" s="432">
        <f t="shared" si="6"/>
        <v>134.43969499999997</v>
      </c>
      <c r="AF18" s="669"/>
    </row>
    <row r="19" spans="1:32" ht="18.75" customHeight="1" x14ac:dyDescent="0.2">
      <c r="A19" s="1036">
        <v>5</v>
      </c>
      <c r="B19" s="461" t="s">
        <v>143</v>
      </c>
      <c r="C19" s="1036" t="s">
        <v>46</v>
      </c>
      <c r="D19" s="1036">
        <v>576.6</v>
      </c>
      <c r="E19" s="1036" t="s">
        <v>70</v>
      </c>
      <c r="F19" s="1036">
        <v>177.8</v>
      </c>
      <c r="G19" s="1036" t="s">
        <v>28</v>
      </c>
      <c r="H19" s="550" t="s">
        <v>53</v>
      </c>
      <c r="I19" s="1032">
        <v>546.04999999999995</v>
      </c>
      <c r="J19" s="1036">
        <v>155</v>
      </c>
      <c r="K19" s="1036"/>
      <c r="L19" s="1036">
        <v>430</v>
      </c>
      <c r="M19" s="1036"/>
      <c r="N19" s="668">
        <v>4.8</v>
      </c>
      <c r="O19" s="1036"/>
      <c r="P19" s="668">
        <v>17.066268903317908</v>
      </c>
      <c r="Q19" s="668">
        <f t="shared" si="2"/>
        <v>20.149999999999999</v>
      </c>
      <c r="R19" s="432">
        <v>5.113903225806455</v>
      </c>
      <c r="S19" s="432">
        <v>5.9303870967741936</v>
      </c>
      <c r="T19" s="670">
        <v>29</v>
      </c>
      <c r="U19" s="668">
        <f t="shared" si="0"/>
        <v>5.6708151717960487</v>
      </c>
      <c r="V19" s="668">
        <f t="shared" si="3"/>
        <v>13.767800611394513</v>
      </c>
      <c r="W19" s="668">
        <v>0.3</v>
      </c>
      <c r="X19" s="432">
        <f t="shared" si="7"/>
        <v>0.29431201472824786</v>
      </c>
      <c r="Y19" s="432">
        <f t="shared" si="4"/>
        <v>5.0371946774193583</v>
      </c>
      <c r="Z19" s="432">
        <f t="shared" si="4"/>
        <v>5.8414312903225802</v>
      </c>
      <c r="AA19" s="670">
        <f t="shared" si="4"/>
        <v>28.565000000000001</v>
      </c>
      <c r="AB19" s="432">
        <f t="shared" si="5"/>
        <v>5.6708151717960487</v>
      </c>
      <c r="AC19" s="670">
        <f t="shared" si="1"/>
        <v>13.767800611394513</v>
      </c>
      <c r="AD19" s="1036">
        <v>31</v>
      </c>
      <c r="AE19" s="432">
        <f t="shared" si="6"/>
        <v>156.1530350000001</v>
      </c>
      <c r="AF19" s="669"/>
    </row>
    <row r="20" spans="1:32" ht="18.75" customHeight="1" x14ac:dyDescent="0.2">
      <c r="A20" s="1036">
        <v>6</v>
      </c>
      <c r="B20" s="461" t="s">
        <v>144</v>
      </c>
      <c r="C20" s="1036" t="s">
        <v>46</v>
      </c>
      <c r="D20" s="1036">
        <v>676.6</v>
      </c>
      <c r="E20" s="1036" t="s">
        <v>460</v>
      </c>
      <c r="F20" s="1036">
        <v>177.8</v>
      </c>
      <c r="G20" s="1036" t="s">
        <v>28</v>
      </c>
      <c r="H20" s="1036" t="s">
        <v>461</v>
      </c>
      <c r="I20" s="1032">
        <v>567.16</v>
      </c>
      <c r="J20" s="1036">
        <v>105</v>
      </c>
      <c r="K20" s="1036"/>
      <c r="L20" s="1036">
        <v>404</v>
      </c>
      <c r="M20" s="1036"/>
      <c r="N20" s="668">
        <v>1.1000000000000001</v>
      </c>
      <c r="O20" s="1036"/>
      <c r="P20" s="668">
        <v>16.053397148691062</v>
      </c>
      <c r="Q20" s="668">
        <v>18.7</v>
      </c>
      <c r="R20" s="432">
        <v>2.7083548387096776</v>
      </c>
      <c r="S20" s="432">
        <v>3.5809677419354844</v>
      </c>
      <c r="T20" s="670">
        <v>4</v>
      </c>
      <c r="U20" s="668">
        <f t="shared" si="0"/>
        <v>1.4769113495872985</v>
      </c>
      <c r="V20" s="668">
        <f t="shared" si="3"/>
        <v>24.368074948202871</v>
      </c>
      <c r="W20" s="668">
        <v>0.2</v>
      </c>
      <c r="X20" s="432">
        <f t="shared" si="7"/>
        <v>0.19149560117302056</v>
      </c>
      <c r="Y20" s="432">
        <f t="shared" si="4"/>
        <v>2.6677295161290324</v>
      </c>
      <c r="Z20" s="432">
        <f t="shared" si="4"/>
        <v>3.5272532258064522</v>
      </c>
      <c r="AA20" s="670">
        <f t="shared" si="4"/>
        <v>3.94</v>
      </c>
      <c r="AB20" s="432">
        <v>14.613</v>
      </c>
      <c r="AC20" s="670">
        <f t="shared" si="1"/>
        <v>24.368074948202871</v>
      </c>
      <c r="AD20" s="1036">
        <v>31</v>
      </c>
      <c r="AE20" s="432">
        <f t="shared" si="6"/>
        <v>82.699615000000009</v>
      </c>
      <c r="AF20" s="669"/>
    </row>
    <row r="21" spans="1:32" ht="18.75" customHeight="1" x14ac:dyDescent="0.2">
      <c r="A21" s="1036">
        <v>7</v>
      </c>
      <c r="B21" s="461" t="s">
        <v>145</v>
      </c>
      <c r="C21" s="1036" t="s">
        <v>46</v>
      </c>
      <c r="D21" s="1036" t="s">
        <v>47</v>
      </c>
      <c r="E21" s="1036" t="s">
        <v>72</v>
      </c>
      <c r="F21" s="1036">
        <v>177.8</v>
      </c>
      <c r="G21" s="1036" t="s">
        <v>28</v>
      </c>
      <c r="H21" s="1036" t="s">
        <v>52</v>
      </c>
      <c r="I21" s="1032">
        <v>560</v>
      </c>
      <c r="J21" s="1036">
        <v>320</v>
      </c>
      <c r="K21" s="1036"/>
      <c r="L21" s="1036">
        <v>451</v>
      </c>
      <c r="M21" s="1036"/>
      <c r="N21" s="668">
        <v>6.4</v>
      </c>
      <c r="O21" s="1036"/>
      <c r="P21" s="668">
        <v>16.82290100051824</v>
      </c>
      <c r="Q21" s="668">
        <f t="shared" si="2"/>
        <v>70.400000000000006</v>
      </c>
      <c r="R21" s="432">
        <v>10.209451612903226</v>
      </c>
      <c r="S21" s="432">
        <v>13.597129032258067</v>
      </c>
      <c r="T21" s="670">
        <v>84</v>
      </c>
      <c r="U21" s="668">
        <f t="shared" si="0"/>
        <v>8.2276701222459891</v>
      </c>
      <c r="V21" s="668">
        <f t="shared" si="3"/>
        <v>24.914652286654452</v>
      </c>
      <c r="W21" s="668">
        <v>0.2</v>
      </c>
      <c r="X21" s="432">
        <f t="shared" si="7"/>
        <v>0.19314103739002936</v>
      </c>
      <c r="Y21" s="432">
        <f t="shared" si="4"/>
        <v>10.056309838709678</v>
      </c>
      <c r="Z21" s="432">
        <f t="shared" si="4"/>
        <v>13.393172096774196</v>
      </c>
      <c r="AA21" s="670">
        <f t="shared" si="4"/>
        <v>82.74</v>
      </c>
      <c r="AB21" s="432">
        <f t="shared" si="5"/>
        <v>8.2276701222459891</v>
      </c>
      <c r="AC21" s="670">
        <f t="shared" si="1"/>
        <v>24.914652286654452</v>
      </c>
      <c r="AD21" s="1036">
        <v>31</v>
      </c>
      <c r="AE21" s="432">
        <f t="shared" si="6"/>
        <v>311.74560500000001</v>
      </c>
      <c r="AF21" s="669"/>
    </row>
    <row r="22" spans="1:32" ht="18.75" customHeight="1" x14ac:dyDescent="0.2">
      <c r="A22" s="1036">
        <v>8</v>
      </c>
      <c r="B22" s="461" t="s">
        <v>146</v>
      </c>
      <c r="C22" s="1036" t="s">
        <v>46</v>
      </c>
      <c r="D22" s="1036">
        <v>764</v>
      </c>
      <c r="E22" s="436" t="s">
        <v>73</v>
      </c>
      <c r="F22" s="1036">
        <v>177.8</v>
      </c>
      <c r="G22" s="1036" t="s">
        <v>28</v>
      </c>
      <c r="H22" s="1036" t="s">
        <v>52</v>
      </c>
      <c r="I22" s="437">
        <v>550</v>
      </c>
      <c r="J22" s="1036">
        <v>300</v>
      </c>
      <c r="K22" s="1035"/>
      <c r="L22" s="1036">
        <v>420</v>
      </c>
      <c r="M22" s="1035"/>
      <c r="N22" s="668">
        <v>0.5</v>
      </c>
      <c r="O22" s="1035"/>
      <c r="P22" s="668">
        <v>18.592679396091391</v>
      </c>
      <c r="Q22" s="668">
        <f t="shared" si="2"/>
        <v>66</v>
      </c>
      <c r="R22" s="432">
        <v>3.3019032258064507</v>
      </c>
      <c r="S22" s="432">
        <v>11.212612903225805</v>
      </c>
      <c r="T22" s="670">
        <v>11</v>
      </c>
      <c r="U22" s="668">
        <f t="shared" si="0"/>
        <v>3.3314119911292619</v>
      </c>
      <c r="V22" s="668">
        <f t="shared" si="3"/>
        <v>70.551884254770698</v>
      </c>
      <c r="W22" s="668">
        <v>0.2</v>
      </c>
      <c r="X22" s="432">
        <f t="shared" si="7"/>
        <v>0.16988807429130007</v>
      </c>
      <c r="Y22" s="432">
        <f t="shared" si="4"/>
        <v>3.252374677419354</v>
      </c>
      <c r="Z22" s="432">
        <f t="shared" si="4"/>
        <v>11.044423709677417</v>
      </c>
      <c r="AA22" s="670">
        <f t="shared" si="4"/>
        <v>10.834999999999999</v>
      </c>
      <c r="AB22" s="432">
        <f t="shared" si="5"/>
        <v>3.3314119911292619</v>
      </c>
      <c r="AC22" s="670">
        <f t="shared" si="1"/>
        <v>70.551884254770698</v>
      </c>
      <c r="AD22" s="1036">
        <v>31</v>
      </c>
      <c r="AE22" s="432">
        <f t="shared" si="6"/>
        <v>100.82361499999998</v>
      </c>
      <c r="AF22" s="669"/>
    </row>
    <row r="23" spans="1:32" ht="18.75" customHeight="1" x14ac:dyDescent="0.2">
      <c r="A23" s="1036">
        <v>9</v>
      </c>
      <c r="B23" s="461" t="s">
        <v>147</v>
      </c>
      <c r="C23" s="1036" t="s">
        <v>46</v>
      </c>
      <c r="D23" s="1036">
        <v>650.1</v>
      </c>
      <c r="E23" s="1036" t="s">
        <v>74</v>
      </c>
      <c r="F23" s="1036">
        <v>177.8</v>
      </c>
      <c r="G23" s="1036" t="s">
        <v>28</v>
      </c>
      <c r="H23" s="1036" t="s">
        <v>52</v>
      </c>
      <c r="I23" s="1032">
        <v>591.98</v>
      </c>
      <c r="J23" s="1036">
        <v>175</v>
      </c>
      <c r="K23" s="1036"/>
      <c r="L23" s="1036">
        <v>464</v>
      </c>
      <c r="M23" s="1036"/>
      <c r="N23" s="668">
        <v>2.2999999999999998</v>
      </c>
      <c r="O23" s="1036"/>
      <c r="P23" s="668">
        <v>12.709816300707695</v>
      </c>
      <c r="Q23" s="668">
        <f t="shared" si="2"/>
        <v>38.5</v>
      </c>
      <c r="R23" s="432">
        <v>4.7996129032258059</v>
      </c>
      <c r="S23" s="432">
        <v>11.695870967741934</v>
      </c>
      <c r="T23" s="670">
        <v>22</v>
      </c>
      <c r="U23" s="668">
        <f t="shared" si="0"/>
        <v>4.5837029868000112</v>
      </c>
      <c r="V23" s="668">
        <f t="shared" si="3"/>
        <v>58.963185243206858</v>
      </c>
      <c r="W23" s="668">
        <v>0.2</v>
      </c>
      <c r="X23" s="432">
        <f t="shared" si="7"/>
        <v>0.30378885630498531</v>
      </c>
      <c r="Y23" s="432">
        <f t="shared" si="4"/>
        <v>4.7276187096774187</v>
      </c>
      <c r="Z23" s="432">
        <f t="shared" si="4"/>
        <v>11.520432903225805</v>
      </c>
      <c r="AA23" s="670">
        <f t="shared" si="4"/>
        <v>21.669999999999998</v>
      </c>
      <c r="AB23" s="432">
        <f t="shared" si="5"/>
        <v>4.5837029868000112</v>
      </c>
      <c r="AC23" s="670">
        <f t="shared" si="1"/>
        <v>58.963185243206858</v>
      </c>
      <c r="AD23" s="1036">
        <v>31</v>
      </c>
      <c r="AE23" s="432">
        <f t="shared" si="6"/>
        <v>146.55617999999998</v>
      </c>
      <c r="AF23" s="669"/>
    </row>
    <row r="24" spans="1:32" ht="18.75" customHeight="1" x14ac:dyDescent="0.2">
      <c r="A24" s="1036">
        <v>10</v>
      </c>
      <c r="B24" s="461" t="s">
        <v>148</v>
      </c>
      <c r="C24" s="1036" t="s">
        <v>46</v>
      </c>
      <c r="D24" s="1036">
        <v>640.20000000000005</v>
      </c>
      <c r="E24" s="1036" t="s">
        <v>398</v>
      </c>
      <c r="F24" s="1036">
        <v>177.8</v>
      </c>
      <c r="G24" s="1036" t="s">
        <v>28</v>
      </c>
      <c r="H24" s="831" t="s">
        <v>466</v>
      </c>
      <c r="I24" s="1032">
        <v>565.38</v>
      </c>
      <c r="J24" s="1036">
        <v>145</v>
      </c>
      <c r="K24" s="1036"/>
      <c r="L24" s="1036">
        <v>452</v>
      </c>
      <c r="M24" s="1036"/>
      <c r="N24" s="1036">
        <v>0</v>
      </c>
      <c r="O24" s="1036"/>
      <c r="P24" s="668">
        <v>8.8928522601482296</v>
      </c>
      <c r="Q24" s="668">
        <f>J24*13/100</f>
        <v>18.850000000000001</v>
      </c>
      <c r="R24" s="432">
        <v>2.4189354838709671</v>
      </c>
      <c r="S24" s="432">
        <v>3.1473870967741941</v>
      </c>
      <c r="T24" s="670">
        <v>0</v>
      </c>
      <c r="U24" s="668">
        <f t="shared" si="0"/>
        <v>0</v>
      </c>
      <c r="V24" s="668">
        <f t="shared" si="3"/>
        <v>23.144646352837515</v>
      </c>
      <c r="W24" s="668">
        <v>0.3</v>
      </c>
      <c r="X24" s="432">
        <f t="shared" si="7"/>
        <v>0.16697013775990419</v>
      </c>
      <c r="Y24" s="432">
        <f t="shared" si="4"/>
        <v>2.3826514516129027</v>
      </c>
      <c r="Z24" s="432">
        <f t="shared" si="4"/>
        <v>3.1001762903225814</v>
      </c>
      <c r="AA24" s="670">
        <f t="shared" si="4"/>
        <v>0</v>
      </c>
      <c r="AB24" s="432">
        <f t="shared" si="5"/>
        <v>0</v>
      </c>
      <c r="AC24" s="670">
        <f t="shared" si="1"/>
        <v>23.144646352837515</v>
      </c>
      <c r="AD24" s="1036">
        <v>31</v>
      </c>
      <c r="AE24" s="432">
        <f t="shared" si="6"/>
        <v>73.862194999999986</v>
      </c>
      <c r="AF24" s="669"/>
    </row>
    <row r="25" spans="1:32" ht="18.75" customHeight="1" x14ac:dyDescent="0.2">
      <c r="A25" s="1036">
        <v>11</v>
      </c>
      <c r="B25" s="461" t="s">
        <v>149</v>
      </c>
      <c r="C25" s="1036" t="s">
        <v>46</v>
      </c>
      <c r="D25" s="1036">
        <v>606.29999999999995</v>
      </c>
      <c r="E25" s="1036" t="s">
        <v>76</v>
      </c>
      <c r="F25" s="1036">
        <v>177.8</v>
      </c>
      <c r="G25" s="1036" t="s">
        <v>28</v>
      </c>
      <c r="H25" s="1036" t="s">
        <v>487</v>
      </c>
      <c r="I25" s="1032">
        <v>591.96</v>
      </c>
      <c r="J25" s="1036">
        <v>180</v>
      </c>
      <c r="K25" s="1036"/>
      <c r="L25" s="1036">
        <v>457</v>
      </c>
      <c r="M25" s="1036"/>
      <c r="N25" s="1036">
        <v>3.4</v>
      </c>
      <c r="O25" s="1036"/>
      <c r="P25" s="668">
        <v>13.632223284545562</v>
      </c>
      <c r="Q25" s="668">
        <f t="shared" si="2"/>
        <v>27</v>
      </c>
      <c r="R25" s="432">
        <v>0.83516129032258068</v>
      </c>
      <c r="S25" s="432">
        <v>2.4285161290322583</v>
      </c>
      <c r="T25" s="670">
        <v>5</v>
      </c>
      <c r="U25" s="668">
        <f t="shared" si="0"/>
        <v>5.9868675164156038</v>
      </c>
      <c r="V25" s="668">
        <f t="shared" si="3"/>
        <v>65.610222623665067</v>
      </c>
      <c r="W25" s="668">
        <v>0.3</v>
      </c>
      <c r="X25" s="432">
        <f t="shared" si="7"/>
        <v>8.9945041816009569E-2</v>
      </c>
      <c r="Y25" s="432">
        <f t="shared" si="4"/>
        <v>0.82263387096774199</v>
      </c>
      <c r="Z25" s="432">
        <f t="shared" si="4"/>
        <v>2.3920883870967744</v>
      </c>
      <c r="AA25" s="670">
        <f t="shared" si="4"/>
        <v>4.9249999999999998</v>
      </c>
      <c r="AB25" s="432">
        <f t="shared" si="5"/>
        <v>5.9868675164156038</v>
      </c>
      <c r="AC25" s="670">
        <f t="shared" si="1"/>
        <v>65.610222623665067</v>
      </c>
      <c r="AD25" s="1036">
        <v>31</v>
      </c>
      <c r="AE25" s="432">
        <f t="shared" si="6"/>
        <v>25.501650000000001</v>
      </c>
      <c r="AF25" s="449"/>
    </row>
    <row r="26" spans="1:32" ht="18.75" customHeight="1" x14ac:dyDescent="0.2">
      <c r="A26" s="1036">
        <v>12</v>
      </c>
      <c r="B26" s="461" t="s">
        <v>150</v>
      </c>
      <c r="C26" s="1036" t="s">
        <v>46</v>
      </c>
      <c r="D26" s="1036">
        <v>661</v>
      </c>
      <c r="E26" s="679" t="s">
        <v>433</v>
      </c>
      <c r="F26" s="1036">
        <v>177.8</v>
      </c>
      <c r="G26" s="1036" t="s">
        <v>28</v>
      </c>
      <c r="H26" s="1036" t="s">
        <v>53</v>
      </c>
      <c r="I26" s="1032">
        <v>555.72</v>
      </c>
      <c r="J26" s="1036">
        <v>0</v>
      </c>
      <c r="K26" s="1036"/>
      <c r="L26" s="1036"/>
      <c r="M26" s="1036"/>
      <c r="N26" s="1036"/>
      <c r="O26" s="1036"/>
      <c r="P26" s="668">
        <v>43.685850175429259</v>
      </c>
      <c r="Q26" s="668">
        <f t="shared" si="2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3"/>
        <v>0</v>
      </c>
      <c r="W26" s="668">
        <v>0.2</v>
      </c>
      <c r="X26" s="432">
        <f t="shared" si="7"/>
        <v>0</v>
      </c>
      <c r="Y26" s="432">
        <f t="shared" si="4"/>
        <v>0</v>
      </c>
      <c r="Z26" s="432">
        <f t="shared" si="4"/>
        <v>0</v>
      </c>
      <c r="AA26" s="670">
        <f t="shared" si="4"/>
        <v>0</v>
      </c>
      <c r="AB26" s="432">
        <f t="shared" si="5"/>
        <v>0</v>
      </c>
      <c r="AC26" s="670">
        <f t="shared" si="1"/>
        <v>0</v>
      </c>
      <c r="AD26" s="1036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1036">
        <v>13</v>
      </c>
      <c r="B27" s="461" t="s">
        <v>151</v>
      </c>
      <c r="C27" s="1036" t="s">
        <v>46</v>
      </c>
      <c r="D27" s="1036">
        <v>658.32</v>
      </c>
      <c r="E27" s="1032" t="s">
        <v>298</v>
      </c>
      <c r="F27" s="1036">
        <v>177.8</v>
      </c>
      <c r="G27" s="1036" t="s">
        <v>28</v>
      </c>
      <c r="H27" s="1036" t="s">
        <v>52</v>
      </c>
      <c r="I27" s="1032">
        <v>552.47</v>
      </c>
      <c r="J27" s="1036">
        <v>160</v>
      </c>
      <c r="K27" s="1036"/>
      <c r="L27" s="1036">
        <v>292</v>
      </c>
      <c r="M27" s="1036"/>
      <c r="N27" s="1036">
        <v>2.6</v>
      </c>
      <c r="O27" s="1036"/>
      <c r="P27" s="668">
        <v>28.072351433077753</v>
      </c>
      <c r="Q27" s="668">
        <f t="shared" si="2"/>
        <v>35.200000000000003</v>
      </c>
      <c r="R27" s="432">
        <v>7.4886451612903215</v>
      </c>
      <c r="S27" s="432">
        <v>22.874387096774193</v>
      </c>
      <c r="T27" s="670">
        <v>11</v>
      </c>
      <c r="U27" s="668">
        <f t="shared" si="0"/>
        <v>1.4688905353481403</v>
      </c>
      <c r="V27" s="668">
        <f t="shared" si="3"/>
        <v>67.261876221608617</v>
      </c>
      <c r="W27" s="668">
        <v>0.3</v>
      </c>
      <c r="X27" s="432">
        <f t="shared" si="7"/>
        <v>0.64984054252199408</v>
      </c>
      <c r="Y27" s="432">
        <f t="shared" si="4"/>
        <v>7.3763154838709664</v>
      </c>
      <c r="Z27" s="432">
        <f t="shared" si="4"/>
        <v>22.531271290322579</v>
      </c>
      <c r="AA27" s="670">
        <f t="shared" si="4"/>
        <v>10.834999999999999</v>
      </c>
      <c r="AB27" s="432">
        <f t="shared" si="5"/>
        <v>1.4688905353481403</v>
      </c>
      <c r="AC27" s="670">
        <f t="shared" si="1"/>
        <v>67.261876221608617</v>
      </c>
      <c r="AD27" s="1036">
        <v>31</v>
      </c>
      <c r="AE27" s="432">
        <f t="shared" si="6"/>
        <v>228.66577999999996</v>
      </c>
      <c r="AF27" s="449"/>
    </row>
    <row r="28" spans="1:32" ht="18.75" customHeight="1" x14ac:dyDescent="0.2">
      <c r="A28" s="1036">
        <v>14</v>
      </c>
      <c r="B28" s="461" t="s">
        <v>36</v>
      </c>
      <c r="C28" s="1036" t="s">
        <v>46</v>
      </c>
      <c r="D28" s="1036">
        <v>584.5</v>
      </c>
      <c r="E28" s="1032" t="s">
        <v>79</v>
      </c>
      <c r="F28" s="1036">
        <v>177.8</v>
      </c>
      <c r="G28" s="1036" t="s">
        <v>28</v>
      </c>
      <c r="H28" s="1036" t="s">
        <v>49</v>
      </c>
      <c r="I28" s="1032">
        <v>525.03</v>
      </c>
      <c r="J28" s="1036">
        <v>250</v>
      </c>
      <c r="K28" s="1036"/>
      <c r="L28" s="1036">
        <v>389</v>
      </c>
      <c r="M28" s="1036"/>
      <c r="N28" s="1036">
        <v>6.4</v>
      </c>
      <c r="O28" s="1036"/>
      <c r="P28" s="668">
        <v>25.447474503422125</v>
      </c>
      <c r="Q28" s="668">
        <f t="shared" si="2"/>
        <v>80</v>
      </c>
      <c r="R28" s="432">
        <v>20.690999999999999</v>
      </c>
      <c r="S28" s="432">
        <v>41.425870967741936</v>
      </c>
      <c r="T28" s="670">
        <v>337</v>
      </c>
      <c r="U28" s="668">
        <f t="shared" si="0"/>
        <v>16.287274660480403</v>
      </c>
      <c r="V28" s="668">
        <f t="shared" si="3"/>
        <v>50.052951171233182</v>
      </c>
      <c r="W28" s="668">
        <v>0.3</v>
      </c>
      <c r="X28" s="432">
        <f t="shared" si="7"/>
        <v>0.51782338709677422</v>
      </c>
      <c r="Y28" s="432">
        <f t="shared" si="4"/>
        <v>20.380634999999998</v>
      </c>
      <c r="Z28" s="432">
        <f t="shared" si="4"/>
        <v>40.804482903225804</v>
      </c>
      <c r="AA28" s="670">
        <f t="shared" si="4"/>
        <v>331.94499999999999</v>
      </c>
      <c r="AB28" s="432">
        <f t="shared" si="5"/>
        <v>16.287274660480403</v>
      </c>
      <c r="AC28" s="670">
        <f t="shared" si="1"/>
        <v>50.052951171233182</v>
      </c>
      <c r="AD28" s="1036">
        <v>31</v>
      </c>
      <c r="AE28" s="432">
        <f t="shared" si="6"/>
        <v>631.79968499999995</v>
      </c>
      <c r="AF28" s="669"/>
    </row>
    <row r="29" spans="1:32" ht="18.75" customHeight="1" x14ac:dyDescent="0.2">
      <c r="A29" s="1036">
        <v>15</v>
      </c>
      <c r="B29" s="461" t="s">
        <v>152</v>
      </c>
      <c r="C29" s="1036" t="s">
        <v>46</v>
      </c>
      <c r="D29" s="1036">
        <v>565</v>
      </c>
      <c r="E29" s="1032" t="s">
        <v>80</v>
      </c>
      <c r="F29" s="1036">
        <v>177.8</v>
      </c>
      <c r="G29" s="1036" t="s">
        <v>28</v>
      </c>
      <c r="H29" s="1036" t="s">
        <v>491</v>
      </c>
      <c r="I29" s="437">
        <v>520.03</v>
      </c>
      <c r="J29" s="1036">
        <v>270</v>
      </c>
      <c r="K29" s="1036"/>
      <c r="L29" s="1036">
        <v>451</v>
      </c>
      <c r="M29" s="1036"/>
      <c r="N29" s="1036">
        <v>9.6999999999999993</v>
      </c>
      <c r="O29" s="1036"/>
      <c r="P29" s="668">
        <v>21.210424521791357</v>
      </c>
      <c r="Q29" s="668">
        <f>J29*23/100</f>
        <v>62.1</v>
      </c>
      <c r="R29" s="432">
        <v>14.200806451612904</v>
      </c>
      <c r="S29" s="432">
        <v>26.955677419354835</v>
      </c>
      <c r="T29" s="670">
        <v>1145</v>
      </c>
      <c r="U29" s="668">
        <f t="shared" si="0"/>
        <v>80.629223692430003</v>
      </c>
      <c r="V29" s="668">
        <f t="shared" si="3"/>
        <v>47.317938886535352</v>
      </c>
      <c r="W29" s="668">
        <v>0.2</v>
      </c>
      <c r="X29" s="432">
        <f t="shared" si="7"/>
        <v>0.43406887953872519</v>
      </c>
      <c r="Y29" s="432">
        <f t="shared" si="4"/>
        <v>13.98779435483871</v>
      </c>
      <c r="Z29" s="432">
        <f t="shared" si="4"/>
        <v>26.551342258064512</v>
      </c>
      <c r="AA29" s="670">
        <f t="shared" si="4"/>
        <v>1127.825</v>
      </c>
      <c r="AB29" s="432">
        <f t="shared" si="5"/>
        <v>80.629223692430003</v>
      </c>
      <c r="AC29" s="670">
        <f t="shared" si="1"/>
        <v>47.317938886535352</v>
      </c>
      <c r="AD29" s="1036">
        <v>31</v>
      </c>
      <c r="AE29" s="432">
        <f t="shared" si="6"/>
        <v>433.62162500000005</v>
      </c>
      <c r="AF29" s="669"/>
    </row>
    <row r="30" spans="1:32" ht="18.75" customHeight="1" x14ac:dyDescent="0.2">
      <c r="A30" s="1036">
        <v>16</v>
      </c>
      <c r="B30" s="461" t="s">
        <v>37</v>
      </c>
      <c r="C30" s="1036" t="s">
        <v>46</v>
      </c>
      <c r="D30" s="1036">
        <v>670</v>
      </c>
      <c r="E30" s="1036" t="s">
        <v>81</v>
      </c>
      <c r="F30" s="1036">
        <v>177.8</v>
      </c>
      <c r="G30" s="1036" t="s">
        <v>28</v>
      </c>
      <c r="H30" s="1036" t="s">
        <v>48</v>
      </c>
      <c r="I30" s="1032">
        <v>570.95000000000005</v>
      </c>
      <c r="J30" s="1036">
        <v>110</v>
      </c>
      <c r="K30" s="1036"/>
      <c r="L30" s="1036">
        <v>440</v>
      </c>
      <c r="M30" s="1036"/>
      <c r="N30" s="1036">
        <v>4.8</v>
      </c>
      <c r="O30" s="1036"/>
      <c r="P30" s="668">
        <v>18.052211638910713</v>
      </c>
      <c r="Q30" s="668">
        <f t="shared" si="2"/>
        <v>14.3</v>
      </c>
      <c r="R30" s="432">
        <v>3.1196774193548391</v>
      </c>
      <c r="S30" s="432">
        <v>6.532516129032258</v>
      </c>
      <c r="T30" s="670">
        <v>18</v>
      </c>
      <c r="U30" s="668">
        <f t="shared" si="0"/>
        <v>5.7698273187881286</v>
      </c>
      <c r="V30" s="668">
        <f t="shared" si="3"/>
        <v>52.243861970885099</v>
      </c>
      <c r="W30" s="668">
        <v>0.2</v>
      </c>
      <c r="X30" s="432">
        <f t="shared" si="7"/>
        <v>0.45681930972253548</v>
      </c>
      <c r="Y30" s="432">
        <f t="shared" si="4"/>
        <v>3.0728822580645163</v>
      </c>
      <c r="Z30" s="432">
        <f t="shared" si="4"/>
        <v>6.4345283870967744</v>
      </c>
      <c r="AA30" s="670">
        <f t="shared" si="4"/>
        <v>17.73</v>
      </c>
      <c r="AB30" s="432">
        <f t="shared" si="5"/>
        <v>5.7698273187881286</v>
      </c>
      <c r="AC30" s="670">
        <f t="shared" si="1"/>
        <v>52.243861970885099</v>
      </c>
      <c r="AD30" s="1036">
        <v>31</v>
      </c>
      <c r="AE30" s="432">
        <f>Y30*AD30</f>
        <v>95.259350000000012</v>
      </c>
      <c r="AF30" s="449"/>
    </row>
    <row r="31" spans="1:32" ht="18.75" customHeight="1" x14ac:dyDescent="0.2">
      <c r="A31" s="1036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036" t="s">
        <v>501</v>
      </c>
      <c r="I31" s="461">
        <v>546.6600000000002</v>
      </c>
      <c r="J31" s="461">
        <v>110</v>
      </c>
      <c r="K31" s="461"/>
      <c r="L31" s="461">
        <v>104</v>
      </c>
      <c r="M31" s="461"/>
      <c r="N31" s="461">
        <v>3.9</v>
      </c>
      <c r="O31" s="461"/>
      <c r="P31" s="671">
        <v>13.30306744988761</v>
      </c>
      <c r="Q31" s="668">
        <v>35.200000000000003</v>
      </c>
      <c r="R31" s="672">
        <v>6.1950000000000003</v>
      </c>
      <c r="S31" s="432">
        <v>26.454000000000001</v>
      </c>
      <c r="T31" s="699">
        <v>0</v>
      </c>
      <c r="U31" s="668">
        <f t="shared" si="0"/>
        <v>0</v>
      </c>
      <c r="V31" s="668">
        <f t="shared" si="3"/>
        <v>76.581991381265595</v>
      </c>
      <c r="W31" s="671">
        <v>0.4</v>
      </c>
      <c r="X31" s="432">
        <f t="shared" si="7"/>
        <v>0.75153409090909085</v>
      </c>
      <c r="Y31" s="432">
        <f t="shared" si="4"/>
        <v>6.1020750000000001</v>
      </c>
      <c r="Z31" s="432">
        <f t="shared" si="4"/>
        <v>26.057189999999999</v>
      </c>
      <c r="AA31" s="670">
        <f t="shared" si="4"/>
        <v>0</v>
      </c>
      <c r="AB31" s="672">
        <f t="shared" si="5"/>
        <v>0</v>
      </c>
      <c r="AC31" s="699">
        <f t="shared" si="1"/>
        <v>76.581991381265595</v>
      </c>
      <c r="AD31" s="1036">
        <v>31</v>
      </c>
      <c r="AE31" s="672">
        <f>Y31*AD31</f>
        <v>189.16432499999999</v>
      </c>
      <c r="AF31" s="461"/>
    </row>
    <row r="32" spans="1:32" ht="18.600000000000001" customHeight="1" x14ac:dyDescent="0.2">
      <c r="A32" s="1036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036">
        <v>177.8</v>
      </c>
      <c r="G32" s="1036" t="s">
        <v>28</v>
      </c>
      <c r="H32" s="1036" t="s">
        <v>364</v>
      </c>
      <c r="I32" s="437">
        <v>565.79999999999995</v>
      </c>
      <c r="J32" s="1036">
        <v>285</v>
      </c>
      <c r="K32" s="1036"/>
      <c r="L32" s="1036">
        <v>490</v>
      </c>
      <c r="M32" s="1036"/>
      <c r="N32" s="1036">
        <v>9.6999999999999993</v>
      </c>
      <c r="O32" s="1036"/>
      <c r="P32" s="668">
        <v>16.602824877651649</v>
      </c>
      <c r="Q32" s="668">
        <f>J32*13/100</f>
        <v>37.049999999999997</v>
      </c>
      <c r="R32" s="432">
        <v>3.0909333333333326</v>
      </c>
      <c r="S32" s="432">
        <v>5.4552999999999994</v>
      </c>
      <c r="T32" s="670">
        <v>80</v>
      </c>
      <c r="U32" s="668">
        <f t="shared" si="0"/>
        <v>25.882149943922013</v>
      </c>
      <c r="V32" s="668">
        <f t="shared" si="3"/>
        <v>43.340726755021123</v>
      </c>
      <c r="W32" s="668">
        <v>0.4</v>
      </c>
      <c r="X32" s="432">
        <f t="shared" si="7"/>
        <v>0.14724156545209177</v>
      </c>
      <c r="Y32" s="432">
        <f t="shared" si="4"/>
        <v>3.0445693333333326</v>
      </c>
      <c r="Z32" s="432">
        <f t="shared" si="4"/>
        <v>5.3734704999999989</v>
      </c>
      <c r="AA32" s="670">
        <f t="shared" si="4"/>
        <v>78.8</v>
      </c>
      <c r="AB32" s="672">
        <f t="shared" si="5"/>
        <v>25.882149943922013</v>
      </c>
      <c r="AC32" s="699">
        <f t="shared" si="1"/>
        <v>43.340726755021123</v>
      </c>
      <c r="AD32" s="1036">
        <v>31</v>
      </c>
      <c r="AE32" s="672">
        <f>Y32*AD32</f>
        <v>94.381649333333314</v>
      </c>
      <c r="AF32" s="669"/>
    </row>
    <row r="33" spans="1:32" ht="18.75" customHeight="1" x14ac:dyDescent="0.2">
      <c r="A33" s="1036">
        <v>19</v>
      </c>
      <c r="B33" s="461" t="s">
        <v>38</v>
      </c>
      <c r="C33" s="1036" t="s">
        <v>46</v>
      </c>
      <c r="D33" s="668">
        <v>580</v>
      </c>
      <c r="E33" s="1036" t="s">
        <v>84</v>
      </c>
      <c r="F33" s="1036">
        <v>177.8</v>
      </c>
      <c r="G33" s="1036" t="s">
        <v>28</v>
      </c>
      <c r="H33" s="1036" t="s">
        <v>52</v>
      </c>
      <c r="I33" s="1032">
        <v>565.38</v>
      </c>
      <c r="J33" s="1036">
        <v>105</v>
      </c>
      <c r="K33" s="1036"/>
      <c r="L33" s="1036">
        <v>506</v>
      </c>
      <c r="M33" s="1036"/>
      <c r="N33" s="1036">
        <v>0.4</v>
      </c>
      <c r="O33" s="1036"/>
      <c r="P33" s="668">
        <v>6.3099763033688694</v>
      </c>
      <c r="Q33" s="668">
        <f t="shared" si="2"/>
        <v>23.1</v>
      </c>
      <c r="R33" s="432">
        <v>2.6526129032258057</v>
      </c>
      <c r="S33" s="432">
        <v>5.4508387096774182</v>
      </c>
      <c r="T33" s="670">
        <v>3</v>
      </c>
      <c r="U33" s="668">
        <f t="shared" si="0"/>
        <v>1.1309603434227971</v>
      </c>
      <c r="V33" s="668">
        <f t="shared" si="3"/>
        <v>51.335692642742167</v>
      </c>
      <c r="W33" s="668">
        <v>0.3</v>
      </c>
      <c r="X33" s="432">
        <f t="shared" si="7"/>
        <v>0.23596704370897914</v>
      </c>
      <c r="Y33" s="432">
        <f t="shared" si="4"/>
        <v>2.6128237096774187</v>
      </c>
      <c r="Z33" s="432">
        <f t="shared" si="4"/>
        <v>5.3690761290322566</v>
      </c>
      <c r="AA33" s="670">
        <f t="shared" si="4"/>
        <v>2.9550000000000001</v>
      </c>
      <c r="AB33" s="432">
        <f>U33</f>
        <v>1.1309603434227971</v>
      </c>
      <c r="AC33" s="699">
        <f t="shared" si="1"/>
        <v>51.335692642742167</v>
      </c>
      <c r="AD33" s="1036">
        <v>31</v>
      </c>
      <c r="AE33" s="432">
        <f t="shared" si="6"/>
        <v>80.997534999999985</v>
      </c>
      <c r="AF33" s="669"/>
    </row>
    <row r="34" spans="1:32" ht="18.75" customHeight="1" x14ac:dyDescent="0.2">
      <c r="A34" s="1036">
        <v>20</v>
      </c>
      <c r="B34" s="461" t="s">
        <v>39</v>
      </c>
      <c r="C34" s="1036" t="s">
        <v>46</v>
      </c>
      <c r="D34" s="1036">
        <v>728.6</v>
      </c>
      <c r="E34" s="1036" t="s">
        <v>411</v>
      </c>
      <c r="F34" s="1036">
        <v>177.8</v>
      </c>
      <c r="G34" s="1036" t="s">
        <v>28</v>
      </c>
      <c r="H34" s="1036" t="s">
        <v>380</v>
      </c>
      <c r="I34" s="1032">
        <v>551.77</v>
      </c>
      <c r="J34" s="1036">
        <v>140</v>
      </c>
      <c r="K34" s="1036"/>
      <c r="L34" s="1036">
        <v>465</v>
      </c>
      <c r="M34" s="1036"/>
      <c r="N34" s="1036">
        <v>5.0999999999999996</v>
      </c>
      <c r="O34" s="1036"/>
      <c r="P34" s="668">
        <v>12.370671269773785</v>
      </c>
      <c r="Q34" s="668">
        <f>J34*23/100</f>
        <v>32.200000000000003</v>
      </c>
      <c r="R34" s="432">
        <v>2.8763548387096773</v>
      </c>
      <c r="S34" s="432">
        <v>7.2798709677419327</v>
      </c>
      <c r="T34" s="670">
        <v>83</v>
      </c>
      <c r="U34" s="668">
        <f t="shared" si="0"/>
        <v>28.855966893581709</v>
      </c>
      <c r="V34" s="668">
        <f t="shared" si="3"/>
        <v>60.488931033871552</v>
      </c>
      <c r="W34" s="668">
        <v>0.3</v>
      </c>
      <c r="X34" s="432">
        <f t="shared" si="7"/>
        <v>0.22608294930875567</v>
      </c>
      <c r="Y34" s="432">
        <f t="shared" si="4"/>
        <v>2.833209516129032</v>
      </c>
      <c r="Z34" s="432">
        <f t="shared" si="4"/>
        <v>7.1706729032258032</v>
      </c>
      <c r="AA34" s="670">
        <f t="shared" si="4"/>
        <v>81.754999999999995</v>
      </c>
      <c r="AB34" s="432">
        <f t="shared" si="5"/>
        <v>28.855966893581709</v>
      </c>
      <c r="AC34" s="699">
        <f t="shared" si="1"/>
        <v>60.488931033871552</v>
      </c>
      <c r="AD34" s="1036">
        <v>31</v>
      </c>
      <c r="AE34" s="432">
        <f t="shared" si="6"/>
        <v>87.829494999999994</v>
      </c>
      <c r="AF34" s="669"/>
    </row>
    <row r="35" spans="1:32" ht="18.75" customHeight="1" x14ac:dyDescent="0.2">
      <c r="A35" s="1036">
        <v>21</v>
      </c>
      <c r="B35" s="461" t="s">
        <v>40</v>
      </c>
      <c r="C35" s="1036" t="s">
        <v>46</v>
      </c>
      <c r="D35" s="1036">
        <v>679.7</v>
      </c>
      <c r="E35" s="1036" t="s">
        <v>86</v>
      </c>
      <c r="F35" s="1036">
        <v>177.8</v>
      </c>
      <c r="G35" s="1036" t="s">
        <v>28</v>
      </c>
      <c r="H35" s="1036" t="s">
        <v>487</v>
      </c>
      <c r="I35" s="1032">
        <v>563.22</v>
      </c>
      <c r="J35" s="1036">
        <v>150</v>
      </c>
      <c r="K35" s="1036"/>
      <c r="L35" s="1036">
        <v>420</v>
      </c>
      <c r="M35" s="1036"/>
      <c r="N35" s="1036">
        <v>1</v>
      </c>
      <c r="O35" s="1036"/>
      <c r="P35" s="668">
        <v>43.445014230906118</v>
      </c>
      <c r="Q35" s="668">
        <f t="shared" si="2"/>
        <v>22.5</v>
      </c>
      <c r="R35" s="432">
        <v>2.2784193548387095</v>
      </c>
      <c r="S35" s="432">
        <v>7.7716451612903246</v>
      </c>
      <c r="T35" s="670">
        <v>13</v>
      </c>
      <c r="U35" s="668">
        <f>IF(R35=0,0,T35/R35)</f>
        <v>5.7057099573841521</v>
      </c>
      <c r="V35" s="668">
        <f t="shared" si="3"/>
        <v>70.6829209574923</v>
      </c>
      <c r="W35" s="668">
        <v>0.3</v>
      </c>
      <c r="X35" s="432">
        <f t="shared" si="7"/>
        <v>0.34540645161290329</v>
      </c>
      <c r="Y35" s="432">
        <f t="shared" si="4"/>
        <v>2.2442430645161289</v>
      </c>
      <c r="Z35" s="432">
        <f t="shared" si="4"/>
        <v>7.6550704838709693</v>
      </c>
      <c r="AA35" s="670">
        <f t="shared" si="4"/>
        <v>12.805</v>
      </c>
      <c r="AB35" s="432">
        <f t="shared" si="5"/>
        <v>5.7057099573841521</v>
      </c>
      <c r="AC35" s="699">
        <v>70</v>
      </c>
      <c r="AD35" s="1036">
        <v>31</v>
      </c>
      <c r="AE35" s="432">
        <f>Y35*AD35</f>
        <v>69.571534999999997</v>
      </c>
      <c r="AF35" s="449"/>
    </row>
    <row r="36" spans="1:32" ht="18.75" customHeight="1" x14ac:dyDescent="0.2">
      <c r="A36" s="1036">
        <v>22</v>
      </c>
      <c r="B36" s="461" t="s">
        <v>41</v>
      </c>
      <c r="C36" s="1036" t="s">
        <v>46</v>
      </c>
      <c r="D36" s="1036">
        <v>573.70000000000005</v>
      </c>
      <c r="E36" s="1036" t="s">
        <v>87</v>
      </c>
      <c r="F36" s="1036">
        <v>177.8</v>
      </c>
      <c r="G36" s="1036" t="s">
        <v>28</v>
      </c>
      <c r="H36" s="1036" t="s">
        <v>52</v>
      </c>
      <c r="I36" s="1032">
        <v>554.30999999999995</v>
      </c>
      <c r="J36" s="1036">
        <v>317</v>
      </c>
      <c r="K36" s="1036"/>
      <c r="L36" s="1036">
        <v>469</v>
      </c>
      <c r="M36" s="1036"/>
      <c r="N36" s="1036">
        <v>7.1</v>
      </c>
      <c r="O36" s="1036"/>
      <c r="P36" s="668">
        <v>12.613881275674633</v>
      </c>
      <c r="Q36" s="668">
        <f t="shared" si="2"/>
        <v>69.739999999999995</v>
      </c>
      <c r="R36" s="432">
        <v>9.2551612903225795</v>
      </c>
      <c r="S36" s="432">
        <v>11.964032258064515</v>
      </c>
      <c r="T36" s="670">
        <v>356</v>
      </c>
      <c r="U36" s="668">
        <f t="shared" ref="U36:U78" si="8">IF(R36=0,0,T36/R36)</f>
        <v>38.465023875082785</v>
      </c>
      <c r="V36" s="668">
        <f t="shared" si="3"/>
        <v>22.641789233859555</v>
      </c>
      <c r="W36" s="668">
        <v>0.3</v>
      </c>
      <c r="X36" s="432">
        <f t="shared" si="7"/>
        <v>0.17155193946177968</v>
      </c>
      <c r="Y36" s="432">
        <f t="shared" si="4"/>
        <v>9.1163338709677415</v>
      </c>
      <c r="Z36" s="432">
        <f t="shared" si="4"/>
        <v>11.784571774193548</v>
      </c>
      <c r="AA36" s="670">
        <f t="shared" si="4"/>
        <v>350.65999999999997</v>
      </c>
      <c r="AB36" s="432">
        <v>89.536086956521729</v>
      </c>
      <c r="AC36" s="699">
        <f t="shared" si="1"/>
        <v>22.641789233859555</v>
      </c>
      <c r="AD36" s="1036">
        <v>31</v>
      </c>
      <c r="AE36" s="432">
        <f t="shared" si="6"/>
        <v>282.60634999999996</v>
      </c>
      <c r="AF36" s="673"/>
    </row>
    <row r="37" spans="1:32" ht="18.75" customHeight="1" x14ac:dyDescent="0.2">
      <c r="A37" s="1036">
        <v>23</v>
      </c>
      <c r="B37" s="461" t="s">
        <v>42</v>
      </c>
      <c r="C37" s="1036" t="s">
        <v>46</v>
      </c>
      <c r="D37" s="1036">
        <v>583.20000000000005</v>
      </c>
      <c r="E37" s="1036" t="s">
        <v>434</v>
      </c>
      <c r="F37" s="1036">
        <v>177.8</v>
      </c>
      <c r="G37" s="1036" t="s">
        <v>28</v>
      </c>
      <c r="H37" s="1036" t="s">
        <v>48</v>
      </c>
      <c r="I37" s="1032">
        <v>565.09</v>
      </c>
      <c r="J37" s="1036">
        <v>358</v>
      </c>
      <c r="K37" s="1036"/>
      <c r="L37" s="1036">
        <v>189</v>
      </c>
      <c r="M37" s="1036"/>
      <c r="N37" s="1036">
        <v>6.3</v>
      </c>
      <c r="O37" s="1036"/>
      <c r="P37" s="668">
        <v>44.820708982668634</v>
      </c>
      <c r="Q37" s="668">
        <f t="shared" si="2"/>
        <v>46.54</v>
      </c>
      <c r="R37" s="432">
        <v>2.3859354838709672</v>
      </c>
      <c r="S37" s="432">
        <v>10.420516129032256</v>
      </c>
      <c r="T37" s="670">
        <v>3</v>
      </c>
      <c r="U37" s="668">
        <f t="shared" si="8"/>
        <v>1.2573684495159809</v>
      </c>
      <c r="V37" s="668">
        <f t="shared" si="3"/>
        <v>77.103480726606307</v>
      </c>
      <c r="W37" s="668">
        <v>0.2</v>
      </c>
      <c r="X37" s="432">
        <f t="shared" si="7"/>
        <v>0.22390451502003128</v>
      </c>
      <c r="Y37" s="432">
        <f t="shared" si="4"/>
        <v>2.3501464516129027</v>
      </c>
      <c r="Z37" s="432">
        <f t="shared" si="4"/>
        <v>10.264208387096772</v>
      </c>
      <c r="AA37" s="670">
        <f t="shared" si="4"/>
        <v>2.9550000000000001</v>
      </c>
      <c r="AB37" s="432">
        <f t="shared" si="5"/>
        <v>1.2573684495159809</v>
      </c>
      <c r="AC37" s="670">
        <f t="shared" si="1"/>
        <v>77.103480726606307</v>
      </c>
      <c r="AD37" s="1036">
        <v>31</v>
      </c>
      <c r="AE37" s="432">
        <f t="shared" si="6"/>
        <v>72.854539999999986</v>
      </c>
      <c r="AF37" s="449"/>
    </row>
    <row r="38" spans="1:32" ht="18.75" customHeight="1" x14ac:dyDescent="0.2">
      <c r="A38" s="1036">
        <v>24</v>
      </c>
      <c r="B38" s="461" t="s">
        <v>43</v>
      </c>
      <c r="C38" s="1036" t="s">
        <v>46</v>
      </c>
      <c r="D38" s="1036">
        <v>682.7</v>
      </c>
      <c r="E38" s="1036" t="s">
        <v>435</v>
      </c>
      <c r="F38" s="1036">
        <v>177.8</v>
      </c>
      <c r="G38" s="1036" t="s">
        <v>28</v>
      </c>
      <c r="H38" s="1036" t="s">
        <v>399</v>
      </c>
      <c r="I38" s="446">
        <v>575.91</v>
      </c>
      <c r="J38" s="1036">
        <v>250</v>
      </c>
      <c r="K38" s="1036"/>
      <c r="L38" s="1036">
        <v>322</v>
      </c>
      <c r="M38" s="1036"/>
      <c r="N38" s="1036">
        <v>6.3</v>
      </c>
      <c r="O38" s="1036"/>
      <c r="P38" s="668">
        <v>32.195505550647191</v>
      </c>
      <c r="Q38" s="668">
        <f>J38*13/100</f>
        <v>32.5</v>
      </c>
      <c r="R38" s="432">
        <v>9.0881935483870944</v>
      </c>
      <c r="S38" s="432">
        <v>32.039322580645162</v>
      </c>
      <c r="T38" s="670">
        <v>162</v>
      </c>
      <c r="U38" s="668">
        <f t="shared" si="8"/>
        <v>17.825324596960257</v>
      </c>
      <c r="V38" s="668">
        <f t="shared" si="3"/>
        <v>71.63425186187537</v>
      </c>
      <c r="W38" s="668">
        <v>0.3</v>
      </c>
      <c r="X38" s="432">
        <f t="shared" si="7"/>
        <v>0.98582531017369734</v>
      </c>
      <c r="Y38" s="432">
        <f t="shared" si="4"/>
        <v>8.9518706451612875</v>
      </c>
      <c r="Z38" s="432">
        <f t="shared" si="4"/>
        <v>31.558732741935486</v>
      </c>
      <c r="AA38" s="670">
        <f t="shared" si="4"/>
        <v>159.57</v>
      </c>
      <c r="AB38" s="432">
        <f t="shared" si="5"/>
        <v>17.825324596960257</v>
      </c>
      <c r="AC38" s="670">
        <f t="shared" si="1"/>
        <v>71.63425186187537</v>
      </c>
      <c r="AD38" s="1036">
        <v>31</v>
      </c>
      <c r="AE38" s="432">
        <f t="shared" si="6"/>
        <v>277.50798999999989</v>
      </c>
      <c r="AF38" s="669"/>
    </row>
    <row r="39" spans="1:32" ht="18.75" customHeight="1" x14ac:dyDescent="0.2">
      <c r="A39" s="1036">
        <v>25</v>
      </c>
      <c r="B39" s="461" t="s">
        <v>44</v>
      </c>
      <c r="C39" s="1036" t="s">
        <v>46</v>
      </c>
      <c r="D39" s="1036">
        <v>614.20000000000005</v>
      </c>
      <c r="E39" s="1036" t="s">
        <v>90</v>
      </c>
      <c r="F39" s="1036">
        <v>177.8</v>
      </c>
      <c r="G39" s="1036" t="s">
        <v>28</v>
      </c>
      <c r="H39" s="1036" t="s">
        <v>52</v>
      </c>
      <c r="I39" s="446">
        <v>573.37</v>
      </c>
      <c r="J39" s="1036">
        <v>300</v>
      </c>
      <c r="K39" s="1036"/>
      <c r="L39" s="1036">
        <v>200</v>
      </c>
      <c r="M39" s="1036"/>
      <c r="N39" s="1036">
        <v>7.1</v>
      </c>
      <c r="O39" s="1036"/>
      <c r="P39" s="668">
        <v>40.521672595684045</v>
      </c>
      <c r="Q39" s="668">
        <f t="shared" si="2"/>
        <v>66</v>
      </c>
      <c r="R39" s="432">
        <v>3.1713548387096768</v>
      </c>
      <c r="S39" s="432">
        <v>30.854064516129043</v>
      </c>
      <c r="T39" s="670">
        <v>135</v>
      </c>
      <c r="U39" s="668">
        <f t="shared" si="8"/>
        <v>42.568557246317852</v>
      </c>
      <c r="V39" s="668">
        <f t="shared" si="3"/>
        <v>89.721435770474116</v>
      </c>
      <c r="W39" s="668">
        <v>0.4</v>
      </c>
      <c r="X39" s="432">
        <f t="shared" si="7"/>
        <v>0.46748582600195521</v>
      </c>
      <c r="Y39" s="432">
        <f t="shared" si="4"/>
        <v>3.1237845161290316</v>
      </c>
      <c r="Z39" s="432">
        <f t="shared" si="4"/>
        <v>30.391253548387105</v>
      </c>
      <c r="AA39" s="670">
        <f t="shared" si="4"/>
        <v>132.97499999999999</v>
      </c>
      <c r="AB39" s="432">
        <f t="shared" si="5"/>
        <v>42.568557246317852</v>
      </c>
      <c r="AC39" s="670">
        <f t="shared" si="1"/>
        <v>89.721435770474116</v>
      </c>
      <c r="AD39" s="1036">
        <v>31</v>
      </c>
      <c r="AE39" s="432">
        <f t="shared" si="6"/>
        <v>96.837319999999977</v>
      </c>
      <c r="AF39" s="669"/>
    </row>
    <row r="40" spans="1:32" ht="18.75" customHeight="1" x14ac:dyDescent="0.2">
      <c r="A40" s="1036">
        <v>26</v>
      </c>
      <c r="B40" s="461" t="s">
        <v>45</v>
      </c>
      <c r="C40" s="1036" t="s">
        <v>46</v>
      </c>
      <c r="D40" s="1036">
        <v>636.4</v>
      </c>
      <c r="E40" s="1036" t="s">
        <v>91</v>
      </c>
      <c r="F40" s="1036">
        <v>177.8</v>
      </c>
      <c r="G40" s="1036" t="s">
        <v>28</v>
      </c>
      <c r="H40" s="1036" t="s">
        <v>52</v>
      </c>
      <c r="I40" s="1032">
        <v>592.95000000000005</v>
      </c>
      <c r="J40" s="1036">
        <v>340</v>
      </c>
      <c r="K40" s="1036"/>
      <c r="L40" s="1036">
        <v>498</v>
      </c>
      <c r="M40" s="1036"/>
      <c r="N40" s="1036">
        <v>10.6</v>
      </c>
      <c r="O40" s="1036"/>
      <c r="P40" s="668">
        <v>14.431394020297301</v>
      </c>
      <c r="Q40" s="668">
        <f>LEFT(H40,(FIND("K",H40,1)-1))*J40/100</f>
        <v>74.8</v>
      </c>
      <c r="R40" s="432">
        <v>10.768193548387099</v>
      </c>
      <c r="S40" s="432">
        <v>37.918548387096784</v>
      </c>
      <c r="T40" s="670">
        <v>155</v>
      </c>
      <c r="U40" s="668">
        <f t="shared" si="8"/>
        <v>14.39424350087174</v>
      </c>
      <c r="V40" s="668">
        <f t="shared" si="3"/>
        <v>71.601778004636429</v>
      </c>
      <c r="W40" s="668">
        <v>0.2</v>
      </c>
      <c r="X40" s="432">
        <f t="shared" si="7"/>
        <v>0.50693246506813883</v>
      </c>
      <c r="Y40" s="432">
        <f t="shared" si="4"/>
        <v>10.606670645161293</v>
      </c>
      <c r="Z40" s="432">
        <f t="shared" si="4"/>
        <v>37.34977016129033</v>
      </c>
      <c r="AA40" s="670">
        <f t="shared" si="4"/>
        <v>152.67500000000001</v>
      </c>
      <c r="AB40" s="432">
        <f t="shared" si="5"/>
        <v>14.39424350087174</v>
      </c>
      <c r="AC40" s="670">
        <f t="shared" si="1"/>
        <v>71.601778004636429</v>
      </c>
      <c r="AD40" s="1036">
        <v>31</v>
      </c>
      <c r="AE40" s="432">
        <f t="shared" si="6"/>
        <v>328.80679000000009</v>
      </c>
      <c r="AF40" s="669"/>
    </row>
    <row r="41" spans="1:32" ht="18.75" customHeight="1" x14ac:dyDescent="0.2">
      <c r="A41" s="1036">
        <v>27</v>
      </c>
      <c r="B41" s="461" t="s">
        <v>206</v>
      </c>
      <c r="C41" s="1036" t="s">
        <v>46</v>
      </c>
      <c r="D41" s="1036">
        <v>660.2</v>
      </c>
      <c r="E41" s="1036" t="s">
        <v>436</v>
      </c>
      <c r="F41" s="1036">
        <v>177.8</v>
      </c>
      <c r="G41" s="1036" t="s">
        <v>28</v>
      </c>
      <c r="H41" s="1036" t="s">
        <v>212</v>
      </c>
      <c r="I41" s="1032">
        <v>547.63</v>
      </c>
      <c r="J41" s="1036">
        <v>320</v>
      </c>
      <c r="K41" s="1036"/>
      <c r="L41" s="1036">
        <v>277</v>
      </c>
      <c r="M41" s="1036"/>
      <c r="N41" s="1036">
        <v>8.4</v>
      </c>
      <c r="O41" s="1036"/>
      <c r="P41" s="668">
        <v>34.827006944915517</v>
      </c>
      <c r="Q41" s="668">
        <f t="shared" ref="Q41:Q73" si="9">LEFT(H41,(FIND("K",H41,1)-1))*J41/100</f>
        <v>25.6</v>
      </c>
      <c r="R41" s="432">
        <v>5.648548387096775</v>
      </c>
      <c r="S41" s="432">
        <v>15.102451612903229</v>
      </c>
      <c r="T41" s="670">
        <v>130</v>
      </c>
      <c r="U41" s="668">
        <f t="shared" si="8"/>
        <v>23.014762571028808</v>
      </c>
      <c r="V41" s="668">
        <f t="shared" si="3"/>
        <v>62.598467243088066</v>
      </c>
      <c r="W41" s="668">
        <v>0.3</v>
      </c>
      <c r="X41" s="432">
        <f t="shared" si="7"/>
        <v>0.58993951612903239</v>
      </c>
      <c r="Y41" s="432">
        <f t="shared" si="4"/>
        <v>5.5638201612903231</v>
      </c>
      <c r="Z41" s="432">
        <f t="shared" si="4"/>
        <v>14.875914838709681</v>
      </c>
      <c r="AA41" s="670">
        <f t="shared" si="4"/>
        <v>128.05000000000001</v>
      </c>
      <c r="AB41" s="432">
        <f t="shared" si="5"/>
        <v>23.014762571028808</v>
      </c>
      <c r="AC41" s="670">
        <f t="shared" si="1"/>
        <v>62.598467243088066</v>
      </c>
      <c r="AD41" s="1036">
        <v>31</v>
      </c>
      <c r="AE41" s="432">
        <f t="shared" si="6"/>
        <v>172.47842500000002</v>
      </c>
      <c r="AF41" s="669"/>
    </row>
    <row r="42" spans="1:32" ht="18.75" customHeight="1" x14ac:dyDescent="0.2">
      <c r="A42" s="1036">
        <v>28</v>
      </c>
      <c r="B42" s="1041" t="s">
        <v>161</v>
      </c>
      <c r="C42" s="1036" t="s">
        <v>46</v>
      </c>
      <c r="D42" s="1032">
        <v>677</v>
      </c>
      <c r="E42" s="679" t="s">
        <v>178</v>
      </c>
      <c r="F42" s="1036">
        <v>177.8</v>
      </c>
      <c r="G42" s="1036" t="s">
        <v>28</v>
      </c>
      <c r="H42" s="1036" t="s">
        <v>52</v>
      </c>
      <c r="I42" s="1032">
        <v>571.98</v>
      </c>
      <c r="J42" s="1032">
        <v>290</v>
      </c>
      <c r="K42" s="1032"/>
      <c r="L42" s="1032">
        <v>210</v>
      </c>
      <c r="M42" s="1032"/>
      <c r="N42" s="1036">
        <v>6.9</v>
      </c>
      <c r="O42" s="1032"/>
      <c r="P42" s="448">
        <v>37.930280103191443</v>
      </c>
      <c r="Q42" s="668">
        <f t="shared" si="9"/>
        <v>63.8</v>
      </c>
      <c r="R42" s="432">
        <v>9.7453870967741931</v>
      </c>
      <c r="S42" s="432">
        <v>22.454032258064515</v>
      </c>
      <c r="T42" s="492">
        <v>92</v>
      </c>
      <c r="U42" s="668">
        <f t="shared" si="8"/>
        <v>9.4403638445981066</v>
      </c>
      <c r="V42" s="668">
        <f t="shared" si="3"/>
        <v>56.598498724993718</v>
      </c>
      <c r="W42" s="668">
        <v>0.3</v>
      </c>
      <c r="X42" s="432">
        <f t="shared" si="7"/>
        <v>0.35194407928000809</v>
      </c>
      <c r="Y42" s="432">
        <f t="shared" si="4"/>
        <v>9.5992062903225808</v>
      </c>
      <c r="Z42" s="432">
        <f t="shared" si="4"/>
        <v>22.117221774193546</v>
      </c>
      <c r="AA42" s="670">
        <f t="shared" si="4"/>
        <v>90.62</v>
      </c>
      <c r="AB42" s="432">
        <f t="shared" si="5"/>
        <v>9.4403638445981066</v>
      </c>
      <c r="AC42" s="670">
        <f t="shared" si="1"/>
        <v>56.598498724993718</v>
      </c>
      <c r="AD42" s="1036">
        <v>31</v>
      </c>
      <c r="AE42" s="432">
        <f t="shared" si="6"/>
        <v>297.57539500000001</v>
      </c>
      <c r="AF42" s="449"/>
    </row>
    <row r="43" spans="1:32" ht="18.75" customHeight="1" x14ac:dyDescent="0.2">
      <c r="A43" s="1036">
        <v>29</v>
      </c>
      <c r="B43" s="1041" t="s">
        <v>162</v>
      </c>
      <c r="C43" s="1036" t="s">
        <v>46</v>
      </c>
      <c r="D43" s="1032">
        <v>676</v>
      </c>
      <c r="E43" s="679" t="s">
        <v>437</v>
      </c>
      <c r="F43" s="1036">
        <v>177.8</v>
      </c>
      <c r="G43" s="1036" t="s">
        <v>28</v>
      </c>
      <c r="H43" s="1036" t="s">
        <v>50</v>
      </c>
      <c r="I43" s="1032">
        <v>549.20000000000005</v>
      </c>
      <c r="J43" s="1032">
        <v>250</v>
      </c>
      <c r="K43" s="1032"/>
      <c r="L43" s="1036">
        <v>411</v>
      </c>
      <c r="M43" s="1032"/>
      <c r="N43" s="1036">
        <v>2.4</v>
      </c>
      <c r="O43" s="1032"/>
      <c r="P43" s="448">
        <v>8.7491753859289219</v>
      </c>
      <c r="Q43" s="668">
        <f t="shared" si="9"/>
        <v>15</v>
      </c>
      <c r="R43" s="432">
        <v>0.94793548387096771</v>
      </c>
      <c r="S43" s="432">
        <v>1.4519354838709675</v>
      </c>
      <c r="T43" s="492">
        <v>9</v>
      </c>
      <c r="U43" s="668">
        <f t="shared" si="8"/>
        <v>9.4943170217110193</v>
      </c>
      <c r="V43" s="668">
        <f t="shared" si="3"/>
        <v>34.712286158631407</v>
      </c>
      <c r="W43" s="668">
        <v>0.2</v>
      </c>
      <c r="X43" s="432">
        <f t="shared" si="7"/>
        <v>9.6795698924731166E-2</v>
      </c>
      <c r="Y43" s="432">
        <f t="shared" si="4"/>
        <v>0.93371645161290318</v>
      </c>
      <c r="Z43" s="432">
        <f t="shared" si="4"/>
        <v>1.4301564516129031</v>
      </c>
      <c r="AA43" s="670">
        <f t="shared" si="4"/>
        <v>8.8650000000000002</v>
      </c>
      <c r="AB43" s="432">
        <f t="shared" si="5"/>
        <v>9.4943170217110193</v>
      </c>
      <c r="AC43" s="670">
        <f t="shared" si="1"/>
        <v>34.712286158631407</v>
      </c>
      <c r="AD43" s="1036">
        <v>31</v>
      </c>
      <c r="AE43" s="432">
        <f t="shared" si="6"/>
        <v>28.945209999999999</v>
      </c>
      <c r="AF43" s="449"/>
    </row>
    <row r="44" spans="1:32" ht="18.75" customHeight="1" x14ac:dyDescent="0.2">
      <c r="A44" s="1036">
        <v>30</v>
      </c>
      <c r="B44" s="1041" t="s">
        <v>163</v>
      </c>
      <c r="C44" s="1036" t="s">
        <v>46</v>
      </c>
      <c r="D44" s="1032">
        <v>597</v>
      </c>
      <c r="E44" s="1036" t="s">
        <v>443</v>
      </c>
      <c r="F44" s="1036">
        <v>177.8</v>
      </c>
      <c r="G44" s="1036" t="s">
        <v>28</v>
      </c>
      <c r="H44" s="1036" t="s">
        <v>487</v>
      </c>
      <c r="I44" s="1032">
        <v>553.79</v>
      </c>
      <c r="J44" s="1032">
        <v>85</v>
      </c>
      <c r="K44" s="1032"/>
      <c r="L44" s="1032">
        <v>417</v>
      </c>
      <c r="M44" s="1032"/>
      <c r="N44" s="1036">
        <v>3.8</v>
      </c>
      <c r="O44" s="1032"/>
      <c r="P44" s="448">
        <v>32.977632975325037</v>
      </c>
      <c r="Q44" s="668">
        <f t="shared" si="9"/>
        <v>12.75</v>
      </c>
      <c r="R44" s="432">
        <v>2.6763870967741936</v>
      </c>
      <c r="S44" s="432">
        <v>9.9898387096774197</v>
      </c>
      <c r="T44" s="492">
        <v>8</v>
      </c>
      <c r="U44" s="668">
        <f t="shared" si="8"/>
        <v>2.9891042329572848</v>
      </c>
      <c r="V44" s="668">
        <f t="shared" si="3"/>
        <v>73.208905823659521</v>
      </c>
      <c r="W44" s="668">
        <v>0.3</v>
      </c>
      <c r="X44" s="432">
        <f t="shared" si="7"/>
        <v>0.78351676154332706</v>
      </c>
      <c r="Y44" s="432">
        <f t="shared" si="4"/>
        <v>2.6362412903225807</v>
      </c>
      <c r="Z44" s="432">
        <f t="shared" si="4"/>
        <v>9.8399911290322581</v>
      </c>
      <c r="AA44" s="670">
        <f t="shared" si="4"/>
        <v>7.88</v>
      </c>
      <c r="AB44" s="432">
        <f t="shared" si="5"/>
        <v>2.9891042329572848</v>
      </c>
      <c r="AC44" s="670">
        <f t="shared" si="1"/>
        <v>73.208905823659521</v>
      </c>
      <c r="AD44" s="1036">
        <v>31</v>
      </c>
      <c r="AE44" s="432">
        <f t="shared" si="6"/>
        <v>81.723479999999995</v>
      </c>
      <c r="AF44" s="449"/>
    </row>
    <row r="45" spans="1:32" ht="18.75" customHeight="1" x14ac:dyDescent="0.2">
      <c r="A45" s="1036">
        <v>31</v>
      </c>
      <c r="B45" s="461" t="s">
        <v>59</v>
      </c>
      <c r="C45" s="1036" t="s">
        <v>46</v>
      </c>
      <c r="D45" s="1036">
        <v>637.16</v>
      </c>
      <c r="E45" s="1036" t="s">
        <v>454</v>
      </c>
      <c r="F45" s="1036">
        <v>177.8</v>
      </c>
      <c r="G45" s="1036" t="s">
        <v>28</v>
      </c>
      <c r="H45" s="1036" t="s">
        <v>487</v>
      </c>
      <c r="I45" s="1032">
        <v>536.73</v>
      </c>
      <c r="J45" s="1036">
        <v>270</v>
      </c>
      <c r="K45" s="1036"/>
      <c r="L45" s="1036">
        <v>419</v>
      </c>
      <c r="M45" s="1036"/>
      <c r="N45" s="1036">
        <v>3.2</v>
      </c>
      <c r="O45" s="1036"/>
      <c r="P45" s="668">
        <v>18.826357831890004</v>
      </c>
      <c r="Q45" s="668">
        <f t="shared" si="9"/>
        <v>40.5</v>
      </c>
      <c r="R45" s="432">
        <v>5.0987419354838712</v>
      </c>
      <c r="S45" s="432">
        <v>9.4572258064516141</v>
      </c>
      <c r="T45" s="670">
        <v>36</v>
      </c>
      <c r="U45" s="668">
        <f t="shared" si="8"/>
        <v>7.0605652248182658</v>
      </c>
      <c r="V45" s="668">
        <f t="shared" si="3"/>
        <v>46.086283231118728</v>
      </c>
      <c r="W45" s="668">
        <v>0.3</v>
      </c>
      <c r="X45" s="432">
        <f t="shared" si="7"/>
        <v>0.23351174830744725</v>
      </c>
      <c r="Y45" s="432">
        <f t="shared" si="4"/>
        <v>5.0222608064516132</v>
      </c>
      <c r="Z45" s="432">
        <f t="shared" si="4"/>
        <v>9.315367419354839</v>
      </c>
      <c r="AA45" s="670">
        <f t="shared" si="4"/>
        <v>35.46</v>
      </c>
      <c r="AB45" s="432">
        <f>U45</f>
        <v>7.0605652248182658</v>
      </c>
      <c r="AC45" s="670">
        <f t="shared" si="1"/>
        <v>46.086283231118728</v>
      </c>
      <c r="AD45" s="1036">
        <v>31</v>
      </c>
      <c r="AE45" s="432">
        <f t="shared" si="6"/>
        <v>155.69008500000001</v>
      </c>
      <c r="AF45" s="449"/>
    </row>
    <row r="46" spans="1:32" ht="18.600000000000001" customHeight="1" x14ac:dyDescent="0.2">
      <c r="A46" s="1036">
        <v>32</v>
      </c>
      <c r="B46" s="461" t="s">
        <v>207</v>
      </c>
      <c r="C46" s="1036" t="s">
        <v>46</v>
      </c>
      <c r="D46" s="1036">
        <v>673</v>
      </c>
      <c r="E46" s="1036" t="s">
        <v>420</v>
      </c>
      <c r="F46" s="1036">
        <v>177.8</v>
      </c>
      <c r="G46" s="1036" t="s">
        <v>28</v>
      </c>
      <c r="H46" s="1036" t="s">
        <v>50</v>
      </c>
      <c r="I46" s="1032">
        <v>564.41999999999996</v>
      </c>
      <c r="J46" s="1036">
        <v>215</v>
      </c>
      <c r="K46" s="1036"/>
      <c r="L46" s="1036">
        <v>182</v>
      </c>
      <c r="M46" s="1036"/>
      <c r="N46" s="668">
        <v>0.4</v>
      </c>
      <c r="O46" s="1036"/>
      <c r="P46" s="668">
        <v>36.867484565277088</v>
      </c>
      <c r="Q46" s="668">
        <f t="shared" si="9"/>
        <v>12.9</v>
      </c>
      <c r="R46" s="432">
        <v>1.9301290322580646</v>
      </c>
      <c r="S46" s="432">
        <v>10.30009677419355</v>
      </c>
      <c r="T46" s="670">
        <v>2</v>
      </c>
      <c r="U46" s="668">
        <f t="shared" si="8"/>
        <v>1.0362001537587324</v>
      </c>
      <c r="V46" s="668">
        <f t="shared" si="3"/>
        <v>81.261059244667294</v>
      </c>
      <c r="W46" s="668">
        <v>0.3</v>
      </c>
      <c r="X46" s="432">
        <f t="shared" si="7"/>
        <v>0.7984571142785698</v>
      </c>
      <c r="Y46" s="432">
        <f t="shared" si="4"/>
        <v>1.9011770967741937</v>
      </c>
      <c r="Z46" s="432">
        <f t="shared" si="4"/>
        <v>10.145595322580647</v>
      </c>
      <c r="AA46" s="670">
        <f t="shared" si="4"/>
        <v>1.97</v>
      </c>
      <c r="AB46" s="432">
        <f>U46</f>
        <v>1.0362001537587324</v>
      </c>
      <c r="AC46" s="670">
        <f t="shared" si="1"/>
        <v>81.261059244667294</v>
      </c>
      <c r="AD46" s="1036">
        <v>31</v>
      </c>
      <c r="AE46" s="432">
        <f t="shared" si="6"/>
        <v>58.936490000000006</v>
      </c>
      <c r="AF46" s="449"/>
    </row>
    <row r="47" spans="1:32" ht="18.75" customHeight="1" x14ac:dyDescent="0.25">
      <c r="A47" s="1036">
        <v>33</v>
      </c>
      <c r="B47" s="461" t="s">
        <v>196</v>
      </c>
      <c r="C47" s="1036" t="s">
        <v>304</v>
      </c>
      <c r="D47" s="1036">
        <v>641</v>
      </c>
      <c r="E47" s="1036" t="s">
        <v>296</v>
      </c>
      <c r="F47" s="1036">
        <v>177.8</v>
      </c>
      <c r="G47" s="1036" t="s">
        <v>28</v>
      </c>
      <c r="H47" s="1036" t="s">
        <v>50</v>
      </c>
      <c r="I47" s="1032">
        <v>611.92999999999995</v>
      </c>
      <c r="J47" s="1036">
        <v>0</v>
      </c>
      <c r="K47" s="1036">
        <v>496</v>
      </c>
      <c r="L47" s="868"/>
      <c r="M47" s="668">
        <v>0.3</v>
      </c>
      <c r="N47" s="868"/>
      <c r="O47" s="1036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3"/>
        <v>0</v>
      </c>
      <c r="W47" s="668">
        <v>0.3</v>
      </c>
      <c r="X47" s="432">
        <f t="shared" si="7"/>
        <v>0</v>
      </c>
      <c r="Y47" s="432">
        <f t="shared" si="4"/>
        <v>0</v>
      </c>
      <c r="Z47" s="432">
        <f t="shared" si="4"/>
        <v>0</v>
      </c>
      <c r="AA47" s="670">
        <f t="shared" si="4"/>
        <v>0</v>
      </c>
      <c r="AB47" s="432">
        <f>U47</f>
        <v>0</v>
      </c>
      <c r="AC47" s="670">
        <f t="shared" si="1"/>
        <v>0</v>
      </c>
      <c r="AD47" s="1036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1036">
        <v>34</v>
      </c>
      <c r="B48" s="461" t="s">
        <v>60</v>
      </c>
      <c r="C48" s="1036" t="s">
        <v>46</v>
      </c>
      <c r="D48" s="1036">
        <v>638.9</v>
      </c>
      <c r="E48" s="1036" t="s">
        <v>462</v>
      </c>
      <c r="F48" s="1036">
        <v>177.8</v>
      </c>
      <c r="G48" s="1036" t="s">
        <v>28</v>
      </c>
      <c r="H48" s="1036" t="s">
        <v>48</v>
      </c>
      <c r="I48" s="1032">
        <v>532.05999999999995</v>
      </c>
      <c r="J48" s="1036">
        <v>285</v>
      </c>
      <c r="K48" s="1036"/>
      <c r="L48" s="1036">
        <v>440</v>
      </c>
      <c r="M48" s="1036"/>
      <c r="N48" s="1036">
        <v>6.2</v>
      </c>
      <c r="O48" s="1036"/>
      <c r="P48" s="668">
        <v>22.969737136838344</v>
      </c>
      <c r="Q48" s="668">
        <f t="shared" si="9"/>
        <v>37.049999999999997</v>
      </c>
      <c r="R48" s="432">
        <v>7.1139677419354861</v>
      </c>
      <c r="S48" s="432">
        <v>13.073290322580647</v>
      </c>
      <c r="T48" s="670">
        <v>469</v>
      </c>
      <c r="U48" s="668">
        <f t="shared" si="8"/>
        <v>65.926641364330948</v>
      </c>
      <c r="V48" s="668">
        <f t="shared" si="3"/>
        <v>45.583953492962742</v>
      </c>
      <c r="W48" s="668">
        <v>0.3</v>
      </c>
      <c r="X48" s="432">
        <f t="shared" si="7"/>
        <v>0.35285533934090818</v>
      </c>
      <c r="Y48" s="432">
        <f t="shared" si="4"/>
        <v>7.0072582258064537</v>
      </c>
      <c r="Z48" s="432">
        <f t="shared" si="4"/>
        <v>12.877190967741937</v>
      </c>
      <c r="AA48" s="670">
        <f t="shared" si="4"/>
        <v>461.96499999999997</v>
      </c>
      <c r="AB48" s="432">
        <f t="shared" si="5"/>
        <v>65.926641364330948</v>
      </c>
      <c r="AC48" s="670">
        <f t="shared" si="1"/>
        <v>45.583953492962742</v>
      </c>
      <c r="AD48" s="1036">
        <v>31</v>
      </c>
      <c r="AE48" s="432">
        <f t="shared" si="6"/>
        <v>217.22500500000007</v>
      </c>
      <c r="AF48" s="449"/>
    </row>
    <row r="49" spans="1:32" ht="18.75" customHeight="1" x14ac:dyDescent="0.2">
      <c r="A49" s="1036">
        <v>35</v>
      </c>
      <c r="B49" s="461" t="s">
        <v>119</v>
      </c>
      <c r="C49" s="1036" t="s">
        <v>427</v>
      </c>
      <c r="D49" s="1036">
        <v>654.07000000000005</v>
      </c>
      <c r="E49" s="1036" t="s">
        <v>410</v>
      </c>
      <c r="F49" s="1036">
        <v>177.8</v>
      </c>
      <c r="G49" s="1036" t="s">
        <v>28</v>
      </c>
      <c r="H49" s="1036" t="s">
        <v>399</v>
      </c>
      <c r="I49" s="1032">
        <v>521.47</v>
      </c>
      <c r="J49" s="1036">
        <v>0</v>
      </c>
      <c r="K49" s="1036"/>
      <c r="L49" s="1036">
        <v>478</v>
      </c>
      <c r="M49" s="1036"/>
      <c r="N49" s="1036">
        <v>0</v>
      </c>
      <c r="O49" s="1036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3"/>
        <v>0</v>
      </c>
      <c r="W49" s="668">
        <v>0</v>
      </c>
      <c r="X49" s="432">
        <f t="shared" si="7"/>
        <v>0</v>
      </c>
      <c r="Y49" s="432">
        <f t="shared" si="4"/>
        <v>0</v>
      </c>
      <c r="Z49" s="432">
        <f t="shared" si="4"/>
        <v>0</v>
      </c>
      <c r="AA49" s="670">
        <f t="shared" si="4"/>
        <v>0</v>
      </c>
      <c r="AB49" s="432">
        <f t="shared" si="5"/>
        <v>0</v>
      </c>
      <c r="AC49" s="670">
        <f t="shared" si="1"/>
        <v>0</v>
      </c>
      <c r="AD49" s="1036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1036">
        <v>36</v>
      </c>
      <c r="B50" s="461" t="s">
        <v>118</v>
      </c>
      <c r="C50" s="1036" t="s">
        <v>408</v>
      </c>
      <c r="D50" s="1036">
        <v>728.77</v>
      </c>
      <c r="E50" s="1036" t="s">
        <v>442</v>
      </c>
      <c r="F50" s="1036">
        <v>177.8</v>
      </c>
      <c r="G50" s="1036" t="s">
        <v>28</v>
      </c>
      <c r="H50" s="1036" t="s">
        <v>52</v>
      </c>
      <c r="I50" s="1032">
        <v>523.04999999999995</v>
      </c>
      <c r="J50" s="1036">
        <v>140</v>
      </c>
      <c r="K50" s="1036"/>
      <c r="L50" s="1036">
        <v>365</v>
      </c>
      <c r="M50" s="1036"/>
      <c r="N50" s="1036">
        <v>7.5</v>
      </c>
      <c r="O50" s="1036"/>
      <c r="P50" s="668">
        <v>27.297686434770107</v>
      </c>
      <c r="Q50" s="668">
        <f t="shared" si="9"/>
        <v>30.8</v>
      </c>
      <c r="R50" s="432">
        <v>3.0666451612903236</v>
      </c>
      <c r="S50" s="432">
        <v>10.793741935483871</v>
      </c>
      <c r="T50" s="670">
        <v>59</v>
      </c>
      <c r="U50" s="668">
        <f t="shared" si="8"/>
        <v>19.239265352491948</v>
      </c>
      <c r="V50" s="668">
        <f t="shared" si="3"/>
        <v>71.588674440984306</v>
      </c>
      <c r="W50" s="668">
        <v>0.3</v>
      </c>
      <c r="X50" s="432">
        <f t="shared" si="7"/>
        <v>0.35044616673648932</v>
      </c>
      <c r="Y50" s="432">
        <f t="shared" si="4"/>
        <v>3.0206454838709687</v>
      </c>
      <c r="Z50" s="432">
        <f t="shared" si="4"/>
        <v>10.631835806451612</v>
      </c>
      <c r="AA50" s="670">
        <f t="shared" si="4"/>
        <v>58.115000000000002</v>
      </c>
      <c r="AB50" s="432">
        <f t="shared" si="5"/>
        <v>19.239265352491948</v>
      </c>
      <c r="AC50" s="670">
        <f t="shared" si="1"/>
        <v>71.588674440984306</v>
      </c>
      <c r="AD50" s="1036">
        <v>31</v>
      </c>
      <c r="AE50" s="432">
        <f t="shared" si="6"/>
        <v>93.640010000000032</v>
      </c>
      <c r="AF50" s="449"/>
    </row>
    <row r="51" spans="1:32" ht="18.75" customHeight="1" x14ac:dyDescent="0.2">
      <c r="A51" s="1036">
        <v>37</v>
      </c>
      <c r="B51" s="461" t="s">
        <v>117</v>
      </c>
      <c r="C51" s="1036" t="s">
        <v>46</v>
      </c>
      <c r="D51" s="1036">
        <v>671.45</v>
      </c>
      <c r="E51" s="1036" t="s">
        <v>128</v>
      </c>
      <c r="F51" s="1036">
        <v>177.8</v>
      </c>
      <c r="G51" s="1036" t="s">
        <v>28</v>
      </c>
      <c r="H51" s="452" t="s">
        <v>363</v>
      </c>
      <c r="I51" s="1032">
        <v>564.18000000000018</v>
      </c>
      <c r="J51" s="1036">
        <v>110</v>
      </c>
      <c r="K51" s="1036"/>
      <c r="L51" s="1036">
        <v>235</v>
      </c>
      <c r="M51" s="1036"/>
      <c r="N51" s="1036">
        <v>0.2</v>
      </c>
      <c r="O51" s="1036"/>
      <c r="P51" s="668">
        <v>43.898516969964177</v>
      </c>
      <c r="Q51" s="668">
        <f>J51*7/100</f>
        <v>7.7</v>
      </c>
      <c r="R51" s="432">
        <v>0.93445161290322587</v>
      </c>
      <c r="S51" s="432">
        <v>10.066870967741934</v>
      </c>
      <c r="T51" s="670">
        <v>2</v>
      </c>
      <c r="U51" s="668">
        <f t="shared" si="8"/>
        <v>2.1402927368130351</v>
      </c>
      <c r="V51" s="668">
        <f t="shared" si="3"/>
        <v>90.717556469159462</v>
      </c>
      <c r="W51" s="668">
        <v>0.2</v>
      </c>
      <c r="X51" s="432">
        <f t="shared" si="7"/>
        <v>1.3073858399664851</v>
      </c>
      <c r="Y51" s="432">
        <f t="shared" si="4"/>
        <v>0.92043483870967746</v>
      </c>
      <c r="Z51" s="432">
        <f t="shared" si="4"/>
        <v>9.9158679032258057</v>
      </c>
      <c r="AA51" s="670">
        <f t="shared" si="4"/>
        <v>1.97</v>
      </c>
      <c r="AB51" s="432">
        <f t="shared" si="5"/>
        <v>2.1402927368130351</v>
      </c>
      <c r="AC51" s="670">
        <f t="shared" si="1"/>
        <v>90.717556469159462</v>
      </c>
      <c r="AD51" s="1036">
        <v>31</v>
      </c>
      <c r="AE51" s="432">
        <f t="shared" si="6"/>
        <v>28.533480000000001</v>
      </c>
      <c r="AF51" s="669"/>
    </row>
    <row r="52" spans="1:32" ht="18.75" customHeight="1" x14ac:dyDescent="0.2">
      <c r="A52" s="1036">
        <v>38</v>
      </c>
      <c r="B52" s="461" t="s">
        <v>130</v>
      </c>
      <c r="C52" s="1036" t="s">
        <v>46</v>
      </c>
      <c r="D52" s="1036">
        <v>622.6</v>
      </c>
      <c r="E52" s="1036" t="s">
        <v>503</v>
      </c>
      <c r="F52" s="1036">
        <v>177.8</v>
      </c>
      <c r="G52" s="1036" t="s">
        <v>28</v>
      </c>
      <c r="H52" s="1036" t="s">
        <v>502</v>
      </c>
      <c r="I52" s="1032">
        <v>572.83000000000004</v>
      </c>
      <c r="J52" s="1036">
        <v>180</v>
      </c>
      <c r="K52" s="1036"/>
      <c r="L52" s="1036">
        <v>253</v>
      </c>
      <c r="M52" s="1036"/>
      <c r="N52" s="1036">
        <v>0.4</v>
      </c>
      <c r="O52" s="1036"/>
      <c r="P52" s="668">
        <v>50.387652144083397</v>
      </c>
      <c r="Q52" s="668">
        <f t="shared" si="9"/>
        <v>27</v>
      </c>
      <c r="R52" s="432">
        <v>1.2054193548387098</v>
      </c>
      <c r="S52" s="432">
        <v>20.545290322580648</v>
      </c>
      <c r="T52" s="670">
        <v>1</v>
      </c>
      <c r="U52" s="668">
        <f t="shared" si="8"/>
        <v>0.82958681224577169</v>
      </c>
      <c r="V52" s="668">
        <f t="shared" si="3"/>
        <v>94.132867747729648</v>
      </c>
      <c r="W52" s="668">
        <v>0</v>
      </c>
      <c r="X52" s="432">
        <f t="shared" si="7"/>
        <v>0.76093667861409808</v>
      </c>
      <c r="Y52" s="432">
        <f t="shared" si="4"/>
        <v>1.1873380645161291</v>
      </c>
      <c r="Z52" s="432">
        <f t="shared" si="4"/>
        <v>20.237110967741938</v>
      </c>
      <c r="AA52" s="670">
        <f t="shared" si="4"/>
        <v>0.98499999999999999</v>
      </c>
      <c r="AB52" s="432">
        <f t="shared" si="5"/>
        <v>0.82958681224577169</v>
      </c>
      <c r="AC52" s="670">
        <f t="shared" si="1"/>
        <v>94.132867747729648</v>
      </c>
      <c r="AD52" s="1036">
        <v>31</v>
      </c>
      <c r="AE52" s="432">
        <f t="shared" si="6"/>
        <v>36.807480000000005</v>
      </c>
      <c r="AF52" s="449"/>
    </row>
    <row r="53" spans="1:32" ht="18.75" customHeight="1" x14ac:dyDescent="0.2">
      <c r="A53" s="1036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036">
        <v>177.8</v>
      </c>
      <c r="G53" s="452" t="s">
        <v>28</v>
      </c>
      <c r="H53" s="452" t="s">
        <v>363</v>
      </c>
      <c r="I53" s="453">
        <v>565.65</v>
      </c>
      <c r="J53" s="452">
        <v>310</v>
      </c>
      <c r="K53" s="452"/>
      <c r="L53" s="452">
        <v>457</v>
      </c>
      <c r="M53" s="452"/>
      <c r="N53" s="1036">
        <v>11</v>
      </c>
      <c r="O53" s="452"/>
      <c r="P53" s="675">
        <v>15.435955965872131</v>
      </c>
      <c r="Q53" s="668">
        <f>J53*7/100</f>
        <v>21.7</v>
      </c>
      <c r="R53" s="456">
        <v>1.6132580645161292</v>
      </c>
      <c r="S53" s="432">
        <v>1.7864838709677417</v>
      </c>
      <c r="T53" s="700">
        <v>0</v>
      </c>
      <c r="U53" s="668">
        <f t="shared" si="8"/>
        <v>0</v>
      </c>
      <c r="V53" s="668">
        <f t="shared" si="3"/>
        <v>9.696466297105486</v>
      </c>
      <c r="W53" s="675">
        <v>0.2</v>
      </c>
      <c r="X53" s="432">
        <f t="shared" si="7"/>
        <v>8.2326445666716208E-2</v>
      </c>
      <c r="Y53" s="432">
        <f t="shared" si="4"/>
        <v>1.5890591935483873</v>
      </c>
      <c r="Z53" s="432">
        <f t="shared" si="4"/>
        <v>1.7596866129032256</v>
      </c>
      <c r="AA53" s="670">
        <f t="shared" si="4"/>
        <v>0</v>
      </c>
      <c r="AB53" s="456">
        <f t="shared" si="5"/>
        <v>0</v>
      </c>
      <c r="AC53" s="670">
        <f t="shared" si="1"/>
        <v>9.696466297105486</v>
      </c>
      <c r="AD53" s="1036">
        <v>31</v>
      </c>
      <c r="AE53" s="456">
        <f t="shared" si="6"/>
        <v>49.260835000000007</v>
      </c>
      <c r="AF53" s="449"/>
    </row>
    <row r="54" spans="1:32" ht="18.75" customHeight="1" x14ac:dyDescent="0.2">
      <c r="A54" s="1036">
        <v>40</v>
      </c>
      <c r="B54" s="461" t="s">
        <v>116</v>
      </c>
      <c r="C54" s="1036" t="s">
        <v>46</v>
      </c>
      <c r="D54" s="1036">
        <v>681.27</v>
      </c>
      <c r="E54" s="1036" t="s">
        <v>455</v>
      </c>
      <c r="F54" s="1036">
        <v>177.8</v>
      </c>
      <c r="G54" s="1036" t="s">
        <v>28</v>
      </c>
      <c r="H54" s="1036" t="s">
        <v>53</v>
      </c>
      <c r="I54" s="1032">
        <v>559.23</v>
      </c>
      <c r="J54" s="1036">
        <v>135</v>
      </c>
      <c r="K54" s="1036"/>
      <c r="L54" s="670">
        <v>212</v>
      </c>
      <c r="M54" s="1036"/>
      <c r="N54" s="1036">
        <v>5.4</v>
      </c>
      <c r="O54" s="1036"/>
      <c r="P54" s="668">
        <v>36.278622934939648</v>
      </c>
      <c r="Q54" s="675">
        <f t="shared" si="9"/>
        <v>17.55</v>
      </c>
      <c r="R54" s="432">
        <v>1.0864838709677418</v>
      </c>
      <c r="S54" s="432">
        <v>4.4602258064516125</v>
      </c>
      <c r="T54" s="670">
        <v>0</v>
      </c>
      <c r="U54" s="668">
        <f t="shared" si="8"/>
        <v>0</v>
      </c>
      <c r="V54" s="668">
        <f t="shared" si="3"/>
        <v>75.64060838811865</v>
      </c>
      <c r="W54" s="668">
        <v>0.3</v>
      </c>
      <c r="X54" s="432">
        <f t="shared" si="7"/>
        <v>0.25414392059553348</v>
      </c>
      <c r="Y54" s="432">
        <f t="shared" si="4"/>
        <v>1.0701866129032256</v>
      </c>
      <c r="Z54" s="432">
        <f t="shared" si="4"/>
        <v>4.3933224193548384</v>
      </c>
      <c r="AA54" s="670">
        <f t="shared" si="4"/>
        <v>0</v>
      </c>
      <c r="AB54" s="432">
        <f t="shared" si="5"/>
        <v>0</v>
      </c>
      <c r="AC54" s="670">
        <f t="shared" si="1"/>
        <v>75.64060838811865</v>
      </c>
      <c r="AD54" s="1036">
        <v>31</v>
      </c>
      <c r="AE54" s="432">
        <f t="shared" si="6"/>
        <v>33.175784999999991</v>
      </c>
      <c r="AF54" s="449"/>
    </row>
    <row r="55" spans="1:32" ht="18.75" customHeight="1" x14ac:dyDescent="0.2">
      <c r="A55" s="1036">
        <v>41</v>
      </c>
      <c r="B55" s="461" t="s">
        <v>120</v>
      </c>
      <c r="C55" s="1036" t="s">
        <v>46</v>
      </c>
      <c r="D55" s="1036">
        <v>668.57</v>
      </c>
      <c r="E55" s="1036" t="s">
        <v>285</v>
      </c>
      <c r="F55" s="1036">
        <v>177.8</v>
      </c>
      <c r="G55" s="1036" t="s">
        <v>28</v>
      </c>
      <c r="H55" s="1036" t="s">
        <v>487</v>
      </c>
      <c r="I55" s="1032">
        <v>567.08000000000004</v>
      </c>
      <c r="J55" s="1036">
        <v>160</v>
      </c>
      <c r="K55" s="1036"/>
      <c r="L55" s="670">
        <v>432</v>
      </c>
      <c r="M55" s="1036"/>
      <c r="N55" s="1036">
        <v>1.3</v>
      </c>
      <c r="O55" s="1036"/>
      <c r="P55" s="668">
        <v>15.977328599526876</v>
      </c>
      <c r="Q55" s="668">
        <f t="shared" si="9"/>
        <v>24</v>
      </c>
      <c r="R55" s="432">
        <v>3.1363548387096771</v>
      </c>
      <c r="S55" s="432">
        <v>4.5032258064516135</v>
      </c>
      <c r="T55" s="670">
        <v>4</v>
      </c>
      <c r="U55" s="668">
        <f t="shared" si="8"/>
        <v>1.2753658963045247</v>
      </c>
      <c r="V55" s="668">
        <f t="shared" si="3"/>
        <v>30.353151862464202</v>
      </c>
      <c r="W55" s="668">
        <v>0.3</v>
      </c>
      <c r="X55" s="432">
        <f t="shared" si="7"/>
        <v>0.18763440860215055</v>
      </c>
      <c r="Y55" s="432">
        <f t="shared" si="4"/>
        <v>3.089309516129032</v>
      </c>
      <c r="Z55" s="432">
        <f t="shared" si="4"/>
        <v>4.4356774193548389</v>
      </c>
      <c r="AA55" s="670">
        <f t="shared" si="4"/>
        <v>3.94</v>
      </c>
      <c r="AB55" s="432">
        <f t="shared" si="5"/>
        <v>1.2753658963045247</v>
      </c>
      <c r="AC55" s="670">
        <f t="shared" si="1"/>
        <v>30.353151862464202</v>
      </c>
      <c r="AD55" s="1036">
        <v>31</v>
      </c>
      <c r="AE55" s="432">
        <f t="shared" si="6"/>
        <v>95.768594999999991</v>
      </c>
      <c r="AF55" s="669"/>
    </row>
    <row r="56" spans="1:32" ht="18.75" customHeight="1" x14ac:dyDescent="0.2">
      <c r="A56" s="1036">
        <v>42</v>
      </c>
      <c r="B56" s="461" t="s">
        <v>114</v>
      </c>
      <c r="C56" s="1036" t="s">
        <v>46</v>
      </c>
      <c r="D56" s="1036">
        <v>584.25</v>
      </c>
      <c r="E56" s="1036" t="s">
        <v>419</v>
      </c>
      <c r="F56" s="1036">
        <v>177.8</v>
      </c>
      <c r="G56" s="1036" t="s">
        <v>28</v>
      </c>
      <c r="H56" s="1036" t="s">
        <v>492</v>
      </c>
      <c r="I56" s="1032">
        <v>566.38000000000022</v>
      </c>
      <c r="J56" s="1036">
        <v>85</v>
      </c>
      <c r="K56" s="1036"/>
      <c r="L56" s="1036">
        <v>92</v>
      </c>
      <c r="M56" s="1036"/>
      <c r="N56" s="1036">
        <v>0.7</v>
      </c>
      <c r="O56" s="1036"/>
      <c r="P56" s="668">
        <v>52.27734397937143</v>
      </c>
      <c r="Q56" s="668">
        <f>J56*7/100</f>
        <v>5.95</v>
      </c>
      <c r="R56" s="432">
        <v>1.2954193548387096</v>
      </c>
      <c r="S56" s="432">
        <v>5.4572580645161297</v>
      </c>
      <c r="T56" s="670">
        <v>2</v>
      </c>
      <c r="U56" s="668">
        <f t="shared" si="8"/>
        <v>1.5439015887245382</v>
      </c>
      <c r="V56" s="668">
        <f t="shared" si="3"/>
        <v>76.262450125609575</v>
      </c>
      <c r="W56" s="668">
        <v>0.3</v>
      </c>
      <c r="X56" s="432">
        <f t="shared" si="7"/>
        <v>0.91718622933044192</v>
      </c>
      <c r="Y56" s="432">
        <f t="shared" si="4"/>
        <v>1.275988064516129</v>
      </c>
      <c r="Z56" s="432">
        <f t="shared" si="4"/>
        <v>5.3753991935483878</v>
      </c>
      <c r="AA56" s="670">
        <f t="shared" si="4"/>
        <v>1.97</v>
      </c>
      <c r="AB56" s="432">
        <f t="shared" si="5"/>
        <v>1.5439015887245382</v>
      </c>
      <c r="AC56" s="670">
        <v>0</v>
      </c>
      <c r="AD56" s="1036">
        <v>31</v>
      </c>
      <c r="AE56" s="432">
        <f t="shared" si="6"/>
        <v>39.555630000000001</v>
      </c>
      <c r="AF56" s="669"/>
    </row>
    <row r="57" spans="1:32" ht="18.75" customHeight="1" x14ac:dyDescent="0.2">
      <c r="A57" s="1036">
        <v>43</v>
      </c>
      <c r="B57" s="461" t="s">
        <v>106</v>
      </c>
      <c r="C57" s="1036" t="s">
        <v>46</v>
      </c>
      <c r="D57" s="1036">
        <v>642.52</v>
      </c>
      <c r="E57" s="1036" t="s">
        <v>457</v>
      </c>
      <c r="F57" s="1036">
        <v>177.8</v>
      </c>
      <c r="G57" s="1036" t="s">
        <v>28</v>
      </c>
      <c r="H57" s="1036" t="s">
        <v>456</v>
      </c>
      <c r="I57" s="1032">
        <v>546.55999999999995</v>
      </c>
      <c r="J57" s="1036">
        <v>200</v>
      </c>
      <c r="K57" s="1036"/>
      <c r="L57" s="1036">
        <v>188</v>
      </c>
      <c r="M57" s="1036"/>
      <c r="N57" s="1036">
        <v>7.2</v>
      </c>
      <c r="O57" s="1036"/>
      <c r="P57" s="668">
        <v>44.323045037335021</v>
      </c>
      <c r="Q57" s="668">
        <f>J57*23/100</f>
        <v>46</v>
      </c>
      <c r="R57" s="432">
        <v>2.0736774193548388</v>
      </c>
      <c r="S57" s="432">
        <v>17.38616129032258</v>
      </c>
      <c r="T57" s="670">
        <v>9</v>
      </c>
      <c r="U57" s="668">
        <f t="shared" si="8"/>
        <v>4.3401157364196372</v>
      </c>
      <c r="V57" s="668">
        <f t="shared" si="3"/>
        <v>88.072827666052532</v>
      </c>
      <c r="W57" s="668">
        <v>0.3</v>
      </c>
      <c r="X57" s="432">
        <f t="shared" si="7"/>
        <v>0.37796002805049084</v>
      </c>
      <c r="Y57" s="432">
        <f t="shared" si="4"/>
        <v>2.0425722580645163</v>
      </c>
      <c r="Z57" s="432">
        <f t="shared" si="4"/>
        <v>17.125368870967741</v>
      </c>
      <c r="AA57" s="670">
        <f t="shared" si="4"/>
        <v>8.8650000000000002</v>
      </c>
      <c r="AB57" s="432">
        <f t="shared" si="5"/>
        <v>4.3401157364196372</v>
      </c>
      <c r="AC57" s="670">
        <f t="shared" si="1"/>
        <v>88.072827666052532</v>
      </c>
      <c r="AD57" s="1036">
        <v>31</v>
      </c>
      <c r="AE57" s="432">
        <f t="shared" si="6"/>
        <v>63.319740000000003</v>
      </c>
      <c r="AF57" s="449"/>
    </row>
    <row r="58" spans="1:32" ht="18.75" customHeight="1" x14ac:dyDescent="0.2">
      <c r="A58" s="1036">
        <v>44</v>
      </c>
      <c r="B58" s="461" t="s">
        <v>105</v>
      </c>
      <c r="C58" s="1036" t="s">
        <v>46</v>
      </c>
      <c r="D58" s="1036">
        <v>609.6</v>
      </c>
      <c r="E58" s="1036" t="s">
        <v>110</v>
      </c>
      <c r="F58" s="1036">
        <v>177.8</v>
      </c>
      <c r="G58" s="1036" t="s">
        <v>28</v>
      </c>
      <c r="H58" s="1036" t="s">
        <v>487</v>
      </c>
      <c r="I58" s="1032">
        <v>505.30000000000013</v>
      </c>
      <c r="J58" s="1036">
        <v>85</v>
      </c>
      <c r="K58" s="1036"/>
      <c r="L58" s="1036">
        <v>382</v>
      </c>
      <c r="M58" s="1036"/>
      <c r="N58" s="1036">
        <v>2.1</v>
      </c>
      <c r="O58" s="1036"/>
      <c r="P58" s="668">
        <v>12.957248526527751</v>
      </c>
      <c r="Q58" s="668">
        <f t="shared" si="9"/>
        <v>12.75</v>
      </c>
      <c r="R58" s="432">
        <v>1.4745161290322586</v>
      </c>
      <c r="S58" s="432">
        <v>1.4959677419354835</v>
      </c>
      <c r="T58" s="670">
        <v>0</v>
      </c>
      <c r="U58" s="668">
        <f t="shared" si="8"/>
        <v>0</v>
      </c>
      <c r="V58" s="668">
        <f t="shared" si="3"/>
        <v>1.4339622641508862</v>
      </c>
      <c r="W58" s="668">
        <v>0</v>
      </c>
      <c r="X58" s="432">
        <f t="shared" si="7"/>
        <v>0.11733080328905754</v>
      </c>
      <c r="Y58" s="432">
        <f t="shared" si="4"/>
        <v>1.4523983870967747</v>
      </c>
      <c r="Z58" s="432">
        <f t="shared" si="4"/>
        <v>1.4735282258064513</v>
      </c>
      <c r="AA58" s="670">
        <f t="shared" si="4"/>
        <v>0</v>
      </c>
      <c r="AB58" s="432">
        <v>0</v>
      </c>
      <c r="AC58" s="670">
        <v>0</v>
      </c>
      <c r="AD58" s="1036">
        <v>31</v>
      </c>
      <c r="AE58" s="432">
        <f t="shared" si="6"/>
        <v>45.024350000000013</v>
      </c>
      <c r="AF58" s="669"/>
    </row>
    <row r="59" spans="1:32" ht="18.75" customHeight="1" x14ac:dyDescent="0.2">
      <c r="A59" s="1036">
        <v>45</v>
      </c>
      <c r="B59" s="461" t="s">
        <v>104</v>
      </c>
      <c r="C59" s="1036" t="s">
        <v>381</v>
      </c>
      <c r="D59" s="1036">
        <v>707.14</v>
      </c>
      <c r="E59" s="1032" t="s">
        <v>382</v>
      </c>
      <c r="F59" s="1036">
        <v>177.8</v>
      </c>
      <c r="G59" s="1036" t="s">
        <v>28</v>
      </c>
      <c r="H59" s="1036" t="s">
        <v>383</v>
      </c>
      <c r="I59" s="1032">
        <v>682.43000000000052</v>
      </c>
      <c r="J59" s="1036">
        <v>0</v>
      </c>
      <c r="K59" s="1036">
        <v>548</v>
      </c>
      <c r="L59" s="1036"/>
      <c r="M59" s="1036">
        <v>6.9</v>
      </c>
      <c r="N59" s="1036"/>
      <c r="O59" s="1036"/>
      <c r="P59" s="668"/>
      <c r="Q59" s="668">
        <f>J59*3/100</f>
        <v>0</v>
      </c>
      <c r="R59" s="432">
        <v>0</v>
      </c>
      <c r="S59" s="432">
        <v>0</v>
      </c>
      <c r="T59" s="670">
        <v>0</v>
      </c>
      <c r="U59" s="668">
        <f t="shared" si="8"/>
        <v>0</v>
      </c>
      <c r="V59" s="668">
        <f t="shared" si="3"/>
        <v>0</v>
      </c>
      <c r="W59" s="668">
        <v>0</v>
      </c>
      <c r="X59" s="432">
        <f t="shared" si="7"/>
        <v>0</v>
      </c>
      <c r="Y59" s="432">
        <f t="shared" si="4"/>
        <v>0</v>
      </c>
      <c r="Z59" s="432">
        <f t="shared" si="4"/>
        <v>0</v>
      </c>
      <c r="AA59" s="670">
        <f t="shared" si="4"/>
        <v>0</v>
      </c>
      <c r="AB59" s="432">
        <f t="shared" si="5"/>
        <v>0</v>
      </c>
      <c r="AC59" s="670">
        <f t="shared" si="1"/>
        <v>0</v>
      </c>
      <c r="AD59" s="1036">
        <v>31</v>
      </c>
      <c r="AE59" s="432">
        <f t="shared" si="6"/>
        <v>0</v>
      </c>
      <c r="AF59" s="669" t="s">
        <v>335</v>
      </c>
    </row>
    <row r="60" spans="1:32" ht="18.600000000000001" customHeight="1" x14ac:dyDescent="0.3">
      <c r="A60" s="1036">
        <v>46</v>
      </c>
      <c r="B60" s="1041" t="s">
        <v>158</v>
      </c>
      <c r="C60" s="1036" t="s">
        <v>46</v>
      </c>
      <c r="D60" s="1032">
        <v>621.12</v>
      </c>
      <c r="E60" s="1032" t="s">
        <v>232</v>
      </c>
      <c r="F60" s="1036">
        <v>177.8</v>
      </c>
      <c r="G60" s="1036" t="s">
        <v>28</v>
      </c>
      <c r="H60" s="1036" t="s">
        <v>403</v>
      </c>
      <c r="I60" s="1032">
        <v>544.41999999999996</v>
      </c>
      <c r="J60" s="1032">
        <v>275</v>
      </c>
      <c r="K60" s="1032"/>
      <c r="L60" s="1032">
        <v>463</v>
      </c>
      <c r="M60" s="1032"/>
      <c r="N60" s="1036">
        <v>8.4</v>
      </c>
      <c r="O60" s="1032"/>
      <c r="P60" s="448">
        <v>16.237963609289636</v>
      </c>
      <c r="Q60" s="668">
        <f>J60*23/100</f>
        <v>63.25</v>
      </c>
      <c r="R60" s="432">
        <v>5.7096129032258069</v>
      </c>
      <c r="S60" s="432">
        <v>7.8902903225806469</v>
      </c>
      <c r="T60" s="492">
        <v>101</v>
      </c>
      <c r="U60" s="668">
        <f t="shared" si="8"/>
        <v>17.689465417688336</v>
      </c>
      <c r="V60" s="668">
        <f t="shared" si="3"/>
        <v>27.637480120523804</v>
      </c>
      <c r="W60" s="668">
        <v>0.2</v>
      </c>
      <c r="X60" s="432">
        <f t="shared" si="7"/>
        <v>0.124747673084279</v>
      </c>
      <c r="Y60" s="432">
        <f t="shared" si="4"/>
        <v>5.6239687096774196</v>
      </c>
      <c r="Z60" s="432">
        <f t="shared" si="4"/>
        <v>7.7719359677419373</v>
      </c>
      <c r="AA60" s="670">
        <f t="shared" si="4"/>
        <v>99.484999999999999</v>
      </c>
      <c r="AB60" s="432">
        <f t="shared" si="5"/>
        <v>17.689465417688336</v>
      </c>
      <c r="AC60" s="670">
        <f t="shared" si="1"/>
        <v>27.637480120523804</v>
      </c>
      <c r="AD60" s="1036">
        <v>31</v>
      </c>
      <c r="AE60" s="432">
        <f>Y60*AD60</f>
        <v>174.34303</v>
      </c>
      <c r="AF60" s="458"/>
    </row>
    <row r="61" spans="1:32" ht="18.75" customHeight="1" x14ac:dyDescent="0.2">
      <c r="A61" s="1036">
        <v>47</v>
      </c>
      <c r="B61" s="1041" t="s">
        <v>160</v>
      </c>
      <c r="C61" s="1036" t="s">
        <v>304</v>
      </c>
      <c r="D61" s="1032">
        <v>677.33</v>
      </c>
      <c r="E61" s="1032" t="s">
        <v>315</v>
      </c>
      <c r="F61" s="1036">
        <v>177.8</v>
      </c>
      <c r="G61" s="1036" t="s">
        <v>28</v>
      </c>
      <c r="H61" s="1036" t="s">
        <v>52</v>
      </c>
      <c r="I61" s="1032">
        <v>599.4400000000004</v>
      </c>
      <c r="J61" s="1032">
        <v>135</v>
      </c>
      <c r="K61" s="1032"/>
      <c r="L61" s="1036">
        <v>165</v>
      </c>
      <c r="M61" s="1032"/>
      <c r="N61" s="1036">
        <v>8</v>
      </c>
      <c r="O61" s="1032"/>
      <c r="P61" s="448">
        <v>49.760394055761445</v>
      </c>
      <c r="Q61" s="668">
        <f t="shared" si="9"/>
        <v>29.7</v>
      </c>
      <c r="R61" s="432">
        <v>1.7741935483870969E-3</v>
      </c>
      <c r="S61" s="432">
        <v>1.3892903225806448</v>
      </c>
      <c r="T61" s="492">
        <v>0</v>
      </c>
      <c r="U61" s="668">
        <f t="shared" si="8"/>
        <v>0</v>
      </c>
      <c r="V61" s="668">
        <f t="shared" si="3"/>
        <v>99.87229497538776</v>
      </c>
      <c r="W61" s="668">
        <v>0</v>
      </c>
      <c r="X61" s="432">
        <f t="shared" si="7"/>
        <v>4.6777451938742248E-2</v>
      </c>
      <c r="Y61" s="432">
        <f t="shared" si="4"/>
        <v>1.7475806451612904E-3</v>
      </c>
      <c r="Z61" s="432">
        <f t="shared" si="4"/>
        <v>1.368450967741935</v>
      </c>
      <c r="AA61" s="670">
        <f t="shared" si="4"/>
        <v>0</v>
      </c>
      <c r="AB61" s="432">
        <f t="shared" si="5"/>
        <v>0</v>
      </c>
      <c r="AC61" s="670">
        <f t="shared" si="1"/>
        <v>99.87229497538776</v>
      </c>
      <c r="AD61" s="1036">
        <v>31</v>
      </c>
      <c r="AE61" s="432">
        <f>Y61*AD61</f>
        <v>5.4175000000000001E-2</v>
      </c>
      <c r="AF61" s="669"/>
    </row>
    <row r="62" spans="1:32" ht="18.75" customHeight="1" x14ac:dyDescent="0.2">
      <c r="A62" s="1036">
        <v>48</v>
      </c>
      <c r="B62" s="461" t="s">
        <v>164</v>
      </c>
      <c r="C62" s="1036" t="s">
        <v>46</v>
      </c>
      <c r="D62" s="1032">
        <v>678.47</v>
      </c>
      <c r="E62" s="1032" t="s">
        <v>233</v>
      </c>
      <c r="F62" s="1036">
        <v>177.8</v>
      </c>
      <c r="G62" s="1036" t="s">
        <v>28</v>
      </c>
      <c r="H62" s="1036" t="s">
        <v>487</v>
      </c>
      <c r="I62" s="1032">
        <v>565.48000000000013</v>
      </c>
      <c r="J62" s="1032">
        <v>100</v>
      </c>
      <c r="K62" s="1032"/>
      <c r="L62" s="1032">
        <v>339</v>
      </c>
      <c r="M62" s="1032"/>
      <c r="N62" s="1036">
        <v>7.9</v>
      </c>
      <c r="O62" s="1032"/>
      <c r="P62" s="668">
        <v>17.919805945666621</v>
      </c>
      <c r="Q62" s="668">
        <f t="shared" si="9"/>
        <v>15</v>
      </c>
      <c r="R62" s="432">
        <v>2.915</v>
      </c>
      <c r="S62" s="432">
        <v>9.6669354838709669</v>
      </c>
      <c r="T62" s="670">
        <v>1</v>
      </c>
      <c r="U62" s="668">
        <f t="shared" si="8"/>
        <v>0.34305317324185247</v>
      </c>
      <c r="V62" s="668">
        <f t="shared" si="3"/>
        <v>69.845666138316503</v>
      </c>
      <c r="W62" s="668">
        <v>0.5</v>
      </c>
      <c r="X62" s="432">
        <f t="shared" si="7"/>
        <v>0.6444623655913978</v>
      </c>
      <c r="Y62" s="432">
        <f t="shared" si="4"/>
        <v>2.8712749999999998</v>
      </c>
      <c r="Z62" s="432">
        <f t="shared" si="4"/>
        <v>9.5219314516129021</v>
      </c>
      <c r="AA62" s="670">
        <f t="shared" si="4"/>
        <v>0.98499999999999999</v>
      </c>
      <c r="AB62" s="432">
        <f t="shared" si="5"/>
        <v>0.34305317324185247</v>
      </c>
      <c r="AC62" s="670">
        <f t="shared" si="1"/>
        <v>69.845666138316503</v>
      </c>
      <c r="AD62" s="1036">
        <v>31</v>
      </c>
      <c r="AE62" s="432">
        <f t="shared" ref="AE62:AE77" si="10">Y62*AD62</f>
        <v>89.009524999999996</v>
      </c>
      <c r="AF62" s="669"/>
    </row>
    <row r="63" spans="1:32" ht="18.75" customHeight="1" x14ac:dyDescent="0.2">
      <c r="A63" s="1036">
        <v>49</v>
      </c>
      <c r="B63" s="461" t="s">
        <v>61</v>
      </c>
      <c r="C63" s="1036" t="s">
        <v>46</v>
      </c>
      <c r="D63" s="1036">
        <v>667.18</v>
      </c>
      <c r="E63" s="1036" t="s">
        <v>96</v>
      </c>
      <c r="F63" s="1036">
        <v>177.8</v>
      </c>
      <c r="G63" s="1036" t="s">
        <v>28</v>
      </c>
      <c r="H63" s="1036" t="s">
        <v>52</v>
      </c>
      <c r="I63" s="1032">
        <v>534.21</v>
      </c>
      <c r="J63" s="1036">
        <v>275</v>
      </c>
      <c r="K63" s="1036"/>
      <c r="L63" s="1036">
        <v>450</v>
      </c>
      <c r="M63" s="1036"/>
      <c r="N63" s="1036">
        <v>4.5999999999999996</v>
      </c>
      <c r="O63" s="1036"/>
      <c r="P63" s="668">
        <v>15.839049551597217</v>
      </c>
      <c r="Q63" s="668">
        <f t="shared" si="9"/>
        <v>60.5</v>
      </c>
      <c r="R63" s="432">
        <v>6.7236774193548383</v>
      </c>
      <c r="S63" s="432">
        <v>11.450483870967739</v>
      </c>
      <c r="T63" s="670">
        <v>107</v>
      </c>
      <c r="U63" s="668">
        <f t="shared" si="8"/>
        <v>15.913910398495448</v>
      </c>
      <c r="V63" s="668">
        <f t="shared" si="3"/>
        <v>41.280407927542143</v>
      </c>
      <c r="W63" s="668">
        <v>0.2</v>
      </c>
      <c r="X63" s="432">
        <f t="shared" si="7"/>
        <v>0.18926419621434279</v>
      </c>
      <c r="Y63" s="432">
        <f t="shared" si="4"/>
        <v>6.6228222580645157</v>
      </c>
      <c r="Z63" s="432">
        <f t="shared" si="4"/>
        <v>11.278726612903222</v>
      </c>
      <c r="AA63" s="670">
        <f t="shared" si="4"/>
        <v>105.395</v>
      </c>
      <c r="AB63" s="432">
        <f t="shared" si="5"/>
        <v>15.913910398495448</v>
      </c>
      <c r="AC63" s="670">
        <f t="shared" si="1"/>
        <v>41.280407927542143</v>
      </c>
      <c r="AD63" s="1036">
        <v>31</v>
      </c>
      <c r="AE63" s="432">
        <f t="shared" si="10"/>
        <v>205.30749</v>
      </c>
      <c r="AF63" s="449"/>
    </row>
    <row r="64" spans="1:32" ht="18.75" customHeight="1" x14ac:dyDescent="0.2">
      <c r="A64" s="1036">
        <v>50</v>
      </c>
      <c r="B64" s="461" t="s">
        <v>64</v>
      </c>
      <c r="C64" s="1036" t="s">
        <v>46</v>
      </c>
      <c r="D64" s="1036">
        <v>672.5</v>
      </c>
      <c r="E64" s="1036" t="s">
        <v>444</v>
      </c>
      <c r="F64" s="1036">
        <v>177.8</v>
      </c>
      <c r="G64" s="1036" t="s">
        <v>28</v>
      </c>
      <c r="H64" s="1036" t="s">
        <v>49</v>
      </c>
      <c r="I64" s="1032">
        <v>523.78</v>
      </c>
      <c r="J64" s="1036">
        <v>305</v>
      </c>
      <c r="K64" s="1036"/>
      <c r="L64" s="1036">
        <v>451</v>
      </c>
      <c r="M64" s="1036"/>
      <c r="N64" s="1036">
        <v>8.3000000000000007</v>
      </c>
      <c r="O64" s="1036"/>
      <c r="P64" s="668">
        <v>21.289712231492167</v>
      </c>
      <c r="Q64" s="668">
        <f t="shared" si="9"/>
        <v>97.6</v>
      </c>
      <c r="R64" s="432">
        <v>8.5321290322580641</v>
      </c>
      <c r="S64" s="432">
        <v>11.286258064516129</v>
      </c>
      <c r="T64" s="670">
        <v>2627</v>
      </c>
      <c r="U64" s="668">
        <f t="shared" si="8"/>
        <v>307.89501542556411</v>
      </c>
      <c r="V64" s="668">
        <f t="shared" si="3"/>
        <v>24.402499185421046</v>
      </c>
      <c r="W64" s="668">
        <v>0.2</v>
      </c>
      <c r="X64" s="432">
        <f t="shared" si="7"/>
        <v>0.11563789000528822</v>
      </c>
      <c r="Y64" s="432">
        <f t="shared" si="4"/>
        <v>8.4041470967741922</v>
      </c>
      <c r="Z64" s="432">
        <f t="shared" si="4"/>
        <v>11.116964193548387</v>
      </c>
      <c r="AA64" s="670">
        <f t="shared" si="4"/>
        <v>2587.5949999999998</v>
      </c>
      <c r="AB64" s="432">
        <f t="shared" si="5"/>
        <v>307.89501542556411</v>
      </c>
      <c r="AC64" s="670">
        <f t="shared" si="1"/>
        <v>24.402499185421046</v>
      </c>
      <c r="AD64" s="1036">
        <v>31</v>
      </c>
      <c r="AE64" s="432">
        <f t="shared" si="10"/>
        <v>260.52855999999997</v>
      </c>
      <c r="AF64" s="449"/>
    </row>
    <row r="65" spans="1:32" ht="18.75" customHeight="1" x14ac:dyDescent="0.2">
      <c r="A65" s="1036">
        <v>51</v>
      </c>
      <c r="B65" s="461" t="s">
        <v>156</v>
      </c>
      <c r="C65" s="1036" t="s">
        <v>46</v>
      </c>
      <c r="D65" s="1036">
        <v>679.54</v>
      </c>
      <c r="E65" s="1036" t="s">
        <v>166</v>
      </c>
      <c r="F65" s="1036">
        <v>177.8</v>
      </c>
      <c r="G65" s="1036" t="s">
        <v>28</v>
      </c>
      <c r="H65" s="1036" t="s">
        <v>52</v>
      </c>
      <c r="I65" s="1032">
        <v>530.98</v>
      </c>
      <c r="J65" s="1036">
        <v>358</v>
      </c>
      <c r="K65" s="1036"/>
      <c r="L65" s="1036">
        <v>453</v>
      </c>
      <c r="M65" s="1036"/>
      <c r="N65" s="1036">
        <v>4</v>
      </c>
      <c r="O65" s="1036"/>
      <c r="P65" s="668">
        <v>16.658955800256862</v>
      </c>
      <c r="Q65" s="668">
        <f t="shared" si="9"/>
        <v>78.760000000000005</v>
      </c>
      <c r="R65" s="432">
        <v>5.8372903225806452</v>
      </c>
      <c r="S65" s="432">
        <v>9.7104516129032277</v>
      </c>
      <c r="T65" s="670">
        <v>34</v>
      </c>
      <c r="U65" s="668">
        <f t="shared" si="8"/>
        <v>5.8246203496982689</v>
      </c>
      <c r="V65" s="668">
        <f t="shared" si="3"/>
        <v>39.886520676092289</v>
      </c>
      <c r="W65" s="668">
        <v>0.2</v>
      </c>
      <c r="X65" s="432">
        <f t="shared" si="7"/>
        <v>0.12329166598404301</v>
      </c>
      <c r="Y65" s="432">
        <f t="shared" si="4"/>
        <v>5.749730967741935</v>
      </c>
      <c r="Z65" s="432">
        <f t="shared" si="4"/>
        <v>9.5647948387096786</v>
      </c>
      <c r="AA65" s="670">
        <f t="shared" si="4"/>
        <v>33.49</v>
      </c>
      <c r="AB65" s="432">
        <f t="shared" si="5"/>
        <v>5.8246203496982689</v>
      </c>
      <c r="AC65" s="670">
        <f t="shared" si="1"/>
        <v>39.886520676092289</v>
      </c>
      <c r="AD65" s="1036">
        <v>31</v>
      </c>
      <c r="AE65" s="432">
        <f t="shared" si="10"/>
        <v>178.24166</v>
      </c>
      <c r="AF65" s="449"/>
    </row>
    <row r="66" spans="1:32" ht="18.75" customHeight="1" x14ac:dyDescent="0.2">
      <c r="A66" s="1036">
        <v>52</v>
      </c>
      <c r="B66" s="461" t="s">
        <v>169</v>
      </c>
      <c r="C66" s="1036" t="s">
        <v>46</v>
      </c>
      <c r="D66" s="1036">
        <v>647.37</v>
      </c>
      <c r="E66" s="1036" t="s">
        <v>463</v>
      </c>
      <c r="F66" s="1036">
        <v>177.8</v>
      </c>
      <c r="G66" s="1036" t="s">
        <v>28</v>
      </c>
      <c r="H66" s="1036" t="s">
        <v>487</v>
      </c>
      <c r="I66" s="1032">
        <v>538.13999999999976</v>
      </c>
      <c r="J66" s="1036">
        <v>85</v>
      </c>
      <c r="K66" s="1036"/>
      <c r="L66" s="1036">
        <v>355</v>
      </c>
      <c r="M66" s="1036"/>
      <c r="N66" s="1036">
        <v>8</v>
      </c>
      <c r="O66" s="1036"/>
      <c r="P66" s="668">
        <v>17.453467031976455</v>
      </c>
      <c r="Q66" s="668">
        <f t="shared" si="9"/>
        <v>12.75</v>
      </c>
      <c r="R66" s="432">
        <v>1.9486538461538461</v>
      </c>
      <c r="S66" s="432">
        <v>6.0284615384615403</v>
      </c>
      <c r="T66" s="670">
        <v>4</v>
      </c>
      <c r="U66" s="668">
        <f t="shared" si="8"/>
        <v>2.052699101944143</v>
      </c>
      <c r="V66" s="668">
        <f t="shared" si="3"/>
        <v>67.675768789077466</v>
      </c>
      <c r="W66" s="668">
        <v>0.3</v>
      </c>
      <c r="X66" s="432">
        <f t="shared" si="7"/>
        <v>0.47282051282051296</v>
      </c>
      <c r="Y66" s="432">
        <f t="shared" si="4"/>
        <v>1.9194240384615384</v>
      </c>
      <c r="Z66" s="432">
        <f t="shared" si="4"/>
        <v>5.9380346153846171</v>
      </c>
      <c r="AA66" s="670">
        <f t="shared" si="4"/>
        <v>3.94</v>
      </c>
      <c r="AB66" s="432">
        <f t="shared" si="5"/>
        <v>2.052699101944143</v>
      </c>
      <c r="AC66" s="670">
        <f t="shared" si="1"/>
        <v>67.675768789077466</v>
      </c>
      <c r="AD66" s="1036">
        <v>31</v>
      </c>
      <c r="AE66" s="432">
        <f>Y66*AD66</f>
        <v>59.502145192307694</v>
      </c>
      <c r="AF66" s="449"/>
    </row>
    <row r="67" spans="1:32" ht="18.75" customHeight="1" x14ac:dyDescent="0.2">
      <c r="A67" s="1036">
        <v>53</v>
      </c>
      <c r="B67" s="461" t="s">
        <v>62</v>
      </c>
      <c r="C67" s="1036" t="s">
        <v>46</v>
      </c>
      <c r="D67" s="1036">
        <v>673.73</v>
      </c>
      <c r="E67" s="1036" t="s">
        <v>97</v>
      </c>
      <c r="F67" s="1036">
        <v>177.8</v>
      </c>
      <c r="G67" s="1036" t="s">
        <v>28</v>
      </c>
      <c r="H67" s="1036" t="s">
        <v>218</v>
      </c>
      <c r="I67" s="1032">
        <v>543</v>
      </c>
      <c r="J67" s="1036">
        <v>275</v>
      </c>
      <c r="K67" s="1036"/>
      <c r="L67" s="1036">
        <v>426</v>
      </c>
      <c r="M67" s="1036"/>
      <c r="N67" s="1036">
        <v>1.4</v>
      </c>
      <c r="O67" s="1036"/>
      <c r="P67" s="668">
        <v>15.874407887512124</v>
      </c>
      <c r="Q67" s="668">
        <f t="shared" si="9"/>
        <v>88</v>
      </c>
      <c r="R67" s="432">
        <v>7.9613870967741924</v>
      </c>
      <c r="S67" s="432">
        <v>15.361354838709682</v>
      </c>
      <c r="T67" s="670">
        <v>50</v>
      </c>
      <c r="U67" s="668">
        <f t="shared" si="8"/>
        <v>6.2803126380149354</v>
      </c>
      <c r="V67" s="668">
        <f t="shared" si="3"/>
        <v>48.172624222493837</v>
      </c>
      <c r="W67" s="668">
        <v>0.3</v>
      </c>
      <c r="X67" s="432">
        <f t="shared" si="7"/>
        <v>0.17456085043988276</v>
      </c>
      <c r="Y67" s="432">
        <f t="shared" si="4"/>
        <v>7.8419662903225795</v>
      </c>
      <c r="Z67" s="432">
        <f t="shared" si="4"/>
        <v>15.130934516129036</v>
      </c>
      <c r="AA67" s="670">
        <f t="shared" si="4"/>
        <v>49.25</v>
      </c>
      <c r="AB67" s="432">
        <f t="shared" si="5"/>
        <v>6.2803126380149354</v>
      </c>
      <c r="AC67" s="670">
        <f t="shared" si="1"/>
        <v>48.172624222493837</v>
      </c>
      <c r="AD67" s="1036">
        <v>31</v>
      </c>
      <c r="AE67" s="432">
        <f t="shared" si="10"/>
        <v>243.10095499999997</v>
      </c>
      <c r="AF67" s="669"/>
    </row>
    <row r="68" spans="1:32" ht="18.75" customHeight="1" x14ac:dyDescent="0.2">
      <c r="A68" s="1036">
        <v>54</v>
      </c>
      <c r="B68" s="461" t="s">
        <v>157</v>
      </c>
      <c r="C68" s="1036" t="s">
        <v>46</v>
      </c>
      <c r="D68" s="1036">
        <v>676.73</v>
      </c>
      <c r="E68" s="1036" t="s">
        <v>179</v>
      </c>
      <c r="F68" s="1036">
        <v>177.8</v>
      </c>
      <c r="G68" s="1036" t="s">
        <v>28</v>
      </c>
      <c r="H68" s="1036" t="s">
        <v>218</v>
      </c>
      <c r="I68" s="1032">
        <v>579.14</v>
      </c>
      <c r="J68" s="1036">
        <v>260</v>
      </c>
      <c r="K68" s="1036"/>
      <c r="L68" s="1036">
        <v>171</v>
      </c>
      <c r="M68" s="1036"/>
      <c r="N68" s="1036">
        <v>8.9</v>
      </c>
      <c r="O68" s="1036"/>
      <c r="P68" s="668">
        <v>46.145170029542328</v>
      </c>
      <c r="Q68" s="668">
        <f t="shared" si="9"/>
        <v>83.2</v>
      </c>
      <c r="R68" s="432">
        <v>11.614290322580645</v>
      </c>
      <c r="S68" s="432">
        <v>42.600064516129024</v>
      </c>
      <c r="T68" s="670">
        <v>149</v>
      </c>
      <c r="U68" s="668">
        <f t="shared" si="8"/>
        <v>12.829023200006665</v>
      </c>
      <c r="V68" s="668">
        <f t="shared" si="3"/>
        <v>72.736448983115281</v>
      </c>
      <c r="W68" s="668">
        <v>0.3</v>
      </c>
      <c r="X68" s="432">
        <f t="shared" si="7"/>
        <v>0.51202000620347388</v>
      </c>
      <c r="Y68" s="432">
        <f t="shared" si="4"/>
        <v>11.440075967741935</v>
      </c>
      <c r="Z68" s="432">
        <f t="shared" si="4"/>
        <v>41.961063548387088</v>
      </c>
      <c r="AA68" s="670">
        <f t="shared" si="4"/>
        <v>146.76499999999999</v>
      </c>
      <c r="AB68" s="432">
        <f t="shared" si="5"/>
        <v>12.829023200006665</v>
      </c>
      <c r="AC68" s="670">
        <f t="shared" si="1"/>
        <v>72.736448983115281</v>
      </c>
      <c r="AD68" s="1036">
        <v>31</v>
      </c>
      <c r="AE68" s="432">
        <f t="shared" si="10"/>
        <v>354.64235499999995</v>
      </c>
      <c r="AF68" s="676"/>
    </row>
    <row r="69" spans="1:32" ht="18.75" customHeight="1" x14ac:dyDescent="0.2">
      <c r="A69" s="1036">
        <v>55</v>
      </c>
      <c r="B69" s="461" t="s">
        <v>159</v>
      </c>
      <c r="C69" s="1036" t="s">
        <v>46</v>
      </c>
      <c r="D69" s="1036">
        <v>676</v>
      </c>
      <c r="E69" s="1036" t="s">
        <v>167</v>
      </c>
      <c r="F69" s="1036">
        <v>177.8</v>
      </c>
      <c r="G69" s="1036" t="s">
        <v>28</v>
      </c>
      <c r="H69" s="1036" t="s">
        <v>342</v>
      </c>
      <c r="I69" s="1032">
        <v>509.61000000000024</v>
      </c>
      <c r="J69" s="1036">
        <v>300</v>
      </c>
      <c r="K69" s="1036"/>
      <c r="L69" s="1036">
        <v>456</v>
      </c>
      <c r="M69" s="1036"/>
      <c r="N69" s="1036">
        <v>9.3000000000000007</v>
      </c>
      <c r="O69" s="1036"/>
      <c r="P69" s="668">
        <v>20.699407087181768</v>
      </c>
      <c r="Q69" s="668">
        <f>(20*J69)/100</f>
        <v>60</v>
      </c>
      <c r="R69" s="432">
        <v>18.862612903225806</v>
      </c>
      <c r="S69" s="432">
        <v>22.651935483870965</v>
      </c>
      <c r="T69" s="670">
        <v>594</v>
      </c>
      <c r="U69" s="668">
        <f t="shared" si="8"/>
        <v>31.490865186467172</v>
      </c>
      <c r="V69" s="668">
        <f t="shared" si="3"/>
        <v>16.728471539852745</v>
      </c>
      <c r="W69" s="668">
        <v>0.3</v>
      </c>
      <c r="X69" s="432">
        <f t="shared" si="7"/>
        <v>0.37753225806451607</v>
      </c>
      <c r="Y69" s="432">
        <f t="shared" si="4"/>
        <v>18.579673709677419</v>
      </c>
      <c r="Z69" s="432">
        <f t="shared" si="4"/>
        <v>22.3121564516129</v>
      </c>
      <c r="AA69" s="670">
        <f t="shared" si="4"/>
        <v>585.09</v>
      </c>
      <c r="AB69" s="432">
        <f t="shared" si="5"/>
        <v>31.490865186467172</v>
      </c>
      <c r="AC69" s="670">
        <f t="shared" si="1"/>
        <v>16.728471539852745</v>
      </c>
      <c r="AD69" s="1036">
        <v>31</v>
      </c>
      <c r="AE69" s="432">
        <f t="shared" si="10"/>
        <v>575.96988499999998</v>
      </c>
      <c r="AF69" s="669"/>
    </row>
    <row r="70" spans="1:32" ht="18.75" customHeight="1" x14ac:dyDescent="0.2">
      <c r="A70" s="1036">
        <v>56</v>
      </c>
      <c r="B70" s="461" t="s">
        <v>330</v>
      </c>
      <c r="C70" s="1036" t="s">
        <v>46</v>
      </c>
      <c r="D70" s="1036">
        <v>595</v>
      </c>
      <c r="E70" s="1036" t="s">
        <v>367</v>
      </c>
      <c r="F70" s="1036">
        <v>178.8</v>
      </c>
      <c r="G70" s="1036" t="s">
        <v>28</v>
      </c>
      <c r="H70" s="1036" t="s">
        <v>491</v>
      </c>
      <c r="I70" s="1032">
        <v>496.87000000000006</v>
      </c>
      <c r="J70" s="1036">
        <v>290</v>
      </c>
      <c r="K70" s="1036"/>
      <c r="L70" s="1036">
        <v>388</v>
      </c>
      <c r="M70" s="1036"/>
      <c r="N70" s="1036">
        <v>11.6</v>
      </c>
      <c r="O70" s="1036"/>
      <c r="P70" s="668">
        <v>23.597375210445296</v>
      </c>
      <c r="Q70" s="668">
        <f>J70*23/100</f>
        <v>66.7</v>
      </c>
      <c r="R70" s="432">
        <v>27.198322580645158</v>
      </c>
      <c r="S70" s="432">
        <v>31.8774193548387</v>
      </c>
      <c r="T70" s="670">
        <v>705</v>
      </c>
      <c r="U70" s="668">
        <f t="shared" si="8"/>
        <v>25.920716173198539</v>
      </c>
      <c r="V70" s="668">
        <f t="shared" si="3"/>
        <v>14.678405181137407</v>
      </c>
      <c r="W70" s="668">
        <v>0.3</v>
      </c>
      <c r="X70" s="432">
        <f t="shared" si="7"/>
        <v>0.47792232915800148</v>
      </c>
      <c r="Y70" s="432">
        <f t="shared" si="4"/>
        <v>26.790347741935481</v>
      </c>
      <c r="Z70" s="432">
        <f t="shared" si="4"/>
        <v>31.399258064516118</v>
      </c>
      <c r="AA70" s="670">
        <f t="shared" si="4"/>
        <v>694.42499999999995</v>
      </c>
      <c r="AB70" s="432">
        <v>20</v>
      </c>
      <c r="AC70" s="670">
        <v>17</v>
      </c>
      <c r="AD70" s="1036">
        <v>31</v>
      </c>
      <c r="AE70" s="432">
        <f t="shared" si="10"/>
        <v>830.50077999999985</v>
      </c>
      <c r="AF70" s="669"/>
    </row>
    <row r="71" spans="1:32" ht="18.75" customHeight="1" x14ac:dyDescent="0.2">
      <c r="A71" s="1036">
        <v>57</v>
      </c>
      <c r="B71" s="461" t="s">
        <v>210</v>
      </c>
      <c r="C71" s="1036" t="s">
        <v>46</v>
      </c>
      <c r="D71" s="1036">
        <v>728.32</v>
      </c>
      <c r="E71" s="1036" t="s">
        <v>226</v>
      </c>
      <c r="F71" s="1036">
        <v>177.8</v>
      </c>
      <c r="G71" s="1036" t="s">
        <v>28</v>
      </c>
      <c r="H71" s="1036" t="s">
        <v>218</v>
      </c>
      <c r="I71" s="1032">
        <v>519.38</v>
      </c>
      <c r="J71" s="1036">
        <v>347</v>
      </c>
      <c r="K71" s="1036"/>
      <c r="L71" s="1036">
        <v>150</v>
      </c>
      <c r="M71" s="1036"/>
      <c r="N71" s="1036">
        <v>10</v>
      </c>
      <c r="O71" s="1036"/>
      <c r="P71" s="668">
        <v>45.492329220094319</v>
      </c>
      <c r="Q71" s="668">
        <f t="shared" si="9"/>
        <v>111.04</v>
      </c>
      <c r="R71" s="432">
        <v>4.4414838709677413</v>
      </c>
      <c r="S71" s="432">
        <v>14.766612903225807</v>
      </c>
      <c r="T71" s="670">
        <v>74</v>
      </c>
      <c r="U71" s="668">
        <f t="shared" si="8"/>
        <v>16.661098441381117</v>
      </c>
      <c r="V71" s="668">
        <f t="shared" si="3"/>
        <v>69.922121612617829</v>
      </c>
      <c r="W71" s="668">
        <v>0.2</v>
      </c>
      <c r="X71" s="432">
        <f t="shared" si="7"/>
        <v>0.13298462628985777</v>
      </c>
      <c r="Y71" s="432">
        <f t="shared" si="4"/>
        <v>4.3748616129032252</v>
      </c>
      <c r="Z71" s="432">
        <f t="shared" si="4"/>
        <v>14.54511370967742</v>
      </c>
      <c r="AA71" s="670">
        <f t="shared" si="4"/>
        <v>72.89</v>
      </c>
      <c r="AB71" s="432">
        <f t="shared" si="5"/>
        <v>16.661098441381117</v>
      </c>
      <c r="AC71" s="670">
        <f t="shared" si="1"/>
        <v>69.922121612617829</v>
      </c>
      <c r="AD71" s="1036">
        <v>31</v>
      </c>
      <c r="AE71" s="432">
        <f t="shared" si="10"/>
        <v>135.62070999999997</v>
      </c>
      <c r="AF71" s="449"/>
    </row>
    <row r="72" spans="1:32" ht="18.75" customHeight="1" x14ac:dyDescent="0.2">
      <c r="A72" s="1036">
        <v>58</v>
      </c>
      <c r="B72" s="461" t="s">
        <v>63</v>
      </c>
      <c r="C72" s="1036" t="s">
        <v>46</v>
      </c>
      <c r="D72" s="1036">
        <v>672.99</v>
      </c>
      <c r="E72" s="1036" t="s">
        <v>98</v>
      </c>
      <c r="F72" s="1036">
        <v>177.8</v>
      </c>
      <c r="G72" s="1036" t="s">
        <v>28</v>
      </c>
      <c r="H72" s="1036" t="s">
        <v>310</v>
      </c>
      <c r="I72" s="1032">
        <v>536.32000000000005</v>
      </c>
      <c r="J72" s="1036">
        <v>330</v>
      </c>
      <c r="K72" s="1036"/>
      <c r="L72" s="1036">
        <v>452</v>
      </c>
      <c r="M72" s="1036"/>
      <c r="N72" s="1036">
        <v>9</v>
      </c>
      <c r="O72" s="1036"/>
      <c r="P72" s="668">
        <v>22.188402637371311</v>
      </c>
      <c r="Q72" s="668">
        <f t="shared" si="9"/>
        <v>72.599999999999994</v>
      </c>
      <c r="R72" s="432">
        <v>16.431225806451611</v>
      </c>
      <c r="S72" s="432">
        <v>21.562967741935481</v>
      </c>
      <c r="T72" s="670">
        <v>349</v>
      </c>
      <c r="U72" s="668">
        <f t="shared" si="8"/>
        <v>21.240046488982429</v>
      </c>
      <c r="V72" s="668">
        <f t="shared" si="3"/>
        <v>23.798866635151064</v>
      </c>
      <c r="W72" s="668">
        <v>0.2</v>
      </c>
      <c r="X72" s="432">
        <f t="shared" si="7"/>
        <v>0.29701057495778899</v>
      </c>
      <c r="Y72" s="432">
        <f t="shared" si="4"/>
        <v>16.184757419354835</v>
      </c>
      <c r="Z72" s="432">
        <f t="shared" si="4"/>
        <v>21.239523225806447</v>
      </c>
      <c r="AA72" s="670">
        <f t="shared" si="4"/>
        <v>343.76499999999999</v>
      </c>
      <c r="AB72" s="432">
        <f t="shared" si="5"/>
        <v>21.240046488982429</v>
      </c>
      <c r="AC72" s="670">
        <f t="shared" si="1"/>
        <v>23.798866635151064</v>
      </c>
      <c r="AD72" s="1036">
        <v>31</v>
      </c>
      <c r="AE72" s="432">
        <f t="shared" si="10"/>
        <v>501.7274799999999</v>
      </c>
      <c r="AF72" s="449"/>
    </row>
    <row r="73" spans="1:32" ht="18.75" customHeight="1" x14ac:dyDescent="0.2">
      <c r="A73" s="1036">
        <v>59</v>
      </c>
      <c r="B73" s="461" t="s">
        <v>217</v>
      </c>
      <c r="C73" s="1036" t="s">
        <v>46</v>
      </c>
      <c r="D73" s="1036">
        <v>684.57</v>
      </c>
      <c r="E73" s="1036" t="s">
        <v>359</v>
      </c>
      <c r="F73" s="1036">
        <v>177.8</v>
      </c>
      <c r="G73" s="1036" t="s">
        <v>28</v>
      </c>
      <c r="H73" s="1036" t="s">
        <v>219</v>
      </c>
      <c r="I73" s="1032">
        <v>555.95000000000005</v>
      </c>
      <c r="J73" s="1036">
        <v>347</v>
      </c>
      <c r="K73" s="1036"/>
      <c r="L73" s="1036">
        <v>176</v>
      </c>
      <c r="M73" s="1036"/>
      <c r="N73" s="1036">
        <v>9.3000000000000007</v>
      </c>
      <c r="O73" s="1036"/>
      <c r="P73" s="668">
        <v>41.438378105169761</v>
      </c>
      <c r="Q73" s="668">
        <f t="shared" si="9"/>
        <v>41.64</v>
      </c>
      <c r="R73" s="432">
        <v>2.8915806451612904</v>
      </c>
      <c r="S73" s="432">
        <v>13.737064516129028</v>
      </c>
      <c r="T73" s="670">
        <v>0</v>
      </c>
      <c r="U73" s="668">
        <f t="shared" si="8"/>
        <v>0</v>
      </c>
      <c r="V73" s="668">
        <f t="shared" si="3"/>
        <v>78.950520020007076</v>
      </c>
      <c r="W73" s="668">
        <v>0.3</v>
      </c>
      <c r="X73" s="432">
        <f t="shared" si="7"/>
        <v>0.32990068482538493</v>
      </c>
      <c r="Y73" s="432">
        <f t="shared" si="4"/>
        <v>2.848206935483871</v>
      </c>
      <c r="Z73" s="432">
        <f t="shared" si="4"/>
        <v>13.531008548387092</v>
      </c>
      <c r="AA73" s="670">
        <f t="shared" si="4"/>
        <v>0</v>
      </c>
      <c r="AB73" s="432">
        <f t="shared" si="5"/>
        <v>0</v>
      </c>
      <c r="AC73" s="670">
        <f t="shared" si="1"/>
        <v>78.950520020007076</v>
      </c>
      <c r="AD73" s="1036">
        <v>31</v>
      </c>
      <c r="AE73" s="432">
        <f t="shared" si="10"/>
        <v>88.294415000000001</v>
      </c>
      <c r="AF73" s="449"/>
    </row>
    <row r="74" spans="1:32" ht="18.75" customHeight="1" x14ac:dyDescent="0.2">
      <c r="A74" s="1036">
        <v>60</v>
      </c>
      <c r="B74" s="461" t="s">
        <v>211</v>
      </c>
      <c r="C74" s="1036" t="s">
        <v>46</v>
      </c>
      <c r="D74" s="1036">
        <v>675.29</v>
      </c>
      <c r="E74" s="1036" t="s">
        <v>224</v>
      </c>
      <c r="F74" s="1036">
        <v>177.8</v>
      </c>
      <c r="G74" s="1036" t="s">
        <v>28</v>
      </c>
      <c r="H74" s="1036" t="s">
        <v>384</v>
      </c>
      <c r="I74" s="1032">
        <v>554.95999999999981</v>
      </c>
      <c r="J74" s="1036">
        <v>250</v>
      </c>
      <c r="K74" s="1036"/>
      <c r="L74" s="1036">
        <v>421</v>
      </c>
      <c r="M74" s="1036"/>
      <c r="N74" s="1036">
        <v>0.6</v>
      </c>
      <c r="O74" s="1036"/>
      <c r="P74" s="668">
        <v>15.428088037686818</v>
      </c>
      <c r="Q74" s="668">
        <f>(22*J74)/100</f>
        <v>55</v>
      </c>
      <c r="R74" s="432">
        <v>2.5848387096774195</v>
      </c>
      <c r="S74" s="432">
        <v>5.5617741935483869</v>
      </c>
      <c r="T74" s="670">
        <v>0</v>
      </c>
      <c r="U74" s="668">
        <f t="shared" si="8"/>
        <v>0</v>
      </c>
      <c r="V74" s="668">
        <f t="shared" si="3"/>
        <v>53.524925325522723</v>
      </c>
      <c r="W74" s="668">
        <v>0.5</v>
      </c>
      <c r="X74" s="432">
        <f t="shared" si="7"/>
        <v>0.10112316715542521</v>
      </c>
      <c r="Y74" s="432">
        <f t="shared" si="4"/>
        <v>2.5460661290322579</v>
      </c>
      <c r="Z74" s="432">
        <f t="shared" si="4"/>
        <v>5.4783475806451607</v>
      </c>
      <c r="AA74" s="670">
        <f t="shared" si="4"/>
        <v>0</v>
      </c>
      <c r="AB74" s="432">
        <f t="shared" si="5"/>
        <v>0</v>
      </c>
      <c r="AC74" s="670">
        <f t="shared" si="1"/>
        <v>53.524925325522723</v>
      </c>
      <c r="AD74" s="1036">
        <v>31</v>
      </c>
      <c r="AE74" s="432">
        <f t="shared" si="10"/>
        <v>78.928049999999999</v>
      </c>
      <c r="AF74" s="449"/>
    </row>
    <row r="75" spans="1:32" ht="18.600000000000001" customHeight="1" x14ac:dyDescent="0.2">
      <c r="A75" s="1036">
        <v>61</v>
      </c>
      <c r="B75" s="461" t="s">
        <v>341</v>
      </c>
      <c r="C75" s="1036" t="s">
        <v>46</v>
      </c>
      <c r="D75" s="1036">
        <v>683.16</v>
      </c>
      <c r="E75" s="1036" t="s">
        <v>343</v>
      </c>
      <c r="F75" s="1036">
        <v>177.8</v>
      </c>
      <c r="G75" s="1036" t="s">
        <v>28</v>
      </c>
      <c r="H75" s="1036" t="s">
        <v>342</v>
      </c>
      <c r="I75" s="1032">
        <v>571.9</v>
      </c>
      <c r="J75" s="1036">
        <v>267</v>
      </c>
      <c r="K75" s="1036"/>
      <c r="L75" s="1036">
        <v>316</v>
      </c>
      <c r="M75" s="1036"/>
      <c r="N75" s="1036">
        <v>10.8</v>
      </c>
      <c r="O75" s="1036"/>
      <c r="P75" s="668">
        <v>33.844362638741266</v>
      </c>
      <c r="Q75" s="668">
        <f>(20*J75)/100</f>
        <v>53.4</v>
      </c>
      <c r="R75" s="432">
        <v>28.533129032258064</v>
      </c>
      <c r="S75" s="432">
        <v>37.935193548387105</v>
      </c>
      <c r="T75" s="670">
        <v>396</v>
      </c>
      <c r="U75" s="668">
        <f t="shared" si="8"/>
        <v>13.8786040448737</v>
      </c>
      <c r="V75" s="668">
        <f t="shared" si="3"/>
        <v>24.784543419124823</v>
      </c>
      <c r="W75" s="668">
        <v>0.2</v>
      </c>
      <c r="X75" s="432">
        <f t="shared" si="7"/>
        <v>0.71039688292859748</v>
      </c>
      <c r="Y75" s="432">
        <f t="shared" si="4"/>
        <v>28.105132096774192</v>
      </c>
      <c r="Z75" s="432">
        <f t="shared" si="4"/>
        <v>37.366165645161296</v>
      </c>
      <c r="AA75" s="670">
        <f t="shared" si="4"/>
        <v>390.06</v>
      </c>
      <c r="AB75" s="432">
        <f t="shared" si="5"/>
        <v>13.8786040448737</v>
      </c>
      <c r="AC75" s="670">
        <f t="shared" si="1"/>
        <v>24.784543419124823</v>
      </c>
      <c r="AD75" s="1036">
        <v>31</v>
      </c>
      <c r="AE75" s="432">
        <f t="shared" si="10"/>
        <v>871.25909499999989</v>
      </c>
      <c r="AF75" s="449"/>
    </row>
    <row r="76" spans="1:32" ht="18.75" customHeight="1" x14ac:dyDescent="0.2">
      <c r="A76" s="1036">
        <v>62</v>
      </c>
      <c r="B76" s="461" t="s">
        <v>354</v>
      </c>
      <c r="C76" s="1036" t="s">
        <v>46</v>
      </c>
      <c r="D76" s="1036">
        <v>634.29</v>
      </c>
      <c r="E76" s="832" t="s">
        <v>356</v>
      </c>
      <c r="F76" s="1036">
        <v>178.8</v>
      </c>
      <c r="G76" s="1036" t="s">
        <v>28</v>
      </c>
      <c r="H76" s="1036" t="s">
        <v>49</v>
      </c>
      <c r="I76" s="1032">
        <v>539.22</v>
      </c>
      <c r="J76" s="1036">
        <v>230</v>
      </c>
      <c r="K76" s="1036"/>
      <c r="L76" s="1036">
        <v>284</v>
      </c>
      <c r="M76" s="1036"/>
      <c r="N76" s="1036">
        <v>11.8</v>
      </c>
      <c r="O76" s="1036"/>
      <c r="P76" s="668">
        <v>31.539046577917098</v>
      </c>
      <c r="Q76" s="668">
        <f t="shared" ref="Q76:Q78" si="11">LEFT(H76,(FIND("K",H76,1)-1))*J76/100</f>
        <v>73.599999999999994</v>
      </c>
      <c r="R76" s="432">
        <v>20.402612903225801</v>
      </c>
      <c r="S76" s="432">
        <v>59.462967741935486</v>
      </c>
      <c r="T76" s="670">
        <v>238</v>
      </c>
      <c r="U76" s="668">
        <f t="shared" si="8"/>
        <v>11.665172550637887</v>
      </c>
      <c r="V76" s="668">
        <f t="shared" si="3"/>
        <v>65.688539139567496</v>
      </c>
      <c r="W76" s="668">
        <v>0.3</v>
      </c>
      <c r="X76" s="432">
        <f t="shared" si="7"/>
        <v>0.80792075736325397</v>
      </c>
      <c r="Y76" s="432">
        <f t="shared" si="4"/>
        <v>20.096573709677415</v>
      </c>
      <c r="Z76" s="432">
        <f t="shared" si="4"/>
        <v>58.571023225806456</v>
      </c>
      <c r="AA76" s="670">
        <f t="shared" si="4"/>
        <v>234.43</v>
      </c>
      <c r="AB76" s="432">
        <f t="shared" si="5"/>
        <v>11.665172550637887</v>
      </c>
      <c r="AC76" s="670">
        <f t="shared" si="1"/>
        <v>65.688539139567496</v>
      </c>
      <c r="AD76" s="1036">
        <v>31</v>
      </c>
      <c r="AE76" s="432">
        <f t="shared" si="10"/>
        <v>622.99378499999989</v>
      </c>
      <c r="AF76" s="449"/>
    </row>
    <row r="77" spans="1:32" ht="18.75" customHeight="1" x14ac:dyDescent="0.2">
      <c r="A77" s="1036">
        <v>63</v>
      </c>
      <c r="B77" s="461" t="s">
        <v>213</v>
      </c>
      <c r="C77" s="1036" t="s">
        <v>46</v>
      </c>
      <c r="D77" s="1036">
        <v>690.8</v>
      </c>
      <c r="E77" s="1036" t="s">
        <v>497</v>
      </c>
      <c r="F77" s="1036">
        <v>177.8</v>
      </c>
      <c r="G77" s="1036" t="s">
        <v>28</v>
      </c>
      <c r="H77" s="1036" t="s">
        <v>487</v>
      </c>
      <c r="I77" s="1032">
        <v>605.00000000000011</v>
      </c>
      <c r="J77" s="1036">
        <v>170</v>
      </c>
      <c r="K77" s="1036"/>
      <c r="L77" s="1036">
        <v>467</v>
      </c>
      <c r="M77" s="1036"/>
      <c r="N77" s="1036">
        <v>10.8</v>
      </c>
      <c r="O77" s="1036"/>
      <c r="P77" s="668">
        <v>36.537390831462979</v>
      </c>
      <c r="Q77" s="668">
        <f t="shared" si="11"/>
        <v>25.5</v>
      </c>
      <c r="R77" s="432">
        <v>6.6728709677419351</v>
      </c>
      <c r="S77" s="432">
        <v>11.168709677419352</v>
      </c>
      <c r="T77" s="670">
        <v>31</v>
      </c>
      <c r="U77" s="668">
        <f t="shared" ref="U77" si="12">T77/R77</f>
        <v>4.6456765236223712</v>
      </c>
      <c r="V77" s="668">
        <f t="shared" ref="V77" si="13">(S77-R77)/S77*100</f>
        <v>40.253877480287656</v>
      </c>
      <c r="W77" s="668">
        <v>0.2</v>
      </c>
      <c r="X77" s="432">
        <f t="shared" ref="X77" si="14">S77/Q77</f>
        <v>0.4379886148007589</v>
      </c>
      <c r="Y77" s="432">
        <f t="shared" si="4"/>
        <v>6.5727779032258056</v>
      </c>
      <c r="Z77" s="432">
        <f t="shared" si="4"/>
        <v>11.001179032258062</v>
      </c>
      <c r="AA77" s="670">
        <f t="shared" si="4"/>
        <v>30.535</v>
      </c>
      <c r="AB77" s="432">
        <f t="shared" si="5"/>
        <v>4.6456765236223712</v>
      </c>
      <c r="AC77" s="670">
        <f>V77</f>
        <v>40.253877480287656</v>
      </c>
      <c r="AD77" s="1036">
        <v>31</v>
      </c>
      <c r="AE77" s="432">
        <f t="shared" si="10"/>
        <v>203.75611499999997</v>
      </c>
      <c r="AF77" s="669"/>
    </row>
    <row r="78" spans="1:32" ht="18.75" customHeight="1" x14ac:dyDescent="0.2">
      <c r="A78" s="1036">
        <v>64</v>
      </c>
      <c r="B78" s="461" t="s">
        <v>172</v>
      </c>
      <c r="C78" s="1036" t="s">
        <v>46</v>
      </c>
      <c r="D78" s="1036">
        <v>673</v>
      </c>
      <c r="E78" s="1036" t="s">
        <v>173</v>
      </c>
      <c r="F78" s="1036">
        <v>177.8</v>
      </c>
      <c r="G78" s="1036" t="s">
        <v>28</v>
      </c>
      <c r="H78" s="1036" t="s">
        <v>487</v>
      </c>
      <c r="I78" s="1032">
        <v>555.56000000000006</v>
      </c>
      <c r="J78" s="1036">
        <v>135</v>
      </c>
      <c r="K78" s="1036"/>
      <c r="L78" s="1036">
        <v>190</v>
      </c>
      <c r="M78" s="1036"/>
      <c r="N78" s="1036">
        <v>7</v>
      </c>
      <c r="O78" s="1036"/>
      <c r="P78" s="448">
        <v>41.747635027370904</v>
      </c>
      <c r="Q78" s="668">
        <f t="shared" si="11"/>
        <v>20.25</v>
      </c>
      <c r="R78" s="432">
        <v>1.0539032258064513</v>
      </c>
      <c r="S78" s="432">
        <v>7.0917741935483871</v>
      </c>
      <c r="T78" s="670">
        <v>12</v>
      </c>
      <c r="U78" s="668">
        <f t="shared" si="8"/>
        <v>11.386244681827923</v>
      </c>
      <c r="V78" s="668">
        <f t="shared" si="3"/>
        <v>85.139075257567839</v>
      </c>
      <c r="W78" s="668">
        <v>0.3</v>
      </c>
      <c r="X78" s="432">
        <f t="shared" si="7"/>
        <v>0.3502110712863401</v>
      </c>
      <c r="Y78" s="432">
        <f t="shared" si="4"/>
        <v>1.0380946774193545</v>
      </c>
      <c r="Z78" s="432">
        <f t="shared" si="4"/>
        <v>6.9853975806451611</v>
      </c>
      <c r="AA78" s="670">
        <f t="shared" si="4"/>
        <v>11.82</v>
      </c>
      <c r="AB78" s="432">
        <f t="shared" si="5"/>
        <v>11.386244681827923</v>
      </c>
      <c r="AC78" s="670">
        <f t="shared" si="1"/>
        <v>85.139075257567839</v>
      </c>
      <c r="AD78" s="1036">
        <v>31</v>
      </c>
      <c r="AE78" s="432">
        <f>Y78*AD78</f>
        <v>32.180934999999991</v>
      </c>
      <c r="AF78" s="449"/>
    </row>
    <row r="79" spans="1:32" ht="18.75" customHeight="1" x14ac:dyDescent="0.25">
      <c r="A79" s="869"/>
      <c r="B79" s="1044"/>
      <c r="C79" s="1036"/>
      <c r="D79" s="1032"/>
      <c r="E79" s="1032"/>
      <c r="F79" s="461"/>
      <c r="G79" s="1036"/>
      <c r="H79" s="1036"/>
      <c r="I79" s="1032"/>
      <c r="J79" s="1032"/>
      <c r="K79" s="1032"/>
      <c r="L79" s="1032"/>
      <c r="M79" s="1032"/>
      <c r="N79" s="1036"/>
      <c r="O79" s="1032"/>
      <c r="P79" s="668"/>
      <c r="Q79" s="448"/>
      <c r="R79" s="466">
        <f>SUM(R15:R78)</f>
        <v>380.74274846980967</v>
      </c>
      <c r="S79" s="466">
        <f>SUM(S15:S78)</f>
        <v>866.77040669975179</v>
      </c>
      <c r="T79" s="512">
        <f>SUM(T15:T78)</f>
        <v>10209.129032258064</v>
      </c>
      <c r="U79" s="466">
        <f>T79/R79</f>
        <v>26.813718904137133</v>
      </c>
      <c r="V79" s="466"/>
      <c r="W79" s="466"/>
      <c r="X79" s="466"/>
      <c r="Y79" s="466">
        <f>SUM(Y15:Y78)</f>
        <v>375.03160724276245</v>
      </c>
      <c r="Z79" s="466">
        <f>SUM(Z15:Z78)</f>
        <v>853.76885059925553</v>
      </c>
      <c r="AA79" s="678">
        <f>SUM(AA15:AA78)</f>
        <v>10056.15709677419</v>
      </c>
      <c r="AB79" s="466">
        <f>AA79/Y79</f>
        <v>26.81415886705442</v>
      </c>
      <c r="AC79" s="466"/>
      <c r="AD79" s="1035"/>
      <c r="AE79" s="466">
        <f>SUM(AE15:AE78)</f>
        <v>11625.979824525641</v>
      </c>
      <c r="AF79" s="669"/>
    </row>
    <row r="80" spans="1:32" ht="18.75" customHeight="1" x14ac:dyDescent="0.25">
      <c r="A80" s="869"/>
      <c r="B80" s="1044"/>
      <c r="C80" s="1036"/>
      <c r="D80" s="1032"/>
      <c r="E80" s="1032"/>
      <c r="F80" s="461"/>
      <c r="G80" s="1036"/>
      <c r="H80" s="1036"/>
      <c r="I80" s="1032"/>
      <c r="J80" s="1032"/>
      <c r="K80" s="1032"/>
      <c r="L80" s="1032"/>
      <c r="M80" s="1032"/>
      <c r="N80" s="1036"/>
      <c r="O80" s="1032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1035"/>
      <c r="AE80" s="466"/>
      <c r="AF80" s="669"/>
    </row>
    <row r="81" spans="1:32" ht="18.75" customHeight="1" x14ac:dyDescent="0.25">
      <c r="A81" s="869"/>
      <c r="B81" s="1044"/>
      <c r="C81" s="1036"/>
      <c r="D81" s="1032"/>
      <c r="E81" s="1031" t="s">
        <v>388</v>
      </c>
      <c r="F81" s="461"/>
      <c r="G81" s="1036"/>
      <c r="H81" s="1036"/>
      <c r="I81" s="1032"/>
      <c r="J81" s="1032"/>
      <c r="K81" s="1032"/>
      <c r="L81" s="1032"/>
      <c r="M81" s="1032"/>
      <c r="N81" s="1036"/>
      <c r="O81" s="1032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1035"/>
      <c r="AE81" s="466"/>
      <c r="AF81" s="669"/>
    </row>
    <row r="82" spans="1:32" ht="18.75" customHeight="1" x14ac:dyDescent="0.2">
      <c r="A82" s="1044">
        <v>65</v>
      </c>
      <c r="B82" s="461" t="s">
        <v>505</v>
      </c>
      <c r="C82" s="1044" t="s">
        <v>445</v>
      </c>
      <c r="D82" s="1043">
        <v>737.21</v>
      </c>
      <c r="E82" s="1043" t="s">
        <v>507</v>
      </c>
      <c r="F82" s="1044">
        <v>177.8</v>
      </c>
      <c r="G82" s="1044" t="s">
        <v>28</v>
      </c>
      <c r="H82" s="1044" t="s">
        <v>491</v>
      </c>
      <c r="I82" s="1043">
        <v>660.03999999999962</v>
      </c>
      <c r="J82" s="1043">
        <v>170</v>
      </c>
      <c r="K82" s="1043"/>
      <c r="L82" s="1043">
        <v>625</v>
      </c>
      <c r="M82" s="1043"/>
      <c r="N82" s="1044">
        <v>37.9</v>
      </c>
      <c r="O82" s="1043"/>
      <c r="P82" s="668">
        <v>40.272566110058776</v>
      </c>
      <c r="Q82" s="448">
        <f>J82*23/100</f>
        <v>39.1</v>
      </c>
      <c r="R82" s="432">
        <v>14.492333333333333</v>
      </c>
      <c r="S82" s="432">
        <v>15.040666666666665</v>
      </c>
      <c r="T82" s="492">
        <v>762</v>
      </c>
      <c r="U82" s="432">
        <f t="shared" ref="U82" si="15">IF(R82=0,0,T82/R82)</f>
        <v>52.579524806219382</v>
      </c>
      <c r="V82" s="432">
        <f t="shared" ref="V82" si="16">IF(S82=0,0,(S82-R82)/S82*100)</f>
        <v>3.6456717344089271</v>
      </c>
      <c r="W82" s="432">
        <v>0.3</v>
      </c>
      <c r="X82" s="432">
        <f t="shared" ref="X82" si="17">IF(S82=0,0,S82/Q82)</f>
        <v>0.38467178175618066</v>
      </c>
      <c r="Y82" s="432">
        <f t="shared" ref="Y82" si="18">R82*0.985</f>
        <v>14.274948333333333</v>
      </c>
      <c r="Z82" s="1045">
        <f t="shared" ref="Z82" si="19">S82*0.985</f>
        <v>14.815056666666665</v>
      </c>
      <c r="AA82" s="670">
        <f t="shared" ref="AA82" si="20">T82*0.985</f>
        <v>750.56999999999994</v>
      </c>
      <c r="AB82" s="432">
        <f t="shared" ref="AB82" si="21">U82</f>
        <v>52.579524806219382</v>
      </c>
      <c r="AC82" s="432">
        <f t="shared" ref="AC82" si="22">V82</f>
        <v>3.6456717344089271</v>
      </c>
      <c r="AD82" s="1044">
        <v>31</v>
      </c>
      <c r="AE82" s="432">
        <f>Y82*AD82</f>
        <v>442.52339833333332</v>
      </c>
      <c r="AF82" s="669"/>
    </row>
    <row r="83" spans="1:32" ht="18.75" customHeight="1" x14ac:dyDescent="0.2">
      <c r="A83" s="1044">
        <v>66</v>
      </c>
      <c r="B83" s="461" t="s">
        <v>504</v>
      </c>
      <c r="C83" s="1044" t="s">
        <v>445</v>
      </c>
      <c r="D83" s="1043">
        <v>695.15</v>
      </c>
      <c r="E83" s="1043" t="s">
        <v>508</v>
      </c>
      <c r="F83" s="461">
        <v>177.8</v>
      </c>
      <c r="G83" s="1044" t="s">
        <v>28</v>
      </c>
      <c r="H83" s="1044" t="s">
        <v>491</v>
      </c>
      <c r="I83" s="1043">
        <v>632.3399999999998</v>
      </c>
      <c r="J83" s="1043">
        <v>120</v>
      </c>
      <c r="K83" s="1043">
        <v>595</v>
      </c>
      <c r="L83" s="1043"/>
      <c r="M83" s="1043"/>
      <c r="N83" s="1044">
        <v>36.700000000000003</v>
      </c>
      <c r="O83" s="1043"/>
      <c r="P83" s="668">
        <v>40.488966993394634</v>
      </c>
      <c r="Q83" s="448">
        <f>J83*23/100</f>
        <v>27.6</v>
      </c>
      <c r="R83" s="432">
        <v>7.980999999999999</v>
      </c>
      <c r="S83" s="432">
        <v>8.1366666666666667</v>
      </c>
      <c r="T83" s="492">
        <v>1035</v>
      </c>
      <c r="U83" s="432">
        <f t="shared" ref="U83" si="23">IF(R83=0,0,T83/R83)</f>
        <v>129.68299711815564</v>
      </c>
      <c r="V83" s="432">
        <f t="shared" ref="V83" si="24">IF(S83=0,0,(S83-R83)/S83*100)</f>
        <v>1.9131503482179564</v>
      </c>
      <c r="W83" s="432">
        <v>0.3</v>
      </c>
      <c r="X83" s="432">
        <f t="shared" ref="X83" si="25">IF(S83=0,0,S83/Q83)</f>
        <v>0.29480676328502414</v>
      </c>
      <c r="Y83" s="432">
        <f t="shared" ref="Y83" si="26">R83*0.985</f>
        <v>7.8612849999999987</v>
      </c>
      <c r="Z83" s="1045">
        <f t="shared" ref="Z83" si="27">S83*0.985</f>
        <v>8.0146166666666669</v>
      </c>
      <c r="AA83" s="670">
        <f t="shared" ref="AA83" si="28">T83*0.985</f>
        <v>1019.475</v>
      </c>
      <c r="AB83" s="432">
        <f t="shared" ref="AB83" si="29">U83</f>
        <v>129.68299711815564</v>
      </c>
      <c r="AC83" s="432">
        <f t="shared" ref="AC83" si="30">V83</f>
        <v>1.9131503482179564</v>
      </c>
      <c r="AD83" s="1044">
        <v>31</v>
      </c>
      <c r="AE83" s="432">
        <f>Y83*AD83</f>
        <v>243.69983499999995</v>
      </c>
      <c r="AF83" s="669"/>
    </row>
    <row r="84" spans="1:32" ht="18.75" customHeight="1" x14ac:dyDescent="0.2">
      <c r="A84" s="1044">
        <v>67</v>
      </c>
      <c r="B84" s="461" t="s">
        <v>423</v>
      </c>
      <c r="C84" s="1036" t="s">
        <v>445</v>
      </c>
      <c r="D84" s="1032">
        <v>683.8</v>
      </c>
      <c r="E84" s="1032" t="s">
        <v>473</v>
      </c>
      <c r="F84" s="1036">
        <v>177.8</v>
      </c>
      <c r="G84" s="1036" t="s">
        <v>28</v>
      </c>
      <c r="H84" s="1036" t="s">
        <v>48</v>
      </c>
      <c r="I84" s="1032">
        <v>590.46</v>
      </c>
      <c r="J84" s="1032"/>
      <c r="K84" s="1032">
        <v>548</v>
      </c>
      <c r="L84" s="1032"/>
      <c r="M84" s="1032">
        <v>28.2</v>
      </c>
      <c r="N84" s="1036"/>
      <c r="O84" s="1032"/>
      <c r="P84" s="668">
        <v>48.498811966153276</v>
      </c>
      <c r="Q84" s="668">
        <f t="shared" ref="Q84:Q87" si="31">LEFT(H84,(FIND("K",H84,1)-1))*J84/100</f>
        <v>0</v>
      </c>
      <c r="R84" s="432"/>
      <c r="S84" s="432"/>
      <c r="T84" s="492"/>
      <c r="U84" s="668"/>
      <c r="V84" s="668"/>
      <c r="W84" s="668"/>
      <c r="X84" s="432"/>
      <c r="Y84" s="432"/>
      <c r="Z84" s="432"/>
      <c r="AA84" s="670"/>
      <c r="AB84" s="432"/>
      <c r="AC84" s="668"/>
      <c r="AD84" s="1036"/>
      <c r="AE84" s="432"/>
      <c r="AF84" s="449" t="s">
        <v>432</v>
      </c>
    </row>
    <row r="85" spans="1:32" ht="18.75" customHeight="1" x14ac:dyDescent="0.2">
      <c r="A85" s="1044">
        <v>68</v>
      </c>
      <c r="B85" s="461" t="s">
        <v>506</v>
      </c>
      <c r="C85" s="1044" t="s">
        <v>445</v>
      </c>
      <c r="D85" s="1043"/>
      <c r="E85" s="1043" t="s">
        <v>509</v>
      </c>
      <c r="F85" s="1044">
        <v>177.8</v>
      </c>
      <c r="G85" s="1044" t="s">
        <v>28</v>
      </c>
      <c r="H85" s="1044" t="s">
        <v>485</v>
      </c>
      <c r="I85" s="1043">
        <v>680.15</v>
      </c>
      <c r="J85" s="1043"/>
      <c r="K85" s="1043">
        <v>614</v>
      </c>
      <c r="L85" s="1043"/>
      <c r="M85" s="1043">
        <v>15.1</v>
      </c>
      <c r="N85" s="1044"/>
      <c r="O85" s="1043"/>
      <c r="P85" s="668"/>
      <c r="Q85" s="668">
        <f>(15*J85)/100</f>
        <v>0</v>
      </c>
      <c r="R85" s="432"/>
      <c r="S85" s="432"/>
      <c r="T85" s="492"/>
      <c r="U85" s="668"/>
      <c r="V85" s="668"/>
      <c r="W85" s="668"/>
      <c r="X85" s="432"/>
      <c r="Y85" s="432"/>
      <c r="Z85" s="432"/>
      <c r="AA85" s="670"/>
      <c r="AB85" s="432"/>
      <c r="AC85" s="668"/>
      <c r="AD85" s="1044"/>
      <c r="AE85" s="432"/>
      <c r="AF85" s="449" t="s">
        <v>510</v>
      </c>
    </row>
    <row r="86" spans="1:32" ht="18.600000000000001" customHeight="1" x14ac:dyDescent="0.2">
      <c r="A86" s="1044">
        <v>69</v>
      </c>
      <c r="B86" s="461" t="s">
        <v>451</v>
      </c>
      <c r="C86" s="1036" t="s">
        <v>445</v>
      </c>
      <c r="D86" s="1032">
        <v>683.2700000000001</v>
      </c>
      <c r="E86" s="1032" t="s">
        <v>475</v>
      </c>
      <c r="F86" s="1036">
        <v>177.8</v>
      </c>
      <c r="G86" s="1036" t="s">
        <v>28</v>
      </c>
      <c r="H86" s="1036" t="s">
        <v>218</v>
      </c>
      <c r="I86" s="1032">
        <v>618.30999999999995</v>
      </c>
      <c r="J86" s="1032">
        <v>270</v>
      </c>
      <c r="K86" s="1032"/>
      <c r="L86" s="1032">
        <v>565</v>
      </c>
      <c r="M86" s="1032"/>
      <c r="N86" s="1036">
        <v>21.6</v>
      </c>
      <c r="O86" s="1032"/>
      <c r="P86" s="668">
        <v>31.889079761431368</v>
      </c>
      <c r="Q86" s="668">
        <f t="shared" si="31"/>
        <v>86.4</v>
      </c>
      <c r="R86" s="432"/>
      <c r="S86" s="432"/>
      <c r="T86" s="492"/>
      <c r="U86" s="668"/>
      <c r="V86" s="668"/>
      <c r="W86" s="668"/>
      <c r="X86" s="432"/>
      <c r="Y86" s="432"/>
      <c r="Z86" s="432"/>
      <c r="AA86" s="670"/>
      <c r="AB86" s="668"/>
      <c r="AC86" s="670"/>
      <c r="AD86" s="1036"/>
      <c r="AE86" s="432"/>
      <c r="AF86" s="669" t="s">
        <v>432</v>
      </c>
    </row>
    <row r="87" spans="1:32" ht="18.75" customHeight="1" x14ac:dyDescent="0.2">
      <c r="A87" s="1044">
        <v>70</v>
      </c>
      <c r="B87" s="461" t="s">
        <v>424</v>
      </c>
      <c r="C87" s="1036" t="s">
        <v>445</v>
      </c>
      <c r="D87" s="1032">
        <v>691</v>
      </c>
      <c r="E87" s="1032" t="s">
        <v>495</v>
      </c>
      <c r="F87" s="1036">
        <v>177.8</v>
      </c>
      <c r="G87" s="1036" t="s">
        <v>28</v>
      </c>
      <c r="H87" s="1036" t="s">
        <v>48</v>
      </c>
      <c r="I87" s="1032">
        <v>628.34</v>
      </c>
      <c r="J87" s="1032"/>
      <c r="K87" s="1032">
        <v>605</v>
      </c>
      <c r="L87" s="1032"/>
      <c r="M87" s="1032">
        <v>9.5</v>
      </c>
      <c r="N87" s="1036"/>
      <c r="O87" s="1032"/>
      <c r="P87" s="668">
        <v>12.1</v>
      </c>
      <c r="Q87" s="668">
        <f t="shared" si="31"/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036"/>
      <c r="AE87" s="432">
        <f>Y87*AD87</f>
        <v>0</v>
      </c>
      <c r="AF87" s="449" t="s">
        <v>432</v>
      </c>
    </row>
    <row r="88" spans="1:32" ht="18.75" customHeight="1" x14ac:dyDescent="0.25">
      <c r="A88" s="1044">
        <v>71</v>
      </c>
      <c r="B88" s="461" t="s">
        <v>155</v>
      </c>
      <c r="C88" s="1036" t="s">
        <v>415</v>
      </c>
      <c r="D88" s="1036">
        <v>513.9</v>
      </c>
      <c r="E88" s="1036" t="s">
        <v>477</v>
      </c>
      <c r="F88" s="1036">
        <v>177.8</v>
      </c>
      <c r="G88" s="1036"/>
      <c r="H88" s="1036"/>
      <c r="I88" s="1032">
        <v>9.5</v>
      </c>
      <c r="J88" s="1032"/>
      <c r="K88" s="1032"/>
      <c r="L88" s="1032"/>
      <c r="M88" s="1032"/>
      <c r="N88" s="1036"/>
      <c r="O88" s="1032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044">
        <v>72</v>
      </c>
      <c r="B89" s="461" t="s">
        <v>465</v>
      </c>
      <c r="C89" s="1036" t="s">
        <v>46</v>
      </c>
      <c r="D89" s="1036">
        <v>571.91</v>
      </c>
      <c r="E89" s="1036" t="s">
        <v>478</v>
      </c>
      <c r="F89" s="1036">
        <v>177.8</v>
      </c>
      <c r="G89" s="1036"/>
      <c r="H89" s="831"/>
      <c r="I89" s="1032">
        <v>9.5</v>
      </c>
      <c r="J89" s="1032"/>
      <c r="K89" s="1032"/>
      <c r="L89" s="1032"/>
      <c r="M89" s="1032"/>
      <c r="N89" s="1036"/>
      <c r="O89" s="1032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035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036"/>
      <c r="H90" s="1036"/>
      <c r="I90" s="1036"/>
      <c r="J90" s="1032"/>
      <c r="K90" s="1032"/>
      <c r="L90" s="1032"/>
      <c r="M90" s="1032"/>
      <c r="N90" s="1032"/>
      <c r="O90" s="1032"/>
      <c r="P90" s="448"/>
      <c r="Q90" s="448"/>
      <c r="R90" s="466">
        <f>SUM(R82:R89)</f>
        <v>22.473333333333333</v>
      </c>
      <c r="S90" s="466">
        <f>SUM(S82:S89)</f>
        <v>23.17733333333333</v>
      </c>
      <c r="T90" s="512">
        <f>SUM(T82:T89)</f>
        <v>1797</v>
      </c>
      <c r="U90" s="466">
        <f>T90/R90</f>
        <v>79.961435775734202</v>
      </c>
      <c r="V90" s="466"/>
      <c r="W90" s="466"/>
      <c r="X90" s="466"/>
      <c r="Y90" s="466">
        <f>SUM(Y82:Y89)</f>
        <v>22.13623333333333</v>
      </c>
      <c r="Z90" s="466">
        <f>SUM(Z82:Z89)</f>
        <v>22.829673333333332</v>
      </c>
      <c r="AA90" s="678">
        <f>SUM(AA26:AA89)</f>
        <v>20490.26209677419</v>
      </c>
      <c r="AB90" s="466">
        <f>AA90/Y90</f>
        <v>925.64357215730138</v>
      </c>
      <c r="AC90" s="466"/>
      <c r="AD90" s="1035"/>
      <c r="AE90" s="466">
        <f>SUM(AE82:AE89)</f>
        <v>686.22323333333327</v>
      </c>
      <c r="AF90" s="669"/>
    </row>
    <row r="91" spans="1:32" ht="18.75" customHeight="1" x14ac:dyDescent="0.25">
      <c r="A91" s="870"/>
      <c r="B91" s="873"/>
      <c r="C91" s="850"/>
      <c r="D91" s="850"/>
      <c r="E91" s="1037" t="s">
        <v>470</v>
      </c>
      <c r="F91" s="853"/>
      <c r="G91" s="1027"/>
      <c r="H91" s="1031"/>
      <c r="I91" s="1031"/>
      <c r="J91" s="1032"/>
      <c r="K91" s="1032"/>
      <c r="L91" s="1032"/>
      <c r="M91" s="1032"/>
      <c r="N91" s="1032"/>
      <c r="O91" s="1032"/>
      <c r="P91" s="448"/>
      <c r="Q91" s="448"/>
      <c r="R91" s="1032"/>
      <c r="S91" s="437"/>
      <c r="T91" s="1032"/>
      <c r="U91" s="1027"/>
      <c r="V91" s="1027"/>
      <c r="W91" s="1027"/>
      <c r="X91" s="421"/>
      <c r="Y91" s="1032"/>
      <c r="Z91" s="1032"/>
      <c r="AA91" s="1032"/>
      <c r="AB91" s="1027"/>
      <c r="AC91" s="1027"/>
      <c r="AD91" s="1032"/>
      <c r="AE91" s="1032"/>
      <c r="AF91" s="1031"/>
    </row>
    <row r="92" spans="1:32" ht="18.75" customHeight="1" x14ac:dyDescent="0.2">
      <c r="A92" s="1034">
        <v>73</v>
      </c>
      <c r="B92" s="1044" t="s">
        <v>131</v>
      </c>
      <c r="C92" s="1034" t="s">
        <v>313</v>
      </c>
      <c r="D92" s="1036">
        <v>389.74</v>
      </c>
      <c r="E92" s="679" t="s">
        <v>136</v>
      </c>
      <c r="F92" s="1036">
        <v>177.8</v>
      </c>
      <c r="G92" s="1036" t="s">
        <v>28</v>
      </c>
      <c r="H92" s="1036" t="s">
        <v>485</v>
      </c>
      <c r="I92" s="1032">
        <v>132.27000000000001</v>
      </c>
      <c r="J92" s="1032">
        <v>90</v>
      </c>
      <c r="K92" s="1036"/>
      <c r="L92" s="1036">
        <v>52</v>
      </c>
      <c r="M92" s="1036"/>
      <c r="N92" s="1036">
        <v>0.9</v>
      </c>
      <c r="O92" s="1036"/>
      <c r="P92" s="668">
        <v>13.692691261550211</v>
      </c>
      <c r="Q92" s="448">
        <f>(15*J92)/100</f>
        <v>13.5</v>
      </c>
      <c r="R92" s="432">
        <v>7.2206774193548391</v>
      </c>
      <c r="S92" s="432">
        <v>10.793709677419356</v>
      </c>
      <c r="T92" s="432">
        <v>0</v>
      </c>
      <c r="U92" s="432">
        <f>T92/R92</f>
        <v>0</v>
      </c>
      <c r="V92" s="432">
        <f t="shared" ref="V92:V95" si="32">(S92-R92)/S92*100</f>
        <v>33.102912389235073</v>
      </c>
      <c r="W92" s="432">
        <v>0.3</v>
      </c>
      <c r="X92" s="432">
        <f t="shared" ref="X92:X95" si="33">S92/Q92</f>
        <v>0.79953405017921153</v>
      </c>
      <c r="Y92" s="432">
        <f>R92*0.985</f>
        <v>7.1123672580645163</v>
      </c>
      <c r="Z92" s="432">
        <f>S92*0.985</f>
        <v>10.631804032258065</v>
      </c>
      <c r="AA92" s="432">
        <f>T92*0.985</f>
        <v>0</v>
      </c>
      <c r="AB92" s="432">
        <f t="shared" ref="AB92:AC95" si="34">U92</f>
        <v>0</v>
      </c>
      <c r="AC92" s="432">
        <f t="shared" si="34"/>
        <v>33.102912389235073</v>
      </c>
      <c r="AD92" s="1036">
        <v>31</v>
      </c>
      <c r="AE92" s="432">
        <f t="shared" ref="AE92:AE95" si="35">Y92*AD92</f>
        <v>220.483385</v>
      </c>
      <c r="AF92" s="449"/>
    </row>
    <row r="93" spans="1:32" ht="18.75" customHeight="1" x14ac:dyDescent="0.2">
      <c r="A93" s="1042">
        <v>74</v>
      </c>
      <c r="B93" s="1044" t="s">
        <v>132</v>
      </c>
      <c r="C93" s="1034" t="s">
        <v>313</v>
      </c>
      <c r="D93" s="1036">
        <v>387.72</v>
      </c>
      <c r="E93" s="679" t="s">
        <v>135</v>
      </c>
      <c r="F93" s="1036">
        <v>177.8</v>
      </c>
      <c r="G93" s="1036" t="s">
        <v>28</v>
      </c>
      <c r="H93" s="1036" t="s">
        <v>485</v>
      </c>
      <c r="I93" s="1032">
        <v>130.34</v>
      </c>
      <c r="J93" s="1036">
        <v>90</v>
      </c>
      <c r="K93" s="1036"/>
      <c r="L93" s="1036">
        <v>61</v>
      </c>
      <c r="M93" s="1036"/>
      <c r="N93" s="1036">
        <v>0.4</v>
      </c>
      <c r="O93" s="1036"/>
      <c r="P93" s="668">
        <v>9.6679061162874635</v>
      </c>
      <c r="Q93" s="448">
        <f>(15*J93)/100</f>
        <v>13.5</v>
      </c>
      <c r="R93" s="432">
        <v>7.8399677419354852</v>
      </c>
      <c r="S93" s="432">
        <v>10.547193548387096</v>
      </c>
      <c r="T93" s="432">
        <v>0</v>
      </c>
      <c r="U93" s="432">
        <f>T93/R93</f>
        <v>0</v>
      </c>
      <c r="V93" s="432">
        <f t="shared" si="32"/>
        <v>25.667736104696843</v>
      </c>
      <c r="W93" s="432">
        <v>0.3</v>
      </c>
      <c r="X93" s="432">
        <f t="shared" si="33"/>
        <v>0.78127359617682191</v>
      </c>
      <c r="Y93" s="432">
        <f t="shared" ref="Y93:AA95" si="36">R93*0.985</f>
        <v>7.722368225806453</v>
      </c>
      <c r="Z93" s="432">
        <f t="shared" si="36"/>
        <v>10.38898564516129</v>
      </c>
      <c r="AA93" s="432">
        <f t="shared" si="36"/>
        <v>0</v>
      </c>
      <c r="AB93" s="432">
        <v>0</v>
      </c>
      <c r="AC93" s="432">
        <f>V93</f>
        <v>25.667736104696843</v>
      </c>
      <c r="AD93" s="1036">
        <v>31</v>
      </c>
      <c r="AE93" s="432">
        <f t="shared" si="35"/>
        <v>239.39341500000003</v>
      </c>
      <c r="AF93" s="449"/>
    </row>
    <row r="94" spans="1:32" ht="18.75" customHeight="1" x14ac:dyDescent="0.2">
      <c r="A94" s="1042">
        <v>75</v>
      </c>
      <c r="B94" s="1044" t="s">
        <v>121</v>
      </c>
      <c r="C94" s="1034" t="s">
        <v>313</v>
      </c>
      <c r="D94" s="1036">
        <v>389.57</v>
      </c>
      <c r="E94" s="1036" t="s">
        <v>137</v>
      </c>
      <c r="F94" s="1036">
        <v>177.8</v>
      </c>
      <c r="G94" s="1036" t="s">
        <v>28</v>
      </c>
      <c r="H94" s="831" t="s">
        <v>466</v>
      </c>
      <c r="I94" s="1032">
        <v>123.65000000000003</v>
      </c>
      <c r="J94" s="1036">
        <v>90</v>
      </c>
      <c r="K94" s="1036"/>
      <c r="L94" s="1036">
        <v>41</v>
      </c>
      <c r="M94" s="1036"/>
      <c r="N94" s="1036">
        <v>0.1</v>
      </c>
      <c r="O94" s="1036"/>
      <c r="P94" s="668">
        <v>12.138710570663264</v>
      </c>
      <c r="Q94" s="448">
        <f>(13*J94)/100</f>
        <v>11.7</v>
      </c>
      <c r="R94" s="432">
        <v>4.3572580645161283</v>
      </c>
      <c r="S94" s="432">
        <v>11.138580645161291</v>
      </c>
      <c r="T94" s="432">
        <v>0</v>
      </c>
      <c r="U94" s="432">
        <v>0</v>
      </c>
      <c r="V94" s="432">
        <v>75</v>
      </c>
      <c r="W94" s="432">
        <v>0.3</v>
      </c>
      <c r="X94" s="432">
        <f>S94/Q94</f>
        <v>0.95201543975737535</v>
      </c>
      <c r="Y94" s="432">
        <f t="shared" si="36"/>
        <v>4.2918991935483861</v>
      </c>
      <c r="Z94" s="432">
        <f t="shared" si="36"/>
        <v>10.971501935483872</v>
      </c>
      <c r="AA94" s="432">
        <f t="shared" si="36"/>
        <v>0</v>
      </c>
      <c r="AB94" s="432">
        <v>0</v>
      </c>
      <c r="AC94" s="432">
        <v>47</v>
      </c>
      <c r="AD94" s="1036">
        <v>31</v>
      </c>
      <c r="AE94" s="432">
        <f t="shared" si="35"/>
        <v>133.04887499999998</v>
      </c>
      <c r="AF94" s="669"/>
    </row>
    <row r="95" spans="1:32" ht="18.75" customHeight="1" x14ac:dyDescent="0.2">
      <c r="A95" s="1042">
        <v>76</v>
      </c>
      <c r="B95" s="1044" t="s">
        <v>122</v>
      </c>
      <c r="C95" s="1034" t="s">
        <v>313</v>
      </c>
      <c r="D95" s="1036">
        <v>391.06</v>
      </c>
      <c r="E95" s="1036" t="s">
        <v>138</v>
      </c>
      <c r="F95" s="1036">
        <v>177.8</v>
      </c>
      <c r="G95" s="1036" t="s">
        <v>28</v>
      </c>
      <c r="H95" s="1036" t="s">
        <v>485</v>
      </c>
      <c r="I95" s="432">
        <v>148.36999999999998</v>
      </c>
      <c r="J95" s="1036">
        <v>85</v>
      </c>
      <c r="K95" s="1035"/>
      <c r="L95" s="1036">
        <v>76</v>
      </c>
      <c r="M95" s="1035"/>
      <c r="N95" s="1036">
        <v>0.7</v>
      </c>
      <c r="O95" s="1035"/>
      <c r="P95" s="668">
        <v>7.2327002756208305</v>
      </c>
      <c r="Q95" s="448">
        <f>(15*J95)/100</f>
        <v>12.75</v>
      </c>
      <c r="R95" s="432">
        <v>6.3672903225806445</v>
      </c>
      <c r="S95" s="432">
        <v>7.0052903225806453</v>
      </c>
      <c r="T95" s="432">
        <v>0</v>
      </c>
      <c r="U95" s="432">
        <f>T95/R95</f>
        <v>0</v>
      </c>
      <c r="V95" s="432">
        <f t="shared" si="32"/>
        <v>9.1074027002634068</v>
      </c>
      <c r="W95" s="432">
        <v>0.3</v>
      </c>
      <c r="X95" s="432">
        <f t="shared" si="33"/>
        <v>0.54943453510436435</v>
      </c>
      <c r="Y95" s="432">
        <f t="shared" si="36"/>
        <v>6.2717809677419352</v>
      </c>
      <c r="Z95" s="432">
        <f t="shared" si="36"/>
        <v>6.9002109677419359</v>
      </c>
      <c r="AA95" s="432">
        <f t="shared" si="36"/>
        <v>0</v>
      </c>
      <c r="AB95" s="432">
        <f t="shared" si="34"/>
        <v>0</v>
      </c>
      <c r="AC95" s="432">
        <f t="shared" si="34"/>
        <v>9.1074027002634068</v>
      </c>
      <c r="AD95" s="1036">
        <v>31</v>
      </c>
      <c r="AE95" s="432">
        <f t="shared" si="35"/>
        <v>194.42520999999999</v>
      </c>
      <c r="AF95" s="680"/>
    </row>
    <row r="96" spans="1:32" ht="18.75" customHeight="1" x14ac:dyDescent="0.2">
      <c r="A96" s="1042">
        <v>77</v>
      </c>
      <c r="B96" s="1036" t="s">
        <v>188</v>
      </c>
      <c r="C96" s="1034" t="s">
        <v>344</v>
      </c>
      <c r="D96" s="1036">
        <v>400.5</v>
      </c>
      <c r="E96" s="1036" t="s">
        <v>345</v>
      </c>
      <c r="F96" s="1036">
        <v>177.8</v>
      </c>
      <c r="G96" s="1036"/>
      <c r="H96" s="1036"/>
      <c r="I96" s="432"/>
      <c r="J96" s="1036"/>
      <c r="K96" s="1035"/>
      <c r="L96" s="1036"/>
      <c r="M96" s="1035"/>
      <c r="N96" s="1036"/>
      <c r="O96" s="1035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036"/>
      <c r="AE96" s="432"/>
      <c r="AF96" s="669"/>
    </row>
    <row r="97" spans="1:32" ht="18.75" customHeight="1" x14ac:dyDescent="0.2">
      <c r="A97" s="1042">
        <v>78</v>
      </c>
      <c r="B97" s="1036" t="s">
        <v>186</v>
      </c>
      <c r="C97" s="1034" t="s">
        <v>346</v>
      </c>
      <c r="D97" s="1036">
        <v>349.5</v>
      </c>
      <c r="E97" s="461" t="s">
        <v>347</v>
      </c>
      <c r="F97" s="1036">
        <v>177.8</v>
      </c>
      <c r="G97" s="1036"/>
      <c r="H97" s="1036"/>
      <c r="I97" s="432"/>
      <c r="J97" s="1036"/>
      <c r="K97" s="1036"/>
      <c r="L97" s="1036"/>
      <c r="M97" s="1035"/>
      <c r="N97" s="1036"/>
      <c r="O97" s="1035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036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032"/>
      <c r="G98" s="1027"/>
      <c r="H98" s="1031"/>
      <c r="I98" s="1031"/>
      <c r="J98" s="1032"/>
      <c r="K98" s="1032"/>
      <c r="L98" s="1032"/>
      <c r="M98" s="1032"/>
      <c r="N98" s="1032"/>
      <c r="O98" s="1032"/>
      <c r="P98" s="448"/>
      <c r="Q98" s="448"/>
      <c r="R98" s="466">
        <f>SUM(R92:R97)</f>
        <v>25.785193548387095</v>
      </c>
      <c r="S98" s="466">
        <f>SUM(S92:S97)</f>
        <v>39.48477419354839</v>
      </c>
      <c r="T98" s="466">
        <f>SUM(T92:T95)</f>
        <v>0</v>
      </c>
      <c r="U98" s="466">
        <f>SUM(U92:U95)</f>
        <v>0</v>
      </c>
      <c r="V98" s="1027"/>
      <c r="W98" s="1027"/>
      <c r="X98" s="1027"/>
      <c r="Y98" s="466">
        <f>SUM(Y92:Y97)</f>
        <v>25.39841564516129</v>
      </c>
      <c r="Z98" s="466">
        <f>SUM(Z92:Z97)</f>
        <v>38.892502580645164</v>
      </c>
      <c r="AA98" s="466">
        <f>SUM(AA92:AA95)</f>
        <v>0</v>
      </c>
      <c r="AB98" s="466">
        <f>AA98/Y98</f>
        <v>0</v>
      </c>
      <c r="AC98" s="1027"/>
      <c r="AD98" s="1032"/>
      <c r="AE98" s="466">
        <f>SUM(AE92:AE97)</f>
        <v>787.35088499999995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035"/>
      <c r="G99" s="1036"/>
      <c r="H99" s="1036"/>
      <c r="I99" s="432"/>
      <c r="J99" s="1036"/>
      <c r="K99" s="1035"/>
      <c r="L99" s="1036"/>
      <c r="M99" s="1035"/>
      <c r="N99" s="668"/>
      <c r="O99" s="1035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027"/>
      <c r="H100" s="1031"/>
      <c r="I100" s="1031"/>
      <c r="J100" s="1032"/>
      <c r="K100" s="1032"/>
      <c r="L100" s="1032"/>
      <c r="M100" s="1032"/>
      <c r="N100" s="1032"/>
      <c r="O100" s="1032"/>
      <c r="P100" s="448"/>
      <c r="Q100" s="448"/>
      <c r="R100" s="1032"/>
      <c r="S100" s="1032"/>
      <c r="T100" s="1032"/>
      <c r="U100" s="1027"/>
      <c r="V100" s="1027"/>
      <c r="W100" s="1027"/>
      <c r="X100" s="1027"/>
      <c r="Y100" s="1032"/>
      <c r="Z100" s="1032"/>
      <c r="AA100" s="1032"/>
      <c r="AB100" s="1027"/>
      <c r="AC100" s="1027"/>
      <c r="AD100" s="1032"/>
      <c r="AE100" s="1032"/>
      <c r="AF100" s="1031"/>
    </row>
    <row r="101" spans="1:32" ht="18.75" customHeight="1" x14ac:dyDescent="0.2">
      <c r="A101" s="1036">
        <v>79</v>
      </c>
      <c r="B101" s="1033" t="s">
        <v>107</v>
      </c>
      <c r="C101" s="1032" t="s">
        <v>109</v>
      </c>
      <c r="D101" s="1032"/>
      <c r="E101" s="1032"/>
      <c r="F101" s="1032"/>
      <c r="G101" s="1027"/>
      <c r="H101" s="1031"/>
      <c r="I101" s="1031"/>
      <c r="J101" s="1032"/>
      <c r="K101" s="1032"/>
      <c r="L101" s="1032"/>
      <c r="M101" s="1032"/>
      <c r="N101" s="1032"/>
      <c r="O101" s="1032"/>
      <c r="P101" s="448"/>
      <c r="Q101" s="448"/>
      <c r="R101" s="1032"/>
      <c r="S101" s="1032"/>
      <c r="T101" s="1032"/>
      <c r="U101" s="1027"/>
      <c r="V101" s="1027"/>
      <c r="W101" s="1027"/>
      <c r="X101" s="1027"/>
      <c r="Y101" s="1031"/>
      <c r="Z101" s="1031"/>
      <c r="AA101" s="1032"/>
      <c r="AB101" s="1027"/>
      <c r="AC101" s="1027"/>
      <c r="AD101" s="493"/>
      <c r="AE101" s="1032"/>
      <c r="AF101" s="1031"/>
    </row>
    <row r="102" spans="1:32" ht="18.75" customHeight="1" x14ac:dyDescent="0.2">
      <c r="A102" s="1044">
        <v>80</v>
      </c>
      <c r="B102" s="1033" t="s">
        <v>108</v>
      </c>
      <c r="C102" s="1032" t="s">
        <v>109</v>
      </c>
      <c r="D102" s="1032"/>
      <c r="E102" s="1032"/>
      <c r="F102" s="1032"/>
      <c r="G102" s="1027"/>
      <c r="H102" s="1031"/>
      <c r="I102" s="1031"/>
      <c r="J102" s="1032"/>
      <c r="K102" s="1032"/>
      <c r="L102" s="1032"/>
      <c r="M102" s="1032"/>
      <c r="N102" s="1032"/>
      <c r="O102" s="1032"/>
      <c r="P102" s="448"/>
      <c r="Q102" s="448"/>
      <c r="R102" s="1032"/>
      <c r="S102" s="1032"/>
      <c r="T102" s="1032"/>
      <c r="U102" s="1027"/>
      <c r="V102" s="1027"/>
      <c r="W102" s="1027"/>
      <c r="X102" s="1027"/>
      <c r="Y102" s="1031"/>
      <c r="Z102" s="1031"/>
      <c r="AA102" s="1032"/>
      <c r="AB102" s="1027"/>
      <c r="AC102" s="1027"/>
      <c r="AD102" s="493"/>
      <c r="AE102" s="1032"/>
      <c r="AF102" s="1031"/>
    </row>
    <row r="103" spans="1:32" ht="18.75" customHeight="1" x14ac:dyDescent="0.2">
      <c r="A103" s="1044">
        <v>81</v>
      </c>
      <c r="B103" s="1033" t="s">
        <v>195</v>
      </c>
      <c r="C103" s="1034" t="s">
        <v>484</v>
      </c>
      <c r="D103" s="1032"/>
      <c r="E103" s="1032"/>
      <c r="F103" s="1032"/>
      <c r="G103" s="1027"/>
      <c r="H103" s="1031"/>
      <c r="I103" s="1031"/>
      <c r="J103" s="1032"/>
      <c r="K103" s="1032"/>
      <c r="L103" s="1032"/>
      <c r="M103" s="1032"/>
      <c r="N103" s="1032"/>
      <c r="O103" s="1032"/>
      <c r="P103" s="448"/>
      <c r="Q103" s="448"/>
      <c r="R103" s="1032"/>
      <c r="S103" s="1032"/>
      <c r="T103" s="1032"/>
      <c r="U103" s="1027"/>
      <c r="V103" s="1027"/>
      <c r="W103" s="1027"/>
      <c r="X103" s="1027"/>
      <c r="Y103" s="1031"/>
      <c r="Z103" s="1031"/>
      <c r="AA103" s="1032"/>
      <c r="AB103" s="1027"/>
      <c r="AC103" s="1027"/>
      <c r="AD103" s="493"/>
      <c r="AE103" s="1032"/>
      <c r="AF103" s="1031"/>
    </row>
    <row r="104" spans="1:32" ht="18.75" customHeight="1" x14ac:dyDescent="0.2">
      <c r="A104" s="1044">
        <v>82</v>
      </c>
      <c r="B104" s="1033" t="s">
        <v>192</v>
      </c>
      <c r="C104" s="1034" t="s">
        <v>484</v>
      </c>
      <c r="D104" s="1032"/>
      <c r="E104" s="1032"/>
      <c r="F104" s="1032"/>
      <c r="G104" s="1027"/>
      <c r="H104" s="1031"/>
      <c r="I104" s="1031"/>
      <c r="J104" s="1032"/>
      <c r="K104" s="1032"/>
      <c r="L104" s="1032"/>
      <c r="M104" s="1032"/>
      <c r="N104" s="1032"/>
      <c r="O104" s="1032"/>
      <c r="P104" s="448"/>
      <c r="Q104" s="448"/>
      <c r="R104" s="1032"/>
      <c r="S104" s="1032"/>
      <c r="T104" s="1032"/>
      <c r="U104" s="1027"/>
      <c r="V104" s="1027"/>
      <c r="W104" s="1027"/>
      <c r="X104" s="1027"/>
      <c r="Y104" s="1031"/>
      <c r="Z104" s="1031"/>
      <c r="AA104" s="1032"/>
      <c r="AB104" s="1027"/>
      <c r="AC104" s="1027"/>
      <c r="AD104" s="493"/>
      <c r="AE104" s="1032"/>
      <c r="AF104" s="1031"/>
    </row>
    <row r="105" spans="1:32" ht="18.75" customHeight="1" x14ac:dyDescent="0.2">
      <c r="A105" s="1036"/>
      <c r="B105" s="851"/>
      <c r="C105" s="850"/>
      <c r="D105" s="850"/>
      <c r="E105" s="1031" t="s">
        <v>278</v>
      </c>
      <c r="F105" s="850"/>
      <c r="G105" s="1027"/>
      <c r="H105" s="1031"/>
      <c r="I105" s="1031"/>
      <c r="J105" s="1032"/>
      <c r="K105" s="1032"/>
      <c r="L105" s="1032"/>
      <c r="M105" s="1032"/>
      <c r="N105" s="1032"/>
      <c r="O105" s="1032"/>
      <c r="P105" s="448"/>
      <c r="Q105" s="448"/>
      <c r="R105" s="1032"/>
      <c r="S105" s="1032"/>
      <c r="T105" s="1032"/>
      <c r="U105" s="1027"/>
      <c r="V105" s="1027"/>
      <c r="W105" s="1027"/>
      <c r="X105" s="1027"/>
      <c r="Y105" s="1032"/>
      <c r="Z105" s="1032"/>
      <c r="AA105" s="1032"/>
      <c r="AB105" s="1027"/>
      <c r="AC105" s="1027"/>
      <c r="AD105" s="1032"/>
      <c r="AE105" s="1032"/>
      <c r="AF105" s="1031"/>
    </row>
    <row r="106" spans="1:32" ht="18.75" customHeight="1" x14ac:dyDescent="0.2">
      <c r="A106" s="1036">
        <v>83</v>
      </c>
      <c r="B106" s="461" t="s">
        <v>189</v>
      </c>
      <c r="C106" s="1036" t="s">
        <v>46</v>
      </c>
      <c r="D106" s="1036">
        <v>673</v>
      </c>
      <c r="E106" s="1036" t="s">
        <v>190</v>
      </c>
      <c r="F106" s="1036">
        <v>177.8</v>
      </c>
      <c r="G106" s="1036"/>
      <c r="H106" s="1036"/>
      <c r="I106" s="1032"/>
      <c r="J106" s="1032"/>
      <c r="K106" s="1032"/>
      <c r="L106" s="1032"/>
      <c r="M106" s="1032"/>
      <c r="N106" s="1032"/>
      <c r="O106" s="1032"/>
      <c r="P106" s="448"/>
      <c r="Q106" s="448"/>
      <c r="R106" s="1032"/>
      <c r="S106" s="1032"/>
      <c r="T106" s="1032"/>
      <c r="U106" s="1027"/>
      <c r="V106" s="1027"/>
      <c r="W106" s="1027"/>
      <c r="X106" s="1027"/>
      <c r="Y106" s="473"/>
      <c r="Z106" s="683"/>
      <c r="AA106" s="1031"/>
      <c r="AB106" s="1027"/>
      <c r="AC106" s="1032"/>
      <c r="AD106" s="1036"/>
      <c r="AE106" s="432"/>
      <c r="AF106" s="449"/>
    </row>
    <row r="107" spans="1:32" ht="18.75" customHeight="1" x14ac:dyDescent="0.3">
      <c r="A107" s="1044">
        <v>84</v>
      </c>
      <c r="B107" s="461" t="s">
        <v>181</v>
      </c>
      <c r="C107" s="684" t="s">
        <v>344</v>
      </c>
      <c r="D107" s="1036">
        <v>374.5</v>
      </c>
      <c r="E107" s="1036" t="s">
        <v>182</v>
      </c>
      <c r="F107" s="1036">
        <v>177.8</v>
      </c>
      <c r="G107" s="1036"/>
      <c r="H107" s="1036"/>
      <c r="I107" s="1032"/>
      <c r="J107" s="1036"/>
      <c r="K107" s="1036"/>
      <c r="L107" s="1036"/>
      <c r="M107" s="1036"/>
      <c r="N107" s="668"/>
      <c r="O107" s="1036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036"/>
      <c r="AE107" s="432"/>
      <c r="AF107" s="449"/>
    </row>
    <row r="108" spans="1:32" ht="18.75" customHeight="1" x14ac:dyDescent="0.2">
      <c r="A108" s="1044">
        <v>85</v>
      </c>
      <c r="B108" s="461" t="s">
        <v>174</v>
      </c>
      <c r="C108" s="1036" t="s">
        <v>46</v>
      </c>
      <c r="D108" s="1036">
        <v>672</v>
      </c>
      <c r="E108" s="1036" t="s">
        <v>175</v>
      </c>
      <c r="F108" s="1036">
        <v>177.8</v>
      </c>
      <c r="G108" s="1036"/>
      <c r="H108" s="1036"/>
      <c r="I108" s="1032"/>
      <c r="J108" s="1036"/>
      <c r="K108" s="1036"/>
      <c r="L108" s="1036"/>
      <c r="M108" s="1036"/>
      <c r="N108" s="668"/>
      <c r="O108" s="1036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036"/>
      <c r="AE108" s="432"/>
      <c r="AF108" s="449"/>
    </row>
    <row r="109" spans="1:32" ht="18.75" customHeight="1" x14ac:dyDescent="0.2">
      <c r="A109" s="1044">
        <v>86</v>
      </c>
      <c r="B109" s="1033" t="s">
        <v>103</v>
      </c>
      <c r="C109" s="1036" t="s">
        <v>46</v>
      </c>
      <c r="D109" s="1032">
        <v>582</v>
      </c>
      <c r="E109" s="1032" t="s">
        <v>112</v>
      </c>
      <c r="F109" s="1036">
        <v>177.8</v>
      </c>
      <c r="G109" s="1036"/>
      <c r="H109" s="1036"/>
      <c r="I109" s="1032"/>
      <c r="J109" s="1032"/>
      <c r="K109" s="1032"/>
      <c r="L109" s="1032"/>
      <c r="M109" s="1032"/>
      <c r="N109" s="1032"/>
      <c r="O109" s="1032"/>
      <c r="P109" s="448"/>
      <c r="Q109" s="448"/>
      <c r="R109" s="1032"/>
      <c r="S109" s="1032"/>
      <c r="T109" s="1032"/>
      <c r="U109" s="1027"/>
      <c r="V109" s="1027"/>
      <c r="W109" s="1027"/>
      <c r="X109" s="421"/>
      <c r="Y109" s="492"/>
      <c r="Z109" s="1032"/>
      <c r="AA109" s="1032"/>
      <c r="AB109" s="1027"/>
      <c r="AC109" s="1032"/>
      <c r="AD109" s="493"/>
      <c r="AE109" s="437"/>
      <c r="AF109" s="449"/>
    </row>
    <row r="110" spans="1:32" ht="18.75" customHeight="1" x14ac:dyDescent="0.2">
      <c r="A110" s="1044">
        <v>87</v>
      </c>
      <c r="B110" s="1036" t="s">
        <v>57</v>
      </c>
      <c r="C110" s="1034" t="s">
        <v>314</v>
      </c>
      <c r="D110" s="1036">
        <v>376.58</v>
      </c>
      <c r="E110" s="461" t="s">
        <v>93</v>
      </c>
      <c r="F110" s="1036">
        <v>177.8</v>
      </c>
      <c r="G110" s="1036"/>
      <c r="H110" s="1036"/>
      <c r="I110" s="1032"/>
      <c r="J110" s="1032"/>
      <c r="K110" s="1032"/>
      <c r="L110" s="1032"/>
      <c r="M110" s="1032"/>
      <c r="N110" s="1032"/>
      <c r="O110" s="1032"/>
      <c r="P110" s="448"/>
      <c r="Q110" s="448"/>
      <c r="R110" s="1032"/>
      <c r="S110" s="1032"/>
      <c r="T110" s="1032"/>
      <c r="U110" s="1027"/>
      <c r="V110" s="1027"/>
      <c r="W110" s="1027"/>
      <c r="X110" s="421"/>
      <c r="Y110" s="492"/>
      <c r="Z110" s="1032"/>
      <c r="AA110" s="1032"/>
      <c r="AB110" s="1027"/>
      <c r="AC110" s="1032"/>
      <c r="AD110" s="493"/>
      <c r="AE110" s="437"/>
      <c r="AF110" s="449"/>
    </row>
    <row r="111" spans="1:32" ht="18.75" customHeight="1" x14ac:dyDescent="0.2">
      <c r="A111" s="1044">
        <v>88</v>
      </c>
      <c r="B111" s="1036" t="s">
        <v>184</v>
      </c>
      <c r="C111" s="1034" t="s">
        <v>314</v>
      </c>
      <c r="D111" s="1036">
        <v>422.78</v>
      </c>
      <c r="E111" s="461" t="s">
        <v>185</v>
      </c>
      <c r="F111" s="1036">
        <v>177.8</v>
      </c>
      <c r="G111" s="1036"/>
      <c r="H111" s="1036"/>
      <c r="I111" s="432"/>
      <c r="J111" s="1032"/>
      <c r="K111" s="1032"/>
      <c r="L111" s="1032"/>
      <c r="M111" s="1032"/>
      <c r="N111" s="1032"/>
      <c r="O111" s="1032"/>
      <c r="P111" s="448"/>
      <c r="Q111" s="448"/>
      <c r="R111" s="1032"/>
      <c r="S111" s="1032"/>
      <c r="T111" s="1032"/>
      <c r="U111" s="1027"/>
      <c r="V111" s="1027"/>
      <c r="W111" s="1027"/>
      <c r="X111" s="421"/>
      <c r="Y111" s="492"/>
      <c r="Z111" s="1032"/>
      <c r="AA111" s="1032"/>
      <c r="AB111" s="1027"/>
      <c r="AC111" s="1032"/>
      <c r="AD111" s="493"/>
      <c r="AE111" s="437"/>
      <c r="AF111" s="449"/>
    </row>
    <row r="112" spans="1:32" ht="18.75" customHeight="1" x14ac:dyDescent="0.2">
      <c r="A112" s="1044">
        <v>89</v>
      </c>
      <c r="B112" s="1033" t="s">
        <v>220</v>
      </c>
      <c r="C112" s="1036" t="s">
        <v>46</v>
      </c>
      <c r="D112" s="1032">
        <v>685.69</v>
      </c>
      <c r="E112" s="1032" t="s">
        <v>222</v>
      </c>
      <c r="F112" s="1036">
        <v>177.8</v>
      </c>
      <c r="G112" s="1036"/>
      <c r="H112" s="1036"/>
      <c r="I112" s="1032"/>
      <c r="J112" s="1032"/>
      <c r="K112" s="1032"/>
      <c r="L112" s="1032"/>
      <c r="M112" s="1032"/>
      <c r="N112" s="1032"/>
      <c r="O112" s="1032"/>
      <c r="P112" s="448"/>
      <c r="Q112" s="771"/>
      <c r="R112" s="1032"/>
      <c r="S112" s="1032"/>
      <c r="T112" s="1032"/>
      <c r="U112" s="1027"/>
      <c r="V112" s="1027"/>
      <c r="W112" s="1027"/>
      <c r="X112" s="421"/>
      <c r="Y112" s="492"/>
      <c r="Z112" s="1032"/>
      <c r="AA112" s="1032"/>
      <c r="AB112" s="1027"/>
      <c r="AC112" s="1032"/>
      <c r="AD112" s="493"/>
      <c r="AE112" s="437"/>
      <c r="AF112" s="449"/>
    </row>
    <row r="113" spans="1:32" ht="18.75" customHeight="1" x14ac:dyDescent="0.2">
      <c r="A113" s="1036"/>
      <c r="B113" s="851"/>
      <c r="C113" s="850"/>
      <c r="D113" s="850"/>
      <c r="E113" s="1031" t="s">
        <v>469</v>
      </c>
      <c r="F113" s="850"/>
      <c r="G113" s="1036"/>
      <c r="H113" s="1036"/>
      <c r="I113" s="1032"/>
      <c r="J113" s="1036"/>
      <c r="K113" s="1036"/>
      <c r="L113" s="1036"/>
      <c r="M113" s="1036"/>
      <c r="N113" s="668"/>
      <c r="O113" s="1036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036"/>
      <c r="AE113" s="432"/>
      <c r="AF113" s="449"/>
    </row>
    <row r="114" spans="1:32" ht="18.75" customHeight="1" x14ac:dyDescent="0.2">
      <c r="A114" s="1036">
        <v>90</v>
      </c>
      <c r="B114" s="461" t="s">
        <v>56</v>
      </c>
      <c r="C114" s="1036" t="s">
        <v>46</v>
      </c>
      <c r="D114" s="1036">
        <v>680.52</v>
      </c>
      <c r="E114" s="1036" t="s">
        <v>92</v>
      </c>
      <c r="F114" s="1036">
        <v>177.8</v>
      </c>
      <c r="G114" s="1036"/>
      <c r="H114" s="1036"/>
      <c r="I114" s="1032"/>
      <c r="J114" s="1036"/>
      <c r="K114" s="1036"/>
      <c r="L114" s="1036"/>
      <c r="M114" s="1036"/>
      <c r="N114" s="668"/>
      <c r="O114" s="1036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036"/>
      <c r="AE114" s="432"/>
      <c r="AF114" s="449"/>
    </row>
    <row r="115" spans="1:32" ht="18.75" customHeight="1" x14ac:dyDescent="0.2">
      <c r="A115" s="1036"/>
      <c r="B115" s="461"/>
      <c r="C115" s="1036"/>
      <c r="D115" s="1036"/>
      <c r="E115" s="1036"/>
      <c r="F115" s="1036"/>
      <c r="G115" s="1036"/>
      <c r="H115" s="1036"/>
      <c r="I115" s="1032"/>
      <c r="J115" s="1036"/>
      <c r="K115" s="1036"/>
      <c r="L115" s="1036"/>
      <c r="M115" s="1036"/>
      <c r="N115" s="668"/>
      <c r="O115" s="1036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036"/>
      <c r="AE115" s="432"/>
      <c r="AF115" s="449"/>
    </row>
    <row r="116" spans="1:32" ht="18.75" x14ac:dyDescent="0.25">
      <c r="A116" s="870"/>
      <c r="B116" s="1036"/>
      <c r="C116" s="1036"/>
      <c r="D116" s="1036"/>
      <c r="E116" s="461"/>
      <c r="F116" s="1036"/>
      <c r="G116" s="1036"/>
      <c r="H116" s="1036"/>
      <c r="I116" s="1032"/>
      <c r="J116" s="1036"/>
      <c r="K116" s="1036"/>
      <c r="L116" s="1036"/>
      <c r="M116" s="1036"/>
      <c r="N116" s="668"/>
      <c r="O116" s="1036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036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035"/>
      <c r="G117" s="1036"/>
      <c r="H117" s="1036"/>
      <c r="I117" s="432"/>
      <c r="J117" s="1036"/>
      <c r="K117" s="1035"/>
      <c r="L117" s="1036"/>
      <c r="M117" s="1035"/>
      <c r="N117" s="668"/>
      <c r="O117" s="1035"/>
      <c r="P117" s="682"/>
      <c r="Q117" s="774"/>
      <c r="R117" s="466">
        <f>R79+R90+R98</f>
        <v>429.00127535153013</v>
      </c>
      <c r="S117" s="466">
        <f>S79+S90+S98</f>
        <v>929.43251422663343</v>
      </c>
      <c r="T117" s="678">
        <f>T79+T90+T98</f>
        <v>12006.129032258064</v>
      </c>
      <c r="U117" s="466">
        <f>T117/R117</f>
        <v>27.986231561712867</v>
      </c>
      <c r="V117" s="466"/>
      <c r="W117" s="466"/>
      <c r="X117" s="466"/>
      <c r="Y117" s="466">
        <f>Y79+Y98+Y90</f>
        <v>422.56625622125705</v>
      </c>
      <c r="Z117" s="466">
        <f>Z79+Z98+Z90</f>
        <v>915.49102651323403</v>
      </c>
      <c r="AA117" s="678">
        <f>AA79+AA98+AA90</f>
        <v>30546.41919354838</v>
      </c>
      <c r="AB117" s="466">
        <f>AB79+AB98+AB90</f>
        <v>952.45773102435578</v>
      </c>
      <c r="AC117" s="466"/>
      <c r="AD117" s="466"/>
      <c r="AE117" s="686">
        <f>AE79+AE90+AE98</f>
        <v>13099.553942858975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12444.576245716025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039"/>
      <c r="Y120" s="1039"/>
      <c r="Z120" s="1039"/>
      <c r="AA120" s="1039"/>
      <c r="AB120" s="1039"/>
      <c r="AC120" s="1039"/>
      <c r="AD120" s="1039"/>
      <c r="AE120" s="1039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268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039" t="s">
        <v>373</v>
      </c>
      <c r="AC121" s="1039"/>
      <c r="AD121" s="1039"/>
      <c r="AE121" s="1039"/>
      <c r="AF121" s="1039"/>
    </row>
  </sheetData>
  <mergeCells count="33">
    <mergeCell ref="U13:U14"/>
    <mergeCell ref="AF13:AF14"/>
    <mergeCell ref="B117:E117"/>
    <mergeCell ref="K119:M119"/>
    <mergeCell ref="AB13:AB14"/>
    <mergeCell ref="AC13:AC14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121"/>
  <sheetViews>
    <sheetView zoomScale="71" zoomScaleNormal="71" workbookViewId="0">
      <pane xSplit="2" topLeftCell="C1" activePane="topRight" state="frozen"/>
      <selection pane="topRight" activeCell="E81" sqref="E81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10.85546875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058"/>
      <c r="G2" s="1047"/>
      <c r="H2" s="1047"/>
      <c r="I2" s="1058"/>
      <c r="J2" s="1909" t="s">
        <v>512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058"/>
      <c r="Y2" s="1058"/>
      <c r="Z2" s="1058"/>
      <c r="AA2" s="1058"/>
      <c r="AB2" s="1058"/>
      <c r="AC2" s="1058"/>
      <c r="AD2" s="1058"/>
      <c r="AE2" s="1058"/>
      <c r="AF2" s="405"/>
    </row>
    <row r="3" spans="1:32" ht="18.75" x14ac:dyDescent="0.2">
      <c r="A3" s="1910" t="s">
        <v>54</v>
      </c>
      <c r="B3" s="1910"/>
      <c r="C3" s="1910"/>
      <c r="D3" s="1910"/>
      <c r="E3" s="1058"/>
      <c r="F3" s="1058"/>
      <c r="G3" s="1047"/>
      <c r="H3" s="1057"/>
      <c r="I3" s="1057"/>
      <c r="J3" s="1057"/>
      <c r="K3" s="1057"/>
      <c r="L3" s="1057"/>
      <c r="M3" s="1057"/>
      <c r="N3" s="1057"/>
      <c r="O3" s="1057"/>
      <c r="P3" s="1057"/>
      <c r="Q3" s="767"/>
      <c r="R3" s="1058"/>
      <c r="S3" s="1058"/>
      <c r="T3" s="1058"/>
      <c r="U3" s="1058"/>
      <c r="V3" s="1058"/>
      <c r="W3" s="1058"/>
      <c r="X3" s="1058"/>
      <c r="Y3" s="1058"/>
      <c r="Z3" s="1058"/>
      <c r="AA3" s="1058"/>
      <c r="AB3" s="1058"/>
      <c r="AC3" s="1058"/>
      <c r="AD3" s="1058"/>
      <c r="AE3" s="1058"/>
      <c r="AF3" s="408" t="s">
        <v>55</v>
      </c>
    </row>
    <row r="4" spans="1:32" ht="18.75" x14ac:dyDescent="0.2">
      <c r="A4" s="1048"/>
      <c r="B4" s="1048"/>
      <c r="C4" s="1048"/>
      <c r="D4" s="1048"/>
      <c r="E4" s="1058"/>
      <c r="F4" s="1058"/>
      <c r="G4" s="1047"/>
      <c r="H4" s="1057"/>
      <c r="I4" s="1057"/>
      <c r="J4" s="1057"/>
      <c r="K4" s="1057"/>
      <c r="L4" s="1057"/>
      <c r="M4" s="1057"/>
      <c r="N4" s="1057"/>
      <c r="O4" s="1057"/>
      <c r="P4" s="1057"/>
      <c r="Q4" s="767"/>
      <c r="R4" s="1058"/>
      <c r="S4" s="1058"/>
      <c r="T4" s="1058"/>
      <c r="U4" s="1058"/>
      <c r="V4" s="1058"/>
      <c r="W4" s="1058"/>
      <c r="X4" s="1058"/>
      <c r="Y4" s="1058"/>
      <c r="Z4" s="1058"/>
      <c r="AA4" s="1058"/>
      <c r="AB4" s="1058"/>
      <c r="AC4" s="1058"/>
      <c r="AD4" s="1058"/>
      <c r="AE4" s="1058"/>
      <c r="AF4" s="408"/>
    </row>
    <row r="5" spans="1:32" ht="18.75" x14ac:dyDescent="0.2">
      <c r="A5" s="1049" t="s">
        <v>494</v>
      </c>
      <c r="B5" s="1049"/>
      <c r="C5" s="1049"/>
      <c r="D5" s="1049"/>
      <c r="E5" s="1049"/>
      <c r="F5" s="1058"/>
      <c r="G5" s="1047"/>
      <c r="H5" s="1047"/>
      <c r="I5" s="1057"/>
      <c r="J5" s="1057"/>
      <c r="K5" s="1057"/>
      <c r="L5" s="1057"/>
      <c r="M5" s="1057"/>
      <c r="N5" s="1057"/>
      <c r="O5" s="1057"/>
      <c r="P5" s="1057"/>
      <c r="Q5" s="767"/>
      <c r="R5" s="1059"/>
      <c r="S5" s="1059"/>
      <c r="T5" s="1059"/>
      <c r="U5" s="1059"/>
      <c r="V5" s="1059"/>
      <c r="W5" s="1059"/>
      <c r="X5" s="1058"/>
      <c r="Y5" s="1058"/>
      <c r="Z5" s="1058"/>
      <c r="AA5" s="1058"/>
      <c r="AB5" s="1058"/>
      <c r="AC5" s="1058"/>
      <c r="AD5" s="1058"/>
      <c r="AE5" s="1058"/>
      <c r="AF5" s="411" t="s">
        <v>468</v>
      </c>
    </row>
    <row r="6" spans="1:32" ht="18.75" x14ac:dyDescent="0.2">
      <c r="A6" s="1049" t="s">
        <v>499</v>
      </c>
      <c r="B6" s="412"/>
      <c r="C6" s="412"/>
      <c r="D6" s="412"/>
      <c r="E6" s="1058"/>
      <c r="F6" s="1058"/>
      <c r="G6" s="1047"/>
      <c r="H6" s="1047"/>
      <c r="I6" s="1058"/>
      <c r="J6" s="1058"/>
      <c r="K6" s="1047"/>
      <c r="L6" s="1047"/>
      <c r="M6" s="1058"/>
      <c r="N6" s="1058"/>
      <c r="O6" s="1058"/>
      <c r="P6" s="413"/>
      <c r="Q6" s="76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415" t="s">
        <v>511</v>
      </c>
    </row>
    <row r="7" spans="1:32" ht="18.75" x14ac:dyDescent="0.2">
      <c r="A7" s="1058"/>
      <c r="B7" s="1049"/>
      <c r="C7" s="1049"/>
      <c r="D7" s="1049"/>
      <c r="E7" s="1058"/>
      <c r="F7" s="1058"/>
      <c r="G7" s="1047"/>
      <c r="H7" s="1047"/>
      <c r="I7" s="405"/>
      <c r="J7" s="1058"/>
      <c r="K7" s="1047"/>
      <c r="L7" s="1047"/>
      <c r="M7" s="1058"/>
      <c r="N7" s="1058"/>
      <c r="O7" s="1058"/>
      <c r="P7" s="413"/>
      <c r="Q7" s="768"/>
      <c r="R7" s="1058"/>
      <c r="S7" s="1058"/>
      <c r="T7" s="1058"/>
      <c r="U7" s="1058"/>
      <c r="V7" s="1058"/>
      <c r="W7" s="411"/>
      <c r="X7" s="1058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058"/>
      <c r="G8" s="1047"/>
      <c r="H8" s="1047"/>
      <c r="I8" s="405"/>
      <c r="J8" s="1058"/>
      <c r="K8" s="1047"/>
      <c r="L8" s="1047"/>
      <c r="M8" s="1058"/>
      <c r="N8" s="1058"/>
      <c r="O8" s="1058"/>
      <c r="P8" s="413"/>
      <c r="Q8" s="768"/>
      <c r="R8" s="1058"/>
      <c r="S8" s="1058"/>
      <c r="T8" s="1058"/>
      <c r="U8" s="1058"/>
      <c r="V8" s="1058"/>
      <c r="W8" s="411"/>
      <c r="X8" s="1058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058"/>
      <c r="G9" s="1047"/>
      <c r="H9" s="1047"/>
      <c r="I9" s="405"/>
      <c r="J9" s="1058"/>
      <c r="K9" s="1047"/>
      <c r="L9" s="1047"/>
      <c r="M9" s="1058"/>
      <c r="N9" s="1058"/>
      <c r="O9" s="1058"/>
      <c r="P9" s="413"/>
      <c r="Q9" s="768"/>
      <c r="R9" s="1058"/>
      <c r="S9" s="1058"/>
      <c r="T9" s="1058"/>
      <c r="U9" s="1058"/>
      <c r="V9" s="1058"/>
      <c r="W9" s="411"/>
      <c r="X9" s="1058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058"/>
      <c r="G10" s="1047"/>
      <c r="H10" s="1047"/>
      <c r="I10" s="1058"/>
      <c r="J10" s="1058"/>
      <c r="K10" s="1047"/>
      <c r="L10" s="1047"/>
      <c r="M10" s="1047"/>
      <c r="N10" s="1047"/>
      <c r="O10" s="1047"/>
      <c r="P10" s="1047"/>
      <c r="Q10" s="769"/>
      <c r="R10" s="1047"/>
      <c r="S10" s="1047"/>
      <c r="T10" s="1047"/>
      <c r="U10" s="1047"/>
      <c r="V10" s="1047"/>
      <c r="W10" s="1058"/>
      <c r="X10" s="1058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47"/>
      <c r="C11" s="1047"/>
      <c r="D11" s="1047"/>
      <c r="E11" s="1058"/>
      <c r="F11" s="1058"/>
      <c r="G11" s="1047"/>
      <c r="H11" s="1047"/>
      <c r="I11" s="405"/>
      <c r="J11" s="1058"/>
      <c r="K11" s="1047"/>
      <c r="L11" s="1047"/>
      <c r="M11" s="1058"/>
      <c r="N11" s="1058"/>
      <c r="O11" s="1058"/>
      <c r="P11" s="413"/>
      <c r="Q11" s="768"/>
      <c r="R11" s="1058"/>
      <c r="S11" s="1058"/>
      <c r="T11" s="1058"/>
      <c r="U11" s="1058"/>
      <c r="V11" s="1058"/>
      <c r="W11" s="411"/>
      <c r="X11" s="1058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046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046" t="s">
        <v>18</v>
      </c>
      <c r="AE13" s="1046" t="s">
        <v>20</v>
      </c>
      <c r="AF13" s="1891" t="s">
        <v>21</v>
      </c>
    </row>
    <row r="14" spans="1:32" ht="37.5" x14ac:dyDescent="0.2">
      <c r="A14" s="1891"/>
      <c r="B14" s="1891"/>
      <c r="C14" s="1903"/>
      <c r="D14" s="1051" t="s">
        <v>3</v>
      </c>
      <c r="E14" s="1051" t="s">
        <v>3</v>
      </c>
      <c r="F14" s="1051" t="s">
        <v>4</v>
      </c>
      <c r="G14" s="1903"/>
      <c r="H14" s="1903"/>
      <c r="I14" s="1891"/>
      <c r="J14" s="1051" t="s">
        <v>7</v>
      </c>
      <c r="K14" s="1051" t="s">
        <v>30</v>
      </c>
      <c r="L14" s="1051" t="s">
        <v>29</v>
      </c>
      <c r="M14" s="1051" t="s">
        <v>31</v>
      </c>
      <c r="N14" s="1051" t="s">
        <v>32</v>
      </c>
      <c r="O14" s="1051" t="s">
        <v>12</v>
      </c>
      <c r="P14" s="448" t="s">
        <v>13</v>
      </c>
      <c r="Q14" s="771" t="s">
        <v>26</v>
      </c>
      <c r="R14" s="1051" t="s">
        <v>14</v>
      </c>
      <c r="S14" s="1051" t="s">
        <v>25</v>
      </c>
      <c r="T14" s="1051" t="s">
        <v>113</v>
      </c>
      <c r="U14" s="1903"/>
      <c r="V14" s="1903"/>
      <c r="W14" s="1903"/>
      <c r="X14" s="1903"/>
      <c r="Y14" s="1051" t="s">
        <v>14</v>
      </c>
      <c r="Z14" s="1051" t="s">
        <v>25</v>
      </c>
      <c r="AA14" s="1051" t="s">
        <v>113</v>
      </c>
      <c r="AB14" s="1903"/>
      <c r="AC14" s="1903"/>
      <c r="AD14" s="1051" t="s">
        <v>19</v>
      </c>
      <c r="AE14" s="1051" t="s">
        <v>27</v>
      </c>
      <c r="AF14" s="1891"/>
    </row>
    <row r="15" spans="1:32" ht="18.75" customHeight="1" x14ac:dyDescent="0.2">
      <c r="A15" s="1055">
        <v>1</v>
      </c>
      <c r="B15" s="461" t="s">
        <v>139</v>
      </c>
      <c r="C15" s="1055" t="s">
        <v>46</v>
      </c>
      <c r="D15" s="1055">
        <v>610.5</v>
      </c>
      <c r="E15" s="1055" t="s">
        <v>203</v>
      </c>
      <c r="F15" s="1055">
        <v>177.8</v>
      </c>
      <c r="G15" s="1055" t="s">
        <v>28</v>
      </c>
      <c r="H15" s="452" t="s">
        <v>363</v>
      </c>
      <c r="I15" s="1051">
        <v>558.54</v>
      </c>
      <c r="J15" s="1055" t="s">
        <v>513</v>
      </c>
      <c r="K15" s="1055"/>
      <c r="L15" s="1055">
        <v>386</v>
      </c>
      <c r="M15" s="1055"/>
      <c r="N15" s="1055">
        <v>0.5</v>
      </c>
      <c r="O15" s="1055"/>
      <c r="P15" s="668">
        <v>15.90126961728599</v>
      </c>
      <c r="Q15" s="668">
        <f>J15*7/100</f>
        <v>15.26</v>
      </c>
      <c r="R15" s="432">
        <v>2.3809999999999998</v>
      </c>
      <c r="S15" s="432">
        <v>7.5090000000000003</v>
      </c>
      <c r="T15" s="670">
        <v>6</v>
      </c>
      <c r="U15" s="668">
        <f t="shared" ref="U15:U34" si="0">IF(R15=0,0,T15/R15)</f>
        <v>2.5199496010079803</v>
      </c>
      <c r="V15" s="668">
        <f>IF(S15=0,0,(S15-R15)/S15*100)</f>
        <v>68.291383672925818</v>
      </c>
      <c r="W15" s="668">
        <v>0.2</v>
      </c>
      <c r="X15" s="432">
        <f>IF(S15=0,0,S15/Q15)</f>
        <v>0.49207077326343385</v>
      </c>
      <c r="Y15" s="432">
        <f t="shared" ref="Y15:Y78" si="1">R15*0.985</f>
        <v>2.3452849999999996</v>
      </c>
      <c r="Z15" s="432">
        <f>S15*0.985</f>
        <v>7.3963650000000003</v>
      </c>
      <c r="AA15" s="670">
        <v>11</v>
      </c>
      <c r="AB15" s="432">
        <f>U15</f>
        <v>2.5199496010079803</v>
      </c>
      <c r="AC15" s="670">
        <f t="shared" ref="AC15:AC78" si="2">V15</f>
        <v>68.291383672925818</v>
      </c>
      <c r="AD15" s="1055">
        <v>30</v>
      </c>
      <c r="AE15" s="432">
        <f>Y15*AD15</f>
        <v>70.358549999999994</v>
      </c>
      <c r="AF15" s="669"/>
    </row>
    <row r="16" spans="1:32" ht="18.75" customHeight="1" x14ac:dyDescent="0.2">
      <c r="A16" s="1055">
        <v>2</v>
      </c>
      <c r="B16" s="461" t="s">
        <v>140</v>
      </c>
      <c r="C16" s="1055" t="s">
        <v>46</v>
      </c>
      <c r="D16" s="1055">
        <v>623.5</v>
      </c>
      <c r="E16" s="1055" t="s">
        <v>480</v>
      </c>
      <c r="F16" s="1055">
        <v>177.8</v>
      </c>
      <c r="G16" s="1055" t="s">
        <v>28</v>
      </c>
      <c r="H16" s="1055" t="s">
        <v>50</v>
      </c>
      <c r="I16" s="1051">
        <v>586.46999999999991</v>
      </c>
      <c r="J16" s="1055" t="s">
        <v>251</v>
      </c>
      <c r="K16" s="1055"/>
      <c r="L16" s="1055">
        <v>305</v>
      </c>
      <c r="M16" s="1055"/>
      <c r="N16" s="1055">
        <v>7.4</v>
      </c>
      <c r="O16" s="1055"/>
      <c r="P16" s="668">
        <v>34.768617938042283</v>
      </c>
      <c r="Q16" s="668">
        <f t="shared" ref="Q16:Q39" si="3">LEFT(H16,(FIND("K",H16,1)-1))*J16/100</f>
        <v>11.1</v>
      </c>
      <c r="R16" s="432">
        <v>1.6439999999999999</v>
      </c>
      <c r="S16" s="432">
        <v>5.3929999999999998</v>
      </c>
      <c r="T16" s="670">
        <v>14</v>
      </c>
      <c r="U16" s="668">
        <f t="shared" si="0"/>
        <v>8.5158150851581507</v>
      </c>
      <c r="V16" s="668">
        <f t="shared" ref="V16:V78" si="4">IF(S16=0,0,(S16-R16)/S16*100)</f>
        <v>69.516039310216954</v>
      </c>
      <c r="W16" s="668">
        <v>0.2</v>
      </c>
      <c r="X16" s="432">
        <f>IF(S16=0,0,S16/Q16)</f>
        <v>0.48585585585585583</v>
      </c>
      <c r="Y16" s="432">
        <f t="shared" si="1"/>
        <v>1.6193399999999998</v>
      </c>
      <c r="Z16" s="432">
        <f t="shared" ref="Z16:AA78" si="5">S16*0.985</f>
        <v>5.3121049999999999</v>
      </c>
      <c r="AA16" s="670">
        <f t="shared" si="5"/>
        <v>13.79</v>
      </c>
      <c r="AB16" s="432">
        <f t="shared" ref="AB16:AB78" si="6">U16</f>
        <v>8.5158150851581507</v>
      </c>
      <c r="AC16" s="670">
        <f t="shared" si="2"/>
        <v>69.516039310216954</v>
      </c>
      <c r="AD16" s="1055">
        <v>30</v>
      </c>
      <c r="AE16" s="432">
        <f t="shared" ref="AE16:AE59" si="7">Y16*AD16</f>
        <v>48.580199999999991</v>
      </c>
      <c r="AF16" s="669"/>
    </row>
    <row r="17" spans="1:32" ht="18.75" customHeight="1" x14ac:dyDescent="0.2">
      <c r="A17" s="1055">
        <v>3</v>
      </c>
      <c r="B17" s="461" t="s">
        <v>141</v>
      </c>
      <c r="C17" s="1055" t="s">
        <v>46</v>
      </c>
      <c r="D17" s="1055">
        <v>670</v>
      </c>
      <c r="E17" s="1055" t="s">
        <v>68</v>
      </c>
      <c r="F17" s="1055">
        <v>177.8</v>
      </c>
      <c r="G17" s="1055" t="s">
        <v>28</v>
      </c>
      <c r="H17" s="1055" t="s">
        <v>218</v>
      </c>
      <c r="I17" s="1051">
        <v>565.94000000000005</v>
      </c>
      <c r="J17" s="1055" t="s">
        <v>514</v>
      </c>
      <c r="K17" s="1055"/>
      <c r="L17" s="1055">
        <v>490</v>
      </c>
      <c r="M17" s="1055"/>
      <c r="N17" s="668">
        <v>10</v>
      </c>
      <c r="O17" s="1055"/>
      <c r="P17" s="668">
        <v>12.364309740551448</v>
      </c>
      <c r="Q17" s="668">
        <f>LEFT(H17,(FIND("K",H17,1)-1))*J17/100</f>
        <v>99.2</v>
      </c>
      <c r="R17" s="432">
        <v>13.366</v>
      </c>
      <c r="S17" s="432">
        <v>22.088000000000001</v>
      </c>
      <c r="T17" s="670">
        <v>1187</v>
      </c>
      <c r="U17" s="668">
        <f t="shared" si="0"/>
        <v>88.80742181654945</v>
      </c>
      <c r="V17" s="668">
        <f t="shared" si="4"/>
        <v>39.487504527345166</v>
      </c>
      <c r="W17" s="668">
        <v>0.3</v>
      </c>
      <c r="X17" s="432">
        <f t="shared" ref="X17:X78" si="8">IF(S17=0,0,S17/Q17)</f>
        <v>0.22266129032258064</v>
      </c>
      <c r="Y17" s="432">
        <f t="shared" si="1"/>
        <v>13.165509999999999</v>
      </c>
      <c r="Z17" s="432">
        <f t="shared" si="5"/>
        <v>21.756679999999999</v>
      </c>
      <c r="AA17" s="670">
        <f t="shared" si="5"/>
        <v>1169.1949999999999</v>
      </c>
      <c r="AB17" s="432">
        <f t="shared" si="6"/>
        <v>88.80742181654945</v>
      </c>
      <c r="AC17" s="670">
        <f t="shared" si="2"/>
        <v>39.487504527345166</v>
      </c>
      <c r="AD17" s="1055">
        <v>30</v>
      </c>
      <c r="AE17" s="432">
        <f>Y17*AD17</f>
        <v>394.96529999999996</v>
      </c>
      <c r="AF17" s="669"/>
    </row>
    <row r="18" spans="1:32" ht="18.75" customHeight="1" x14ac:dyDescent="0.2">
      <c r="A18" s="1055">
        <v>4</v>
      </c>
      <c r="B18" s="461" t="s">
        <v>142</v>
      </c>
      <c r="C18" s="1055" t="s">
        <v>46</v>
      </c>
      <c r="D18" s="1055">
        <v>628</v>
      </c>
      <c r="E18" s="1055" t="s">
        <v>481</v>
      </c>
      <c r="F18" s="1055">
        <v>177.8</v>
      </c>
      <c r="G18" s="1055" t="s">
        <v>28</v>
      </c>
      <c r="H18" s="831" t="s">
        <v>466</v>
      </c>
      <c r="I18" s="1051">
        <v>541.28</v>
      </c>
      <c r="J18" s="1055" t="s">
        <v>318</v>
      </c>
      <c r="K18" s="1055"/>
      <c r="L18" s="1055">
        <v>450</v>
      </c>
      <c r="M18" s="1055"/>
      <c r="N18" s="668">
        <v>3.9</v>
      </c>
      <c r="O18" s="1055"/>
      <c r="P18" s="668">
        <v>16.04752344106765</v>
      </c>
      <c r="Q18" s="668">
        <f>13*J18/100</f>
        <v>24.7</v>
      </c>
      <c r="R18" s="432">
        <v>4.4390000000000001</v>
      </c>
      <c r="S18" s="432">
        <v>5.835</v>
      </c>
      <c r="T18" s="670">
        <v>37</v>
      </c>
      <c r="U18" s="668">
        <f t="shared" si="0"/>
        <v>8.3352106330254561</v>
      </c>
      <c r="V18" s="668">
        <f t="shared" si="4"/>
        <v>23.924592973436159</v>
      </c>
      <c r="W18" s="668">
        <v>0.3</v>
      </c>
      <c r="X18" s="432">
        <f t="shared" si="8"/>
        <v>0.23623481781376518</v>
      </c>
      <c r="Y18" s="432">
        <f t="shared" si="1"/>
        <v>4.3724150000000002</v>
      </c>
      <c r="Z18" s="432">
        <f t="shared" si="5"/>
        <v>5.7474749999999997</v>
      </c>
      <c r="AA18" s="670">
        <f t="shared" si="5"/>
        <v>36.445</v>
      </c>
      <c r="AB18" s="432">
        <f t="shared" si="6"/>
        <v>8.3352106330254561</v>
      </c>
      <c r="AC18" s="670">
        <f t="shared" si="2"/>
        <v>23.924592973436159</v>
      </c>
      <c r="AD18" s="1055">
        <v>30</v>
      </c>
      <c r="AE18" s="432">
        <f t="shared" si="7"/>
        <v>131.17245</v>
      </c>
      <c r="AF18" s="669"/>
    </row>
    <row r="19" spans="1:32" ht="18.75" customHeight="1" x14ac:dyDescent="0.2">
      <c r="A19" s="1055">
        <v>5</v>
      </c>
      <c r="B19" s="461" t="s">
        <v>143</v>
      </c>
      <c r="C19" s="1055" t="s">
        <v>46</v>
      </c>
      <c r="D19" s="1055">
        <v>576.6</v>
      </c>
      <c r="E19" s="1055" t="s">
        <v>70</v>
      </c>
      <c r="F19" s="1055">
        <v>177.8</v>
      </c>
      <c r="G19" s="1055" t="s">
        <v>28</v>
      </c>
      <c r="H19" s="550" t="s">
        <v>53</v>
      </c>
      <c r="I19" s="1051">
        <v>546.04999999999995</v>
      </c>
      <c r="J19" s="1055" t="s">
        <v>258</v>
      </c>
      <c r="K19" s="1055"/>
      <c r="L19" s="1055">
        <v>427</v>
      </c>
      <c r="M19" s="1055"/>
      <c r="N19" s="668">
        <v>3.9</v>
      </c>
      <c r="O19" s="1055"/>
      <c r="P19" s="668">
        <v>17.066268903317908</v>
      </c>
      <c r="Q19" s="668">
        <f t="shared" si="3"/>
        <v>20.149999999999999</v>
      </c>
      <c r="R19" s="432">
        <v>6.1050000000000004</v>
      </c>
      <c r="S19" s="432">
        <v>6.5440000000000005</v>
      </c>
      <c r="T19" s="670">
        <v>33</v>
      </c>
      <c r="U19" s="668">
        <f t="shared" si="0"/>
        <v>5.4054054054054053</v>
      </c>
      <c r="V19" s="668">
        <f t="shared" si="4"/>
        <v>6.7084352078239613</v>
      </c>
      <c r="W19" s="668">
        <v>0.3</v>
      </c>
      <c r="X19" s="432">
        <f t="shared" si="8"/>
        <v>0.32476426799007446</v>
      </c>
      <c r="Y19" s="432">
        <f t="shared" si="1"/>
        <v>6.0134250000000007</v>
      </c>
      <c r="Z19" s="432">
        <f t="shared" si="5"/>
        <v>6.4458400000000005</v>
      </c>
      <c r="AA19" s="670">
        <f t="shared" si="5"/>
        <v>32.505000000000003</v>
      </c>
      <c r="AB19" s="432">
        <f t="shared" si="6"/>
        <v>5.4054054054054053</v>
      </c>
      <c r="AC19" s="670">
        <f t="shared" si="2"/>
        <v>6.7084352078239613</v>
      </c>
      <c r="AD19" s="1055">
        <v>30</v>
      </c>
      <c r="AE19" s="432">
        <f t="shared" si="7"/>
        <v>180.40275000000003</v>
      </c>
      <c r="AF19" s="669"/>
    </row>
    <row r="20" spans="1:32" ht="18.75" customHeight="1" x14ac:dyDescent="0.2">
      <c r="A20" s="1055">
        <v>6</v>
      </c>
      <c r="B20" s="461" t="s">
        <v>144</v>
      </c>
      <c r="C20" s="1055" t="s">
        <v>46</v>
      </c>
      <c r="D20" s="1055">
        <v>676.6</v>
      </c>
      <c r="E20" s="1055" t="s">
        <v>460</v>
      </c>
      <c r="F20" s="1055">
        <v>177.8</v>
      </c>
      <c r="G20" s="1055" t="s">
        <v>28</v>
      </c>
      <c r="H20" s="1055" t="s">
        <v>461</v>
      </c>
      <c r="I20" s="1051">
        <v>567.16</v>
      </c>
      <c r="J20" s="1055" t="s">
        <v>375</v>
      </c>
      <c r="K20" s="1055"/>
      <c r="L20" s="1055">
        <v>384</v>
      </c>
      <c r="M20" s="1055"/>
      <c r="N20" s="668">
        <v>0.5</v>
      </c>
      <c r="O20" s="1055"/>
      <c r="P20" s="668">
        <v>16.053397148691062</v>
      </c>
      <c r="Q20" s="668">
        <v>18.7</v>
      </c>
      <c r="R20" s="432">
        <v>2.004</v>
      </c>
      <c r="S20" s="432">
        <v>2.5249999999999999</v>
      </c>
      <c r="T20" s="670">
        <v>0</v>
      </c>
      <c r="U20" s="668">
        <f t="shared" si="0"/>
        <v>0</v>
      </c>
      <c r="V20" s="668">
        <f t="shared" si="4"/>
        <v>20.633663366336631</v>
      </c>
      <c r="W20" s="668">
        <v>0.2</v>
      </c>
      <c r="X20" s="432">
        <f t="shared" si="8"/>
        <v>0.13502673796791445</v>
      </c>
      <c r="Y20" s="432">
        <f t="shared" si="1"/>
        <v>1.97394</v>
      </c>
      <c r="Z20" s="432">
        <f t="shared" si="5"/>
        <v>2.4871249999999998</v>
      </c>
      <c r="AA20" s="670">
        <f t="shared" si="5"/>
        <v>0</v>
      </c>
      <c r="AB20" s="432">
        <v>14.613</v>
      </c>
      <c r="AC20" s="670">
        <f t="shared" si="2"/>
        <v>20.633663366336631</v>
      </c>
      <c r="AD20" s="1055">
        <v>30</v>
      </c>
      <c r="AE20" s="432">
        <f t="shared" si="7"/>
        <v>59.218200000000003</v>
      </c>
      <c r="AF20" s="669"/>
    </row>
    <row r="21" spans="1:32" ht="18.75" customHeight="1" x14ac:dyDescent="0.2">
      <c r="A21" s="1055">
        <v>7</v>
      </c>
      <c r="B21" s="461" t="s">
        <v>145</v>
      </c>
      <c r="C21" s="1055" t="s">
        <v>46</v>
      </c>
      <c r="D21" s="1055" t="s">
        <v>47</v>
      </c>
      <c r="E21" s="1055" t="s">
        <v>72</v>
      </c>
      <c r="F21" s="1055">
        <v>177.8</v>
      </c>
      <c r="G21" s="1055" t="s">
        <v>28</v>
      </c>
      <c r="H21" s="1055" t="s">
        <v>52</v>
      </c>
      <c r="I21" s="1051">
        <v>560</v>
      </c>
      <c r="J21" s="1055" t="s">
        <v>515</v>
      </c>
      <c r="K21" s="1055"/>
      <c r="L21" s="1055">
        <v>451</v>
      </c>
      <c r="M21" s="1055"/>
      <c r="N21" s="668">
        <v>6.2</v>
      </c>
      <c r="O21" s="1055"/>
      <c r="P21" s="668">
        <v>16.82290100051824</v>
      </c>
      <c r="Q21" s="668">
        <f t="shared" si="3"/>
        <v>72.16</v>
      </c>
      <c r="R21" s="432">
        <v>9.8810000000000002</v>
      </c>
      <c r="S21" s="432">
        <v>12.851000000000001</v>
      </c>
      <c r="T21" s="670">
        <v>73</v>
      </c>
      <c r="U21" s="668">
        <f t="shared" si="0"/>
        <v>7.3879162028134804</v>
      </c>
      <c r="V21" s="668">
        <f t="shared" si="4"/>
        <v>23.111041942261306</v>
      </c>
      <c r="W21" s="668">
        <v>0.2</v>
      </c>
      <c r="X21" s="432">
        <f t="shared" si="8"/>
        <v>0.17809035476718404</v>
      </c>
      <c r="Y21" s="432">
        <f t="shared" si="1"/>
        <v>9.7327849999999998</v>
      </c>
      <c r="Z21" s="432">
        <f t="shared" si="5"/>
        <v>12.658235000000001</v>
      </c>
      <c r="AA21" s="670">
        <f t="shared" si="5"/>
        <v>71.905000000000001</v>
      </c>
      <c r="AB21" s="432">
        <f t="shared" si="6"/>
        <v>7.3879162028134804</v>
      </c>
      <c r="AC21" s="670">
        <f t="shared" si="2"/>
        <v>23.111041942261306</v>
      </c>
      <c r="AD21" s="1055">
        <v>30</v>
      </c>
      <c r="AE21" s="432">
        <f t="shared" si="7"/>
        <v>291.98354999999998</v>
      </c>
      <c r="AF21" s="669"/>
    </row>
    <row r="22" spans="1:32" ht="18.75" customHeight="1" x14ac:dyDescent="0.2">
      <c r="A22" s="1055">
        <v>8</v>
      </c>
      <c r="B22" s="461" t="s">
        <v>146</v>
      </c>
      <c r="C22" s="1055" t="s">
        <v>46</v>
      </c>
      <c r="D22" s="1055">
        <v>764</v>
      </c>
      <c r="E22" s="436" t="s">
        <v>73</v>
      </c>
      <c r="F22" s="1055">
        <v>177.8</v>
      </c>
      <c r="G22" s="1055" t="s">
        <v>28</v>
      </c>
      <c r="H22" s="1055" t="s">
        <v>52</v>
      </c>
      <c r="I22" s="437">
        <v>550</v>
      </c>
      <c r="J22" s="1055" t="s">
        <v>250</v>
      </c>
      <c r="K22" s="1054"/>
      <c r="L22" s="1055">
        <v>437</v>
      </c>
      <c r="M22" s="1054"/>
      <c r="N22" s="668">
        <v>1.6</v>
      </c>
      <c r="O22" s="1054"/>
      <c r="P22" s="668">
        <v>18.592679396091391</v>
      </c>
      <c r="Q22" s="668">
        <f t="shared" si="3"/>
        <v>66</v>
      </c>
      <c r="R22" s="432">
        <v>2.3250000000000002</v>
      </c>
      <c r="S22" s="432">
        <v>9.032</v>
      </c>
      <c r="T22" s="670">
        <v>22.042000000000002</v>
      </c>
      <c r="U22" s="668">
        <f t="shared" si="0"/>
        <v>9.4804301075268818</v>
      </c>
      <c r="V22" s="668">
        <f t="shared" si="4"/>
        <v>74.258193091231178</v>
      </c>
      <c r="W22" s="668">
        <v>0.2</v>
      </c>
      <c r="X22" s="432">
        <f t="shared" si="8"/>
        <v>0.13684848484848486</v>
      </c>
      <c r="Y22" s="432">
        <f t="shared" si="1"/>
        <v>2.2901250000000002</v>
      </c>
      <c r="Z22" s="432">
        <f t="shared" si="5"/>
        <v>8.8965200000000006</v>
      </c>
      <c r="AA22" s="670">
        <f t="shared" si="5"/>
        <v>21.711370000000002</v>
      </c>
      <c r="AB22" s="432">
        <f t="shared" si="6"/>
        <v>9.4804301075268818</v>
      </c>
      <c r="AC22" s="670">
        <f t="shared" si="2"/>
        <v>74.258193091231178</v>
      </c>
      <c r="AD22" s="1055">
        <v>30</v>
      </c>
      <c r="AE22" s="432">
        <f t="shared" si="7"/>
        <v>68.703749999999999</v>
      </c>
      <c r="AF22" s="669"/>
    </row>
    <row r="23" spans="1:32" ht="18.75" customHeight="1" x14ac:dyDescent="0.2">
      <c r="A23" s="1055">
        <v>9</v>
      </c>
      <c r="B23" s="461" t="s">
        <v>147</v>
      </c>
      <c r="C23" s="1055" t="s">
        <v>46</v>
      </c>
      <c r="D23" s="1055">
        <v>650.1</v>
      </c>
      <c r="E23" s="1055" t="s">
        <v>74</v>
      </c>
      <c r="F23" s="1055">
        <v>177.8</v>
      </c>
      <c r="G23" s="1055" t="s">
        <v>28</v>
      </c>
      <c r="H23" s="1055" t="s">
        <v>52</v>
      </c>
      <c r="I23" s="1051">
        <v>591.98</v>
      </c>
      <c r="J23" s="1055" t="s">
        <v>242</v>
      </c>
      <c r="K23" s="1055"/>
      <c r="L23" s="1055">
        <v>465</v>
      </c>
      <c r="M23" s="1055"/>
      <c r="N23" s="668">
        <v>2.1</v>
      </c>
      <c r="O23" s="1055"/>
      <c r="P23" s="668">
        <v>12.709816300707695</v>
      </c>
      <c r="Q23" s="668">
        <f t="shared" si="3"/>
        <v>38.5</v>
      </c>
      <c r="R23" s="432">
        <v>4.7750000000000004</v>
      </c>
      <c r="S23" s="432">
        <v>12.461</v>
      </c>
      <c r="T23" s="670">
        <v>10</v>
      </c>
      <c r="U23" s="668">
        <f t="shared" si="0"/>
        <v>2.0942408376963351</v>
      </c>
      <c r="V23" s="668">
        <f t="shared" si="4"/>
        <v>61.680442982104168</v>
      </c>
      <c r="W23" s="668">
        <v>0.2</v>
      </c>
      <c r="X23" s="432">
        <f t="shared" si="8"/>
        <v>0.32366233766233765</v>
      </c>
      <c r="Y23" s="432">
        <f t="shared" si="1"/>
        <v>4.7033750000000003</v>
      </c>
      <c r="Z23" s="432">
        <f t="shared" si="5"/>
        <v>12.274084999999999</v>
      </c>
      <c r="AA23" s="670">
        <f t="shared" si="5"/>
        <v>9.85</v>
      </c>
      <c r="AB23" s="432">
        <f t="shared" si="6"/>
        <v>2.0942408376963351</v>
      </c>
      <c r="AC23" s="670">
        <f t="shared" si="2"/>
        <v>61.680442982104168</v>
      </c>
      <c r="AD23" s="1055">
        <v>30</v>
      </c>
      <c r="AE23" s="432">
        <f t="shared" si="7"/>
        <v>141.10125000000002</v>
      </c>
      <c r="AF23" s="669"/>
    </row>
    <row r="24" spans="1:32" ht="18.75" customHeight="1" x14ac:dyDescent="0.2">
      <c r="A24" s="1055">
        <v>10</v>
      </c>
      <c r="B24" s="461" t="s">
        <v>148</v>
      </c>
      <c r="C24" s="1055" t="s">
        <v>46</v>
      </c>
      <c r="D24" s="1055">
        <v>640.20000000000005</v>
      </c>
      <c r="E24" s="1055" t="s">
        <v>398</v>
      </c>
      <c r="F24" s="1055">
        <v>177.8</v>
      </c>
      <c r="G24" s="1055" t="s">
        <v>28</v>
      </c>
      <c r="H24" s="831" t="s">
        <v>466</v>
      </c>
      <c r="I24" s="1051">
        <v>565.38</v>
      </c>
      <c r="J24" s="1055" t="s">
        <v>325</v>
      </c>
      <c r="K24" s="1055"/>
      <c r="L24" s="1055">
        <v>469</v>
      </c>
      <c r="M24" s="1055"/>
      <c r="N24" s="1055">
        <v>0.2</v>
      </c>
      <c r="O24" s="1055"/>
      <c r="P24" s="668">
        <v>8.8928522601482296</v>
      </c>
      <c r="Q24" s="668">
        <f>J24*13/100</f>
        <v>18.850000000000001</v>
      </c>
      <c r="R24" s="432">
        <v>2.2909999999999999</v>
      </c>
      <c r="S24" s="432">
        <v>3.0270000000000001</v>
      </c>
      <c r="T24" s="670">
        <v>0</v>
      </c>
      <c r="U24" s="668">
        <f t="shared" si="0"/>
        <v>0</v>
      </c>
      <c r="V24" s="668">
        <f t="shared" si="4"/>
        <v>24.314502808060791</v>
      </c>
      <c r="W24" s="668">
        <v>0.3</v>
      </c>
      <c r="X24" s="432">
        <f t="shared" si="8"/>
        <v>0.16058355437665783</v>
      </c>
      <c r="Y24" s="432">
        <f t="shared" si="1"/>
        <v>2.2566349999999997</v>
      </c>
      <c r="Z24" s="432">
        <f t="shared" si="5"/>
        <v>2.981595</v>
      </c>
      <c r="AA24" s="670">
        <f t="shared" si="5"/>
        <v>0</v>
      </c>
      <c r="AB24" s="432">
        <f t="shared" si="6"/>
        <v>0</v>
      </c>
      <c r="AC24" s="670">
        <f t="shared" si="2"/>
        <v>24.314502808060791</v>
      </c>
      <c r="AD24" s="1055">
        <v>30</v>
      </c>
      <c r="AE24" s="432">
        <f t="shared" si="7"/>
        <v>67.699049999999986</v>
      </c>
      <c r="AF24" s="669"/>
    </row>
    <row r="25" spans="1:32" ht="18.75" customHeight="1" x14ac:dyDescent="0.2">
      <c r="A25" s="1055">
        <v>11</v>
      </c>
      <c r="B25" s="461" t="s">
        <v>149</v>
      </c>
      <c r="C25" s="1055" t="s">
        <v>46</v>
      </c>
      <c r="D25" s="1055">
        <v>606.29999999999995</v>
      </c>
      <c r="E25" s="1055" t="s">
        <v>76</v>
      </c>
      <c r="F25" s="1055">
        <v>177.8</v>
      </c>
      <c r="G25" s="1055" t="s">
        <v>28</v>
      </c>
      <c r="H25" s="1055" t="s">
        <v>487</v>
      </c>
      <c r="I25" s="1051">
        <v>591.96</v>
      </c>
      <c r="J25" s="1055" t="s">
        <v>245</v>
      </c>
      <c r="K25" s="1055"/>
      <c r="L25" s="1055">
        <v>429</v>
      </c>
      <c r="M25" s="1055"/>
      <c r="N25" s="1055">
        <v>1.1000000000000001</v>
      </c>
      <c r="O25" s="1055"/>
      <c r="P25" s="668">
        <v>13.632223284545562</v>
      </c>
      <c r="Q25" s="668">
        <f t="shared" si="3"/>
        <v>27</v>
      </c>
      <c r="R25" s="432">
        <v>0.501</v>
      </c>
      <c r="S25" s="432">
        <v>1.6560000000000001</v>
      </c>
      <c r="T25" s="670">
        <v>8</v>
      </c>
      <c r="U25" s="668">
        <f t="shared" si="0"/>
        <v>15.968063872255488</v>
      </c>
      <c r="V25" s="668">
        <f t="shared" si="4"/>
        <v>69.746376811594217</v>
      </c>
      <c r="W25" s="668">
        <v>0.3</v>
      </c>
      <c r="X25" s="432">
        <f t="shared" si="8"/>
        <v>6.1333333333333337E-2</v>
      </c>
      <c r="Y25" s="432">
        <f t="shared" si="1"/>
        <v>0.49348500000000001</v>
      </c>
      <c r="Z25" s="432">
        <f t="shared" si="5"/>
        <v>1.6311600000000002</v>
      </c>
      <c r="AA25" s="670">
        <f t="shared" si="5"/>
        <v>7.88</v>
      </c>
      <c r="AB25" s="432">
        <f t="shared" si="6"/>
        <v>15.968063872255488</v>
      </c>
      <c r="AC25" s="670">
        <f t="shared" si="2"/>
        <v>69.746376811594217</v>
      </c>
      <c r="AD25" s="1055">
        <v>30</v>
      </c>
      <c r="AE25" s="432">
        <f t="shared" si="7"/>
        <v>14.804550000000001</v>
      </c>
      <c r="AF25" s="449"/>
    </row>
    <row r="26" spans="1:32" ht="18.75" customHeight="1" x14ac:dyDescent="0.2">
      <c r="A26" s="1055">
        <v>12</v>
      </c>
      <c r="B26" s="461" t="s">
        <v>150</v>
      </c>
      <c r="C26" s="1055" t="s">
        <v>46</v>
      </c>
      <c r="D26" s="1055">
        <v>661</v>
      </c>
      <c r="E26" s="679" t="s">
        <v>433</v>
      </c>
      <c r="F26" s="1055">
        <v>177.8</v>
      </c>
      <c r="G26" s="1055" t="s">
        <v>28</v>
      </c>
      <c r="H26" s="1055" t="s">
        <v>53</v>
      </c>
      <c r="I26" s="1051">
        <v>555.72</v>
      </c>
      <c r="J26" s="1055"/>
      <c r="K26" s="1055"/>
      <c r="L26" s="1055"/>
      <c r="M26" s="1055"/>
      <c r="N26" s="1055"/>
      <c r="O26" s="1055"/>
      <c r="P26" s="668">
        <v>43.685850175429259</v>
      </c>
      <c r="Q26" s="668">
        <f t="shared" si="3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4"/>
        <v>0</v>
      </c>
      <c r="W26" s="668">
        <v>0.2</v>
      </c>
      <c r="X26" s="432">
        <f t="shared" si="8"/>
        <v>0</v>
      </c>
      <c r="Y26" s="432">
        <f t="shared" si="1"/>
        <v>0</v>
      </c>
      <c r="Z26" s="432">
        <f t="shared" si="5"/>
        <v>0</v>
      </c>
      <c r="AA26" s="670">
        <f t="shared" si="5"/>
        <v>0</v>
      </c>
      <c r="AB26" s="432">
        <f t="shared" si="6"/>
        <v>0</v>
      </c>
      <c r="AC26" s="670">
        <f t="shared" si="2"/>
        <v>0</v>
      </c>
      <c r="AD26" s="1055">
        <v>0</v>
      </c>
      <c r="AE26" s="432">
        <f t="shared" si="7"/>
        <v>0</v>
      </c>
      <c r="AF26" s="449" t="s">
        <v>335</v>
      </c>
    </row>
    <row r="27" spans="1:32" ht="18.75" customHeight="1" x14ac:dyDescent="0.2">
      <c r="A27" s="1055">
        <v>13</v>
      </c>
      <c r="B27" s="461" t="s">
        <v>151</v>
      </c>
      <c r="C27" s="1055" t="s">
        <v>46</v>
      </c>
      <c r="D27" s="1055">
        <v>658.32</v>
      </c>
      <c r="E27" s="1051" t="s">
        <v>298</v>
      </c>
      <c r="F27" s="1055">
        <v>177.8</v>
      </c>
      <c r="G27" s="1055" t="s">
        <v>28</v>
      </c>
      <c r="H27" s="1055" t="s">
        <v>52</v>
      </c>
      <c r="I27" s="1051">
        <v>552.47</v>
      </c>
      <c r="J27" s="1055" t="s">
        <v>245</v>
      </c>
      <c r="K27" s="1055"/>
      <c r="L27" s="1055">
        <v>312</v>
      </c>
      <c r="M27" s="1055"/>
      <c r="N27" s="1055">
        <v>3.5</v>
      </c>
      <c r="O27" s="1055"/>
      <c r="P27" s="668">
        <v>28.072351433077753</v>
      </c>
      <c r="Q27" s="668">
        <f t="shared" si="3"/>
        <v>39.6</v>
      </c>
      <c r="R27" s="432">
        <v>10.734999999999999</v>
      </c>
      <c r="S27" s="432">
        <v>25.440999999999999</v>
      </c>
      <c r="T27" s="670">
        <v>17</v>
      </c>
      <c r="U27" s="668">
        <f t="shared" si="0"/>
        <v>1.5836050302748022</v>
      </c>
      <c r="V27" s="668">
        <f t="shared" si="4"/>
        <v>57.804331590739352</v>
      </c>
      <c r="W27" s="668">
        <v>0.3</v>
      </c>
      <c r="X27" s="432">
        <f t="shared" si="8"/>
        <v>0.64244949494949488</v>
      </c>
      <c r="Y27" s="432">
        <f t="shared" si="1"/>
        <v>10.573974999999999</v>
      </c>
      <c r="Z27" s="432">
        <f t="shared" si="5"/>
        <v>25.059384999999999</v>
      </c>
      <c r="AA27" s="670">
        <f t="shared" si="5"/>
        <v>16.745000000000001</v>
      </c>
      <c r="AB27" s="432">
        <f t="shared" si="6"/>
        <v>1.5836050302748022</v>
      </c>
      <c r="AC27" s="670">
        <f t="shared" si="2"/>
        <v>57.804331590739352</v>
      </c>
      <c r="AD27" s="1055">
        <v>30</v>
      </c>
      <c r="AE27" s="432">
        <f t="shared" si="7"/>
        <v>317.21924999999999</v>
      </c>
      <c r="AF27" s="449"/>
    </row>
    <row r="28" spans="1:32" ht="18.75" customHeight="1" x14ac:dyDescent="0.2">
      <c r="A28" s="1055">
        <v>14</v>
      </c>
      <c r="B28" s="461" t="s">
        <v>36</v>
      </c>
      <c r="C28" s="1055" t="s">
        <v>46</v>
      </c>
      <c r="D28" s="1055">
        <v>584.5</v>
      </c>
      <c r="E28" s="1051" t="s">
        <v>79</v>
      </c>
      <c r="F28" s="1055">
        <v>177.8</v>
      </c>
      <c r="G28" s="1055" t="s">
        <v>28</v>
      </c>
      <c r="H28" s="1055" t="s">
        <v>49</v>
      </c>
      <c r="I28" s="1051">
        <v>525.03</v>
      </c>
      <c r="J28" s="1055" t="s">
        <v>254</v>
      </c>
      <c r="K28" s="1055"/>
      <c r="L28" s="1055">
        <v>407</v>
      </c>
      <c r="M28" s="1055"/>
      <c r="N28" s="1055">
        <v>7.5</v>
      </c>
      <c r="O28" s="1055"/>
      <c r="P28" s="668">
        <v>25.447474503422125</v>
      </c>
      <c r="Q28" s="668">
        <f t="shared" si="3"/>
        <v>80</v>
      </c>
      <c r="R28" s="432">
        <v>16.763000000000002</v>
      </c>
      <c r="S28" s="432">
        <v>40.511000000000003</v>
      </c>
      <c r="T28" s="670">
        <v>356</v>
      </c>
      <c r="U28" s="668">
        <f t="shared" si="0"/>
        <v>21.237248702499549</v>
      </c>
      <c r="V28" s="668">
        <f t="shared" si="4"/>
        <v>58.621115252647428</v>
      </c>
      <c r="W28" s="668">
        <v>0.3</v>
      </c>
      <c r="X28" s="432">
        <f t="shared" si="8"/>
        <v>0.50638749999999999</v>
      </c>
      <c r="Y28" s="432">
        <f t="shared" si="1"/>
        <v>16.511555000000001</v>
      </c>
      <c r="Z28" s="432">
        <f t="shared" si="5"/>
        <v>39.903335000000006</v>
      </c>
      <c r="AA28" s="670">
        <f t="shared" si="5"/>
        <v>350.65999999999997</v>
      </c>
      <c r="AB28" s="432">
        <f t="shared" si="6"/>
        <v>21.237248702499549</v>
      </c>
      <c r="AC28" s="670">
        <f t="shared" si="2"/>
        <v>58.621115252647428</v>
      </c>
      <c r="AD28" s="1055">
        <v>30</v>
      </c>
      <c r="AE28" s="432">
        <f t="shared" si="7"/>
        <v>495.34665000000007</v>
      </c>
      <c r="AF28" s="669"/>
    </row>
    <row r="29" spans="1:32" ht="18.75" customHeight="1" x14ac:dyDescent="0.2">
      <c r="A29" s="1055">
        <v>15</v>
      </c>
      <c r="B29" s="461" t="s">
        <v>152</v>
      </c>
      <c r="C29" s="1055" t="s">
        <v>46</v>
      </c>
      <c r="D29" s="1055">
        <v>565</v>
      </c>
      <c r="E29" s="1051" t="s">
        <v>80</v>
      </c>
      <c r="F29" s="1055">
        <v>177.8</v>
      </c>
      <c r="G29" s="1055" t="s">
        <v>28</v>
      </c>
      <c r="H29" s="1055" t="s">
        <v>491</v>
      </c>
      <c r="I29" s="437">
        <v>520.03</v>
      </c>
      <c r="J29" s="1055" t="s">
        <v>516</v>
      </c>
      <c r="K29" s="1055"/>
      <c r="L29" s="1055">
        <v>456</v>
      </c>
      <c r="M29" s="1055"/>
      <c r="N29" s="1055">
        <v>10.7</v>
      </c>
      <c r="O29" s="1055"/>
      <c r="P29" s="668">
        <v>21.210424521791357</v>
      </c>
      <c r="Q29" s="668">
        <f>J29*23/100</f>
        <v>62.1</v>
      </c>
      <c r="R29" s="432">
        <v>11.988</v>
      </c>
      <c r="S29" s="432">
        <v>24.13</v>
      </c>
      <c r="T29" s="670">
        <v>1008</v>
      </c>
      <c r="U29" s="668">
        <f t="shared" si="0"/>
        <v>84.084084084084083</v>
      </c>
      <c r="V29" s="668">
        <f t="shared" si="4"/>
        <v>50.319104848736018</v>
      </c>
      <c r="W29" s="668">
        <v>0.2</v>
      </c>
      <c r="X29" s="432">
        <f t="shared" si="8"/>
        <v>0.38856682769726247</v>
      </c>
      <c r="Y29" s="432">
        <f t="shared" si="1"/>
        <v>11.80818</v>
      </c>
      <c r="Z29" s="432">
        <f t="shared" si="5"/>
        <v>23.768049999999999</v>
      </c>
      <c r="AA29" s="670">
        <f t="shared" si="5"/>
        <v>992.88</v>
      </c>
      <c r="AB29" s="432">
        <f t="shared" si="6"/>
        <v>84.084084084084083</v>
      </c>
      <c r="AC29" s="670">
        <f t="shared" si="2"/>
        <v>50.319104848736018</v>
      </c>
      <c r="AD29" s="1055">
        <v>30</v>
      </c>
      <c r="AE29" s="432">
        <f t="shared" si="7"/>
        <v>354.24540000000002</v>
      </c>
      <c r="AF29" s="669"/>
    </row>
    <row r="30" spans="1:32" ht="18.75" customHeight="1" x14ac:dyDescent="0.2">
      <c r="A30" s="1055">
        <v>16</v>
      </c>
      <c r="B30" s="461" t="s">
        <v>37</v>
      </c>
      <c r="C30" s="1055" t="s">
        <v>46</v>
      </c>
      <c r="D30" s="1055">
        <v>670</v>
      </c>
      <c r="E30" s="1055" t="s">
        <v>81</v>
      </c>
      <c r="F30" s="1055">
        <v>177.8</v>
      </c>
      <c r="G30" s="1055" t="s">
        <v>28</v>
      </c>
      <c r="H30" s="1055" t="s">
        <v>48</v>
      </c>
      <c r="I30" s="1051">
        <v>570.95000000000005</v>
      </c>
      <c r="J30" s="1055" t="s">
        <v>517</v>
      </c>
      <c r="K30" s="1055"/>
      <c r="L30" s="1055">
        <v>436</v>
      </c>
      <c r="M30" s="1055"/>
      <c r="N30" s="1055">
        <v>3.9</v>
      </c>
      <c r="O30" s="1055"/>
      <c r="P30" s="668">
        <v>18.052211638910713</v>
      </c>
      <c r="Q30" s="668">
        <f t="shared" si="3"/>
        <v>14.3</v>
      </c>
      <c r="R30" s="432">
        <v>3.69</v>
      </c>
      <c r="S30" s="432">
        <v>6.2359999999999998</v>
      </c>
      <c r="T30" s="670">
        <v>19</v>
      </c>
      <c r="U30" s="668">
        <f t="shared" si="0"/>
        <v>5.1490514905149052</v>
      </c>
      <c r="V30" s="668">
        <f t="shared" si="4"/>
        <v>40.827453495830653</v>
      </c>
      <c r="W30" s="668">
        <v>0.2</v>
      </c>
      <c r="X30" s="432">
        <f t="shared" si="8"/>
        <v>0.43608391608391606</v>
      </c>
      <c r="Y30" s="432">
        <f t="shared" si="1"/>
        <v>3.6346499999999997</v>
      </c>
      <c r="Z30" s="432">
        <f t="shared" si="5"/>
        <v>6.1424599999999998</v>
      </c>
      <c r="AA30" s="670">
        <f t="shared" si="5"/>
        <v>18.715</v>
      </c>
      <c r="AB30" s="432">
        <f t="shared" si="6"/>
        <v>5.1490514905149052</v>
      </c>
      <c r="AC30" s="670">
        <f t="shared" si="2"/>
        <v>40.827453495830653</v>
      </c>
      <c r="AD30" s="1055">
        <v>30</v>
      </c>
      <c r="AE30" s="432">
        <f>Y30*AD30</f>
        <v>109.03949999999999</v>
      </c>
      <c r="AF30" s="449"/>
    </row>
    <row r="31" spans="1:32" ht="18.75" customHeight="1" x14ac:dyDescent="0.2">
      <c r="A31" s="1055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055" t="s">
        <v>501</v>
      </c>
      <c r="I31" s="461">
        <v>546.6600000000002</v>
      </c>
      <c r="J31" s="461" t="s">
        <v>517</v>
      </c>
      <c r="K31" s="461"/>
      <c r="L31" s="461">
        <v>224</v>
      </c>
      <c r="M31" s="461"/>
      <c r="N31" s="461">
        <v>12.9</v>
      </c>
      <c r="O31" s="461"/>
      <c r="P31" s="671">
        <v>13.30306744988761</v>
      </c>
      <c r="Q31" s="668">
        <v>35.200000000000003</v>
      </c>
      <c r="R31" s="672">
        <v>12.189</v>
      </c>
      <c r="S31" s="432">
        <v>28.22</v>
      </c>
      <c r="T31" s="699">
        <v>97</v>
      </c>
      <c r="U31" s="668">
        <f t="shared" si="0"/>
        <v>7.9579949134465497</v>
      </c>
      <c r="V31" s="668">
        <f t="shared" si="4"/>
        <v>56.807228915662641</v>
      </c>
      <c r="W31" s="671">
        <v>0.4</v>
      </c>
      <c r="X31" s="432">
        <f t="shared" si="8"/>
        <v>0.80170454545454539</v>
      </c>
      <c r="Y31" s="432">
        <f t="shared" si="1"/>
        <v>12.006164999999999</v>
      </c>
      <c r="Z31" s="432">
        <f t="shared" si="5"/>
        <v>27.796699999999998</v>
      </c>
      <c r="AA31" s="670">
        <f t="shared" si="5"/>
        <v>95.545000000000002</v>
      </c>
      <c r="AB31" s="672">
        <f t="shared" si="6"/>
        <v>7.9579949134465497</v>
      </c>
      <c r="AC31" s="699">
        <f t="shared" si="2"/>
        <v>56.807228915662641</v>
      </c>
      <c r="AD31" s="1055">
        <v>30</v>
      </c>
      <c r="AE31" s="672">
        <f>Y31*AD31</f>
        <v>360.18494999999996</v>
      </c>
      <c r="AF31" s="461"/>
    </row>
    <row r="32" spans="1:32" ht="18.600000000000001" customHeight="1" x14ac:dyDescent="0.2">
      <c r="A32" s="1055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055">
        <v>177.8</v>
      </c>
      <c r="G32" s="1055" t="s">
        <v>28</v>
      </c>
      <c r="H32" s="1055" t="s">
        <v>364</v>
      </c>
      <c r="I32" s="437">
        <v>565.84</v>
      </c>
      <c r="J32" s="1055">
        <v>85</v>
      </c>
      <c r="K32" s="1055"/>
      <c r="L32" s="1055">
        <v>324</v>
      </c>
      <c r="M32" s="1055"/>
      <c r="N32" s="1055">
        <v>0.8</v>
      </c>
      <c r="O32" s="1055"/>
      <c r="P32" s="668">
        <v>16.602824877651649</v>
      </c>
      <c r="Q32" s="668">
        <f>J32*13/100</f>
        <v>11.05</v>
      </c>
      <c r="R32" s="432">
        <v>2.552</v>
      </c>
      <c r="S32" s="432">
        <v>5.5810000000000004</v>
      </c>
      <c r="T32" s="670">
        <v>24</v>
      </c>
      <c r="U32" s="668">
        <f t="shared" si="0"/>
        <v>9.4043887147335425</v>
      </c>
      <c r="V32" s="668">
        <f t="shared" si="4"/>
        <v>54.273427701128831</v>
      </c>
      <c r="W32" s="668">
        <v>0.4</v>
      </c>
      <c r="X32" s="432">
        <f t="shared" si="8"/>
        <v>0.50506787330316738</v>
      </c>
      <c r="Y32" s="432">
        <f t="shared" si="1"/>
        <v>2.5137200000000002</v>
      </c>
      <c r="Z32" s="432">
        <f t="shared" si="5"/>
        <v>5.4972850000000006</v>
      </c>
      <c r="AA32" s="670">
        <f t="shared" si="5"/>
        <v>23.64</v>
      </c>
      <c r="AB32" s="672">
        <f t="shared" si="6"/>
        <v>9.4043887147335425</v>
      </c>
      <c r="AC32" s="699">
        <f t="shared" si="2"/>
        <v>54.273427701128831</v>
      </c>
      <c r="AD32" s="1055">
        <v>30</v>
      </c>
      <c r="AE32" s="672">
        <f>Y32*AD32</f>
        <v>75.411600000000007</v>
      </c>
      <c r="AF32" s="669"/>
    </row>
    <row r="33" spans="1:32" ht="18.75" customHeight="1" x14ac:dyDescent="0.2">
      <c r="A33" s="1055">
        <v>19</v>
      </c>
      <c r="B33" s="461" t="s">
        <v>38</v>
      </c>
      <c r="C33" s="1055" t="s">
        <v>46</v>
      </c>
      <c r="D33" s="668">
        <v>580</v>
      </c>
      <c r="E33" s="1055" t="s">
        <v>84</v>
      </c>
      <c r="F33" s="1055">
        <v>177.8</v>
      </c>
      <c r="G33" s="1055" t="s">
        <v>28</v>
      </c>
      <c r="H33" s="1055" t="s">
        <v>52</v>
      </c>
      <c r="I33" s="1051">
        <v>565.38</v>
      </c>
      <c r="J33" s="1055" t="s">
        <v>375</v>
      </c>
      <c r="K33" s="1055"/>
      <c r="L33" s="1055">
        <v>512</v>
      </c>
      <c r="M33" s="1055"/>
      <c r="N33" s="1055">
        <v>0.4</v>
      </c>
      <c r="O33" s="1055"/>
      <c r="P33" s="668">
        <v>6.3099763033688694</v>
      </c>
      <c r="Q33" s="668">
        <f t="shared" si="3"/>
        <v>23.1</v>
      </c>
      <c r="R33" s="432">
        <v>3.3919999999999999</v>
      </c>
      <c r="S33" s="432">
        <v>5.6519999999999992</v>
      </c>
      <c r="T33" s="670">
        <v>6</v>
      </c>
      <c r="U33" s="668">
        <f t="shared" si="0"/>
        <v>1.7688679245283019</v>
      </c>
      <c r="V33" s="668">
        <f t="shared" si="4"/>
        <v>39.985845718329784</v>
      </c>
      <c r="W33" s="668">
        <v>0.3</v>
      </c>
      <c r="X33" s="432">
        <f t="shared" si="8"/>
        <v>0.24467532467532463</v>
      </c>
      <c r="Y33" s="432">
        <f t="shared" si="1"/>
        <v>3.3411199999999996</v>
      </c>
      <c r="Z33" s="432">
        <f t="shared" si="5"/>
        <v>5.5672199999999989</v>
      </c>
      <c r="AA33" s="670">
        <f t="shared" si="5"/>
        <v>5.91</v>
      </c>
      <c r="AB33" s="432">
        <f>U33</f>
        <v>1.7688679245283019</v>
      </c>
      <c r="AC33" s="699">
        <f t="shared" si="2"/>
        <v>39.985845718329784</v>
      </c>
      <c r="AD33" s="1055">
        <v>30</v>
      </c>
      <c r="AE33" s="432">
        <f t="shared" si="7"/>
        <v>100.2336</v>
      </c>
      <c r="AF33" s="669"/>
    </row>
    <row r="34" spans="1:32" ht="18.75" customHeight="1" x14ac:dyDescent="0.2">
      <c r="A34" s="1055">
        <v>20</v>
      </c>
      <c r="B34" s="461" t="s">
        <v>39</v>
      </c>
      <c r="C34" s="1055" t="s">
        <v>46</v>
      </c>
      <c r="D34" s="1055">
        <v>728.6</v>
      </c>
      <c r="E34" s="1055" t="s">
        <v>411</v>
      </c>
      <c r="F34" s="1055">
        <v>177.8</v>
      </c>
      <c r="G34" s="1055" t="s">
        <v>28</v>
      </c>
      <c r="H34" s="1055" t="s">
        <v>380</v>
      </c>
      <c r="I34" s="1051">
        <v>551.77</v>
      </c>
      <c r="J34" s="1055" t="s">
        <v>377</v>
      </c>
      <c r="K34" s="1055"/>
      <c r="L34" s="1055">
        <v>467</v>
      </c>
      <c r="M34" s="1055"/>
      <c r="N34" s="1055">
        <v>5</v>
      </c>
      <c r="O34" s="1055"/>
      <c r="P34" s="668">
        <v>12.370671269773785</v>
      </c>
      <c r="Q34" s="668">
        <f>J34*23/100</f>
        <v>32.200000000000003</v>
      </c>
      <c r="R34" s="432">
        <v>2.9319999999999999</v>
      </c>
      <c r="S34" s="432">
        <v>8.1839999999999993</v>
      </c>
      <c r="T34" s="670">
        <v>48</v>
      </c>
      <c r="U34" s="668">
        <f t="shared" si="0"/>
        <v>16.371077762619372</v>
      </c>
      <c r="V34" s="668">
        <f t="shared" si="4"/>
        <v>64.173998044965771</v>
      </c>
      <c r="W34" s="668">
        <v>0.3</v>
      </c>
      <c r="X34" s="432">
        <f t="shared" si="8"/>
        <v>0.2541614906832298</v>
      </c>
      <c r="Y34" s="432">
        <f t="shared" si="1"/>
        <v>2.88802</v>
      </c>
      <c r="Z34" s="432">
        <f t="shared" si="5"/>
        <v>8.0612399999999997</v>
      </c>
      <c r="AA34" s="670">
        <f t="shared" si="5"/>
        <v>47.28</v>
      </c>
      <c r="AB34" s="432">
        <f t="shared" si="6"/>
        <v>16.371077762619372</v>
      </c>
      <c r="AC34" s="699">
        <f t="shared" si="2"/>
        <v>64.173998044965771</v>
      </c>
      <c r="AD34" s="1055">
        <v>30</v>
      </c>
      <c r="AE34" s="432">
        <f t="shared" si="7"/>
        <v>86.640600000000006</v>
      </c>
      <c r="AF34" s="669"/>
    </row>
    <row r="35" spans="1:32" ht="18.75" customHeight="1" x14ac:dyDescent="0.2">
      <c r="A35" s="1055">
        <v>21</v>
      </c>
      <c r="B35" s="461" t="s">
        <v>40</v>
      </c>
      <c r="C35" s="1055" t="s">
        <v>46</v>
      </c>
      <c r="D35" s="1055">
        <v>679.7</v>
      </c>
      <c r="E35" s="1055" t="s">
        <v>86</v>
      </c>
      <c r="F35" s="1055">
        <v>177.8</v>
      </c>
      <c r="G35" s="1055" t="s">
        <v>28</v>
      </c>
      <c r="H35" s="1055" t="s">
        <v>487</v>
      </c>
      <c r="I35" s="1051">
        <v>563.22</v>
      </c>
      <c r="J35" s="1055" t="s">
        <v>243</v>
      </c>
      <c r="K35" s="1055"/>
      <c r="L35" s="1055">
        <v>416</v>
      </c>
      <c r="M35" s="1055"/>
      <c r="N35" s="1055">
        <v>0.6</v>
      </c>
      <c r="O35" s="1055"/>
      <c r="P35" s="668">
        <v>43.445014230906118</v>
      </c>
      <c r="Q35" s="668">
        <f t="shared" si="3"/>
        <v>22.5</v>
      </c>
      <c r="R35" s="432">
        <v>2.2869999999999999</v>
      </c>
      <c r="S35" s="432">
        <v>6.9930000000000003</v>
      </c>
      <c r="T35" s="670">
        <v>19</v>
      </c>
      <c r="U35" s="668">
        <f>IF(R35=0,0,T35/R35)</f>
        <v>8.3078268473983385</v>
      </c>
      <c r="V35" s="668">
        <f t="shared" si="4"/>
        <v>67.295867295867296</v>
      </c>
      <c r="W35" s="668">
        <v>0.3</v>
      </c>
      <c r="X35" s="432">
        <f t="shared" si="8"/>
        <v>0.31080000000000002</v>
      </c>
      <c r="Y35" s="432">
        <f t="shared" si="1"/>
        <v>2.2526950000000001</v>
      </c>
      <c r="Z35" s="432">
        <f t="shared" si="5"/>
        <v>6.8881050000000004</v>
      </c>
      <c r="AA35" s="670">
        <f t="shared" si="5"/>
        <v>18.715</v>
      </c>
      <c r="AB35" s="432">
        <f t="shared" si="6"/>
        <v>8.3078268473983385</v>
      </c>
      <c r="AC35" s="699">
        <v>70</v>
      </c>
      <c r="AD35" s="1055">
        <v>30</v>
      </c>
      <c r="AE35" s="432">
        <f>Y35*AD35</f>
        <v>67.580849999999998</v>
      </c>
      <c r="AF35" s="449"/>
    </row>
    <row r="36" spans="1:32" ht="18.75" customHeight="1" x14ac:dyDescent="0.2">
      <c r="A36" s="1055">
        <v>22</v>
      </c>
      <c r="B36" s="461" t="s">
        <v>41</v>
      </c>
      <c r="C36" s="1055" t="s">
        <v>46</v>
      </c>
      <c r="D36" s="1055">
        <v>573.70000000000005</v>
      </c>
      <c r="E36" s="1055" t="s">
        <v>87</v>
      </c>
      <c r="F36" s="1055">
        <v>177.8</v>
      </c>
      <c r="G36" s="1055" t="s">
        <v>28</v>
      </c>
      <c r="H36" s="1055" t="s">
        <v>52</v>
      </c>
      <c r="I36" s="1051">
        <v>554.30999999999995</v>
      </c>
      <c r="J36" s="1055" t="s">
        <v>518</v>
      </c>
      <c r="K36" s="1055"/>
      <c r="L36" s="1055">
        <v>468</v>
      </c>
      <c r="M36" s="1055"/>
      <c r="N36" s="1055">
        <v>6.9</v>
      </c>
      <c r="O36" s="1055"/>
      <c r="P36" s="668">
        <v>12.613881275674633</v>
      </c>
      <c r="Q36" s="668">
        <f t="shared" si="3"/>
        <v>69.739999999999995</v>
      </c>
      <c r="R36" s="432">
        <v>7.9039999999999999</v>
      </c>
      <c r="S36" s="432">
        <v>10.981999999999999</v>
      </c>
      <c r="T36" s="670">
        <v>323</v>
      </c>
      <c r="U36" s="668">
        <f t="shared" ref="U36:U78" si="9">IF(R36=0,0,T36/R36)</f>
        <v>40.865384615384613</v>
      </c>
      <c r="V36" s="668">
        <f t="shared" si="4"/>
        <v>28.027681660899649</v>
      </c>
      <c r="W36" s="668">
        <v>0.3</v>
      </c>
      <c r="X36" s="432">
        <f t="shared" si="8"/>
        <v>0.1574706051046745</v>
      </c>
      <c r="Y36" s="432">
        <f t="shared" si="1"/>
        <v>7.7854399999999995</v>
      </c>
      <c r="Z36" s="432">
        <f t="shared" si="5"/>
        <v>10.817269999999999</v>
      </c>
      <c r="AA36" s="670">
        <f t="shared" si="5"/>
        <v>318.15499999999997</v>
      </c>
      <c r="AB36" s="432">
        <v>89.536086956521729</v>
      </c>
      <c r="AC36" s="699">
        <f t="shared" si="2"/>
        <v>28.027681660899649</v>
      </c>
      <c r="AD36" s="1055">
        <v>30</v>
      </c>
      <c r="AE36" s="432">
        <f t="shared" si="7"/>
        <v>233.56319999999999</v>
      </c>
      <c r="AF36" s="673"/>
    </row>
    <row r="37" spans="1:32" ht="18.75" customHeight="1" x14ac:dyDescent="0.2">
      <c r="A37" s="1055">
        <v>23</v>
      </c>
      <c r="B37" s="461" t="s">
        <v>42</v>
      </c>
      <c r="C37" s="1055" t="s">
        <v>46</v>
      </c>
      <c r="D37" s="1055">
        <v>583.20000000000005</v>
      </c>
      <c r="E37" s="1055" t="s">
        <v>434</v>
      </c>
      <c r="F37" s="1055">
        <v>177.8</v>
      </c>
      <c r="G37" s="1055" t="s">
        <v>28</v>
      </c>
      <c r="H37" s="1055" t="s">
        <v>48</v>
      </c>
      <c r="I37" s="1051">
        <v>565.09</v>
      </c>
      <c r="J37" s="1055" t="s">
        <v>519</v>
      </c>
      <c r="K37" s="1055"/>
      <c r="L37" s="1055">
        <v>193</v>
      </c>
      <c r="M37" s="1055"/>
      <c r="N37" s="1055">
        <v>7.7</v>
      </c>
      <c r="O37" s="1055"/>
      <c r="P37" s="668">
        <v>44.820708982668634</v>
      </c>
      <c r="Q37" s="668">
        <f t="shared" si="3"/>
        <v>46.54</v>
      </c>
      <c r="R37" s="432">
        <v>2.9129999999999998</v>
      </c>
      <c r="S37" s="432">
        <v>12.072000000000001</v>
      </c>
      <c r="T37" s="670">
        <v>22</v>
      </c>
      <c r="U37" s="668">
        <f t="shared" si="9"/>
        <v>7.552351527634741</v>
      </c>
      <c r="V37" s="668">
        <f t="shared" si="4"/>
        <v>75.869781312127245</v>
      </c>
      <c r="W37" s="668">
        <v>0.2</v>
      </c>
      <c r="X37" s="432">
        <f t="shared" si="8"/>
        <v>0.25938977223893428</v>
      </c>
      <c r="Y37" s="432">
        <f t="shared" si="1"/>
        <v>2.8693049999999998</v>
      </c>
      <c r="Z37" s="432">
        <f t="shared" si="5"/>
        <v>11.890920000000001</v>
      </c>
      <c r="AA37" s="670">
        <f t="shared" si="5"/>
        <v>21.669999999999998</v>
      </c>
      <c r="AB37" s="432">
        <f t="shared" si="6"/>
        <v>7.552351527634741</v>
      </c>
      <c r="AC37" s="670">
        <f t="shared" si="2"/>
        <v>75.869781312127245</v>
      </c>
      <c r="AD37" s="1055">
        <v>30</v>
      </c>
      <c r="AE37" s="432">
        <f t="shared" si="7"/>
        <v>86.079149999999998</v>
      </c>
      <c r="AF37" s="449"/>
    </row>
    <row r="38" spans="1:32" ht="18.75" customHeight="1" x14ac:dyDescent="0.2">
      <c r="A38" s="1055">
        <v>24</v>
      </c>
      <c r="B38" s="461" t="s">
        <v>43</v>
      </c>
      <c r="C38" s="1055" t="s">
        <v>46</v>
      </c>
      <c r="D38" s="1055">
        <v>682.7</v>
      </c>
      <c r="E38" s="1055" t="s">
        <v>435</v>
      </c>
      <c r="F38" s="1055">
        <v>177.8</v>
      </c>
      <c r="G38" s="1055" t="s">
        <v>28</v>
      </c>
      <c r="H38" s="1055" t="s">
        <v>399</v>
      </c>
      <c r="I38" s="446">
        <v>575.91</v>
      </c>
      <c r="J38" s="1055" t="s">
        <v>321</v>
      </c>
      <c r="K38" s="1055"/>
      <c r="L38" s="1055">
        <v>398</v>
      </c>
      <c r="M38" s="1055"/>
      <c r="N38" s="1055">
        <v>6.2</v>
      </c>
      <c r="O38" s="1055"/>
      <c r="P38" s="668">
        <v>32.195505550647191</v>
      </c>
      <c r="Q38" s="668">
        <f>J38*13/100</f>
        <v>36.4</v>
      </c>
      <c r="R38" s="432">
        <v>10.766</v>
      </c>
      <c r="S38" s="432">
        <v>39.847999999999999</v>
      </c>
      <c r="T38" s="670">
        <v>279</v>
      </c>
      <c r="U38" s="668">
        <f t="shared" si="9"/>
        <v>25.914917332342561</v>
      </c>
      <c r="V38" s="668">
        <f t="shared" si="4"/>
        <v>72.982332864886573</v>
      </c>
      <c r="W38" s="668">
        <v>0.3</v>
      </c>
      <c r="X38" s="432">
        <f t="shared" si="8"/>
        <v>1.0947252747252747</v>
      </c>
      <c r="Y38" s="432">
        <f t="shared" si="1"/>
        <v>10.604509999999999</v>
      </c>
      <c r="Z38" s="432">
        <f t="shared" si="5"/>
        <v>39.250279999999997</v>
      </c>
      <c r="AA38" s="670">
        <f t="shared" si="5"/>
        <v>274.815</v>
      </c>
      <c r="AB38" s="432">
        <f t="shared" si="6"/>
        <v>25.914917332342561</v>
      </c>
      <c r="AC38" s="670">
        <f t="shared" si="2"/>
        <v>72.982332864886573</v>
      </c>
      <c r="AD38" s="1055">
        <v>30</v>
      </c>
      <c r="AE38" s="432">
        <f t="shared" si="7"/>
        <v>318.13529999999997</v>
      </c>
      <c r="AF38" s="669"/>
    </row>
    <row r="39" spans="1:32" ht="18.75" customHeight="1" x14ac:dyDescent="0.2">
      <c r="A39" s="1055">
        <v>25</v>
      </c>
      <c r="B39" s="461" t="s">
        <v>44</v>
      </c>
      <c r="C39" s="1055" t="s">
        <v>46</v>
      </c>
      <c r="D39" s="1055">
        <v>614.20000000000005</v>
      </c>
      <c r="E39" s="1055" t="s">
        <v>90</v>
      </c>
      <c r="F39" s="1055">
        <v>177.8</v>
      </c>
      <c r="G39" s="1055" t="s">
        <v>28</v>
      </c>
      <c r="H39" s="1055" t="s">
        <v>52</v>
      </c>
      <c r="I39" s="446">
        <v>573.37</v>
      </c>
      <c r="J39" s="1055" t="s">
        <v>250</v>
      </c>
      <c r="K39" s="1055"/>
      <c r="L39" s="1055">
        <v>210</v>
      </c>
      <c r="M39" s="1055"/>
      <c r="N39" s="1055">
        <v>7.5</v>
      </c>
      <c r="O39" s="1055"/>
      <c r="P39" s="668">
        <v>40.521672595684045</v>
      </c>
      <c r="Q39" s="668">
        <f t="shared" si="3"/>
        <v>66</v>
      </c>
      <c r="R39" s="432">
        <v>7.3540000000000001</v>
      </c>
      <c r="S39" s="432">
        <v>31.808999999999997</v>
      </c>
      <c r="T39" s="670">
        <v>74</v>
      </c>
      <c r="U39" s="668">
        <f t="shared" si="9"/>
        <v>10.062550992657057</v>
      </c>
      <c r="V39" s="668">
        <f t="shared" si="4"/>
        <v>76.880757018453892</v>
      </c>
      <c r="W39" s="668">
        <v>0.4</v>
      </c>
      <c r="X39" s="432">
        <f t="shared" si="8"/>
        <v>0.48195454545454541</v>
      </c>
      <c r="Y39" s="432">
        <f t="shared" si="1"/>
        <v>7.24369</v>
      </c>
      <c r="Z39" s="432">
        <f t="shared" si="5"/>
        <v>31.331864999999997</v>
      </c>
      <c r="AA39" s="670">
        <f t="shared" si="5"/>
        <v>72.89</v>
      </c>
      <c r="AB39" s="432">
        <f t="shared" si="6"/>
        <v>10.062550992657057</v>
      </c>
      <c r="AC39" s="670">
        <f t="shared" si="2"/>
        <v>76.880757018453892</v>
      </c>
      <c r="AD39" s="1055">
        <v>30</v>
      </c>
      <c r="AE39" s="432">
        <f t="shared" si="7"/>
        <v>217.3107</v>
      </c>
      <c r="AF39" s="669"/>
    </row>
    <row r="40" spans="1:32" ht="18.75" customHeight="1" x14ac:dyDescent="0.2">
      <c r="A40" s="1055">
        <v>26</v>
      </c>
      <c r="B40" s="461" t="s">
        <v>45</v>
      </c>
      <c r="C40" s="1055" t="s">
        <v>46</v>
      </c>
      <c r="D40" s="1055">
        <v>636.4</v>
      </c>
      <c r="E40" s="1055" t="s">
        <v>91</v>
      </c>
      <c r="F40" s="1055">
        <v>177.8</v>
      </c>
      <c r="G40" s="1055" t="s">
        <v>28</v>
      </c>
      <c r="H40" s="1055" t="s">
        <v>52</v>
      </c>
      <c r="I40" s="1051">
        <v>592.95000000000005</v>
      </c>
      <c r="J40" s="1055" t="s">
        <v>249</v>
      </c>
      <c r="K40" s="1055"/>
      <c r="L40" s="1055">
        <v>498</v>
      </c>
      <c r="M40" s="1055"/>
      <c r="N40" s="1055">
        <v>9.1999999999999993</v>
      </c>
      <c r="O40" s="1055"/>
      <c r="P40" s="668">
        <v>14.431394020297301</v>
      </c>
      <c r="Q40" s="668">
        <f>LEFT(H40,(FIND("K",H40,1)-1))*J40/100</f>
        <v>74.8</v>
      </c>
      <c r="R40" s="432">
        <v>12.266999999999999</v>
      </c>
      <c r="S40" s="432">
        <v>41.867999999999995</v>
      </c>
      <c r="T40" s="670">
        <v>179</v>
      </c>
      <c r="U40" s="668">
        <f t="shared" si="9"/>
        <v>14.591994782750469</v>
      </c>
      <c r="V40" s="668">
        <f t="shared" si="4"/>
        <v>70.70077386070507</v>
      </c>
      <c r="W40" s="668">
        <v>0.2</v>
      </c>
      <c r="X40" s="432">
        <f t="shared" si="8"/>
        <v>0.55973262032085558</v>
      </c>
      <c r="Y40" s="432">
        <f t="shared" si="1"/>
        <v>12.082994999999999</v>
      </c>
      <c r="Z40" s="432">
        <f t="shared" si="5"/>
        <v>41.239979999999996</v>
      </c>
      <c r="AA40" s="670">
        <f t="shared" si="5"/>
        <v>176.315</v>
      </c>
      <c r="AB40" s="432">
        <f t="shared" si="6"/>
        <v>14.591994782750469</v>
      </c>
      <c r="AC40" s="670">
        <f t="shared" si="2"/>
        <v>70.70077386070507</v>
      </c>
      <c r="AD40" s="1055">
        <v>30</v>
      </c>
      <c r="AE40" s="432">
        <f t="shared" si="7"/>
        <v>362.48984999999993</v>
      </c>
      <c r="AF40" s="669"/>
    </row>
    <row r="41" spans="1:32" ht="18.75" customHeight="1" x14ac:dyDescent="0.2">
      <c r="A41" s="1055">
        <v>27</v>
      </c>
      <c r="B41" s="461" t="s">
        <v>206</v>
      </c>
      <c r="C41" s="1055" t="s">
        <v>46</v>
      </c>
      <c r="D41" s="1055">
        <v>660.2</v>
      </c>
      <c r="E41" s="1055" t="s">
        <v>436</v>
      </c>
      <c r="F41" s="1055">
        <v>177.8</v>
      </c>
      <c r="G41" s="1055" t="s">
        <v>28</v>
      </c>
      <c r="H41" s="1055" t="s">
        <v>212</v>
      </c>
      <c r="I41" s="1051">
        <v>547.63</v>
      </c>
      <c r="J41" s="1055" t="s">
        <v>520</v>
      </c>
      <c r="K41" s="1055"/>
      <c r="L41" s="1055">
        <v>288</v>
      </c>
      <c r="M41" s="1055"/>
      <c r="N41" s="1055">
        <v>8.6999999999999993</v>
      </c>
      <c r="O41" s="1055"/>
      <c r="P41" s="668">
        <v>34.827006944915517</v>
      </c>
      <c r="Q41" s="668">
        <f t="shared" ref="Q41:Q73" si="10">LEFT(H41,(FIND("K",H41,1)-1))*J41/100</f>
        <v>25.6</v>
      </c>
      <c r="R41" s="432">
        <v>5.0439999999999996</v>
      </c>
      <c r="S41" s="432">
        <v>16.260999999999999</v>
      </c>
      <c r="T41" s="670">
        <v>83</v>
      </c>
      <c r="U41" s="668">
        <f t="shared" si="9"/>
        <v>16.455194290245839</v>
      </c>
      <c r="V41" s="668">
        <f t="shared" si="4"/>
        <v>68.980997478629845</v>
      </c>
      <c r="W41" s="668">
        <v>0.3</v>
      </c>
      <c r="X41" s="432">
        <f t="shared" si="8"/>
        <v>0.63519531249999994</v>
      </c>
      <c r="Y41" s="432">
        <f t="shared" si="1"/>
        <v>4.9683399999999995</v>
      </c>
      <c r="Z41" s="432">
        <f t="shared" si="5"/>
        <v>16.017084999999998</v>
      </c>
      <c r="AA41" s="670">
        <f t="shared" si="5"/>
        <v>81.754999999999995</v>
      </c>
      <c r="AB41" s="432">
        <f t="shared" si="6"/>
        <v>16.455194290245839</v>
      </c>
      <c r="AC41" s="670">
        <f t="shared" si="2"/>
        <v>68.980997478629845</v>
      </c>
      <c r="AD41" s="1055">
        <v>30</v>
      </c>
      <c r="AE41" s="432">
        <f t="shared" si="7"/>
        <v>149.05019999999999</v>
      </c>
      <c r="AF41" s="669"/>
    </row>
    <row r="42" spans="1:32" ht="18.75" customHeight="1" x14ac:dyDescent="0.2">
      <c r="A42" s="1055">
        <v>28</v>
      </c>
      <c r="B42" s="1052" t="s">
        <v>161</v>
      </c>
      <c r="C42" s="1055" t="s">
        <v>46</v>
      </c>
      <c r="D42" s="1051">
        <v>677</v>
      </c>
      <c r="E42" s="679" t="s">
        <v>178</v>
      </c>
      <c r="F42" s="1055">
        <v>177.8</v>
      </c>
      <c r="G42" s="1055" t="s">
        <v>28</v>
      </c>
      <c r="H42" s="1055" t="s">
        <v>52</v>
      </c>
      <c r="I42" s="1051">
        <v>571.98</v>
      </c>
      <c r="J42" s="1051" t="s">
        <v>520</v>
      </c>
      <c r="K42" s="1051"/>
      <c r="L42" s="1051">
        <v>186</v>
      </c>
      <c r="M42" s="1051"/>
      <c r="N42" s="1055">
        <v>7.2</v>
      </c>
      <c r="O42" s="1051"/>
      <c r="P42" s="448">
        <v>37.930280103191443</v>
      </c>
      <c r="Q42" s="668">
        <f t="shared" si="10"/>
        <v>70.400000000000006</v>
      </c>
      <c r="R42" s="432">
        <v>6.298</v>
      </c>
      <c r="S42" s="432">
        <v>15.366</v>
      </c>
      <c r="T42" s="492">
        <v>73</v>
      </c>
      <c r="U42" s="668">
        <f t="shared" si="9"/>
        <v>11.590981263893299</v>
      </c>
      <c r="V42" s="668">
        <f t="shared" si="4"/>
        <v>59.013406221528051</v>
      </c>
      <c r="W42" s="668">
        <v>0.3</v>
      </c>
      <c r="X42" s="432">
        <f t="shared" si="8"/>
        <v>0.21826704545454542</v>
      </c>
      <c r="Y42" s="432">
        <f t="shared" si="1"/>
        <v>6.2035299999999998</v>
      </c>
      <c r="Z42" s="432">
        <f t="shared" si="5"/>
        <v>15.13551</v>
      </c>
      <c r="AA42" s="670">
        <f t="shared" si="5"/>
        <v>71.905000000000001</v>
      </c>
      <c r="AB42" s="432">
        <f t="shared" si="6"/>
        <v>11.590981263893299</v>
      </c>
      <c r="AC42" s="670">
        <f t="shared" si="2"/>
        <v>59.013406221528051</v>
      </c>
      <c r="AD42" s="1055">
        <v>30</v>
      </c>
      <c r="AE42" s="432">
        <f t="shared" si="7"/>
        <v>186.10589999999999</v>
      </c>
      <c r="AF42" s="449"/>
    </row>
    <row r="43" spans="1:32" ht="18.75" customHeight="1" x14ac:dyDescent="0.2">
      <c r="A43" s="1055">
        <v>29</v>
      </c>
      <c r="B43" s="1052" t="s">
        <v>162</v>
      </c>
      <c r="C43" s="1055" t="s">
        <v>46</v>
      </c>
      <c r="D43" s="1051">
        <v>676</v>
      </c>
      <c r="E43" s="679" t="s">
        <v>437</v>
      </c>
      <c r="F43" s="1055">
        <v>177.8</v>
      </c>
      <c r="G43" s="1055" t="s">
        <v>28</v>
      </c>
      <c r="H43" s="1055" t="s">
        <v>50</v>
      </c>
      <c r="I43" s="1051">
        <v>549.20000000000005</v>
      </c>
      <c r="J43" s="1051" t="s">
        <v>254</v>
      </c>
      <c r="K43" s="1051"/>
      <c r="L43" s="1055">
        <v>406</v>
      </c>
      <c r="M43" s="1051"/>
      <c r="N43" s="1055">
        <v>3.8</v>
      </c>
      <c r="O43" s="1051"/>
      <c r="P43" s="448">
        <v>8.7491753859289219</v>
      </c>
      <c r="Q43" s="668">
        <f t="shared" si="10"/>
        <v>15</v>
      </c>
      <c r="R43" s="432">
        <v>0.78500000000000003</v>
      </c>
      <c r="S43" s="432">
        <v>1.1440000000000001</v>
      </c>
      <c r="T43" s="492">
        <v>0</v>
      </c>
      <c r="U43" s="668">
        <f t="shared" si="9"/>
        <v>0</v>
      </c>
      <c r="V43" s="668">
        <f t="shared" si="4"/>
        <v>31.381118881118887</v>
      </c>
      <c r="W43" s="668">
        <v>0.2</v>
      </c>
      <c r="X43" s="432">
        <f t="shared" si="8"/>
        <v>7.6266666666666677E-2</v>
      </c>
      <c r="Y43" s="432">
        <f t="shared" si="1"/>
        <v>0.77322500000000005</v>
      </c>
      <c r="Z43" s="432">
        <f t="shared" si="5"/>
        <v>1.1268400000000001</v>
      </c>
      <c r="AA43" s="670">
        <f t="shared" si="5"/>
        <v>0</v>
      </c>
      <c r="AB43" s="432">
        <f t="shared" si="6"/>
        <v>0</v>
      </c>
      <c r="AC43" s="670">
        <f t="shared" si="2"/>
        <v>31.381118881118887</v>
      </c>
      <c r="AD43" s="1055">
        <v>30</v>
      </c>
      <c r="AE43" s="432">
        <f t="shared" si="7"/>
        <v>23.196750000000002</v>
      </c>
      <c r="AF43" s="449"/>
    </row>
    <row r="44" spans="1:32" ht="18.75" customHeight="1" x14ac:dyDescent="0.2">
      <c r="A44" s="1055">
        <v>30</v>
      </c>
      <c r="B44" s="1052" t="s">
        <v>163</v>
      </c>
      <c r="C44" s="1055" t="s">
        <v>46</v>
      </c>
      <c r="D44" s="1051">
        <v>597</v>
      </c>
      <c r="E44" s="1055" t="s">
        <v>443</v>
      </c>
      <c r="F44" s="1055">
        <v>177.8</v>
      </c>
      <c r="G44" s="1055" t="s">
        <v>28</v>
      </c>
      <c r="H44" s="1055" t="s">
        <v>487</v>
      </c>
      <c r="I44" s="1051">
        <v>553.79</v>
      </c>
      <c r="J44" s="1051" t="s">
        <v>248</v>
      </c>
      <c r="K44" s="1051"/>
      <c r="L44" s="1051">
        <v>446</v>
      </c>
      <c r="M44" s="1051"/>
      <c r="N44" s="1055">
        <v>5.4</v>
      </c>
      <c r="O44" s="1051"/>
      <c r="P44" s="448">
        <v>32.977632975325037</v>
      </c>
      <c r="Q44" s="668">
        <f t="shared" si="10"/>
        <v>12.75</v>
      </c>
      <c r="R44" s="432">
        <v>2.218</v>
      </c>
      <c r="S44" s="432">
        <v>7.6680000000000001</v>
      </c>
      <c r="T44" s="492">
        <v>19</v>
      </c>
      <c r="U44" s="668">
        <f t="shared" si="9"/>
        <v>8.566275924256086</v>
      </c>
      <c r="V44" s="668">
        <f t="shared" si="4"/>
        <v>71.074595722483053</v>
      </c>
      <c r="W44" s="668">
        <v>0.3</v>
      </c>
      <c r="X44" s="432">
        <f t="shared" si="8"/>
        <v>0.60141176470588231</v>
      </c>
      <c r="Y44" s="432">
        <f t="shared" si="1"/>
        <v>2.1847300000000001</v>
      </c>
      <c r="Z44" s="432">
        <f t="shared" si="5"/>
        <v>7.5529799999999998</v>
      </c>
      <c r="AA44" s="670">
        <f t="shared" si="5"/>
        <v>18.715</v>
      </c>
      <c r="AB44" s="432">
        <f t="shared" si="6"/>
        <v>8.566275924256086</v>
      </c>
      <c r="AC44" s="670">
        <f t="shared" si="2"/>
        <v>71.074595722483053</v>
      </c>
      <c r="AD44" s="1055">
        <v>30</v>
      </c>
      <c r="AE44" s="432">
        <f t="shared" si="7"/>
        <v>65.541899999999998</v>
      </c>
      <c r="AF44" s="449"/>
    </row>
    <row r="45" spans="1:32" ht="18.75" customHeight="1" x14ac:dyDescent="0.2">
      <c r="A45" s="1055">
        <v>31</v>
      </c>
      <c r="B45" s="461" t="s">
        <v>59</v>
      </c>
      <c r="C45" s="1055" t="s">
        <v>46</v>
      </c>
      <c r="D45" s="1055">
        <v>637.16</v>
      </c>
      <c r="E45" s="1055" t="s">
        <v>454</v>
      </c>
      <c r="F45" s="1055">
        <v>177.8</v>
      </c>
      <c r="G45" s="1055" t="s">
        <v>28</v>
      </c>
      <c r="H45" s="1055" t="s">
        <v>487</v>
      </c>
      <c r="I45" s="1051">
        <v>536.73</v>
      </c>
      <c r="J45" s="1055" t="s">
        <v>521</v>
      </c>
      <c r="K45" s="1055"/>
      <c r="L45" s="1055">
        <v>415</v>
      </c>
      <c r="M45" s="1055"/>
      <c r="N45" s="1055">
        <v>2.5</v>
      </c>
      <c r="O45" s="1055"/>
      <c r="P45" s="668">
        <v>18.826357831890004</v>
      </c>
      <c r="Q45" s="668">
        <f t="shared" si="10"/>
        <v>43.5</v>
      </c>
      <c r="R45" s="432">
        <v>3.2490000000000001</v>
      </c>
      <c r="S45" s="432">
        <v>7.0419999999999998</v>
      </c>
      <c r="T45" s="670">
        <v>28</v>
      </c>
      <c r="U45" s="668">
        <f t="shared" si="9"/>
        <v>8.6180363188673432</v>
      </c>
      <c r="V45" s="668">
        <f t="shared" si="4"/>
        <v>53.862539051405847</v>
      </c>
      <c r="W45" s="668">
        <v>0.3</v>
      </c>
      <c r="X45" s="432">
        <f t="shared" si="8"/>
        <v>0.16188505747126436</v>
      </c>
      <c r="Y45" s="432">
        <f t="shared" si="1"/>
        <v>3.2002649999999999</v>
      </c>
      <c r="Z45" s="432">
        <f t="shared" si="5"/>
        <v>6.9363700000000001</v>
      </c>
      <c r="AA45" s="670">
        <f t="shared" si="5"/>
        <v>27.58</v>
      </c>
      <c r="AB45" s="432">
        <f>U45</f>
        <v>8.6180363188673432</v>
      </c>
      <c r="AC45" s="670">
        <f t="shared" si="2"/>
        <v>53.862539051405847</v>
      </c>
      <c r="AD45" s="1055">
        <v>30</v>
      </c>
      <c r="AE45" s="432">
        <f t="shared" si="7"/>
        <v>96.007949999999994</v>
      </c>
      <c r="AF45" s="449"/>
    </row>
    <row r="46" spans="1:32" ht="18.600000000000001" customHeight="1" x14ac:dyDescent="0.2">
      <c r="A46" s="1055">
        <v>32</v>
      </c>
      <c r="B46" s="461" t="s">
        <v>207</v>
      </c>
      <c r="C46" s="1055" t="s">
        <v>46</v>
      </c>
      <c r="D46" s="1055">
        <v>673</v>
      </c>
      <c r="E46" s="1055" t="s">
        <v>420</v>
      </c>
      <c r="F46" s="1055">
        <v>177.8</v>
      </c>
      <c r="G46" s="1055" t="s">
        <v>28</v>
      </c>
      <c r="H46" s="1055" t="s">
        <v>50</v>
      </c>
      <c r="I46" s="1051">
        <v>564.41999999999996</v>
      </c>
      <c r="J46" s="1055" t="s">
        <v>522</v>
      </c>
      <c r="K46" s="1055"/>
      <c r="L46" s="1055">
        <v>181</v>
      </c>
      <c r="M46" s="1055"/>
      <c r="N46" s="668">
        <v>0.4</v>
      </c>
      <c r="O46" s="1055"/>
      <c r="P46" s="668">
        <v>36.867484565277088</v>
      </c>
      <c r="Q46" s="668">
        <f t="shared" si="10"/>
        <v>12.9</v>
      </c>
      <c r="R46" s="432">
        <v>1.5980000000000001</v>
      </c>
      <c r="S46" s="432">
        <v>8.4060000000000006</v>
      </c>
      <c r="T46" s="670">
        <v>4</v>
      </c>
      <c r="U46" s="668">
        <f t="shared" si="9"/>
        <v>2.5031289111389237</v>
      </c>
      <c r="V46" s="668">
        <f t="shared" si="4"/>
        <v>80.989769212467294</v>
      </c>
      <c r="W46" s="668">
        <v>0.3</v>
      </c>
      <c r="X46" s="432">
        <f t="shared" si="8"/>
        <v>0.65162790697674422</v>
      </c>
      <c r="Y46" s="432">
        <f t="shared" si="1"/>
        <v>1.57403</v>
      </c>
      <c r="Z46" s="432">
        <f t="shared" si="5"/>
        <v>8.279910000000001</v>
      </c>
      <c r="AA46" s="670">
        <f t="shared" si="5"/>
        <v>3.94</v>
      </c>
      <c r="AB46" s="432">
        <f>U46</f>
        <v>2.5031289111389237</v>
      </c>
      <c r="AC46" s="670">
        <f t="shared" si="2"/>
        <v>80.989769212467294</v>
      </c>
      <c r="AD46" s="1055">
        <v>30</v>
      </c>
      <c r="AE46" s="432">
        <f t="shared" si="7"/>
        <v>47.2209</v>
      </c>
      <c r="AF46" s="449"/>
    </row>
    <row r="47" spans="1:32" ht="18.75" customHeight="1" x14ac:dyDescent="0.25">
      <c r="A47" s="1055">
        <v>33</v>
      </c>
      <c r="B47" s="461" t="s">
        <v>196</v>
      </c>
      <c r="C47" s="1055" t="s">
        <v>304</v>
      </c>
      <c r="D47" s="1055">
        <v>641</v>
      </c>
      <c r="E47" s="1055" t="s">
        <v>296</v>
      </c>
      <c r="F47" s="1055">
        <v>177.8</v>
      </c>
      <c r="G47" s="1055" t="s">
        <v>28</v>
      </c>
      <c r="H47" s="1055" t="s">
        <v>50</v>
      </c>
      <c r="I47" s="1051">
        <v>611.92999999999995</v>
      </c>
      <c r="J47" s="1055"/>
      <c r="K47" s="1055">
        <v>496</v>
      </c>
      <c r="L47" s="868"/>
      <c r="M47" s="668">
        <v>0.3</v>
      </c>
      <c r="N47" s="868"/>
      <c r="O47" s="1055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9"/>
        <v>0</v>
      </c>
      <c r="V47" s="668">
        <f t="shared" si="4"/>
        <v>0</v>
      </c>
      <c r="W47" s="668">
        <v>0.3</v>
      </c>
      <c r="X47" s="432">
        <f t="shared" si="8"/>
        <v>0</v>
      </c>
      <c r="Y47" s="432">
        <f t="shared" si="1"/>
        <v>0</v>
      </c>
      <c r="Z47" s="432">
        <f t="shared" si="5"/>
        <v>0</v>
      </c>
      <c r="AA47" s="670">
        <f t="shared" si="5"/>
        <v>0</v>
      </c>
      <c r="AB47" s="432">
        <f>U47</f>
        <v>0</v>
      </c>
      <c r="AC47" s="670">
        <f t="shared" si="2"/>
        <v>0</v>
      </c>
      <c r="AD47" s="1055">
        <v>0</v>
      </c>
      <c r="AE47" s="432">
        <f t="shared" si="7"/>
        <v>0</v>
      </c>
      <c r="AF47" s="449" t="s">
        <v>335</v>
      </c>
    </row>
    <row r="48" spans="1:32" ht="18.75" customHeight="1" x14ac:dyDescent="0.2">
      <c r="A48" s="1055">
        <v>34</v>
      </c>
      <c r="B48" s="461" t="s">
        <v>60</v>
      </c>
      <c r="C48" s="1055" t="s">
        <v>46</v>
      </c>
      <c r="D48" s="1055">
        <v>638.9</v>
      </c>
      <c r="E48" s="1055" t="s">
        <v>462</v>
      </c>
      <c r="F48" s="1055">
        <v>177.8</v>
      </c>
      <c r="G48" s="1055" t="s">
        <v>28</v>
      </c>
      <c r="H48" s="1055" t="s">
        <v>48</v>
      </c>
      <c r="I48" s="1051">
        <v>532.05999999999995</v>
      </c>
      <c r="J48" s="1055" t="s">
        <v>523</v>
      </c>
      <c r="K48" s="1055"/>
      <c r="L48" s="1055">
        <v>443</v>
      </c>
      <c r="M48" s="1055"/>
      <c r="N48" s="1055">
        <v>6</v>
      </c>
      <c r="O48" s="1055"/>
      <c r="P48" s="668">
        <v>22.969737136838344</v>
      </c>
      <c r="Q48" s="668">
        <f t="shared" si="10"/>
        <v>47.45</v>
      </c>
      <c r="R48" s="432">
        <v>5.7370000000000001</v>
      </c>
      <c r="S48" s="432">
        <v>10.908999999999999</v>
      </c>
      <c r="T48" s="670">
        <v>483</v>
      </c>
      <c r="U48" s="668">
        <f t="shared" si="9"/>
        <v>84.190343385044443</v>
      </c>
      <c r="V48" s="668">
        <f t="shared" si="4"/>
        <v>47.410395086625719</v>
      </c>
      <c r="W48" s="668">
        <v>0.3</v>
      </c>
      <c r="X48" s="432">
        <f t="shared" si="8"/>
        <v>0.22990516332982083</v>
      </c>
      <c r="Y48" s="432">
        <f t="shared" si="1"/>
        <v>5.6509450000000001</v>
      </c>
      <c r="Z48" s="432">
        <f t="shared" si="5"/>
        <v>10.745365</v>
      </c>
      <c r="AA48" s="670">
        <f t="shared" si="5"/>
        <v>475.755</v>
      </c>
      <c r="AB48" s="432">
        <f t="shared" si="6"/>
        <v>84.190343385044443</v>
      </c>
      <c r="AC48" s="670">
        <f t="shared" si="2"/>
        <v>47.410395086625719</v>
      </c>
      <c r="AD48" s="1055">
        <v>30</v>
      </c>
      <c r="AE48" s="432">
        <f t="shared" si="7"/>
        <v>169.52834999999999</v>
      </c>
      <c r="AF48" s="449"/>
    </row>
    <row r="49" spans="1:32" ht="18.75" customHeight="1" x14ac:dyDescent="0.2">
      <c r="A49" s="1055">
        <v>35</v>
      </c>
      <c r="B49" s="461" t="s">
        <v>119</v>
      </c>
      <c r="C49" s="1055" t="s">
        <v>427</v>
      </c>
      <c r="D49" s="1055">
        <v>654.07000000000005</v>
      </c>
      <c r="E49" s="1055" t="s">
        <v>410</v>
      </c>
      <c r="F49" s="1055">
        <v>177.8</v>
      </c>
      <c r="G49" s="1055" t="s">
        <v>28</v>
      </c>
      <c r="H49" s="1055" t="s">
        <v>399</v>
      </c>
      <c r="I49" s="1051">
        <v>521.47</v>
      </c>
      <c r="J49" s="1055"/>
      <c r="K49" s="1055">
        <v>478</v>
      </c>
      <c r="L49" s="1055"/>
      <c r="M49" s="1055"/>
      <c r="N49" s="1055">
        <v>0</v>
      </c>
      <c r="O49" s="1055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9"/>
        <v>0</v>
      </c>
      <c r="V49" s="668">
        <f t="shared" si="4"/>
        <v>0</v>
      </c>
      <c r="W49" s="668">
        <v>0</v>
      </c>
      <c r="X49" s="432">
        <f t="shared" si="8"/>
        <v>0</v>
      </c>
      <c r="Y49" s="432">
        <f t="shared" si="1"/>
        <v>0</v>
      </c>
      <c r="Z49" s="432">
        <f t="shared" si="5"/>
        <v>0</v>
      </c>
      <c r="AA49" s="670">
        <f t="shared" si="5"/>
        <v>0</v>
      </c>
      <c r="AB49" s="432">
        <f t="shared" si="6"/>
        <v>0</v>
      </c>
      <c r="AC49" s="670">
        <f t="shared" si="2"/>
        <v>0</v>
      </c>
      <c r="AD49" s="1055">
        <v>0</v>
      </c>
      <c r="AE49" s="432">
        <f t="shared" si="7"/>
        <v>0</v>
      </c>
      <c r="AF49" s="449" t="s">
        <v>432</v>
      </c>
    </row>
    <row r="50" spans="1:32" ht="18.75" customHeight="1" x14ac:dyDescent="0.2">
      <c r="A50" s="1055">
        <v>36</v>
      </c>
      <c r="B50" s="461" t="s">
        <v>118</v>
      </c>
      <c r="C50" s="1055" t="s">
        <v>408</v>
      </c>
      <c r="D50" s="1055">
        <v>728.77</v>
      </c>
      <c r="E50" s="1055" t="s">
        <v>442</v>
      </c>
      <c r="F50" s="1055">
        <v>177.8</v>
      </c>
      <c r="G50" s="1055" t="s">
        <v>28</v>
      </c>
      <c r="H50" s="1055" t="s">
        <v>52</v>
      </c>
      <c r="I50" s="1051">
        <v>523.04999999999995</v>
      </c>
      <c r="J50" s="1055" t="s">
        <v>377</v>
      </c>
      <c r="K50" s="1055"/>
      <c r="L50" s="1055">
        <v>369</v>
      </c>
      <c r="M50" s="1055"/>
      <c r="N50" s="1055">
        <v>8.3000000000000007</v>
      </c>
      <c r="O50" s="1055"/>
      <c r="P50" s="668">
        <v>27.297686434770107</v>
      </c>
      <c r="Q50" s="668">
        <f t="shared" si="10"/>
        <v>30.8</v>
      </c>
      <c r="R50" s="432">
        <v>4.2720000000000002</v>
      </c>
      <c r="S50" s="432">
        <v>12.06</v>
      </c>
      <c r="T50" s="670">
        <v>32</v>
      </c>
      <c r="U50" s="668">
        <f t="shared" si="9"/>
        <v>7.4906367041198498</v>
      </c>
      <c r="V50" s="668">
        <f t="shared" si="4"/>
        <v>64.577114427860693</v>
      </c>
      <c r="W50" s="668">
        <v>0.3</v>
      </c>
      <c r="X50" s="432">
        <f t="shared" si="8"/>
        <v>0.39155844155844155</v>
      </c>
      <c r="Y50" s="432">
        <f t="shared" si="1"/>
        <v>4.2079200000000005</v>
      </c>
      <c r="Z50" s="432">
        <f t="shared" si="5"/>
        <v>11.879100000000001</v>
      </c>
      <c r="AA50" s="670">
        <f t="shared" si="5"/>
        <v>31.52</v>
      </c>
      <c r="AB50" s="432">
        <f t="shared" si="6"/>
        <v>7.4906367041198498</v>
      </c>
      <c r="AC50" s="670">
        <f t="shared" si="2"/>
        <v>64.577114427860693</v>
      </c>
      <c r="AD50" s="1055">
        <v>30</v>
      </c>
      <c r="AE50" s="432">
        <f t="shared" si="7"/>
        <v>126.23760000000001</v>
      </c>
      <c r="AF50" s="449"/>
    </row>
    <row r="51" spans="1:32" ht="18.75" customHeight="1" x14ac:dyDescent="0.2">
      <c r="A51" s="1055">
        <v>37</v>
      </c>
      <c r="B51" s="461" t="s">
        <v>117</v>
      </c>
      <c r="C51" s="1055" t="s">
        <v>46</v>
      </c>
      <c r="D51" s="1055">
        <v>671.45</v>
      </c>
      <c r="E51" s="1055" t="s">
        <v>128</v>
      </c>
      <c r="F51" s="1055">
        <v>177.8</v>
      </c>
      <c r="G51" s="1055" t="s">
        <v>28</v>
      </c>
      <c r="H51" s="452" t="s">
        <v>363</v>
      </c>
      <c r="I51" s="1051">
        <v>564.18000000000018</v>
      </c>
      <c r="J51" s="1055" t="s">
        <v>517</v>
      </c>
      <c r="K51" s="1055"/>
      <c r="L51" s="1055">
        <v>303</v>
      </c>
      <c r="M51" s="1055"/>
      <c r="N51" s="1055">
        <v>2.4</v>
      </c>
      <c r="O51" s="1055"/>
      <c r="P51" s="668">
        <v>43.898516969964177</v>
      </c>
      <c r="Q51" s="668">
        <f>J51*7/100</f>
        <v>7.7</v>
      </c>
      <c r="R51" s="432">
        <v>0.84799999999999998</v>
      </c>
      <c r="S51" s="432">
        <v>13.636000000000001</v>
      </c>
      <c r="T51" s="670">
        <v>0</v>
      </c>
      <c r="U51" s="668">
        <f t="shared" si="9"/>
        <v>0</v>
      </c>
      <c r="V51" s="668">
        <f t="shared" si="4"/>
        <v>93.781167497799927</v>
      </c>
      <c r="W51" s="668">
        <v>0.2</v>
      </c>
      <c r="X51" s="432">
        <f t="shared" si="8"/>
        <v>1.770909090909091</v>
      </c>
      <c r="Y51" s="432">
        <f t="shared" si="1"/>
        <v>0.83527999999999991</v>
      </c>
      <c r="Z51" s="432">
        <f t="shared" si="5"/>
        <v>13.431460000000001</v>
      </c>
      <c r="AA51" s="670">
        <f t="shared" si="5"/>
        <v>0</v>
      </c>
      <c r="AB51" s="432">
        <f t="shared" si="6"/>
        <v>0</v>
      </c>
      <c r="AC51" s="670">
        <f t="shared" si="2"/>
        <v>93.781167497799927</v>
      </c>
      <c r="AD51" s="1055">
        <v>30</v>
      </c>
      <c r="AE51" s="432">
        <f t="shared" si="7"/>
        <v>25.058399999999999</v>
      </c>
      <c r="AF51" s="669"/>
    </row>
    <row r="52" spans="1:32" ht="18.75" customHeight="1" x14ac:dyDescent="0.2">
      <c r="A52" s="1055">
        <v>38</v>
      </c>
      <c r="B52" s="461" t="s">
        <v>130</v>
      </c>
      <c r="C52" s="1055" t="s">
        <v>46</v>
      </c>
      <c r="D52" s="1055">
        <v>622.6</v>
      </c>
      <c r="E52" s="1055" t="s">
        <v>503</v>
      </c>
      <c r="F52" s="1055">
        <v>177.8</v>
      </c>
      <c r="G52" s="1055" t="s">
        <v>28</v>
      </c>
      <c r="H52" s="1055" t="s">
        <v>502</v>
      </c>
      <c r="I52" s="1051">
        <v>572.83000000000004</v>
      </c>
      <c r="J52" s="1055" t="s">
        <v>245</v>
      </c>
      <c r="K52" s="1055"/>
      <c r="L52" s="1055">
        <v>250</v>
      </c>
      <c r="M52" s="1055"/>
      <c r="N52" s="1055">
        <v>0.3</v>
      </c>
      <c r="O52" s="1055"/>
      <c r="P52" s="668">
        <v>50.387652144083397</v>
      </c>
      <c r="Q52" s="668">
        <f t="shared" si="10"/>
        <v>27</v>
      </c>
      <c r="R52" s="432">
        <v>2.1880000000000002</v>
      </c>
      <c r="S52" s="432">
        <v>24.416999999999998</v>
      </c>
      <c r="T52" s="670">
        <v>5</v>
      </c>
      <c r="U52" s="668">
        <f t="shared" si="9"/>
        <v>2.2851919561243141</v>
      </c>
      <c r="V52" s="668">
        <f t="shared" si="4"/>
        <v>91.039030183888286</v>
      </c>
      <c r="W52" s="668">
        <v>0</v>
      </c>
      <c r="X52" s="432">
        <f t="shared" si="8"/>
        <v>0.90433333333333321</v>
      </c>
      <c r="Y52" s="432">
        <f t="shared" si="1"/>
        <v>2.1551800000000001</v>
      </c>
      <c r="Z52" s="432">
        <f t="shared" si="5"/>
        <v>24.050744999999999</v>
      </c>
      <c r="AA52" s="670">
        <f t="shared" si="5"/>
        <v>4.9249999999999998</v>
      </c>
      <c r="AB52" s="432">
        <f t="shared" si="6"/>
        <v>2.2851919561243141</v>
      </c>
      <c r="AC52" s="670">
        <f t="shared" si="2"/>
        <v>91.039030183888286</v>
      </c>
      <c r="AD52" s="1055">
        <v>30</v>
      </c>
      <c r="AE52" s="432">
        <f t="shared" si="7"/>
        <v>64.6554</v>
      </c>
      <c r="AF52" s="449"/>
    </row>
    <row r="53" spans="1:32" ht="18.75" customHeight="1" x14ac:dyDescent="0.2">
      <c r="A53" s="1055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055">
        <v>177.8</v>
      </c>
      <c r="G53" s="452" t="s">
        <v>28</v>
      </c>
      <c r="H53" s="452" t="s">
        <v>363</v>
      </c>
      <c r="I53" s="453">
        <v>565.65</v>
      </c>
      <c r="J53" s="452" t="s">
        <v>514</v>
      </c>
      <c r="K53" s="452"/>
      <c r="L53" s="452">
        <v>457</v>
      </c>
      <c r="M53" s="452"/>
      <c r="N53" s="1055">
        <v>8</v>
      </c>
      <c r="O53" s="452"/>
      <c r="P53" s="675">
        <v>15.435955965872131</v>
      </c>
      <c r="Q53" s="668">
        <f>J53*7/100</f>
        <v>21.7</v>
      </c>
      <c r="R53" s="456">
        <v>2.7650000000000001</v>
      </c>
      <c r="S53" s="432">
        <v>2.988</v>
      </c>
      <c r="T53" s="700">
        <v>0</v>
      </c>
      <c r="U53" s="668">
        <f t="shared" si="9"/>
        <v>0</v>
      </c>
      <c r="V53" s="668">
        <f t="shared" si="4"/>
        <v>7.463186077643905</v>
      </c>
      <c r="W53" s="675">
        <v>0.2</v>
      </c>
      <c r="X53" s="432">
        <f t="shared" si="8"/>
        <v>0.13769585253456221</v>
      </c>
      <c r="Y53" s="432">
        <f t="shared" si="1"/>
        <v>2.723525</v>
      </c>
      <c r="Z53" s="432">
        <f t="shared" si="5"/>
        <v>2.9431799999999999</v>
      </c>
      <c r="AA53" s="670">
        <f t="shared" si="5"/>
        <v>0</v>
      </c>
      <c r="AB53" s="456">
        <f t="shared" si="6"/>
        <v>0</v>
      </c>
      <c r="AC53" s="670">
        <f t="shared" si="2"/>
        <v>7.463186077643905</v>
      </c>
      <c r="AD53" s="1055">
        <v>30</v>
      </c>
      <c r="AE53" s="456">
        <f t="shared" si="7"/>
        <v>81.705749999999995</v>
      </c>
      <c r="AF53" s="449"/>
    </row>
    <row r="54" spans="1:32" ht="18.75" customHeight="1" x14ac:dyDescent="0.2">
      <c r="A54" s="1055">
        <v>40</v>
      </c>
      <c r="B54" s="461" t="s">
        <v>116</v>
      </c>
      <c r="C54" s="1055" t="s">
        <v>46</v>
      </c>
      <c r="D54" s="1055">
        <v>681.27</v>
      </c>
      <c r="E54" s="1055" t="s">
        <v>455</v>
      </c>
      <c r="F54" s="1055">
        <v>177.8</v>
      </c>
      <c r="G54" s="1055" t="s">
        <v>28</v>
      </c>
      <c r="H54" s="1055" t="s">
        <v>53</v>
      </c>
      <c r="I54" s="1051">
        <v>559.23</v>
      </c>
      <c r="J54" s="1055" t="s">
        <v>255</v>
      </c>
      <c r="K54" s="1055"/>
      <c r="L54" s="670">
        <v>208</v>
      </c>
      <c r="M54" s="1055"/>
      <c r="N54" s="1055">
        <v>5.5</v>
      </c>
      <c r="O54" s="1055"/>
      <c r="P54" s="668">
        <v>36.278622934939648</v>
      </c>
      <c r="Q54" s="675">
        <f t="shared" si="10"/>
        <v>17.55</v>
      </c>
      <c r="R54" s="432">
        <v>1.18</v>
      </c>
      <c r="S54" s="432">
        <v>3.665</v>
      </c>
      <c r="T54" s="670">
        <v>4</v>
      </c>
      <c r="U54" s="668">
        <f t="shared" si="9"/>
        <v>3.3898305084745766</v>
      </c>
      <c r="V54" s="668">
        <f t="shared" si="4"/>
        <v>67.80354706684858</v>
      </c>
      <c r="W54" s="668">
        <v>0.3</v>
      </c>
      <c r="X54" s="432">
        <f t="shared" si="8"/>
        <v>0.20883190883190883</v>
      </c>
      <c r="Y54" s="432">
        <f t="shared" si="1"/>
        <v>1.1622999999999999</v>
      </c>
      <c r="Z54" s="432">
        <f t="shared" si="5"/>
        <v>3.6100249999999998</v>
      </c>
      <c r="AA54" s="670">
        <f t="shared" si="5"/>
        <v>3.94</v>
      </c>
      <c r="AB54" s="432">
        <f t="shared" si="6"/>
        <v>3.3898305084745766</v>
      </c>
      <c r="AC54" s="670">
        <f t="shared" si="2"/>
        <v>67.80354706684858</v>
      </c>
      <c r="AD54" s="1055">
        <v>30</v>
      </c>
      <c r="AE54" s="432">
        <f t="shared" si="7"/>
        <v>34.869</v>
      </c>
      <c r="AF54" s="449"/>
    </row>
    <row r="55" spans="1:32" ht="18.75" customHeight="1" x14ac:dyDescent="0.2">
      <c r="A55" s="1055">
        <v>41</v>
      </c>
      <c r="B55" s="461" t="s">
        <v>120</v>
      </c>
      <c r="C55" s="1055" t="s">
        <v>46</v>
      </c>
      <c r="D55" s="1055">
        <v>668.57</v>
      </c>
      <c r="E55" s="1055" t="s">
        <v>285</v>
      </c>
      <c r="F55" s="1055">
        <v>177.8</v>
      </c>
      <c r="G55" s="1055" t="s">
        <v>28</v>
      </c>
      <c r="H55" s="1055" t="s">
        <v>487</v>
      </c>
      <c r="I55" s="1051">
        <v>567.08000000000004</v>
      </c>
      <c r="J55" s="1055" t="s">
        <v>245</v>
      </c>
      <c r="K55" s="1055"/>
      <c r="L55" s="670">
        <v>439</v>
      </c>
      <c r="M55" s="1055"/>
      <c r="N55" s="1055">
        <v>0.6</v>
      </c>
      <c r="O55" s="1055"/>
      <c r="P55" s="668">
        <v>15.977328599526876</v>
      </c>
      <c r="Q55" s="668">
        <f t="shared" si="10"/>
        <v>27</v>
      </c>
      <c r="R55" s="432">
        <v>3.4550000000000001</v>
      </c>
      <c r="S55" s="432">
        <v>4.766</v>
      </c>
      <c r="T55" s="670">
        <v>0</v>
      </c>
      <c r="U55" s="668">
        <f t="shared" si="9"/>
        <v>0</v>
      </c>
      <c r="V55" s="668">
        <f t="shared" si="4"/>
        <v>27.50734368443139</v>
      </c>
      <c r="W55" s="668">
        <v>0.3</v>
      </c>
      <c r="X55" s="432">
        <f t="shared" si="8"/>
        <v>0.17651851851851852</v>
      </c>
      <c r="Y55" s="432">
        <f t="shared" si="1"/>
        <v>3.4031750000000001</v>
      </c>
      <c r="Z55" s="432">
        <f t="shared" si="5"/>
        <v>4.6945100000000002</v>
      </c>
      <c r="AA55" s="670">
        <f t="shared" si="5"/>
        <v>0</v>
      </c>
      <c r="AB55" s="432">
        <f t="shared" si="6"/>
        <v>0</v>
      </c>
      <c r="AC55" s="670">
        <f t="shared" si="2"/>
        <v>27.50734368443139</v>
      </c>
      <c r="AD55" s="1055">
        <v>30</v>
      </c>
      <c r="AE55" s="432">
        <f t="shared" si="7"/>
        <v>102.09525000000001</v>
      </c>
      <c r="AF55" s="669"/>
    </row>
    <row r="56" spans="1:32" ht="18.75" customHeight="1" x14ac:dyDescent="0.2">
      <c r="A56" s="1055">
        <v>42</v>
      </c>
      <c r="B56" s="461" t="s">
        <v>114</v>
      </c>
      <c r="C56" s="1055" t="s">
        <v>46</v>
      </c>
      <c r="D56" s="1055">
        <v>584.25</v>
      </c>
      <c r="E56" s="1055" t="s">
        <v>419</v>
      </c>
      <c r="F56" s="1055">
        <v>177.8</v>
      </c>
      <c r="G56" s="1055" t="s">
        <v>28</v>
      </c>
      <c r="H56" s="1055" t="s">
        <v>492</v>
      </c>
      <c r="I56" s="1051">
        <v>566.38000000000022</v>
      </c>
      <c r="J56" s="1055" t="s">
        <v>248</v>
      </c>
      <c r="K56" s="1055"/>
      <c r="L56" s="1055">
        <v>87</v>
      </c>
      <c r="M56" s="1055"/>
      <c r="N56" s="1055">
        <v>0.6</v>
      </c>
      <c r="O56" s="1055"/>
      <c r="P56" s="668">
        <v>52.27734397937143</v>
      </c>
      <c r="Q56" s="668">
        <f>J56*7/100</f>
        <v>5.95</v>
      </c>
      <c r="R56" s="432">
        <v>1.2210000000000001</v>
      </c>
      <c r="S56" s="432">
        <v>5.3340000000000005</v>
      </c>
      <c r="T56" s="670">
        <v>5</v>
      </c>
      <c r="U56" s="668">
        <f t="shared" si="9"/>
        <v>4.0950040950040947</v>
      </c>
      <c r="V56" s="668">
        <f t="shared" si="4"/>
        <v>77.109111361079869</v>
      </c>
      <c r="W56" s="668">
        <v>0.3</v>
      </c>
      <c r="X56" s="432">
        <f t="shared" si="8"/>
        <v>0.89647058823529413</v>
      </c>
      <c r="Y56" s="432">
        <f t="shared" si="1"/>
        <v>1.202685</v>
      </c>
      <c r="Z56" s="432">
        <f t="shared" si="5"/>
        <v>5.2539900000000008</v>
      </c>
      <c r="AA56" s="670">
        <f t="shared" si="5"/>
        <v>4.9249999999999998</v>
      </c>
      <c r="AB56" s="432">
        <f t="shared" si="6"/>
        <v>4.0950040950040947</v>
      </c>
      <c r="AC56" s="670">
        <v>0</v>
      </c>
      <c r="AD56" s="1055">
        <v>30</v>
      </c>
      <c r="AE56" s="432">
        <f t="shared" si="7"/>
        <v>36.080550000000002</v>
      </c>
      <c r="AF56" s="669"/>
    </row>
    <row r="57" spans="1:32" ht="18.75" customHeight="1" x14ac:dyDescent="0.2">
      <c r="A57" s="1055">
        <v>43</v>
      </c>
      <c r="B57" s="461" t="s">
        <v>106</v>
      </c>
      <c r="C57" s="1055" t="s">
        <v>46</v>
      </c>
      <c r="D57" s="1055">
        <v>642.52</v>
      </c>
      <c r="E57" s="1055" t="s">
        <v>457</v>
      </c>
      <c r="F57" s="1055">
        <v>177.8</v>
      </c>
      <c r="G57" s="1055" t="s">
        <v>28</v>
      </c>
      <c r="H57" s="1055" t="s">
        <v>456</v>
      </c>
      <c r="I57" s="1051">
        <v>546.55999999999995</v>
      </c>
      <c r="J57" s="1055" t="s">
        <v>244</v>
      </c>
      <c r="K57" s="1055"/>
      <c r="L57" s="1055">
        <v>187</v>
      </c>
      <c r="M57" s="1055"/>
      <c r="N57" s="1055">
        <v>7.6</v>
      </c>
      <c r="O57" s="1055"/>
      <c r="P57" s="668">
        <v>44.323045037335021</v>
      </c>
      <c r="Q57" s="668">
        <f>J57*23/100</f>
        <v>46</v>
      </c>
      <c r="R57" s="432">
        <v>2.44</v>
      </c>
      <c r="S57" s="432">
        <v>18.950000000000003</v>
      </c>
      <c r="T57" s="670">
        <v>0</v>
      </c>
      <c r="U57" s="668">
        <f t="shared" si="9"/>
        <v>0</v>
      </c>
      <c r="V57" s="668">
        <f t="shared" si="4"/>
        <v>87.124010554089708</v>
      </c>
      <c r="W57" s="668">
        <v>0.3</v>
      </c>
      <c r="X57" s="432">
        <f t="shared" si="8"/>
        <v>0.4119565217391305</v>
      </c>
      <c r="Y57" s="432">
        <f t="shared" si="1"/>
        <v>2.4034</v>
      </c>
      <c r="Z57" s="432">
        <f t="shared" si="5"/>
        <v>18.665750000000003</v>
      </c>
      <c r="AA57" s="670">
        <f t="shared" si="5"/>
        <v>0</v>
      </c>
      <c r="AB57" s="432">
        <f t="shared" si="6"/>
        <v>0</v>
      </c>
      <c r="AC57" s="670">
        <f t="shared" si="2"/>
        <v>87.124010554089708</v>
      </c>
      <c r="AD57" s="1055">
        <v>30</v>
      </c>
      <c r="AE57" s="432">
        <f t="shared" si="7"/>
        <v>72.102000000000004</v>
      </c>
      <c r="AF57" s="449"/>
    </row>
    <row r="58" spans="1:32" ht="18.75" customHeight="1" x14ac:dyDescent="0.2">
      <c r="A58" s="1055">
        <v>44</v>
      </c>
      <c r="B58" s="461" t="s">
        <v>105</v>
      </c>
      <c r="C58" s="1055" t="s">
        <v>46</v>
      </c>
      <c r="D58" s="1055">
        <v>609.6</v>
      </c>
      <c r="E58" s="1055" t="s">
        <v>110</v>
      </c>
      <c r="F58" s="1055">
        <v>177.8</v>
      </c>
      <c r="G58" s="1055" t="s">
        <v>28</v>
      </c>
      <c r="H58" s="1055" t="s">
        <v>487</v>
      </c>
      <c r="I58" s="1051">
        <v>505.30000000000013</v>
      </c>
      <c r="J58" s="1055">
        <v>85</v>
      </c>
      <c r="K58" s="1055"/>
      <c r="L58" s="1055">
        <v>382</v>
      </c>
      <c r="M58" s="1055"/>
      <c r="N58" s="1055">
        <v>1.8</v>
      </c>
      <c r="O58" s="1055"/>
      <c r="P58" s="668">
        <v>12.957248526527751</v>
      </c>
      <c r="Q58" s="668">
        <f t="shared" si="10"/>
        <v>12.75</v>
      </c>
      <c r="R58" s="432">
        <v>1.359</v>
      </c>
      <c r="S58" s="432">
        <v>1.3659999999999999</v>
      </c>
      <c r="T58" s="670">
        <v>0</v>
      </c>
      <c r="U58" s="668">
        <f t="shared" si="9"/>
        <v>0</v>
      </c>
      <c r="V58" s="668">
        <f t="shared" si="4"/>
        <v>0.51244509516836723</v>
      </c>
      <c r="W58" s="668">
        <v>0</v>
      </c>
      <c r="X58" s="432">
        <f t="shared" si="8"/>
        <v>0.10713725490196077</v>
      </c>
      <c r="Y58" s="432">
        <f t="shared" si="1"/>
        <v>1.3386149999999999</v>
      </c>
      <c r="Z58" s="432">
        <f t="shared" si="5"/>
        <v>1.3455099999999998</v>
      </c>
      <c r="AA58" s="670">
        <f t="shared" si="5"/>
        <v>0</v>
      </c>
      <c r="AB58" s="432">
        <v>0</v>
      </c>
      <c r="AC58" s="670">
        <v>0</v>
      </c>
      <c r="AD58" s="1055">
        <v>30</v>
      </c>
      <c r="AE58" s="432">
        <f t="shared" si="7"/>
        <v>40.158449999999995</v>
      </c>
      <c r="AF58" s="669"/>
    </row>
    <row r="59" spans="1:32" ht="18.75" customHeight="1" x14ac:dyDescent="0.2">
      <c r="A59" s="1055">
        <v>45</v>
      </c>
      <c r="B59" s="461" t="s">
        <v>104</v>
      </c>
      <c r="C59" s="1055" t="s">
        <v>381</v>
      </c>
      <c r="D59" s="1055">
        <v>707.14</v>
      </c>
      <c r="E59" s="1051" t="s">
        <v>382</v>
      </c>
      <c r="F59" s="1055">
        <v>177.8</v>
      </c>
      <c r="G59" s="1055" t="s">
        <v>28</v>
      </c>
      <c r="H59" s="1055" t="s">
        <v>383</v>
      </c>
      <c r="I59" s="1051">
        <v>682.43000000000052</v>
      </c>
      <c r="J59" s="1055"/>
      <c r="K59" s="1055">
        <v>548</v>
      </c>
      <c r="L59" s="1055"/>
      <c r="M59" s="1055">
        <v>6.9</v>
      </c>
      <c r="N59" s="1055"/>
      <c r="O59" s="1055"/>
      <c r="P59" s="668"/>
      <c r="Q59" s="668">
        <f>J59*3/100</f>
        <v>0</v>
      </c>
      <c r="R59" s="432">
        <v>0</v>
      </c>
      <c r="S59" s="432">
        <v>0</v>
      </c>
      <c r="T59" s="670">
        <v>0</v>
      </c>
      <c r="U59" s="668">
        <f t="shared" si="9"/>
        <v>0</v>
      </c>
      <c r="V59" s="668">
        <f t="shared" si="4"/>
        <v>0</v>
      </c>
      <c r="W59" s="668">
        <v>0</v>
      </c>
      <c r="X59" s="432">
        <f t="shared" si="8"/>
        <v>0</v>
      </c>
      <c r="Y59" s="432">
        <f t="shared" si="1"/>
        <v>0</v>
      </c>
      <c r="Z59" s="432">
        <f t="shared" si="5"/>
        <v>0</v>
      </c>
      <c r="AA59" s="670">
        <f t="shared" si="5"/>
        <v>0</v>
      </c>
      <c r="AB59" s="432">
        <f t="shared" si="6"/>
        <v>0</v>
      </c>
      <c r="AC59" s="670">
        <f t="shared" si="2"/>
        <v>0</v>
      </c>
      <c r="AD59" s="1055">
        <v>30</v>
      </c>
      <c r="AE59" s="432">
        <f t="shared" si="7"/>
        <v>0</v>
      </c>
      <c r="AF59" s="669" t="s">
        <v>335</v>
      </c>
    </row>
    <row r="60" spans="1:32" ht="18.600000000000001" customHeight="1" x14ac:dyDescent="0.3">
      <c r="A60" s="1055">
        <v>46</v>
      </c>
      <c r="B60" s="1052" t="s">
        <v>158</v>
      </c>
      <c r="C60" s="1055" t="s">
        <v>46</v>
      </c>
      <c r="D60" s="1051">
        <v>621.12</v>
      </c>
      <c r="E60" s="1051" t="s">
        <v>232</v>
      </c>
      <c r="F60" s="1055">
        <v>177.8</v>
      </c>
      <c r="G60" s="1055" t="s">
        <v>28</v>
      </c>
      <c r="H60" s="1055" t="s">
        <v>487</v>
      </c>
      <c r="I60" s="1051">
        <v>544.41999999999996</v>
      </c>
      <c r="J60" s="1051">
        <v>85</v>
      </c>
      <c r="K60" s="1051"/>
      <c r="L60" s="1051">
        <v>459</v>
      </c>
      <c r="M60" s="1051"/>
      <c r="N60" s="1055">
        <v>10.5</v>
      </c>
      <c r="O60" s="1051"/>
      <c r="P60" s="448">
        <v>16.237963609289636</v>
      </c>
      <c r="Q60" s="668">
        <f t="shared" ref="Q60" si="11">LEFT(H60,(FIND("K",H60,1)-1))*J60/100</f>
        <v>12.75</v>
      </c>
      <c r="R60" s="432">
        <v>4.3410000000000002</v>
      </c>
      <c r="S60" s="432">
        <v>4.8940000000000001</v>
      </c>
      <c r="T60" s="492">
        <v>40</v>
      </c>
      <c r="U60" s="668">
        <f t="shared" si="9"/>
        <v>9.2144667127390001</v>
      </c>
      <c r="V60" s="668">
        <f t="shared" si="4"/>
        <v>11.299550469963219</v>
      </c>
      <c r="W60" s="668">
        <v>0.2</v>
      </c>
      <c r="X60" s="432">
        <f t="shared" si="8"/>
        <v>0.38384313725490199</v>
      </c>
      <c r="Y60" s="432">
        <f t="shared" si="1"/>
        <v>4.2758849999999997</v>
      </c>
      <c r="Z60" s="432">
        <f t="shared" si="5"/>
        <v>4.8205900000000002</v>
      </c>
      <c r="AA60" s="670">
        <f t="shared" si="5"/>
        <v>39.4</v>
      </c>
      <c r="AB60" s="432">
        <f t="shared" si="6"/>
        <v>9.2144667127390001</v>
      </c>
      <c r="AC60" s="670">
        <f t="shared" si="2"/>
        <v>11.299550469963219</v>
      </c>
      <c r="AD60" s="1055">
        <v>30</v>
      </c>
      <c r="AE60" s="432">
        <f>Y60*AD60</f>
        <v>128.27654999999999</v>
      </c>
      <c r="AF60" s="458"/>
    </row>
    <row r="61" spans="1:32" ht="18.75" customHeight="1" x14ac:dyDescent="0.2">
      <c r="A61" s="1055">
        <v>47</v>
      </c>
      <c r="B61" s="1052" t="s">
        <v>160</v>
      </c>
      <c r="C61" s="1055" t="s">
        <v>304</v>
      </c>
      <c r="D61" s="1051">
        <v>677.33</v>
      </c>
      <c r="E61" s="1051" t="s">
        <v>315</v>
      </c>
      <c r="F61" s="1055">
        <v>177.8</v>
      </c>
      <c r="G61" s="1055" t="s">
        <v>28</v>
      </c>
      <c r="H61" s="1055" t="s">
        <v>52</v>
      </c>
      <c r="I61" s="1051">
        <v>599.4400000000004</v>
      </c>
      <c r="J61" s="1051" t="s">
        <v>255</v>
      </c>
      <c r="K61" s="1051"/>
      <c r="L61" s="1055">
        <v>162</v>
      </c>
      <c r="M61" s="1051"/>
      <c r="N61" s="1055">
        <v>7.6</v>
      </c>
      <c r="O61" s="1051"/>
      <c r="P61" s="448">
        <v>49.760394055761445</v>
      </c>
      <c r="Q61" s="668">
        <f t="shared" si="10"/>
        <v>29.7</v>
      </c>
      <c r="R61" s="432">
        <v>7.3999999999999996E-2</v>
      </c>
      <c r="S61" s="432">
        <v>0.8889999999999999</v>
      </c>
      <c r="T61" s="492">
        <v>0</v>
      </c>
      <c r="U61" s="668">
        <f t="shared" si="9"/>
        <v>0</v>
      </c>
      <c r="V61" s="668">
        <f t="shared" si="4"/>
        <v>91.676040494938135</v>
      </c>
      <c r="W61" s="668">
        <v>0</v>
      </c>
      <c r="X61" s="432">
        <f t="shared" si="8"/>
        <v>2.9932659932659929E-2</v>
      </c>
      <c r="Y61" s="432">
        <f t="shared" si="1"/>
        <v>7.2889999999999996E-2</v>
      </c>
      <c r="Z61" s="432">
        <f t="shared" si="5"/>
        <v>0.87566499999999992</v>
      </c>
      <c r="AA61" s="670">
        <f t="shared" si="5"/>
        <v>0</v>
      </c>
      <c r="AB61" s="432">
        <f t="shared" si="6"/>
        <v>0</v>
      </c>
      <c r="AC61" s="670">
        <f t="shared" si="2"/>
        <v>91.676040494938135</v>
      </c>
      <c r="AD61" s="1055">
        <v>30</v>
      </c>
      <c r="AE61" s="432">
        <f>Y61*AD61</f>
        <v>2.1867000000000001</v>
      </c>
      <c r="AF61" s="669"/>
    </row>
    <row r="62" spans="1:32" ht="18.75" customHeight="1" x14ac:dyDescent="0.2">
      <c r="A62" s="1055">
        <v>48</v>
      </c>
      <c r="B62" s="461" t="s">
        <v>164</v>
      </c>
      <c r="C62" s="1055" t="s">
        <v>46</v>
      </c>
      <c r="D62" s="1051">
        <v>678.47</v>
      </c>
      <c r="E62" s="1051" t="s">
        <v>233</v>
      </c>
      <c r="F62" s="1055">
        <v>177.8</v>
      </c>
      <c r="G62" s="1055" t="s">
        <v>28</v>
      </c>
      <c r="H62" s="1055" t="s">
        <v>487</v>
      </c>
      <c r="I62" s="1051">
        <v>565.48000000000013</v>
      </c>
      <c r="J62" s="1051" t="s">
        <v>239</v>
      </c>
      <c r="K62" s="1051"/>
      <c r="L62" s="1051">
        <v>348</v>
      </c>
      <c r="M62" s="1051"/>
      <c r="N62" s="1055">
        <v>8.1999999999999993</v>
      </c>
      <c r="O62" s="1051"/>
      <c r="P62" s="668">
        <v>17.919805945666621</v>
      </c>
      <c r="Q62" s="668">
        <f t="shared" si="10"/>
        <v>15</v>
      </c>
      <c r="R62" s="432">
        <v>3.3889999999999998</v>
      </c>
      <c r="S62" s="432">
        <v>8.298</v>
      </c>
      <c r="T62" s="670">
        <v>0</v>
      </c>
      <c r="U62" s="668">
        <f t="shared" si="9"/>
        <v>0</v>
      </c>
      <c r="V62" s="668">
        <f t="shared" si="4"/>
        <v>59.158833453844309</v>
      </c>
      <c r="W62" s="668">
        <v>0.5</v>
      </c>
      <c r="X62" s="432">
        <f t="shared" si="8"/>
        <v>0.55320000000000003</v>
      </c>
      <c r="Y62" s="432">
        <f t="shared" si="1"/>
        <v>3.3381649999999996</v>
      </c>
      <c r="Z62" s="432">
        <f t="shared" si="5"/>
        <v>8.1735299999999995</v>
      </c>
      <c r="AA62" s="670">
        <f t="shared" si="5"/>
        <v>0</v>
      </c>
      <c r="AB62" s="432">
        <f t="shared" si="6"/>
        <v>0</v>
      </c>
      <c r="AC62" s="670">
        <f t="shared" si="2"/>
        <v>59.158833453844309</v>
      </c>
      <c r="AD62" s="1055">
        <v>30</v>
      </c>
      <c r="AE62" s="432">
        <f t="shared" ref="AE62:AE77" si="12">Y62*AD62</f>
        <v>100.14494999999999</v>
      </c>
      <c r="AF62" s="669"/>
    </row>
    <row r="63" spans="1:32" ht="18.75" customHeight="1" x14ac:dyDescent="0.2">
      <c r="A63" s="1055">
        <v>49</v>
      </c>
      <c r="B63" s="461" t="s">
        <v>61</v>
      </c>
      <c r="C63" s="1055" t="s">
        <v>46</v>
      </c>
      <c r="D63" s="1055">
        <v>667.18</v>
      </c>
      <c r="E63" s="1055" t="s">
        <v>96</v>
      </c>
      <c r="F63" s="1055">
        <v>177.8</v>
      </c>
      <c r="G63" s="1055" t="s">
        <v>28</v>
      </c>
      <c r="H63" s="1055" t="s">
        <v>52</v>
      </c>
      <c r="I63" s="1051">
        <v>534.21</v>
      </c>
      <c r="J63" s="1055" t="s">
        <v>259</v>
      </c>
      <c r="K63" s="1055"/>
      <c r="L63" s="1055">
        <v>455</v>
      </c>
      <c r="M63" s="1055"/>
      <c r="N63" s="1055">
        <v>2.7</v>
      </c>
      <c r="O63" s="1055"/>
      <c r="P63" s="668">
        <v>15.839049551597217</v>
      </c>
      <c r="Q63" s="668">
        <f t="shared" si="10"/>
        <v>71.5</v>
      </c>
      <c r="R63" s="432">
        <v>7.1280000000000001</v>
      </c>
      <c r="S63" s="432">
        <v>12.690000000000001</v>
      </c>
      <c r="T63" s="670">
        <v>84</v>
      </c>
      <c r="U63" s="668">
        <f t="shared" si="9"/>
        <v>11.784511784511784</v>
      </c>
      <c r="V63" s="668">
        <f t="shared" si="4"/>
        <v>43.829787234042556</v>
      </c>
      <c r="W63" s="668">
        <v>0.2</v>
      </c>
      <c r="X63" s="432">
        <f t="shared" si="8"/>
        <v>0.1774825174825175</v>
      </c>
      <c r="Y63" s="432">
        <f t="shared" si="1"/>
        <v>7.0210800000000004</v>
      </c>
      <c r="Z63" s="432">
        <f t="shared" si="5"/>
        <v>12.499650000000001</v>
      </c>
      <c r="AA63" s="670">
        <f t="shared" si="5"/>
        <v>82.74</v>
      </c>
      <c r="AB63" s="432">
        <f t="shared" si="6"/>
        <v>11.784511784511784</v>
      </c>
      <c r="AC63" s="670">
        <f t="shared" si="2"/>
        <v>43.829787234042556</v>
      </c>
      <c r="AD63" s="1055">
        <v>30</v>
      </c>
      <c r="AE63" s="432">
        <f t="shared" si="12"/>
        <v>210.63240000000002</v>
      </c>
      <c r="AF63" s="449"/>
    </row>
    <row r="64" spans="1:32" ht="18.75" customHeight="1" x14ac:dyDescent="0.2">
      <c r="A64" s="1055">
        <v>50</v>
      </c>
      <c r="B64" s="461" t="s">
        <v>64</v>
      </c>
      <c r="C64" s="1055" t="s">
        <v>46</v>
      </c>
      <c r="D64" s="1055">
        <v>672.5</v>
      </c>
      <c r="E64" s="1055" t="s">
        <v>444</v>
      </c>
      <c r="F64" s="1055">
        <v>177.8</v>
      </c>
      <c r="G64" s="1055" t="s">
        <v>28</v>
      </c>
      <c r="H64" s="1055" t="s">
        <v>49</v>
      </c>
      <c r="I64" s="1051">
        <v>523.78</v>
      </c>
      <c r="J64" s="1055" t="s">
        <v>524</v>
      </c>
      <c r="K64" s="1055"/>
      <c r="L64" s="1055">
        <v>457</v>
      </c>
      <c r="M64" s="1055"/>
      <c r="N64" s="1055">
        <v>8.6999999999999993</v>
      </c>
      <c r="O64" s="1055"/>
      <c r="P64" s="668">
        <v>21.289712231492167</v>
      </c>
      <c r="Q64" s="668">
        <f t="shared" si="10"/>
        <v>107.2</v>
      </c>
      <c r="R64" s="432">
        <v>7.0830000000000002</v>
      </c>
      <c r="S64" s="432">
        <v>9.3480000000000008</v>
      </c>
      <c r="T64" s="670">
        <v>2755</v>
      </c>
      <c r="U64" s="668">
        <f t="shared" si="9"/>
        <v>388.95948044613863</v>
      </c>
      <c r="V64" s="668">
        <f t="shared" si="4"/>
        <v>24.22978177150193</v>
      </c>
      <c r="W64" s="668">
        <v>0.2</v>
      </c>
      <c r="X64" s="432">
        <f t="shared" si="8"/>
        <v>8.7201492537313435E-2</v>
      </c>
      <c r="Y64" s="432">
        <f t="shared" si="1"/>
        <v>6.9767549999999998</v>
      </c>
      <c r="Z64" s="432">
        <f t="shared" si="5"/>
        <v>9.2077800000000014</v>
      </c>
      <c r="AA64" s="670">
        <f t="shared" si="5"/>
        <v>2713.6750000000002</v>
      </c>
      <c r="AB64" s="432">
        <f t="shared" si="6"/>
        <v>388.95948044613863</v>
      </c>
      <c r="AC64" s="670">
        <f t="shared" si="2"/>
        <v>24.22978177150193</v>
      </c>
      <c r="AD64" s="1055">
        <v>30</v>
      </c>
      <c r="AE64" s="432">
        <f t="shared" si="12"/>
        <v>209.30265</v>
      </c>
      <c r="AF64" s="449"/>
    </row>
    <row r="65" spans="1:32" ht="18.75" customHeight="1" x14ac:dyDescent="0.2">
      <c r="A65" s="1055">
        <v>51</v>
      </c>
      <c r="B65" s="461" t="s">
        <v>156</v>
      </c>
      <c r="C65" s="1055" t="s">
        <v>46</v>
      </c>
      <c r="D65" s="1055">
        <v>679.54</v>
      </c>
      <c r="E65" s="1055" t="s">
        <v>166</v>
      </c>
      <c r="F65" s="1055">
        <v>177.8</v>
      </c>
      <c r="G65" s="1055" t="s">
        <v>28</v>
      </c>
      <c r="H65" s="1055" t="s">
        <v>52</v>
      </c>
      <c r="I65" s="1051">
        <v>530.98</v>
      </c>
      <c r="J65" s="1055" t="s">
        <v>519</v>
      </c>
      <c r="K65" s="1055"/>
      <c r="L65" s="1055">
        <v>461</v>
      </c>
      <c r="M65" s="1055"/>
      <c r="N65" s="1055">
        <v>3.8</v>
      </c>
      <c r="O65" s="1055"/>
      <c r="P65" s="668">
        <v>16.658955800256862</v>
      </c>
      <c r="Q65" s="668">
        <f t="shared" si="10"/>
        <v>78.760000000000005</v>
      </c>
      <c r="R65" s="432">
        <v>3.657</v>
      </c>
      <c r="S65" s="432">
        <v>7.2959999999999994</v>
      </c>
      <c r="T65" s="670">
        <v>20</v>
      </c>
      <c r="U65" s="668">
        <f t="shared" si="9"/>
        <v>5.4689636313918513</v>
      </c>
      <c r="V65" s="668">
        <f t="shared" si="4"/>
        <v>49.876644736842103</v>
      </c>
      <c r="W65" s="668">
        <v>0.2</v>
      </c>
      <c r="X65" s="432">
        <f t="shared" si="8"/>
        <v>9.2635855764347366E-2</v>
      </c>
      <c r="Y65" s="432">
        <f t="shared" si="1"/>
        <v>3.6021450000000002</v>
      </c>
      <c r="Z65" s="432">
        <f t="shared" si="5"/>
        <v>7.1865599999999992</v>
      </c>
      <c r="AA65" s="670">
        <f t="shared" si="5"/>
        <v>19.7</v>
      </c>
      <c r="AB65" s="432">
        <f t="shared" si="6"/>
        <v>5.4689636313918513</v>
      </c>
      <c r="AC65" s="670">
        <f t="shared" si="2"/>
        <v>49.876644736842103</v>
      </c>
      <c r="AD65" s="1055">
        <v>30</v>
      </c>
      <c r="AE65" s="432">
        <f t="shared" si="12"/>
        <v>108.06435</v>
      </c>
      <c r="AF65" s="449"/>
    </row>
    <row r="66" spans="1:32" ht="18.75" customHeight="1" x14ac:dyDescent="0.2">
      <c r="A66" s="1055">
        <v>52</v>
      </c>
      <c r="B66" s="461" t="s">
        <v>169</v>
      </c>
      <c r="C66" s="1055" t="s">
        <v>46</v>
      </c>
      <c r="D66" s="1055">
        <v>647.37</v>
      </c>
      <c r="E66" s="1055" t="s">
        <v>463</v>
      </c>
      <c r="F66" s="1055">
        <v>177.8</v>
      </c>
      <c r="G66" s="1055" t="s">
        <v>28</v>
      </c>
      <c r="H66" s="1055" t="s">
        <v>487</v>
      </c>
      <c r="I66" s="1051">
        <v>538.13999999999976</v>
      </c>
      <c r="J66" s="1055" t="s">
        <v>248</v>
      </c>
      <c r="K66" s="1055"/>
      <c r="L66" s="1055">
        <v>444</v>
      </c>
      <c r="M66" s="1055"/>
      <c r="N66" s="1055">
        <v>8.4</v>
      </c>
      <c r="O66" s="1055"/>
      <c r="P66" s="668">
        <v>17.453467031976455</v>
      </c>
      <c r="Q66" s="668">
        <f t="shared" si="10"/>
        <v>12.75</v>
      </c>
      <c r="R66" s="432">
        <v>2.8370000000000002</v>
      </c>
      <c r="S66" s="432">
        <v>5.6390000000000002</v>
      </c>
      <c r="T66" s="670">
        <v>0</v>
      </c>
      <c r="U66" s="668">
        <f t="shared" si="9"/>
        <v>0</v>
      </c>
      <c r="V66" s="668">
        <f t="shared" si="4"/>
        <v>49.689661287462314</v>
      </c>
      <c r="W66" s="668">
        <v>0.3</v>
      </c>
      <c r="X66" s="432">
        <f t="shared" si="8"/>
        <v>0.44227450980392158</v>
      </c>
      <c r="Y66" s="432">
        <f t="shared" si="1"/>
        <v>2.7944450000000001</v>
      </c>
      <c r="Z66" s="432">
        <f t="shared" si="5"/>
        <v>5.5544150000000005</v>
      </c>
      <c r="AA66" s="670">
        <f t="shared" si="5"/>
        <v>0</v>
      </c>
      <c r="AB66" s="432">
        <f t="shared" si="6"/>
        <v>0</v>
      </c>
      <c r="AC66" s="670">
        <f t="shared" si="2"/>
        <v>49.689661287462314</v>
      </c>
      <c r="AD66" s="1055">
        <v>30</v>
      </c>
      <c r="AE66" s="432">
        <f>Y66*AD66</f>
        <v>83.833349999999996</v>
      </c>
      <c r="AF66" s="449"/>
    </row>
    <row r="67" spans="1:32" ht="18.75" customHeight="1" x14ac:dyDescent="0.2">
      <c r="A67" s="1055">
        <v>53</v>
      </c>
      <c r="B67" s="461" t="s">
        <v>62</v>
      </c>
      <c r="C67" s="1055" t="s">
        <v>46</v>
      </c>
      <c r="D67" s="1055">
        <v>673.73</v>
      </c>
      <c r="E67" s="1055" t="s">
        <v>97</v>
      </c>
      <c r="F67" s="1055">
        <v>177.8</v>
      </c>
      <c r="G67" s="1055" t="s">
        <v>28</v>
      </c>
      <c r="H67" s="1055" t="s">
        <v>218</v>
      </c>
      <c r="I67" s="1051">
        <v>543</v>
      </c>
      <c r="J67" s="1055" t="s">
        <v>525</v>
      </c>
      <c r="K67" s="1055"/>
      <c r="L67" s="1055">
        <v>433</v>
      </c>
      <c r="M67" s="1055"/>
      <c r="N67" s="1055">
        <v>1.4</v>
      </c>
      <c r="O67" s="1055"/>
      <c r="P67" s="668">
        <v>15.874407887512124</v>
      </c>
      <c r="Q67" s="668">
        <f t="shared" si="10"/>
        <v>88</v>
      </c>
      <c r="R67" s="432">
        <v>7.944</v>
      </c>
      <c r="S67" s="432">
        <v>16.975999999999999</v>
      </c>
      <c r="T67" s="670">
        <v>18</v>
      </c>
      <c r="U67" s="668">
        <f t="shared" si="9"/>
        <v>2.2658610271903323</v>
      </c>
      <c r="V67" s="668">
        <f t="shared" si="4"/>
        <v>53.204524033930255</v>
      </c>
      <c r="W67" s="668">
        <v>0.3</v>
      </c>
      <c r="X67" s="432">
        <f t="shared" si="8"/>
        <v>0.19290909090909089</v>
      </c>
      <c r="Y67" s="432">
        <f t="shared" si="1"/>
        <v>7.82484</v>
      </c>
      <c r="Z67" s="432">
        <f t="shared" si="5"/>
        <v>16.721359999999997</v>
      </c>
      <c r="AA67" s="670">
        <f t="shared" si="5"/>
        <v>17.73</v>
      </c>
      <c r="AB67" s="432">
        <f t="shared" si="6"/>
        <v>2.2658610271903323</v>
      </c>
      <c r="AC67" s="670">
        <f t="shared" si="2"/>
        <v>53.204524033930255</v>
      </c>
      <c r="AD67" s="1055">
        <v>30</v>
      </c>
      <c r="AE67" s="432">
        <f t="shared" si="12"/>
        <v>234.74520000000001</v>
      </c>
      <c r="AF67" s="669"/>
    </row>
    <row r="68" spans="1:32" ht="18.75" customHeight="1" x14ac:dyDescent="0.2">
      <c r="A68" s="1055">
        <v>54</v>
      </c>
      <c r="B68" s="461" t="s">
        <v>157</v>
      </c>
      <c r="C68" s="1055" t="s">
        <v>46</v>
      </c>
      <c r="D68" s="1055">
        <v>676.73</v>
      </c>
      <c r="E68" s="1055" t="s">
        <v>179</v>
      </c>
      <c r="F68" s="1055">
        <v>177.8</v>
      </c>
      <c r="G68" s="1055" t="s">
        <v>28</v>
      </c>
      <c r="H68" s="1055" t="s">
        <v>218</v>
      </c>
      <c r="I68" s="1051">
        <v>579.14</v>
      </c>
      <c r="J68" s="1055" t="s">
        <v>514</v>
      </c>
      <c r="K68" s="1055"/>
      <c r="L68" s="1055">
        <v>218</v>
      </c>
      <c r="M68" s="1055"/>
      <c r="N68" s="1055">
        <v>14.1</v>
      </c>
      <c r="O68" s="1055"/>
      <c r="P68" s="668">
        <v>46.145170029542328</v>
      </c>
      <c r="Q68" s="668">
        <f t="shared" si="10"/>
        <v>99.2</v>
      </c>
      <c r="R68" s="432">
        <v>10.776</v>
      </c>
      <c r="S68" s="432">
        <v>51.316999999999993</v>
      </c>
      <c r="T68" s="670">
        <v>220.417</v>
      </c>
      <c r="U68" s="668">
        <f t="shared" si="9"/>
        <v>20.454435783221975</v>
      </c>
      <c r="V68" s="668">
        <f t="shared" si="4"/>
        <v>79.001110743028633</v>
      </c>
      <c r="W68" s="668">
        <v>0.3</v>
      </c>
      <c r="X68" s="432">
        <f t="shared" si="8"/>
        <v>0.5173084677419354</v>
      </c>
      <c r="Y68" s="432">
        <f t="shared" si="1"/>
        <v>10.61436</v>
      </c>
      <c r="Z68" s="432">
        <f t="shared" si="5"/>
        <v>50.54724499999999</v>
      </c>
      <c r="AA68" s="670">
        <f t="shared" si="5"/>
        <v>217.11074500000001</v>
      </c>
      <c r="AB68" s="432">
        <f t="shared" si="6"/>
        <v>20.454435783221975</v>
      </c>
      <c r="AC68" s="670">
        <f t="shared" si="2"/>
        <v>79.001110743028633</v>
      </c>
      <c r="AD68" s="1055">
        <v>30</v>
      </c>
      <c r="AE68" s="432">
        <f t="shared" si="12"/>
        <v>318.43079999999998</v>
      </c>
      <c r="AF68" s="676"/>
    </row>
    <row r="69" spans="1:32" ht="18.75" customHeight="1" x14ac:dyDescent="0.2">
      <c r="A69" s="1055">
        <v>55</v>
      </c>
      <c r="B69" s="461" t="s">
        <v>159</v>
      </c>
      <c r="C69" s="1055" t="s">
        <v>46</v>
      </c>
      <c r="D69" s="1055">
        <v>676</v>
      </c>
      <c r="E69" s="1055" t="s">
        <v>167</v>
      </c>
      <c r="F69" s="1055">
        <v>177.8</v>
      </c>
      <c r="G69" s="1055" t="s">
        <v>28</v>
      </c>
      <c r="H69" s="1055" t="s">
        <v>342</v>
      </c>
      <c r="I69" s="1051">
        <v>509.61000000000024</v>
      </c>
      <c r="J69" s="1055" t="s">
        <v>520</v>
      </c>
      <c r="K69" s="1055"/>
      <c r="L69" s="1055">
        <v>456</v>
      </c>
      <c r="M69" s="1055"/>
      <c r="N69" s="1055">
        <v>9.4</v>
      </c>
      <c r="O69" s="1055"/>
      <c r="P69" s="668">
        <v>20.699407087181768</v>
      </c>
      <c r="Q69" s="668">
        <f>(20*J69)/100</f>
        <v>64</v>
      </c>
      <c r="R69" s="432">
        <v>18.582999999999998</v>
      </c>
      <c r="S69" s="432">
        <v>22.389999999999997</v>
      </c>
      <c r="T69" s="670">
        <v>494</v>
      </c>
      <c r="U69" s="668">
        <f t="shared" si="9"/>
        <v>26.583436474196848</v>
      </c>
      <c r="V69" s="668">
        <f t="shared" si="4"/>
        <v>17.003126395712368</v>
      </c>
      <c r="W69" s="668">
        <v>0.3</v>
      </c>
      <c r="X69" s="432">
        <f t="shared" si="8"/>
        <v>0.34984374999999995</v>
      </c>
      <c r="Y69" s="432">
        <f t="shared" si="1"/>
        <v>18.304254999999998</v>
      </c>
      <c r="Z69" s="432">
        <f t="shared" si="5"/>
        <v>22.054149999999996</v>
      </c>
      <c r="AA69" s="670">
        <f t="shared" si="5"/>
        <v>486.59</v>
      </c>
      <c r="AB69" s="432">
        <f t="shared" si="6"/>
        <v>26.583436474196848</v>
      </c>
      <c r="AC69" s="670">
        <f t="shared" si="2"/>
        <v>17.003126395712368</v>
      </c>
      <c r="AD69" s="1055">
        <v>30</v>
      </c>
      <c r="AE69" s="432">
        <f t="shared" si="12"/>
        <v>549.1276499999999</v>
      </c>
      <c r="AF69" s="669"/>
    </row>
    <row r="70" spans="1:32" ht="18.75" customHeight="1" x14ac:dyDescent="0.2">
      <c r="A70" s="1055">
        <v>56</v>
      </c>
      <c r="B70" s="461" t="s">
        <v>330</v>
      </c>
      <c r="C70" s="1055" t="s">
        <v>46</v>
      </c>
      <c r="D70" s="1055">
        <v>595</v>
      </c>
      <c r="E70" s="1055" t="s">
        <v>367</v>
      </c>
      <c r="F70" s="1055">
        <v>178.8</v>
      </c>
      <c r="G70" s="1055" t="s">
        <v>28</v>
      </c>
      <c r="H70" s="1055" t="s">
        <v>491</v>
      </c>
      <c r="I70" s="1051">
        <v>496.87000000000006</v>
      </c>
      <c r="J70" s="1055" t="s">
        <v>514</v>
      </c>
      <c r="K70" s="1055"/>
      <c r="L70" s="1055">
        <v>438</v>
      </c>
      <c r="M70" s="1055"/>
      <c r="N70" s="1055">
        <v>12</v>
      </c>
      <c r="O70" s="1055"/>
      <c r="P70" s="668">
        <v>23.597375210445296</v>
      </c>
      <c r="Q70" s="668">
        <f>J70*23/100</f>
        <v>71.3</v>
      </c>
      <c r="R70" s="432">
        <v>26.763999999999999</v>
      </c>
      <c r="S70" s="432">
        <v>32.189</v>
      </c>
      <c r="T70" s="670">
        <v>695</v>
      </c>
      <c r="U70" s="668">
        <f t="shared" si="9"/>
        <v>25.96771782992079</v>
      </c>
      <c r="V70" s="668">
        <f t="shared" si="4"/>
        <v>16.853583522321291</v>
      </c>
      <c r="W70" s="668">
        <v>0.3</v>
      </c>
      <c r="X70" s="432">
        <f t="shared" si="8"/>
        <v>0.45145862552594673</v>
      </c>
      <c r="Y70" s="432">
        <f t="shared" si="1"/>
        <v>26.362539999999999</v>
      </c>
      <c r="Z70" s="432">
        <f t="shared" si="5"/>
        <v>31.706164999999999</v>
      </c>
      <c r="AA70" s="670">
        <f t="shared" si="5"/>
        <v>684.57500000000005</v>
      </c>
      <c r="AB70" s="432">
        <v>20</v>
      </c>
      <c r="AC70" s="670">
        <v>17</v>
      </c>
      <c r="AD70" s="1055">
        <v>30</v>
      </c>
      <c r="AE70" s="432">
        <f t="shared" si="12"/>
        <v>790.87619999999993</v>
      </c>
      <c r="AF70" s="669"/>
    </row>
    <row r="71" spans="1:32" ht="18.75" customHeight="1" x14ac:dyDescent="0.2">
      <c r="A71" s="1055">
        <v>57</v>
      </c>
      <c r="B71" s="461" t="s">
        <v>210</v>
      </c>
      <c r="C71" s="1055" t="s">
        <v>46</v>
      </c>
      <c r="D71" s="1055">
        <v>728.32</v>
      </c>
      <c r="E71" s="1055" t="s">
        <v>226</v>
      </c>
      <c r="F71" s="1055">
        <v>177.8</v>
      </c>
      <c r="G71" s="1055" t="s">
        <v>28</v>
      </c>
      <c r="H71" s="1055" t="s">
        <v>218</v>
      </c>
      <c r="I71" s="1051">
        <v>519.38</v>
      </c>
      <c r="J71" s="1055" t="s">
        <v>248</v>
      </c>
      <c r="K71" s="1055"/>
      <c r="L71" s="1055">
        <v>172</v>
      </c>
      <c r="M71" s="1055"/>
      <c r="N71" s="1055">
        <v>11.8</v>
      </c>
      <c r="O71" s="1055"/>
      <c r="P71" s="668">
        <v>45.492329220094319</v>
      </c>
      <c r="Q71" s="668">
        <f t="shared" si="10"/>
        <v>27.2</v>
      </c>
      <c r="R71" s="432">
        <v>4.2930000000000001</v>
      </c>
      <c r="S71" s="432">
        <v>14.867999999999999</v>
      </c>
      <c r="T71" s="670">
        <v>22</v>
      </c>
      <c r="U71" s="668">
        <f t="shared" si="9"/>
        <v>5.1246214768227345</v>
      </c>
      <c r="V71" s="668">
        <f t="shared" si="4"/>
        <v>71.125907990314772</v>
      </c>
      <c r="W71" s="668">
        <v>0.2</v>
      </c>
      <c r="X71" s="432">
        <f t="shared" si="8"/>
        <v>0.54661764705882354</v>
      </c>
      <c r="Y71" s="432">
        <f t="shared" si="1"/>
        <v>4.2286049999999999</v>
      </c>
      <c r="Z71" s="432">
        <f t="shared" si="5"/>
        <v>14.644979999999999</v>
      </c>
      <c r="AA71" s="670">
        <f t="shared" si="5"/>
        <v>21.669999999999998</v>
      </c>
      <c r="AB71" s="432">
        <f t="shared" si="6"/>
        <v>5.1246214768227345</v>
      </c>
      <c r="AC71" s="670">
        <f t="shared" si="2"/>
        <v>71.125907990314772</v>
      </c>
      <c r="AD71" s="1055">
        <v>30</v>
      </c>
      <c r="AE71" s="432">
        <f t="shared" si="12"/>
        <v>126.85814999999999</v>
      </c>
      <c r="AF71" s="449"/>
    </row>
    <row r="72" spans="1:32" ht="18.75" customHeight="1" x14ac:dyDescent="0.2">
      <c r="A72" s="1055">
        <v>58</v>
      </c>
      <c r="B72" s="461" t="s">
        <v>63</v>
      </c>
      <c r="C72" s="1055" t="s">
        <v>46</v>
      </c>
      <c r="D72" s="1055">
        <v>672.99</v>
      </c>
      <c r="E72" s="1055" t="s">
        <v>98</v>
      </c>
      <c r="F72" s="1055">
        <v>177.8</v>
      </c>
      <c r="G72" s="1055" t="s">
        <v>28</v>
      </c>
      <c r="H72" s="1055" t="s">
        <v>310</v>
      </c>
      <c r="I72" s="1051">
        <v>536.32000000000005</v>
      </c>
      <c r="J72" s="1055" t="s">
        <v>526</v>
      </c>
      <c r="K72" s="1055"/>
      <c r="L72" s="1055">
        <v>454</v>
      </c>
      <c r="M72" s="1055"/>
      <c r="N72" s="1055">
        <v>7.8</v>
      </c>
      <c r="O72" s="1055"/>
      <c r="P72" s="668">
        <v>22.188402637371311</v>
      </c>
      <c r="Q72" s="668">
        <f t="shared" si="10"/>
        <v>72.599999999999994</v>
      </c>
      <c r="R72" s="432">
        <v>17.489999999999998</v>
      </c>
      <c r="S72" s="432">
        <v>23.973999999999997</v>
      </c>
      <c r="T72" s="670">
        <v>341</v>
      </c>
      <c r="U72" s="668">
        <f t="shared" si="9"/>
        <v>19.49685534591195</v>
      </c>
      <c r="V72" s="668">
        <f t="shared" si="4"/>
        <v>27.045966463668968</v>
      </c>
      <c r="W72" s="668">
        <v>0.2</v>
      </c>
      <c r="X72" s="432">
        <f t="shared" si="8"/>
        <v>0.33022038567493112</v>
      </c>
      <c r="Y72" s="432">
        <f t="shared" si="1"/>
        <v>17.227649999999997</v>
      </c>
      <c r="Z72" s="432">
        <f t="shared" si="5"/>
        <v>23.614389999999997</v>
      </c>
      <c r="AA72" s="670">
        <f t="shared" si="5"/>
        <v>335.88499999999999</v>
      </c>
      <c r="AB72" s="432">
        <f t="shared" si="6"/>
        <v>19.49685534591195</v>
      </c>
      <c r="AC72" s="670">
        <f t="shared" si="2"/>
        <v>27.045966463668968</v>
      </c>
      <c r="AD72" s="1055">
        <v>30</v>
      </c>
      <c r="AE72" s="432">
        <f t="shared" si="12"/>
        <v>516.82949999999994</v>
      </c>
      <c r="AF72" s="449"/>
    </row>
    <row r="73" spans="1:32" ht="18.75" customHeight="1" x14ac:dyDescent="0.2">
      <c r="A73" s="1055">
        <v>59</v>
      </c>
      <c r="B73" s="461" t="s">
        <v>217</v>
      </c>
      <c r="C73" s="1055" t="s">
        <v>46</v>
      </c>
      <c r="D73" s="1055">
        <v>684.57</v>
      </c>
      <c r="E73" s="1055" t="s">
        <v>359</v>
      </c>
      <c r="F73" s="1055">
        <v>177.8</v>
      </c>
      <c r="G73" s="1055" t="s">
        <v>28</v>
      </c>
      <c r="H73" s="1055" t="s">
        <v>219</v>
      </c>
      <c r="I73" s="1051">
        <v>555.95000000000005</v>
      </c>
      <c r="J73" s="1055" t="s">
        <v>527</v>
      </c>
      <c r="K73" s="1055"/>
      <c r="L73" s="1055">
        <v>145</v>
      </c>
      <c r="M73" s="1055"/>
      <c r="N73" s="1055">
        <v>10.9</v>
      </c>
      <c r="O73" s="1055"/>
      <c r="P73" s="668">
        <v>41.438378105169761</v>
      </c>
      <c r="Q73" s="668">
        <f t="shared" si="10"/>
        <v>41.64</v>
      </c>
      <c r="R73" s="432">
        <v>1.679</v>
      </c>
      <c r="S73" s="432">
        <v>15.113</v>
      </c>
      <c r="T73" s="670">
        <v>0</v>
      </c>
      <c r="U73" s="668">
        <f t="shared" si="9"/>
        <v>0</v>
      </c>
      <c r="V73" s="668">
        <f t="shared" si="4"/>
        <v>88.890359293323627</v>
      </c>
      <c r="W73" s="668">
        <v>0.3</v>
      </c>
      <c r="X73" s="432">
        <f t="shared" si="8"/>
        <v>0.36294428434197884</v>
      </c>
      <c r="Y73" s="432">
        <f t="shared" si="1"/>
        <v>1.653815</v>
      </c>
      <c r="Z73" s="432">
        <f t="shared" si="5"/>
        <v>14.886305</v>
      </c>
      <c r="AA73" s="670">
        <f t="shared" si="5"/>
        <v>0</v>
      </c>
      <c r="AB73" s="432">
        <f t="shared" si="6"/>
        <v>0</v>
      </c>
      <c r="AC73" s="670">
        <f t="shared" si="2"/>
        <v>88.890359293323627</v>
      </c>
      <c r="AD73" s="1055">
        <v>30</v>
      </c>
      <c r="AE73" s="432">
        <f t="shared" si="12"/>
        <v>49.614449999999998</v>
      </c>
      <c r="AF73" s="449"/>
    </row>
    <row r="74" spans="1:32" ht="18.75" customHeight="1" x14ac:dyDescent="0.2">
      <c r="A74" s="1055">
        <v>60</v>
      </c>
      <c r="B74" s="461" t="s">
        <v>211</v>
      </c>
      <c r="C74" s="1055" t="s">
        <v>46</v>
      </c>
      <c r="D74" s="1055">
        <v>675.29</v>
      </c>
      <c r="E74" s="1055" t="s">
        <v>224</v>
      </c>
      <c r="F74" s="1055">
        <v>177.8</v>
      </c>
      <c r="G74" s="1055" t="s">
        <v>28</v>
      </c>
      <c r="H74" s="1055" t="s">
        <v>384</v>
      </c>
      <c r="I74" s="1051">
        <v>554.95999999999981</v>
      </c>
      <c r="J74" s="1055" t="s">
        <v>254</v>
      </c>
      <c r="K74" s="1055"/>
      <c r="L74" s="1055">
        <v>433</v>
      </c>
      <c r="M74" s="1055"/>
      <c r="N74" s="1055">
        <v>0.8</v>
      </c>
      <c r="O74" s="1055"/>
      <c r="P74" s="668">
        <v>15.428088037686818</v>
      </c>
      <c r="Q74" s="668">
        <f>(22*J74)/100</f>
        <v>55</v>
      </c>
      <c r="R74" s="432">
        <v>1.99</v>
      </c>
      <c r="S74" s="432">
        <v>5.0670000000000002</v>
      </c>
      <c r="T74" s="670">
        <v>44</v>
      </c>
      <c r="U74" s="668">
        <f t="shared" si="9"/>
        <v>22.110552763819097</v>
      </c>
      <c r="V74" s="668">
        <f t="shared" si="4"/>
        <v>60.72626800868364</v>
      </c>
      <c r="W74" s="668">
        <v>0.5</v>
      </c>
      <c r="X74" s="432">
        <f t="shared" si="8"/>
        <v>9.2127272727272724E-2</v>
      </c>
      <c r="Y74" s="432">
        <f t="shared" si="1"/>
        <v>1.9601500000000001</v>
      </c>
      <c r="Z74" s="432">
        <f t="shared" si="5"/>
        <v>4.9909949999999998</v>
      </c>
      <c r="AA74" s="670">
        <f t="shared" si="5"/>
        <v>43.339999999999996</v>
      </c>
      <c r="AB74" s="432">
        <f t="shared" si="6"/>
        <v>22.110552763819097</v>
      </c>
      <c r="AC74" s="670">
        <f t="shared" si="2"/>
        <v>60.72626800868364</v>
      </c>
      <c r="AD74" s="1055">
        <v>30</v>
      </c>
      <c r="AE74" s="432">
        <f t="shared" si="12"/>
        <v>58.804500000000004</v>
      </c>
      <c r="AF74" s="449"/>
    </row>
    <row r="75" spans="1:32" ht="18.600000000000001" customHeight="1" x14ac:dyDescent="0.2">
      <c r="A75" s="1055">
        <v>61</v>
      </c>
      <c r="B75" s="461" t="s">
        <v>341</v>
      </c>
      <c r="C75" s="1055" t="s">
        <v>46</v>
      </c>
      <c r="D75" s="1055">
        <v>683.16</v>
      </c>
      <c r="E75" s="1055" t="s">
        <v>343</v>
      </c>
      <c r="F75" s="1055">
        <v>177.8</v>
      </c>
      <c r="G75" s="1055" t="s">
        <v>28</v>
      </c>
      <c r="H75" s="1055" t="s">
        <v>342</v>
      </c>
      <c r="I75" s="1051">
        <v>571.9</v>
      </c>
      <c r="J75" s="1055" t="s">
        <v>528</v>
      </c>
      <c r="K75" s="1055"/>
      <c r="L75" s="1055">
        <v>355</v>
      </c>
      <c r="M75" s="1055"/>
      <c r="N75" s="1055">
        <v>11.4</v>
      </c>
      <c r="O75" s="1055"/>
      <c r="P75" s="668">
        <v>33.844362638741266</v>
      </c>
      <c r="Q75" s="668">
        <f>(20*J75)/100</f>
        <v>53.4</v>
      </c>
      <c r="R75" s="432">
        <v>28.6</v>
      </c>
      <c r="S75" s="432">
        <v>40.323999999999998</v>
      </c>
      <c r="T75" s="670">
        <v>397</v>
      </c>
      <c r="U75" s="668">
        <f t="shared" si="9"/>
        <v>13.88111888111888</v>
      </c>
      <c r="V75" s="668">
        <f t="shared" si="4"/>
        <v>29.07449657772046</v>
      </c>
      <c r="W75" s="668">
        <v>0.2</v>
      </c>
      <c r="X75" s="432">
        <f t="shared" si="8"/>
        <v>0.75513108614232205</v>
      </c>
      <c r="Y75" s="432">
        <f t="shared" si="1"/>
        <v>28.170999999999999</v>
      </c>
      <c r="Z75" s="432">
        <f t="shared" si="5"/>
        <v>39.719139999999996</v>
      </c>
      <c r="AA75" s="670">
        <f t="shared" si="5"/>
        <v>391.04500000000002</v>
      </c>
      <c r="AB75" s="432">
        <f t="shared" si="6"/>
        <v>13.88111888111888</v>
      </c>
      <c r="AC75" s="670">
        <f t="shared" si="2"/>
        <v>29.07449657772046</v>
      </c>
      <c r="AD75" s="1055">
        <v>30</v>
      </c>
      <c r="AE75" s="432">
        <f t="shared" si="12"/>
        <v>845.13</v>
      </c>
      <c r="AF75" s="449"/>
    </row>
    <row r="76" spans="1:32" ht="18.75" customHeight="1" x14ac:dyDescent="0.2">
      <c r="A76" s="1055">
        <v>62</v>
      </c>
      <c r="B76" s="461" t="s">
        <v>354</v>
      </c>
      <c r="C76" s="1055" t="s">
        <v>46</v>
      </c>
      <c r="D76" s="1055">
        <v>634.29</v>
      </c>
      <c r="E76" s="832" t="s">
        <v>356</v>
      </c>
      <c r="F76" s="1055">
        <v>178.8</v>
      </c>
      <c r="G76" s="1055" t="s">
        <v>28</v>
      </c>
      <c r="H76" s="1055" t="s">
        <v>49</v>
      </c>
      <c r="I76" s="1051">
        <v>539.22</v>
      </c>
      <c r="J76" s="1055" t="s">
        <v>529</v>
      </c>
      <c r="K76" s="1055"/>
      <c r="L76" s="1055">
        <v>286</v>
      </c>
      <c r="M76" s="1055"/>
      <c r="N76" s="1055">
        <v>12.5</v>
      </c>
      <c r="O76" s="1055"/>
      <c r="P76" s="668">
        <v>31.539046577917098</v>
      </c>
      <c r="Q76" s="668">
        <f t="shared" ref="Q76:Q78" si="13">LEFT(H76,(FIND("K",H76,1)-1))*J76/100</f>
        <v>73.599999999999994</v>
      </c>
      <c r="R76" s="432">
        <v>19.558</v>
      </c>
      <c r="S76" s="432">
        <v>62.305999999999997</v>
      </c>
      <c r="T76" s="670">
        <v>318</v>
      </c>
      <c r="U76" s="668">
        <f t="shared" si="9"/>
        <v>16.25933121996114</v>
      </c>
      <c r="V76" s="668">
        <f t="shared" si="4"/>
        <v>68.609764709658776</v>
      </c>
      <c r="W76" s="668">
        <v>0.3</v>
      </c>
      <c r="X76" s="432">
        <f t="shared" si="8"/>
        <v>0.84654891304347835</v>
      </c>
      <c r="Y76" s="432">
        <f t="shared" si="1"/>
        <v>19.26463</v>
      </c>
      <c r="Z76" s="432">
        <f t="shared" si="5"/>
        <v>61.371409999999997</v>
      </c>
      <c r="AA76" s="670">
        <f t="shared" si="5"/>
        <v>313.23</v>
      </c>
      <c r="AB76" s="432">
        <f t="shared" si="6"/>
        <v>16.25933121996114</v>
      </c>
      <c r="AC76" s="670">
        <f t="shared" si="2"/>
        <v>68.609764709658776</v>
      </c>
      <c r="AD76" s="1055">
        <v>30</v>
      </c>
      <c r="AE76" s="432">
        <f t="shared" si="12"/>
        <v>577.93889999999999</v>
      </c>
      <c r="AF76" s="449"/>
    </row>
    <row r="77" spans="1:32" ht="18.75" customHeight="1" x14ac:dyDescent="0.2">
      <c r="A77" s="1055">
        <v>63</v>
      </c>
      <c r="B77" s="461" t="s">
        <v>213</v>
      </c>
      <c r="C77" s="1055" t="s">
        <v>46</v>
      </c>
      <c r="D77" s="1055">
        <v>690.8</v>
      </c>
      <c r="E77" s="1055" t="s">
        <v>497</v>
      </c>
      <c r="F77" s="1055">
        <v>177.8</v>
      </c>
      <c r="G77" s="1055" t="s">
        <v>28</v>
      </c>
      <c r="H77" s="1055" t="s">
        <v>487</v>
      </c>
      <c r="I77" s="1051">
        <v>605.00000000000011</v>
      </c>
      <c r="J77" s="1055" t="s">
        <v>530</v>
      </c>
      <c r="K77" s="1055"/>
      <c r="L77" s="1055">
        <v>527</v>
      </c>
      <c r="M77" s="1055"/>
      <c r="N77" s="1055">
        <v>10.9</v>
      </c>
      <c r="O77" s="1055"/>
      <c r="P77" s="668">
        <v>36.537390831462979</v>
      </c>
      <c r="Q77" s="668">
        <f t="shared" si="13"/>
        <v>25.5</v>
      </c>
      <c r="R77" s="432">
        <v>6.1349999999999998</v>
      </c>
      <c r="S77" s="432">
        <v>10.652000000000001</v>
      </c>
      <c r="T77" s="670">
        <v>92</v>
      </c>
      <c r="U77" s="668">
        <f t="shared" ref="U77" si="14">T77/R77</f>
        <v>14.995925020374898</v>
      </c>
      <c r="V77" s="668">
        <f t="shared" ref="V77" si="15">(S77-R77)/S77*100</f>
        <v>42.405182125422463</v>
      </c>
      <c r="W77" s="668">
        <v>0.2</v>
      </c>
      <c r="X77" s="432">
        <f t="shared" ref="X77" si="16">S77/Q77</f>
        <v>0.41772549019607846</v>
      </c>
      <c r="Y77" s="432">
        <f t="shared" si="1"/>
        <v>6.0429749999999993</v>
      </c>
      <c r="Z77" s="432">
        <f t="shared" si="5"/>
        <v>10.492220000000001</v>
      </c>
      <c r="AA77" s="670">
        <f t="shared" si="5"/>
        <v>90.62</v>
      </c>
      <c r="AB77" s="432">
        <f t="shared" si="6"/>
        <v>14.995925020374898</v>
      </c>
      <c r="AC77" s="670">
        <f>V77</f>
        <v>42.405182125422463</v>
      </c>
      <c r="AD77" s="1055">
        <v>30</v>
      </c>
      <c r="AE77" s="432">
        <f t="shared" si="12"/>
        <v>181.28924999999998</v>
      </c>
      <c r="AF77" s="669"/>
    </row>
    <row r="78" spans="1:32" ht="18.75" customHeight="1" x14ac:dyDescent="0.2">
      <c r="A78" s="1055">
        <v>64</v>
      </c>
      <c r="B78" s="461" t="s">
        <v>172</v>
      </c>
      <c r="C78" s="1055" t="s">
        <v>46</v>
      </c>
      <c r="D78" s="1055">
        <v>673</v>
      </c>
      <c r="E78" s="1055" t="s">
        <v>173</v>
      </c>
      <c r="F78" s="1055">
        <v>177.8</v>
      </c>
      <c r="G78" s="1055" t="s">
        <v>28</v>
      </c>
      <c r="H78" s="1055" t="s">
        <v>487</v>
      </c>
      <c r="I78" s="1051">
        <v>555.56000000000006</v>
      </c>
      <c r="J78" s="1055" t="s">
        <v>255</v>
      </c>
      <c r="K78" s="1055"/>
      <c r="L78" s="1055">
        <v>187</v>
      </c>
      <c r="M78" s="1055"/>
      <c r="N78" s="1055">
        <v>7.8</v>
      </c>
      <c r="O78" s="1055"/>
      <c r="P78" s="448">
        <v>41.747635027370904</v>
      </c>
      <c r="Q78" s="668">
        <f t="shared" si="13"/>
        <v>20.25</v>
      </c>
      <c r="R78" s="432">
        <v>5.173</v>
      </c>
      <c r="S78" s="432">
        <v>15.548999999999999</v>
      </c>
      <c r="T78" s="670">
        <v>28</v>
      </c>
      <c r="U78" s="668">
        <f t="shared" si="9"/>
        <v>5.4127198917456019</v>
      </c>
      <c r="V78" s="668">
        <f t="shared" si="4"/>
        <v>66.730979484211204</v>
      </c>
      <c r="W78" s="668">
        <v>0.3</v>
      </c>
      <c r="X78" s="432">
        <f t="shared" si="8"/>
        <v>0.76785185185185179</v>
      </c>
      <c r="Y78" s="432">
        <f t="shared" si="1"/>
        <v>5.0954050000000004</v>
      </c>
      <c r="Z78" s="432">
        <f t="shared" si="5"/>
        <v>15.315764999999999</v>
      </c>
      <c r="AA78" s="670">
        <f t="shared" si="5"/>
        <v>27.58</v>
      </c>
      <c r="AB78" s="432">
        <f t="shared" si="6"/>
        <v>5.4127198917456019</v>
      </c>
      <c r="AC78" s="670">
        <f t="shared" si="2"/>
        <v>66.730979484211204</v>
      </c>
      <c r="AD78" s="1055">
        <v>30</v>
      </c>
      <c r="AE78" s="432">
        <f>Y78*AD78</f>
        <v>152.86215000000001</v>
      </c>
      <c r="AF78" s="449"/>
    </row>
    <row r="79" spans="1:32" ht="18.75" customHeight="1" x14ac:dyDescent="0.25">
      <c r="A79" s="869"/>
      <c r="B79" s="1055"/>
      <c r="C79" s="1055"/>
      <c r="D79" s="1051"/>
      <c r="E79" s="1051"/>
      <c r="F79" s="461"/>
      <c r="G79" s="1055"/>
      <c r="H79" s="1055"/>
      <c r="I79" s="1051"/>
      <c r="J79" s="1051"/>
      <c r="K79" s="1051"/>
      <c r="L79" s="1051"/>
      <c r="M79" s="1051"/>
      <c r="N79" s="1055"/>
      <c r="O79" s="1051"/>
      <c r="P79" s="668"/>
      <c r="Q79" s="448"/>
      <c r="R79" s="466">
        <f>SUM(R15:R78)</f>
        <v>379.59500000000008</v>
      </c>
      <c r="S79" s="466">
        <f>SUM(S15:S78)</f>
        <v>890.20500000000004</v>
      </c>
      <c r="T79" s="512">
        <f>SUM(T15:T78)</f>
        <v>10165.458999999999</v>
      </c>
      <c r="U79" s="466">
        <f>T79/R79</f>
        <v>26.779749469829678</v>
      </c>
      <c r="V79" s="466"/>
      <c r="W79" s="466"/>
      <c r="X79" s="466"/>
      <c r="Y79" s="466">
        <f>SUM(Y15:Y78)</f>
        <v>373.90107500000011</v>
      </c>
      <c r="Z79" s="466">
        <f>SUM(Z15:Z78)</f>
        <v>876.85192499999994</v>
      </c>
      <c r="AA79" s="678">
        <f>SUM(AA15:AA78)</f>
        <v>10018.067115000002</v>
      </c>
      <c r="AB79" s="466">
        <f>AA79/Y79</f>
        <v>26.793362696269323</v>
      </c>
      <c r="AC79" s="466"/>
      <c r="AD79" s="1054"/>
      <c r="AE79" s="466">
        <f>SUM(AE15:AE78)</f>
        <v>11217.032249999997</v>
      </c>
      <c r="AF79" s="669"/>
    </row>
    <row r="80" spans="1:32" ht="18.75" customHeight="1" x14ac:dyDescent="0.25">
      <c r="A80" s="869"/>
      <c r="B80" s="1055"/>
      <c r="C80" s="1055"/>
      <c r="D80" s="1051"/>
      <c r="E80" s="1051"/>
      <c r="F80" s="461"/>
      <c r="G80" s="1055"/>
      <c r="H80" s="1055"/>
      <c r="I80" s="1051"/>
      <c r="J80" s="1051"/>
      <c r="K80" s="1051"/>
      <c r="L80" s="1051"/>
      <c r="M80" s="1051"/>
      <c r="N80" s="1055"/>
      <c r="O80" s="1051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1054"/>
      <c r="AE80" s="466"/>
      <c r="AF80" s="669"/>
    </row>
    <row r="81" spans="1:32" ht="18.75" customHeight="1" x14ac:dyDescent="0.25">
      <c r="A81" s="869"/>
      <c r="B81" s="1055"/>
      <c r="C81" s="1055"/>
      <c r="D81" s="1051"/>
      <c r="E81" s="1050" t="s">
        <v>388</v>
      </c>
      <c r="F81" s="461"/>
      <c r="G81" s="1055"/>
      <c r="H81" s="1055"/>
      <c r="I81" s="1051"/>
      <c r="J81" s="1051"/>
      <c r="K81" s="1051"/>
      <c r="L81" s="1051"/>
      <c r="M81" s="1051"/>
      <c r="N81" s="1055"/>
      <c r="O81" s="1051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1054"/>
      <c r="AE81" s="466"/>
      <c r="AF81" s="669"/>
    </row>
    <row r="82" spans="1:32" ht="18.75" customHeight="1" x14ac:dyDescent="0.2">
      <c r="A82" s="1055">
        <v>65</v>
      </c>
      <c r="B82" s="461" t="s">
        <v>505</v>
      </c>
      <c r="C82" s="1055" t="s">
        <v>445</v>
      </c>
      <c r="D82" s="1051">
        <v>737.21</v>
      </c>
      <c r="E82" s="1051" t="s">
        <v>507</v>
      </c>
      <c r="F82" s="1055">
        <v>177.8</v>
      </c>
      <c r="G82" s="1055" t="s">
        <v>28</v>
      </c>
      <c r="H82" s="1055" t="s">
        <v>491</v>
      </c>
      <c r="I82" s="1051">
        <v>660.03999999999962</v>
      </c>
      <c r="J82" s="1051">
        <v>200</v>
      </c>
      <c r="K82" s="1051"/>
      <c r="L82" s="1051">
        <v>625</v>
      </c>
      <c r="M82" s="1051"/>
      <c r="N82" s="1055">
        <v>37.9</v>
      </c>
      <c r="O82" s="1051"/>
      <c r="P82" s="668">
        <v>40.272566110058776</v>
      </c>
      <c r="Q82" s="448">
        <f>J82*23/100</f>
        <v>46</v>
      </c>
      <c r="R82" s="432">
        <v>6.74</v>
      </c>
      <c r="S82" s="432">
        <v>6.76</v>
      </c>
      <c r="T82" s="492">
        <v>0</v>
      </c>
      <c r="U82" s="432">
        <f t="shared" ref="U82:U83" si="17">IF(R82=0,0,T82/R82)</f>
        <v>0</v>
      </c>
      <c r="V82" s="432">
        <f t="shared" ref="V82:V83" si="18">IF(S82=0,0,(S82-R82)/S82*100)</f>
        <v>0.29585798816567416</v>
      </c>
      <c r="W82" s="432">
        <v>0.3</v>
      </c>
      <c r="X82" s="432">
        <f t="shared" ref="X82:X83" si="19">IF(S82=0,0,S82/Q82)</f>
        <v>0.14695652173913043</v>
      </c>
      <c r="Y82" s="432">
        <f t="shared" ref="Y82:AA83" si="20">R82*0.985</f>
        <v>6.6389000000000005</v>
      </c>
      <c r="Z82" s="1045">
        <f t="shared" si="20"/>
        <v>6.6585999999999999</v>
      </c>
      <c r="AA82" s="670">
        <f t="shared" si="20"/>
        <v>0</v>
      </c>
      <c r="AB82" s="432">
        <f t="shared" ref="AB82:AC83" si="21">U82</f>
        <v>0</v>
      </c>
      <c r="AC82" s="432">
        <f t="shared" si="21"/>
        <v>0.29585798816567416</v>
      </c>
      <c r="AD82" s="1055">
        <v>30</v>
      </c>
      <c r="AE82" s="432">
        <f>Y82*AD82</f>
        <v>199.167</v>
      </c>
      <c r="AF82" s="669"/>
    </row>
    <row r="83" spans="1:32" ht="18.75" customHeight="1" x14ac:dyDescent="0.2">
      <c r="A83" s="1055">
        <v>66</v>
      </c>
      <c r="B83" s="461" t="s">
        <v>504</v>
      </c>
      <c r="C83" s="1055" t="s">
        <v>445</v>
      </c>
      <c r="D83" s="1051">
        <v>695.15</v>
      </c>
      <c r="E83" s="1051" t="s">
        <v>508</v>
      </c>
      <c r="F83" s="461">
        <v>177.8</v>
      </c>
      <c r="G83" s="1055" t="s">
        <v>28</v>
      </c>
      <c r="H83" s="1055" t="s">
        <v>491</v>
      </c>
      <c r="I83" s="1051">
        <v>632.3399999999998</v>
      </c>
      <c r="J83" s="1051">
        <v>200</v>
      </c>
      <c r="K83" s="1051">
        <v>595</v>
      </c>
      <c r="L83" s="1051"/>
      <c r="M83" s="1051"/>
      <c r="N83" s="1055">
        <v>36.700000000000003</v>
      </c>
      <c r="O83" s="1051"/>
      <c r="P83" s="668">
        <v>40.488966993394634</v>
      </c>
      <c r="Q83" s="448">
        <f>J83*23/100</f>
        <v>46</v>
      </c>
      <c r="R83" s="432">
        <v>0.9</v>
      </c>
      <c r="S83" s="432">
        <v>0.90500000000000003</v>
      </c>
      <c r="T83" s="492">
        <v>0</v>
      </c>
      <c r="U83" s="432">
        <f t="shared" si="17"/>
        <v>0</v>
      </c>
      <c r="V83" s="432">
        <f t="shared" si="18"/>
        <v>0.55248618784530434</v>
      </c>
      <c r="W83" s="432">
        <v>0.3</v>
      </c>
      <c r="X83" s="432">
        <f t="shared" si="19"/>
        <v>1.967391304347826E-2</v>
      </c>
      <c r="Y83" s="432">
        <f t="shared" si="20"/>
        <v>0.88649999999999995</v>
      </c>
      <c r="Z83" s="1045">
        <f t="shared" si="20"/>
        <v>0.89142500000000002</v>
      </c>
      <c r="AA83" s="670">
        <f t="shared" si="20"/>
        <v>0</v>
      </c>
      <c r="AB83" s="432">
        <f t="shared" si="21"/>
        <v>0</v>
      </c>
      <c r="AC83" s="432">
        <f t="shared" si="21"/>
        <v>0.55248618784530434</v>
      </c>
      <c r="AD83" s="1055">
        <v>30</v>
      </c>
      <c r="AE83" s="432">
        <f>Y83*AD83</f>
        <v>26.594999999999999</v>
      </c>
      <c r="AF83" s="669"/>
    </row>
    <row r="84" spans="1:32" ht="18.75" customHeight="1" x14ac:dyDescent="0.2">
      <c r="A84" s="1055">
        <v>67</v>
      </c>
      <c r="B84" s="461" t="s">
        <v>423</v>
      </c>
      <c r="C84" s="1055" t="s">
        <v>445</v>
      </c>
      <c r="D84" s="1051">
        <v>683.8</v>
      </c>
      <c r="E84" s="1051" t="s">
        <v>473</v>
      </c>
      <c r="F84" s="1055">
        <v>177.8</v>
      </c>
      <c r="G84" s="1055" t="s">
        <v>28</v>
      </c>
      <c r="H84" s="1055" t="s">
        <v>48</v>
      </c>
      <c r="I84" s="1051">
        <v>590.46</v>
      </c>
      <c r="J84" s="1051"/>
      <c r="K84" s="1051">
        <v>548</v>
      </c>
      <c r="L84" s="1051"/>
      <c r="M84" s="1051">
        <v>28.2</v>
      </c>
      <c r="N84" s="1055"/>
      <c r="O84" s="1051"/>
      <c r="P84" s="668">
        <v>48.498811966153276</v>
      </c>
      <c r="Q84" s="668">
        <f t="shared" ref="Q84:Q87" si="22">LEFT(H84,(FIND("K",H84,1)-1))*J84/100</f>
        <v>0</v>
      </c>
      <c r="R84" s="432"/>
      <c r="S84" s="432"/>
      <c r="T84" s="492"/>
      <c r="U84" s="668"/>
      <c r="V84" s="668"/>
      <c r="W84" s="668"/>
      <c r="X84" s="432"/>
      <c r="Y84" s="432"/>
      <c r="Z84" s="432"/>
      <c r="AA84" s="670"/>
      <c r="AB84" s="432"/>
      <c r="AC84" s="668"/>
      <c r="AD84" s="1055"/>
      <c r="AE84" s="432"/>
      <c r="AF84" s="449" t="s">
        <v>432</v>
      </c>
    </row>
    <row r="85" spans="1:32" ht="18.75" customHeight="1" x14ac:dyDescent="0.2">
      <c r="A85" s="1055">
        <v>68</v>
      </c>
      <c r="B85" s="461" t="s">
        <v>506</v>
      </c>
      <c r="C85" s="1055" t="s">
        <v>445</v>
      </c>
      <c r="D85" s="1051"/>
      <c r="E85" s="1051" t="s">
        <v>509</v>
      </c>
      <c r="F85" s="1055">
        <v>177.8</v>
      </c>
      <c r="G85" s="1055" t="s">
        <v>28</v>
      </c>
      <c r="H85" s="1055" t="s">
        <v>485</v>
      </c>
      <c r="I85" s="1051">
        <v>680.15</v>
      </c>
      <c r="J85" s="1051"/>
      <c r="K85" s="1051">
        <v>614</v>
      </c>
      <c r="L85" s="1051"/>
      <c r="M85" s="1051">
        <v>15.1</v>
      </c>
      <c r="N85" s="1055"/>
      <c r="O85" s="1051"/>
      <c r="P85" s="668"/>
      <c r="Q85" s="668">
        <f>(15*J85)/100</f>
        <v>0</v>
      </c>
      <c r="R85" s="432"/>
      <c r="S85" s="432"/>
      <c r="T85" s="492"/>
      <c r="U85" s="668"/>
      <c r="V85" s="668"/>
      <c r="W85" s="668"/>
      <c r="X85" s="432"/>
      <c r="Y85" s="432"/>
      <c r="Z85" s="432"/>
      <c r="AA85" s="670"/>
      <c r="AB85" s="432"/>
      <c r="AC85" s="668"/>
      <c r="AD85" s="1055"/>
      <c r="AE85" s="432"/>
      <c r="AF85" s="449" t="s">
        <v>510</v>
      </c>
    </row>
    <row r="86" spans="1:32" ht="18.600000000000001" customHeight="1" x14ac:dyDescent="0.2">
      <c r="A86" s="1055">
        <v>69</v>
      </c>
      <c r="B86" s="461" t="s">
        <v>451</v>
      </c>
      <c r="C86" s="1055" t="s">
        <v>445</v>
      </c>
      <c r="D86" s="1051">
        <v>683.2700000000001</v>
      </c>
      <c r="E86" s="1051" t="s">
        <v>475</v>
      </c>
      <c r="F86" s="1055">
        <v>177.8</v>
      </c>
      <c r="G86" s="1055" t="s">
        <v>28</v>
      </c>
      <c r="H86" s="1055" t="s">
        <v>218</v>
      </c>
      <c r="I86" s="1051">
        <v>618.30999999999995</v>
      </c>
      <c r="J86" s="1051"/>
      <c r="K86" s="1051"/>
      <c r="L86" s="1051">
        <v>565</v>
      </c>
      <c r="M86" s="1051"/>
      <c r="N86" s="1055">
        <v>21.6</v>
      </c>
      <c r="O86" s="1051"/>
      <c r="P86" s="668">
        <v>31.889079761431368</v>
      </c>
      <c r="Q86" s="668">
        <f t="shared" si="22"/>
        <v>0</v>
      </c>
      <c r="R86" s="432"/>
      <c r="S86" s="432"/>
      <c r="T86" s="492"/>
      <c r="U86" s="668"/>
      <c r="V86" s="668"/>
      <c r="W86" s="668"/>
      <c r="X86" s="432"/>
      <c r="Y86" s="432"/>
      <c r="Z86" s="432"/>
      <c r="AA86" s="670"/>
      <c r="AB86" s="668"/>
      <c r="AC86" s="670"/>
      <c r="AD86" s="1055"/>
      <c r="AE86" s="432"/>
      <c r="AF86" s="669" t="s">
        <v>432</v>
      </c>
    </row>
    <row r="87" spans="1:32" ht="18.75" customHeight="1" x14ac:dyDescent="0.2">
      <c r="A87" s="1055">
        <v>70</v>
      </c>
      <c r="B87" s="461" t="s">
        <v>424</v>
      </c>
      <c r="C87" s="1055" t="s">
        <v>445</v>
      </c>
      <c r="D87" s="1051">
        <v>691</v>
      </c>
      <c r="E87" s="1051" t="s">
        <v>495</v>
      </c>
      <c r="F87" s="1055">
        <v>177.8</v>
      </c>
      <c r="G87" s="1055" t="s">
        <v>28</v>
      </c>
      <c r="H87" s="1055" t="s">
        <v>48</v>
      </c>
      <c r="I87" s="1051">
        <v>628.34</v>
      </c>
      <c r="J87" s="1051"/>
      <c r="K87" s="1051">
        <v>605</v>
      </c>
      <c r="L87" s="1051"/>
      <c r="M87" s="1051">
        <v>9.5</v>
      </c>
      <c r="N87" s="1055"/>
      <c r="O87" s="1051"/>
      <c r="P87" s="668">
        <v>12.1</v>
      </c>
      <c r="Q87" s="668">
        <f t="shared" si="22"/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055"/>
      <c r="AE87" s="432">
        <f>Y87*AD87</f>
        <v>0</v>
      </c>
      <c r="AF87" s="449" t="s">
        <v>432</v>
      </c>
    </row>
    <row r="88" spans="1:32" ht="18.75" customHeight="1" x14ac:dyDescent="0.25">
      <c r="A88" s="1055">
        <v>71</v>
      </c>
      <c r="B88" s="461" t="s">
        <v>155</v>
      </c>
      <c r="C88" s="1055" t="s">
        <v>415</v>
      </c>
      <c r="D88" s="1055">
        <v>513.9</v>
      </c>
      <c r="E88" s="1055" t="s">
        <v>477</v>
      </c>
      <c r="F88" s="1055">
        <v>177.8</v>
      </c>
      <c r="G88" s="1055"/>
      <c r="H88" s="1055"/>
      <c r="I88" s="1051">
        <v>9.5</v>
      </c>
      <c r="J88" s="1051"/>
      <c r="K88" s="1051"/>
      <c r="L88" s="1051"/>
      <c r="M88" s="1051"/>
      <c r="N88" s="1055"/>
      <c r="O88" s="1051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055">
        <v>72</v>
      </c>
      <c r="B89" s="461" t="s">
        <v>465</v>
      </c>
      <c r="C89" s="1055" t="s">
        <v>46</v>
      </c>
      <c r="D89" s="1055">
        <v>571.91</v>
      </c>
      <c r="E89" s="1055" t="s">
        <v>478</v>
      </c>
      <c r="F89" s="1055">
        <v>177.8</v>
      </c>
      <c r="G89" s="1055"/>
      <c r="H89" s="831"/>
      <c r="I89" s="1051">
        <v>9.5</v>
      </c>
      <c r="J89" s="1051"/>
      <c r="K89" s="1051"/>
      <c r="L89" s="1051"/>
      <c r="M89" s="1051"/>
      <c r="N89" s="1055"/>
      <c r="O89" s="1051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054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055"/>
      <c r="H90" s="1055"/>
      <c r="I90" s="1055"/>
      <c r="J90" s="1051"/>
      <c r="K90" s="1051"/>
      <c r="L90" s="1051"/>
      <c r="M90" s="1051"/>
      <c r="N90" s="1051"/>
      <c r="O90" s="1051"/>
      <c r="P90" s="448"/>
      <c r="Q90" s="448"/>
      <c r="R90" s="466">
        <f>SUM(R82:R89)</f>
        <v>7.6400000000000006</v>
      </c>
      <c r="S90" s="466">
        <f>SUM(S82:S89)</f>
        <v>7.665</v>
      </c>
      <c r="T90" s="512">
        <f>SUM(T82:T89)</f>
        <v>0</v>
      </c>
      <c r="U90" s="466">
        <f>T90/R90</f>
        <v>0</v>
      </c>
      <c r="V90" s="466"/>
      <c r="W90" s="466"/>
      <c r="X90" s="466"/>
      <c r="Y90" s="466">
        <f>SUM(Y82:Y89)</f>
        <v>7.5254000000000003</v>
      </c>
      <c r="Z90" s="466">
        <f>SUM(Z82:Z89)</f>
        <v>7.5500249999999998</v>
      </c>
      <c r="AA90" s="678">
        <f>SUM(AA26:AA89)</f>
        <v>18661.852860000003</v>
      </c>
      <c r="AB90" s="466">
        <f>AA90/Y90</f>
        <v>2479.8486273154917</v>
      </c>
      <c r="AC90" s="466"/>
      <c r="AD90" s="1054"/>
      <c r="AE90" s="466">
        <f>SUM(AE82:AE89)</f>
        <v>225.762</v>
      </c>
      <c r="AF90" s="669"/>
    </row>
    <row r="91" spans="1:32" ht="18.75" customHeight="1" x14ac:dyDescent="0.25">
      <c r="A91" s="870"/>
      <c r="B91" s="873"/>
      <c r="C91" s="850"/>
      <c r="D91" s="850"/>
      <c r="E91" s="1056" t="s">
        <v>470</v>
      </c>
      <c r="F91" s="853"/>
      <c r="G91" s="1046"/>
      <c r="H91" s="1050"/>
      <c r="I91" s="1050"/>
      <c r="J91" s="1051"/>
      <c r="K91" s="1051"/>
      <c r="L91" s="1051"/>
      <c r="M91" s="1051"/>
      <c r="N91" s="1051"/>
      <c r="O91" s="1051"/>
      <c r="P91" s="448"/>
      <c r="Q91" s="448"/>
      <c r="R91" s="1051"/>
      <c r="S91" s="437"/>
      <c r="T91" s="1051"/>
      <c r="U91" s="1046"/>
      <c r="V91" s="1046"/>
      <c r="W91" s="1046"/>
      <c r="X91" s="421"/>
      <c r="Y91" s="1051"/>
      <c r="Z91" s="1051"/>
      <c r="AA91" s="1051"/>
      <c r="AB91" s="1046"/>
      <c r="AC91" s="1046"/>
      <c r="AD91" s="1051"/>
      <c r="AE91" s="1051"/>
      <c r="AF91" s="1050"/>
    </row>
    <row r="92" spans="1:32" ht="18.75" customHeight="1" x14ac:dyDescent="0.2">
      <c r="A92" s="1053">
        <v>73</v>
      </c>
      <c r="B92" s="1055" t="s">
        <v>131</v>
      </c>
      <c r="C92" s="1053" t="s">
        <v>313</v>
      </c>
      <c r="D92" s="1055">
        <v>389.74</v>
      </c>
      <c r="E92" s="679" t="s">
        <v>136</v>
      </c>
      <c r="F92" s="1055">
        <v>177.8</v>
      </c>
      <c r="G92" s="1055" t="s">
        <v>28</v>
      </c>
      <c r="H92" s="1055" t="s">
        <v>485</v>
      </c>
      <c r="I92" s="1051">
        <v>132.27000000000001</v>
      </c>
      <c r="J92" s="1051" t="s">
        <v>531</v>
      </c>
      <c r="K92" s="1055"/>
      <c r="L92" s="1055">
        <v>54</v>
      </c>
      <c r="M92" s="1055"/>
      <c r="N92" s="1055">
        <v>0.9</v>
      </c>
      <c r="O92" s="1055"/>
      <c r="P92" s="668">
        <v>13.692691261550211</v>
      </c>
      <c r="Q92" s="448">
        <f>(15*J92)/100</f>
        <v>13.5</v>
      </c>
      <c r="R92" s="432">
        <v>6.4560000000000004</v>
      </c>
      <c r="S92" s="432">
        <v>10.59</v>
      </c>
      <c r="T92" s="432">
        <v>0</v>
      </c>
      <c r="U92" s="432">
        <f>T92/R92</f>
        <v>0</v>
      </c>
      <c r="V92" s="432">
        <f t="shared" ref="V92:V95" si="23">(S92-R92)/S92*100</f>
        <v>39.036827195467417</v>
      </c>
      <c r="W92" s="432">
        <v>0.3</v>
      </c>
      <c r="X92" s="432">
        <f t="shared" ref="X92:X95" si="24">S92/Q92</f>
        <v>0.78444444444444439</v>
      </c>
      <c r="Y92" s="432">
        <f t="shared" ref="Y92:Y95" si="25">R92*0.985</f>
        <v>6.3591600000000001</v>
      </c>
      <c r="Z92" s="432">
        <f>S92*0.985</f>
        <v>10.431150000000001</v>
      </c>
      <c r="AA92" s="432">
        <f>T92*0.985</f>
        <v>0</v>
      </c>
      <c r="AB92" s="432">
        <f t="shared" ref="AB92:AC95" si="26">U92</f>
        <v>0</v>
      </c>
      <c r="AC92" s="432">
        <f t="shared" si="26"/>
        <v>39.036827195467417</v>
      </c>
      <c r="AD92" s="1055">
        <v>30</v>
      </c>
      <c r="AE92" s="432">
        <f t="shared" ref="AE92:AE95" si="27">Y92*AD92</f>
        <v>190.7748</v>
      </c>
      <c r="AF92" s="449"/>
    </row>
    <row r="93" spans="1:32" ht="18.75" customHeight="1" x14ac:dyDescent="0.2">
      <c r="A93" s="1053">
        <v>74</v>
      </c>
      <c r="B93" s="1055" t="s">
        <v>132</v>
      </c>
      <c r="C93" s="1053" t="s">
        <v>313</v>
      </c>
      <c r="D93" s="1055">
        <v>387.72</v>
      </c>
      <c r="E93" s="679" t="s">
        <v>135</v>
      </c>
      <c r="F93" s="1055">
        <v>177.8</v>
      </c>
      <c r="G93" s="1055" t="s">
        <v>28</v>
      </c>
      <c r="H93" s="1055" t="s">
        <v>485</v>
      </c>
      <c r="I93" s="1051">
        <v>130.34</v>
      </c>
      <c r="J93" s="1055" t="s">
        <v>531</v>
      </c>
      <c r="K93" s="1055"/>
      <c r="L93" s="1055">
        <v>66</v>
      </c>
      <c r="M93" s="1055"/>
      <c r="N93" s="1055">
        <v>0.4</v>
      </c>
      <c r="O93" s="1055"/>
      <c r="P93" s="668">
        <v>9.6679061162874635</v>
      </c>
      <c r="Q93" s="448">
        <f>(15*J93)/100</f>
        <v>13.5</v>
      </c>
      <c r="R93" s="432">
        <v>7.1929999999999996</v>
      </c>
      <c r="S93" s="432">
        <v>9.8919999999999995</v>
      </c>
      <c r="T93" s="432">
        <v>0</v>
      </c>
      <c r="U93" s="432">
        <f>T93/R93</f>
        <v>0</v>
      </c>
      <c r="V93" s="432">
        <f t="shared" si="23"/>
        <v>27.284674484431864</v>
      </c>
      <c r="W93" s="432">
        <v>0.3</v>
      </c>
      <c r="X93" s="432">
        <f t="shared" si="24"/>
        <v>0.73274074074074069</v>
      </c>
      <c r="Y93" s="432">
        <f t="shared" si="25"/>
        <v>7.0851049999999995</v>
      </c>
      <c r="Z93" s="432">
        <f t="shared" ref="Z93:AA95" si="28">S93*0.985</f>
        <v>9.7436199999999999</v>
      </c>
      <c r="AA93" s="432">
        <f t="shared" si="28"/>
        <v>0</v>
      </c>
      <c r="AB93" s="432">
        <v>0</v>
      </c>
      <c r="AC93" s="432">
        <f>V93</f>
        <v>27.284674484431864</v>
      </c>
      <c r="AD93" s="1055">
        <v>30</v>
      </c>
      <c r="AE93" s="432">
        <f t="shared" si="27"/>
        <v>212.55314999999999</v>
      </c>
      <c r="AF93" s="449"/>
    </row>
    <row r="94" spans="1:32" ht="18.75" customHeight="1" x14ac:dyDescent="0.2">
      <c r="A94" s="1053">
        <v>75</v>
      </c>
      <c r="B94" s="1055" t="s">
        <v>121</v>
      </c>
      <c r="C94" s="1053" t="s">
        <v>313</v>
      </c>
      <c r="D94" s="1055">
        <v>389.57</v>
      </c>
      <c r="E94" s="1055" t="s">
        <v>137</v>
      </c>
      <c r="F94" s="1055">
        <v>177.8</v>
      </c>
      <c r="G94" s="1055" t="s">
        <v>28</v>
      </c>
      <c r="H94" s="831" t="s">
        <v>466</v>
      </c>
      <c r="I94" s="1051">
        <v>123.65000000000003</v>
      </c>
      <c r="J94" s="1055" t="s">
        <v>531</v>
      </c>
      <c r="K94" s="1055"/>
      <c r="L94" s="1055">
        <v>39</v>
      </c>
      <c r="M94" s="1055"/>
      <c r="N94" s="1055">
        <v>0.1</v>
      </c>
      <c r="O94" s="1055"/>
      <c r="P94" s="668">
        <v>12.138710570663264</v>
      </c>
      <c r="Q94" s="448">
        <f>(13*J94)/100</f>
        <v>11.7</v>
      </c>
      <c r="R94" s="432">
        <v>4.5940000000000003</v>
      </c>
      <c r="S94" s="432">
        <v>11.603000000000002</v>
      </c>
      <c r="T94" s="432">
        <v>0</v>
      </c>
      <c r="U94" s="432">
        <v>0</v>
      </c>
      <c r="V94" s="432">
        <v>75</v>
      </c>
      <c r="W94" s="432">
        <v>0.3</v>
      </c>
      <c r="X94" s="432">
        <f>S94/Q94</f>
        <v>0.99170940170940192</v>
      </c>
      <c r="Y94" s="432">
        <f t="shared" si="25"/>
        <v>4.5250900000000005</v>
      </c>
      <c r="Z94" s="432">
        <f t="shared" si="28"/>
        <v>11.428955000000002</v>
      </c>
      <c r="AA94" s="432">
        <f t="shared" si="28"/>
        <v>0</v>
      </c>
      <c r="AB94" s="432">
        <v>0</v>
      </c>
      <c r="AC94" s="432">
        <v>47</v>
      </c>
      <c r="AD94" s="1055">
        <v>30</v>
      </c>
      <c r="AE94" s="432">
        <f t="shared" si="27"/>
        <v>135.7527</v>
      </c>
      <c r="AF94" s="669"/>
    </row>
    <row r="95" spans="1:32" ht="18.75" customHeight="1" x14ac:dyDescent="0.2">
      <c r="A95" s="1053">
        <v>76</v>
      </c>
      <c r="B95" s="1055" t="s">
        <v>122</v>
      </c>
      <c r="C95" s="1053" t="s">
        <v>313</v>
      </c>
      <c r="D95" s="1055">
        <v>391.06</v>
      </c>
      <c r="E95" s="1055" t="s">
        <v>138</v>
      </c>
      <c r="F95" s="1055">
        <v>177.8</v>
      </c>
      <c r="G95" s="1055" t="s">
        <v>28</v>
      </c>
      <c r="H95" s="1055" t="s">
        <v>485</v>
      </c>
      <c r="I95" s="432">
        <v>148.36999999999998</v>
      </c>
      <c r="J95" s="1055" t="s">
        <v>531</v>
      </c>
      <c r="K95" s="1054"/>
      <c r="L95" s="1055">
        <v>77</v>
      </c>
      <c r="M95" s="1054"/>
      <c r="N95" s="1055">
        <v>0.7</v>
      </c>
      <c r="O95" s="1054"/>
      <c r="P95" s="668">
        <v>7.2327002756208305</v>
      </c>
      <c r="Q95" s="448">
        <f>(15*J95)/100</f>
        <v>13.5</v>
      </c>
      <c r="R95" s="432">
        <v>6.1580000000000004</v>
      </c>
      <c r="S95" s="432">
        <v>6.7710000000000008</v>
      </c>
      <c r="T95" s="432">
        <v>0</v>
      </c>
      <c r="U95" s="432">
        <f>T95/R95</f>
        <v>0</v>
      </c>
      <c r="V95" s="432">
        <f t="shared" si="23"/>
        <v>9.0533156106926658</v>
      </c>
      <c r="W95" s="432">
        <v>0.3</v>
      </c>
      <c r="X95" s="432">
        <f t="shared" si="24"/>
        <v>0.50155555555555564</v>
      </c>
      <c r="Y95" s="432">
        <f t="shared" si="25"/>
        <v>6.0656300000000005</v>
      </c>
      <c r="Z95" s="432">
        <f t="shared" si="28"/>
        <v>6.6694350000000009</v>
      </c>
      <c r="AA95" s="432">
        <f t="shared" si="28"/>
        <v>0</v>
      </c>
      <c r="AB95" s="432">
        <f t="shared" si="26"/>
        <v>0</v>
      </c>
      <c r="AC95" s="432">
        <f t="shared" si="26"/>
        <v>9.0533156106926658</v>
      </c>
      <c r="AD95" s="1055">
        <v>30</v>
      </c>
      <c r="AE95" s="432">
        <f t="shared" si="27"/>
        <v>181.96890000000002</v>
      </c>
      <c r="AF95" s="680"/>
    </row>
    <row r="96" spans="1:32" ht="18.75" customHeight="1" x14ac:dyDescent="0.2">
      <c r="A96" s="1053">
        <v>77</v>
      </c>
      <c r="B96" s="1055" t="s">
        <v>188</v>
      </c>
      <c r="C96" s="1053" t="s">
        <v>344</v>
      </c>
      <c r="D96" s="1055">
        <v>400.5</v>
      </c>
      <c r="E96" s="1055" t="s">
        <v>345</v>
      </c>
      <c r="F96" s="1055">
        <v>177.8</v>
      </c>
      <c r="G96" s="1055"/>
      <c r="H96" s="1055"/>
      <c r="I96" s="432"/>
      <c r="J96" s="1055"/>
      <c r="K96" s="1054"/>
      <c r="L96" s="1055"/>
      <c r="M96" s="1054"/>
      <c r="N96" s="1055"/>
      <c r="O96" s="1054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055"/>
      <c r="AE96" s="432"/>
      <c r="AF96" s="669"/>
    </row>
    <row r="97" spans="1:32" ht="18.75" customHeight="1" x14ac:dyDescent="0.2">
      <c r="A97" s="1053">
        <v>78</v>
      </c>
      <c r="B97" s="1055" t="s">
        <v>186</v>
      </c>
      <c r="C97" s="1053" t="s">
        <v>346</v>
      </c>
      <c r="D97" s="1055">
        <v>349.5</v>
      </c>
      <c r="E97" s="461" t="s">
        <v>347</v>
      </c>
      <c r="F97" s="1055">
        <v>177.8</v>
      </c>
      <c r="G97" s="1055"/>
      <c r="H97" s="1055"/>
      <c r="I97" s="432"/>
      <c r="J97" s="1055"/>
      <c r="K97" s="1055"/>
      <c r="L97" s="1055"/>
      <c r="M97" s="1054"/>
      <c r="N97" s="1055"/>
      <c r="O97" s="1054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055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051"/>
      <c r="G98" s="1046"/>
      <c r="H98" s="1050"/>
      <c r="I98" s="1050"/>
      <c r="J98" s="1051"/>
      <c r="K98" s="1051"/>
      <c r="L98" s="1051"/>
      <c r="M98" s="1051"/>
      <c r="N98" s="1051"/>
      <c r="O98" s="1051"/>
      <c r="P98" s="448"/>
      <c r="Q98" s="448"/>
      <c r="R98" s="466">
        <f>SUM(R92:R97)</f>
        <v>24.401000000000003</v>
      </c>
      <c r="S98" s="466">
        <f>SUM(S92:S97)</f>
        <v>38.856000000000002</v>
      </c>
      <c r="T98" s="466">
        <f>SUM(T92:T95)</f>
        <v>0</v>
      </c>
      <c r="U98" s="466">
        <f>SUM(U92:U95)</f>
        <v>0</v>
      </c>
      <c r="V98" s="1046"/>
      <c r="W98" s="1046"/>
      <c r="X98" s="1046"/>
      <c r="Y98" s="466">
        <f>SUM(Y92:Y97)</f>
        <v>24.034984999999999</v>
      </c>
      <c r="Z98" s="466">
        <f>SUM(Z92:Z97)</f>
        <v>38.273160000000004</v>
      </c>
      <c r="AA98" s="466">
        <f>SUM(AA92:AA95)</f>
        <v>0</v>
      </c>
      <c r="AB98" s="466">
        <f>AA98/Y98</f>
        <v>0</v>
      </c>
      <c r="AC98" s="1046"/>
      <c r="AD98" s="1051"/>
      <c r="AE98" s="466">
        <f>SUM(AE92:AE97)</f>
        <v>721.04954999999995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054"/>
      <c r="G99" s="1055"/>
      <c r="H99" s="1055"/>
      <c r="I99" s="432"/>
      <c r="J99" s="1055"/>
      <c r="K99" s="1054"/>
      <c r="L99" s="1055"/>
      <c r="M99" s="1054"/>
      <c r="N99" s="668"/>
      <c r="O99" s="1054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046"/>
      <c r="H100" s="1050"/>
      <c r="I100" s="1050"/>
      <c r="J100" s="1051"/>
      <c r="K100" s="1051"/>
      <c r="L100" s="1051"/>
      <c r="M100" s="1051"/>
      <c r="N100" s="1051"/>
      <c r="O100" s="1051"/>
      <c r="P100" s="448"/>
      <c r="Q100" s="448"/>
      <c r="R100" s="1051"/>
      <c r="S100" s="1051"/>
      <c r="T100" s="1051"/>
      <c r="U100" s="1046"/>
      <c r="V100" s="1046"/>
      <c r="W100" s="1046"/>
      <c r="X100" s="1046"/>
      <c r="Y100" s="1051"/>
      <c r="Z100" s="1051"/>
      <c r="AA100" s="1051"/>
      <c r="AB100" s="1046"/>
      <c r="AC100" s="1046"/>
      <c r="AD100" s="1051"/>
      <c r="AE100" s="1051"/>
      <c r="AF100" s="1050"/>
    </row>
    <row r="101" spans="1:32" ht="18.75" customHeight="1" x14ac:dyDescent="0.2">
      <c r="A101" s="1055">
        <v>79</v>
      </c>
      <c r="B101" s="1052" t="s">
        <v>107</v>
      </c>
      <c r="C101" s="1051" t="s">
        <v>109</v>
      </c>
      <c r="D101" s="1051"/>
      <c r="E101" s="1051"/>
      <c r="F101" s="1051"/>
      <c r="G101" s="1046"/>
      <c r="H101" s="1050"/>
      <c r="I101" s="1050"/>
      <c r="J101" s="1051"/>
      <c r="K101" s="1051"/>
      <c r="L101" s="1051"/>
      <c r="M101" s="1051"/>
      <c r="N101" s="1051"/>
      <c r="O101" s="1051"/>
      <c r="P101" s="448"/>
      <c r="Q101" s="448"/>
      <c r="R101" s="1051"/>
      <c r="S101" s="1051"/>
      <c r="T101" s="1051"/>
      <c r="U101" s="1046"/>
      <c r="V101" s="1046"/>
      <c r="W101" s="1046"/>
      <c r="X101" s="1046"/>
      <c r="Y101" s="1050"/>
      <c r="Z101" s="1050"/>
      <c r="AA101" s="1051"/>
      <c r="AB101" s="1046"/>
      <c r="AC101" s="1046"/>
      <c r="AD101" s="493"/>
      <c r="AE101" s="1051"/>
      <c r="AF101" s="1050"/>
    </row>
    <row r="102" spans="1:32" ht="18.75" customHeight="1" x14ac:dyDescent="0.2">
      <c r="A102" s="1055">
        <v>80</v>
      </c>
      <c r="B102" s="1052" t="s">
        <v>108</v>
      </c>
      <c r="C102" s="1051" t="s">
        <v>109</v>
      </c>
      <c r="D102" s="1051"/>
      <c r="E102" s="1051"/>
      <c r="F102" s="1051"/>
      <c r="G102" s="1046"/>
      <c r="H102" s="1050"/>
      <c r="I102" s="1050"/>
      <c r="J102" s="1051"/>
      <c r="K102" s="1051"/>
      <c r="L102" s="1051"/>
      <c r="M102" s="1051"/>
      <c r="N102" s="1051"/>
      <c r="O102" s="1051"/>
      <c r="P102" s="448"/>
      <c r="Q102" s="448"/>
      <c r="R102" s="1051"/>
      <c r="S102" s="1051"/>
      <c r="T102" s="1051"/>
      <c r="U102" s="1046"/>
      <c r="V102" s="1046"/>
      <c r="W102" s="1046"/>
      <c r="X102" s="1046"/>
      <c r="Y102" s="1050"/>
      <c r="Z102" s="1050"/>
      <c r="AA102" s="1051"/>
      <c r="AB102" s="1046"/>
      <c r="AC102" s="1046"/>
      <c r="AD102" s="493"/>
      <c r="AE102" s="1051"/>
      <c r="AF102" s="1050"/>
    </row>
    <row r="103" spans="1:32" ht="18.75" customHeight="1" x14ac:dyDescent="0.2">
      <c r="A103" s="1055">
        <v>81</v>
      </c>
      <c r="B103" s="1052" t="s">
        <v>195</v>
      </c>
      <c r="C103" s="1053" t="s">
        <v>484</v>
      </c>
      <c r="D103" s="1051"/>
      <c r="E103" s="1051"/>
      <c r="F103" s="1051"/>
      <c r="G103" s="1046"/>
      <c r="H103" s="1050"/>
      <c r="I103" s="1050"/>
      <c r="J103" s="1051"/>
      <c r="K103" s="1051"/>
      <c r="L103" s="1051"/>
      <c r="M103" s="1051"/>
      <c r="N103" s="1051"/>
      <c r="O103" s="1051"/>
      <c r="P103" s="448"/>
      <c r="Q103" s="448"/>
      <c r="R103" s="1051"/>
      <c r="S103" s="1051"/>
      <c r="T103" s="1051"/>
      <c r="U103" s="1046"/>
      <c r="V103" s="1046"/>
      <c r="W103" s="1046"/>
      <c r="X103" s="1046"/>
      <c r="Y103" s="1050"/>
      <c r="Z103" s="1050"/>
      <c r="AA103" s="1051"/>
      <c r="AB103" s="1046"/>
      <c r="AC103" s="1046"/>
      <c r="AD103" s="493"/>
      <c r="AE103" s="1051"/>
      <c r="AF103" s="1050"/>
    </row>
    <row r="104" spans="1:32" ht="18.75" customHeight="1" x14ac:dyDescent="0.2">
      <c r="A104" s="1055">
        <v>82</v>
      </c>
      <c r="B104" s="1052" t="s">
        <v>192</v>
      </c>
      <c r="C104" s="1053" t="s">
        <v>484</v>
      </c>
      <c r="D104" s="1051"/>
      <c r="E104" s="1051"/>
      <c r="F104" s="1051"/>
      <c r="G104" s="1046"/>
      <c r="H104" s="1050"/>
      <c r="I104" s="1050"/>
      <c r="J104" s="1051"/>
      <c r="K104" s="1051"/>
      <c r="L104" s="1051"/>
      <c r="M104" s="1051"/>
      <c r="N104" s="1051"/>
      <c r="O104" s="1051"/>
      <c r="P104" s="448"/>
      <c r="Q104" s="448"/>
      <c r="R104" s="1051"/>
      <c r="S104" s="1051"/>
      <c r="T104" s="1051"/>
      <c r="U104" s="1046"/>
      <c r="V104" s="1046"/>
      <c r="W104" s="1046"/>
      <c r="X104" s="1046"/>
      <c r="Y104" s="1050"/>
      <c r="Z104" s="1050"/>
      <c r="AA104" s="1051"/>
      <c r="AB104" s="1046"/>
      <c r="AC104" s="1046"/>
      <c r="AD104" s="493"/>
      <c r="AE104" s="1051"/>
      <c r="AF104" s="1050"/>
    </row>
    <row r="105" spans="1:32" ht="18.75" customHeight="1" x14ac:dyDescent="0.2">
      <c r="A105" s="1055"/>
      <c r="B105" s="851"/>
      <c r="C105" s="850"/>
      <c r="D105" s="850"/>
      <c r="E105" s="1050" t="s">
        <v>278</v>
      </c>
      <c r="F105" s="850"/>
      <c r="G105" s="1046"/>
      <c r="H105" s="1050"/>
      <c r="I105" s="1050"/>
      <c r="J105" s="1051"/>
      <c r="K105" s="1051"/>
      <c r="L105" s="1051"/>
      <c r="M105" s="1051"/>
      <c r="N105" s="1051"/>
      <c r="O105" s="1051"/>
      <c r="P105" s="448"/>
      <c r="Q105" s="448"/>
      <c r="R105" s="1051"/>
      <c r="S105" s="1051"/>
      <c r="T105" s="1051"/>
      <c r="U105" s="1046"/>
      <c r="V105" s="1046"/>
      <c r="W105" s="1046"/>
      <c r="X105" s="1046"/>
      <c r="Y105" s="1051"/>
      <c r="Z105" s="1051"/>
      <c r="AA105" s="1051"/>
      <c r="AB105" s="1046"/>
      <c r="AC105" s="1046"/>
      <c r="AD105" s="1051"/>
      <c r="AE105" s="1051"/>
      <c r="AF105" s="1050"/>
    </row>
    <row r="106" spans="1:32" ht="18.75" customHeight="1" x14ac:dyDescent="0.2">
      <c r="A106" s="1055">
        <v>83</v>
      </c>
      <c r="B106" s="461" t="s">
        <v>189</v>
      </c>
      <c r="C106" s="1055" t="s">
        <v>46</v>
      </c>
      <c r="D106" s="1055">
        <v>673</v>
      </c>
      <c r="E106" s="1055" t="s">
        <v>190</v>
      </c>
      <c r="F106" s="1055">
        <v>177.8</v>
      </c>
      <c r="G106" s="1055"/>
      <c r="H106" s="1055"/>
      <c r="I106" s="1051"/>
      <c r="J106" s="1051"/>
      <c r="K106" s="1051"/>
      <c r="L106" s="1051"/>
      <c r="M106" s="1051"/>
      <c r="N106" s="1051"/>
      <c r="O106" s="1051"/>
      <c r="P106" s="448"/>
      <c r="Q106" s="448"/>
      <c r="R106" s="1051"/>
      <c r="S106" s="1051"/>
      <c r="T106" s="1051"/>
      <c r="U106" s="1046"/>
      <c r="V106" s="1046"/>
      <c r="W106" s="1046"/>
      <c r="X106" s="1046"/>
      <c r="Y106" s="473"/>
      <c r="Z106" s="683"/>
      <c r="AA106" s="1050"/>
      <c r="AB106" s="1046"/>
      <c r="AC106" s="1051"/>
      <c r="AD106" s="1055"/>
      <c r="AE106" s="432"/>
      <c r="AF106" s="449"/>
    </row>
    <row r="107" spans="1:32" ht="18.75" customHeight="1" x14ac:dyDescent="0.3">
      <c r="A107" s="1055">
        <v>84</v>
      </c>
      <c r="B107" s="461" t="s">
        <v>181</v>
      </c>
      <c r="C107" s="684" t="s">
        <v>344</v>
      </c>
      <c r="D107" s="1055">
        <v>374.5</v>
      </c>
      <c r="E107" s="1055" t="s">
        <v>182</v>
      </c>
      <c r="F107" s="1055">
        <v>177.8</v>
      </c>
      <c r="G107" s="1055"/>
      <c r="H107" s="1055"/>
      <c r="I107" s="1051"/>
      <c r="J107" s="1055"/>
      <c r="K107" s="1055"/>
      <c r="L107" s="1055"/>
      <c r="M107" s="1055"/>
      <c r="N107" s="668"/>
      <c r="O107" s="1055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055"/>
      <c r="AE107" s="432"/>
      <c r="AF107" s="449"/>
    </row>
    <row r="108" spans="1:32" ht="18.75" customHeight="1" x14ac:dyDescent="0.2">
      <c r="A108" s="1055">
        <v>85</v>
      </c>
      <c r="B108" s="461" t="s">
        <v>174</v>
      </c>
      <c r="C108" s="1055" t="s">
        <v>46</v>
      </c>
      <c r="D108" s="1055">
        <v>672</v>
      </c>
      <c r="E108" s="1055" t="s">
        <v>175</v>
      </c>
      <c r="F108" s="1055">
        <v>177.8</v>
      </c>
      <c r="G108" s="1055"/>
      <c r="H108" s="1055"/>
      <c r="I108" s="1051"/>
      <c r="J108" s="1055"/>
      <c r="K108" s="1055"/>
      <c r="L108" s="1055"/>
      <c r="M108" s="1055"/>
      <c r="N108" s="668"/>
      <c r="O108" s="1055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055"/>
      <c r="AE108" s="432"/>
      <c r="AF108" s="449"/>
    </row>
    <row r="109" spans="1:32" ht="18.75" customHeight="1" x14ac:dyDescent="0.2">
      <c r="A109" s="1055">
        <v>86</v>
      </c>
      <c r="B109" s="1052" t="s">
        <v>103</v>
      </c>
      <c r="C109" s="1055" t="s">
        <v>46</v>
      </c>
      <c r="D109" s="1051">
        <v>582</v>
      </c>
      <c r="E109" s="1051" t="s">
        <v>112</v>
      </c>
      <c r="F109" s="1055">
        <v>177.8</v>
      </c>
      <c r="G109" s="1055"/>
      <c r="H109" s="1055"/>
      <c r="I109" s="1051"/>
      <c r="J109" s="1051"/>
      <c r="K109" s="1051"/>
      <c r="L109" s="1051"/>
      <c r="M109" s="1051"/>
      <c r="N109" s="1051"/>
      <c r="O109" s="1051"/>
      <c r="P109" s="448"/>
      <c r="Q109" s="448"/>
      <c r="R109" s="1051"/>
      <c r="S109" s="1051"/>
      <c r="T109" s="1051"/>
      <c r="U109" s="1046"/>
      <c r="V109" s="1046"/>
      <c r="W109" s="1046"/>
      <c r="X109" s="421"/>
      <c r="Y109" s="492"/>
      <c r="Z109" s="1051"/>
      <c r="AA109" s="1051"/>
      <c r="AB109" s="1046"/>
      <c r="AC109" s="1051"/>
      <c r="AD109" s="493"/>
      <c r="AE109" s="437"/>
      <c r="AF109" s="449"/>
    </row>
    <row r="110" spans="1:32" ht="18.75" customHeight="1" x14ac:dyDescent="0.2">
      <c r="A110" s="1055">
        <v>87</v>
      </c>
      <c r="B110" s="1055" t="s">
        <v>57</v>
      </c>
      <c r="C110" s="1053" t="s">
        <v>314</v>
      </c>
      <c r="D110" s="1055">
        <v>376.58</v>
      </c>
      <c r="E110" s="461" t="s">
        <v>93</v>
      </c>
      <c r="F110" s="1055">
        <v>177.8</v>
      </c>
      <c r="G110" s="1055"/>
      <c r="H110" s="1055"/>
      <c r="I110" s="1051"/>
      <c r="J110" s="1051"/>
      <c r="K110" s="1051"/>
      <c r="L110" s="1051"/>
      <c r="M110" s="1051"/>
      <c r="N110" s="1051"/>
      <c r="O110" s="1051"/>
      <c r="P110" s="448"/>
      <c r="Q110" s="448"/>
      <c r="R110" s="1051"/>
      <c r="S110" s="1051"/>
      <c r="T110" s="1051"/>
      <c r="U110" s="1046"/>
      <c r="V110" s="1046"/>
      <c r="W110" s="1046"/>
      <c r="X110" s="421"/>
      <c r="Y110" s="492"/>
      <c r="Z110" s="1051"/>
      <c r="AA110" s="1051"/>
      <c r="AB110" s="1046"/>
      <c r="AC110" s="1051"/>
      <c r="AD110" s="493"/>
      <c r="AE110" s="437"/>
      <c r="AF110" s="449"/>
    </row>
    <row r="111" spans="1:32" ht="18.75" customHeight="1" x14ac:dyDescent="0.2">
      <c r="A111" s="1055">
        <v>88</v>
      </c>
      <c r="B111" s="1055" t="s">
        <v>184</v>
      </c>
      <c r="C111" s="1053" t="s">
        <v>314</v>
      </c>
      <c r="D111" s="1055">
        <v>422.78</v>
      </c>
      <c r="E111" s="461" t="s">
        <v>185</v>
      </c>
      <c r="F111" s="1055">
        <v>177.8</v>
      </c>
      <c r="G111" s="1055"/>
      <c r="H111" s="1055"/>
      <c r="I111" s="432"/>
      <c r="J111" s="1051"/>
      <c r="K111" s="1051"/>
      <c r="L111" s="1051"/>
      <c r="M111" s="1051"/>
      <c r="N111" s="1051"/>
      <c r="O111" s="1051"/>
      <c r="P111" s="448"/>
      <c r="Q111" s="448"/>
      <c r="R111" s="1051"/>
      <c r="S111" s="1051"/>
      <c r="T111" s="1051"/>
      <c r="U111" s="1046"/>
      <c r="V111" s="1046"/>
      <c r="W111" s="1046"/>
      <c r="X111" s="421"/>
      <c r="Y111" s="492"/>
      <c r="Z111" s="1051"/>
      <c r="AA111" s="1051"/>
      <c r="AB111" s="1046"/>
      <c r="AC111" s="1051"/>
      <c r="AD111" s="493"/>
      <c r="AE111" s="437"/>
      <c r="AF111" s="449"/>
    </row>
    <row r="112" spans="1:32" ht="18.75" customHeight="1" x14ac:dyDescent="0.2">
      <c r="A112" s="1055">
        <v>89</v>
      </c>
      <c r="B112" s="1052" t="s">
        <v>220</v>
      </c>
      <c r="C112" s="1055" t="s">
        <v>46</v>
      </c>
      <c r="D112" s="1051">
        <v>685.69</v>
      </c>
      <c r="E112" s="1051" t="s">
        <v>222</v>
      </c>
      <c r="F112" s="1055">
        <v>177.8</v>
      </c>
      <c r="G112" s="1055"/>
      <c r="H112" s="1055"/>
      <c r="I112" s="1051"/>
      <c r="J112" s="1051"/>
      <c r="K112" s="1051"/>
      <c r="L112" s="1051"/>
      <c r="M112" s="1051"/>
      <c r="N112" s="1051"/>
      <c r="O112" s="1051"/>
      <c r="P112" s="448"/>
      <c r="Q112" s="771"/>
      <c r="R112" s="1051"/>
      <c r="S112" s="1051"/>
      <c r="T112" s="1051"/>
      <c r="U112" s="1046"/>
      <c r="V112" s="1046"/>
      <c r="W112" s="1046"/>
      <c r="X112" s="421"/>
      <c r="Y112" s="492"/>
      <c r="Z112" s="1051"/>
      <c r="AA112" s="1051"/>
      <c r="AB112" s="1046"/>
      <c r="AC112" s="1051"/>
      <c r="AD112" s="493"/>
      <c r="AE112" s="437"/>
      <c r="AF112" s="449"/>
    </row>
    <row r="113" spans="1:32" ht="18.75" customHeight="1" x14ac:dyDescent="0.2">
      <c r="A113" s="1055"/>
      <c r="B113" s="851"/>
      <c r="C113" s="850"/>
      <c r="D113" s="850"/>
      <c r="E113" s="1050" t="s">
        <v>469</v>
      </c>
      <c r="F113" s="850"/>
      <c r="G113" s="1055"/>
      <c r="H113" s="1055"/>
      <c r="I113" s="1051"/>
      <c r="J113" s="1055"/>
      <c r="K113" s="1055"/>
      <c r="L113" s="1055"/>
      <c r="M113" s="1055"/>
      <c r="N113" s="668"/>
      <c r="O113" s="1055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055"/>
      <c r="AE113" s="432"/>
      <c r="AF113" s="449"/>
    </row>
    <row r="114" spans="1:32" ht="18.75" customHeight="1" x14ac:dyDescent="0.2">
      <c r="A114" s="1055">
        <v>90</v>
      </c>
      <c r="B114" s="461" t="s">
        <v>56</v>
      </c>
      <c r="C114" s="1055" t="s">
        <v>46</v>
      </c>
      <c r="D114" s="1055">
        <v>680.52</v>
      </c>
      <c r="E114" s="1055" t="s">
        <v>92</v>
      </c>
      <c r="F114" s="1055">
        <v>177.8</v>
      </c>
      <c r="G114" s="1055"/>
      <c r="H114" s="1055"/>
      <c r="I114" s="1051"/>
      <c r="J114" s="1055"/>
      <c r="K114" s="1055"/>
      <c r="L114" s="1055"/>
      <c r="M114" s="1055"/>
      <c r="N114" s="668"/>
      <c r="O114" s="1055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055"/>
      <c r="AE114" s="432"/>
      <c r="AF114" s="449"/>
    </row>
    <row r="115" spans="1:32" ht="18.75" customHeight="1" x14ac:dyDescent="0.2">
      <c r="A115" s="1055"/>
      <c r="B115" s="461"/>
      <c r="C115" s="1055"/>
      <c r="D115" s="1055"/>
      <c r="E115" s="1055"/>
      <c r="F115" s="1055"/>
      <c r="G115" s="1055"/>
      <c r="H115" s="1055"/>
      <c r="I115" s="1051"/>
      <c r="J115" s="1055"/>
      <c r="K115" s="1055"/>
      <c r="L115" s="1055"/>
      <c r="M115" s="1055"/>
      <c r="N115" s="668"/>
      <c r="O115" s="1055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055"/>
      <c r="AE115" s="432"/>
      <c r="AF115" s="449"/>
    </row>
    <row r="116" spans="1:32" ht="18.75" x14ac:dyDescent="0.25">
      <c r="A116" s="870"/>
      <c r="B116" s="1055"/>
      <c r="C116" s="1055"/>
      <c r="D116" s="1055"/>
      <c r="E116" s="461"/>
      <c r="F116" s="1055"/>
      <c r="G116" s="1055"/>
      <c r="H116" s="1055"/>
      <c r="I116" s="1051"/>
      <c r="J116" s="1055"/>
      <c r="K116" s="1055"/>
      <c r="L116" s="1055"/>
      <c r="M116" s="1055"/>
      <c r="N116" s="668"/>
      <c r="O116" s="1055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055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054"/>
      <c r="G117" s="1055"/>
      <c r="H117" s="1055"/>
      <c r="I117" s="432"/>
      <c r="J117" s="1055"/>
      <c r="K117" s="1054"/>
      <c r="L117" s="1055"/>
      <c r="M117" s="1054"/>
      <c r="N117" s="668"/>
      <c r="O117" s="1054"/>
      <c r="P117" s="682"/>
      <c r="Q117" s="774"/>
      <c r="R117" s="466">
        <f>R79+R90+R98</f>
        <v>411.63600000000008</v>
      </c>
      <c r="S117" s="466">
        <f>S79+S90+S98</f>
        <v>936.726</v>
      </c>
      <c r="T117" s="678">
        <f>T79+T90+T98</f>
        <v>10165.458999999999</v>
      </c>
      <c r="U117" s="466">
        <f>T117/R117</f>
        <v>24.695262319136315</v>
      </c>
      <c r="V117" s="466"/>
      <c r="W117" s="466"/>
      <c r="X117" s="466"/>
      <c r="Y117" s="466">
        <f>Y79+Y98+Y90</f>
        <v>405.4614600000001</v>
      </c>
      <c r="Z117" s="466">
        <f>Z79+Z98+Z90</f>
        <v>922.6751099999999</v>
      </c>
      <c r="AA117" s="678">
        <f>AA79+AA98+AA90</f>
        <v>28679.919975000004</v>
      </c>
      <c r="AB117" s="466">
        <f>AB79+AB98+AB90</f>
        <v>2506.6419900117612</v>
      </c>
      <c r="AC117" s="466"/>
      <c r="AD117" s="466"/>
      <c r="AE117" s="686">
        <f>AE79+AE90+AE98</f>
        <v>12163.843799999997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11555.651609999997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058"/>
      <c r="Y120" s="1058"/>
      <c r="Z120" s="1058"/>
      <c r="AA120" s="1058"/>
      <c r="AB120" s="1058"/>
      <c r="AC120" s="1058"/>
      <c r="AD120" s="1058"/>
      <c r="AE120" s="1058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268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058" t="s">
        <v>373</v>
      </c>
      <c r="AC121" s="1058"/>
      <c r="AD121" s="1058"/>
      <c r="AE121" s="1058"/>
      <c r="AF121" s="1058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7:E117"/>
    <mergeCell ref="K119:M119"/>
    <mergeCell ref="AB13:AB14"/>
    <mergeCell ref="AC13:AC14"/>
  </mergeCells>
  <pageMargins left="0.7" right="0.7" top="0.75" bottom="0.75" header="0.3" footer="0.3"/>
  <pageSetup paperSize="9" orientation="portrait" r:id="rId1"/>
  <ignoredErrors>
    <ignoredError sqref="J15:J24 J25 J31 J27:J30 J33:J40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F130"/>
  <sheetViews>
    <sheetView zoomScale="80" zoomScaleNormal="80" workbookViewId="0">
      <pane xSplit="2" topLeftCell="C1" activePane="topRight" state="frozen"/>
      <selection pane="topRight" activeCell="Y128" sqref="Y128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10.85546875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071"/>
      <c r="G2" s="1065"/>
      <c r="H2" s="1065"/>
      <c r="I2" s="1071"/>
      <c r="J2" s="1909" t="s">
        <v>534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071"/>
      <c r="Y2" s="1071"/>
      <c r="Z2" s="1071"/>
      <c r="AA2" s="1071"/>
      <c r="AB2" s="1071"/>
      <c r="AC2" s="1071"/>
      <c r="AD2" s="1071"/>
      <c r="AE2" s="1071"/>
      <c r="AF2" s="405"/>
    </row>
    <row r="3" spans="1:32" ht="18.75" x14ac:dyDescent="0.2">
      <c r="A3" s="1910" t="s">
        <v>54</v>
      </c>
      <c r="B3" s="1910"/>
      <c r="C3" s="1910"/>
      <c r="D3" s="1910"/>
      <c r="E3" s="1071"/>
      <c r="F3" s="1071"/>
      <c r="G3" s="1065"/>
      <c r="H3" s="1072"/>
      <c r="I3" s="1072"/>
      <c r="J3" s="1072"/>
      <c r="K3" s="1072"/>
      <c r="L3" s="1072"/>
      <c r="M3" s="1072"/>
      <c r="N3" s="1085"/>
      <c r="O3" s="1072"/>
      <c r="P3" s="1072"/>
      <c r="Q3" s="767"/>
      <c r="R3" s="1071"/>
      <c r="S3" s="1071"/>
      <c r="T3" s="1071"/>
      <c r="U3" s="1071"/>
      <c r="V3" s="1084"/>
      <c r="W3" s="1078"/>
      <c r="X3" s="1071"/>
      <c r="Y3" s="1071"/>
      <c r="Z3" s="1071"/>
      <c r="AA3" s="1071"/>
      <c r="AB3" s="1071"/>
      <c r="AC3" s="1071"/>
      <c r="AD3" s="1071"/>
      <c r="AE3" s="1071"/>
      <c r="AF3" s="408" t="s">
        <v>55</v>
      </c>
    </row>
    <row r="4" spans="1:32" ht="18.75" x14ac:dyDescent="0.2">
      <c r="A4" s="1066"/>
      <c r="B4" s="1066"/>
      <c r="C4" s="1066"/>
      <c r="D4" s="1066"/>
      <c r="E4" s="1071"/>
      <c r="F4" s="1071"/>
      <c r="G4" s="1065"/>
      <c r="H4" s="1072"/>
      <c r="I4" s="1072"/>
      <c r="J4" s="1072"/>
      <c r="K4" s="1072"/>
      <c r="L4" s="1072"/>
      <c r="M4" s="1072"/>
      <c r="N4" s="1085"/>
      <c r="O4" s="1072"/>
      <c r="P4" s="1072"/>
      <c r="Q4" s="767"/>
      <c r="R4" s="1071"/>
      <c r="S4" s="1071"/>
      <c r="T4" s="1071"/>
      <c r="U4" s="1071"/>
      <c r="V4" s="1084"/>
      <c r="W4" s="1078"/>
      <c r="X4" s="1071"/>
      <c r="Y4" s="1071"/>
      <c r="Z4" s="1071"/>
      <c r="AA4" s="1071"/>
      <c r="AB4" s="1071"/>
      <c r="AC4" s="1071"/>
      <c r="AD4" s="1071"/>
      <c r="AE4" s="1071"/>
      <c r="AF4" s="408"/>
    </row>
    <row r="5" spans="1:32" ht="18.75" x14ac:dyDescent="0.2">
      <c r="A5" s="1067" t="s">
        <v>494</v>
      </c>
      <c r="B5" s="1067"/>
      <c r="C5" s="1067"/>
      <c r="D5" s="1067"/>
      <c r="E5" s="1067"/>
      <c r="F5" s="1071"/>
      <c r="G5" s="1065"/>
      <c r="H5" s="1065"/>
      <c r="I5" s="1072"/>
      <c r="J5" s="1072"/>
      <c r="K5" s="1072"/>
      <c r="L5" s="1072"/>
      <c r="M5" s="1072"/>
      <c r="N5" s="1085"/>
      <c r="O5" s="1072"/>
      <c r="P5" s="1072"/>
      <c r="Q5" s="767"/>
      <c r="R5" s="1073"/>
      <c r="S5" s="1073"/>
      <c r="T5" s="1073"/>
      <c r="U5" s="1073"/>
      <c r="V5" s="1086"/>
      <c r="W5" s="1079"/>
      <c r="X5" s="1071"/>
      <c r="Y5" s="1071"/>
      <c r="Z5" s="1071"/>
      <c r="AA5" s="1071"/>
      <c r="AB5" s="1071"/>
      <c r="AC5" s="1071"/>
      <c r="AD5" s="1071"/>
      <c r="AE5" s="1071"/>
      <c r="AF5" s="411" t="s">
        <v>468</v>
      </c>
    </row>
    <row r="6" spans="1:32" ht="18.75" x14ac:dyDescent="0.2">
      <c r="A6" s="1067" t="s">
        <v>499</v>
      </c>
      <c r="B6" s="412"/>
      <c r="C6" s="412"/>
      <c r="D6" s="412"/>
      <c r="E6" s="1071"/>
      <c r="F6" s="1071"/>
      <c r="G6" s="1065"/>
      <c r="H6" s="1065"/>
      <c r="I6" s="1071"/>
      <c r="J6" s="1071"/>
      <c r="K6" s="1065"/>
      <c r="L6" s="1065"/>
      <c r="M6" s="1071"/>
      <c r="N6" s="1084"/>
      <c r="O6" s="1071"/>
      <c r="P6" s="413"/>
      <c r="Q6" s="768"/>
      <c r="R6" s="1071"/>
      <c r="S6" s="1071"/>
      <c r="T6" s="1071"/>
      <c r="U6" s="1071"/>
      <c r="V6" s="1084"/>
      <c r="W6" s="1078"/>
      <c r="X6" s="1071"/>
      <c r="Y6" s="1071"/>
      <c r="Z6" s="1071"/>
      <c r="AA6" s="1071"/>
      <c r="AB6" s="1071"/>
      <c r="AC6" s="1071"/>
      <c r="AD6" s="1071"/>
      <c r="AE6" s="1071"/>
      <c r="AF6" s="415" t="s">
        <v>511</v>
      </c>
    </row>
    <row r="7" spans="1:32" ht="18.75" x14ac:dyDescent="0.2">
      <c r="A7" s="1071"/>
      <c r="B7" s="1067"/>
      <c r="C7" s="1067"/>
      <c r="D7" s="1067"/>
      <c r="E7" s="1071"/>
      <c r="F7" s="1071"/>
      <c r="G7" s="1065"/>
      <c r="H7" s="1065"/>
      <c r="I7" s="405"/>
      <c r="J7" s="1071"/>
      <c r="K7" s="1065"/>
      <c r="L7" s="1065"/>
      <c r="M7" s="1071"/>
      <c r="N7" s="1084"/>
      <c r="O7" s="1071"/>
      <c r="P7" s="413"/>
      <c r="Q7" s="768"/>
      <c r="R7" s="1071"/>
      <c r="S7" s="1071"/>
      <c r="T7" s="1071"/>
      <c r="U7" s="1071"/>
      <c r="V7" s="1084"/>
      <c r="W7" s="411"/>
      <c r="X7" s="1071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071"/>
      <c r="G8" s="1065"/>
      <c r="H8" s="1065"/>
      <c r="I8" s="405"/>
      <c r="J8" s="1071"/>
      <c r="K8" s="1065"/>
      <c r="L8" s="1065"/>
      <c r="M8" s="1071"/>
      <c r="N8" s="1084"/>
      <c r="O8" s="1071"/>
      <c r="P8" s="413"/>
      <c r="Q8" s="768"/>
      <c r="R8" s="1071"/>
      <c r="S8" s="1071"/>
      <c r="T8" s="1071"/>
      <c r="U8" s="1071"/>
      <c r="V8" s="1084"/>
      <c r="W8" s="411"/>
      <c r="X8" s="1071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071"/>
      <c r="G9" s="1065"/>
      <c r="H9" s="1065"/>
      <c r="I9" s="405"/>
      <c r="J9" s="1071"/>
      <c r="K9" s="1065"/>
      <c r="L9" s="1065"/>
      <c r="M9" s="1071"/>
      <c r="N9" s="1084"/>
      <c r="O9" s="1071"/>
      <c r="P9" s="413"/>
      <c r="Q9" s="768"/>
      <c r="R9" s="1071"/>
      <c r="S9" s="1071"/>
      <c r="T9" s="1071"/>
      <c r="U9" s="1071"/>
      <c r="V9" s="1084"/>
      <c r="W9" s="411"/>
      <c r="X9" s="1071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071"/>
      <c r="G10" s="1065"/>
      <c r="H10" s="1065"/>
      <c r="I10" s="1071"/>
      <c r="J10" s="1071"/>
      <c r="K10" s="1065"/>
      <c r="L10" s="1065"/>
      <c r="M10" s="1065"/>
      <c r="N10" s="1081"/>
      <c r="O10" s="1065"/>
      <c r="P10" s="1065"/>
      <c r="Q10" s="769"/>
      <c r="R10" s="1065"/>
      <c r="S10" s="1065"/>
      <c r="T10" s="1065"/>
      <c r="U10" s="1065"/>
      <c r="V10" s="1081"/>
      <c r="W10" s="1078"/>
      <c r="X10" s="1071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65"/>
      <c r="C11" s="1065"/>
      <c r="D11" s="1065"/>
      <c r="E11" s="1071"/>
      <c r="F11" s="1071"/>
      <c r="G11" s="1065"/>
      <c r="H11" s="1065"/>
      <c r="I11" s="405"/>
      <c r="J11" s="1071"/>
      <c r="K11" s="1065"/>
      <c r="L11" s="1065"/>
      <c r="M11" s="1071"/>
      <c r="N11" s="1084"/>
      <c r="O11" s="1071"/>
      <c r="P11" s="413"/>
      <c r="Q11" s="768"/>
      <c r="R11" s="1071"/>
      <c r="S11" s="1071"/>
      <c r="T11" s="1071"/>
      <c r="U11" s="1071"/>
      <c r="V11" s="1084"/>
      <c r="W11" s="411"/>
      <c r="X11" s="1071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062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062" t="s">
        <v>18</v>
      </c>
      <c r="AE13" s="1062" t="s">
        <v>20</v>
      </c>
      <c r="AF13" s="1891" t="s">
        <v>21</v>
      </c>
    </row>
    <row r="14" spans="1:32" ht="37.5" x14ac:dyDescent="0.2">
      <c r="A14" s="1891"/>
      <c r="B14" s="1891"/>
      <c r="C14" s="1903"/>
      <c r="D14" s="1068" t="s">
        <v>3</v>
      </c>
      <c r="E14" s="1068" t="s">
        <v>3</v>
      </c>
      <c r="F14" s="1068" t="s">
        <v>4</v>
      </c>
      <c r="G14" s="1903"/>
      <c r="H14" s="1903"/>
      <c r="I14" s="1891"/>
      <c r="J14" s="1068" t="s">
        <v>7</v>
      </c>
      <c r="K14" s="1068" t="s">
        <v>30</v>
      </c>
      <c r="L14" s="1068" t="s">
        <v>29</v>
      </c>
      <c r="M14" s="1068" t="s">
        <v>31</v>
      </c>
      <c r="N14" s="1082" t="s">
        <v>32</v>
      </c>
      <c r="O14" s="1068" t="s">
        <v>12</v>
      </c>
      <c r="P14" s="448" t="s">
        <v>13</v>
      </c>
      <c r="Q14" s="771" t="s">
        <v>26</v>
      </c>
      <c r="R14" s="1068" t="s">
        <v>14</v>
      </c>
      <c r="S14" s="1068" t="s">
        <v>25</v>
      </c>
      <c r="T14" s="1068" t="s">
        <v>113</v>
      </c>
      <c r="U14" s="1903"/>
      <c r="V14" s="1903"/>
      <c r="W14" s="1903"/>
      <c r="X14" s="1903"/>
      <c r="Y14" s="1068" t="s">
        <v>14</v>
      </c>
      <c r="Z14" s="1068" t="s">
        <v>25</v>
      </c>
      <c r="AA14" s="1068" t="s">
        <v>113</v>
      </c>
      <c r="AB14" s="1903"/>
      <c r="AC14" s="1903"/>
      <c r="AD14" s="1068" t="s">
        <v>19</v>
      </c>
      <c r="AE14" s="1068" t="s">
        <v>27</v>
      </c>
      <c r="AF14" s="1891"/>
    </row>
    <row r="15" spans="1:32" ht="18.75" customHeight="1" x14ac:dyDescent="0.2">
      <c r="A15" s="1069">
        <v>1</v>
      </c>
      <c r="B15" s="461" t="s">
        <v>139</v>
      </c>
      <c r="C15" s="1069" t="s">
        <v>46</v>
      </c>
      <c r="D15" s="1069">
        <v>610.5</v>
      </c>
      <c r="E15" s="1069" t="s">
        <v>203</v>
      </c>
      <c r="F15" s="1069">
        <v>177.8</v>
      </c>
      <c r="G15" s="1069" t="s">
        <v>28</v>
      </c>
      <c r="H15" s="452" t="s">
        <v>363</v>
      </c>
      <c r="I15" s="1068">
        <v>558.54</v>
      </c>
      <c r="J15" s="1074">
        <v>218</v>
      </c>
      <c r="K15" s="1069"/>
      <c r="L15" s="1069">
        <v>409</v>
      </c>
      <c r="M15" s="1069"/>
      <c r="N15" s="1083">
        <v>0.2</v>
      </c>
      <c r="O15" s="1069"/>
      <c r="P15" s="668">
        <v>14.566664454260767</v>
      </c>
      <c r="Q15" s="668">
        <f>J15*7/100</f>
        <v>15.26</v>
      </c>
      <c r="R15" s="432">
        <v>2.5840000000000001</v>
      </c>
      <c r="S15" s="432">
        <v>7.8860000000000001</v>
      </c>
      <c r="T15" s="670">
        <v>26.5</v>
      </c>
      <c r="U15" s="668">
        <f t="shared" ref="U15:U34" si="0">IF(R15=0,0,T15/R15)</f>
        <v>10.255417956656347</v>
      </c>
      <c r="V15" s="668">
        <f>IF(S15=0,0,(S15-R15)/S15*100)</f>
        <v>67.233071265533852</v>
      </c>
      <c r="W15" s="668">
        <v>0.2</v>
      </c>
      <c r="X15" s="432">
        <f>IF(S15=0,0,S15/Q15)</f>
        <v>0.51677588466579294</v>
      </c>
      <c r="Y15" s="432">
        <f t="shared" ref="Y15:AA78" si="1">R15*0.985</f>
        <v>2.5452400000000002</v>
      </c>
      <c r="Z15" s="432">
        <f t="shared" si="1"/>
        <v>7.7677100000000001</v>
      </c>
      <c r="AA15" s="670">
        <f t="shared" si="1"/>
        <v>26.102499999999999</v>
      </c>
      <c r="AB15" s="432">
        <f>U15</f>
        <v>10.255417956656347</v>
      </c>
      <c r="AC15" s="670">
        <f t="shared" ref="AC15:AC78" si="2">V15</f>
        <v>67.233071265533852</v>
      </c>
      <c r="AD15" s="1069">
        <v>30</v>
      </c>
      <c r="AE15" s="432">
        <f>Y15*AD15</f>
        <v>76.357200000000006</v>
      </c>
      <c r="AF15" s="669"/>
    </row>
    <row r="16" spans="1:32" ht="18.75" customHeight="1" x14ac:dyDescent="0.2">
      <c r="A16" s="1069">
        <v>2</v>
      </c>
      <c r="B16" s="461" t="s">
        <v>140</v>
      </c>
      <c r="C16" s="1069" t="s">
        <v>46</v>
      </c>
      <c r="D16" s="1069">
        <v>623.5</v>
      </c>
      <c r="E16" s="1069" t="s">
        <v>480</v>
      </c>
      <c r="F16" s="1069">
        <v>177.8</v>
      </c>
      <c r="G16" s="1069" t="s">
        <v>28</v>
      </c>
      <c r="H16" s="1069" t="s">
        <v>50</v>
      </c>
      <c r="I16" s="1068">
        <v>586.46999999999991</v>
      </c>
      <c r="J16" s="1069">
        <v>250</v>
      </c>
      <c r="K16" s="1069"/>
      <c r="L16" s="1069">
        <v>322</v>
      </c>
      <c r="M16" s="1069"/>
      <c r="N16" s="1083">
        <v>6.8</v>
      </c>
      <c r="O16" s="1069"/>
      <c r="P16" s="668">
        <v>31.15199679138869</v>
      </c>
      <c r="Q16" s="668">
        <f t="shared" ref="Q16:Q39" si="3">LEFT(H16,(FIND("K",H16,1)-1))*J16/100</f>
        <v>15</v>
      </c>
      <c r="R16" s="432">
        <v>1.3839999999999999</v>
      </c>
      <c r="S16" s="432">
        <v>4.4930000000000003</v>
      </c>
      <c r="T16" s="670">
        <v>9</v>
      </c>
      <c r="U16" s="668">
        <f t="shared" si="0"/>
        <v>6.502890173410405</v>
      </c>
      <c r="V16" s="668">
        <f t="shared" ref="V16:V78" si="4">IF(S16=0,0,(S16-R16)/S16*100)</f>
        <v>69.196527932339208</v>
      </c>
      <c r="W16" s="668">
        <v>0.3</v>
      </c>
      <c r="X16" s="432">
        <f>IF(S16=0,0,S16/Q16)</f>
        <v>0.29953333333333337</v>
      </c>
      <c r="Y16" s="432">
        <f t="shared" si="1"/>
        <v>1.3632399999999998</v>
      </c>
      <c r="Z16" s="432">
        <f t="shared" si="1"/>
        <v>4.425605</v>
      </c>
      <c r="AA16" s="670">
        <f t="shared" si="1"/>
        <v>8.8650000000000002</v>
      </c>
      <c r="AB16" s="432">
        <f t="shared" ref="AB16:AB78" si="5">U16</f>
        <v>6.502890173410405</v>
      </c>
      <c r="AC16" s="670">
        <f t="shared" si="2"/>
        <v>69.196527932339208</v>
      </c>
      <c r="AD16" s="1069">
        <v>30</v>
      </c>
      <c r="AE16" s="432">
        <f t="shared" ref="AE16:AE59" si="6">Y16*AD16</f>
        <v>40.897199999999991</v>
      </c>
      <c r="AF16" s="669"/>
    </row>
    <row r="17" spans="1:32" ht="18.75" customHeight="1" x14ac:dyDescent="0.2">
      <c r="A17" s="1069">
        <v>3</v>
      </c>
      <c r="B17" s="461" t="s">
        <v>141</v>
      </c>
      <c r="C17" s="1069" t="s">
        <v>46</v>
      </c>
      <c r="D17" s="1069">
        <v>670</v>
      </c>
      <c r="E17" s="1069" t="s">
        <v>68</v>
      </c>
      <c r="F17" s="1069">
        <v>177.8</v>
      </c>
      <c r="G17" s="1069" t="s">
        <v>28</v>
      </c>
      <c r="H17" s="1069" t="s">
        <v>218</v>
      </c>
      <c r="I17" s="1068">
        <v>566.07000000000005</v>
      </c>
      <c r="J17" s="1069">
        <v>330</v>
      </c>
      <c r="K17" s="1069"/>
      <c r="L17" s="1069">
        <v>493</v>
      </c>
      <c r="M17" s="1069"/>
      <c r="N17" s="668">
        <v>10.1</v>
      </c>
      <c r="O17" s="1069"/>
      <c r="P17" s="668">
        <v>14.232444177047096</v>
      </c>
      <c r="Q17" s="668">
        <f>LEFT(H17,(FIND("K",H17,1)-1))*J17/100</f>
        <v>105.6</v>
      </c>
      <c r="R17" s="432">
        <v>11.112</v>
      </c>
      <c r="S17" s="432">
        <v>17.388999999999999</v>
      </c>
      <c r="T17" s="670">
        <v>1248</v>
      </c>
      <c r="U17" s="668">
        <f t="shared" si="0"/>
        <v>112.31101511879049</v>
      </c>
      <c r="V17" s="668">
        <f t="shared" si="4"/>
        <v>36.097532923112311</v>
      </c>
      <c r="W17" s="668">
        <v>0.2</v>
      </c>
      <c r="X17" s="432">
        <f t="shared" ref="X17:X78" si="7">IF(S17=0,0,S17/Q17)</f>
        <v>0.16466856060606061</v>
      </c>
      <c r="Y17" s="432">
        <f t="shared" si="1"/>
        <v>10.945320000000001</v>
      </c>
      <c r="Z17" s="432">
        <f t="shared" si="1"/>
        <v>17.128164999999999</v>
      </c>
      <c r="AA17" s="670">
        <f t="shared" si="1"/>
        <v>1229.28</v>
      </c>
      <c r="AB17" s="432">
        <f t="shared" si="5"/>
        <v>112.31101511879049</v>
      </c>
      <c r="AC17" s="670">
        <f t="shared" si="2"/>
        <v>36.097532923112311</v>
      </c>
      <c r="AD17" s="1069">
        <v>30</v>
      </c>
      <c r="AE17" s="432">
        <f>Y17*AD17</f>
        <v>328.3596</v>
      </c>
      <c r="AF17" s="669"/>
    </row>
    <row r="18" spans="1:32" ht="18.75" customHeight="1" x14ac:dyDescent="0.2">
      <c r="A18" s="1069">
        <v>4</v>
      </c>
      <c r="B18" s="461" t="s">
        <v>142</v>
      </c>
      <c r="C18" s="1069" t="s">
        <v>46</v>
      </c>
      <c r="D18" s="1069">
        <v>628</v>
      </c>
      <c r="E18" s="1069" t="s">
        <v>481</v>
      </c>
      <c r="F18" s="1069">
        <v>177.8</v>
      </c>
      <c r="G18" s="1069" t="s">
        <v>28</v>
      </c>
      <c r="H18" s="831" t="s">
        <v>466</v>
      </c>
      <c r="I18" s="1068">
        <v>541.28</v>
      </c>
      <c r="J18" s="1069">
        <v>250</v>
      </c>
      <c r="K18" s="1069"/>
      <c r="L18" s="1069">
        <v>444</v>
      </c>
      <c r="M18" s="1069"/>
      <c r="N18" s="668">
        <v>3.05</v>
      </c>
      <c r="O18" s="1069"/>
      <c r="P18" s="668">
        <v>14.350509724787846</v>
      </c>
      <c r="Q18" s="668">
        <f>13*J18/100</f>
        <v>32.5</v>
      </c>
      <c r="R18" s="432">
        <v>4.5549999999999997</v>
      </c>
      <c r="S18" s="432">
        <v>6.72</v>
      </c>
      <c r="T18" s="670">
        <v>47.832999999999998</v>
      </c>
      <c r="U18" s="668">
        <f t="shared" si="0"/>
        <v>10.501207464324917</v>
      </c>
      <c r="V18" s="668">
        <f t="shared" si="4"/>
        <v>32.217261904761905</v>
      </c>
      <c r="W18" s="668">
        <v>0.2</v>
      </c>
      <c r="X18" s="432">
        <f t="shared" si="7"/>
        <v>0.20676923076923076</v>
      </c>
      <c r="Y18" s="432">
        <f t="shared" si="1"/>
        <v>4.486675</v>
      </c>
      <c r="Z18" s="432">
        <f t="shared" si="1"/>
        <v>6.6191999999999993</v>
      </c>
      <c r="AA18" s="670">
        <f t="shared" si="1"/>
        <v>47.115504999999999</v>
      </c>
      <c r="AB18" s="432">
        <f t="shared" si="5"/>
        <v>10.501207464324917</v>
      </c>
      <c r="AC18" s="670">
        <f t="shared" si="2"/>
        <v>32.217261904761905</v>
      </c>
      <c r="AD18" s="1069">
        <v>30</v>
      </c>
      <c r="AE18" s="432">
        <f t="shared" si="6"/>
        <v>134.60024999999999</v>
      </c>
      <c r="AF18" s="669"/>
    </row>
    <row r="19" spans="1:32" ht="18.75" customHeight="1" x14ac:dyDescent="0.2">
      <c r="A19" s="1069">
        <v>5</v>
      </c>
      <c r="B19" s="461" t="s">
        <v>143</v>
      </c>
      <c r="C19" s="1069" t="s">
        <v>46</v>
      </c>
      <c r="D19" s="1069">
        <v>576.6</v>
      </c>
      <c r="E19" s="1069" t="s">
        <v>70</v>
      </c>
      <c r="F19" s="1069">
        <v>177.8</v>
      </c>
      <c r="G19" s="1069" t="s">
        <v>28</v>
      </c>
      <c r="H19" s="550" t="s">
        <v>53</v>
      </c>
      <c r="I19" s="1068">
        <v>546.04999999999995</v>
      </c>
      <c r="J19" s="1069">
        <v>215</v>
      </c>
      <c r="K19" s="1069"/>
      <c r="L19" s="1069">
        <v>420</v>
      </c>
      <c r="M19" s="1069"/>
      <c r="N19" s="668">
        <v>2.8</v>
      </c>
      <c r="O19" s="1069"/>
      <c r="P19" s="668">
        <v>15.925007703311813</v>
      </c>
      <c r="Q19" s="668">
        <f t="shared" si="3"/>
        <v>27.95</v>
      </c>
      <c r="R19" s="432">
        <v>5.8159999999999998</v>
      </c>
      <c r="S19" s="432">
        <v>6.58</v>
      </c>
      <c r="T19" s="670">
        <v>48.625</v>
      </c>
      <c r="U19" s="668">
        <f t="shared" si="0"/>
        <v>8.3605570839064658</v>
      </c>
      <c r="V19" s="668">
        <f t="shared" si="4"/>
        <v>11.610942249240125</v>
      </c>
      <c r="W19" s="668">
        <v>0.2</v>
      </c>
      <c r="X19" s="432">
        <f t="shared" si="7"/>
        <v>0.23542039355992844</v>
      </c>
      <c r="Y19" s="432">
        <f t="shared" si="1"/>
        <v>5.7287599999999994</v>
      </c>
      <c r="Z19" s="432">
        <f t="shared" si="1"/>
        <v>6.4813000000000001</v>
      </c>
      <c r="AA19" s="670">
        <f t="shared" si="1"/>
        <v>47.895625000000003</v>
      </c>
      <c r="AB19" s="432">
        <f t="shared" si="5"/>
        <v>8.3605570839064658</v>
      </c>
      <c r="AC19" s="670">
        <f t="shared" si="2"/>
        <v>11.610942249240125</v>
      </c>
      <c r="AD19" s="1069">
        <v>30</v>
      </c>
      <c r="AE19" s="432">
        <f t="shared" si="6"/>
        <v>171.86279999999999</v>
      </c>
      <c r="AF19" s="669"/>
    </row>
    <row r="20" spans="1:32" ht="18.75" customHeight="1" x14ac:dyDescent="0.2">
      <c r="A20" s="1069">
        <v>6</v>
      </c>
      <c r="B20" s="461" t="s">
        <v>144</v>
      </c>
      <c r="C20" s="1069" t="s">
        <v>46</v>
      </c>
      <c r="D20" s="1069">
        <v>676.6</v>
      </c>
      <c r="E20" s="1069" t="s">
        <v>460</v>
      </c>
      <c r="F20" s="1069">
        <v>177.8</v>
      </c>
      <c r="G20" s="1069" t="s">
        <v>28</v>
      </c>
      <c r="H20" s="1069" t="s">
        <v>461</v>
      </c>
      <c r="I20" s="1068">
        <v>567.16</v>
      </c>
      <c r="J20" s="1069">
        <v>135</v>
      </c>
      <c r="K20" s="1069"/>
      <c r="L20" s="1069">
        <v>400</v>
      </c>
      <c r="M20" s="1069"/>
      <c r="N20" s="668">
        <v>0.2</v>
      </c>
      <c r="O20" s="1069"/>
      <c r="P20" s="668">
        <v>16.481527768443414</v>
      </c>
      <c r="Q20" s="668">
        <f>J20*22/100</f>
        <v>29.7</v>
      </c>
      <c r="R20" s="432">
        <v>2.3679999999999999</v>
      </c>
      <c r="S20" s="432">
        <v>3.1469999999999998</v>
      </c>
      <c r="T20" s="670">
        <v>4</v>
      </c>
      <c r="U20" s="668">
        <f t="shared" si="0"/>
        <v>1.6891891891891893</v>
      </c>
      <c r="V20" s="668">
        <f t="shared" si="4"/>
        <v>24.75373371464887</v>
      </c>
      <c r="W20" s="668">
        <v>0.2</v>
      </c>
      <c r="X20" s="432">
        <f t="shared" si="7"/>
        <v>0.10595959595959596</v>
      </c>
      <c r="Y20" s="432">
        <f t="shared" si="1"/>
        <v>2.3324799999999999</v>
      </c>
      <c r="Z20" s="432">
        <f t="shared" si="1"/>
        <v>3.0997949999999999</v>
      </c>
      <c r="AA20" s="670">
        <f t="shared" si="1"/>
        <v>3.94</v>
      </c>
      <c r="AB20" s="432">
        <v>14.613</v>
      </c>
      <c r="AC20" s="670">
        <f t="shared" si="2"/>
        <v>24.75373371464887</v>
      </c>
      <c r="AD20" s="1069">
        <v>30</v>
      </c>
      <c r="AE20" s="432">
        <f t="shared" si="6"/>
        <v>69.974400000000003</v>
      </c>
      <c r="AF20" s="669"/>
    </row>
    <row r="21" spans="1:32" ht="18.75" customHeight="1" x14ac:dyDescent="0.2">
      <c r="A21" s="1069">
        <v>7</v>
      </c>
      <c r="B21" s="461" t="s">
        <v>145</v>
      </c>
      <c r="C21" s="1069" t="s">
        <v>46</v>
      </c>
      <c r="D21" s="1069" t="s">
        <v>47</v>
      </c>
      <c r="E21" s="1069" t="s">
        <v>72</v>
      </c>
      <c r="F21" s="1069">
        <v>177.8</v>
      </c>
      <c r="G21" s="1069" t="s">
        <v>28</v>
      </c>
      <c r="H21" s="1069" t="s">
        <v>487</v>
      </c>
      <c r="I21" s="1068">
        <v>557.61</v>
      </c>
      <c r="J21" s="1069">
        <v>100</v>
      </c>
      <c r="K21" s="1069"/>
      <c r="L21" s="1069">
        <v>423</v>
      </c>
      <c r="M21" s="1069"/>
      <c r="N21" s="668">
        <v>5.2</v>
      </c>
      <c r="O21" s="1069"/>
      <c r="P21" s="668">
        <v>18.669403963801376</v>
      </c>
      <c r="Q21" s="668">
        <f t="shared" si="3"/>
        <v>15</v>
      </c>
      <c r="R21" s="432">
        <v>9.5289999999999999</v>
      </c>
      <c r="S21" s="432">
        <v>12.105</v>
      </c>
      <c r="T21" s="670">
        <v>30.582999999999998</v>
      </c>
      <c r="U21" s="668">
        <f t="shared" si="0"/>
        <v>3.2094658411165913</v>
      </c>
      <c r="V21" s="668">
        <f t="shared" si="4"/>
        <v>21.280462618752587</v>
      </c>
      <c r="W21" s="668">
        <v>0.2</v>
      </c>
      <c r="X21" s="432">
        <f t="shared" si="7"/>
        <v>0.80700000000000005</v>
      </c>
      <c r="Y21" s="432">
        <f t="shared" si="1"/>
        <v>9.3860650000000003</v>
      </c>
      <c r="Z21" s="432">
        <f t="shared" si="1"/>
        <v>11.923425</v>
      </c>
      <c r="AA21" s="670">
        <f t="shared" si="1"/>
        <v>30.124254999999998</v>
      </c>
      <c r="AB21" s="432">
        <f t="shared" si="5"/>
        <v>3.2094658411165913</v>
      </c>
      <c r="AC21" s="670">
        <f t="shared" si="2"/>
        <v>21.280462618752587</v>
      </c>
      <c r="AD21" s="1069">
        <v>30</v>
      </c>
      <c r="AE21" s="432">
        <f t="shared" si="6"/>
        <v>281.58195000000001</v>
      </c>
      <c r="AF21" s="669"/>
    </row>
    <row r="22" spans="1:32" ht="18.75" customHeight="1" x14ac:dyDescent="0.2">
      <c r="A22" s="1069">
        <v>8</v>
      </c>
      <c r="B22" s="461" t="s">
        <v>146</v>
      </c>
      <c r="C22" s="1069" t="s">
        <v>46</v>
      </c>
      <c r="D22" s="1069">
        <v>764</v>
      </c>
      <c r="E22" s="436" t="s">
        <v>73</v>
      </c>
      <c r="F22" s="1069">
        <v>177.8</v>
      </c>
      <c r="G22" s="1069" t="s">
        <v>28</v>
      </c>
      <c r="H22" s="1069" t="s">
        <v>52</v>
      </c>
      <c r="I22" s="437">
        <v>550</v>
      </c>
      <c r="J22" s="1069">
        <v>355</v>
      </c>
      <c r="K22" s="1064"/>
      <c r="L22" s="1069">
        <v>422</v>
      </c>
      <c r="M22" s="1064"/>
      <c r="N22" s="668">
        <v>5</v>
      </c>
      <c r="O22" s="1064"/>
      <c r="P22" s="668">
        <v>19.259881327135318</v>
      </c>
      <c r="Q22" s="668">
        <f t="shared" si="3"/>
        <v>78.099999999999994</v>
      </c>
      <c r="R22" s="432">
        <v>3.52</v>
      </c>
      <c r="S22" s="432">
        <v>10.382999999999999</v>
      </c>
      <c r="T22" s="670">
        <v>20.875</v>
      </c>
      <c r="U22" s="668">
        <f t="shared" si="0"/>
        <v>5.9303977272727275</v>
      </c>
      <c r="V22" s="668">
        <f t="shared" si="4"/>
        <v>66.09843012616777</v>
      </c>
      <c r="W22" s="668">
        <v>0.3</v>
      </c>
      <c r="X22" s="432">
        <f t="shared" si="7"/>
        <v>0.1329449423815621</v>
      </c>
      <c r="Y22" s="432">
        <f t="shared" si="1"/>
        <v>3.4672000000000001</v>
      </c>
      <c r="Z22" s="432">
        <f t="shared" si="1"/>
        <v>10.227255</v>
      </c>
      <c r="AA22" s="670">
        <f t="shared" si="1"/>
        <v>20.561875000000001</v>
      </c>
      <c r="AB22" s="432">
        <f t="shared" si="5"/>
        <v>5.9303977272727275</v>
      </c>
      <c r="AC22" s="670">
        <f t="shared" si="2"/>
        <v>66.09843012616777</v>
      </c>
      <c r="AD22" s="1069">
        <v>30</v>
      </c>
      <c r="AE22" s="432">
        <f t="shared" si="6"/>
        <v>104.01600000000001</v>
      </c>
      <c r="AF22" s="669"/>
    </row>
    <row r="23" spans="1:32" ht="18.75" customHeight="1" x14ac:dyDescent="0.2">
      <c r="A23" s="1069">
        <v>9</v>
      </c>
      <c r="B23" s="461" t="s">
        <v>147</v>
      </c>
      <c r="C23" s="1069" t="s">
        <v>46</v>
      </c>
      <c r="D23" s="1069">
        <v>650.1</v>
      </c>
      <c r="E23" s="1069" t="s">
        <v>74</v>
      </c>
      <c r="F23" s="1069">
        <v>177.8</v>
      </c>
      <c r="G23" s="1069" t="s">
        <v>28</v>
      </c>
      <c r="H23" s="1069" t="s">
        <v>52</v>
      </c>
      <c r="I23" s="1068">
        <v>591.98</v>
      </c>
      <c r="J23" s="1069">
        <v>240</v>
      </c>
      <c r="K23" s="1069"/>
      <c r="L23" s="1069">
        <v>458</v>
      </c>
      <c r="M23" s="1069"/>
      <c r="N23" s="668">
        <v>1.2</v>
      </c>
      <c r="O23" s="1069"/>
      <c r="P23" s="668">
        <v>11.90982303482096</v>
      </c>
      <c r="Q23" s="668">
        <f t="shared" si="3"/>
        <v>52.8</v>
      </c>
      <c r="R23" s="432">
        <v>4.7009999999999996</v>
      </c>
      <c r="S23" s="432">
        <v>12.798999999999999</v>
      </c>
      <c r="T23" s="670">
        <v>30.88</v>
      </c>
      <c r="U23" s="668">
        <f t="shared" si="0"/>
        <v>6.5688151457136783</v>
      </c>
      <c r="V23" s="668">
        <f t="shared" si="4"/>
        <v>63.270568013126017</v>
      </c>
      <c r="W23" s="668">
        <v>0.2</v>
      </c>
      <c r="X23" s="432">
        <f t="shared" si="7"/>
        <v>0.24240530303030303</v>
      </c>
      <c r="Y23" s="432">
        <f t="shared" si="1"/>
        <v>4.6304849999999993</v>
      </c>
      <c r="Z23" s="432">
        <f t="shared" si="1"/>
        <v>12.607014999999999</v>
      </c>
      <c r="AA23" s="670">
        <f t="shared" si="1"/>
        <v>30.416799999999999</v>
      </c>
      <c r="AB23" s="432">
        <f t="shared" si="5"/>
        <v>6.5688151457136783</v>
      </c>
      <c r="AC23" s="670">
        <f t="shared" si="2"/>
        <v>63.270568013126017</v>
      </c>
      <c r="AD23" s="1069">
        <v>30</v>
      </c>
      <c r="AE23" s="432">
        <f t="shared" si="6"/>
        <v>138.91454999999999</v>
      </c>
      <c r="AF23" s="669"/>
    </row>
    <row r="24" spans="1:32" ht="18.75" customHeight="1" x14ac:dyDescent="0.2">
      <c r="A24" s="1069">
        <v>10</v>
      </c>
      <c r="B24" s="461" t="s">
        <v>148</v>
      </c>
      <c r="C24" s="1069" t="s">
        <v>46</v>
      </c>
      <c r="D24" s="1069">
        <v>640.20000000000005</v>
      </c>
      <c r="E24" s="1069" t="s">
        <v>398</v>
      </c>
      <c r="F24" s="1069">
        <v>177.8</v>
      </c>
      <c r="G24" s="1069" t="s">
        <v>28</v>
      </c>
      <c r="H24" s="831" t="s">
        <v>466</v>
      </c>
      <c r="I24" s="1068">
        <v>565.38</v>
      </c>
      <c r="J24" s="1074">
        <v>145</v>
      </c>
      <c r="K24" s="1069"/>
      <c r="L24" s="1069">
        <v>468</v>
      </c>
      <c r="M24" s="1069"/>
      <c r="N24" s="1083">
        <v>0</v>
      </c>
      <c r="O24" s="1069"/>
      <c r="P24" s="668">
        <v>9.8843530738427265</v>
      </c>
      <c r="Q24" s="668">
        <f>J24*13/100</f>
        <v>18.850000000000001</v>
      </c>
      <c r="R24" s="432">
        <v>2.3199999999999998</v>
      </c>
      <c r="S24" s="432">
        <v>3.101</v>
      </c>
      <c r="T24" s="670">
        <v>0</v>
      </c>
      <c r="U24" s="668">
        <f t="shared" si="0"/>
        <v>0</v>
      </c>
      <c r="V24" s="668">
        <f t="shared" si="4"/>
        <v>25.185424056755888</v>
      </c>
      <c r="W24" s="668">
        <v>0.2</v>
      </c>
      <c r="X24" s="432">
        <f t="shared" si="7"/>
        <v>0.16450928381962862</v>
      </c>
      <c r="Y24" s="432">
        <f t="shared" si="1"/>
        <v>2.2851999999999997</v>
      </c>
      <c r="Z24" s="432">
        <f t="shared" si="1"/>
        <v>3.0544850000000001</v>
      </c>
      <c r="AA24" s="670">
        <f t="shared" si="1"/>
        <v>0</v>
      </c>
      <c r="AB24" s="432">
        <f t="shared" si="5"/>
        <v>0</v>
      </c>
      <c r="AC24" s="670">
        <f t="shared" si="2"/>
        <v>25.185424056755888</v>
      </c>
      <c r="AD24" s="1069">
        <v>30</v>
      </c>
      <c r="AE24" s="432">
        <f t="shared" si="6"/>
        <v>68.555999999999983</v>
      </c>
      <c r="AF24" s="669"/>
    </row>
    <row r="25" spans="1:32" ht="18.75" customHeight="1" x14ac:dyDescent="0.2">
      <c r="A25" s="1069">
        <v>11</v>
      </c>
      <c r="B25" s="461" t="s">
        <v>149</v>
      </c>
      <c r="C25" s="1069" t="s">
        <v>46</v>
      </c>
      <c r="D25" s="1069">
        <v>606.29999999999995</v>
      </c>
      <c r="E25" s="1069" t="s">
        <v>76</v>
      </c>
      <c r="F25" s="1069">
        <v>177.8</v>
      </c>
      <c r="G25" s="1069" t="s">
        <v>28</v>
      </c>
      <c r="H25" s="1069" t="s">
        <v>487</v>
      </c>
      <c r="I25" s="1068">
        <v>591.96</v>
      </c>
      <c r="J25" s="1069">
        <v>250</v>
      </c>
      <c r="K25" s="1069"/>
      <c r="L25" s="1069">
        <v>449</v>
      </c>
      <c r="M25" s="1069"/>
      <c r="N25" s="1083">
        <v>2.4</v>
      </c>
      <c r="O25" s="1069"/>
      <c r="P25" s="668">
        <v>12.838143123124361</v>
      </c>
      <c r="Q25" s="668">
        <f t="shared" si="3"/>
        <v>37.5</v>
      </c>
      <c r="R25" s="432">
        <v>1.31</v>
      </c>
      <c r="S25" s="432">
        <v>3.504</v>
      </c>
      <c r="T25" s="670">
        <v>11.833</v>
      </c>
      <c r="U25" s="668">
        <f t="shared" si="0"/>
        <v>9.0328244274809162</v>
      </c>
      <c r="V25" s="668">
        <f t="shared" si="4"/>
        <v>62.614155251141547</v>
      </c>
      <c r="W25" s="668">
        <v>0.3</v>
      </c>
      <c r="X25" s="432">
        <f t="shared" si="7"/>
        <v>9.3439999999999995E-2</v>
      </c>
      <c r="Y25" s="432">
        <f t="shared" si="1"/>
        <v>1.2903500000000001</v>
      </c>
      <c r="Z25" s="432">
        <f t="shared" si="1"/>
        <v>3.4514399999999998</v>
      </c>
      <c r="AA25" s="670">
        <f t="shared" si="1"/>
        <v>11.655505</v>
      </c>
      <c r="AB25" s="432">
        <f t="shared" si="5"/>
        <v>9.0328244274809162</v>
      </c>
      <c r="AC25" s="670">
        <f t="shared" si="2"/>
        <v>62.614155251141547</v>
      </c>
      <c r="AD25" s="1069">
        <v>30</v>
      </c>
      <c r="AE25" s="432">
        <f t="shared" si="6"/>
        <v>38.710500000000003</v>
      </c>
      <c r="AF25" s="449"/>
    </row>
    <row r="26" spans="1:32" ht="18.75" customHeight="1" x14ac:dyDescent="0.2">
      <c r="A26" s="1069">
        <v>12</v>
      </c>
      <c r="B26" s="461" t="s">
        <v>150</v>
      </c>
      <c r="C26" s="1069" t="s">
        <v>46</v>
      </c>
      <c r="D26" s="1069">
        <v>661</v>
      </c>
      <c r="E26" s="679" t="s">
        <v>433</v>
      </c>
      <c r="F26" s="1069">
        <v>177.8</v>
      </c>
      <c r="G26" s="1069" t="s">
        <v>28</v>
      </c>
      <c r="H26" s="1069" t="s">
        <v>53</v>
      </c>
      <c r="I26" s="1068">
        <v>555.72</v>
      </c>
      <c r="J26" s="1069"/>
      <c r="K26" s="1069"/>
      <c r="L26" s="1069"/>
      <c r="M26" s="1069"/>
      <c r="N26" s="1083"/>
      <c r="O26" s="1069"/>
      <c r="P26" s="668">
        <v>43.685850175429259</v>
      </c>
      <c r="Q26" s="668">
        <f t="shared" si="3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4"/>
        <v>0</v>
      </c>
      <c r="W26" s="668">
        <v>0.2</v>
      </c>
      <c r="X26" s="432">
        <f t="shared" si="7"/>
        <v>0</v>
      </c>
      <c r="Y26" s="432">
        <f t="shared" si="1"/>
        <v>0</v>
      </c>
      <c r="Z26" s="432">
        <f t="shared" si="1"/>
        <v>0</v>
      </c>
      <c r="AA26" s="670">
        <f t="shared" si="1"/>
        <v>0</v>
      </c>
      <c r="AB26" s="432">
        <f t="shared" si="5"/>
        <v>0</v>
      </c>
      <c r="AC26" s="670">
        <f t="shared" si="2"/>
        <v>0</v>
      </c>
      <c r="AD26" s="1069">
        <v>0</v>
      </c>
      <c r="AE26" s="432">
        <f t="shared" si="6"/>
        <v>0</v>
      </c>
      <c r="AF26" s="449" t="s">
        <v>335</v>
      </c>
    </row>
    <row r="27" spans="1:32" ht="18.75" customHeight="1" x14ac:dyDescent="0.2">
      <c r="A27" s="1069">
        <v>13</v>
      </c>
      <c r="B27" s="461" t="s">
        <v>151</v>
      </c>
      <c r="C27" s="1069" t="s">
        <v>46</v>
      </c>
      <c r="D27" s="1069">
        <v>658.32</v>
      </c>
      <c r="E27" s="1068" t="s">
        <v>298</v>
      </c>
      <c r="F27" s="1069">
        <v>177.8</v>
      </c>
      <c r="G27" s="1069" t="s">
        <v>28</v>
      </c>
      <c r="H27" s="1069" t="s">
        <v>52</v>
      </c>
      <c r="I27" s="1068">
        <v>552.47</v>
      </c>
      <c r="J27" s="1074">
        <v>180</v>
      </c>
      <c r="K27" s="1069"/>
      <c r="L27" s="1069">
        <v>322</v>
      </c>
      <c r="M27" s="1069"/>
      <c r="N27" s="1083">
        <v>4.2</v>
      </c>
      <c r="O27" s="1069"/>
      <c r="P27" s="668">
        <v>28.125381065550521</v>
      </c>
      <c r="Q27" s="668">
        <f t="shared" si="3"/>
        <v>39.6</v>
      </c>
      <c r="R27" s="432">
        <v>7.4240000000000004</v>
      </c>
      <c r="S27" s="432">
        <v>25.227</v>
      </c>
      <c r="T27" s="670">
        <v>16.292000000000002</v>
      </c>
      <c r="U27" s="668">
        <f t="shared" si="0"/>
        <v>2.1945043103448278</v>
      </c>
      <c r="V27" s="668">
        <f t="shared" si="4"/>
        <v>70.571213382487016</v>
      </c>
      <c r="W27" s="668">
        <v>0.3</v>
      </c>
      <c r="X27" s="432">
        <f t="shared" si="7"/>
        <v>0.63704545454545458</v>
      </c>
      <c r="Y27" s="432">
        <f t="shared" si="1"/>
        <v>7.31264</v>
      </c>
      <c r="Z27" s="432">
        <f t="shared" si="1"/>
        <v>24.848595</v>
      </c>
      <c r="AA27" s="670">
        <f t="shared" si="1"/>
        <v>16.047620000000002</v>
      </c>
      <c r="AB27" s="432">
        <f t="shared" si="5"/>
        <v>2.1945043103448278</v>
      </c>
      <c r="AC27" s="670">
        <f t="shared" si="2"/>
        <v>70.571213382487016</v>
      </c>
      <c r="AD27" s="1069">
        <v>30</v>
      </c>
      <c r="AE27" s="432">
        <f t="shared" si="6"/>
        <v>219.3792</v>
      </c>
      <c r="AF27" s="449"/>
    </row>
    <row r="28" spans="1:32" ht="18.75" customHeight="1" x14ac:dyDescent="0.2">
      <c r="A28" s="1069">
        <v>14</v>
      </c>
      <c r="B28" s="461" t="s">
        <v>36</v>
      </c>
      <c r="C28" s="1069" t="s">
        <v>46</v>
      </c>
      <c r="D28" s="1069">
        <v>584.5</v>
      </c>
      <c r="E28" s="1068" t="s">
        <v>79</v>
      </c>
      <c r="F28" s="1069">
        <v>177.8</v>
      </c>
      <c r="G28" s="1069" t="s">
        <v>28</v>
      </c>
      <c r="H28" s="1069" t="s">
        <v>49</v>
      </c>
      <c r="I28" s="1068">
        <v>525.03</v>
      </c>
      <c r="J28" s="1074">
        <v>250</v>
      </c>
      <c r="K28" s="1069"/>
      <c r="L28" s="1069">
        <v>398</v>
      </c>
      <c r="M28" s="1069"/>
      <c r="N28" s="1083">
        <v>6.9</v>
      </c>
      <c r="O28" s="1069"/>
      <c r="P28" s="668">
        <v>20.349731268970327</v>
      </c>
      <c r="Q28" s="668">
        <f t="shared" si="3"/>
        <v>80</v>
      </c>
      <c r="R28" s="432">
        <v>20.832000000000001</v>
      </c>
      <c r="S28" s="432">
        <v>40.9</v>
      </c>
      <c r="T28" s="670">
        <v>309.58300000000003</v>
      </c>
      <c r="U28" s="668">
        <f t="shared" si="0"/>
        <v>14.86093509984639</v>
      </c>
      <c r="V28" s="668">
        <f t="shared" si="4"/>
        <v>49.066014669926645</v>
      </c>
      <c r="W28" s="668">
        <v>0.3</v>
      </c>
      <c r="X28" s="432">
        <f t="shared" si="7"/>
        <v>0.51124999999999998</v>
      </c>
      <c r="Y28" s="432">
        <f t="shared" si="1"/>
        <v>20.51952</v>
      </c>
      <c r="Z28" s="432">
        <f t="shared" si="1"/>
        <v>40.286499999999997</v>
      </c>
      <c r="AA28" s="670">
        <f t="shared" si="1"/>
        <v>304.939255</v>
      </c>
      <c r="AB28" s="432">
        <f t="shared" si="5"/>
        <v>14.86093509984639</v>
      </c>
      <c r="AC28" s="670">
        <f t="shared" si="2"/>
        <v>49.066014669926645</v>
      </c>
      <c r="AD28" s="1069">
        <v>30</v>
      </c>
      <c r="AE28" s="432">
        <f t="shared" si="6"/>
        <v>615.5856</v>
      </c>
      <c r="AF28" s="669"/>
    </row>
    <row r="29" spans="1:32" ht="18.75" customHeight="1" x14ac:dyDescent="0.2">
      <c r="A29" s="1069">
        <v>15</v>
      </c>
      <c r="B29" s="461" t="s">
        <v>152</v>
      </c>
      <c r="C29" s="1069" t="s">
        <v>46</v>
      </c>
      <c r="D29" s="1069">
        <v>565</v>
      </c>
      <c r="E29" s="1068" t="s">
        <v>80</v>
      </c>
      <c r="F29" s="1069">
        <v>177.8</v>
      </c>
      <c r="G29" s="1069" t="s">
        <v>28</v>
      </c>
      <c r="H29" s="1069" t="s">
        <v>491</v>
      </c>
      <c r="I29" s="437">
        <v>520.17999999999995</v>
      </c>
      <c r="J29" s="1069">
        <v>335</v>
      </c>
      <c r="K29" s="1069"/>
      <c r="L29" s="1069">
        <v>455</v>
      </c>
      <c r="M29" s="1069"/>
      <c r="N29" s="1083">
        <v>10.5</v>
      </c>
      <c r="O29" s="1069"/>
      <c r="P29" s="668">
        <v>18.163586048682095</v>
      </c>
      <c r="Q29" s="668">
        <f>J29*23/100</f>
        <v>77.05</v>
      </c>
      <c r="R29" s="432">
        <v>10.635999999999999</v>
      </c>
      <c r="S29" s="432">
        <v>21.189</v>
      </c>
      <c r="T29" s="670">
        <v>879.58299999999997</v>
      </c>
      <c r="U29" s="668">
        <f t="shared" si="0"/>
        <v>82.698664911620909</v>
      </c>
      <c r="V29" s="668">
        <f t="shared" si="4"/>
        <v>49.804143659445941</v>
      </c>
      <c r="W29" s="668">
        <v>0.2</v>
      </c>
      <c r="X29" s="432">
        <f t="shared" si="7"/>
        <v>0.27500324464633358</v>
      </c>
      <c r="Y29" s="432">
        <f t="shared" si="1"/>
        <v>10.476459999999999</v>
      </c>
      <c r="Z29" s="432">
        <f t="shared" si="1"/>
        <v>20.871165000000001</v>
      </c>
      <c r="AA29" s="670">
        <f t="shared" si="1"/>
        <v>866.38925499999993</v>
      </c>
      <c r="AB29" s="432">
        <f t="shared" si="5"/>
        <v>82.698664911620909</v>
      </c>
      <c r="AC29" s="670">
        <f t="shared" si="2"/>
        <v>49.804143659445941</v>
      </c>
      <c r="AD29" s="1069">
        <v>30</v>
      </c>
      <c r="AE29" s="432">
        <f t="shared" si="6"/>
        <v>314.29379999999998</v>
      </c>
      <c r="AF29" s="669"/>
    </row>
    <row r="30" spans="1:32" ht="18.75" customHeight="1" x14ac:dyDescent="0.2">
      <c r="A30" s="1069">
        <v>16</v>
      </c>
      <c r="B30" s="461" t="s">
        <v>37</v>
      </c>
      <c r="C30" s="1069" t="s">
        <v>46</v>
      </c>
      <c r="D30" s="1069">
        <v>670</v>
      </c>
      <c r="E30" s="1069" t="s">
        <v>81</v>
      </c>
      <c r="F30" s="1069">
        <v>177.8</v>
      </c>
      <c r="G30" s="1069" t="s">
        <v>28</v>
      </c>
      <c r="H30" s="1069" t="s">
        <v>48</v>
      </c>
      <c r="I30" s="1068">
        <v>570.95000000000005</v>
      </c>
      <c r="J30" s="1074">
        <v>110</v>
      </c>
      <c r="K30" s="1069"/>
      <c r="L30" s="1069">
        <v>433</v>
      </c>
      <c r="M30" s="1069"/>
      <c r="N30" s="1083">
        <v>3.3</v>
      </c>
      <c r="O30" s="1069"/>
      <c r="P30" s="668">
        <v>17.548784949710825</v>
      </c>
      <c r="Q30" s="668">
        <f>J30*13/100</f>
        <v>14.3</v>
      </c>
      <c r="R30" s="432">
        <v>2.9660000000000002</v>
      </c>
      <c r="S30" s="432">
        <v>5.8769999999999998</v>
      </c>
      <c r="T30" s="670">
        <v>15.442</v>
      </c>
      <c r="U30" s="668">
        <f t="shared" si="0"/>
        <v>5.2063385030343898</v>
      </c>
      <c r="V30" s="668">
        <f t="shared" si="4"/>
        <v>49.532074187510631</v>
      </c>
      <c r="W30" s="668">
        <v>0.2</v>
      </c>
      <c r="X30" s="432">
        <f t="shared" si="7"/>
        <v>0.41097902097902095</v>
      </c>
      <c r="Y30" s="432">
        <f t="shared" si="1"/>
        <v>2.9215100000000001</v>
      </c>
      <c r="Z30" s="432">
        <f t="shared" si="1"/>
        <v>5.7888449999999994</v>
      </c>
      <c r="AA30" s="670">
        <f t="shared" si="1"/>
        <v>15.210369999999999</v>
      </c>
      <c r="AB30" s="432">
        <f t="shared" si="5"/>
        <v>5.2063385030343898</v>
      </c>
      <c r="AC30" s="670">
        <f t="shared" si="2"/>
        <v>49.532074187510631</v>
      </c>
      <c r="AD30" s="1069">
        <v>30</v>
      </c>
      <c r="AE30" s="432">
        <f>Y30*AD30</f>
        <v>87.645300000000006</v>
      </c>
      <c r="AF30" s="449"/>
    </row>
    <row r="31" spans="1:32" ht="18.75" customHeight="1" x14ac:dyDescent="0.2">
      <c r="A31" s="1069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069" t="s">
        <v>501</v>
      </c>
      <c r="I31" s="461">
        <v>546.6600000000002</v>
      </c>
      <c r="J31" s="461">
        <v>170</v>
      </c>
      <c r="K31" s="461"/>
      <c r="L31" s="461">
        <v>239</v>
      </c>
      <c r="M31" s="461"/>
      <c r="N31" s="461">
        <v>12.4</v>
      </c>
      <c r="O31" s="461"/>
      <c r="P31" s="671">
        <v>43.041284069657628</v>
      </c>
      <c r="Q31" s="668">
        <f>J31*33/100</f>
        <v>56.1</v>
      </c>
      <c r="R31" s="672">
        <v>15.598000000000001</v>
      </c>
      <c r="S31" s="432">
        <v>48.595999999999997</v>
      </c>
      <c r="T31" s="699">
        <v>54.582999999999998</v>
      </c>
      <c r="U31" s="668">
        <f t="shared" si="0"/>
        <v>3.4993588921656622</v>
      </c>
      <c r="V31" s="668">
        <f t="shared" si="4"/>
        <v>67.902708041814137</v>
      </c>
      <c r="W31" s="671">
        <v>0.3</v>
      </c>
      <c r="X31" s="432">
        <f t="shared" si="7"/>
        <v>0.86623885918003551</v>
      </c>
      <c r="Y31" s="432">
        <f t="shared" si="1"/>
        <v>15.364030000000001</v>
      </c>
      <c r="Z31" s="432">
        <f t="shared" si="1"/>
        <v>47.867059999999995</v>
      </c>
      <c r="AA31" s="670">
        <f t="shared" si="1"/>
        <v>53.764254999999999</v>
      </c>
      <c r="AB31" s="672">
        <f t="shared" si="5"/>
        <v>3.4993588921656622</v>
      </c>
      <c r="AC31" s="699">
        <f t="shared" si="2"/>
        <v>67.902708041814137</v>
      </c>
      <c r="AD31" s="1069">
        <v>30</v>
      </c>
      <c r="AE31" s="672">
        <f>Y31*AD31</f>
        <v>460.92090000000002</v>
      </c>
      <c r="AF31" s="461"/>
    </row>
    <row r="32" spans="1:32" ht="18.600000000000001" customHeight="1" x14ac:dyDescent="0.2">
      <c r="A32" s="1069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069">
        <v>177.8</v>
      </c>
      <c r="G32" s="1069" t="s">
        <v>28</v>
      </c>
      <c r="H32" s="1069" t="s">
        <v>364</v>
      </c>
      <c r="I32" s="437">
        <v>565.84</v>
      </c>
      <c r="J32" s="1069">
        <v>285</v>
      </c>
      <c r="K32" s="1069"/>
      <c r="L32" s="1069">
        <v>476</v>
      </c>
      <c r="M32" s="1069"/>
      <c r="N32" s="1083">
        <v>8.6</v>
      </c>
      <c r="O32" s="1069"/>
      <c r="P32" s="668">
        <v>17.99701003766927</v>
      </c>
      <c r="Q32" s="668">
        <f>J32*13/100</f>
        <v>37.049999999999997</v>
      </c>
      <c r="R32" s="432">
        <v>2.33</v>
      </c>
      <c r="S32" s="432">
        <v>4.6589999999999998</v>
      </c>
      <c r="T32" s="670">
        <v>57.332999999999998</v>
      </c>
      <c r="U32" s="668">
        <f t="shared" si="0"/>
        <v>24.60643776824034</v>
      </c>
      <c r="V32" s="668">
        <f t="shared" si="4"/>
        <v>49.989268083279669</v>
      </c>
      <c r="W32" s="668">
        <v>0.3</v>
      </c>
      <c r="X32" s="432">
        <f t="shared" si="7"/>
        <v>0.12574898785425101</v>
      </c>
      <c r="Y32" s="432">
        <f t="shared" si="1"/>
        <v>2.2950500000000003</v>
      </c>
      <c r="Z32" s="432">
        <f t="shared" si="1"/>
        <v>4.5891149999999996</v>
      </c>
      <c r="AA32" s="670">
        <f t="shared" si="1"/>
        <v>56.473005000000001</v>
      </c>
      <c r="AB32" s="672">
        <f t="shared" si="5"/>
        <v>24.60643776824034</v>
      </c>
      <c r="AC32" s="699">
        <f t="shared" si="2"/>
        <v>49.989268083279669</v>
      </c>
      <c r="AD32" s="1069">
        <v>30</v>
      </c>
      <c r="AE32" s="672">
        <f>Y32*AD32</f>
        <v>68.851500000000001</v>
      </c>
      <c r="AF32" s="669"/>
    </row>
    <row r="33" spans="1:32" ht="18.75" customHeight="1" x14ac:dyDescent="0.2">
      <c r="A33" s="1069">
        <v>19</v>
      </c>
      <c r="B33" s="461" t="s">
        <v>38</v>
      </c>
      <c r="C33" s="1069" t="s">
        <v>46</v>
      </c>
      <c r="D33" s="668">
        <v>580</v>
      </c>
      <c r="E33" s="1069" t="s">
        <v>84</v>
      </c>
      <c r="F33" s="1069">
        <v>177.8</v>
      </c>
      <c r="G33" s="1069" t="s">
        <v>28</v>
      </c>
      <c r="H33" s="1069" t="s">
        <v>52</v>
      </c>
      <c r="I33" s="1068">
        <v>565.38</v>
      </c>
      <c r="J33" s="1069">
        <v>155</v>
      </c>
      <c r="K33" s="1069"/>
      <c r="L33" s="1069">
        <v>509</v>
      </c>
      <c r="M33" s="1069"/>
      <c r="N33" s="1083">
        <v>0</v>
      </c>
      <c r="O33" s="1069"/>
      <c r="P33" s="668">
        <v>3.1114531180801959</v>
      </c>
      <c r="Q33" s="668">
        <f t="shared" si="3"/>
        <v>34.1</v>
      </c>
      <c r="R33" s="432">
        <v>2.67</v>
      </c>
      <c r="S33" s="432">
        <v>4.9749999999999996</v>
      </c>
      <c r="T33" s="670">
        <v>0.875</v>
      </c>
      <c r="U33" s="668">
        <f t="shared" si="0"/>
        <v>0.32771535580524347</v>
      </c>
      <c r="V33" s="668">
        <f t="shared" si="4"/>
        <v>46.331658291457281</v>
      </c>
      <c r="W33" s="668">
        <v>0.2</v>
      </c>
      <c r="X33" s="432">
        <f t="shared" si="7"/>
        <v>0.14589442815249265</v>
      </c>
      <c r="Y33" s="432">
        <f t="shared" si="1"/>
        <v>2.62995</v>
      </c>
      <c r="Z33" s="432">
        <f t="shared" si="1"/>
        <v>4.9003749999999995</v>
      </c>
      <c r="AA33" s="670">
        <f t="shared" si="1"/>
        <v>0.86187499999999995</v>
      </c>
      <c r="AB33" s="432">
        <f>U33</f>
        <v>0.32771535580524347</v>
      </c>
      <c r="AC33" s="699">
        <f t="shared" si="2"/>
        <v>46.331658291457281</v>
      </c>
      <c r="AD33" s="1069">
        <v>30</v>
      </c>
      <c r="AE33" s="432">
        <f t="shared" si="6"/>
        <v>78.898499999999999</v>
      </c>
      <c r="AF33" s="669"/>
    </row>
    <row r="34" spans="1:32" ht="18.75" customHeight="1" x14ac:dyDescent="0.2">
      <c r="A34" s="1069">
        <v>20</v>
      </c>
      <c r="B34" s="461" t="s">
        <v>39</v>
      </c>
      <c r="C34" s="1069" t="s">
        <v>46</v>
      </c>
      <c r="D34" s="1069">
        <v>728.6</v>
      </c>
      <c r="E34" s="1069" t="s">
        <v>411</v>
      </c>
      <c r="F34" s="1069">
        <v>177.8</v>
      </c>
      <c r="G34" s="1069" t="s">
        <v>28</v>
      </c>
      <c r="H34" s="1069" t="s">
        <v>380</v>
      </c>
      <c r="I34" s="1068">
        <v>551.77</v>
      </c>
      <c r="J34" s="1074">
        <v>140</v>
      </c>
      <c r="K34" s="1069"/>
      <c r="L34" s="1069">
        <v>469</v>
      </c>
      <c r="M34" s="1069"/>
      <c r="N34" s="1083">
        <v>5</v>
      </c>
      <c r="O34" s="1069"/>
      <c r="P34" s="668">
        <v>14.107336991152799</v>
      </c>
      <c r="Q34" s="668">
        <f>J34*23/100</f>
        <v>32.200000000000003</v>
      </c>
      <c r="R34" s="432">
        <v>2.7389999999999999</v>
      </c>
      <c r="S34" s="432">
        <v>7.4829999999999997</v>
      </c>
      <c r="T34" s="670">
        <v>56.542000000000002</v>
      </c>
      <c r="U34" s="668">
        <f t="shared" si="0"/>
        <v>20.643300474625779</v>
      </c>
      <c r="V34" s="668">
        <f t="shared" si="4"/>
        <v>63.397033275424299</v>
      </c>
      <c r="W34" s="668">
        <v>0.2</v>
      </c>
      <c r="X34" s="432">
        <f t="shared" si="7"/>
        <v>0.23239130434782607</v>
      </c>
      <c r="Y34" s="432">
        <f t="shared" si="1"/>
        <v>2.6979150000000001</v>
      </c>
      <c r="Z34" s="432">
        <f t="shared" si="1"/>
        <v>7.3707549999999999</v>
      </c>
      <c r="AA34" s="670">
        <f t="shared" si="1"/>
        <v>55.693870000000004</v>
      </c>
      <c r="AB34" s="432">
        <f t="shared" si="5"/>
        <v>20.643300474625779</v>
      </c>
      <c r="AC34" s="699">
        <f t="shared" si="2"/>
        <v>63.397033275424299</v>
      </c>
      <c r="AD34" s="1069">
        <v>30</v>
      </c>
      <c r="AE34" s="432">
        <f t="shared" si="6"/>
        <v>80.937449999999998</v>
      </c>
      <c r="AF34" s="669"/>
    </row>
    <row r="35" spans="1:32" ht="18.75" customHeight="1" x14ac:dyDescent="0.2">
      <c r="A35" s="1069">
        <v>21</v>
      </c>
      <c r="B35" s="461" t="s">
        <v>40</v>
      </c>
      <c r="C35" s="1069" t="s">
        <v>46</v>
      </c>
      <c r="D35" s="1069">
        <v>679.7</v>
      </c>
      <c r="E35" s="1069" t="s">
        <v>86</v>
      </c>
      <c r="F35" s="1069">
        <v>177.8</v>
      </c>
      <c r="G35" s="1069" t="s">
        <v>28</v>
      </c>
      <c r="H35" s="1069" t="s">
        <v>487</v>
      </c>
      <c r="I35" s="1068">
        <v>563.22</v>
      </c>
      <c r="J35" s="1069">
        <v>170</v>
      </c>
      <c r="K35" s="1069"/>
      <c r="L35" s="1069">
        <v>420</v>
      </c>
      <c r="M35" s="1069"/>
      <c r="N35" s="1083">
        <v>0.5</v>
      </c>
      <c r="O35" s="1069"/>
      <c r="P35" s="668">
        <v>15.329099946078896</v>
      </c>
      <c r="Q35" s="668">
        <f t="shared" si="3"/>
        <v>25.5</v>
      </c>
      <c r="R35" s="432">
        <v>2.6779999999999999</v>
      </c>
      <c r="S35" s="432">
        <v>10.034000000000001</v>
      </c>
      <c r="T35" s="670">
        <v>16.707999999999998</v>
      </c>
      <c r="U35" s="668">
        <f>IF(R35=0,0,T35/R35)</f>
        <v>6.2389843166542187</v>
      </c>
      <c r="V35" s="668">
        <f t="shared" si="4"/>
        <v>73.310743472194545</v>
      </c>
      <c r="W35" s="668">
        <v>0.3</v>
      </c>
      <c r="X35" s="432">
        <f t="shared" si="7"/>
        <v>0.39349019607843139</v>
      </c>
      <c r="Y35" s="432">
        <f t="shared" si="1"/>
        <v>2.6378300000000001</v>
      </c>
      <c r="Z35" s="432">
        <f t="shared" si="1"/>
        <v>9.8834900000000001</v>
      </c>
      <c r="AA35" s="670">
        <f t="shared" si="1"/>
        <v>16.457379999999997</v>
      </c>
      <c r="AB35" s="432">
        <f t="shared" si="5"/>
        <v>6.2389843166542187</v>
      </c>
      <c r="AC35" s="699">
        <v>70</v>
      </c>
      <c r="AD35" s="1069">
        <v>30</v>
      </c>
      <c r="AE35" s="432">
        <f>Y35*AD35</f>
        <v>79.134900000000002</v>
      </c>
      <c r="AF35" s="449"/>
    </row>
    <row r="36" spans="1:32" ht="18.75" customHeight="1" x14ac:dyDescent="0.2">
      <c r="A36" s="1069">
        <v>22</v>
      </c>
      <c r="B36" s="461" t="s">
        <v>41</v>
      </c>
      <c r="C36" s="1069" t="s">
        <v>46</v>
      </c>
      <c r="D36" s="1069">
        <v>573.70000000000005</v>
      </c>
      <c r="E36" s="1069" t="s">
        <v>87</v>
      </c>
      <c r="F36" s="1069">
        <v>177.8</v>
      </c>
      <c r="G36" s="1069" t="s">
        <v>28</v>
      </c>
      <c r="H36" s="1069" t="s">
        <v>52</v>
      </c>
      <c r="I36" s="1068">
        <v>554.30999999999995</v>
      </c>
      <c r="J36" s="1074">
        <v>317</v>
      </c>
      <c r="K36" s="1069"/>
      <c r="L36" s="1069">
        <v>471</v>
      </c>
      <c r="M36" s="1069"/>
      <c r="N36" s="1083">
        <v>6.5</v>
      </c>
      <c r="O36" s="1069"/>
      <c r="P36" s="668">
        <v>13.724104489217046</v>
      </c>
      <c r="Q36" s="668">
        <f t="shared" si="3"/>
        <v>69.739999999999995</v>
      </c>
      <c r="R36" s="432">
        <v>7.9809999999999999</v>
      </c>
      <c r="S36" s="432">
        <v>9.4640000000000004</v>
      </c>
      <c r="T36" s="670">
        <v>373.66699999999997</v>
      </c>
      <c r="U36" s="668">
        <f t="shared" ref="U36:U78" si="8">IF(R36=0,0,T36/R36)</f>
        <v>46.819571482270391</v>
      </c>
      <c r="V36" s="668">
        <f t="shared" si="4"/>
        <v>15.669907016060867</v>
      </c>
      <c r="W36" s="668">
        <v>0.2</v>
      </c>
      <c r="X36" s="432">
        <f t="shared" si="7"/>
        <v>0.13570404359047894</v>
      </c>
      <c r="Y36" s="432">
        <f t="shared" si="1"/>
        <v>7.8612849999999996</v>
      </c>
      <c r="Z36" s="432">
        <f t="shared" si="1"/>
        <v>9.3220399999999994</v>
      </c>
      <c r="AA36" s="670">
        <f t="shared" si="1"/>
        <v>368.06199499999997</v>
      </c>
      <c r="AB36" s="432">
        <v>89.536086956521729</v>
      </c>
      <c r="AC36" s="699">
        <f t="shared" si="2"/>
        <v>15.669907016060867</v>
      </c>
      <c r="AD36" s="1069">
        <v>30</v>
      </c>
      <c r="AE36" s="432">
        <f t="shared" si="6"/>
        <v>235.83855</v>
      </c>
      <c r="AF36" s="673"/>
    </row>
    <row r="37" spans="1:32" ht="18.75" customHeight="1" x14ac:dyDescent="0.2">
      <c r="A37" s="1069">
        <v>23</v>
      </c>
      <c r="B37" s="461" t="s">
        <v>42</v>
      </c>
      <c r="C37" s="1069" t="s">
        <v>46</v>
      </c>
      <c r="D37" s="1069">
        <v>583.20000000000005</v>
      </c>
      <c r="E37" s="1069" t="s">
        <v>434</v>
      </c>
      <c r="F37" s="1069">
        <v>177.8</v>
      </c>
      <c r="G37" s="1069" t="s">
        <v>28</v>
      </c>
      <c r="H37" s="1069" t="s">
        <v>48</v>
      </c>
      <c r="I37" s="1068">
        <v>565.09</v>
      </c>
      <c r="J37" s="1074">
        <v>358</v>
      </c>
      <c r="K37" s="1069"/>
      <c r="L37" s="1069">
        <v>124</v>
      </c>
      <c r="M37" s="1069"/>
      <c r="N37" s="1083">
        <v>0.8</v>
      </c>
      <c r="O37" s="1069"/>
      <c r="P37" s="668">
        <v>44.359234114587878</v>
      </c>
      <c r="Q37" s="668">
        <f t="shared" si="3"/>
        <v>46.54</v>
      </c>
      <c r="R37" s="432">
        <v>2.871</v>
      </c>
      <c r="S37" s="432">
        <v>9.9090000000000007</v>
      </c>
      <c r="T37" s="670">
        <v>4.6669999999999998</v>
      </c>
      <c r="U37" s="668">
        <f t="shared" si="8"/>
        <v>1.6255660048763496</v>
      </c>
      <c r="V37" s="668">
        <f t="shared" si="4"/>
        <v>71.026339691189818</v>
      </c>
      <c r="W37" s="668">
        <v>0.2</v>
      </c>
      <c r="X37" s="432">
        <f t="shared" si="7"/>
        <v>0.21291362269015901</v>
      </c>
      <c r="Y37" s="432">
        <f t="shared" si="1"/>
        <v>2.8279350000000001</v>
      </c>
      <c r="Z37" s="432">
        <f t="shared" si="1"/>
        <v>9.7603650000000002</v>
      </c>
      <c r="AA37" s="670">
        <f t="shared" si="1"/>
        <v>4.5969949999999997</v>
      </c>
      <c r="AB37" s="432">
        <f t="shared" si="5"/>
        <v>1.6255660048763496</v>
      </c>
      <c r="AC37" s="670">
        <f t="shared" si="2"/>
        <v>71.026339691189818</v>
      </c>
      <c r="AD37" s="1069">
        <v>30</v>
      </c>
      <c r="AE37" s="432">
        <f t="shared" si="6"/>
        <v>84.83805000000001</v>
      </c>
      <c r="AF37" s="449"/>
    </row>
    <row r="38" spans="1:32" ht="18.75" customHeight="1" x14ac:dyDescent="0.2">
      <c r="A38" s="1069">
        <v>24</v>
      </c>
      <c r="B38" s="461" t="s">
        <v>43</v>
      </c>
      <c r="C38" s="1069" t="s">
        <v>46</v>
      </c>
      <c r="D38" s="1069">
        <v>682.7</v>
      </c>
      <c r="E38" s="1069" t="s">
        <v>435</v>
      </c>
      <c r="F38" s="1069">
        <v>177.8</v>
      </c>
      <c r="G38" s="1069" t="s">
        <v>28</v>
      </c>
      <c r="H38" s="1069" t="s">
        <v>399</v>
      </c>
      <c r="I38" s="446">
        <v>575.91</v>
      </c>
      <c r="J38" s="1069">
        <v>300</v>
      </c>
      <c r="K38" s="1069"/>
      <c r="L38" s="1069">
        <v>410</v>
      </c>
      <c r="M38" s="1069"/>
      <c r="N38" s="1083">
        <v>5.8</v>
      </c>
      <c r="O38" s="1069"/>
      <c r="P38" s="668">
        <v>21.085114336978027</v>
      </c>
      <c r="Q38" s="668">
        <f>J38*13/100</f>
        <v>39</v>
      </c>
      <c r="R38" s="432">
        <v>9.5</v>
      </c>
      <c r="S38" s="432">
        <v>37.213000000000001</v>
      </c>
      <c r="T38" s="670">
        <v>375.25</v>
      </c>
      <c r="U38" s="668">
        <f t="shared" si="8"/>
        <v>39.5</v>
      </c>
      <c r="V38" s="668">
        <f t="shared" si="4"/>
        <v>74.471286915862734</v>
      </c>
      <c r="W38" s="668">
        <v>0.3</v>
      </c>
      <c r="X38" s="432">
        <f t="shared" si="7"/>
        <v>0.9541794871794872</v>
      </c>
      <c r="Y38" s="432">
        <f t="shared" si="1"/>
        <v>9.3574999999999999</v>
      </c>
      <c r="Z38" s="432">
        <f t="shared" si="1"/>
        <v>36.654805000000003</v>
      </c>
      <c r="AA38" s="670">
        <f t="shared" si="1"/>
        <v>369.62124999999997</v>
      </c>
      <c r="AB38" s="432">
        <f t="shared" si="5"/>
        <v>39.5</v>
      </c>
      <c r="AC38" s="670">
        <f t="shared" si="2"/>
        <v>74.471286915862734</v>
      </c>
      <c r="AD38" s="1069">
        <v>30</v>
      </c>
      <c r="AE38" s="432">
        <f t="shared" si="6"/>
        <v>280.72500000000002</v>
      </c>
      <c r="AF38" s="669"/>
    </row>
    <row r="39" spans="1:32" ht="18.75" customHeight="1" x14ac:dyDescent="0.2">
      <c r="A39" s="1069">
        <v>25</v>
      </c>
      <c r="B39" s="461" t="s">
        <v>44</v>
      </c>
      <c r="C39" s="1069" t="s">
        <v>46</v>
      </c>
      <c r="D39" s="1069">
        <v>614.20000000000005</v>
      </c>
      <c r="E39" s="1069" t="s">
        <v>90</v>
      </c>
      <c r="F39" s="1069">
        <v>177.8</v>
      </c>
      <c r="G39" s="1069" t="s">
        <v>28</v>
      </c>
      <c r="H39" s="1069" t="s">
        <v>52</v>
      </c>
      <c r="I39" s="446">
        <v>573.37</v>
      </c>
      <c r="J39" s="1069">
        <v>330</v>
      </c>
      <c r="K39" s="1069"/>
      <c r="L39" s="1069">
        <v>207</v>
      </c>
      <c r="M39" s="1069"/>
      <c r="N39" s="1083">
        <v>6.9</v>
      </c>
      <c r="O39" s="1069"/>
      <c r="P39" s="668">
        <v>42.785405187709266</v>
      </c>
      <c r="Q39" s="668">
        <f t="shared" si="3"/>
        <v>72.599999999999994</v>
      </c>
      <c r="R39" s="432">
        <v>4.6820000000000004</v>
      </c>
      <c r="S39" s="432">
        <v>32.585000000000001</v>
      </c>
      <c r="T39" s="670">
        <v>85.917000000000002</v>
      </c>
      <c r="U39" s="668">
        <f t="shared" si="8"/>
        <v>18.350491243058521</v>
      </c>
      <c r="V39" s="668">
        <f t="shared" si="4"/>
        <v>85.631425502531826</v>
      </c>
      <c r="W39" s="668">
        <v>0.3</v>
      </c>
      <c r="X39" s="432">
        <f t="shared" si="7"/>
        <v>0.44882920110192842</v>
      </c>
      <c r="Y39" s="432">
        <f t="shared" si="1"/>
        <v>4.6117699999999999</v>
      </c>
      <c r="Z39" s="432">
        <f t="shared" si="1"/>
        <v>32.096224999999997</v>
      </c>
      <c r="AA39" s="670">
        <f t="shared" si="1"/>
        <v>84.628245000000007</v>
      </c>
      <c r="AB39" s="432">
        <f t="shared" si="5"/>
        <v>18.350491243058521</v>
      </c>
      <c r="AC39" s="670">
        <f t="shared" si="2"/>
        <v>85.631425502531826</v>
      </c>
      <c r="AD39" s="1069">
        <v>30</v>
      </c>
      <c r="AE39" s="432">
        <f t="shared" si="6"/>
        <v>138.35309999999998</v>
      </c>
      <c r="AF39" s="669"/>
    </row>
    <row r="40" spans="1:32" ht="18.75" customHeight="1" x14ac:dyDescent="0.2">
      <c r="A40" s="1069">
        <v>26</v>
      </c>
      <c r="B40" s="461" t="s">
        <v>45</v>
      </c>
      <c r="C40" s="1069" t="s">
        <v>46</v>
      </c>
      <c r="D40" s="1069">
        <v>636.4</v>
      </c>
      <c r="E40" s="1069" t="s">
        <v>91</v>
      </c>
      <c r="F40" s="1069">
        <v>177.8</v>
      </c>
      <c r="G40" s="1069" t="s">
        <v>28</v>
      </c>
      <c r="H40" s="1069" t="s">
        <v>52</v>
      </c>
      <c r="I40" s="1068">
        <v>592.95000000000005</v>
      </c>
      <c r="J40" s="1074">
        <v>340</v>
      </c>
      <c r="K40" s="1069"/>
      <c r="L40" s="1069">
        <v>495</v>
      </c>
      <c r="M40" s="1069"/>
      <c r="N40" s="1083">
        <v>8.9</v>
      </c>
      <c r="O40" s="1069"/>
      <c r="P40" s="668">
        <v>15.793855791841201</v>
      </c>
      <c r="Q40" s="668">
        <f>LEFT(H40,(FIND("K",H40,1)-1))*J40/100</f>
        <v>74.8</v>
      </c>
      <c r="R40" s="432">
        <v>12.804</v>
      </c>
      <c r="S40" s="432">
        <v>42.396999999999998</v>
      </c>
      <c r="T40" s="670">
        <v>146</v>
      </c>
      <c r="U40" s="668">
        <f t="shared" si="8"/>
        <v>11.402686660418619</v>
      </c>
      <c r="V40" s="668">
        <f t="shared" si="4"/>
        <v>69.799749982310061</v>
      </c>
      <c r="W40" s="668">
        <v>0.2</v>
      </c>
      <c r="X40" s="432">
        <f t="shared" si="7"/>
        <v>0.56680481283422457</v>
      </c>
      <c r="Y40" s="432">
        <f t="shared" si="1"/>
        <v>12.611940000000001</v>
      </c>
      <c r="Z40" s="432">
        <f t="shared" si="1"/>
        <v>41.761044999999996</v>
      </c>
      <c r="AA40" s="670">
        <f t="shared" si="1"/>
        <v>143.81</v>
      </c>
      <c r="AB40" s="432">
        <f t="shared" si="5"/>
        <v>11.402686660418619</v>
      </c>
      <c r="AC40" s="670">
        <f t="shared" si="2"/>
        <v>69.799749982310061</v>
      </c>
      <c r="AD40" s="1069">
        <v>30</v>
      </c>
      <c r="AE40" s="432">
        <f t="shared" si="6"/>
        <v>378.35820000000001</v>
      </c>
      <c r="AF40" s="669"/>
    </row>
    <row r="41" spans="1:32" ht="18.75" customHeight="1" x14ac:dyDescent="0.2">
      <c r="A41" s="1069">
        <v>27</v>
      </c>
      <c r="B41" s="461" t="s">
        <v>206</v>
      </c>
      <c r="C41" s="1069" t="s">
        <v>46</v>
      </c>
      <c r="D41" s="1069">
        <v>660.2</v>
      </c>
      <c r="E41" s="1069" t="s">
        <v>436</v>
      </c>
      <c r="F41" s="1069">
        <v>177.8</v>
      </c>
      <c r="G41" s="1069" t="s">
        <v>28</v>
      </c>
      <c r="H41" s="1069" t="s">
        <v>212</v>
      </c>
      <c r="I41" s="1068">
        <v>547.63</v>
      </c>
      <c r="J41" s="1069">
        <v>340</v>
      </c>
      <c r="K41" s="1069"/>
      <c r="L41" s="1069">
        <v>310</v>
      </c>
      <c r="M41" s="1069"/>
      <c r="N41" s="1083">
        <v>8.1</v>
      </c>
      <c r="O41" s="1069"/>
      <c r="P41" s="668">
        <v>31.966863154603818</v>
      </c>
      <c r="Q41" s="668">
        <f t="shared" ref="Q41:Q73" si="9">LEFT(H41,(FIND("K",H41,1)-1))*J41/100</f>
        <v>27.2</v>
      </c>
      <c r="R41" s="432">
        <v>6.9189999999999996</v>
      </c>
      <c r="S41" s="432">
        <v>14.692</v>
      </c>
      <c r="T41" s="670">
        <v>133.583</v>
      </c>
      <c r="U41" s="668">
        <f t="shared" si="8"/>
        <v>19.306691718456424</v>
      </c>
      <c r="V41" s="668">
        <f t="shared" si="4"/>
        <v>52.906343588347404</v>
      </c>
      <c r="W41" s="668">
        <v>0.3</v>
      </c>
      <c r="X41" s="432">
        <f t="shared" si="7"/>
        <v>0.54014705882352942</v>
      </c>
      <c r="Y41" s="432">
        <f t="shared" si="1"/>
        <v>6.8152149999999994</v>
      </c>
      <c r="Z41" s="432">
        <f t="shared" si="1"/>
        <v>14.47162</v>
      </c>
      <c r="AA41" s="670">
        <f t="shared" si="1"/>
        <v>131.57925499999999</v>
      </c>
      <c r="AB41" s="432">
        <f t="shared" si="5"/>
        <v>19.306691718456424</v>
      </c>
      <c r="AC41" s="670">
        <f t="shared" si="2"/>
        <v>52.906343588347404</v>
      </c>
      <c r="AD41" s="1069">
        <v>30</v>
      </c>
      <c r="AE41" s="432">
        <f t="shared" si="6"/>
        <v>204.45644999999999</v>
      </c>
      <c r="AF41" s="669"/>
    </row>
    <row r="42" spans="1:32" ht="18.75" customHeight="1" x14ac:dyDescent="0.2">
      <c r="A42" s="1069">
        <v>28</v>
      </c>
      <c r="B42" s="1075" t="s">
        <v>161</v>
      </c>
      <c r="C42" s="1069" t="s">
        <v>46</v>
      </c>
      <c r="D42" s="1068">
        <v>677</v>
      </c>
      <c r="E42" s="679" t="s">
        <v>178</v>
      </c>
      <c r="F42" s="1069">
        <v>177.8</v>
      </c>
      <c r="G42" s="1069" t="s">
        <v>28</v>
      </c>
      <c r="H42" s="1069" t="s">
        <v>491</v>
      </c>
      <c r="I42" s="1068">
        <v>571.5</v>
      </c>
      <c r="J42" s="1068">
        <v>135</v>
      </c>
      <c r="K42" s="1068"/>
      <c r="L42" s="1068">
        <v>217</v>
      </c>
      <c r="M42" s="1068"/>
      <c r="N42" s="1083">
        <v>6.6</v>
      </c>
      <c r="O42" s="1068"/>
      <c r="P42" s="448">
        <v>38.419443415202608</v>
      </c>
      <c r="Q42" s="668">
        <f t="shared" si="9"/>
        <v>31.05</v>
      </c>
      <c r="R42" s="432">
        <v>8.6470000000000002</v>
      </c>
      <c r="S42" s="432">
        <v>25.14</v>
      </c>
      <c r="T42" s="492">
        <v>149.792</v>
      </c>
      <c r="U42" s="668">
        <f t="shared" si="8"/>
        <v>17.32300219729386</v>
      </c>
      <c r="V42" s="668">
        <f t="shared" si="4"/>
        <v>65.604614160700081</v>
      </c>
      <c r="W42" s="668">
        <v>0.3</v>
      </c>
      <c r="X42" s="432">
        <f t="shared" si="7"/>
        <v>0.80966183574879225</v>
      </c>
      <c r="Y42" s="432">
        <f t="shared" si="1"/>
        <v>8.5172950000000007</v>
      </c>
      <c r="Z42" s="432">
        <f t="shared" si="1"/>
        <v>24.762900000000002</v>
      </c>
      <c r="AA42" s="670">
        <f t="shared" si="1"/>
        <v>147.54512</v>
      </c>
      <c r="AB42" s="432">
        <f t="shared" si="5"/>
        <v>17.32300219729386</v>
      </c>
      <c r="AC42" s="670">
        <f t="shared" si="2"/>
        <v>65.604614160700081</v>
      </c>
      <c r="AD42" s="1069">
        <v>30</v>
      </c>
      <c r="AE42" s="432">
        <f t="shared" si="6"/>
        <v>255.51885000000001</v>
      </c>
      <c r="AF42" s="449"/>
    </row>
    <row r="43" spans="1:32" ht="18.75" customHeight="1" x14ac:dyDescent="0.2">
      <c r="A43" s="1069">
        <v>29</v>
      </c>
      <c r="B43" s="1061" t="s">
        <v>162</v>
      </c>
      <c r="C43" s="1069" t="s">
        <v>46</v>
      </c>
      <c r="D43" s="1068">
        <v>676</v>
      </c>
      <c r="E43" s="679" t="s">
        <v>437</v>
      </c>
      <c r="F43" s="1069">
        <v>177.8</v>
      </c>
      <c r="G43" s="1069" t="s">
        <v>28</v>
      </c>
      <c r="H43" s="1069" t="s">
        <v>50</v>
      </c>
      <c r="I43" s="1068">
        <v>549.20000000000005</v>
      </c>
      <c r="J43" s="493">
        <v>250</v>
      </c>
      <c r="K43" s="1068"/>
      <c r="L43" s="1069">
        <v>431</v>
      </c>
      <c r="M43" s="1068"/>
      <c r="N43" s="1083">
        <v>3.8</v>
      </c>
      <c r="O43" s="1068"/>
      <c r="P43" s="448">
        <v>8.359184101511115</v>
      </c>
      <c r="Q43" s="668">
        <f t="shared" si="9"/>
        <v>15</v>
      </c>
      <c r="R43" s="432">
        <v>1.206</v>
      </c>
      <c r="S43" s="432">
        <v>1.837</v>
      </c>
      <c r="T43" s="492">
        <v>1.667</v>
      </c>
      <c r="U43" s="668">
        <f t="shared" si="8"/>
        <v>1.3822553897180763</v>
      </c>
      <c r="V43" s="668">
        <f t="shared" si="4"/>
        <v>34.349482852476868</v>
      </c>
      <c r="W43" s="668">
        <v>0.3</v>
      </c>
      <c r="X43" s="432">
        <f t="shared" si="7"/>
        <v>0.12246666666666667</v>
      </c>
      <c r="Y43" s="432">
        <f t="shared" si="1"/>
        <v>1.18791</v>
      </c>
      <c r="Z43" s="432">
        <f t="shared" si="1"/>
        <v>1.809445</v>
      </c>
      <c r="AA43" s="670">
        <f t="shared" si="1"/>
        <v>1.6419950000000001</v>
      </c>
      <c r="AB43" s="432">
        <f t="shared" si="5"/>
        <v>1.3822553897180763</v>
      </c>
      <c r="AC43" s="670">
        <f t="shared" si="2"/>
        <v>34.349482852476868</v>
      </c>
      <c r="AD43" s="1069">
        <v>30</v>
      </c>
      <c r="AE43" s="432">
        <f t="shared" si="6"/>
        <v>35.637300000000003</v>
      </c>
      <c r="AF43" s="449"/>
    </row>
    <row r="44" spans="1:32" ht="18.75" customHeight="1" x14ac:dyDescent="0.2">
      <c r="A44" s="1069">
        <v>30</v>
      </c>
      <c r="B44" s="1061" t="s">
        <v>163</v>
      </c>
      <c r="C44" s="1069" t="s">
        <v>46</v>
      </c>
      <c r="D44" s="1068">
        <v>597</v>
      </c>
      <c r="E44" s="1069" t="s">
        <v>443</v>
      </c>
      <c r="F44" s="1069">
        <v>177.8</v>
      </c>
      <c r="G44" s="1069" t="s">
        <v>28</v>
      </c>
      <c r="H44" s="1069" t="s">
        <v>487</v>
      </c>
      <c r="I44" s="1068">
        <v>553.79</v>
      </c>
      <c r="J44" s="1068">
        <v>135</v>
      </c>
      <c r="K44" s="1068"/>
      <c r="L44" s="1068">
        <v>429</v>
      </c>
      <c r="M44" s="1068"/>
      <c r="N44" s="1083">
        <v>2</v>
      </c>
      <c r="O44" s="1068"/>
      <c r="P44" s="448">
        <v>15.564202036906892</v>
      </c>
      <c r="Q44" s="668">
        <f t="shared" si="9"/>
        <v>20.25</v>
      </c>
      <c r="R44" s="432">
        <v>2.7040000000000002</v>
      </c>
      <c r="S44" s="432">
        <v>10.153</v>
      </c>
      <c r="T44" s="492">
        <v>14.583</v>
      </c>
      <c r="U44" s="668">
        <f t="shared" si="8"/>
        <v>5.3931213017751478</v>
      </c>
      <c r="V44" s="668">
        <f t="shared" si="4"/>
        <v>73.367477592829701</v>
      </c>
      <c r="W44" s="668">
        <v>0.3</v>
      </c>
      <c r="X44" s="432">
        <f t="shared" si="7"/>
        <v>0.50138271604938278</v>
      </c>
      <c r="Y44" s="432">
        <f t="shared" si="1"/>
        <v>2.66344</v>
      </c>
      <c r="Z44" s="432">
        <f t="shared" si="1"/>
        <v>10.000705</v>
      </c>
      <c r="AA44" s="670">
        <f t="shared" si="1"/>
        <v>14.364255</v>
      </c>
      <c r="AB44" s="432">
        <f t="shared" si="5"/>
        <v>5.3931213017751478</v>
      </c>
      <c r="AC44" s="670">
        <f t="shared" si="2"/>
        <v>73.367477592829701</v>
      </c>
      <c r="AD44" s="1069">
        <v>30</v>
      </c>
      <c r="AE44" s="432">
        <f t="shared" si="6"/>
        <v>79.903199999999998</v>
      </c>
      <c r="AF44" s="449"/>
    </row>
    <row r="45" spans="1:32" ht="18.75" customHeight="1" x14ac:dyDescent="0.2">
      <c r="A45" s="1069">
        <v>31</v>
      </c>
      <c r="B45" s="461" t="s">
        <v>59</v>
      </c>
      <c r="C45" s="1069" t="s">
        <v>46</v>
      </c>
      <c r="D45" s="1069">
        <v>637.16</v>
      </c>
      <c r="E45" s="1069" t="s">
        <v>454</v>
      </c>
      <c r="F45" s="1069">
        <v>177.8</v>
      </c>
      <c r="G45" s="1069" t="s">
        <v>28</v>
      </c>
      <c r="H45" s="1069" t="s">
        <v>487</v>
      </c>
      <c r="I45" s="1068">
        <v>536.73</v>
      </c>
      <c r="J45" s="1069">
        <v>330</v>
      </c>
      <c r="K45" s="1069"/>
      <c r="L45" s="1069">
        <v>414</v>
      </c>
      <c r="M45" s="1069"/>
      <c r="N45" s="1083">
        <v>2.1</v>
      </c>
      <c r="O45" s="1069"/>
      <c r="P45" s="668">
        <v>15.666761559938415</v>
      </c>
      <c r="Q45" s="668">
        <f t="shared" si="9"/>
        <v>49.5</v>
      </c>
      <c r="R45" s="432">
        <v>4.6230000000000002</v>
      </c>
      <c r="S45" s="432">
        <v>9.3889999999999993</v>
      </c>
      <c r="T45" s="670">
        <v>36.207999999999998</v>
      </c>
      <c r="U45" s="668">
        <f t="shared" si="8"/>
        <v>7.8321436296776978</v>
      </c>
      <c r="V45" s="668">
        <f t="shared" si="4"/>
        <v>50.761529449355628</v>
      </c>
      <c r="W45" s="668">
        <v>0.3</v>
      </c>
      <c r="X45" s="432">
        <f t="shared" si="7"/>
        <v>0.18967676767676767</v>
      </c>
      <c r="Y45" s="432">
        <f t="shared" si="1"/>
        <v>4.553655</v>
      </c>
      <c r="Z45" s="432">
        <f t="shared" si="1"/>
        <v>9.2481649999999984</v>
      </c>
      <c r="AA45" s="670">
        <f t="shared" si="1"/>
        <v>35.664879999999997</v>
      </c>
      <c r="AB45" s="432">
        <f>U45</f>
        <v>7.8321436296776978</v>
      </c>
      <c r="AC45" s="670">
        <f t="shared" si="2"/>
        <v>50.761529449355628</v>
      </c>
      <c r="AD45" s="1069">
        <v>30</v>
      </c>
      <c r="AE45" s="432">
        <f t="shared" si="6"/>
        <v>136.60964999999999</v>
      </c>
      <c r="AF45" s="449"/>
    </row>
    <row r="46" spans="1:32" ht="18.600000000000001" customHeight="1" x14ac:dyDescent="0.2">
      <c r="A46" s="1069">
        <v>32</v>
      </c>
      <c r="B46" s="461" t="s">
        <v>207</v>
      </c>
      <c r="C46" s="1069" t="s">
        <v>46</v>
      </c>
      <c r="D46" s="1069">
        <v>673</v>
      </c>
      <c r="E46" s="1069" t="s">
        <v>420</v>
      </c>
      <c r="F46" s="1069">
        <v>177.8</v>
      </c>
      <c r="G46" s="1069" t="s">
        <v>28</v>
      </c>
      <c r="H46" s="1069" t="s">
        <v>50</v>
      </c>
      <c r="I46" s="1068">
        <v>564.41999999999996</v>
      </c>
      <c r="J46" s="1069">
        <v>235</v>
      </c>
      <c r="K46" s="1069"/>
      <c r="L46" s="1069">
        <v>182</v>
      </c>
      <c r="M46" s="1069"/>
      <c r="N46" s="668">
        <v>0.2</v>
      </c>
      <c r="O46" s="1069"/>
      <c r="P46" s="668">
        <v>38.48988838405365</v>
      </c>
      <c r="Q46" s="668">
        <f t="shared" si="9"/>
        <v>14.1</v>
      </c>
      <c r="R46" s="432">
        <v>2.157</v>
      </c>
      <c r="S46" s="432">
        <v>10.238</v>
      </c>
      <c r="T46" s="670">
        <v>0</v>
      </c>
      <c r="U46" s="668">
        <f t="shared" si="8"/>
        <v>0</v>
      </c>
      <c r="V46" s="668">
        <f t="shared" si="4"/>
        <v>78.93143192029693</v>
      </c>
      <c r="W46" s="668">
        <v>0.3</v>
      </c>
      <c r="X46" s="432">
        <f t="shared" si="7"/>
        <v>0.72609929078014179</v>
      </c>
      <c r="Y46" s="432">
        <f t="shared" si="1"/>
        <v>2.1246450000000001</v>
      </c>
      <c r="Z46" s="432">
        <f t="shared" si="1"/>
        <v>10.084429999999999</v>
      </c>
      <c r="AA46" s="670">
        <f t="shared" si="1"/>
        <v>0</v>
      </c>
      <c r="AB46" s="432">
        <f>U46</f>
        <v>0</v>
      </c>
      <c r="AC46" s="670">
        <f t="shared" si="2"/>
        <v>78.93143192029693</v>
      </c>
      <c r="AD46" s="1069">
        <v>30</v>
      </c>
      <c r="AE46" s="432">
        <f t="shared" si="6"/>
        <v>63.739350000000002</v>
      </c>
      <c r="AF46" s="449"/>
    </row>
    <row r="47" spans="1:32" ht="18.75" customHeight="1" x14ac:dyDescent="0.25">
      <c r="A47" s="1069">
        <v>33</v>
      </c>
      <c r="B47" s="461" t="s">
        <v>196</v>
      </c>
      <c r="C47" s="1069" t="s">
        <v>304</v>
      </c>
      <c r="D47" s="1069">
        <v>641</v>
      </c>
      <c r="E47" s="1069" t="s">
        <v>296</v>
      </c>
      <c r="F47" s="1069">
        <v>177.8</v>
      </c>
      <c r="G47" s="1069" t="s">
        <v>28</v>
      </c>
      <c r="H47" s="1069" t="s">
        <v>50</v>
      </c>
      <c r="I47" s="1068">
        <v>611.92999999999995</v>
      </c>
      <c r="J47" s="1069"/>
      <c r="K47" s="1069">
        <v>496</v>
      </c>
      <c r="L47" s="868"/>
      <c r="M47" s="668">
        <v>0.3</v>
      </c>
      <c r="N47" s="868"/>
      <c r="O47" s="1069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8"/>
        <v>0</v>
      </c>
      <c r="V47" s="668">
        <f t="shared" si="4"/>
        <v>0</v>
      </c>
      <c r="W47" s="668">
        <v>0.3</v>
      </c>
      <c r="X47" s="432">
        <f t="shared" si="7"/>
        <v>0</v>
      </c>
      <c r="Y47" s="432">
        <f t="shared" si="1"/>
        <v>0</v>
      </c>
      <c r="Z47" s="432">
        <f t="shared" si="1"/>
        <v>0</v>
      </c>
      <c r="AA47" s="670">
        <f t="shared" si="1"/>
        <v>0</v>
      </c>
      <c r="AB47" s="432">
        <f>U47</f>
        <v>0</v>
      </c>
      <c r="AC47" s="670">
        <f t="shared" si="2"/>
        <v>0</v>
      </c>
      <c r="AD47" s="1069">
        <v>0</v>
      </c>
      <c r="AE47" s="432">
        <f t="shared" si="6"/>
        <v>0</v>
      </c>
      <c r="AF47" s="449" t="s">
        <v>335</v>
      </c>
    </row>
    <row r="48" spans="1:32" ht="18.75" customHeight="1" x14ac:dyDescent="0.2">
      <c r="A48" s="1069">
        <v>34</v>
      </c>
      <c r="B48" s="461" t="s">
        <v>60</v>
      </c>
      <c r="C48" s="1069" t="s">
        <v>46</v>
      </c>
      <c r="D48" s="1069">
        <v>638.9</v>
      </c>
      <c r="E48" s="1069" t="s">
        <v>462</v>
      </c>
      <c r="F48" s="1069">
        <v>177.8</v>
      </c>
      <c r="G48" s="1069" t="s">
        <v>28</v>
      </c>
      <c r="H48" s="1069" t="s">
        <v>48</v>
      </c>
      <c r="I48" s="1068">
        <v>532.05999999999995</v>
      </c>
      <c r="J48" s="1074">
        <v>365</v>
      </c>
      <c r="K48" s="1069"/>
      <c r="L48" s="1069">
        <v>445</v>
      </c>
      <c r="M48" s="1069"/>
      <c r="N48" s="1083">
        <v>5.6</v>
      </c>
      <c r="O48" s="1069"/>
      <c r="P48" s="668">
        <v>15.753245369630855</v>
      </c>
      <c r="Q48" s="668">
        <f t="shared" si="9"/>
        <v>47.45</v>
      </c>
      <c r="R48" s="432">
        <v>4.5750000000000002</v>
      </c>
      <c r="S48" s="432">
        <v>9.8249999999999993</v>
      </c>
      <c r="T48" s="670">
        <v>248.583</v>
      </c>
      <c r="U48" s="668">
        <f t="shared" si="8"/>
        <v>54.335081967213114</v>
      </c>
      <c r="V48" s="668">
        <f t="shared" si="4"/>
        <v>53.435114503816791</v>
      </c>
      <c r="W48" s="668">
        <v>0.3</v>
      </c>
      <c r="X48" s="432">
        <f t="shared" si="7"/>
        <v>0.20706006322444676</v>
      </c>
      <c r="Y48" s="432">
        <f t="shared" si="1"/>
        <v>4.5063750000000002</v>
      </c>
      <c r="Z48" s="432">
        <f t="shared" si="1"/>
        <v>9.677624999999999</v>
      </c>
      <c r="AA48" s="670">
        <f t="shared" si="1"/>
        <v>244.85425499999999</v>
      </c>
      <c r="AB48" s="432">
        <f t="shared" si="5"/>
        <v>54.335081967213114</v>
      </c>
      <c r="AC48" s="670">
        <f t="shared" si="2"/>
        <v>53.435114503816791</v>
      </c>
      <c r="AD48" s="1069">
        <v>30</v>
      </c>
      <c r="AE48" s="432">
        <f t="shared" si="6"/>
        <v>135.19125</v>
      </c>
      <c r="AF48" s="449"/>
    </row>
    <row r="49" spans="1:32" ht="18.75" customHeight="1" x14ac:dyDescent="0.2">
      <c r="A49" s="1069">
        <v>35</v>
      </c>
      <c r="B49" s="461" t="s">
        <v>119</v>
      </c>
      <c r="C49" s="1069" t="s">
        <v>427</v>
      </c>
      <c r="D49" s="1069">
        <v>654.07000000000005</v>
      </c>
      <c r="E49" s="1069" t="s">
        <v>410</v>
      </c>
      <c r="F49" s="1069">
        <v>177.8</v>
      </c>
      <c r="G49" s="1069" t="s">
        <v>28</v>
      </c>
      <c r="H49" s="1069" t="s">
        <v>399</v>
      </c>
      <c r="I49" s="1068">
        <v>521.47</v>
      </c>
      <c r="J49" s="1069"/>
      <c r="K49" s="1069">
        <v>478</v>
      </c>
      <c r="L49" s="1069"/>
      <c r="M49" s="1069"/>
      <c r="N49" s="1083">
        <v>0</v>
      </c>
      <c r="O49" s="1069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8"/>
        <v>0</v>
      </c>
      <c r="V49" s="668">
        <f t="shared" si="4"/>
        <v>0</v>
      </c>
      <c r="W49" s="668">
        <v>0</v>
      </c>
      <c r="X49" s="432">
        <f t="shared" si="7"/>
        <v>0</v>
      </c>
      <c r="Y49" s="432">
        <f t="shared" si="1"/>
        <v>0</v>
      </c>
      <c r="Z49" s="432">
        <f t="shared" si="1"/>
        <v>0</v>
      </c>
      <c r="AA49" s="670">
        <f t="shared" si="1"/>
        <v>0</v>
      </c>
      <c r="AB49" s="432">
        <f t="shared" si="5"/>
        <v>0</v>
      </c>
      <c r="AC49" s="670">
        <f t="shared" si="2"/>
        <v>0</v>
      </c>
      <c r="AD49" s="1069">
        <v>0</v>
      </c>
      <c r="AE49" s="432">
        <f t="shared" si="6"/>
        <v>0</v>
      </c>
      <c r="AF49" s="449" t="s">
        <v>432</v>
      </c>
    </row>
    <row r="50" spans="1:32" ht="18.75" customHeight="1" x14ac:dyDescent="0.2">
      <c r="A50" s="1069">
        <v>36</v>
      </c>
      <c r="B50" s="461" t="s">
        <v>118</v>
      </c>
      <c r="C50" s="1069" t="s">
        <v>408</v>
      </c>
      <c r="D50" s="1069">
        <v>728.77</v>
      </c>
      <c r="E50" s="1069" t="s">
        <v>442</v>
      </c>
      <c r="F50" s="1069">
        <v>177.8</v>
      </c>
      <c r="G50" s="1069" t="s">
        <v>28</v>
      </c>
      <c r="H50" s="1069" t="s">
        <v>52</v>
      </c>
      <c r="I50" s="1068">
        <v>523.04999999999995</v>
      </c>
      <c r="J50" s="1069">
        <v>190</v>
      </c>
      <c r="K50" s="1069"/>
      <c r="L50" s="1069">
        <v>405</v>
      </c>
      <c r="M50" s="1069"/>
      <c r="N50" s="1083">
        <v>6.2</v>
      </c>
      <c r="O50" s="1069"/>
      <c r="P50" s="668">
        <v>20.248545703588736</v>
      </c>
      <c r="Q50" s="668">
        <f t="shared" si="9"/>
        <v>41.8</v>
      </c>
      <c r="R50" s="432">
        <v>4.8650000000000002</v>
      </c>
      <c r="S50" s="432">
        <v>14.275</v>
      </c>
      <c r="T50" s="670">
        <v>101.167</v>
      </c>
      <c r="U50" s="668">
        <f t="shared" si="8"/>
        <v>20.794861253854059</v>
      </c>
      <c r="V50" s="668">
        <f t="shared" si="4"/>
        <v>65.919439579684763</v>
      </c>
      <c r="W50" s="668">
        <v>0.3</v>
      </c>
      <c r="X50" s="432">
        <f t="shared" si="7"/>
        <v>0.34150717703349287</v>
      </c>
      <c r="Y50" s="432">
        <f t="shared" si="1"/>
        <v>4.7920249999999998</v>
      </c>
      <c r="Z50" s="432">
        <f t="shared" si="1"/>
        <v>14.060874999999999</v>
      </c>
      <c r="AA50" s="670">
        <f t="shared" si="1"/>
        <v>99.649495000000002</v>
      </c>
      <c r="AB50" s="432">
        <f t="shared" si="5"/>
        <v>20.794861253854059</v>
      </c>
      <c r="AC50" s="670">
        <f t="shared" si="2"/>
        <v>65.919439579684763</v>
      </c>
      <c r="AD50" s="1069">
        <v>30</v>
      </c>
      <c r="AE50" s="432">
        <f t="shared" si="6"/>
        <v>143.76075</v>
      </c>
      <c r="AF50" s="449"/>
    </row>
    <row r="51" spans="1:32" ht="18.75" customHeight="1" x14ac:dyDescent="0.2">
      <c r="A51" s="1069">
        <v>37</v>
      </c>
      <c r="B51" s="461" t="s">
        <v>117</v>
      </c>
      <c r="C51" s="1069" t="s">
        <v>46</v>
      </c>
      <c r="D51" s="1069">
        <v>671.45</v>
      </c>
      <c r="E51" s="1069" t="s">
        <v>128</v>
      </c>
      <c r="F51" s="1069">
        <v>177.8</v>
      </c>
      <c r="G51" s="1069" t="s">
        <v>28</v>
      </c>
      <c r="H51" s="452" t="s">
        <v>464</v>
      </c>
      <c r="I51" s="1068">
        <v>564.18000000000018</v>
      </c>
      <c r="J51" s="1074">
        <v>110</v>
      </c>
      <c r="K51" s="1069"/>
      <c r="L51" s="1069">
        <v>286</v>
      </c>
      <c r="M51" s="1069"/>
      <c r="N51" s="1083">
        <v>3.2</v>
      </c>
      <c r="O51" s="1069"/>
      <c r="P51" s="668">
        <v>31.447846508935225</v>
      </c>
      <c r="Q51" s="668">
        <f>J51*14/100</f>
        <v>15.4</v>
      </c>
      <c r="R51" s="432">
        <v>0.91600000000000004</v>
      </c>
      <c r="S51" s="432">
        <v>12.525</v>
      </c>
      <c r="T51" s="670">
        <v>5.5419999999999998</v>
      </c>
      <c r="U51" s="668">
        <f t="shared" si="8"/>
        <v>6.0502183406113534</v>
      </c>
      <c r="V51" s="668">
        <f t="shared" si="4"/>
        <v>92.686626746506988</v>
      </c>
      <c r="W51" s="668">
        <v>0</v>
      </c>
      <c r="X51" s="432">
        <f t="shared" si="7"/>
        <v>0.81331168831168832</v>
      </c>
      <c r="Y51" s="432">
        <f t="shared" si="1"/>
        <v>0.90226000000000006</v>
      </c>
      <c r="Z51" s="432">
        <f t="shared" si="1"/>
        <v>12.337125</v>
      </c>
      <c r="AA51" s="670">
        <f t="shared" si="1"/>
        <v>5.4588700000000001</v>
      </c>
      <c r="AB51" s="432">
        <f t="shared" si="5"/>
        <v>6.0502183406113534</v>
      </c>
      <c r="AC51" s="670">
        <f t="shared" si="2"/>
        <v>92.686626746506988</v>
      </c>
      <c r="AD51" s="1069">
        <v>30</v>
      </c>
      <c r="AE51" s="432">
        <f t="shared" si="6"/>
        <v>27.067800000000002</v>
      </c>
      <c r="AF51" s="669"/>
    </row>
    <row r="52" spans="1:32" ht="18.75" customHeight="1" x14ac:dyDescent="0.2">
      <c r="A52" s="1069">
        <v>38</v>
      </c>
      <c r="B52" s="461" t="s">
        <v>130</v>
      </c>
      <c r="C52" s="1069" t="s">
        <v>46</v>
      </c>
      <c r="D52" s="1069">
        <v>622.6</v>
      </c>
      <c r="E52" s="1069" t="s">
        <v>503</v>
      </c>
      <c r="F52" s="1069">
        <v>177.8</v>
      </c>
      <c r="G52" s="1069" t="s">
        <v>28</v>
      </c>
      <c r="H52" s="1069" t="s">
        <v>502</v>
      </c>
      <c r="I52" s="1068">
        <v>572.83000000000004</v>
      </c>
      <c r="J52" s="1069"/>
      <c r="K52" s="1069"/>
      <c r="L52" s="1069"/>
      <c r="M52" s="1069"/>
      <c r="N52" s="1083"/>
      <c r="O52" s="1069"/>
      <c r="P52" s="668">
        <v>44.546058115053057</v>
      </c>
      <c r="Q52" s="668">
        <f t="shared" si="9"/>
        <v>0</v>
      </c>
      <c r="R52" s="432">
        <v>0</v>
      </c>
      <c r="S52" s="432">
        <v>0</v>
      </c>
      <c r="T52" s="670">
        <v>0</v>
      </c>
      <c r="U52" s="668">
        <f t="shared" si="8"/>
        <v>0</v>
      </c>
      <c r="V52" s="668">
        <f t="shared" si="4"/>
        <v>0</v>
      </c>
      <c r="W52" s="668">
        <v>0</v>
      </c>
      <c r="X52" s="432">
        <f t="shared" si="7"/>
        <v>0</v>
      </c>
      <c r="Y52" s="432">
        <f t="shared" si="1"/>
        <v>0</v>
      </c>
      <c r="Z52" s="432">
        <f t="shared" si="1"/>
        <v>0</v>
      </c>
      <c r="AA52" s="670">
        <f t="shared" si="1"/>
        <v>0</v>
      </c>
      <c r="AB52" s="432">
        <f t="shared" si="5"/>
        <v>0</v>
      </c>
      <c r="AC52" s="670">
        <f t="shared" si="2"/>
        <v>0</v>
      </c>
      <c r="AD52" s="1069">
        <v>0</v>
      </c>
      <c r="AE52" s="432">
        <f t="shared" si="6"/>
        <v>0</v>
      </c>
      <c r="AF52" s="669" t="s">
        <v>334</v>
      </c>
    </row>
    <row r="53" spans="1:32" ht="18.75" customHeight="1" x14ac:dyDescent="0.2">
      <c r="A53" s="1069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069">
        <v>177.8</v>
      </c>
      <c r="G53" s="452" t="s">
        <v>28</v>
      </c>
      <c r="H53" s="452" t="s">
        <v>363</v>
      </c>
      <c r="I53" s="453">
        <v>565.65</v>
      </c>
      <c r="J53" s="452">
        <v>340</v>
      </c>
      <c r="K53" s="452"/>
      <c r="L53" s="452">
        <v>441</v>
      </c>
      <c r="M53" s="452"/>
      <c r="N53" s="1083">
        <v>6.8</v>
      </c>
      <c r="O53" s="452"/>
      <c r="P53" s="675">
        <v>19.121454599912241</v>
      </c>
      <c r="Q53" s="668">
        <f>J53*7/100</f>
        <v>23.8</v>
      </c>
      <c r="R53" s="456">
        <v>2.7050000000000001</v>
      </c>
      <c r="S53" s="432">
        <v>2.9580000000000002</v>
      </c>
      <c r="T53" s="700">
        <v>0.83299999999999996</v>
      </c>
      <c r="U53" s="668">
        <f t="shared" si="8"/>
        <v>0.30794824399260629</v>
      </c>
      <c r="V53" s="668">
        <f t="shared" si="4"/>
        <v>8.5530764029749857</v>
      </c>
      <c r="W53" s="675">
        <v>0.2</v>
      </c>
      <c r="X53" s="432">
        <f t="shared" si="7"/>
        <v>0.12428571428571429</v>
      </c>
      <c r="Y53" s="432">
        <f t="shared" si="1"/>
        <v>2.664425</v>
      </c>
      <c r="Z53" s="432">
        <f t="shared" si="1"/>
        <v>2.9136299999999999</v>
      </c>
      <c r="AA53" s="670">
        <f t="shared" si="1"/>
        <v>0.82050499999999993</v>
      </c>
      <c r="AB53" s="456">
        <f t="shared" si="5"/>
        <v>0.30794824399260629</v>
      </c>
      <c r="AC53" s="670">
        <f t="shared" si="2"/>
        <v>8.5530764029749857</v>
      </c>
      <c r="AD53" s="1069">
        <v>30</v>
      </c>
      <c r="AE53" s="456">
        <f t="shared" si="6"/>
        <v>79.932749999999999</v>
      </c>
      <c r="AF53" s="449"/>
    </row>
    <row r="54" spans="1:32" ht="18.75" customHeight="1" x14ac:dyDescent="0.2">
      <c r="A54" s="1069">
        <v>40</v>
      </c>
      <c r="B54" s="461" t="s">
        <v>116</v>
      </c>
      <c r="C54" s="1069" t="s">
        <v>46</v>
      </c>
      <c r="D54" s="1069">
        <v>681.27</v>
      </c>
      <c r="E54" s="1069" t="s">
        <v>455</v>
      </c>
      <c r="F54" s="1069">
        <v>177.8</v>
      </c>
      <c r="G54" s="1069" t="s">
        <v>28</v>
      </c>
      <c r="H54" s="1069" t="s">
        <v>53</v>
      </c>
      <c r="I54" s="1068">
        <v>559.23</v>
      </c>
      <c r="J54" s="1074">
        <v>135</v>
      </c>
      <c r="K54" s="1069"/>
      <c r="L54" s="670">
        <v>201</v>
      </c>
      <c r="M54" s="1069"/>
      <c r="N54" s="1083">
        <v>4.9000000000000004</v>
      </c>
      <c r="O54" s="1069"/>
      <c r="P54" s="668">
        <v>40.79107955949334</v>
      </c>
      <c r="Q54" s="675">
        <f t="shared" si="9"/>
        <v>17.55</v>
      </c>
      <c r="R54" s="432">
        <v>1.085</v>
      </c>
      <c r="S54" s="432">
        <v>3.77</v>
      </c>
      <c r="T54" s="670">
        <v>11.25</v>
      </c>
      <c r="U54" s="668">
        <f t="shared" si="8"/>
        <v>10.368663594470046</v>
      </c>
      <c r="V54" s="668">
        <f t="shared" si="4"/>
        <v>71.220159151193641</v>
      </c>
      <c r="W54" s="668">
        <v>0.3</v>
      </c>
      <c r="X54" s="432">
        <f t="shared" si="7"/>
        <v>0.21481481481481482</v>
      </c>
      <c r="Y54" s="432">
        <f t="shared" si="1"/>
        <v>1.0687249999999999</v>
      </c>
      <c r="Z54" s="432">
        <f t="shared" si="1"/>
        <v>3.7134499999999999</v>
      </c>
      <c r="AA54" s="670">
        <f t="shared" si="1"/>
        <v>11.081250000000001</v>
      </c>
      <c r="AB54" s="432">
        <f t="shared" si="5"/>
        <v>10.368663594470046</v>
      </c>
      <c r="AC54" s="670">
        <f t="shared" si="2"/>
        <v>71.220159151193641</v>
      </c>
      <c r="AD54" s="1069">
        <v>30</v>
      </c>
      <c r="AE54" s="432">
        <f t="shared" si="6"/>
        <v>32.061749999999996</v>
      </c>
      <c r="AF54" s="449"/>
    </row>
    <row r="55" spans="1:32" ht="18.75" customHeight="1" x14ac:dyDescent="0.2">
      <c r="A55" s="1069">
        <v>41</v>
      </c>
      <c r="B55" s="461" t="s">
        <v>120</v>
      </c>
      <c r="C55" s="1069" t="s">
        <v>46</v>
      </c>
      <c r="D55" s="1069">
        <v>668.57</v>
      </c>
      <c r="E55" s="1069" t="s">
        <v>285</v>
      </c>
      <c r="F55" s="1069">
        <v>177.8</v>
      </c>
      <c r="G55" s="1069" t="s">
        <v>28</v>
      </c>
      <c r="H55" s="452" t="s">
        <v>464</v>
      </c>
      <c r="I55" s="1068">
        <v>568.66</v>
      </c>
      <c r="J55" s="1069">
        <v>150</v>
      </c>
      <c r="K55" s="1069"/>
      <c r="L55" s="670">
        <v>441</v>
      </c>
      <c r="M55" s="1069"/>
      <c r="N55" s="1083">
        <v>0.8</v>
      </c>
      <c r="O55" s="1069"/>
      <c r="P55" s="668">
        <v>13.750347683204614</v>
      </c>
      <c r="Q55" s="668">
        <f>J55*14/100</f>
        <v>21</v>
      </c>
      <c r="R55" s="432">
        <v>2.9750000000000001</v>
      </c>
      <c r="S55" s="432">
        <v>4.827</v>
      </c>
      <c r="T55" s="670">
        <v>4.2919999999999998</v>
      </c>
      <c r="U55" s="668">
        <f t="shared" si="8"/>
        <v>1.4426890756302519</v>
      </c>
      <c r="V55" s="668">
        <f t="shared" si="4"/>
        <v>38.367516055521023</v>
      </c>
      <c r="W55" s="668">
        <v>0.3</v>
      </c>
      <c r="X55" s="432">
        <f t="shared" si="7"/>
        <v>0.22985714285714284</v>
      </c>
      <c r="Y55" s="432">
        <f t="shared" si="1"/>
        <v>2.9303750000000002</v>
      </c>
      <c r="Z55" s="432">
        <f t="shared" si="1"/>
        <v>4.7545950000000001</v>
      </c>
      <c r="AA55" s="670">
        <f t="shared" si="1"/>
        <v>4.2276199999999999</v>
      </c>
      <c r="AB55" s="432">
        <f t="shared" si="5"/>
        <v>1.4426890756302519</v>
      </c>
      <c r="AC55" s="670">
        <f t="shared" si="2"/>
        <v>38.367516055521023</v>
      </c>
      <c r="AD55" s="1069">
        <v>30</v>
      </c>
      <c r="AE55" s="432">
        <f t="shared" si="6"/>
        <v>87.91125000000001</v>
      </c>
      <c r="AF55" s="669"/>
    </row>
    <row r="56" spans="1:32" ht="18.75" customHeight="1" x14ac:dyDescent="0.2">
      <c r="A56" s="1069">
        <v>42</v>
      </c>
      <c r="B56" s="461" t="s">
        <v>114</v>
      </c>
      <c r="C56" s="1069" t="s">
        <v>46</v>
      </c>
      <c r="D56" s="1069">
        <v>584.25</v>
      </c>
      <c r="E56" s="1069" t="s">
        <v>419</v>
      </c>
      <c r="F56" s="1069">
        <v>177.8</v>
      </c>
      <c r="G56" s="1069" t="s">
        <v>28</v>
      </c>
      <c r="H56" s="1069" t="s">
        <v>492</v>
      </c>
      <c r="I56" s="1068">
        <v>566.38000000000022</v>
      </c>
      <c r="J56" s="1069">
        <v>105</v>
      </c>
      <c r="K56" s="1069"/>
      <c r="L56" s="1069">
        <v>98</v>
      </c>
      <c r="M56" s="1069"/>
      <c r="N56" s="1083">
        <v>0.5</v>
      </c>
      <c r="O56" s="1069"/>
      <c r="P56" s="668">
        <v>46.582408574669991</v>
      </c>
      <c r="Q56" s="668">
        <f>J56*7/100</f>
        <v>7.35</v>
      </c>
      <c r="R56" s="432">
        <v>1.4730000000000001</v>
      </c>
      <c r="S56" s="432">
        <v>5.915</v>
      </c>
      <c r="T56" s="670">
        <v>1.5</v>
      </c>
      <c r="U56" s="668">
        <f t="shared" si="8"/>
        <v>1.0183299389002036</v>
      </c>
      <c r="V56" s="668">
        <f t="shared" si="4"/>
        <v>75.097210481825869</v>
      </c>
      <c r="W56" s="668">
        <v>0.3</v>
      </c>
      <c r="X56" s="432">
        <f t="shared" si="7"/>
        <v>0.80476190476190479</v>
      </c>
      <c r="Y56" s="432">
        <f t="shared" si="1"/>
        <v>1.4509050000000001</v>
      </c>
      <c r="Z56" s="432">
        <f t="shared" si="1"/>
        <v>5.8262749999999999</v>
      </c>
      <c r="AA56" s="670">
        <f t="shared" si="1"/>
        <v>1.4775</v>
      </c>
      <c r="AB56" s="432">
        <f t="shared" si="5"/>
        <v>1.0183299389002036</v>
      </c>
      <c r="AC56" s="670">
        <v>0</v>
      </c>
      <c r="AD56" s="1069">
        <v>30</v>
      </c>
      <c r="AE56" s="432">
        <f t="shared" si="6"/>
        <v>43.527150000000006</v>
      </c>
      <c r="AF56" s="669"/>
    </row>
    <row r="57" spans="1:32" ht="18.75" customHeight="1" x14ac:dyDescent="0.2">
      <c r="A57" s="1069">
        <v>43</v>
      </c>
      <c r="B57" s="461" t="s">
        <v>106</v>
      </c>
      <c r="C57" s="1069" t="s">
        <v>46</v>
      </c>
      <c r="D57" s="1069">
        <v>642.52</v>
      </c>
      <c r="E57" s="1069" t="s">
        <v>457</v>
      </c>
      <c r="F57" s="1069">
        <v>177.8</v>
      </c>
      <c r="G57" s="1069" t="s">
        <v>28</v>
      </c>
      <c r="H57" s="1069" t="s">
        <v>456</v>
      </c>
      <c r="I57" s="1068">
        <v>546.55999999999995</v>
      </c>
      <c r="J57" s="1069">
        <v>238</v>
      </c>
      <c r="K57" s="1069"/>
      <c r="L57" s="1069">
        <v>196</v>
      </c>
      <c r="M57" s="1069"/>
      <c r="N57" s="1083">
        <v>6.9</v>
      </c>
      <c r="O57" s="1069"/>
      <c r="P57" s="668">
        <v>43.379220197458594</v>
      </c>
      <c r="Q57" s="668">
        <f>J57*23/100</f>
        <v>54.74</v>
      </c>
      <c r="R57" s="432">
        <v>1.9510000000000001</v>
      </c>
      <c r="S57" s="432">
        <v>18.373999999999999</v>
      </c>
      <c r="T57" s="670">
        <v>23.681000000000001</v>
      </c>
      <c r="U57" s="668">
        <f t="shared" si="8"/>
        <v>12.137878011276269</v>
      </c>
      <c r="V57" s="668">
        <f t="shared" si="4"/>
        <v>89.381735060411444</v>
      </c>
      <c r="W57" s="668">
        <v>0.3</v>
      </c>
      <c r="X57" s="432">
        <f t="shared" si="7"/>
        <v>0.33565948118377781</v>
      </c>
      <c r="Y57" s="432">
        <f t="shared" si="1"/>
        <v>1.921735</v>
      </c>
      <c r="Z57" s="432">
        <f t="shared" si="1"/>
        <v>18.098389999999998</v>
      </c>
      <c r="AA57" s="670">
        <f t="shared" si="1"/>
        <v>23.325785</v>
      </c>
      <c r="AB57" s="432">
        <f t="shared" si="5"/>
        <v>12.137878011276269</v>
      </c>
      <c r="AC57" s="670">
        <f t="shared" si="2"/>
        <v>89.381735060411444</v>
      </c>
      <c r="AD57" s="1069">
        <v>30</v>
      </c>
      <c r="AE57" s="432">
        <f t="shared" si="6"/>
        <v>57.652050000000003</v>
      </c>
      <c r="AF57" s="449"/>
    </row>
    <row r="58" spans="1:32" ht="18.75" customHeight="1" x14ac:dyDescent="0.2">
      <c r="A58" s="1069">
        <v>44</v>
      </c>
      <c r="B58" s="461" t="s">
        <v>105</v>
      </c>
      <c r="C58" s="1069" t="s">
        <v>46</v>
      </c>
      <c r="D58" s="1069">
        <v>609.6</v>
      </c>
      <c r="E58" s="1069" t="s">
        <v>110</v>
      </c>
      <c r="F58" s="1069">
        <v>177.8</v>
      </c>
      <c r="G58" s="1069" t="s">
        <v>28</v>
      </c>
      <c r="H58" s="1069" t="s">
        <v>487</v>
      </c>
      <c r="I58" s="1068">
        <v>505.30000000000013</v>
      </c>
      <c r="J58" s="1069">
        <v>85</v>
      </c>
      <c r="K58" s="1069"/>
      <c r="L58" s="1069">
        <v>382</v>
      </c>
      <c r="M58" s="1069"/>
      <c r="N58" s="1083">
        <v>2.1</v>
      </c>
      <c r="O58" s="1069"/>
      <c r="P58" s="668">
        <v>14.547901556494581</v>
      </c>
      <c r="Q58" s="668">
        <f t="shared" si="9"/>
        <v>12.75</v>
      </c>
      <c r="R58" s="432">
        <v>1.6339999999999999</v>
      </c>
      <c r="S58" s="432">
        <v>1.6579999999999999</v>
      </c>
      <c r="T58" s="670">
        <v>1.042</v>
      </c>
      <c r="U58" s="668">
        <f t="shared" si="8"/>
        <v>0.63769889840881278</v>
      </c>
      <c r="V58" s="668">
        <f t="shared" si="4"/>
        <v>1.4475271411338977</v>
      </c>
      <c r="W58" s="668">
        <v>0.3</v>
      </c>
      <c r="X58" s="432">
        <f t="shared" si="7"/>
        <v>0.1300392156862745</v>
      </c>
      <c r="Y58" s="432">
        <f t="shared" si="1"/>
        <v>1.6094899999999999</v>
      </c>
      <c r="Z58" s="432">
        <f t="shared" si="1"/>
        <v>1.63313</v>
      </c>
      <c r="AA58" s="670">
        <f t="shared" si="1"/>
        <v>1.02637</v>
      </c>
      <c r="AB58" s="432">
        <v>0</v>
      </c>
      <c r="AC58" s="670">
        <v>0</v>
      </c>
      <c r="AD58" s="1069">
        <v>30</v>
      </c>
      <c r="AE58" s="432">
        <f t="shared" si="6"/>
        <v>48.284699999999994</v>
      </c>
      <c r="AF58" s="669"/>
    </row>
    <row r="59" spans="1:32" ht="18.75" customHeight="1" x14ac:dyDescent="0.2">
      <c r="A59" s="1069">
        <v>45</v>
      </c>
      <c r="B59" s="461" t="s">
        <v>104</v>
      </c>
      <c r="C59" s="1069" t="s">
        <v>381</v>
      </c>
      <c r="D59" s="1069">
        <v>707.14</v>
      </c>
      <c r="E59" s="1068" t="s">
        <v>382</v>
      </c>
      <c r="F59" s="1069">
        <v>177.8</v>
      </c>
      <c r="G59" s="1069" t="s">
        <v>28</v>
      </c>
      <c r="H59" s="1069" t="s">
        <v>383</v>
      </c>
      <c r="I59" s="1068">
        <v>682.43000000000052</v>
      </c>
      <c r="J59" s="1069"/>
      <c r="K59" s="1069">
        <v>548</v>
      </c>
      <c r="L59" s="1069"/>
      <c r="M59" s="1069">
        <v>6.9</v>
      </c>
      <c r="N59" s="1083"/>
      <c r="O59" s="1069"/>
      <c r="P59" s="668"/>
      <c r="Q59" s="668">
        <f>J59*3/100</f>
        <v>0</v>
      </c>
      <c r="R59" s="432">
        <v>0</v>
      </c>
      <c r="S59" s="432">
        <v>0</v>
      </c>
      <c r="T59" s="670">
        <v>0</v>
      </c>
      <c r="U59" s="668">
        <f t="shared" si="8"/>
        <v>0</v>
      </c>
      <c r="V59" s="668">
        <f t="shared" si="4"/>
        <v>0</v>
      </c>
      <c r="W59" s="668">
        <v>0</v>
      </c>
      <c r="X59" s="432">
        <f t="shared" si="7"/>
        <v>0</v>
      </c>
      <c r="Y59" s="432">
        <f t="shared" si="1"/>
        <v>0</v>
      </c>
      <c r="Z59" s="432">
        <f t="shared" si="1"/>
        <v>0</v>
      </c>
      <c r="AA59" s="670">
        <f t="shared" si="1"/>
        <v>0</v>
      </c>
      <c r="AB59" s="432">
        <f t="shared" si="5"/>
        <v>0</v>
      </c>
      <c r="AC59" s="670">
        <f t="shared" si="2"/>
        <v>0</v>
      </c>
      <c r="AD59" s="1069">
        <v>0</v>
      </c>
      <c r="AE59" s="432">
        <f t="shared" si="6"/>
        <v>0</v>
      </c>
      <c r="AF59" s="669" t="s">
        <v>335</v>
      </c>
    </row>
    <row r="60" spans="1:32" ht="18.600000000000001" customHeight="1" x14ac:dyDescent="0.3">
      <c r="A60" s="1069">
        <v>46</v>
      </c>
      <c r="B60" s="1075" t="s">
        <v>158</v>
      </c>
      <c r="C60" s="1069" t="s">
        <v>46</v>
      </c>
      <c r="D60" s="1068">
        <v>621.12</v>
      </c>
      <c r="E60" s="1068" t="s">
        <v>232</v>
      </c>
      <c r="F60" s="1069">
        <v>177.8</v>
      </c>
      <c r="G60" s="1069" t="s">
        <v>28</v>
      </c>
      <c r="H60" s="1069" t="s">
        <v>487</v>
      </c>
      <c r="I60" s="1068">
        <v>542.41</v>
      </c>
      <c r="J60" s="1068">
        <v>175</v>
      </c>
      <c r="K60" s="1068"/>
      <c r="L60" s="1068">
        <v>452</v>
      </c>
      <c r="M60" s="1068"/>
      <c r="N60" s="1083">
        <v>7.3</v>
      </c>
      <c r="O60" s="1068"/>
      <c r="P60" s="448">
        <v>17.180418442071225</v>
      </c>
      <c r="Q60" s="668">
        <f t="shared" ref="Q60" si="10">LEFT(H60,(FIND("K",H60,1)-1))*J60/100</f>
        <v>26.25</v>
      </c>
      <c r="R60" s="432">
        <v>6.6150000000000002</v>
      </c>
      <c r="S60" s="432">
        <v>9.2629999999999999</v>
      </c>
      <c r="T60" s="492">
        <v>103.25</v>
      </c>
      <c r="U60" s="668">
        <f t="shared" si="8"/>
        <v>15.608465608465607</v>
      </c>
      <c r="V60" s="668">
        <f t="shared" si="4"/>
        <v>28.586850912231455</v>
      </c>
      <c r="W60" s="668">
        <v>0.2</v>
      </c>
      <c r="X60" s="432">
        <f t="shared" si="7"/>
        <v>0.35287619047619045</v>
      </c>
      <c r="Y60" s="432">
        <f t="shared" si="1"/>
        <v>6.5157750000000005</v>
      </c>
      <c r="Z60" s="432">
        <f t="shared" si="1"/>
        <v>9.1240550000000002</v>
      </c>
      <c r="AA60" s="670">
        <f t="shared" si="1"/>
        <v>101.70125</v>
      </c>
      <c r="AB60" s="432">
        <f t="shared" si="5"/>
        <v>15.608465608465607</v>
      </c>
      <c r="AC60" s="670">
        <f t="shared" si="2"/>
        <v>28.586850912231455</v>
      </c>
      <c r="AD60" s="1069">
        <v>30</v>
      </c>
      <c r="AE60" s="432">
        <f>Y60*AD60</f>
        <v>195.47325000000001</v>
      </c>
      <c r="AF60" s="458"/>
    </row>
    <row r="61" spans="1:32" ht="18.75" customHeight="1" x14ac:dyDescent="0.2">
      <c r="A61" s="1069">
        <v>47</v>
      </c>
      <c r="B61" s="1061" t="s">
        <v>160</v>
      </c>
      <c r="C61" s="1069" t="s">
        <v>304</v>
      </c>
      <c r="D61" s="1068">
        <v>677.33</v>
      </c>
      <c r="E61" s="1068" t="s">
        <v>315</v>
      </c>
      <c r="F61" s="1069">
        <v>177.8</v>
      </c>
      <c r="G61" s="1069" t="s">
        <v>28</v>
      </c>
      <c r="H61" s="1069" t="s">
        <v>52</v>
      </c>
      <c r="I61" s="1068">
        <v>599.4400000000004</v>
      </c>
      <c r="J61" s="1068"/>
      <c r="K61" s="1068"/>
      <c r="L61" s="1069"/>
      <c r="M61" s="1068"/>
      <c r="N61" s="1083"/>
      <c r="O61" s="1068"/>
      <c r="P61" s="448">
        <v>49.760394055761445</v>
      </c>
      <c r="Q61" s="668">
        <f t="shared" si="9"/>
        <v>0</v>
      </c>
      <c r="R61" s="432">
        <v>0</v>
      </c>
      <c r="S61" s="432">
        <v>0</v>
      </c>
      <c r="T61" s="492">
        <v>0</v>
      </c>
      <c r="U61" s="668">
        <f t="shared" si="8"/>
        <v>0</v>
      </c>
      <c r="V61" s="668">
        <f t="shared" si="4"/>
        <v>0</v>
      </c>
      <c r="W61" s="668">
        <v>0</v>
      </c>
      <c r="X61" s="432">
        <f t="shared" si="7"/>
        <v>0</v>
      </c>
      <c r="Y61" s="432">
        <f t="shared" si="1"/>
        <v>0</v>
      </c>
      <c r="Z61" s="432">
        <f t="shared" si="1"/>
        <v>0</v>
      </c>
      <c r="AA61" s="670">
        <f t="shared" si="1"/>
        <v>0</v>
      </c>
      <c r="AB61" s="432">
        <f t="shared" si="5"/>
        <v>0</v>
      </c>
      <c r="AC61" s="670">
        <f t="shared" si="2"/>
        <v>0</v>
      </c>
      <c r="AD61" s="1069">
        <v>0</v>
      </c>
      <c r="AE61" s="432">
        <f>Y61*AD61</f>
        <v>0</v>
      </c>
      <c r="AF61" s="669" t="s">
        <v>334</v>
      </c>
    </row>
    <row r="62" spans="1:32" ht="18.75" customHeight="1" x14ac:dyDescent="0.2">
      <c r="A62" s="1069">
        <v>48</v>
      </c>
      <c r="B62" s="461" t="s">
        <v>164</v>
      </c>
      <c r="C62" s="1069" t="s">
        <v>46</v>
      </c>
      <c r="D62" s="1068">
        <v>678.47</v>
      </c>
      <c r="E62" s="1068" t="s">
        <v>233</v>
      </c>
      <c r="F62" s="1069">
        <v>177.8</v>
      </c>
      <c r="G62" s="1069" t="s">
        <v>28</v>
      </c>
      <c r="H62" s="1069" t="s">
        <v>487</v>
      </c>
      <c r="I62" s="1068">
        <v>565.48000000000013</v>
      </c>
      <c r="J62" s="493">
        <v>100</v>
      </c>
      <c r="K62" s="1068"/>
      <c r="L62" s="1068">
        <v>337</v>
      </c>
      <c r="M62" s="1068"/>
      <c r="N62" s="1083">
        <v>7.8</v>
      </c>
      <c r="O62" s="1068"/>
      <c r="P62" s="668">
        <v>30.910175295823326</v>
      </c>
      <c r="Q62" s="668">
        <f t="shared" si="9"/>
        <v>15</v>
      </c>
      <c r="R62" s="432">
        <v>3.6230000000000002</v>
      </c>
      <c r="S62" s="432">
        <v>9.7669999999999995</v>
      </c>
      <c r="T62" s="670">
        <v>9.3330000000000002</v>
      </c>
      <c r="U62" s="668">
        <f t="shared" si="8"/>
        <v>2.5760419541816173</v>
      </c>
      <c r="V62" s="668">
        <f t="shared" si="4"/>
        <v>62.905702877034905</v>
      </c>
      <c r="W62" s="668">
        <v>0.3</v>
      </c>
      <c r="X62" s="432">
        <f t="shared" si="7"/>
        <v>0.65113333333333334</v>
      </c>
      <c r="Y62" s="432">
        <f t="shared" si="1"/>
        <v>3.5686550000000001</v>
      </c>
      <c r="Z62" s="432">
        <f t="shared" si="1"/>
        <v>9.620495</v>
      </c>
      <c r="AA62" s="670">
        <f t="shared" si="1"/>
        <v>9.1930049999999994</v>
      </c>
      <c r="AB62" s="432">
        <f t="shared" si="5"/>
        <v>2.5760419541816173</v>
      </c>
      <c r="AC62" s="670">
        <f t="shared" si="2"/>
        <v>62.905702877034905</v>
      </c>
      <c r="AD62" s="1069">
        <v>30</v>
      </c>
      <c r="AE62" s="432">
        <f t="shared" ref="AE62:AE77" si="11">Y62*AD62</f>
        <v>107.05965</v>
      </c>
      <c r="AF62" s="669"/>
    </row>
    <row r="63" spans="1:32" ht="18.75" customHeight="1" x14ac:dyDescent="0.2">
      <c r="A63" s="1069">
        <v>49</v>
      </c>
      <c r="B63" s="461" t="s">
        <v>61</v>
      </c>
      <c r="C63" s="1069" t="s">
        <v>46</v>
      </c>
      <c r="D63" s="1069">
        <v>667.18</v>
      </c>
      <c r="E63" s="1069" t="s">
        <v>96</v>
      </c>
      <c r="F63" s="1069">
        <v>177.8</v>
      </c>
      <c r="G63" s="1069" t="s">
        <v>28</v>
      </c>
      <c r="H63" s="1069" t="s">
        <v>52</v>
      </c>
      <c r="I63" s="1068">
        <v>534.21</v>
      </c>
      <c r="J63" s="1069">
        <v>355</v>
      </c>
      <c r="K63" s="1069"/>
      <c r="L63" s="1069">
        <v>455</v>
      </c>
      <c r="M63" s="1069"/>
      <c r="N63" s="1083">
        <v>2.1</v>
      </c>
      <c r="O63" s="1069"/>
      <c r="P63" s="668">
        <v>11.853580617918645</v>
      </c>
      <c r="Q63" s="668">
        <f t="shared" si="9"/>
        <v>78.099999999999994</v>
      </c>
      <c r="R63" s="432">
        <v>6.6619999999999999</v>
      </c>
      <c r="S63" s="432">
        <v>11.851000000000001</v>
      </c>
      <c r="T63" s="670">
        <v>45.542000000000002</v>
      </c>
      <c r="U63" s="668">
        <f t="shared" si="8"/>
        <v>6.8360852596817772</v>
      </c>
      <c r="V63" s="668">
        <f t="shared" si="4"/>
        <v>43.785334570922288</v>
      </c>
      <c r="W63" s="668">
        <v>0.2</v>
      </c>
      <c r="X63" s="432">
        <f t="shared" si="7"/>
        <v>0.15174135723431501</v>
      </c>
      <c r="Y63" s="432">
        <f t="shared" si="1"/>
        <v>6.5620699999999994</v>
      </c>
      <c r="Z63" s="432">
        <f t="shared" si="1"/>
        <v>11.673235</v>
      </c>
      <c r="AA63" s="670">
        <f t="shared" si="1"/>
        <v>44.858870000000003</v>
      </c>
      <c r="AB63" s="432">
        <f t="shared" si="5"/>
        <v>6.8360852596817772</v>
      </c>
      <c r="AC63" s="670">
        <f t="shared" si="2"/>
        <v>43.785334570922288</v>
      </c>
      <c r="AD63" s="1069">
        <v>30</v>
      </c>
      <c r="AE63" s="432">
        <f t="shared" si="11"/>
        <v>196.86209999999997</v>
      </c>
      <c r="AF63" s="449"/>
    </row>
    <row r="64" spans="1:32" ht="18.75" customHeight="1" x14ac:dyDescent="0.2">
      <c r="A64" s="1069">
        <v>50</v>
      </c>
      <c r="B64" s="461" t="s">
        <v>64</v>
      </c>
      <c r="C64" s="1069" t="s">
        <v>46</v>
      </c>
      <c r="D64" s="1069">
        <v>672.5</v>
      </c>
      <c r="E64" s="1069" t="s">
        <v>444</v>
      </c>
      <c r="F64" s="1069">
        <v>177.8</v>
      </c>
      <c r="G64" s="1069" t="s">
        <v>28</v>
      </c>
      <c r="H64" s="1069" t="s">
        <v>49</v>
      </c>
      <c r="I64" s="1068">
        <v>523.78</v>
      </c>
      <c r="J64" s="1069">
        <v>364</v>
      </c>
      <c r="K64" s="1069"/>
      <c r="L64" s="1069">
        <v>453</v>
      </c>
      <c r="M64" s="1069"/>
      <c r="N64" s="1083">
        <v>8.6</v>
      </c>
      <c r="O64" s="1069"/>
      <c r="P64" s="668">
        <v>18.349305620607218</v>
      </c>
      <c r="Q64" s="668">
        <f t="shared" si="9"/>
        <v>116.48</v>
      </c>
      <c r="R64" s="432">
        <v>7.1710000000000003</v>
      </c>
      <c r="S64" s="432">
        <v>9.3870000000000005</v>
      </c>
      <c r="T64" s="670">
        <v>2754.625</v>
      </c>
      <c r="U64" s="668">
        <f t="shared" si="8"/>
        <v>384.13401199274858</v>
      </c>
      <c r="V64" s="668">
        <f t="shared" si="4"/>
        <v>23.607116224565893</v>
      </c>
      <c r="W64" s="668">
        <v>0.2</v>
      </c>
      <c r="X64" s="432">
        <f t="shared" si="7"/>
        <v>8.0588942307692313E-2</v>
      </c>
      <c r="Y64" s="432">
        <f t="shared" si="1"/>
        <v>7.0634350000000001</v>
      </c>
      <c r="Z64" s="432">
        <f t="shared" si="1"/>
        <v>9.2461950000000002</v>
      </c>
      <c r="AA64" s="670">
        <f t="shared" si="1"/>
        <v>2713.305625</v>
      </c>
      <c r="AB64" s="432">
        <f t="shared" si="5"/>
        <v>384.13401199274858</v>
      </c>
      <c r="AC64" s="670">
        <f t="shared" si="2"/>
        <v>23.607116224565893</v>
      </c>
      <c r="AD64" s="1069">
        <v>30</v>
      </c>
      <c r="AE64" s="432">
        <f t="shared" si="11"/>
        <v>211.90305000000001</v>
      </c>
      <c r="AF64" s="449"/>
    </row>
    <row r="65" spans="1:32" ht="18.75" customHeight="1" x14ac:dyDescent="0.2">
      <c r="A65" s="1069">
        <v>51</v>
      </c>
      <c r="B65" s="461" t="s">
        <v>156</v>
      </c>
      <c r="C65" s="1069" t="s">
        <v>46</v>
      </c>
      <c r="D65" s="1069">
        <v>679.54</v>
      </c>
      <c r="E65" s="1069" t="s">
        <v>166</v>
      </c>
      <c r="F65" s="1069">
        <v>177.8</v>
      </c>
      <c r="G65" s="1069" t="s">
        <v>28</v>
      </c>
      <c r="H65" s="1069" t="s">
        <v>491</v>
      </c>
      <c r="I65" s="1068">
        <v>537.84</v>
      </c>
      <c r="J65" s="1069">
        <v>150</v>
      </c>
      <c r="K65" s="1069"/>
      <c r="L65" s="1069">
        <v>463</v>
      </c>
      <c r="M65" s="1069"/>
      <c r="N65" s="1083">
        <v>3</v>
      </c>
      <c r="O65" s="1069"/>
      <c r="P65" s="668">
        <v>12.053083914287333</v>
      </c>
      <c r="Q65" s="668">
        <f t="shared" si="9"/>
        <v>34.5</v>
      </c>
      <c r="R65" s="432">
        <v>5.0640000000000001</v>
      </c>
      <c r="S65" s="432">
        <v>10.019</v>
      </c>
      <c r="T65" s="670">
        <v>14.667</v>
      </c>
      <c r="U65" s="668">
        <f t="shared" si="8"/>
        <v>2.8963270142180093</v>
      </c>
      <c r="V65" s="668">
        <f t="shared" si="4"/>
        <v>49.456033536281069</v>
      </c>
      <c r="W65" s="668">
        <v>0.2</v>
      </c>
      <c r="X65" s="432">
        <f t="shared" si="7"/>
        <v>0.29040579710144926</v>
      </c>
      <c r="Y65" s="432">
        <f t="shared" si="1"/>
        <v>4.9880399999999998</v>
      </c>
      <c r="Z65" s="432">
        <f t="shared" si="1"/>
        <v>9.8687149999999999</v>
      </c>
      <c r="AA65" s="670">
        <f t="shared" si="1"/>
        <v>14.446994999999999</v>
      </c>
      <c r="AB65" s="432">
        <f t="shared" si="5"/>
        <v>2.8963270142180093</v>
      </c>
      <c r="AC65" s="670">
        <f t="shared" si="2"/>
        <v>49.456033536281069</v>
      </c>
      <c r="AD65" s="1069">
        <v>30</v>
      </c>
      <c r="AE65" s="432">
        <f t="shared" si="11"/>
        <v>149.6412</v>
      </c>
      <c r="AF65" s="449"/>
    </row>
    <row r="66" spans="1:32" ht="18.75" customHeight="1" x14ac:dyDescent="0.2">
      <c r="A66" s="1069">
        <v>52</v>
      </c>
      <c r="B66" s="461" t="s">
        <v>169</v>
      </c>
      <c r="C66" s="1069" t="s">
        <v>46</v>
      </c>
      <c r="D66" s="1069">
        <v>647.37</v>
      </c>
      <c r="E66" s="1069" t="s">
        <v>463</v>
      </c>
      <c r="F66" s="1069">
        <v>177.8</v>
      </c>
      <c r="G66" s="1069" t="s">
        <v>28</v>
      </c>
      <c r="H66" s="1069" t="s">
        <v>487</v>
      </c>
      <c r="I66" s="1068">
        <v>538.13999999999976</v>
      </c>
      <c r="J66" s="1069">
        <v>105</v>
      </c>
      <c r="K66" s="1069"/>
      <c r="L66" s="1069">
        <v>420</v>
      </c>
      <c r="M66" s="1069"/>
      <c r="N66" s="1083">
        <v>7.8</v>
      </c>
      <c r="O66" s="1069"/>
      <c r="P66" s="668">
        <v>22.592631529250138</v>
      </c>
      <c r="Q66" s="668">
        <f t="shared" si="9"/>
        <v>15.75</v>
      </c>
      <c r="R66" s="432">
        <v>4.032</v>
      </c>
      <c r="S66" s="432">
        <v>9.0530000000000008</v>
      </c>
      <c r="T66" s="670">
        <v>8.875</v>
      </c>
      <c r="U66" s="668">
        <f t="shared" si="8"/>
        <v>2.201140873015873</v>
      </c>
      <c r="V66" s="668">
        <f t="shared" si="4"/>
        <v>55.462277698000662</v>
      </c>
      <c r="W66" s="668">
        <v>0.3</v>
      </c>
      <c r="X66" s="432">
        <f t="shared" si="7"/>
        <v>0.57479365079365086</v>
      </c>
      <c r="Y66" s="432">
        <f t="shared" si="1"/>
        <v>3.9715199999999999</v>
      </c>
      <c r="Z66" s="432">
        <f t="shared" si="1"/>
        <v>8.9172050000000009</v>
      </c>
      <c r="AA66" s="670">
        <f t="shared" si="1"/>
        <v>8.7418750000000003</v>
      </c>
      <c r="AB66" s="432">
        <f t="shared" si="5"/>
        <v>2.201140873015873</v>
      </c>
      <c r="AC66" s="670">
        <f t="shared" si="2"/>
        <v>55.462277698000662</v>
      </c>
      <c r="AD66" s="1069">
        <v>30</v>
      </c>
      <c r="AE66" s="432">
        <f>Y66*AD66</f>
        <v>119.1456</v>
      </c>
      <c r="AF66" s="449"/>
    </row>
    <row r="67" spans="1:32" ht="18.75" customHeight="1" x14ac:dyDescent="0.2">
      <c r="A67" s="1069">
        <v>53</v>
      </c>
      <c r="B67" s="461" t="s">
        <v>62</v>
      </c>
      <c r="C67" s="1069" t="s">
        <v>46</v>
      </c>
      <c r="D67" s="1069">
        <v>673.73</v>
      </c>
      <c r="E67" s="1069" t="s">
        <v>97</v>
      </c>
      <c r="F67" s="1069">
        <v>177.8</v>
      </c>
      <c r="G67" s="1069" t="s">
        <v>28</v>
      </c>
      <c r="H67" s="1069" t="s">
        <v>218</v>
      </c>
      <c r="I67" s="1068">
        <v>543</v>
      </c>
      <c r="J67" s="1069">
        <v>300</v>
      </c>
      <c r="K67" s="1069"/>
      <c r="L67" s="1069">
        <v>442</v>
      </c>
      <c r="M67" s="1069"/>
      <c r="N67" s="1083">
        <v>1.9</v>
      </c>
      <c r="O67" s="1069"/>
      <c r="P67" s="668">
        <v>13.670917843043933</v>
      </c>
      <c r="Q67" s="668">
        <f t="shared" si="9"/>
        <v>96</v>
      </c>
      <c r="R67" s="432">
        <v>13</v>
      </c>
      <c r="S67" s="432">
        <v>27.349</v>
      </c>
      <c r="T67" s="670">
        <v>104.458</v>
      </c>
      <c r="U67" s="668">
        <f t="shared" si="8"/>
        <v>8.0352307692307683</v>
      </c>
      <c r="V67" s="668">
        <f t="shared" si="4"/>
        <v>52.466269333430837</v>
      </c>
      <c r="W67" s="668">
        <v>0.3</v>
      </c>
      <c r="X67" s="432">
        <f t="shared" si="7"/>
        <v>0.28488541666666667</v>
      </c>
      <c r="Y67" s="432">
        <f t="shared" si="1"/>
        <v>12.805</v>
      </c>
      <c r="Z67" s="432">
        <f t="shared" si="1"/>
        <v>26.938765</v>
      </c>
      <c r="AA67" s="670">
        <f t="shared" si="1"/>
        <v>102.89113</v>
      </c>
      <c r="AB67" s="432">
        <f t="shared" si="5"/>
        <v>8.0352307692307683</v>
      </c>
      <c r="AC67" s="670">
        <f t="shared" si="2"/>
        <v>52.466269333430837</v>
      </c>
      <c r="AD67" s="1069">
        <v>30</v>
      </c>
      <c r="AE67" s="432">
        <f t="shared" si="11"/>
        <v>384.15</v>
      </c>
      <c r="AF67" s="669"/>
    </row>
    <row r="68" spans="1:32" ht="18.75" customHeight="1" x14ac:dyDescent="0.2">
      <c r="A68" s="1069">
        <v>54</v>
      </c>
      <c r="B68" s="461" t="s">
        <v>157</v>
      </c>
      <c r="C68" s="1069" t="s">
        <v>46</v>
      </c>
      <c r="D68" s="1069">
        <v>676.73</v>
      </c>
      <c r="E68" s="1069" t="s">
        <v>179</v>
      </c>
      <c r="F68" s="1069">
        <v>177.8</v>
      </c>
      <c r="G68" s="1069" t="s">
        <v>28</v>
      </c>
      <c r="H68" s="1069" t="s">
        <v>218</v>
      </c>
      <c r="I68" s="1068">
        <v>579.14</v>
      </c>
      <c r="J68" s="1074">
        <v>400</v>
      </c>
      <c r="K68" s="1069"/>
      <c r="L68" s="1069">
        <v>185</v>
      </c>
      <c r="M68" s="1069"/>
      <c r="N68" s="1083">
        <v>9.3000000000000007</v>
      </c>
      <c r="O68" s="1069"/>
      <c r="P68" s="668">
        <v>44.627710802021632</v>
      </c>
      <c r="Q68" s="668">
        <f t="shared" si="9"/>
        <v>128</v>
      </c>
      <c r="R68" s="432">
        <v>8.6639999999999997</v>
      </c>
      <c r="S68" s="432">
        <v>37.027999999999999</v>
      </c>
      <c r="T68" s="670">
        <v>97</v>
      </c>
      <c r="U68" s="668">
        <f t="shared" si="8"/>
        <v>11.195752539242845</v>
      </c>
      <c r="V68" s="668">
        <f t="shared" si="4"/>
        <v>76.601490763746355</v>
      </c>
      <c r="W68" s="668">
        <v>0.3</v>
      </c>
      <c r="X68" s="432">
        <f t="shared" si="7"/>
        <v>0.28928124999999999</v>
      </c>
      <c r="Y68" s="432">
        <f t="shared" si="1"/>
        <v>8.5340399999999992</v>
      </c>
      <c r="Z68" s="432">
        <f t="shared" si="1"/>
        <v>36.472580000000001</v>
      </c>
      <c r="AA68" s="670">
        <f t="shared" si="1"/>
        <v>95.545000000000002</v>
      </c>
      <c r="AB68" s="432">
        <f t="shared" si="5"/>
        <v>11.195752539242845</v>
      </c>
      <c r="AC68" s="670">
        <f t="shared" si="2"/>
        <v>76.601490763746355</v>
      </c>
      <c r="AD68" s="1069">
        <v>30</v>
      </c>
      <c r="AE68" s="432">
        <f t="shared" si="11"/>
        <v>256.02119999999996</v>
      </c>
      <c r="AF68" s="676"/>
    </row>
    <row r="69" spans="1:32" ht="18.75" customHeight="1" x14ac:dyDescent="0.2">
      <c r="A69" s="1069">
        <v>55</v>
      </c>
      <c r="B69" s="461" t="s">
        <v>159</v>
      </c>
      <c r="C69" s="1069" t="s">
        <v>46</v>
      </c>
      <c r="D69" s="1069">
        <v>676</v>
      </c>
      <c r="E69" s="1069" t="s">
        <v>167</v>
      </c>
      <c r="F69" s="1069">
        <v>177.8</v>
      </c>
      <c r="G69" s="1069" t="s">
        <v>28</v>
      </c>
      <c r="H69" s="1069" t="s">
        <v>342</v>
      </c>
      <c r="I69" s="1068">
        <v>509.61000000000024</v>
      </c>
      <c r="J69" s="1074">
        <v>350</v>
      </c>
      <c r="K69" s="1069"/>
      <c r="L69" s="1069">
        <v>459</v>
      </c>
      <c r="M69" s="1069"/>
      <c r="N69" s="1083">
        <v>9</v>
      </c>
      <c r="O69" s="1069"/>
      <c r="P69" s="668">
        <v>14.607036957052339</v>
      </c>
      <c r="Q69" s="668">
        <f>(20*J69)/100</f>
        <v>70</v>
      </c>
      <c r="R69" s="432">
        <v>15.098000000000001</v>
      </c>
      <c r="S69" s="432">
        <v>20.059000000000001</v>
      </c>
      <c r="T69" s="670">
        <v>547.45799999999997</v>
      </c>
      <c r="U69" s="668">
        <f t="shared" si="8"/>
        <v>36.260299377400976</v>
      </c>
      <c r="V69" s="668">
        <f t="shared" si="4"/>
        <v>24.732040480582281</v>
      </c>
      <c r="W69" s="668">
        <v>0.3</v>
      </c>
      <c r="X69" s="432">
        <f t="shared" si="7"/>
        <v>0.2865571428571429</v>
      </c>
      <c r="Y69" s="432">
        <f t="shared" si="1"/>
        <v>14.87153</v>
      </c>
      <c r="Z69" s="432">
        <f t="shared" si="1"/>
        <v>19.758115</v>
      </c>
      <c r="AA69" s="670">
        <f t="shared" si="1"/>
        <v>539.24612999999999</v>
      </c>
      <c r="AB69" s="432">
        <f t="shared" si="5"/>
        <v>36.260299377400976</v>
      </c>
      <c r="AC69" s="670">
        <f t="shared" si="2"/>
        <v>24.732040480582281</v>
      </c>
      <c r="AD69" s="1069">
        <v>30</v>
      </c>
      <c r="AE69" s="432">
        <f t="shared" si="11"/>
        <v>446.14589999999998</v>
      </c>
      <c r="AF69" s="669"/>
    </row>
    <row r="70" spans="1:32" ht="18.75" customHeight="1" x14ac:dyDescent="0.2">
      <c r="A70" s="1069">
        <v>56</v>
      </c>
      <c r="B70" s="461" t="s">
        <v>330</v>
      </c>
      <c r="C70" s="1069" t="s">
        <v>46</v>
      </c>
      <c r="D70" s="1069">
        <v>595</v>
      </c>
      <c r="E70" s="1069" t="s">
        <v>367</v>
      </c>
      <c r="F70" s="1069">
        <v>178.8</v>
      </c>
      <c r="G70" s="1069" t="s">
        <v>28</v>
      </c>
      <c r="H70" s="1069" t="s">
        <v>533</v>
      </c>
      <c r="I70" s="1068">
        <v>498.73</v>
      </c>
      <c r="J70" s="1074">
        <v>290</v>
      </c>
      <c r="K70" s="1069"/>
      <c r="L70" s="1069">
        <v>441</v>
      </c>
      <c r="M70" s="1069"/>
      <c r="N70" s="1083">
        <v>11.1</v>
      </c>
      <c r="O70" s="1069"/>
      <c r="P70" s="668">
        <v>18.207758566485918</v>
      </c>
      <c r="Q70" s="668">
        <f>J70*33/100</f>
        <v>95.7</v>
      </c>
      <c r="R70" s="432">
        <v>26.75</v>
      </c>
      <c r="S70" s="432">
        <v>30.486000000000001</v>
      </c>
      <c r="T70" s="670">
        <v>948.375</v>
      </c>
      <c r="U70" s="668">
        <f t="shared" si="8"/>
        <v>35.453271028037385</v>
      </c>
      <c r="V70" s="668">
        <f t="shared" si="4"/>
        <v>12.254805484484683</v>
      </c>
      <c r="W70" s="668">
        <v>0.2</v>
      </c>
      <c r="X70" s="432">
        <f t="shared" si="7"/>
        <v>0.3185579937304075</v>
      </c>
      <c r="Y70" s="432">
        <f t="shared" si="1"/>
        <v>26.348749999999999</v>
      </c>
      <c r="Z70" s="432">
        <f t="shared" si="1"/>
        <v>30.02871</v>
      </c>
      <c r="AA70" s="670">
        <f t="shared" si="1"/>
        <v>934.14937499999996</v>
      </c>
      <c r="AB70" s="432">
        <v>20</v>
      </c>
      <c r="AC70" s="670">
        <v>17</v>
      </c>
      <c r="AD70" s="1069">
        <v>30</v>
      </c>
      <c r="AE70" s="432">
        <f t="shared" si="11"/>
        <v>790.46249999999998</v>
      </c>
      <c r="AF70" s="669"/>
    </row>
    <row r="71" spans="1:32" ht="18.75" customHeight="1" x14ac:dyDescent="0.2">
      <c r="A71" s="1069">
        <v>57</v>
      </c>
      <c r="B71" s="461" t="s">
        <v>210</v>
      </c>
      <c r="C71" s="1069" t="s">
        <v>46</v>
      </c>
      <c r="D71" s="1069">
        <v>728.32</v>
      </c>
      <c r="E71" s="1069" t="s">
        <v>226</v>
      </c>
      <c r="F71" s="1069">
        <v>177.8</v>
      </c>
      <c r="G71" s="1069" t="s">
        <v>28</v>
      </c>
      <c r="H71" s="1069" t="s">
        <v>491</v>
      </c>
      <c r="I71" s="1068">
        <v>518.75</v>
      </c>
      <c r="J71" s="1074">
        <v>110</v>
      </c>
      <c r="K71" s="1069"/>
      <c r="L71" s="1069">
        <v>172</v>
      </c>
      <c r="M71" s="1069"/>
      <c r="N71" s="1083">
        <v>11.2</v>
      </c>
      <c r="O71" s="1069"/>
      <c r="P71" s="668">
        <v>46.592814734748103</v>
      </c>
      <c r="Q71" s="668">
        <f t="shared" si="9"/>
        <v>25.3</v>
      </c>
      <c r="R71" s="432">
        <v>5.0170000000000003</v>
      </c>
      <c r="S71" s="432">
        <v>20.465</v>
      </c>
      <c r="T71" s="670">
        <v>110.667</v>
      </c>
      <c r="U71" s="668">
        <f t="shared" si="8"/>
        <v>22.05840143512059</v>
      </c>
      <c r="V71" s="668">
        <f t="shared" si="4"/>
        <v>75.484974346445156</v>
      </c>
      <c r="W71" s="668">
        <v>0.3</v>
      </c>
      <c r="X71" s="432">
        <f t="shared" si="7"/>
        <v>0.80889328063241106</v>
      </c>
      <c r="Y71" s="432">
        <f t="shared" si="1"/>
        <v>4.9417450000000001</v>
      </c>
      <c r="Z71" s="432">
        <f t="shared" si="1"/>
        <v>20.158024999999999</v>
      </c>
      <c r="AA71" s="670">
        <f t="shared" si="1"/>
        <v>109.006995</v>
      </c>
      <c r="AB71" s="432">
        <f t="shared" si="5"/>
        <v>22.05840143512059</v>
      </c>
      <c r="AC71" s="670">
        <f t="shared" si="2"/>
        <v>75.484974346445156</v>
      </c>
      <c r="AD71" s="1069">
        <v>30</v>
      </c>
      <c r="AE71" s="432">
        <f t="shared" si="11"/>
        <v>148.25235000000001</v>
      </c>
      <c r="AF71" s="449"/>
    </row>
    <row r="72" spans="1:32" ht="18.75" customHeight="1" x14ac:dyDescent="0.2">
      <c r="A72" s="1069">
        <v>58</v>
      </c>
      <c r="B72" s="461" t="s">
        <v>63</v>
      </c>
      <c r="C72" s="1069" t="s">
        <v>46</v>
      </c>
      <c r="D72" s="1069">
        <v>672.99</v>
      </c>
      <c r="E72" s="1069" t="s">
        <v>98</v>
      </c>
      <c r="F72" s="1069">
        <v>177.8</v>
      </c>
      <c r="G72" s="1069" t="s">
        <v>28</v>
      </c>
      <c r="H72" s="1069" t="s">
        <v>310</v>
      </c>
      <c r="I72" s="1068">
        <v>536.32000000000005</v>
      </c>
      <c r="J72" s="1074">
        <v>350</v>
      </c>
      <c r="K72" s="1069"/>
      <c r="L72" s="1069">
        <v>451</v>
      </c>
      <c r="M72" s="1069"/>
      <c r="N72" s="1083">
        <v>6.4</v>
      </c>
      <c r="O72" s="1069"/>
      <c r="P72" s="668">
        <v>16.559442271400446</v>
      </c>
      <c r="Q72" s="668">
        <f t="shared" si="9"/>
        <v>77</v>
      </c>
      <c r="R72" s="432">
        <v>17.183</v>
      </c>
      <c r="S72" s="432">
        <v>23.532</v>
      </c>
      <c r="T72" s="670">
        <v>271.5</v>
      </c>
      <c r="U72" s="668">
        <f t="shared" si="8"/>
        <v>15.800500494674969</v>
      </c>
      <c r="V72" s="668">
        <f t="shared" si="4"/>
        <v>26.980282168961416</v>
      </c>
      <c r="W72" s="668">
        <v>0.3</v>
      </c>
      <c r="X72" s="432">
        <f t="shared" si="7"/>
        <v>0.30561038961038961</v>
      </c>
      <c r="Y72" s="432">
        <f t="shared" si="1"/>
        <v>16.925255</v>
      </c>
      <c r="Z72" s="432">
        <f t="shared" si="1"/>
        <v>23.179020000000001</v>
      </c>
      <c r="AA72" s="670">
        <f t="shared" si="1"/>
        <v>267.42750000000001</v>
      </c>
      <c r="AB72" s="432">
        <f t="shared" si="5"/>
        <v>15.800500494674969</v>
      </c>
      <c r="AC72" s="670">
        <f t="shared" si="2"/>
        <v>26.980282168961416</v>
      </c>
      <c r="AD72" s="1069">
        <v>30</v>
      </c>
      <c r="AE72" s="432">
        <f t="shared" si="11"/>
        <v>507.75765000000001</v>
      </c>
      <c r="AF72" s="449"/>
    </row>
    <row r="73" spans="1:32" ht="18.75" customHeight="1" x14ac:dyDescent="0.2">
      <c r="A73" s="1069">
        <v>59</v>
      </c>
      <c r="B73" s="461" t="s">
        <v>217</v>
      </c>
      <c r="C73" s="1069" t="s">
        <v>46</v>
      </c>
      <c r="D73" s="1069">
        <v>684.57</v>
      </c>
      <c r="E73" s="1069" t="s">
        <v>532</v>
      </c>
      <c r="F73" s="1069">
        <v>177.8</v>
      </c>
      <c r="G73" s="1069" t="s">
        <v>28</v>
      </c>
      <c r="H73" s="1069" t="s">
        <v>219</v>
      </c>
      <c r="I73" s="1068">
        <v>563.03</v>
      </c>
      <c r="J73" s="1074">
        <v>200</v>
      </c>
      <c r="K73" s="1069"/>
      <c r="L73" s="1069">
        <v>48</v>
      </c>
      <c r="M73" s="1069"/>
      <c r="N73" s="1083">
        <v>4.8</v>
      </c>
      <c r="O73" s="1069"/>
      <c r="P73" s="668">
        <v>57.087002555419943</v>
      </c>
      <c r="Q73" s="668">
        <f t="shared" si="9"/>
        <v>24</v>
      </c>
      <c r="R73" s="432">
        <v>0.33800000000000002</v>
      </c>
      <c r="S73" s="432">
        <v>6.024</v>
      </c>
      <c r="T73" s="670">
        <v>0</v>
      </c>
      <c r="U73" s="668">
        <f t="shared" si="8"/>
        <v>0</v>
      </c>
      <c r="V73" s="668">
        <f t="shared" si="4"/>
        <v>94.389110225763602</v>
      </c>
      <c r="W73" s="668">
        <v>0.3</v>
      </c>
      <c r="X73" s="432">
        <f t="shared" si="7"/>
        <v>0.251</v>
      </c>
      <c r="Y73" s="432">
        <f t="shared" si="1"/>
        <v>0.33293</v>
      </c>
      <c r="Z73" s="432">
        <f t="shared" si="1"/>
        <v>5.9336399999999996</v>
      </c>
      <c r="AA73" s="670">
        <f t="shared" si="1"/>
        <v>0</v>
      </c>
      <c r="AB73" s="432">
        <f t="shared" si="5"/>
        <v>0</v>
      </c>
      <c r="AC73" s="670">
        <f t="shared" si="2"/>
        <v>94.389110225763602</v>
      </c>
      <c r="AD73" s="1069">
        <v>30</v>
      </c>
      <c r="AE73" s="432">
        <f t="shared" si="11"/>
        <v>9.9878999999999998</v>
      </c>
      <c r="AF73" s="449"/>
    </row>
    <row r="74" spans="1:32" ht="18.75" customHeight="1" x14ac:dyDescent="0.2">
      <c r="A74" s="1069">
        <v>60</v>
      </c>
      <c r="B74" s="461" t="s">
        <v>211</v>
      </c>
      <c r="C74" s="1069" t="s">
        <v>46</v>
      </c>
      <c r="D74" s="1069">
        <v>675.29</v>
      </c>
      <c r="E74" s="1069" t="s">
        <v>224</v>
      </c>
      <c r="F74" s="1069">
        <v>177.8</v>
      </c>
      <c r="G74" s="1069" t="s">
        <v>28</v>
      </c>
      <c r="H74" s="1069" t="s">
        <v>384</v>
      </c>
      <c r="I74" s="1068">
        <v>554.95999999999981</v>
      </c>
      <c r="J74" s="1074">
        <v>270</v>
      </c>
      <c r="K74" s="1069"/>
      <c r="L74" s="1069">
        <v>418</v>
      </c>
      <c r="M74" s="1069"/>
      <c r="N74" s="1083">
        <v>0.2</v>
      </c>
      <c r="O74" s="1069"/>
      <c r="P74" s="668">
        <v>15.575074807056675</v>
      </c>
      <c r="Q74" s="668">
        <f>(22*J74)/100</f>
        <v>59.4</v>
      </c>
      <c r="R74" s="432">
        <v>2.6110000000000002</v>
      </c>
      <c r="S74" s="432">
        <v>6.7110000000000003</v>
      </c>
      <c r="T74" s="670">
        <v>68.5</v>
      </c>
      <c r="U74" s="668">
        <f t="shared" si="8"/>
        <v>26.23515894293374</v>
      </c>
      <c r="V74" s="668">
        <f t="shared" si="4"/>
        <v>61.093726717329744</v>
      </c>
      <c r="W74" s="668">
        <v>0.3</v>
      </c>
      <c r="X74" s="432">
        <f t="shared" si="7"/>
        <v>0.11297979797979799</v>
      </c>
      <c r="Y74" s="432">
        <f t="shared" si="1"/>
        <v>2.5718350000000001</v>
      </c>
      <c r="Z74" s="432">
        <f t="shared" si="1"/>
        <v>6.6103350000000001</v>
      </c>
      <c r="AA74" s="670">
        <f t="shared" si="1"/>
        <v>67.472499999999997</v>
      </c>
      <c r="AB74" s="432">
        <f t="shared" si="5"/>
        <v>26.23515894293374</v>
      </c>
      <c r="AC74" s="670">
        <f t="shared" si="2"/>
        <v>61.093726717329744</v>
      </c>
      <c r="AD74" s="1069">
        <v>30</v>
      </c>
      <c r="AE74" s="432">
        <f t="shared" si="11"/>
        <v>77.155050000000003</v>
      </c>
      <c r="AF74" s="449"/>
    </row>
    <row r="75" spans="1:32" ht="18.600000000000001" customHeight="1" x14ac:dyDescent="0.2">
      <c r="A75" s="1069">
        <v>61</v>
      </c>
      <c r="B75" s="461" t="s">
        <v>341</v>
      </c>
      <c r="C75" s="1069" t="s">
        <v>46</v>
      </c>
      <c r="D75" s="1069">
        <v>683.16</v>
      </c>
      <c r="E75" s="1069" t="s">
        <v>343</v>
      </c>
      <c r="F75" s="1069">
        <v>177.8</v>
      </c>
      <c r="G75" s="1069" t="s">
        <v>28</v>
      </c>
      <c r="H75" s="1069" t="s">
        <v>342</v>
      </c>
      <c r="I75" s="1068">
        <v>571.9</v>
      </c>
      <c r="J75" s="1074">
        <v>292</v>
      </c>
      <c r="K75" s="1069"/>
      <c r="L75" s="1069">
        <v>325</v>
      </c>
      <c r="M75" s="1069"/>
      <c r="N75" s="1083">
        <v>10.8</v>
      </c>
      <c r="O75" s="1069"/>
      <c r="P75" s="668">
        <v>30.933440241759644</v>
      </c>
      <c r="Q75" s="668">
        <f>(20*J75)/100</f>
        <v>58.4</v>
      </c>
      <c r="R75" s="432">
        <v>26.762</v>
      </c>
      <c r="S75" s="432">
        <v>40.817999999999998</v>
      </c>
      <c r="T75" s="670">
        <v>431.95800000000003</v>
      </c>
      <c r="U75" s="668">
        <f t="shared" si="8"/>
        <v>16.140721919139079</v>
      </c>
      <c r="V75" s="668">
        <f t="shared" si="4"/>
        <v>34.435788132686554</v>
      </c>
      <c r="W75" s="668">
        <v>0.3</v>
      </c>
      <c r="X75" s="432">
        <f t="shared" si="7"/>
        <v>0.69893835616438349</v>
      </c>
      <c r="Y75" s="432">
        <f t="shared" si="1"/>
        <v>26.360569999999999</v>
      </c>
      <c r="Z75" s="432">
        <f t="shared" si="1"/>
        <v>40.205729999999996</v>
      </c>
      <c r="AA75" s="670">
        <f t="shared" si="1"/>
        <v>425.47863000000001</v>
      </c>
      <c r="AB75" s="432">
        <f t="shared" si="5"/>
        <v>16.140721919139079</v>
      </c>
      <c r="AC75" s="670">
        <f t="shared" si="2"/>
        <v>34.435788132686554</v>
      </c>
      <c r="AD75" s="1069">
        <v>30</v>
      </c>
      <c r="AE75" s="432">
        <f t="shared" si="11"/>
        <v>790.81709999999998</v>
      </c>
      <c r="AF75" s="449"/>
    </row>
    <row r="76" spans="1:32" ht="18.75" customHeight="1" x14ac:dyDescent="0.2">
      <c r="A76" s="1069">
        <v>62</v>
      </c>
      <c r="B76" s="461" t="s">
        <v>354</v>
      </c>
      <c r="C76" s="1069" t="s">
        <v>46</v>
      </c>
      <c r="D76" s="1069">
        <v>634.29</v>
      </c>
      <c r="E76" s="832" t="s">
        <v>356</v>
      </c>
      <c r="F76" s="1069">
        <v>178.8</v>
      </c>
      <c r="G76" s="1069" t="s">
        <v>28</v>
      </c>
      <c r="H76" s="1069" t="s">
        <v>49</v>
      </c>
      <c r="I76" s="1068">
        <v>539.22</v>
      </c>
      <c r="J76" s="1074">
        <v>250</v>
      </c>
      <c r="K76" s="1069"/>
      <c r="L76" s="1069">
        <v>294</v>
      </c>
      <c r="M76" s="1069"/>
      <c r="N76" s="1083">
        <v>11.8</v>
      </c>
      <c r="O76" s="1069"/>
      <c r="P76" s="668">
        <v>36.785788808815667</v>
      </c>
      <c r="Q76" s="668">
        <f t="shared" ref="Q76:Q78" si="12">LEFT(H76,(FIND("K",H76,1)-1))*J76/100</f>
        <v>80</v>
      </c>
      <c r="R76" s="432">
        <v>16.725000000000001</v>
      </c>
      <c r="S76" s="432">
        <v>63.993000000000002</v>
      </c>
      <c r="T76" s="670">
        <v>307.16699999999997</v>
      </c>
      <c r="U76" s="668">
        <f t="shared" si="8"/>
        <v>18.365739910313899</v>
      </c>
      <c r="V76" s="668">
        <f t="shared" si="4"/>
        <v>73.864328910974635</v>
      </c>
      <c r="W76" s="668">
        <v>0.3</v>
      </c>
      <c r="X76" s="432">
        <f t="shared" si="7"/>
        <v>0.79991250000000003</v>
      </c>
      <c r="Y76" s="432">
        <f t="shared" si="1"/>
        <v>16.474125000000001</v>
      </c>
      <c r="Z76" s="432">
        <f t="shared" si="1"/>
        <v>63.033104999999999</v>
      </c>
      <c r="AA76" s="670">
        <f t="shared" si="1"/>
        <v>302.55949499999997</v>
      </c>
      <c r="AB76" s="432">
        <f t="shared" si="5"/>
        <v>18.365739910313899</v>
      </c>
      <c r="AC76" s="670">
        <f t="shared" si="2"/>
        <v>73.864328910974635</v>
      </c>
      <c r="AD76" s="1069">
        <v>30</v>
      </c>
      <c r="AE76" s="432">
        <f t="shared" si="11"/>
        <v>494.22375</v>
      </c>
      <c r="AF76" s="449"/>
    </row>
    <row r="77" spans="1:32" ht="18.75" customHeight="1" x14ac:dyDescent="0.2">
      <c r="A77" s="1069">
        <v>63</v>
      </c>
      <c r="B77" s="461" t="s">
        <v>213</v>
      </c>
      <c r="C77" s="1069" t="s">
        <v>46</v>
      </c>
      <c r="D77" s="1069">
        <v>690.8</v>
      </c>
      <c r="E77" s="1069" t="s">
        <v>497</v>
      </c>
      <c r="F77" s="1069">
        <v>177.8</v>
      </c>
      <c r="G77" s="1069" t="s">
        <v>28</v>
      </c>
      <c r="H77" s="1069" t="s">
        <v>487</v>
      </c>
      <c r="I77" s="1068">
        <v>605.00000000000011</v>
      </c>
      <c r="J77" s="1074">
        <v>260</v>
      </c>
      <c r="K77" s="1069"/>
      <c r="L77" s="1069">
        <v>529</v>
      </c>
      <c r="M77" s="1069"/>
      <c r="N77" s="1083">
        <v>8.1</v>
      </c>
      <c r="O77" s="1069"/>
      <c r="P77" s="668">
        <v>21.095639540413956</v>
      </c>
      <c r="Q77" s="668">
        <f t="shared" si="12"/>
        <v>39</v>
      </c>
      <c r="R77" s="432">
        <v>6.1360000000000001</v>
      </c>
      <c r="S77" s="432">
        <v>11.759</v>
      </c>
      <c r="T77" s="670">
        <v>55.667000000000002</v>
      </c>
      <c r="U77" s="668">
        <f t="shared" si="8"/>
        <v>9.0721968709256853</v>
      </c>
      <c r="V77" s="668">
        <f t="shared" si="4"/>
        <v>47.818692065651838</v>
      </c>
      <c r="W77" s="668">
        <v>0.3</v>
      </c>
      <c r="X77" s="432">
        <f t="shared" si="7"/>
        <v>0.30151282051282052</v>
      </c>
      <c r="Y77" s="432">
        <f t="shared" si="1"/>
        <v>6.0439600000000002</v>
      </c>
      <c r="Z77" s="432">
        <f t="shared" si="1"/>
        <v>11.582615000000001</v>
      </c>
      <c r="AA77" s="670">
        <f t="shared" si="1"/>
        <v>54.831994999999999</v>
      </c>
      <c r="AB77" s="432">
        <f t="shared" si="5"/>
        <v>9.0721968709256853</v>
      </c>
      <c r="AC77" s="670">
        <f>V77</f>
        <v>47.818692065651838</v>
      </c>
      <c r="AD77" s="1069">
        <v>30</v>
      </c>
      <c r="AE77" s="432">
        <f t="shared" si="11"/>
        <v>181.31880000000001</v>
      </c>
      <c r="AF77" s="669"/>
    </row>
    <row r="78" spans="1:32" ht="18.75" customHeight="1" x14ac:dyDescent="0.2">
      <c r="A78" s="1069">
        <v>64</v>
      </c>
      <c r="B78" s="461" t="s">
        <v>172</v>
      </c>
      <c r="C78" s="1069" t="s">
        <v>46</v>
      </c>
      <c r="D78" s="1069">
        <v>673</v>
      </c>
      <c r="E78" s="1069" t="s">
        <v>173</v>
      </c>
      <c r="F78" s="1069">
        <v>177.8</v>
      </c>
      <c r="G78" s="1069" t="s">
        <v>28</v>
      </c>
      <c r="H78" s="1069" t="s">
        <v>487</v>
      </c>
      <c r="I78" s="1068">
        <v>555.56000000000006</v>
      </c>
      <c r="J78" s="1074">
        <v>155</v>
      </c>
      <c r="K78" s="1069"/>
      <c r="L78" s="1069">
        <v>192</v>
      </c>
      <c r="M78" s="1069"/>
      <c r="N78" s="1083">
        <v>7.8</v>
      </c>
      <c r="O78" s="1069"/>
      <c r="P78" s="448">
        <v>45.248759019788054</v>
      </c>
      <c r="Q78" s="668">
        <f t="shared" si="12"/>
        <v>23.25</v>
      </c>
      <c r="R78" s="432">
        <v>3.9630000000000001</v>
      </c>
      <c r="S78" s="432">
        <v>18.966999999999999</v>
      </c>
      <c r="T78" s="670">
        <v>22.457999999999998</v>
      </c>
      <c r="U78" s="668">
        <f t="shared" si="8"/>
        <v>5.6669190007570016</v>
      </c>
      <c r="V78" s="668">
        <f t="shared" si="4"/>
        <v>79.105815363526119</v>
      </c>
      <c r="W78" s="668">
        <v>0.3</v>
      </c>
      <c r="X78" s="432">
        <f t="shared" si="7"/>
        <v>0.81578494623655906</v>
      </c>
      <c r="Y78" s="432">
        <f t="shared" si="1"/>
        <v>3.9035549999999999</v>
      </c>
      <c r="Z78" s="432">
        <f t="shared" si="1"/>
        <v>18.682494999999999</v>
      </c>
      <c r="AA78" s="670">
        <f t="shared" si="1"/>
        <v>22.121129999999997</v>
      </c>
      <c r="AB78" s="432">
        <f t="shared" si="5"/>
        <v>5.6669190007570016</v>
      </c>
      <c r="AC78" s="670">
        <f t="shared" si="2"/>
        <v>79.105815363526119</v>
      </c>
      <c r="AD78" s="1069">
        <v>30</v>
      </c>
      <c r="AE78" s="432">
        <f>Y78*AD78</f>
        <v>117.10665</v>
      </c>
      <c r="AF78" s="449"/>
    </row>
    <row r="79" spans="1:32" ht="18.75" customHeight="1" x14ac:dyDescent="0.25">
      <c r="A79" s="869"/>
      <c r="B79" s="1069"/>
      <c r="C79" s="1069"/>
      <c r="D79" s="1068"/>
      <c r="E79" s="1068"/>
      <c r="F79" s="461"/>
      <c r="G79" s="1069"/>
      <c r="H79" s="1069"/>
      <c r="I79" s="1068"/>
      <c r="J79" s="1068"/>
      <c r="K79" s="1068"/>
      <c r="L79" s="1068"/>
      <c r="M79" s="1068"/>
      <c r="N79" s="1083"/>
      <c r="O79" s="1068"/>
      <c r="P79" s="668"/>
      <c r="Q79" s="448"/>
      <c r="R79" s="466">
        <f>SUM(R15:R78)</f>
        <v>378.75900000000007</v>
      </c>
      <c r="S79" s="466">
        <f>SUM(S15:S78)</f>
        <v>900.72200000000021</v>
      </c>
      <c r="T79" s="512">
        <f>SUM(T15:T78)</f>
        <v>10505.794</v>
      </c>
      <c r="U79" s="466">
        <f>T79/R79</f>
        <v>27.737410860203976</v>
      </c>
      <c r="V79" s="466"/>
      <c r="W79" s="466"/>
      <c r="X79" s="466"/>
      <c r="Y79" s="466">
        <f>SUM(Y15:Y78)</f>
        <v>373.07761499999998</v>
      </c>
      <c r="Z79" s="466">
        <f>SUM(Z15:Z78)</f>
        <v>887.21116999999981</v>
      </c>
      <c r="AA79" s="678">
        <f>SUM(AA15:AA78)</f>
        <v>10348.207089999998</v>
      </c>
      <c r="AB79" s="466">
        <f>AA79/Y79</f>
        <v>27.73741086020398</v>
      </c>
      <c r="AC79" s="466"/>
      <c r="AD79" s="1064"/>
      <c r="AE79" s="466">
        <f>SUM(AE15:AE78)</f>
        <v>11192.328449999999</v>
      </c>
      <c r="AF79" s="669"/>
    </row>
    <row r="80" spans="1:32" ht="18.75" customHeight="1" x14ac:dyDescent="0.25">
      <c r="A80" s="869"/>
      <c r="B80" s="1069"/>
      <c r="C80" s="1069"/>
      <c r="D80" s="1068"/>
      <c r="E80" s="1068"/>
      <c r="F80" s="461"/>
      <c r="G80" s="1069"/>
      <c r="H80" s="1069"/>
      <c r="I80" s="1068"/>
      <c r="J80" s="1068"/>
      <c r="K80" s="1068"/>
      <c r="L80" s="1068"/>
      <c r="M80" s="1068"/>
      <c r="N80" s="1083"/>
      <c r="O80" s="1068"/>
      <c r="P80" s="668"/>
      <c r="Q80" s="448"/>
      <c r="R80" s="466"/>
      <c r="S80" s="466"/>
      <c r="T80" s="512"/>
      <c r="U80" s="466"/>
      <c r="V80" s="466"/>
      <c r="W80" s="466"/>
      <c r="X80" s="466"/>
      <c r="Y80" s="466"/>
      <c r="Z80" s="708"/>
      <c r="AA80" s="678"/>
      <c r="AB80" s="466"/>
      <c r="AC80" s="466"/>
      <c r="AD80" s="1064"/>
      <c r="AE80" s="466"/>
      <c r="AF80" s="669"/>
    </row>
    <row r="81" spans="1:32" ht="18.75" customHeight="1" x14ac:dyDescent="0.25">
      <c r="A81" s="869"/>
      <c r="B81" s="1069"/>
      <c r="C81" s="1069"/>
      <c r="D81" s="1068"/>
      <c r="E81" s="1060" t="s">
        <v>388</v>
      </c>
      <c r="F81" s="461"/>
      <c r="G81" s="1069"/>
      <c r="H81" s="1069"/>
      <c r="I81" s="1068"/>
      <c r="J81" s="1068"/>
      <c r="K81" s="1068"/>
      <c r="L81" s="1068"/>
      <c r="M81" s="1068"/>
      <c r="N81" s="1083"/>
      <c r="O81" s="1068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1064"/>
      <c r="AE81" s="466"/>
      <c r="AF81" s="669"/>
    </row>
    <row r="82" spans="1:32" ht="18.75" customHeight="1" x14ac:dyDescent="0.2">
      <c r="A82" s="1069">
        <v>65</v>
      </c>
      <c r="B82" s="461" t="s">
        <v>505</v>
      </c>
      <c r="C82" s="1069" t="s">
        <v>445</v>
      </c>
      <c r="D82" s="1068">
        <v>737.21</v>
      </c>
      <c r="E82" s="1068" t="s">
        <v>507</v>
      </c>
      <c r="F82" s="1069">
        <v>177.8</v>
      </c>
      <c r="G82" s="1069" t="s">
        <v>28</v>
      </c>
      <c r="H82" s="1069" t="s">
        <v>491</v>
      </c>
      <c r="I82" s="1068">
        <v>660.03999999999962</v>
      </c>
      <c r="J82" s="1068">
        <v>230</v>
      </c>
      <c r="K82" s="1068"/>
      <c r="L82" s="1068">
        <v>653</v>
      </c>
      <c r="M82" s="1068"/>
      <c r="N82" s="1083">
        <v>1.1000000000000001</v>
      </c>
      <c r="O82" s="1068"/>
      <c r="P82" s="668">
        <v>2.3916431740125779</v>
      </c>
      <c r="Q82" s="448">
        <f>J82*23/100</f>
        <v>52.9</v>
      </c>
      <c r="R82" s="432">
        <v>1.615</v>
      </c>
      <c r="S82" s="432">
        <v>1.7250000000000001</v>
      </c>
      <c r="T82" s="492">
        <v>0</v>
      </c>
      <c r="U82" s="432">
        <f t="shared" ref="U82:U85" si="13">IF(R82=0,0,T82/R82)</f>
        <v>0</v>
      </c>
      <c r="V82" s="432">
        <f t="shared" ref="V82:V85" si="14">IF(S82=0,0,(S82-R82)/S82*100)</f>
        <v>6.3768115942029038</v>
      </c>
      <c r="W82" s="432">
        <v>0.2</v>
      </c>
      <c r="X82" s="432">
        <f t="shared" ref="X82:X83" si="15">IF(S82=0,0,S82/Q82)</f>
        <v>3.2608695652173912E-2</v>
      </c>
      <c r="Y82" s="432">
        <f t="shared" ref="Y82:AA83" si="16">R82*0.985</f>
        <v>1.5907750000000001</v>
      </c>
      <c r="Z82" s="1045">
        <f t="shared" si="16"/>
        <v>1.699125</v>
      </c>
      <c r="AA82" s="670">
        <f t="shared" si="16"/>
        <v>0</v>
      </c>
      <c r="AB82" s="432">
        <f t="shared" ref="AB82:AC83" si="17">U82</f>
        <v>0</v>
      </c>
      <c r="AC82" s="432">
        <f t="shared" si="17"/>
        <v>6.3768115942029038</v>
      </c>
      <c r="AD82" s="1069">
        <v>30</v>
      </c>
      <c r="AE82" s="432">
        <f>Y82*AD82</f>
        <v>47.72325</v>
      </c>
      <c r="AF82" s="669"/>
    </row>
    <row r="83" spans="1:32" ht="18.75" customHeight="1" x14ac:dyDescent="0.2">
      <c r="A83" s="1069">
        <v>66</v>
      </c>
      <c r="B83" s="461" t="s">
        <v>504</v>
      </c>
      <c r="C83" s="1069" t="s">
        <v>445</v>
      </c>
      <c r="D83" s="1068">
        <v>695.15</v>
      </c>
      <c r="E83" s="1068" t="s">
        <v>508</v>
      </c>
      <c r="F83" s="461">
        <v>177.8</v>
      </c>
      <c r="G83" s="1069" t="s">
        <v>28</v>
      </c>
      <c r="H83" s="1069" t="s">
        <v>491</v>
      </c>
      <c r="I83" s="1068">
        <v>632.3399999999998</v>
      </c>
      <c r="J83" s="1068">
        <v>200</v>
      </c>
      <c r="K83" s="1068"/>
      <c r="L83" s="1068">
        <v>594</v>
      </c>
      <c r="M83" s="1068"/>
      <c r="N83" s="1083">
        <v>4.3</v>
      </c>
      <c r="O83" s="1068"/>
      <c r="P83" s="668">
        <v>9.2373127720390151</v>
      </c>
      <c r="Q83" s="448">
        <f>J83*23/100</f>
        <v>46</v>
      </c>
      <c r="R83" s="432">
        <v>0.84199999999999997</v>
      </c>
      <c r="S83" s="432">
        <v>0.878</v>
      </c>
      <c r="T83" s="492">
        <v>0</v>
      </c>
      <c r="U83" s="432">
        <f t="shared" si="13"/>
        <v>0</v>
      </c>
      <c r="V83" s="432">
        <f t="shared" si="14"/>
        <v>4.1002277904328057</v>
      </c>
      <c r="W83" s="432">
        <v>0.2</v>
      </c>
      <c r="X83" s="432">
        <f t="shared" si="15"/>
        <v>1.908695652173913E-2</v>
      </c>
      <c r="Y83" s="432">
        <f t="shared" si="16"/>
        <v>0.82936999999999994</v>
      </c>
      <c r="Z83" s="1045">
        <f t="shared" si="16"/>
        <v>0.86482999999999999</v>
      </c>
      <c r="AA83" s="670">
        <f t="shared" si="16"/>
        <v>0</v>
      </c>
      <c r="AB83" s="432">
        <f t="shared" si="17"/>
        <v>0</v>
      </c>
      <c r="AC83" s="432">
        <f t="shared" si="17"/>
        <v>4.1002277904328057</v>
      </c>
      <c r="AD83" s="1069">
        <v>30</v>
      </c>
      <c r="AE83" s="432">
        <f>Y83*AD83</f>
        <v>24.881099999999996</v>
      </c>
      <c r="AF83" s="669"/>
    </row>
    <row r="84" spans="1:32" ht="18.75" customHeight="1" x14ac:dyDescent="0.2">
      <c r="A84" s="1069">
        <v>67</v>
      </c>
      <c r="B84" s="461" t="s">
        <v>423</v>
      </c>
      <c r="C84" s="1069" t="s">
        <v>445</v>
      </c>
      <c r="D84" s="1068">
        <v>683.8</v>
      </c>
      <c r="E84" s="1068" t="s">
        <v>473</v>
      </c>
      <c r="F84" s="1069">
        <v>177.8</v>
      </c>
      <c r="G84" s="1069" t="s">
        <v>28</v>
      </c>
      <c r="H84" s="1069" t="s">
        <v>48</v>
      </c>
      <c r="I84" s="1068">
        <v>590.46</v>
      </c>
      <c r="J84" s="1068"/>
      <c r="K84" s="1068">
        <v>548</v>
      </c>
      <c r="L84" s="1068"/>
      <c r="M84" s="1068">
        <v>28.2</v>
      </c>
      <c r="N84" s="1083"/>
      <c r="O84" s="1068"/>
      <c r="P84" s="668">
        <v>48.498811966153276</v>
      </c>
      <c r="Q84" s="668">
        <f t="shared" ref="Q84:Q87" si="18">LEFT(H84,(FIND("K",H84,1)-1))*J84/100</f>
        <v>0</v>
      </c>
      <c r="R84" s="432"/>
      <c r="S84" s="432"/>
      <c r="T84" s="492"/>
      <c r="U84" s="432"/>
      <c r="V84" s="432"/>
      <c r="W84" s="668"/>
      <c r="X84" s="432"/>
      <c r="Y84" s="432"/>
      <c r="Z84" s="432"/>
      <c r="AA84" s="670"/>
      <c r="AB84" s="432"/>
      <c r="AC84" s="668"/>
      <c r="AD84" s="1069"/>
      <c r="AE84" s="432"/>
      <c r="AF84" s="449" t="s">
        <v>432</v>
      </c>
    </row>
    <row r="85" spans="1:32" ht="18.75" customHeight="1" x14ac:dyDescent="0.2">
      <c r="A85" s="1069">
        <v>68</v>
      </c>
      <c r="B85" s="461" t="s">
        <v>506</v>
      </c>
      <c r="C85" s="1069" t="s">
        <v>445</v>
      </c>
      <c r="D85" s="1068">
        <v>887.65</v>
      </c>
      <c r="E85" s="1068" t="s">
        <v>509</v>
      </c>
      <c r="F85" s="1069">
        <v>177.8</v>
      </c>
      <c r="G85" s="1069" t="s">
        <v>28</v>
      </c>
      <c r="H85" s="1069" t="s">
        <v>485</v>
      </c>
      <c r="I85" s="1068">
        <v>680.15</v>
      </c>
      <c r="J85" s="1068">
        <v>180</v>
      </c>
      <c r="K85" s="1068"/>
      <c r="L85" s="1068">
        <v>614</v>
      </c>
      <c r="M85" s="1068"/>
      <c r="N85" s="1083">
        <v>9.6999999999999993</v>
      </c>
      <c r="O85" s="1068"/>
      <c r="P85" s="668">
        <v>12.571795801197572</v>
      </c>
      <c r="Q85" s="668">
        <f>(15*J85)/100</f>
        <v>27</v>
      </c>
      <c r="R85" s="432">
        <v>6.976</v>
      </c>
      <c r="S85" s="432">
        <v>7.5510000000000002</v>
      </c>
      <c r="T85" s="492">
        <v>439.11799999999999</v>
      </c>
      <c r="U85" s="432">
        <f t="shared" si="13"/>
        <v>62.946961009174309</v>
      </c>
      <c r="V85" s="432">
        <f t="shared" si="14"/>
        <v>7.6148854456363422</v>
      </c>
      <c r="W85" s="668">
        <v>0.2</v>
      </c>
      <c r="X85" s="432">
        <f t="shared" ref="X85" si="19">IF(S85=0,0,S85/Q85)</f>
        <v>0.27966666666666667</v>
      </c>
      <c r="Y85" s="432">
        <f t="shared" ref="Y85" si="20">R85*0.985</f>
        <v>6.8713600000000001</v>
      </c>
      <c r="Z85" s="1045">
        <f t="shared" ref="Z85" si="21">S85*0.985</f>
        <v>7.437735</v>
      </c>
      <c r="AA85" s="670">
        <f t="shared" ref="AA85" si="22">T85*0.985</f>
        <v>432.53122999999999</v>
      </c>
      <c r="AB85" s="432">
        <f t="shared" ref="AB85" si="23">U85</f>
        <v>62.946961009174309</v>
      </c>
      <c r="AC85" s="432">
        <f t="shared" ref="AC85" si="24">V85</f>
        <v>7.6148854456363422</v>
      </c>
      <c r="AD85" s="1077">
        <v>30</v>
      </c>
      <c r="AE85" s="432">
        <f>Y85*AD85</f>
        <v>206.14080000000001</v>
      </c>
      <c r="AF85" s="449"/>
    </row>
    <row r="86" spans="1:32" ht="18.600000000000001" customHeight="1" x14ac:dyDescent="0.2">
      <c r="A86" s="1069">
        <v>69</v>
      </c>
      <c r="B86" s="461" t="s">
        <v>451</v>
      </c>
      <c r="C86" s="1069" t="s">
        <v>445</v>
      </c>
      <c r="D86" s="1068">
        <v>683.2700000000001</v>
      </c>
      <c r="E86" s="1068" t="s">
        <v>475</v>
      </c>
      <c r="F86" s="1069">
        <v>177.8</v>
      </c>
      <c r="G86" s="1069" t="s">
        <v>28</v>
      </c>
      <c r="H86" s="1069" t="s">
        <v>218</v>
      </c>
      <c r="I86" s="1068">
        <v>618.30999999999995</v>
      </c>
      <c r="J86" s="1068"/>
      <c r="K86" s="1068"/>
      <c r="L86" s="1068">
        <v>565</v>
      </c>
      <c r="M86" s="1068"/>
      <c r="N86" s="1083">
        <v>21.6</v>
      </c>
      <c r="O86" s="1068"/>
      <c r="P86" s="668">
        <v>31.889079761431368</v>
      </c>
      <c r="Q86" s="668">
        <f t="shared" si="18"/>
        <v>0</v>
      </c>
      <c r="R86" s="432"/>
      <c r="S86" s="432"/>
      <c r="T86" s="492"/>
      <c r="U86" s="668"/>
      <c r="V86" s="668"/>
      <c r="W86" s="668"/>
      <c r="X86" s="432"/>
      <c r="Y86" s="432"/>
      <c r="Z86" s="432"/>
      <c r="AA86" s="670"/>
      <c r="AB86" s="668"/>
      <c r="AC86" s="670"/>
      <c r="AD86" s="1069"/>
      <c r="AE86" s="432"/>
      <c r="AF86" s="669" t="s">
        <v>432</v>
      </c>
    </row>
    <row r="87" spans="1:32" ht="18.75" customHeight="1" x14ac:dyDescent="0.2">
      <c r="A87" s="1069">
        <v>70</v>
      </c>
      <c r="B87" s="461" t="s">
        <v>424</v>
      </c>
      <c r="C87" s="1069" t="s">
        <v>445</v>
      </c>
      <c r="D87" s="1068">
        <v>691</v>
      </c>
      <c r="E87" s="1068" t="s">
        <v>495</v>
      </c>
      <c r="F87" s="1069">
        <v>177.8</v>
      </c>
      <c r="G87" s="1069" t="s">
        <v>28</v>
      </c>
      <c r="H87" s="1069" t="s">
        <v>48</v>
      </c>
      <c r="I87" s="1068">
        <v>628.34</v>
      </c>
      <c r="J87" s="1068"/>
      <c r="K87" s="1068">
        <v>605</v>
      </c>
      <c r="L87" s="1068"/>
      <c r="M87" s="1068">
        <v>9.5</v>
      </c>
      <c r="N87" s="1083"/>
      <c r="O87" s="1068"/>
      <c r="P87" s="668">
        <v>12.1</v>
      </c>
      <c r="Q87" s="668">
        <f t="shared" si="18"/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069"/>
      <c r="AE87" s="432">
        <f>Y87*AD87</f>
        <v>0</v>
      </c>
      <c r="AF87" s="449" t="s">
        <v>432</v>
      </c>
    </row>
    <row r="88" spans="1:32" ht="18.75" customHeight="1" x14ac:dyDescent="0.25">
      <c r="A88" s="1069">
        <v>71</v>
      </c>
      <c r="B88" s="461" t="s">
        <v>155</v>
      </c>
      <c r="C88" s="1069" t="s">
        <v>415</v>
      </c>
      <c r="D88" s="1069">
        <v>513.9</v>
      </c>
      <c r="E88" s="1069" t="s">
        <v>477</v>
      </c>
      <c r="F88" s="1069">
        <v>177.8</v>
      </c>
      <c r="G88" s="1069"/>
      <c r="H88" s="1069"/>
      <c r="I88" s="1068">
        <v>9.5</v>
      </c>
      <c r="J88" s="1068"/>
      <c r="K88" s="1068"/>
      <c r="L88" s="1068"/>
      <c r="M88" s="1068"/>
      <c r="N88" s="1083"/>
      <c r="O88" s="1068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069">
        <v>72</v>
      </c>
      <c r="B89" s="461" t="s">
        <v>465</v>
      </c>
      <c r="C89" s="1069" t="s">
        <v>46</v>
      </c>
      <c r="D89" s="1069">
        <v>571.91</v>
      </c>
      <c r="E89" s="1069" t="s">
        <v>478</v>
      </c>
      <c r="F89" s="1069">
        <v>177.8</v>
      </c>
      <c r="G89" s="1069"/>
      <c r="H89" s="831"/>
      <c r="I89" s="1068">
        <v>9.5</v>
      </c>
      <c r="J89" s="1068"/>
      <c r="K89" s="1068"/>
      <c r="L89" s="1068"/>
      <c r="M89" s="1068"/>
      <c r="N89" s="1083"/>
      <c r="O89" s="1068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064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069"/>
      <c r="H90" s="1069"/>
      <c r="I90" s="1069"/>
      <c r="J90" s="1068"/>
      <c r="K90" s="1068"/>
      <c r="L90" s="1068"/>
      <c r="M90" s="1068"/>
      <c r="N90" s="1082"/>
      <c r="O90" s="1068"/>
      <c r="P90" s="448"/>
      <c r="Q90" s="448"/>
      <c r="R90" s="466">
        <f>SUM(R82:R89)</f>
        <v>9.4329999999999998</v>
      </c>
      <c r="S90" s="466">
        <f>SUM(S82:S89)</f>
        <v>10.154</v>
      </c>
      <c r="T90" s="512">
        <f>SUM(T82:T89)</f>
        <v>439.11799999999999</v>
      </c>
      <c r="U90" s="466">
        <f>T90/R90</f>
        <v>46.551256228135273</v>
      </c>
      <c r="V90" s="466"/>
      <c r="W90" s="466"/>
      <c r="X90" s="466"/>
      <c r="Y90" s="466">
        <f>SUM(Y82:Y89)</f>
        <v>9.2915050000000008</v>
      </c>
      <c r="Z90" s="466">
        <f>SUM(Z82:Z89)</f>
        <v>10.00169</v>
      </c>
      <c r="AA90" s="678">
        <f>SUM(AA26:AA89)</f>
        <v>19672.988344999998</v>
      </c>
      <c r="AB90" s="466">
        <f>AA90/Y90</f>
        <v>2117.3091275310076</v>
      </c>
      <c r="AC90" s="466"/>
      <c r="AD90" s="1064"/>
      <c r="AE90" s="466">
        <f>SUM(AE82:AE89)</f>
        <v>278.74515000000002</v>
      </c>
      <c r="AF90" s="669"/>
    </row>
    <row r="91" spans="1:32" ht="18.75" customHeight="1" x14ac:dyDescent="0.25">
      <c r="A91" s="870"/>
      <c r="B91" s="873"/>
      <c r="C91" s="850"/>
      <c r="D91" s="850"/>
      <c r="E91" s="1070" t="s">
        <v>470</v>
      </c>
      <c r="F91" s="853"/>
      <c r="G91" s="1062"/>
      <c r="H91" s="1060"/>
      <c r="I91" s="1060"/>
      <c r="J91" s="1068"/>
      <c r="K91" s="1068"/>
      <c r="L91" s="1068"/>
      <c r="M91" s="1068"/>
      <c r="N91" s="1082"/>
      <c r="O91" s="1068"/>
      <c r="P91" s="448"/>
      <c r="Q91" s="448"/>
      <c r="R91" s="1068"/>
      <c r="S91" s="437"/>
      <c r="T91" s="1068"/>
      <c r="U91" s="1062"/>
      <c r="V91" s="1080"/>
      <c r="W91" s="1076"/>
      <c r="X91" s="421"/>
      <c r="Y91" s="1068"/>
      <c r="Z91" s="1068"/>
      <c r="AA91" s="1068"/>
      <c r="AB91" s="1062"/>
      <c r="AC91" s="1062"/>
      <c r="AD91" s="1068"/>
      <c r="AE91" s="1068"/>
      <c r="AF91" s="1060"/>
    </row>
    <row r="92" spans="1:32" ht="18.75" customHeight="1" x14ac:dyDescent="0.2">
      <c r="A92" s="1063">
        <v>73</v>
      </c>
      <c r="B92" s="1069" t="s">
        <v>131</v>
      </c>
      <c r="C92" s="1063" t="s">
        <v>313</v>
      </c>
      <c r="D92" s="1069">
        <v>389.74</v>
      </c>
      <c r="E92" s="679" t="s">
        <v>136</v>
      </c>
      <c r="F92" s="1069">
        <v>177.8</v>
      </c>
      <c r="G92" s="1069" t="s">
        <v>28</v>
      </c>
      <c r="H92" s="1069" t="s">
        <v>485</v>
      </c>
      <c r="I92" s="1068">
        <v>132.27000000000001</v>
      </c>
      <c r="J92" s="1068">
        <v>115</v>
      </c>
      <c r="K92" s="1069"/>
      <c r="L92" s="1069">
        <v>60</v>
      </c>
      <c r="M92" s="1069"/>
      <c r="N92" s="1083">
        <v>0.9</v>
      </c>
      <c r="O92" s="1069"/>
      <c r="P92" s="668">
        <v>12.863322073940665</v>
      </c>
      <c r="Q92" s="448">
        <f>(15*J92)/100</f>
        <v>17.25</v>
      </c>
      <c r="R92" s="432">
        <v>7.1139999999999999</v>
      </c>
      <c r="S92" s="432">
        <v>11.159000000000001</v>
      </c>
      <c r="T92" s="432">
        <v>0</v>
      </c>
      <c r="U92" s="432">
        <f>T92/R92</f>
        <v>0</v>
      </c>
      <c r="V92" s="432">
        <f t="shared" ref="V92:V95" si="25">(S92-R92)/S92*100</f>
        <v>36.248767810735735</v>
      </c>
      <c r="W92" s="432">
        <v>0.3</v>
      </c>
      <c r="X92" s="432">
        <f t="shared" ref="X92:X95" si="26">S92/Q92</f>
        <v>0.64689855072463776</v>
      </c>
      <c r="Y92" s="432">
        <f t="shared" ref="Y92:AA95" si="27">R92*0.985</f>
        <v>7.0072899999999994</v>
      </c>
      <c r="Z92" s="432">
        <f>S92*0.985</f>
        <v>10.991615000000001</v>
      </c>
      <c r="AA92" s="432">
        <f>T92*0.985</f>
        <v>0</v>
      </c>
      <c r="AB92" s="432">
        <f t="shared" ref="AB92:AC95" si="28">U92</f>
        <v>0</v>
      </c>
      <c r="AC92" s="432">
        <f t="shared" si="28"/>
        <v>36.248767810735735</v>
      </c>
      <c r="AD92" s="1069">
        <v>30</v>
      </c>
      <c r="AE92" s="432">
        <f t="shared" ref="AE92:AE95" si="29">Y92*AD92</f>
        <v>210.21869999999998</v>
      </c>
      <c r="AF92" s="449"/>
    </row>
    <row r="93" spans="1:32" ht="18.75" customHeight="1" x14ac:dyDescent="0.2">
      <c r="A93" s="1063">
        <v>74</v>
      </c>
      <c r="B93" s="1069" t="s">
        <v>132</v>
      </c>
      <c r="C93" s="1063" t="s">
        <v>313</v>
      </c>
      <c r="D93" s="1069">
        <v>387.72</v>
      </c>
      <c r="E93" s="679" t="s">
        <v>135</v>
      </c>
      <c r="F93" s="1069">
        <v>177.8</v>
      </c>
      <c r="G93" s="1069" t="s">
        <v>28</v>
      </c>
      <c r="H93" s="1069" t="s">
        <v>485</v>
      </c>
      <c r="I93" s="1068">
        <v>130.34</v>
      </c>
      <c r="J93" s="1069">
        <v>150</v>
      </c>
      <c r="K93" s="1069"/>
      <c r="L93" s="1069">
        <v>67</v>
      </c>
      <c r="M93" s="1069"/>
      <c r="N93" s="1083">
        <v>0.2</v>
      </c>
      <c r="O93" s="1069"/>
      <c r="P93" s="668">
        <v>10.150799978120727</v>
      </c>
      <c r="Q93" s="448">
        <f>(15*J93)/100</f>
        <v>22.5</v>
      </c>
      <c r="R93" s="432">
        <v>8.0129999999999999</v>
      </c>
      <c r="S93" s="432">
        <v>11.042999999999999</v>
      </c>
      <c r="T93" s="432">
        <v>0</v>
      </c>
      <c r="U93" s="432">
        <f>T93/R93</f>
        <v>0</v>
      </c>
      <c r="V93" s="432">
        <f t="shared" si="25"/>
        <v>27.438196142352616</v>
      </c>
      <c r="W93" s="432">
        <v>0.3</v>
      </c>
      <c r="X93" s="432">
        <f t="shared" si="26"/>
        <v>0.49079999999999996</v>
      </c>
      <c r="Y93" s="432">
        <f t="shared" si="27"/>
        <v>7.8928050000000001</v>
      </c>
      <c r="Z93" s="432">
        <f t="shared" si="27"/>
        <v>10.877355</v>
      </c>
      <c r="AA93" s="432">
        <f t="shared" si="27"/>
        <v>0</v>
      </c>
      <c r="AB93" s="432">
        <v>0</v>
      </c>
      <c r="AC93" s="432">
        <f>V93</f>
        <v>27.438196142352616</v>
      </c>
      <c r="AD93" s="1069">
        <v>30</v>
      </c>
      <c r="AE93" s="432">
        <f t="shared" si="29"/>
        <v>236.78415000000001</v>
      </c>
      <c r="AF93" s="449"/>
    </row>
    <row r="94" spans="1:32" ht="18.75" customHeight="1" x14ac:dyDescent="0.2">
      <c r="A94" s="1063">
        <v>75</v>
      </c>
      <c r="B94" s="1069" t="s">
        <v>121</v>
      </c>
      <c r="C94" s="1063" t="s">
        <v>313</v>
      </c>
      <c r="D94" s="1069">
        <v>389.57</v>
      </c>
      <c r="E94" s="1069" t="s">
        <v>137</v>
      </c>
      <c r="F94" s="1069">
        <v>177.8</v>
      </c>
      <c r="G94" s="1069" t="s">
        <v>28</v>
      </c>
      <c r="H94" s="831" t="s">
        <v>466</v>
      </c>
      <c r="I94" s="1068">
        <v>123.65000000000003</v>
      </c>
      <c r="J94" s="1069">
        <v>110</v>
      </c>
      <c r="K94" s="1069"/>
      <c r="L94" s="1069">
        <v>45</v>
      </c>
      <c r="M94" s="1069"/>
      <c r="N94" s="1083">
        <v>0.2</v>
      </c>
      <c r="O94" s="1069"/>
      <c r="P94" s="668">
        <v>12.201132184842152</v>
      </c>
      <c r="Q94" s="448">
        <f>(13*J94)/100</f>
        <v>14.3</v>
      </c>
      <c r="R94" s="432">
        <v>5.6230000000000002</v>
      </c>
      <c r="S94" s="432">
        <v>13.747</v>
      </c>
      <c r="T94" s="432">
        <v>0</v>
      </c>
      <c r="U94" s="432">
        <v>0</v>
      </c>
      <c r="V94" s="432">
        <f t="shared" si="25"/>
        <v>59.096530152033168</v>
      </c>
      <c r="W94" s="432">
        <v>0.3</v>
      </c>
      <c r="X94" s="432">
        <f>S94/Q94</f>
        <v>0.96132867132867128</v>
      </c>
      <c r="Y94" s="432">
        <f t="shared" si="27"/>
        <v>5.5386550000000003</v>
      </c>
      <c r="Z94" s="432">
        <f t="shared" si="27"/>
        <v>13.540794999999999</v>
      </c>
      <c r="AA94" s="432">
        <f t="shared" si="27"/>
        <v>0</v>
      </c>
      <c r="AB94" s="432">
        <v>0</v>
      </c>
      <c r="AC94" s="432">
        <v>47</v>
      </c>
      <c r="AD94" s="1069">
        <v>30</v>
      </c>
      <c r="AE94" s="432">
        <f t="shared" si="29"/>
        <v>166.15965</v>
      </c>
      <c r="AF94" s="669"/>
    </row>
    <row r="95" spans="1:32" ht="18.75" customHeight="1" x14ac:dyDescent="0.2">
      <c r="A95" s="1063">
        <v>76</v>
      </c>
      <c r="B95" s="1069" t="s">
        <v>122</v>
      </c>
      <c r="C95" s="1063" t="s">
        <v>313</v>
      </c>
      <c r="D95" s="1069">
        <v>391.06</v>
      </c>
      <c r="E95" s="1069" t="s">
        <v>138</v>
      </c>
      <c r="F95" s="1069">
        <v>177.8</v>
      </c>
      <c r="G95" s="1069" t="s">
        <v>28</v>
      </c>
      <c r="H95" s="1069" t="s">
        <v>485</v>
      </c>
      <c r="I95" s="432">
        <v>148.36999999999998</v>
      </c>
      <c r="J95" s="1069">
        <v>100</v>
      </c>
      <c r="K95" s="1064"/>
      <c r="L95" s="1069">
        <v>80</v>
      </c>
      <c r="M95" s="1064"/>
      <c r="N95" s="1083">
        <v>0.4</v>
      </c>
      <c r="O95" s="1064"/>
      <c r="P95" s="668">
        <v>10.35950553820205</v>
      </c>
      <c r="Q95" s="448">
        <f>(15*J95)/100</f>
        <v>15</v>
      </c>
      <c r="R95" s="432">
        <v>6.0490000000000004</v>
      </c>
      <c r="S95" s="432">
        <v>6.641</v>
      </c>
      <c r="T95" s="432">
        <v>0</v>
      </c>
      <c r="U95" s="432">
        <f>T95/R95</f>
        <v>0</v>
      </c>
      <c r="V95" s="432">
        <f t="shared" si="25"/>
        <v>8.9143201325101593</v>
      </c>
      <c r="W95" s="432">
        <v>0.3</v>
      </c>
      <c r="X95" s="432">
        <f t="shared" si="26"/>
        <v>0.44273333333333331</v>
      </c>
      <c r="Y95" s="432">
        <f t="shared" si="27"/>
        <v>5.9582649999999999</v>
      </c>
      <c r="Z95" s="432">
        <f t="shared" si="27"/>
        <v>6.541385</v>
      </c>
      <c r="AA95" s="432">
        <f t="shared" si="27"/>
        <v>0</v>
      </c>
      <c r="AB95" s="432">
        <f t="shared" si="28"/>
        <v>0</v>
      </c>
      <c r="AC95" s="432">
        <f t="shared" si="28"/>
        <v>8.9143201325101593</v>
      </c>
      <c r="AD95" s="1069">
        <v>30</v>
      </c>
      <c r="AE95" s="432">
        <f t="shared" si="29"/>
        <v>178.74795</v>
      </c>
      <c r="AF95" s="680"/>
    </row>
    <row r="96" spans="1:32" ht="18.75" customHeight="1" x14ac:dyDescent="0.2">
      <c r="A96" s="1063">
        <v>77</v>
      </c>
      <c r="B96" s="1069" t="s">
        <v>188</v>
      </c>
      <c r="C96" s="1063" t="s">
        <v>344</v>
      </c>
      <c r="D96" s="1069">
        <v>400.5</v>
      </c>
      <c r="E96" s="1069" t="s">
        <v>345</v>
      </c>
      <c r="F96" s="1069">
        <v>177.8</v>
      </c>
      <c r="G96" s="1069"/>
      <c r="H96" s="1069"/>
      <c r="I96" s="432"/>
      <c r="J96" s="1069"/>
      <c r="K96" s="1064"/>
      <c r="L96" s="1069"/>
      <c r="M96" s="1064"/>
      <c r="N96" s="1083"/>
      <c r="O96" s="1064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069"/>
      <c r="AE96" s="432"/>
      <c r="AF96" s="669"/>
    </row>
    <row r="97" spans="1:32" ht="18.75" customHeight="1" x14ac:dyDescent="0.2">
      <c r="A97" s="1063">
        <v>78</v>
      </c>
      <c r="B97" s="1069" t="s">
        <v>186</v>
      </c>
      <c r="C97" s="1063" t="s">
        <v>346</v>
      </c>
      <c r="D97" s="1069">
        <v>349.5</v>
      </c>
      <c r="E97" s="461" t="s">
        <v>347</v>
      </c>
      <c r="F97" s="1069">
        <v>177.8</v>
      </c>
      <c r="G97" s="1069"/>
      <c r="H97" s="1069"/>
      <c r="I97" s="432"/>
      <c r="J97" s="1069"/>
      <c r="K97" s="1069"/>
      <c r="L97" s="1069"/>
      <c r="M97" s="1064"/>
      <c r="N97" s="1083"/>
      <c r="O97" s="1064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069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068"/>
      <c r="G98" s="1062"/>
      <c r="H98" s="1060"/>
      <c r="I98" s="1060"/>
      <c r="J98" s="1068"/>
      <c r="K98" s="1068"/>
      <c r="L98" s="1068"/>
      <c r="M98" s="1068"/>
      <c r="N98" s="1082"/>
      <c r="O98" s="1068"/>
      <c r="P98" s="448"/>
      <c r="Q98" s="448"/>
      <c r="R98" s="466">
        <f>SUM(R92:R97)</f>
        <v>26.798999999999999</v>
      </c>
      <c r="S98" s="466">
        <f>SUM(S92:S97)</f>
        <v>42.589999999999996</v>
      </c>
      <c r="T98" s="466">
        <f>SUM(T92:T95)</f>
        <v>0</v>
      </c>
      <c r="U98" s="466">
        <f>SUM(U92:U95)</f>
        <v>0</v>
      </c>
      <c r="V98" s="1080"/>
      <c r="W98" s="1076"/>
      <c r="X98" s="1062"/>
      <c r="Y98" s="466">
        <f>SUM(Y92:Y97)</f>
        <v>26.397015</v>
      </c>
      <c r="Z98" s="466">
        <f>SUM(Z92:Z97)</f>
        <v>41.951149999999998</v>
      </c>
      <c r="AA98" s="466">
        <f>SUM(AA92:AA95)</f>
        <v>0</v>
      </c>
      <c r="AB98" s="466">
        <f>AA98/Y98</f>
        <v>0</v>
      </c>
      <c r="AC98" s="1062"/>
      <c r="AD98" s="1068"/>
      <c r="AE98" s="466">
        <f>SUM(AE92:AE97)</f>
        <v>791.91044999999986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064"/>
      <c r="G99" s="1069"/>
      <c r="H99" s="1069"/>
      <c r="I99" s="432"/>
      <c r="J99" s="1069"/>
      <c r="K99" s="1064"/>
      <c r="L99" s="1069"/>
      <c r="M99" s="1064"/>
      <c r="N99" s="668"/>
      <c r="O99" s="1064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062"/>
      <c r="H100" s="1060"/>
      <c r="I100" s="1060"/>
      <c r="J100" s="1068"/>
      <c r="K100" s="1068"/>
      <c r="L100" s="1068"/>
      <c r="M100" s="1068"/>
      <c r="N100" s="1082"/>
      <c r="O100" s="1068"/>
      <c r="P100" s="448"/>
      <c r="Q100" s="448"/>
      <c r="R100" s="1068"/>
      <c r="S100" s="1068"/>
      <c r="T100" s="1068"/>
      <c r="U100" s="1062"/>
      <c r="V100" s="1080"/>
      <c r="W100" s="1076"/>
      <c r="X100" s="1062"/>
      <c r="Y100" s="1068"/>
      <c r="Z100" s="1068"/>
      <c r="AA100" s="1068"/>
      <c r="AB100" s="1062"/>
      <c r="AC100" s="1062"/>
      <c r="AD100" s="1068"/>
      <c r="AE100" s="1068"/>
      <c r="AF100" s="1060"/>
    </row>
    <row r="101" spans="1:32" ht="18.75" customHeight="1" x14ac:dyDescent="0.2">
      <c r="A101" s="1069">
        <v>79</v>
      </c>
      <c r="B101" s="1061" t="s">
        <v>107</v>
      </c>
      <c r="C101" s="1068" t="s">
        <v>109</v>
      </c>
      <c r="D101" s="1068"/>
      <c r="E101" s="1068"/>
      <c r="F101" s="1068"/>
      <c r="G101" s="1062"/>
      <c r="H101" s="1060"/>
      <c r="I101" s="1060"/>
      <c r="J101" s="1068"/>
      <c r="K101" s="1068"/>
      <c r="L101" s="1068"/>
      <c r="M101" s="1068"/>
      <c r="N101" s="1082"/>
      <c r="O101" s="1068"/>
      <c r="P101" s="448"/>
      <c r="Q101" s="448"/>
      <c r="R101" s="1068"/>
      <c r="S101" s="1068"/>
      <c r="T101" s="1068"/>
      <c r="U101" s="1062"/>
      <c r="V101" s="1080"/>
      <c r="W101" s="1076"/>
      <c r="X101" s="1062"/>
      <c r="Y101" s="1060"/>
      <c r="Z101" s="1060"/>
      <c r="AA101" s="1068"/>
      <c r="AB101" s="1062"/>
      <c r="AC101" s="1062"/>
      <c r="AD101" s="493"/>
      <c r="AE101" s="1068"/>
      <c r="AF101" s="1060"/>
    </row>
    <row r="102" spans="1:32" ht="18.75" customHeight="1" x14ac:dyDescent="0.2">
      <c r="A102" s="1069">
        <v>80</v>
      </c>
      <c r="B102" s="1061" t="s">
        <v>108</v>
      </c>
      <c r="C102" s="1068" t="s">
        <v>109</v>
      </c>
      <c r="D102" s="1068"/>
      <c r="E102" s="1068"/>
      <c r="F102" s="1068"/>
      <c r="G102" s="1062"/>
      <c r="H102" s="1060"/>
      <c r="I102" s="1060"/>
      <c r="J102" s="1068"/>
      <c r="K102" s="1068"/>
      <c r="L102" s="1068"/>
      <c r="M102" s="1068"/>
      <c r="N102" s="1082"/>
      <c r="O102" s="1068"/>
      <c r="P102" s="448"/>
      <c r="Q102" s="448"/>
      <c r="R102" s="1068"/>
      <c r="S102" s="1068"/>
      <c r="T102" s="1068"/>
      <c r="U102" s="1062"/>
      <c r="V102" s="1080"/>
      <c r="W102" s="1076"/>
      <c r="X102" s="1062"/>
      <c r="Y102" s="1060"/>
      <c r="Z102" s="1060"/>
      <c r="AA102" s="1068"/>
      <c r="AB102" s="1062"/>
      <c r="AC102" s="1062"/>
      <c r="AD102" s="493"/>
      <c r="AE102" s="1068"/>
      <c r="AF102" s="1060"/>
    </row>
    <row r="103" spans="1:32" ht="18.75" customHeight="1" x14ac:dyDescent="0.2">
      <c r="A103" s="1069">
        <v>81</v>
      </c>
      <c r="B103" s="1061" t="s">
        <v>195</v>
      </c>
      <c r="C103" s="1063" t="s">
        <v>484</v>
      </c>
      <c r="D103" s="1068"/>
      <c r="E103" s="1068"/>
      <c r="F103" s="1068"/>
      <c r="G103" s="1062"/>
      <c r="H103" s="1060"/>
      <c r="I103" s="1060"/>
      <c r="J103" s="1068"/>
      <c r="K103" s="1068"/>
      <c r="L103" s="1068"/>
      <c r="M103" s="1068"/>
      <c r="N103" s="1082"/>
      <c r="O103" s="1068"/>
      <c r="P103" s="448"/>
      <c r="Q103" s="448"/>
      <c r="R103" s="1068"/>
      <c r="S103" s="1068"/>
      <c r="T103" s="1068"/>
      <c r="U103" s="1062"/>
      <c r="V103" s="1080"/>
      <c r="W103" s="1076"/>
      <c r="X103" s="1062"/>
      <c r="Y103" s="1060"/>
      <c r="Z103" s="1060"/>
      <c r="AA103" s="1068"/>
      <c r="AB103" s="1062"/>
      <c r="AC103" s="1062"/>
      <c r="AD103" s="493"/>
      <c r="AE103" s="1068"/>
      <c r="AF103" s="1060"/>
    </row>
    <row r="104" spans="1:32" ht="18.75" customHeight="1" x14ac:dyDescent="0.2">
      <c r="A104" s="1069">
        <v>82</v>
      </c>
      <c r="B104" s="1061" t="s">
        <v>192</v>
      </c>
      <c r="C104" s="1063" t="s">
        <v>484</v>
      </c>
      <c r="D104" s="1068"/>
      <c r="E104" s="1068"/>
      <c r="F104" s="1068"/>
      <c r="G104" s="1062"/>
      <c r="H104" s="1060"/>
      <c r="I104" s="1060"/>
      <c r="J104" s="1068"/>
      <c r="K104" s="1068"/>
      <c r="L104" s="1068"/>
      <c r="M104" s="1068"/>
      <c r="N104" s="1082"/>
      <c r="O104" s="1068"/>
      <c r="P104" s="448"/>
      <c r="Q104" s="448"/>
      <c r="R104" s="1068"/>
      <c r="S104" s="1068"/>
      <c r="T104" s="1068"/>
      <c r="U104" s="1062"/>
      <c r="V104" s="1080"/>
      <c r="W104" s="1076"/>
      <c r="X104" s="1062"/>
      <c r="Y104" s="1060"/>
      <c r="Z104" s="1060"/>
      <c r="AA104" s="1068"/>
      <c r="AB104" s="1062"/>
      <c r="AC104" s="1062"/>
      <c r="AD104" s="493"/>
      <c r="AE104" s="1068"/>
      <c r="AF104" s="1060"/>
    </row>
    <row r="105" spans="1:32" ht="18.75" customHeight="1" x14ac:dyDescent="0.2">
      <c r="A105" s="1069"/>
      <c r="B105" s="851"/>
      <c r="C105" s="850"/>
      <c r="D105" s="850"/>
      <c r="E105" s="1060" t="s">
        <v>278</v>
      </c>
      <c r="F105" s="850"/>
      <c r="G105" s="1062"/>
      <c r="H105" s="1060"/>
      <c r="I105" s="1060"/>
      <c r="J105" s="1068"/>
      <c r="K105" s="1068"/>
      <c r="L105" s="1068"/>
      <c r="M105" s="1068"/>
      <c r="N105" s="1082"/>
      <c r="O105" s="1068"/>
      <c r="P105" s="448"/>
      <c r="Q105" s="448"/>
      <c r="R105" s="1068"/>
      <c r="S105" s="1068"/>
      <c r="T105" s="1068"/>
      <c r="U105" s="1062"/>
      <c r="V105" s="1080"/>
      <c r="W105" s="1076"/>
      <c r="X105" s="1062"/>
      <c r="Y105" s="1068"/>
      <c r="Z105" s="1068"/>
      <c r="AA105" s="1068"/>
      <c r="AB105" s="1062"/>
      <c r="AC105" s="1062"/>
      <c r="AD105" s="1068"/>
      <c r="AE105" s="1068"/>
      <c r="AF105" s="1060"/>
    </row>
    <row r="106" spans="1:32" ht="18.75" customHeight="1" x14ac:dyDescent="0.2">
      <c r="A106" s="1069">
        <v>83</v>
      </c>
      <c r="B106" s="461" t="s">
        <v>189</v>
      </c>
      <c r="C106" s="1069" t="s">
        <v>46</v>
      </c>
      <c r="D106" s="1069">
        <v>673</v>
      </c>
      <c r="E106" s="1069" t="s">
        <v>190</v>
      </c>
      <c r="F106" s="1069">
        <v>177.8</v>
      </c>
      <c r="G106" s="1069"/>
      <c r="H106" s="1069"/>
      <c r="I106" s="1068"/>
      <c r="J106" s="1068"/>
      <c r="K106" s="1068"/>
      <c r="L106" s="1068"/>
      <c r="M106" s="1068"/>
      <c r="N106" s="1082"/>
      <c r="O106" s="1068"/>
      <c r="P106" s="448"/>
      <c r="Q106" s="448"/>
      <c r="R106" s="1068"/>
      <c r="S106" s="1068"/>
      <c r="T106" s="1068"/>
      <c r="U106" s="1062"/>
      <c r="V106" s="1080"/>
      <c r="W106" s="1076"/>
      <c r="X106" s="1062"/>
      <c r="Y106" s="473"/>
      <c r="Z106" s="683"/>
      <c r="AA106" s="1060"/>
      <c r="AB106" s="1062"/>
      <c r="AC106" s="1068"/>
      <c r="AD106" s="1069"/>
      <c r="AE106" s="432"/>
      <c r="AF106" s="449"/>
    </row>
    <row r="107" spans="1:32" ht="18.75" customHeight="1" x14ac:dyDescent="0.3">
      <c r="A107" s="1069">
        <v>84</v>
      </c>
      <c r="B107" s="461" t="s">
        <v>181</v>
      </c>
      <c r="C107" s="684" t="s">
        <v>344</v>
      </c>
      <c r="D107" s="1069">
        <v>374.5</v>
      </c>
      <c r="E107" s="1069" t="s">
        <v>182</v>
      </c>
      <c r="F107" s="1069">
        <v>177.8</v>
      </c>
      <c r="G107" s="1069"/>
      <c r="H107" s="1069"/>
      <c r="I107" s="1068"/>
      <c r="J107" s="1069"/>
      <c r="K107" s="1069"/>
      <c r="L107" s="1069"/>
      <c r="M107" s="1069"/>
      <c r="N107" s="668"/>
      <c r="O107" s="1069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069"/>
      <c r="AE107" s="432"/>
      <c r="AF107" s="449"/>
    </row>
    <row r="108" spans="1:32" ht="18.75" customHeight="1" x14ac:dyDescent="0.2">
      <c r="A108" s="1069">
        <v>85</v>
      </c>
      <c r="B108" s="461" t="s">
        <v>174</v>
      </c>
      <c r="C108" s="1069" t="s">
        <v>46</v>
      </c>
      <c r="D108" s="1069">
        <v>672</v>
      </c>
      <c r="E108" s="1069" t="s">
        <v>175</v>
      </c>
      <c r="F108" s="1069">
        <v>177.8</v>
      </c>
      <c r="G108" s="1069"/>
      <c r="H108" s="1069"/>
      <c r="I108" s="1068"/>
      <c r="J108" s="1069"/>
      <c r="K108" s="1069"/>
      <c r="L108" s="1069"/>
      <c r="M108" s="1069"/>
      <c r="N108" s="668"/>
      <c r="O108" s="1069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069"/>
      <c r="AE108" s="432"/>
      <c r="AF108" s="449"/>
    </row>
    <row r="109" spans="1:32" ht="18.75" customHeight="1" x14ac:dyDescent="0.2">
      <c r="A109" s="1069">
        <v>86</v>
      </c>
      <c r="B109" s="1061" t="s">
        <v>103</v>
      </c>
      <c r="C109" s="1069" t="s">
        <v>46</v>
      </c>
      <c r="D109" s="1068">
        <v>582</v>
      </c>
      <c r="E109" s="1068" t="s">
        <v>112</v>
      </c>
      <c r="F109" s="1069">
        <v>177.8</v>
      </c>
      <c r="G109" s="1069"/>
      <c r="H109" s="1069"/>
      <c r="I109" s="1068"/>
      <c r="J109" s="1068"/>
      <c r="K109" s="1068"/>
      <c r="L109" s="1068"/>
      <c r="M109" s="1068"/>
      <c r="N109" s="1082"/>
      <c r="O109" s="1068"/>
      <c r="P109" s="448"/>
      <c r="Q109" s="448"/>
      <c r="R109" s="1068"/>
      <c r="S109" s="1068"/>
      <c r="T109" s="1068"/>
      <c r="U109" s="1062"/>
      <c r="V109" s="1080"/>
      <c r="W109" s="1076"/>
      <c r="X109" s="421"/>
      <c r="Y109" s="492"/>
      <c r="Z109" s="1068"/>
      <c r="AA109" s="1068"/>
      <c r="AB109" s="1062"/>
      <c r="AC109" s="1068"/>
      <c r="AD109" s="493"/>
      <c r="AE109" s="437"/>
      <c r="AF109" s="449"/>
    </row>
    <row r="110" spans="1:32" ht="18.75" customHeight="1" x14ac:dyDescent="0.2">
      <c r="A110" s="1069">
        <v>87</v>
      </c>
      <c r="B110" s="1069" t="s">
        <v>57</v>
      </c>
      <c r="C110" s="1063" t="s">
        <v>314</v>
      </c>
      <c r="D110" s="1069">
        <v>376.58</v>
      </c>
      <c r="E110" s="461" t="s">
        <v>93</v>
      </c>
      <c r="F110" s="1069">
        <v>177.8</v>
      </c>
      <c r="G110" s="1069"/>
      <c r="H110" s="1069"/>
      <c r="I110" s="1068"/>
      <c r="J110" s="1068"/>
      <c r="K110" s="1068"/>
      <c r="L110" s="1068"/>
      <c r="M110" s="1068"/>
      <c r="N110" s="1082"/>
      <c r="O110" s="1068"/>
      <c r="P110" s="448"/>
      <c r="Q110" s="448"/>
      <c r="R110" s="1068"/>
      <c r="S110" s="1068"/>
      <c r="T110" s="1068"/>
      <c r="U110" s="1062"/>
      <c r="V110" s="1080"/>
      <c r="W110" s="1076"/>
      <c r="X110" s="421"/>
      <c r="Y110" s="492"/>
      <c r="Z110" s="1068"/>
      <c r="AA110" s="1068"/>
      <c r="AB110" s="1062"/>
      <c r="AC110" s="1068"/>
      <c r="AD110" s="493"/>
      <c r="AE110" s="437"/>
      <c r="AF110" s="449"/>
    </row>
    <row r="111" spans="1:32" ht="18.75" customHeight="1" x14ac:dyDescent="0.2">
      <c r="A111" s="1069">
        <v>88</v>
      </c>
      <c r="B111" s="1069" t="s">
        <v>184</v>
      </c>
      <c r="C111" s="1063" t="s">
        <v>314</v>
      </c>
      <c r="D111" s="1069">
        <v>422.78</v>
      </c>
      <c r="E111" s="461" t="s">
        <v>185</v>
      </c>
      <c r="F111" s="1069">
        <v>177.8</v>
      </c>
      <c r="G111" s="1069"/>
      <c r="H111" s="1069"/>
      <c r="I111" s="432"/>
      <c r="J111" s="1068"/>
      <c r="K111" s="1068"/>
      <c r="L111" s="1068"/>
      <c r="M111" s="1068"/>
      <c r="N111" s="1082"/>
      <c r="O111" s="1068"/>
      <c r="P111" s="448"/>
      <c r="Q111" s="448"/>
      <c r="R111" s="1068"/>
      <c r="S111" s="1068"/>
      <c r="T111" s="1068"/>
      <c r="U111" s="1062"/>
      <c r="V111" s="1080"/>
      <c r="W111" s="1076"/>
      <c r="X111" s="421"/>
      <c r="Y111" s="492"/>
      <c r="Z111" s="1068"/>
      <c r="AA111" s="1068"/>
      <c r="AB111" s="1062"/>
      <c r="AC111" s="1068"/>
      <c r="AD111" s="493"/>
      <c r="AE111" s="437"/>
      <c r="AF111" s="449"/>
    </row>
    <row r="112" spans="1:32" ht="18.75" customHeight="1" x14ac:dyDescent="0.2">
      <c r="A112" s="1069">
        <v>89</v>
      </c>
      <c r="B112" s="1061" t="s">
        <v>220</v>
      </c>
      <c r="C112" s="1069" t="s">
        <v>46</v>
      </c>
      <c r="D112" s="1068">
        <v>685.69</v>
      </c>
      <c r="E112" s="1068" t="s">
        <v>222</v>
      </c>
      <c r="F112" s="1069">
        <v>177.8</v>
      </c>
      <c r="G112" s="1069"/>
      <c r="H112" s="1069"/>
      <c r="I112" s="1068"/>
      <c r="J112" s="1068"/>
      <c r="K112" s="1068"/>
      <c r="L112" s="1068"/>
      <c r="M112" s="1068"/>
      <c r="N112" s="1082"/>
      <c r="O112" s="1068"/>
      <c r="P112" s="448"/>
      <c r="Q112" s="771"/>
      <c r="R112" s="1068"/>
      <c r="S112" s="1068"/>
      <c r="T112" s="1068"/>
      <c r="U112" s="1062"/>
      <c r="V112" s="1080"/>
      <c r="W112" s="1076"/>
      <c r="X112" s="421"/>
      <c r="Y112" s="492"/>
      <c r="Z112" s="1068"/>
      <c r="AA112" s="1068"/>
      <c r="AB112" s="1062"/>
      <c r="AC112" s="1068"/>
      <c r="AD112" s="493"/>
      <c r="AE112" s="437"/>
      <c r="AF112" s="449"/>
    </row>
    <row r="113" spans="1:32" ht="18.75" customHeight="1" x14ac:dyDescent="0.2">
      <c r="A113" s="1069"/>
      <c r="B113" s="851"/>
      <c r="C113" s="850"/>
      <c r="D113" s="850"/>
      <c r="E113" s="1060" t="s">
        <v>469</v>
      </c>
      <c r="F113" s="850"/>
      <c r="G113" s="1069"/>
      <c r="H113" s="1069"/>
      <c r="I113" s="1068"/>
      <c r="J113" s="1069"/>
      <c r="K113" s="1069"/>
      <c r="L113" s="1069"/>
      <c r="M113" s="1069"/>
      <c r="N113" s="668"/>
      <c r="O113" s="1069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069"/>
      <c r="AE113" s="432"/>
      <c r="AF113" s="449"/>
    </row>
    <row r="114" spans="1:32" ht="18.75" customHeight="1" x14ac:dyDescent="0.2">
      <c r="A114" s="1069">
        <v>90</v>
      </c>
      <c r="B114" s="461" t="s">
        <v>56</v>
      </c>
      <c r="C114" s="1069" t="s">
        <v>46</v>
      </c>
      <c r="D114" s="1069">
        <v>680.52</v>
      </c>
      <c r="E114" s="1069" t="s">
        <v>92</v>
      </c>
      <c r="F114" s="1069">
        <v>177.8</v>
      </c>
      <c r="G114" s="1069"/>
      <c r="H114" s="1069"/>
      <c r="I114" s="1068"/>
      <c r="J114" s="1069"/>
      <c r="K114" s="1069"/>
      <c r="L114" s="1069"/>
      <c r="M114" s="1069"/>
      <c r="N114" s="668"/>
      <c r="O114" s="1069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069"/>
      <c r="AE114" s="432"/>
      <c r="AF114" s="449"/>
    </row>
    <row r="115" spans="1:32" ht="18.75" customHeight="1" x14ac:dyDescent="0.2">
      <c r="A115" s="1069"/>
      <c r="B115" s="461"/>
      <c r="C115" s="1069"/>
      <c r="D115" s="1069"/>
      <c r="E115" s="1069"/>
      <c r="F115" s="1069"/>
      <c r="G115" s="1069"/>
      <c r="H115" s="1069"/>
      <c r="I115" s="1068"/>
      <c r="J115" s="1069"/>
      <c r="K115" s="1069"/>
      <c r="L115" s="1069"/>
      <c r="M115" s="1069"/>
      <c r="N115" s="668"/>
      <c r="O115" s="1069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069"/>
      <c r="AE115" s="432"/>
      <c r="AF115" s="449"/>
    </row>
    <row r="116" spans="1:32" ht="18.75" x14ac:dyDescent="0.25">
      <c r="A116" s="870"/>
      <c r="B116" s="1069"/>
      <c r="C116" s="1069"/>
      <c r="D116" s="1069"/>
      <c r="E116" s="461"/>
      <c r="F116" s="1069"/>
      <c r="G116" s="1069"/>
      <c r="H116" s="1069"/>
      <c r="I116" s="1068"/>
      <c r="J116" s="1069"/>
      <c r="K116" s="1069"/>
      <c r="L116" s="1069"/>
      <c r="M116" s="1069"/>
      <c r="N116" s="668"/>
      <c r="O116" s="1069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069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064"/>
      <c r="G117" s="1069"/>
      <c r="H117" s="1069"/>
      <c r="I117" s="432"/>
      <c r="J117" s="1069"/>
      <c r="K117" s="1064"/>
      <c r="L117" s="1069"/>
      <c r="M117" s="1064"/>
      <c r="N117" s="668"/>
      <c r="O117" s="1064"/>
      <c r="P117" s="682"/>
      <c r="Q117" s="774"/>
      <c r="R117" s="466">
        <f>R79+R90+R98</f>
        <v>414.99100000000004</v>
      </c>
      <c r="S117" s="466">
        <f>S79+S90+S98</f>
        <v>953.46600000000024</v>
      </c>
      <c r="T117" s="678">
        <f>T79+T90+T98</f>
        <v>10944.912</v>
      </c>
      <c r="U117" s="466">
        <f>T117/R117</f>
        <v>26.373853890807268</v>
      </c>
      <c r="V117" s="466"/>
      <c r="W117" s="466"/>
      <c r="X117" s="466"/>
      <c r="Y117" s="466">
        <f>Y79+Y98+Y90</f>
        <v>408.76613499999996</v>
      </c>
      <c r="Z117" s="466">
        <f>Z79+Z98+Z90</f>
        <v>939.16400999999985</v>
      </c>
      <c r="AA117" s="678">
        <f>AA79+AA98+AA90</f>
        <v>30021.195434999994</v>
      </c>
      <c r="AB117" s="466">
        <f>AB79+AB98+AB90</f>
        <v>2145.0465383912115</v>
      </c>
      <c r="AC117" s="466"/>
      <c r="AD117" s="466"/>
      <c r="AE117" s="686">
        <f>AE79+AE90+AE98</f>
        <v>12262.984049999999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11649.834847499998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071"/>
      <c r="Y120" s="1071"/>
      <c r="Z120" s="1071"/>
      <c r="AA120" s="1071"/>
      <c r="AB120" s="1071"/>
      <c r="AC120" s="1071"/>
      <c r="AD120" s="1071"/>
      <c r="AE120" s="1071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268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071" t="s">
        <v>282</v>
      </c>
      <c r="AC121" s="1071"/>
      <c r="AD121" s="1071"/>
      <c r="AE121" s="1071"/>
      <c r="AF121" s="1071"/>
    </row>
    <row r="130" spans="16:16" x14ac:dyDescent="0.2">
      <c r="P130" s="1124"/>
    </row>
  </sheetData>
  <mergeCells count="33">
    <mergeCell ref="B10:E10"/>
    <mergeCell ref="A12:A14"/>
    <mergeCell ref="B12:B14"/>
    <mergeCell ref="C12:C14"/>
    <mergeCell ref="D12:D13"/>
    <mergeCell ref="E12:E13"/>
    <mergeCell ref="I1:X1"/>
    <mergeCell ref="J2:W2"/>
    <mergeCell ref="A3:D3"/>
    <mergeCell ref="A8:E8"/>
    <mergeCell ref="A9:E9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U13:U14"/>
    <mergeCell ref="AF13:AF14"/>
    <mergeCell ref="B117:E117"/>
    <mergeCell ref="K119:M119"/>
    <mergeCell ref="AB13:AB14"/>
    <mergeCell ref="AC13:AC14"/>
  </mergeCells>
  <pageMargins left="0.7" right="0.7" top="0.75" bottom="0.75" header="0.3" footer="0.3"/>
  <pageSetup paperSize="9" orientation="portrait" r:id="rId1"/>
  <ignoredErrors>
    <ignoredError sqref="Q94 Q85 Q18:Q20 Q31:Q51 Q52:Q54 Q56:Q59 Q21:Q29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F122"/>
  <sheetViews>
    <sheetView topLeftCell="A10" zoomScale="62" zoomScaleNormal="62" workbookViewId="0">
      <pane xSplit="2" ySplit="1" topLeftCell="C14" activePane="bottomRight" state="frozen"/>
      <selection activeCell="A10" sqref="A10"/>
      <selection pane="topRight" activeCell="C10" sqref="C10"/>
      <selection pane="bottomLeft" activeCell="A11" sqref="A11"/>
      <selection pane="bottomRight" activeCell="A10" sqref="A1:XFD1048576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16" style="666" customWidth="1"/>
    <col min="4" max="4" width="8.85546875" style="666" customWidth="1"/>
    <col min="5" max="5" width="97.85546875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0.28515625" style="666" bestFit="1" customWidth="1"/>
    <col min="22" max="22" width="8.5703125" style="666" customWidth="1"/>
    <col min="23" max="23" width="9.28515625" style="666" bestFit="1" customWidth="1"/>
    <col min="24" max="25" width="9" style="666" customWidth="1"/>
    <col min="26" max="26" width="10.85546875" style="666" customWidth="1"/>
    <col min="27" max="27" width="9.28515625" style="666" customWidth="1"/>
    <col min="28" max="28" width="10.85546875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099"/>
      <c r="G2" s="1088"/>
      <c r="H2" s="1088"/>
      <c r="I2" s="1099"/>
      <c r="J2" s="1909" t="s">
        <v>535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099"/>
      <c r="Y2" s="1099"/>
      <c r="Z2" s="1099"/>
      <c r="AA2" s="1099"/>
      <c r="AB2" s="1099"/>
      <c r="AC2" s="1099"/>
      <c r="AD2" s="1099"/>
      <c r="AE2" s="1099"/>
      <c r="AF2" s="405"/>
    </row>
    <row r="3" spans="1:32" ht="18.75" x14ac:dyDescent="0.2">
      <c r="A3" s="1910" t="s">
        <v>54</v>
      </c>
      <c r="B3" s="1910"/>
      <c r="C3" s="1910"/>
      <c r="D3" s="1910"/>
      <c r="E3" s="1099"/>
      <c r="F3" s="1099"/>
      <c r="G3" s="1088"/>
      <c r="H3" s="1098"/>
      <c r="I3" s="1098"/>
      <c r="J3" s="1098"/>
      <c r="K3" s="1098"/>
      <c r="L3" s="1098"/>
      <c r="M3" s="1098"/>
      <c r="N3" s="1098"/>
      <c r="O3" s="1098"/>
      <c r="P3" s="1098"/>
      <c r="Q3" s="767"/>
      <c r="R3" s="1099"/>
      <c r="S3" s="1099"/>
      <c r="T3" s="1099"/>
      <c r="U3" s="1099"/>
      <c r="V3" s="1099"/>
      <c r="W3" s="1099"/>
      <c r="X3" s="1099"/>
      <c r="Y3" s="1099"/>
      <c r="Z3" s="1099"/>
      <c r="AA3" s="1099"/>
      <c r="AB3" s="1099"/>
      <c r="AC3" s="1099"/>
      <c r="AD3" s="1099"/>
      <c r="AE3" s="1099"/>
      <c r="AF3" s="408" t="s">
        <v>55</v>
      </c>
    </row>
    <row r="4" spans="1:32" ht="18.75" x14ac:dyDescent="0.2">
      <c r="A4" s="1089"/>
      <c r="B4" s="1089"/>
      <c r="C4" s="1089"/>
      <c r="D4" s="1089"/>
      <c r="E4" s="1099"/>
      <c r="F4" s="1099"/>
      <c r="G4" s="1088"/>
      <c r="H4" s="1098"/>
      <c r="I4" s="1098"/>
      <c r="J4" s="1098"/>
      <c r="K4" s="1098"/>
      <c r="L4" s="1098"/>
      <c r="M4" s="1098"/>
      <c r="N4" s="1098"/>
      <c r="O4" s="1098"/>
      <c r="P4" s="1098"/>
      <c r="Q4" s="767"/>
      <c r="R4" s="1099"/>
      <c r="S4" s="1099"/>
      <c r="T4" s="1099"/>
      <c r="U4" s="1099"/>
      <c r="V4" s="1099"/>
      <c r="W4" s="1099"/>
      <c r="X4" s="1099"/>
      <c r="Y4" s="1099"/>
      <c r="Z4" s="1099"/>
      <c r="AA4" s="1099"/>
      <c r="AB4" s="1099"/>
      <c r="AC4" s="1099"/>
      <c r="AD4" s="1099"/>
      <c r="AE4" s="1099"/>
      <c r="AF4" s="408"/>
    </row>
    <row r="5" spans="1:32" ht="18.75" x14ac:dyDescent="0.2">
      <c r="A5" s="1090" t="s">
        <v>494</v>
      </c>
      <c r="B5" s="1090"/>
      <c r="C5" s="1090"/>
      <c r="D5" s="1090"/>
      <c r="E5" s="1090"/>
      <c r="F5" s="1099"/>
      <c r="G5" s="1088"/>
      <c r="H5" s="1088"/>
      <c r="I5" s="1098"/>
      <c r="J5" s="1098"/>
      <c r="K5" s="1098"/>
      <c r="L5" s="1098"/>
      <c r="M5" s="1098"/>
      <c r="N5" s="1098"/>
      <c r="O5" s="1098"/>
      <c r="P5" s="1098"/>
      <c r="Q5" s="767"/>
      <c r="R5" s="1100"/>
      <c r="S5" s="1100"/>
      <c r="T5" s="1100"/>
      <c r="U5" s="1100"/>
      <c r="V5" s="1100"/>
      <c r="W5" s="1100"/>
      <c r="X5" s="1099"/>
      <c r="Y5" s="1099"/>
      <c r="Z5" s="1099"/>
      <c r="AA5" s="1099"/>
      <c r="AB5" s="1099"/>
      <c r="AC5" s="1099"/>
      <c r="AD5" s="1099"/>
      <c r="AE5" s="1099"/>
      <c r="AF5" s="411" t="s">
        <v>468</v>
      </c>
    </row>
    <row r="6" spans="1:32" ht="18.75" x14ac:dyDescent="0.2">
      <c r="A6" s="1090" t="s">
        <v>499</v>
      </c>
      <c r="B6" s="412"/>
      <c r="C6" s="412"/>
      <c r="D6" s="412"/>
      <c r="E6" s="1099"/>
      <c r="F6" s="1099"/>
      <c r="G6" s="1088"/>
      <c r="H6" s="1088"/>
      <c r="I6" s="1099"/>
      <c r="J6" s="1099"/>
      <c r="K6" s="1088"/>
      <c r="L6" s="1088"/>
      <c r="M6" s="1099"/>
      <c r="N6" s="1099"/>
      <c r="O6" s="1099"/>
      <c r="P6" s="413"/>
      <c r="Q6" s="768"/>
      <c r="R6" s="1099"/>
      <c r="S6" s="1099"/>
      <c r="T6" s="1099"/>
      <c r="U6" s="1099"/>
      <c r="V6" s="1099"/>
      <c r="W6" s="1099"/>
      <c r="X6" s="1099"/>
      <c r="Y6" s="1099"/>
      <c r="Z6" s="1099"/>
      <c r="AA6" s="1099"/>
      <c r="AB6" s="1099"/>
      <c r="AC6" s="1099"/>
      <c r="AD6" s="1099"/>
      <c r="AE6" s="1099"/>
      <c r="AF6" s="415" t="s">
        <v>511</v>
      </c>
    </row>
    <row r="7" spans="1:32" ht="18.75" x14ac:dyDescent="0.2">
      <c r="A7" s="1099"/>
      <c r="B7" s="1090"/>
      <c r="C7" s="1090"/>
      <c r="D7" s="1090"/>
      <c r="E7" s="1099"/>
      <c r="F7" s="1099"/>
      <c r="G7" s="1088"/>
      <c r="H7" s="1088"/>
      <c r="I7" s="405"/>
      <c r="J7" s="1099"/>
      <c r="K7" s="1088"/>
      <c r="L7" s="1088"/>
      <c r="M7" s="1099"/>
      <c r="N7" s="1099"/>
      <c r="O7" s="1099"/>
      <c r="P7" s="413"/>
      <c r="Q7" s="768"/>
      <c r="R7" s="1099"/>
      <c r="S7" s="1099"/>
      <c r="T7" s="1099"/>
      <c r="U7" s="1099"/>
      <c r="V7" s="1099"/>
      <c r="W7" s="411"/>
      <c r="X7" s="1099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099"/>
      <c r="G8" s="1088"/>
      <c r="H8" s="1088"/>
      <c r="I8" s="405"/>
      <c r="J8" s="1099"/>
      <c r="K8" s="1088"/>
      <c r="L8" s="1088"/>
      <c r="M8" s="1099"/>
      <c r="N8" s="1099"/>
      <c r="O8" s="1099"/>
      <c r="P8" s="413"/>
      <c r="Q8" s="768"/>
      <c r="R8" s="1099"/>
      <c r="S8" s="1099"/>
      <c r="T8" s="1099"/>
      <c r="U8" s="1099"/>
      <c r="V8" s="1099"/>
      <c r="W8" s="411"/>
      <c r="X8" s="1099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099"/>
      <c r="G9" s="1088"/>
      <c r="H9" s="1088"/>
      <c r="I9" s="405"/>
      <c r="J9" s="1099"/>
      <c r="K9" s="1088"/>
      <c r="L9" s="1088"/>
      <c r="M9" s="1099"/>
      <c r="N9" s="1099"/>
      <c r="O9" s="1099"/>
      <c r="P9" s="413"/>
      <c r="Q9" s="768"/>
      <c r="R9" s="1099"/>
      <c r="S9" s="1099"/>
      <c r="T9" s="1099"/>
      <c r="U9" s="1099"/>
      <c r="V9" s="1099"/>
      <c r="W9" s="411"/>
      <c r="X9" s="1099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099"/>
      <c r="G10" s="1088"/>
      <c r="H10" s="1088"/>
      <c r="I10" s="1099"/>
      <c r="J10" s="1099"/>
      <c r="K10" s="1088"/>
      <c r="L10" s="1088"/>
      <c r="M10" s="1088"/>
      <c r="N10" s="1088"/>
      <c r="O10" s="1088"/>
      <c r="P10" s="1088"/>
      <c r="Q10" s="769"/>
      <c r="R10" s="1088"/>
      <c r="S10" s="1088"/>
      <c r="T10" s="1088"/>
      <c r="U10" s="1088"/>
      <c r="V10" s="1088"/>
      <c r="W10" s="1099"/>
      <c r="X10" s="1099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088"/>
      <c r="C11" s="1088"/>
      <c r="D11" s="1088"/>
      <c r="E11" s="1099"/>
      <c r="F11" s="1099"/>
      <c r="G11" s="1088"/>
      <c r="H11" s="1088"/>
      <c r="I11" s="405"/>
      <c r="J11" s="1099"/>
      <c r="K11" s="1088"/>
      <c r="L11" s="1088"/>
      <c r="M11" s="1099"/>
      <c r="N11" s="1099"/>
      <c r="O11" s="1099"/>
      <c r="P11" s="413"/>
      <c r="Q11" s="768"/>
      <c r="R11" s="1099"/>
      <c r="S11" s="1099"/>
      <c r="T11" s="1099"/>
      <c r="U11" s="1099"/>
      <c r="V11" s="1099"/>
      <c r="W11" s="411"/>
      <c r="X11" s="1099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087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087" t="s">
        <v>18</v>
      </c>
      <c r="AE13" s="1087" t="s">
        <v>20</v>
      </c>
      <c r="AF13" s="1891" t="s">
        <v>21</v>
      </c>
    </row>
    <row r="14" spans="1:32" ht="37.5" x14ac:dyDescent="0.2">
      <c r="A14" s="1891"/>
      <c r="B14" s="1891"/>
      <c r="C14" s="1903"/>
      <c r="D14" s="1092" t="s">
        <v>3</v>
      </c>
      <c r="E14" s="1092" t="s">
        <v>3</v>
      </c>
      <c r="F14" s="1092" t="s">
        <v>4</v>
      </c>
      <c r="G14" s="1903"/>
      <c r="H14" s="1903"/>
      <c r="I14" s="1891"/>
      <c r="J14" s="1092" t="s">
        <v>7</v>
      </c>
      <c r="K14" s="1092" t="s">
        <v>30</v>
      </c>
      <c r="L14" s="1092" t="s">
        <v>29</v>
      </c>
      <c r="M14" s="1092" t="s">
        <v>31</v>
      </c>
      <c r="N14" s="1092" t="s">
        <v>32</v>
      </c>
      <c r="O14" s="1092" t="s">
        <v>12</v>
      </c>
      <c r="P14" s="448" t="s">
        <v>13</v>
      </c>
      <c r="Q14" s="771" t="s">
        <v>26</v>
      </c>
      <c r="R14" s="1092" t="s">
        <v>14</v>
      </c>
      <c r="S14" s="1092" t="s">
        <v>25</v>
      </c>
      <c r="T14" s="1092" t="s">
        <v>113</v>
      </c>
      <c r="U14" s="1903"/>
      <c r="V14" s="1903"/>
      <c r="W14" s="1903"/>
      <c r="X14" s="1903"/>
      <c r="Y14" s="1092" t="s">
        <v>14</v>
      </c>
      <c r="Z14" s="1092" t="s">
        <v>25</v>
      </c>
      <c r="AA14" s="1092" t="s">
        <v>113</v>
      </c>
      <c r="AB14" s="1903"/>
      <c r="AC14" s="1903"/>
      <c r="AD14" s="1092" t="s">
        <v>19</v>
      </c>
      <c r="AE14" s="1092" t="s">
        <v>27</v>
      </c>
      <c r="AF14" s="1891"/>
    </row>
    <row r="15" spans="1:32" ht="18.75" customHeight="1" x14ac:dyDescent="0.2">
      <c r="A15" s="1096">
        <v>1</v>
      </c>
      <c r="B15" s="461" t="s">
        <v>139</v>
      </c>
      <c r="C15" s="1096" t="s">
        <v>46</v>
      </c>
      <c r="D15" s="1096">
        <v>610.5</v>
      </c>
      <c r="E15" s="1096" t="s">
        <v>203</v>
      </c>
      <c r="F15" s="1096">
        <v>177.8</v>
      </c>
      <c r="G15" s="1096" t="s">
        <v>28</v>
      </c>
      <c r="H15" s="452" t="s">
        <v>363</v>
      </c>
      <c r="I15" s="1103">
        <v>558.54</v>
      </c>
      <c r="J15" s="1074">
        <v>265</v>
      </c>
      <c r="K15" s="1104"/>
      <c r="L15" s="1104">
        <v>499</v>
      </c>
      <c r="M15" s="1104"/>
      <c r="N15" s="668">
        <v>0</v>
      </c>
      <c r="O15" s="1104"/>
      <c r="P15" s="668">
        <v>14.566664454260767</v>
      </c>
      <c r="Q15" s="668">
        <f>J15*7/100</f>
        <v>18.55</v>
      </c>
      <c r="R15" s="432">
        <v>2.3919999999999999</v>
      </c>
      <c r="S15" s="432">
        <v>7.2080000000000002</v>
      </c>
      <c r="T15" s="670">
        <v>10</v>
      </c>
      <c r="U15" s="668">
        <f t="shared" ref="U15:U34" si="0">IF(R15=0,0,T15/R15)</f>
        <v>4.1806020066889635</v>
      </c>
      <c r="V15" s="668">
        <f>IF(S15=0,0,(S15-R15)/S15*100)</f>
        <v>66.814650388457281</v>
      </c>
      <c r="W15" s="668">
        <v>0.2</v>
      </c>
      <c r="X15" s="432">
        <f>IF(S15=0,0,S15/Q15)</f>
        <v>0.38857142857142857</v>
      </c>
      <c r="Y15" s="432">
        <f>R15*0.985</f>
        <v>2.3561199999999998</v>
      </c>
      <c r="Z15" s="432">
        <f t="shared" ref="Z15:AA79" si="1">S15*0.985</f>
        <v>7.0998799999999997</v>
      </c>
      <c r="AA15" s="670">
        <f t="shared" si="1"/>
        <v>9.85</v>
      </c>
      <c r="AB15" s="432">
        <f>U15</f>
        <v>4.1806020066889635</v>
      </c>
      <c r="AC15" s="670">
        <f t="shared" ref="AC15:AC79" si="2">V15</f>
        <v>66.814650388457281</v>
      </c>
      <c r="AD15" s="1096">
        <v>31</v>
      </c>
      <c r="AE15" s="432">
        <f>Y15*AD15</f>
        <v>73.039719999999988</v>
      </c>
      <c r="AF15" s="669"/>
    </row>
    <row r="16" spans="1:32" ht="18.75" customHeight="1" x14ac:dyDescent="0.2">
      <c r="A16" s="1096">
        <v>2</v>
      </c>
      <c r="B16" s="461" t="s">
        <v>140</v>
      </c>
      <c r="C16" s="1096" t="s">
        <v>46</v>
      </c>
      <c r="D16" s="1096">
        <v>623.5</v>
      </c>
      <c r="E16" s="1096" t="s">
        <v>480</v>
      </c>
      <c r="F16" s="1096">
        <v>177.8</v>
      </c>
      <c r="G16" s="1096" t="s">
        <v>28</v>
      </c>
      <c r="H16" s="1104" t="s">
        <v>50</v>
      </c>
      <c r="I16" s="1103">
        <v>586.46999999999991</v>
      </c>
      <c r="J16" s="1104">
        <v>250</v>
      </c>
      <c r="K16" s="1104"/>
      <c r="L16" s="1104">
        <v>311</v>
      </c>
      <c r="M16" s="1104"/>
      <c r="N16" s="668">
        <v>6.4</v>
      </c>
      <c r="O16" s="1104"/>
      <c r="P16" s="668">
        <v>31.15199679138869</v>
      </c>
      <c r="Q16" s="668">
        <f t="shared" ref="Q16:Q37" si="3">LEFT(H16,(FIND("K",H16,1)-1))*J16/100</f>
        <v>15</v>
      </c>
      <c r="R16" s="432">
        <v>0.39300000000000002</v>
      </c>
      <c r="S16" s="432">
        <v>1.613</v>
      </c>
      <c r="T16" s="670">
        <v>0</v>
      </c>
      <c r="U16" s="668">
        <f t="shared" si="0"/>
        <v>0</v>
      </c>
      <c r="V16" s="668">
        <f t="shared" ref="V16:V79" si="4">IF(S16=0,0,(S16-R16)/S16*100)</f>
        <v>75.635461872287664</v>
      </c>
      <c r="W16" s="668">
        <v>0.3</v>
      </c>
      <c r="X16" s="432">
        <f>IF(S16=0,0,S16/Q16)</f>
        <v>0.10753333333333333</v>
      </c>
      <c r="Y16" s="432">
        <f t="shared" ref="Y16:Y79" si="5">R16*0.985</f>
        <v>0.38710500000000003</v>
      </c>
      <c r="Z16" s="432">
        <f t="shared" si="1"/>
        <v>1.588805</v>
      </c>
      <c r="AA16" s="670">
        <f t="shared" si="1"/>
        <v>0</v>
      </c>
      <c r="AB16" s="432">
        <f t="shared" ref="AB16:AB79" si="6">U16</f>
        <v>0</v>
      </c>
      <c r="AC16" s="670">
        <f t="shared" si="2"/>
        <v>75.635461872287664</v>
      </c>
      <c r="AD16" s="1109">
        <v>31</v>
      </c>
      <c r="AE16" s="432">
        <f t="shared" ref="AE16:AE58" si="7">Y16*AD16</f>
        <v>12.000255000000001</v>
      </c>
      <c r="AF16" s="669"/>
    </row>
    <row r="17" spans="1:32" ht="18.75" customHeight="1" x14ac:dyDescent="0.2">
      <c r="A17" s="1096">
        <v>3</v>
      </c>
      <c r="B17" s="461" t="s">
        <v>141</v>
      </c>
      <c r="C17" s="1096" t="s">
        <v>46</v>
      </c>
      <c r="D17" s="1096">
        <v>670</v>
      </c>
      <c r="E17" s="1096" t="s">
        <v>68</v>
      </c>
      <c r="F17" s="1096">
        <v>177.8</v>
      </c>
      <c r="G17" s="1096" t="s">
        <v>28</v>
      </c>
      <c r="H17" s="1104" t="s">
        <v>218</v>
      </c>
      <c r="I17" s="1103">
        <v>566.07000000000005</v>
      </c>
      <c r="J17" s="1104">
        <v>330</v>
      </c>
      <c r="K17" s="1104"/>
      <c r="L17" s="1104">
        <v>496</v>
      </c>
      <c r="M17" s="1104"/>
      <c r="N17" s="668">
        <v>9</v>
      </c>
      <c r="O17" s="1104"/>
      <c r="P17" s="668">
        <v>14.232444177047096</v>
      </c>
      <c r="Q17" s="668">
        <f>LEFT(H17,(FIND("K",H17,1)-1))*J17/100</f>
        <v>105.6</v>
      </c>
      <c r="R17" s="432">
        <v>11.887</v>
      </c>
      <c r="S17" s="432">
        <v>19.493000000000002</v>
      </c>
      <c r="T17" s="670">
        <v>1440</v>
      </c>
      <c r="U17" s="668">
        <f t="shared" si="0"/>
        <v>121.14074198704466</v>
      </c>
      <c r="V17" s="668">
        <f t="shared" si="4"/>
        <v>39.019135074129181</v>
      </c>
      <c r="W17" s="668">
        <v>0.2</v>
      </c>
      <c r="X17" s="432">
        <f t="shared" ref="X17:X79" si="8">IF(S17=0,0,S17/Q17)</f>
        <v>0.18459280303030307</v>
      </c>
      <c r="Y17" s="432">
        <f t="shared" si="5"/>
        <v>11.708695000000001</v>
      </c>
      <c r="Z17" s="432">
        <f t="shared" si="1"/>
        <v>19.200605000000003</v>
      </c>
      <c r="AA17" s="670">
        <f t="shared" si="1"/>
        <v>1418.4</v>
      </c>
      <c r="AB17" s="432">
        <f t="shared" si="6"/>
        <v>121.14074198704466</v>
      </c>
      <c r="AC17" s="670">
        <f t="shared" si="2"/>
        <v>39.019135074129181</v>
      </c>
      <c r="AD17" s="1109">
        <v>31</v>
      </c>
      <c r="AE17" s="432">
        <f>Y17*AD17</f>
        <v>362.96954500000004</v>
      </c>
      <c r="AF17" s="669"/>
    </row>
    <row r="18" spans="1:32" ht="18.75" customHeight="1" x14ac:dyDescent="0.2">
      <c r="A18" s="1096">
        <v>4</v>
      </c>
      <c r="B18" s="461" t="s">
        <v>142</v>
      </c>
      <c r="C18" s="1096" t="s">
        <v>46</v>
      </c>
      <c r="D18" s="1096">
        <v>628</v>
      </c>
      <c r="E18" s="1096" t="s">
        <v>481</v>
      </c>
      <c r="F18" s="1096">
        <v>177.8</v>
      </c>
      <c r="G18" s="1096" t="s">
        <v>28</v>
      </c>
      <c r="H18" s="831" t="s">
        <v>466</v>
      </c>
      <c r="I18" s="1103">
        <v>541.28</v>
      </c>
      <c r="J18" s="1104">
        <v>336</v>
      </c>
      <c r="K18" s="1104"/>
      <c r="L18" s="1104">
        <v>413</v>
      </c>
      <c r="M18" s="1104"/>
      <c r="N18" s="668">
        <v>1.6</v>
      </c>
      <c r="O18" s="1104"/>
      <c r="P18" s="668">
        <v>14.350509724787846</v>
      </c>
      <c r="Q18" s="668">
        <f>13*J18/100</f>
        <v>43.68</v>
      </c>
      <c r="R18" s="432">
        <v>4.3650000000000002</v>
      </c>
      <c r="S18" s="432">
        <v>6.8659999999999997</v>
      </c>
      <c r="T18" s="670">
        <v>74</v>
      </c>
      <c r="U18" s="668">
        <f t="shared" si="0"/>
        <v>16.953035509736541</v>
      </c>
      <c r="V18" s="668">
        <f t="shared" si="4"/>
        <v>36.425866588989216</v>
      </c>
      <c r="W18" s="668">
        <v>0.2</v>
      </c>
      <c r="X18" s="432">
        <f t="shared" si="8"/>
        <v>0.15718864468864469</v>
      </c>
      <c r="Y18" s="432">
        <f t="shared" si="5"/>
        <v>4.299525</v>
      </c>
      <c r="Z18" s="432">
        <f t="shared" si="1"/>
        <v>6.7630099999999995</v>
      </c>
      <c r="AA18" s="670">
        <f t="shared" si="1"/>
        <v>72.89</v>
      </c>
      <c r="AB18" s="432">
        <f t="shared" si="6"/>
        <v>16.953035509736541</v>
      </c>
      <c r="AC18" s="670">
        <f t="shared" si="2"/>
        <v>36.425866588989216</v>
      </c>
      <c r="AD18" s="1109">
        <v>31</v>
      </c>
      <c r="AE18" s="432">
        <f t="shared" si="7"/>
        <v>133.28527500000001</v>
      </c>
      <c r="AF18" s="669"/>
    </row>
    <row r="19" spans="1:32" ht="18.75" customHeight="1" x14ac:dyDescent="0.2">
      <c r="A19" s="1096">
        <v>5</v>
      </c>
      <c r="B19" s="461" t="s">
        <v>143</v>
      </c>
      <c r="C19" s="1096" t="s">
        <v>46</v>
      </c>
      <c r="D19" s="1096">
        <v>576.6</v>
      </c>
      <c r="E19" s="1096" t="s">
        <v>70</v>
      </c>
      <c r="F19" s="1096">
        <v>177.8</v>
      </c>
      <c r="G19" s="1096" t="s">
        <v>28</v>
      </c>
      <c r="H19" s="550" t="s">
        <v>53</v>
      </c>
      <c r="I19" s="1103">
        <v>546.04999999999995</v>
      </c>
      <c r="J19" s="1104">
        <v>305</v>
      </c>
      <c r="K19" s="1104"/>
      <c r="L19" s="1104">
        <v>405</v>
      </c>
      <c r="M19" s="1104"/>
      <c r="N19" s="668">
        <v>1.2</v>
      </c>
      <c r="O19" s="1104"/>
      <c r="P19" s="668">
        <v>15.925007703311813</v>
      </c>
      <c r="Q19" s="668">
        <f t="shared" si="3"/>
        <v>39.65</v>
      </c>
      <c r="R19" s="432">
        <v>5.8719999999999999</v>
      </c>
      <c r="S19" s="432">
        <v>6.2560000000000002</v>
      </c>
      <c r="T19" s="670">
        <v>34</v>
      </c>
      <c r="U19" s="668">
        <f t="shared" si="0"/>
        <v>5.7901907356948232</v>
      </c>
      <c r="V19" s="668">
        <f t="shared" si="4"/>
        <v>6.1381074168798007</v>
      </c>
      <c r="W19" s="668">
        <v>0.2</v>
      </c>
      <c r="X19" s="432">
        <f t="shared" si="8"/>
        <v>0.15778058007566206</v>
      </c>
      <c r="Y19" s="432">
        <f t="shared" si="5"/>
        <v>5.7839200000000002</v>
      </c>
      <c r="Z19" s="432">
        <f t="shared" si="1"/>
        <v>6.1621600000000001</v>
      </c>
      <c r="AA19" s="670">
        <f t="shared" si="1"/>
        <v>33.49</v>
      </c>
      <c r="AB19" s="432">
        <f t="shared" si="6"/>
        <v>5.7901907356948232</v>
      </c>
      <c r="AC19" s="670">
        <f t="shared" si="2"/>
        <v>6.1381074168798007</v>
      </c>
      <c r="AD19" s="1109">
        <v>31</v>
      </c>
      <c r="AE19" s="432">
        <f t="shared" si="7"/>
        <v>179.30152000000001</v>
      </c>
      <c r="AF19" s="669"/>
    </row>
    <row r="20" spans="1:32" ht="18.75" customHeight="1" x14ac:dyDescent="0.2">
      <c r="A20" s="1096">
        <v>6</v>
      </c>
      <c r="B20" s="461" t="s">
        <v>144</v>
      </c>
      <c r="C20" s="1096" t="s">
        <v>46</v>
      </c>
      <c r="D20" s="1096">
        <v>676.6</v>
      </c>
      <c r="E20" s="1096" t="s">
        <v>460</v>
      </c>
      <c r="F20" s="1096">
        <v>177.8</v>
      </c>
      <c r="G20" s="1096" t="s">
        <v>28</v>
      </c>
      <c r="H20" s="1104" t="s">
        <v>461</v>
      </c>
      <c r="I20" s="1103">
        <v>567.16</v>
      </c>
      <c r="J20" s="1104">
        <v>200</v>
      </c>
      <c r="K20" s="1104"/>
      <c r="L20" s="1104">
        <v>451</v>
      </c>
      <c r="M20" s="1104"/>
      <c r="N20" s="668">
        <v>0</v>
      </c>
      <c r="O20" s="1104"/>
      <c r="P20" s="668">
        <v>16.481527768443414</v>
      </c>
      <c r="Q20" s="668">
        <f>J20*22/100</f>
        <v>44</v>
      </c>
      <c r="R20" s="432">
        <v>3.1930000000000001</v>
      </c>
      <c r="S20" s="432">
        <v>4.3680000000000003</v>
      </c>
      <c r="T20" s="670">
        <v>2</v>
      </c>
      <c r="U20" s="668">
        <f t="shared" si="0"/>
        <v>0.62637018477920448</v>
      </c>
      <c r="V20" s="668">
        <f t="shared" si="4"/>
        <v>26.900183150183153</v>
      </c>
      <c r="W20" s="668">
        <v>0.2</v>
      </c>
      <c r="X20" s="432">
        <f t="shared" si="8"/>
        <v>9.9272727272727276E-2</v>
      </c>
      <c r="Y20" s="432">
        <f t="shared" si="5"/>
        <v>3.145105</v>
      </c>
      <c r="Z20" s="432">
        <f t="shared" si="1"/>
        <v>4.3024800000000001</v>
      </c>
      <c r="AA20" s="670">
        <f t="shared" si="1"/>
        <v>1.97</v>
      </c>
      <c r="AB20" s="432">
        <v>14.613</v>
      </c>
      <c r="AC20" s="670">
        <f t="shared" si="2"/>
        <v>26.900183150183153</v>
      </c>
      <c r="AD20" s="1109">
        <v>31</v>
      </c>
      <c r="AE20" s="432">
        <f t="shared" si="7"/>
        <v>97.498255</v>
      </c>
      <c r="AF20" s="669"/>
    </row>
    <row r="21" spans="1:32" ht="18.75" customHeight="1" x14ac:dyDescent="0.2">
      <c r="A21" s="1096">
        <v>7</v>
      </c>
      <c r="B21" s="461" t="s">
        <v>145</v>
      </c>
      <c r="C21" s="1096" t="s">
        <v>46</v>
      </c>
      <c r="D21" s="1096" t="s">
        <v>47</v>
      </c>
      <c r="E21" s="1096" t="s">
        <v>72</v>
      </c>
      <c r="F21" s="1096">
        <v>177.8</v>
      </c>
      <c r="G21" s="1096" t="s">
        <v>28</v>
      </c>
      <c r="H21" s="1104" t="s">
        <v>487</v>
      </c>
      <c r="I21" s="1103">
        <v>557.61</v>
      </c>
      <c r="J21" s="1104">
        <v>250</v>
      </c>
      <c r="K21" s="1104"/>
      <c r="L21" s="1104">
        <v>420</v>
      </c>
      <c r="M21" s="1104"/>
      <c r="N21" s="668">
        <v>4.9000000000000004</v>
      </c>
      <c r="O21" s="1104"/>
      <c r="P21" s="668">
        <v>18.669403963801376</v>
      </c>
      <c r="Q21" s="668">
        <f t="shared" si="3"/>
        <v>37.5</v>
      </c>
      <c r="R21" s="432">
        <v>10.010999999999999</v>
      </c>
      <c r="S21" s="432">
        <v>12.687999999999999</v>
      </c>
      <c r="T21" s="670">
        <v>115</v>
      </c>
      <c r="U21" s="668">
        <f t="shared" si="0"/>
        <v>11.487363899710319</v>
      </c>
      <c r="V21" s="668">
        <f t="shared" si="4"/>
        <v>21.098675914249686</v>
      </c>
      <c r="W21" s="668">
        <v>0.2</v>
      </c>
      <c r="X21" s="432">
        <f t="shared" si="8"/>
        <v>0.33834666666666663</v>
      </c>
      <c r="Y21" s="432">
        <f t="shared" si="5"/>
        <v>9.8608349999999998</v>
      </c>
      <c r="Z21" s="432">
        <f t="shared" si="1"/>
        <v>12.497679999999999</v>
      </c>
      <c r="AA21" s="670">
        <f t="shared" si="1"/>
        <v>113.27499999999999</v>
      </c>
      <c r="AB21" s="432">
        <f t="shared" si="6"/>
        <v>11.487363899710319</v>
      </c>
      <c r="AC21" s="670">
        <f t="shared" si="2"/>
        <v>21.098675914249686</v>
      </c>
      <c r="AD21" s="1109">
        <v>31</v>
      </c>
      <c r="AE21" s="432">
        <f t="shared" si="7"/>
        <v>305.68588499999998</v>
      </c>
      <c r="AF21" s="669"/>
    </row>
    <row r="22" spans="1:32" ht="18.75" customHeight="1" x14ac:dyDescent="0.2">
      <c r="A22" s="1096">
        <v>8</v>
      </c>
      <c r="B22" s="461" t="s">
        <v>146</v>
      </c>
      <c r="C22" s="1096" t="s">
        <v>46</v>
      </c>
      <c r="D22" s="1096">
        <v>634.20000000000005</v>
      </c>
      <c r="E22" s="436" t="s">
        <v>73</v>
      </c>
      <c r="F22" s="1096">
        <v>177.8</v>
      </c>
      <c r="G22" s="1096" t="s">
        <v>28</v>
      </c>
      <c r="H22" s="1104" t="s">
        <v>52</v>
      </c>
      <c r="I22" s="437">
        <v>551.17000000000019</v>
      </c>
      <c r="J22" s="1104">
        <v>340</v>
      </c>
      <c r="K22" s="1102"/>
      <c r="L22" s="1104">
        <v>311</v>
      </c>
      <c r="M22" s="1102"/>
      <c r="N22" s="668">
        <v>8</v>
      </c>
      <c r="O22" s="1102"/>
      <c r="P22" s="668">
        <v>19.259881327135318</v>
      </c>
      <c r="Q22" s="668">
        <f t="shared" si="3"/>
        <v>74.8</v>
      </c>
      <c r="R22" s="432">
        <v>2.2120000000000002</v>
      </c>
      <c r="S22" s="432">
        <v>12.365</v>
      </c>
      <c r="T22" s="670">
        <v>5</v>
      </c>
      <c r="U22" s="668">
        <f t="shared" si="0"/>
        <v>2.2603978300180829</v>
      </c>
      <c r="V22" s="668">
        <f t="shared" si="4"/>
        <v>82.110796603315819</v>
      </c>
      <c r="W22" s="668">
        <v>0.3</v>
      </c>
      <c r="X22" s="432">
        <f t="shared" si="8"/>
        <v>0.16530748663101605</v>
      </c>
      <c r="Y22" s="432">
        <f t="shared" si="5"/>
        <v>2.17882</v>
      </c>
      <c r="Z22" s="432">
        <f t="shared" si="1"/>
        <v>12.179525</v>
      </c>
      <c r="AA22" s="670">
        <f t="shared" si="1"/>
        <v>4.9249999999999998</v>
      </c>
      <c r="AB22" s="432">
        <f t="shared" si="6"/>
        <v>2.2603978300180829</v>
      </c>
      <c r="AC22" s="670">
        <f t="shared" si="2"/>
        <v>82.110796603315819</v>
      </c>
      <c r="AD22" s="1109">
        <v>31</v>
      </c>
      <c r="AE22" s="432">
        <f t="shared" si="7"/>
        <v>67.543419999999998</v>
      </c>
      <c r="AF22" s="669"/>
    </row>
    <row r="23" spans="1:32" ht="18.75" customHeight="1" x14ac:dyDescent="0.2">
      <c r="A23" s="1096">
        <v>9</v>
      </c>
      <c r="B23" s="461" t="s">
        <v>147</v>
      </c>
      <c r="C23" s="1096" t="s">
        <v>46</v>
      </c>
      <c r="D23" s="1096">
        <v>650.1</v>
      </c>
      <c r="E23" s="1096" t="s">
        <v>74</v>
      </c>
      <c r="F23" s="1096">
        <v>177.8</v>
      </c>
      <c r="G23" s="1096" t="s">
        <v>28</v>
      </c>
      <c r="H23" s="1104" t="s">
        <v>52</v>
      </c>
      <c r="I23" s="1103">
        <v>591.98</v>
      </c>
      <c r="J23" s="1104">
        <v>290</v>
      </c>
      <c r="K23" s="1104"/>
      <c r="L23" s="1104">
        <v>451</v>
      </c>
      <c r="M23" s="1104"/>
      <c r="N23" s="668">
        <v>0.2</v>
      </c>
      <c r="O23" s="1104"/>
      <c r="P23" s="668">
        <v>11.90982303482096</v>
      </c>
      <c r="Q23" s="668">
        <f t="shared" si="3"/>
        <v>63.8</v>
      </c>
      <c r="R23" s="432">
        <v>4.548</v>
      </c>
      <c r="S23" s="432">
        <v>11.725</v>
      </c>
      <c r="T23" s="670">
        <v>6</v>
      </c>
      <c r="U23" s="668">
        <f t="shared" si="0"/>
        <v>1.3192612137203166</v>
      </c>
      <c r="V23" s="668">
        <f t="shared" si="4"/>
        <v>61.211087420042645</v>
      </c>
      <c r="W23" s="668">
        <v>0.2</v>
      </c>
      <c r="X23" s="432">
        <f t="shared" si="8"/>
        <v>0.18377742946708464</v>
      </c>
      <c r="Y23" s="432">
        <f t="shared" si="5"/>
        <v>4.4797799999999999</v>
      </c>
      <c r="Z23" s="432">
        <f t="shared" si="1"/>
        <v>11.549125</v>
      </c>
      <c r="AA23" s="670">
        <f t="shared" si="1"/>
        <v>5.91</v>
      </c>
      <c r="AB23" s="432">
        <f t="shared" si="6"/>
        <v>1.3192612137203166</v>
      </c>
      <c r="AC23" s="670">
        <f t="shared" si="2"/>
        <v>61.211087420042645</v>
      </c>
      <c r="AD23" s="1109">
        <v>31</v>
      </c>
      <c r="AE23" s="432">
        <f t="shared" si="7"/>
        <v>138.87317999999999</v>
      </c>
      <c r="AF23" s="669"/>
    </row>
    <row r="24" spans="1:32" ht="18.75" customHeight="1" x14ac:dyDescent="0.2">
      <c r="A24" s="1096">
        <v>10</v>
      </c>
      <c r="B24" s="461" t="s">
        <v>148</v>
      </c>
      <c r="C24" s="1096" t="s">
        <v>46</v>
      </c>
      <c r="D24" s="1096">
        <v>640.20000000000005</v>
      </c>
      <c r="E24" s="1096" t="s">
        <v>398</v>
      </c>
      <c r="F24" s="1096">
        <v>177.8</v>
      </c>
      <c r="G24" s="1096" t="s">
        <v>28</v>
      </c>
      <c r="H24" s="831" t="s">
        <v>466</v>
      </c>
      <c r="I24" s="1103">
        <v>565.38</v>
      </c>
      <c r="J24" s="1074">
        <v>280</v>
      </c>
      <c r="K24" s="1104"/>
      <c r="L24" s="1104">
        <v>503</v>
      </c>
      <c r="M24" s="1104"/>
      <c r="N24" s="668">
        <v>0</v>
      </c>
      <c r="O24" s="1104"/>
      <c r="P24" s="668">
        <v>9.8843530738427265</v>
      </c>
      <c r="Q24" s="668">
        <f>J24*13/100</f>
        <v>36.4</v>
      </c>
      <c r="R24" s="432">
        <v>1.151</v>
      </c>
      <c r="S24" s="432">
        <v>2.4050000000000002</v>
      </c>
      <c r="T24" s="670">
        <v>0</v>
      </c>
      <c r="U24" s="668">
        <f t="shared" si="0"/>
        <v>0</v>
      </c>
      <c r="V24" s="668">
        <f t="shared" si="4"/>
        <v>52.141372141372145</v>
      </c>
      <c r="W24" s="668">
        <v>0.2</v>
      </c>
      <c r="X24" s="432">
        <f t="shared" si="8"/>
        <v>6.6071428571428586E-2</v>
      </c>
      <c r="Y24" s="432">
        <f t="shared" si="5"/>
        <v>1.1337349999999999</v>
      </c>
      <c r="Z24" s="432">
        <f t="shared" si="1"/>
        <v>2.3689250000000004</v>
      </c>
      <c r="AA24" s="670">
        <f t="shared" si="1"/>
        <v>0</v>
      </c>
      <c r="AB24" s="432">
        <f t="shared" si="6"/>
        <v>0</v>
      </c>
      <c r="AC24" s="670">
        <f t="shared" si="2"/>
        <v>52.141372141372145</v>
      </c>
      <c r="AD24" s="1109">
        <v>31</v>
      </c>
      <c r="AE24" s="432">
        <f t="shared" si="7"/>
        <v>35.145784999999997</v>
      </c>
      <c r="AF24" s="669"/>
    </row>
    <row r="25" spans="1:32" ht="18.75" customHeight="1" x14ac:dyDescent="0.2">
      <c r="A25" s="1096">
        <v>11</v>
      </c>
      <c r="B25" s="461" t="s">
        <v>149</v>
      </c>
      <c r="C25" s="1096" t="s">
        <v>46</v>
      </c>
      <c r="D25" s="1096">
        <v>606.29999999999995</v>
      </c>
      <c r="E25" s="1096" t="s">
        <v>76</v>
      </c>
      <c r="F25" s="1096">
        <v>177.8</v>
      </c>
      <c r="G25" s="1096" t="s">
        <v>28</v>
      </c>
      <c r="H25" s="1104" t="s">
        <v>466</v>
      </c>
      <c r="I25" s="1103">
        <v>593.61999999999989</v>
      </c>
      <c r="J25" s="1104">
        <v>120</v>
      </c>
      <c r="K25" s="1104"/>
      <c r="L25" s="1104">
        <v>451</v>
      </c>
      <c r="M25" s="1104"/>
      <c r="N25" s="668">
        <v>2.6</v>
      </c>
      <c r="O25" s="1104"/>
      <c r="P25" s="668">
        <v>12.838143123124361</v>
      </c>
      <c r="Q25" s="668">
        <f>(13/100)*J25</f>
        <v>15.600000000000001</v>
      </c>
      <c r="R25" s="432">
        <v>2.7410000000000001</v>
      </c>
      <c r="S25" s="432">
        <v>4.5250000000000004</v>
      </c>
      <c r="T25" s="670">
        <v>23</v>
      </c>
      <c r="U25" s="668">
        <f t="shared" si="0"/>
        <v>8.3910981393651944</v>
      </c>
      <c r="V25" s="668">
        <f t="shared" si="4"/>
        <v>39.425414364640886</v>
      </c>
      <c r="W25" s="668">
        <v>0.3</v>
      </c>
      <c r="X25" s="432">
        <f t="shared" si="8"/>
        <v>0.29006410256410253</v>
      </c>
      <c r="Y25" s="432">
        <f t="shared" si="5"/>
        <v>2.6998850000000001</v>
      </c>
      <c r="Z25" s="432">
        <f t="shared" si="1"/>
        <v>4.4571250000000004</v>
      </c>
      <c r="AA25" s="670">
        <f t="shared" si="1"/>
        <v>22.655000000000001</v>
      </c>
      <c r="AB25" s="432">
        <f t="shared" si="6"/>
        <v>8.3910981393651944</v>
      </c>
      <c r="AC25" s="670">
        <f t="shared" si="2"/>
        <v>39.425414364640886</v>
      </c>
      <c r="AD25" s="1109">
        <v>31</v>
      </c>
      <c r="AE25" s="432">
        <f t="shared" si="7"/>
        <v>83.696435000000008</v>
      </c>
      <c r="AF25" s="449"/>
    </row>
    <row r="26" spans="1:32" ht="18.75" customHeight="1" x14ac:dyDescent="0.2">
      <c r="A26" s="1096">
        <v>12</v>
      </c>
      <c r="B26" s="461" t="s">
        <v>150</v>
      </c>
      <c r="C26" s="1096" t="s">
        <v>46</v>
      </c>
      <c r="D26" s="1096">
        <v>661</v>
      </c>
      <c r="E26" s="679" t="s">
        <v>433</v>
      </c>
      <c r="F26" s="1096">
        <v>177.8</v>
      </c>
      <c r="G26" s="1096" t="s">
        <v>28</v>
      </c>
      <c r="H26" s="1104" t="s">
        <v>53</v>
      </c>
      <c r="I26" s="1103">
        <v>555.72</v>
      </c>
      <c r="J26" s="1104"/>
      <c r="K26" s="1104"/>
      <c r="L26" s="1104"/>
      <c r="M26" s="1104"/>
      <c r="N26" s="668"/>
      <c r="O26" s="1104"/>
      <c r="P26" s="668">
        <v>43.685850175429259</v>
      </c>
      <c r="Q26" s="668">
        <f t="shared" si="3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>
        <f t="shared" si="4"/>
        <v>0</v>
      </c>
      <c r="W26" s="668">
        <v>0.2</v>
      </c>
      <c r="X26" s="432">
        <f t="shared" si="8"/>
        <v>0</v>
      </c>
      <c r="Y26" s="432">
        <f t="shared" si="5"/>
        <v>0</v>
      </c>
      <c r="Z26" s="432">
        <f t="shared" si="1"/>
        <v>0</v>
      </c>
      <c r="AA26" s="670">
        <f t="shared" si="1"/>
        <v>0</v>
      </c>
      <c r="AB26" s="432">
        <f t="shared" si="6"/>
        <v>0</v>
      </c>
      <c r="AC26" s="670">
        <f t="shared" si="2"/>
        <v>0</v>
      </c>
      <c r="AD26" s="1096">
        <v>0</v>
      </c>
      <c r="AE26" s="432">
        <f t="shared" si="7"/>
        <v>0</v>
      </c>
      <c r="AF26" s="449" t="s">
        <v>335</v>
      </c>
    </row>
    <row r="27" spans="1:32" ht="18.75" customHeight="1" x14ac:dyDescent="0.2">
      <c r="A27" s="1096">
        <v>13</v>
      </c>
      <c r="B27" s="461" t="s">
        <v>151</v>
      </c>
      <c r="C27" s="1096" t="s">
        <v>46</v>
      </c>
      <c r="D27" s="1096">
        <v>658.32</v>
      </c>
      <c r="E27" s="1092" t="s">
        <v>298</v>
      </c>
      <c r="F27" s="1096">
        <v>177.8</v>
      </c>
      <c r="G27" s="1096" t="s">
        <v>28</v>
      </c>
      <c r="H27" s="1104" t="s">
        <v>52</v>
      </c>
      <c r="I27" s="1103">
        <v>552.47</v>
      </c>
      <c r="J27" s="1074">
        <v>270</v>
      </c>
      <c r="K27" s="1104"/>
      <c r="L27" s="1104">
        <v>354</v>
      </c>
      <c r="M27" s="1104"/>
      <c r="N27" s="668">
        <v>5.3</v>
      </c>
      <c r="O27" s="1104"/>
      <c r="P27" s="668">
        <v>28.125381065550521</v>
      </c>
      <c r="Q27" s="668">
        <f t="shared" si="3"/>
        <v>59.4</v>
      </c>
      <c r="R27" s="432">
        <v>5.9610000000000003</v>
      </c>
      <c r="S27" s="432">
        <v>27.265000000000001</v>
      </c>
      <c r="T27" s="670">
        <v>41</v>
      </c>
      <c r="U27" s="668">
        <f t="shared" si="0"/>
        <v>6.8780405972152323</v>
      </c>
      <c r="V27" s="668">
        <f t="shared" si="4"/>
        <v>78.136805428204653</v>
      </c>
      <c r="W27" s="668">
        <v>0.3</v>
      </c>
      <c r="X27" s="432">
        <f t="shared" si="8"/>
        <v>0.45900673400673403</v>
      </c>
      <c r="Y27" s="432">
        <f t="shared" si="5"/>
        <v>5.8715850000000005</v>
      </c>
      <c r="Z27" s="432">
        <f t="shared" si="1"/>
        <v>26.856024999999999</v>
      </c>
      <c r="AA27" s="670">
        <f t="shared" si="1"/>
        <v>40.384999999999998</v>
      </c>
      <c r="AB27" s="432">
        <f t="shared" si="6"/>
        <v>6.8780405972152323</v>
      </c>
      <c r="AC27" s="670">
        <f t="shared" si="2"/>
        <v>78.136805428204653</v>
      </c>
      <c r="AD27" s="1096">
        <v>31</v>
      </c>
      <c r="AE27" s="432">
        <f t="shared" si="7"/>
        <v>182.01913500000001</v>
      </c>
      <c r="AF27" s="449"/>
    </row>
    <row r="28" spans="1:32" ht="18.75" customHeight="1" x14ac:dyDescent="0.2">
      <c r="A28" s="1096">
        <v>14</v>
      </c>
      <c r="B28" s="461" t="s">
        <v>36</v>
      </c>
      <c r="C28" s="1096" t="s">
        <v>46</v>
      </c>
      <c r="D28" s="1096">
        <v>584.5</v>
      </c>
      <c r="E28" s="1092" t="s">
        <v>79</v>
      </c>
      <c r="F28" s="1096">
        <v>177.8</v>
      </c>
      <c r="G28" s="1096" t="s">
        <v>28</v>
      </c>
      <c r="H28" s="1104" t="s">
        <v>49</v>
      </c>
      <c r="I28" s="1103">
        <v>525.03</v>
      </c>
      <c r="J28" s="1074">
        <v>285</v>
      </c>
      <c r="K28" s="1104"/>
      <c r="L28" s="1104">
        <v>386</v>
      </c>
      <c r="M28" s="1104"/>
      <c r="N28" s="668">
        <v>6.5</v>
      </c>
      <c r="O28" s="1104"/>
      <c r="P28" s="668">
        <v>20.349731268970327</v>
      </c>
      <c r="Q28" s="668">
        <f t="shared" si="3"/>
        <v>91.2</v>
      </c>
      <c r="R28" s="432">
        <v>16.099</v>
      </c>
      <c r="S28" s="432">
        <v>48.795000000000002</v>
      </c>
      <c r="T28" s="670">
        <v>310</v>
      </c>
      <c r="U28" s="668">
        <f t="shared" si="0"/>
        <v>19.255854400894464</v>
      </c>
      <c r="V28" s="668">
        <f t="shared" si="4"/>
        <v>67.006865457526374</v>
      </c>
      <c r="W28" s="668">
        <v>0.3</v>
      </c>
      <c r="X28" s="432">
        <f t="shared" si="8"/>
        <v>0.53503289473684212</v>
      </c>
      <c r="Y28" s="432">
        <f t="shared" si="5"/>
        <v>15.857514999999999</v>
      </c>
      <c r="Z28" s="432">
        <f t="shared" si="1"/>
        <v>48.063074999999998</v>
      </c>
      <c r="AA28" s="670">
        <f t="shared" si="1"/>
        <v>305.35000000000002</v>
      </c>
      <c r="AB28" s="432">
        <f t="shared" si="6"/>
        <v>19.255854400894464</v>
      </c>
      <c r="AC28" s="670">
        <f t="shared" si="2"/>
        <v>67.006865457526374</v>
      </c>
      <c r="AD28" s="1109">
        <v>31</v>
      </c>
      <c r="AE28" s="432">
        <f t="shared" si="7"/>
        <v>491.582965</v>
      </c>
      <c r="AF28" s="669"/>
    </row>
    <row r="29" spans="1:32" ht="18.75" customHeight="1" x14ac:dyDescent="0.2">
      <c r="A29" s="1096">
        <v>15</v>
      </c>
      <c r="B29" s="461" t="s">
        <v>152</v>
      </c>
      <c r="C29" s="1096" t="s">
        <v>46</v>
      </c>
      <c r="D29" s="1096">
        <v>564.97999999999979</v>
      </c>
      <c r="E29" s="1092" t="s">
        <v>80</v>
      </c>
      <c r="F29" s="1096">
        <v>177.8</v>
      </c>
      <c r="G29" s="1096" t="s">
        <v>28</v>
      </c>
      <c r="H29" s="432" t="s">
        <v>538</v>
      </c>
      <c r="I29" s="437">
        <v>523.26999999999975</v>
      </c>
      <c r="J29" s="1104">
        <v>240</v>
      </c>
      <c r="K29" s="1104"/>
      <c r="L29" s="1104">
        <v>452</v>
      </c>
      <c r="M29" s="1104"/>
      <c r="N29" s="668">
        <v>8.5</v>
      </c>
      <c r="O29" s="1104"/>
      <c r="P29" s="668">
        <v>18.163586048682095</v>
      </c>
      <c r="Q29" s="668">
        <f>(22/100)*J29</f>
        <v>52.8</v>
      </c>
      <c r="R29" s="432">
        <v>9.1319999999999997</v>
      </c>
      <c r="S29" s="432">
        <v>18.612000000000002</v>
      </c>
      <c r="T29" s="670">
        <v>1093</v>
      </c>
      <c r="U29" s="668">
        <f t="shared" si="0"/>
        <v>119.68900569426194</v>
      </c>
      <c r="V29" s="668">
        <f t="shared" si="4"/>
        <v>50.934880722114769</v>
      </c>
      <c r="W29" s="668">
        <v>0.2</v>
      </c>
      <c r="X29" s="432">
        <f t="shared" si="8"/>
        <v>0.35250000000000004</v>
      </c>
      <c r="Y29" s="432">
        <f t="shared" si="5"/>
        <v>8.9950200000000002</v>
      </c>
      <c r="Z29" s="432">
        <f t="shared" si="1"/>
        <v>18.332820000000002</v>
      </c>
      <c r="AA29" s="670">
        <f t="shared" si="1"/>
        <v>1076.605</v>
      </c>
      <c r="AB29" s="432">
        <f t="shared" si="6"/>
        <v>119.68900569426194</v>
      </c>
      <c r="AC29" s="670">
        <f t="shared" si="2"/>
        <v>50.934880722114769</v>
      </c>
      <c r="AD29" s="1109">
        <v>31</v>
      </c>
      <c r="AE29" s="432">
        <f t="shared" si="7"/>
        <v>278.84562</v>
      </c>
      <c r="AF29" s="669"/>
    </row>
    <row r="30" spans="1:32" ht="18.75" customHeight="1" x14ac:dyDescent="0.2">
      <c r="A30" s="1096">
        <v>16</v>
      </c>
      <c r="B30" s="461" t="s">
        <v>37</v>
      </c>
      <c r="C30" s="1096" t="s">
        <v>46</v>
      </c>
      <c r="D30" s="1096">
        <v>670</v>
      </c>
      <c r="E30" s="1096" t="s">
        <v>81</v>
      </c>
      <c r="F30" s="1096">
        <v>177.8</v>
      </c>
      <c r="G30" s="1096" t="s">
        <v>28</v>
      </c>
      <c r="H30" s="1104" t="s">
        <v>48</v>
      </c>
      <c r="I30" s="1103">
        <v>570.95000000000005</v>
      </c>
      <c r="J30" s="1074">
        <v>145</v>
      </c>
      <c r="K30" s="1104"/>
      <c r="L30" s="1104">
        <v>420</v>
      </c>
      <c r="M30" s="1104"/>
      <c r="N30" s="668">
        <v>1.6</v>
      </c>
      <c r="O30" s="1104"/>
      <c r="P30" s="668">
        <v>17.548784949710825</v>
      </c>
      <c r="Q30" s="668">
        <f>J30*13/100</f>
        <v>18.850000000000001</v>
      </c>
      <c r="R30" s="432">
        <v>2.2000000000000002</v>
      </c>
      <c r="S30" s="432">
        <v>6.0170000000000003</v>
      </c>
      <c r="T30" s="670">
        <v>8</v>
      </c>
      <c r="U30" s="668">
        <f t="shared" si="0"/>
        <v>3.6363636363636362</v>
      </c>
      <c r="V30" s="668">
        <f t="shared" si="4"/>
        <v>63.436928702010967</v>
      </c>
      <c r="W30" s="668">
        <v>0.2</v>
      </c>
      <c r="X30" s="432">
        <f t="shared" si="8"/>
        <v>0.31920424403183023</v>
      </c>
      <c r="Y30" s="432">
        <f t="shared" si="5"/>
        <v>2.1670000000000003</v>
      </c>
      <c r="Z30" s="432">
        <f t="shared" si="1"/>
        <v>5.9267450000000004</v>
      </c>
      <c r="AA30" s="670">
        <f t="shared" si="1"/>
        <v>7.88</v>
      </c>
      <c r="AB30" s="432">
        <f t="shared" si="6"/>
        <v>3.6363636363636362</v>
      </c>
      <c r="AC30" s="670">
        <f t="shared" si="2"/>
        <v>63.436928702010967</v>
      </c>
      <c r="AD30" s="1109">
        <v>31</v>
      </c>
      <c r="AE30" s="432">
        <f>Y30*AD30</f>
        <v>67.177000000000007</v>
      </c>
      <c r="AF30" s="449"/>
    </row>
    <row r="31" spans="1:32" ht="18.75" customHeight="1" x14ac:dyDescent="0.2">
      <c r="A31" s="1096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104" t="s">
        <v>501</v>
      </c>
      <c r="I31" s="461">
        <v>546.6600000000002</v>
      </c>
      <c r="J31" s="461">
        <v>240</v>
      </c>
      <c r="K31" s="461"/>
      <c r="L31" s="461">
        <v>231</v>
      </c>
      <c r="M31" s="461"/>
      <c r="N31" s="671">
        <v>11</v>
      </c>
      <c r="O31" s="461"/>
      <c r="P31" s="671">
        <v>43.041284069657628</v>
      </c>
      <c r="Q31" s="668">
        <f>J31*33/100</f>
        <v>79.2</v>
      </c>
      <c r="R31" s="672">
        <v>35.494999999999997</v>
      </c>
      <c r="S31" s="432">
        <v>63.561999999999998</v>
      </c>
      <c r="T31" s="699">
        <v>73</v>
      </c>
      <c r="U31" s="668">
        <f t="shared" si="0"/>
        <v>2.0566276940414143</v>
      </c>
      <c r="V31" s="668">
        <f t="shared" si="4"/>
        <v>44.156886189861872</v>
      </c>
      <c r="W31" s="671">
        <v>0.3</v>
      </c>
      <c r="X31" s="432">
        <f t="shared" si="8"/>
        <v>0.80255050505050496</v>
      </c>
      <c r="Y31" s="432">
        <f t="shared" si="5"/>
        <v>34.962574999999994</v>
      </c>
      <c r="Z31" s="432">
        <f t="shared" si="1"/>
        <v>62.60857</v>
      </c>
      <c r="AA31" s="670">
        <f t="shared" si="1"/>
        <v>71.905000000000001</v>
      </c>
      <c r="AB31" s="672">
        <f t="shared" si="6"/>
        <v>2.0566276940414143</v>
      </c>
      <c r="AC31" s="699">
        <f t="shared" si="2"/>
        <v>44.156886189861872</v>
      </c>
      <c r="AD31" s="1109">
        <v>31</v>
      </c>
      <c r="AE31" s="672">
        <f>Y31*AD31</f>
        <v>1083.8398249999998</v>
      </c>
      <c r="AF31" s="461"/>
    </row>
    <row r="32" spans="1:32" ht="18.600000000000001" customHeight="1" x14ac:dyDescent="0.2">
      <c r="A32" s="1096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096">
        <v>177.8</v>
      </c>
      <c r="G32" s="1096" t="s">
        <v>28</v>
      </c>
      <c r="H32" s="1104" t="s">
        <v>364</v>
      </c>
      <c r="I32" s="437">
        <v>565.84</v>
      </c>
      <c r="J32" s="1104">
        <v>335</v>
      </c>
      <c r="K32" s="1104"/>
      <c r="L32" s="1104">
        <v>445</v>
      </c>
      <c r="M32" s="1104"/>
      <c r="N32" s="668">
        <v>8.4</v>
      </c>
      <c r="O32" s="1104"/>
      <c r="P32" s="668">
        <v>17.99701003766927</v>
      </c>
      <c r="Q32" s="668">
        <f>J32*13/100</f>
        <v>43.55</v>
      </c>
      <c r="R32" s="432">
        <v>2.1970000000000001</v>
      </c>
      <c r="S32" s="432">
        <v>7.4340000000000002</v>
      </c>
      <c r="T32" s="670">
        <v>64</v>
      </c>
      <c r="U32" s="668">
        <f t="shared" si="0"/>
        <v>29.130632680928539</v>
      </c>
      <c r="V32" s="668">
        <f t="shared" si="4"/>
        <v>70.446596717783166</v>
      </c>
      <c r="W32" s="668">
        <v>0.3</v>
      </c>
      <c r="X32" s="432">
        <f t="shared" si="8"/>
        <v>0.17070034443168772</v>
      </c>
      <c r="Y32" s="432">
        <f t="shared" si="5"/>
        <v>2.1640450000000002</v>
      </c>
      <c r="Z32" s="432">
        <f t="shared" si="1"/>
        <v>7.3224900000000002</v>
      </c>
      <c r="AA32" s="670">
        <f t="shared" si="1"/>
        <v>63.04</v>
      </c>
      <c r="AB32" s="672">
        <f t="shared" si="6"/>
        <v>29.130632680928539</v>
      </c>
      <c r="AC32" s="699">
        <f t="shared" si="2"/>
        <v>70.446596717783166</v>
      </c>
      <c r="AD32" s="1109">
        <v>31</v>
      </c>
      <c r="AE32" s="672">
        <f>Y32*AD32</f>
        <v>67.085395000000005</v>
      </c>
      <c r="AF32" s="669"/>
    </row>
    <row r="33" spans="1:32" ht="18.75" customHeight="1" x14ac:dyDescent="0.2">
      <c r="A33" s="1096">
        <v>19</v>
      </c>
      <c r="B33" s="461" t="s">
        <v>38</v>
      </c>
      <c r="C33" s="1096" t="s">
        <v>46</v>
      </c>
      <c r="D33" s="668">
        <v>580</v>
      </c>
      <c r="E33" s="1096" t="s">
        <v>84</v>
      </c>
      <c r="F33" s="1096">
        <v>177.8</v>
      </c>
      <c r="G33" s="1096" t="s">
        <v>28</v>
      </c>
      <c r="H33" s="1104" t="s">
        <v>52</v>
      </c>
      <c r="I33" s="1103">
        <v>565.38</v>
      </c>
      <c r="J33" s="1104">
        <v>240</v>
      </c>
      <c r="K33" s="1104"/>
      <c r="L33" s="1104">
        <v>512</v>
      </c>
      <c r="M33" s="1104"/>
      <c r="N33" s="668">
        <v>0</v>
      </c>
      <c r="O33" s="1104"/>
      <c r="P33" s="668">
        <v>3.1114531180801959</v>
      </c>
      <c r="Q33" s="668">
        <f t="shared" si="3"/>
        <v>52.8</v>
      </c>
      <c r="R33" s="432">
        <v>2.9809999999999999</v>
      </c>
      <c r="S33" s="432">
        <v>5.9779999999999998</v>
      </c>
      <c r="T33" s="670">
        <v>15</v>
      </c>
      <c r="U33" s="668">
        <f t="shared" si="0"/>
        <v>5.0318685005031867</v>
      </c>
      <c r="V33" s="668">
        <f t="shared" si="4"/>
        <v>50.13382402141184</v>
      </c>
      <c r="W33" s="668">
        <v>0.2</v>
      </c>
      <c r="X33" s="432">
        <f t="shared" si="8"/>
        <v>0.11321969696969697</v>
      </c>
      <c r="Y33" s="432">
        <f t="shared" si="5"/>
        <v>2.9362849999999998</v>
      </c>
      <c r="Z33" s="432">
        <f t="shared" si="1"/>
        <v>5.8883299999999998</v>
      </c>
      <c r="AA33" s="670">
        <f t="shared" si="1"/>
        <v>14.775</v>
      </c>
      <c r="AB33" s="432">
        <f>U33</f>
        <v>5.0318685005031867</v>
      </c>
      <c r="AC33" s="699">
        <f t="shared" si="2"/>
        <v>50.13382402141184</v>
      </c>
      <c r="AD33" s="1109">
        <v>31</v>
      </c>
      <c r="AE33" s="432">
        <f t="shared" si="7"/>
        <v>91.024834999999996</v>
      </c>
      <c r="AF33" s="669"/>
    </row>
    <row r="34" spans="1:32" ht="18.75" customHeight="1" x14ac:dyDescent="0.2">
      <c r="A34" s="1096">
        <v>20</v>
      </c>
      <c r="B34" s="461" t="s">
        <v>39</v>
      </c>
      <c r="C34" s="1096" t="s">
        <v>46</v>
      </c>
      <c r="D34" s="1096">
        <v>728.6</v>
      </c>
      <c r="E34" s="1096" t="s">
        <v>411</v>
      </c>
      <c r="F34" s="1096">
        <v>177.8</v>
      </c>
      <c r="G34" s="1096" t="s">
        <v>28</v>
      </c>
      <c r="H34" s="1104" t="s">
        <v>380</v>
      </c>
      <c r="I34" s="1103">
        <v>551.77</v>
      </c>
      <c r="J34" s="1074">
        <v>225</v>
      </c>
      <c r="K34" s="1104"/>
      <c r="L34" s="1104">
        <v>466</v>
      </c>
      <c r="M34" s="1104"/>
      <c r="N34" s="668">
        <v>3</v>
      </c>
      <c r="O34" s="1104"/>
      <c r="P34" s="668">
        <v>14.107336991152799</v>
      </c>
      <c r="Q34" s="668">
        <f>J34*23/100</f>
        <v>51.75</v>
      </c>
      <c r="R34" s="432">
        <v>2.5110000000000001</v>
      </c>
      <c r="S34" s="432">
        <v>6.4879999999999995</v>
      </c>
      <c r="T34" s="670">
        <v>93</v>
      </c>
      <c r="U34" s="668">
        <f t="shared" si="0"/>
        <v>37.037037037037038</v>
      </c>
      <c r="V34" s="668">
        <f t="shared" si="4"/>
        <v>61.297780517879154</v>
      </c>
      <c r="W34" s="668">
        <v>0.2</v>
      </c>
      <c r="X34" s="432">
        <f t="shared" si="8"/>
        <v>0.12537198067632849</v>
      </c>
      <c r="Y34" s="432">
        <f t="shared" si="5"/>
        <v>2.4733350000000001</v>
      </c>
      <c r="Z34" s="432">
        <f t="shared" si="1"/>
        <v>6.3906799999999997</v>
      </c>
      <c r="AA34" s="670">
        <f t="shared" si="1"/>
        <v>91.605000000000004</v>
      </c>
      <c r="AB34" s="432">
        <f t="shared" si="6"/>
        <v>37.037037037037038</v>
      </c>
      <c r="AC34" s="699">
        <f t="shared" si="2"/>
        <v>61.297780517879154</v>
      </c>
      <c r="AD34" s="1109">
        <v>31</v>
      </c>
      <c r="AE34" s="432">
        <f t="shared" si="7"/>
        <v>76.673384999999996</v>
      </c>
      <c r="AF34" s="669"/>
    </row>
    <row r="35" spans="1:32" ht="18.75" customHeight="1" x14ac:dyDescent="0.2">
      <c r="A35" s="1096">
        <v>21</v>
      </c>
      <c r="B35" s="461" t="s">
        <v>40</v>
      </c>
      <c r="C35" s="1096" t="s">
        <v>46</v>
      </c>
      <c r="D35" s="1096">
        <v>679.7</v>
      </c>
      <c r="E35" s="1096" t="s">
        <v>86</v>
      </c>
      <c r="F35" s="1096">
        <v>177.8</v>
      </c>
      <c r="G35" s="1096" t="s">
        <v>28</v>
      </c>
      <c r="H35" s="1104" t="s">
        <v>487</v>
      </c>
      <c r="I35" s="1103">
        <v>563.22</v>
      </c>
      <c r="J35" s="1104">
        <v>210</v>
      </c>
      <c r="K35" s="1104"/>
      <c r="L35" s="1104">
        <v>417</v>
      </c>
      <c r="M35" s="1104"/>
      <c r="N35" s="668">
        <v>0</v>
      </c>
      <c r="O35" s="1104"/>
      <c r="P35" s="668">
        <v>15.329099946078896</v>
      </c>
      <c r="Q35" s="668">
        <f t="shared" si="3"/>
        <v>31.5</v>
      </c>
      <c r="R35" s="432">
        <v>2.1070000000000002</v>
      </c>
      <c r="S35" s="432">
        <v>12.085999999999999</v>
      </c>
      <c r="T35" s="670">
        <v>9</v>
      </c>
      <c r="U35" s="668">
        <f>IF(R35=0,0,T35/R35)</f>
        <v>4.271476032273374</v>
      </c>
      <c r="V35" s="668">
        <f t="shared" si="4"/>
        <v>82.566605990402124</v>
      </c>
      <c r="W35" s="668">
        <v>0.3</v>
      </c>
      <c r="X35" s="432">
        <f t="shared" si="8"/>
        <v>0.38368253968253963</v>
      </c>
      <c r="Y35" s="432">
        <f t="shared" si="5"/>
        <v>2.0753950000000003</v>
      </c>
      <c r="Z35" s="432">
        <f t="shared" si="1"/>
        <v>11.904709999999998</v>
      </c>
      <c r="AA35" s="670">
        <f t="shared" si="1"/>
        <v>8.8650000000000002</v>
      </c>
      <c r="AB35" s="432">
        <f t="shared" si="6"/>
        <v>4.271476032273374</v>
      </c>
      <c r="AC35" s="699">
        <v>70</v>
      </c>
      <c r="AD35" s="1109">
        <v>31</v>
      </c>
      <c r="AE35" s="432">
        <f>Y35*AD35</f>
        <v>64.33724500000001</v>
      </c>
      <c r="AF35" s="449"/>
    </row>
    <row r="36" spans="1:32" ht="18.75" customHeight="1" x14ac:dyDescent="0.2">
      <c r="A36" s="1096">
        <v>22</v>
      </c>
      <c r="B36" s="461" t="s">
        <v>41</v>
      </c>
      <c r="C36" s="1096" t="s">
        <v>46</v>
      </c>
      <c r="D36" s="1096">
        <v>567.99999999999977</v>
      </c>
      <c r="E36" s="1096" t="s">
        <v>87</v>
      </c>
      <c r="F36" s="1096">
        <v>177.8</v>
      </c>
      <c r="G36" s="1096" t="s">
        <v>28</v>
      </c>
      <c r="H36" s="1104" t="s">
        <v>538</v>
      </c>
      <c r="I36" s="1103">
        <v>536.49999999999977</v>
      </c>
      <c r="J36" s="1074">
        <v>275</v>
      </c>
      <c r="K36" s="1104"/>
      <c r="L36" s="1104">
        <v>450</v>
      </c>
      <c r="M36" s="1104"/>
      <c r="N36" s="668">
        <v>6.3</v>
      </c>
      <c r="O36" s="1104"/>
      <c r="P36" s="668">
        <v>13.724104489217046</v>
      </c>
      <c r="Q36" s="668">
        <f>(22/100)*J36</f>
        <v>60.5</v>
      </c>
      <c r="R36" s="432">
        <v>6.2350000000000003</v>
      </c>
      <c r="S36" s="432">
        <v>8.84</v>
      </c>
      <c r="T36" s="670">
        <v>294</v>
      </c>
      <c r="U36" s="668">
        <f t="shared" ref="U36:U79" si="9">IF(R36=0,0,T36/R36)</f>
        <v>47.153167602245389</v>
      </c>
      <c r="V36" s="668">
        <f t="shared" si="4"/>
        <v>29.4683257918552</v>
      </c>
      <c r="W36" s="668">
        <v>0.2</v>
      </c>
      <c r="X36" s="432">
        <f t="shared" si="8"/>
        <v>0.14611570247933883</v>
      </c>
      <c r="Y36" s="432">
        <f t="shared" si="5"/>
        <v>6.1414749999999998</v>
      </c>
      <c r="Z36" s="432">
        <f t="shared" si="1"/>
        <v>8.7073999999999998</v>
      </c>
      <c r="AA36" s="670">
        <f t="shared" si="1"/>
        <v>289.58999999999997</v>
      </c>
      <c r="AB36" s="432">
        <v>89.536086956521729</v>
      </c>
      <c r="AC36" s="699">
        <f t="shared" si="2"/>
        <v>29.4683257918552</v>
      </c>
      <c r="AD36" s="1109">
        <v>31</v>
      </c>
      <c r="AE36" s="432">
        <f t="shared" si="7"/>
        <v>190.38572499999998</v>
      </c>
      <c r="AF36" s="673"/>
    </row>
    <row r="37" spans="1:32" ht="18.75" customHeight="1" x14ac:dyDescent="0.2">
      <c r="A37" s="1096">
        <v>23</v>
      </c>
      <c r="B37" s="461" t="s">
        <v>42</v>
      </c>
      <c r="C37" s="1096" t="s">
        <v>46</v>
      </c>
      <c r="D37" s="1096">
        <v>583.20000000000005</v>
      </c>
      <c r="E37" s="1096" t="s">
        <v>434</v>
      </c>
      <c r="F37" s="1096">
        <v>177.8</v>
      </c>
      <c r="G37" s="1096" t="s">
        <v>28</v>
      </c>
      <c r="H37" s="1104" t="s">
        <v>48</v>
      </c>
      <c r="I37" s="1103">
        <v>565.09</v>
      </c>
      <c r="J37" s="1074">
        <v>358</v>
      </c>
      <c r="K37" s="1104"/>
      <c r="L37" s="1104">
        <v>105</v>
      </c>
      <c r="M37" s="1104"/>
      <c r="N37" s="668">
        <v>0.3</v>
      </c>
      <c r="O37" s="1104"/>
      <c r="P37" s="668">
        <v>44.359234114587878</v>
      </c>
      <c r="Q37" s="668">
        <f t="shared" si="3"/>
        <v>46.54</v>
      </c>
      <c r="R37" s="432">
        <v>2.4060000000000001</v>
      </c>
      <c r="S37" s="432">
        <v>9.4320000000000004</v>
      </c>
      <c r="T37" s="670">
        <v>10</v>
      </c>
      <c r="U37" s="668">
        <f t="shared" si="9"/>
        <v>4.1562759767248547</v>
      </c>
      <c r="V37" s="668">
        <f t="shared" si="4"/>
        <v>74.491094147582686</v>
      </c>
      <c r="W37" s="668">
        <v>0.2</v>
      </c>
      <c r="X37" s="432">
        <f t="shared" si="8"/>
        <v>0.20266437473141385</v>
      </c>
      <c r="Y37" s="432">
        <f t="shared" si="5"/>
        <v>2.36991</v>
      </c>
      <c r="Z37" s="432">
        <f t="shared" si="1"/>
        <v>9.2905200000000008</v>
      </c>
      <c r="AA37" s="670">
        <f t="shared" si="1"/>
        <v>9.85</v>
      </c>
      <c r="AB37" s="432">
        <f t="shared" si="6"/>
        <v>4.1562759767248547</v>
      </c>
      <c r="AC37" s="670">
        <f t="shared" si="2"/>
        <v>74.491094147582686</v>
      </c>
      <c r="AD37" s="1109">
        <v>31</v>
      </c>
      <c r="AE37" s="432">
        <f t="shared" si="7"/>
        <v>73.467209999999994</v>
      </c>
      <c r="AF37" s="449"/>
    </row>
    <row r="38" spans="1:32" ht="18.75" customHeight="1" x14ac:dyDescent="0.2">
      <c r="A38" s="1096">
        <v>24</v>
      </c>
      <c r="B38" s="461" t="s">
        <v>43</v>
      </c>
      <c r="C38" s="1096" t="s">
        <v>46</v>
      </c>
      <c r="D38" s="1096">
        <v>682.7</v>
      </c>
      <c r="E38" s="1096" t="s">
        <v>435</v>
      </c>
      <c r="F38" s="1096">
        <v>177.8</v>
      </c>
      <c r="G38" s="1096" t="s">
        <v>28</v>
      </c>
      <c r="H38" s="1104" t="s">
        <v>399</v>
      </c>
      <c r="I38" s="446">
        <v>575.91</v>
      </c>
      <c r="J38" s="1104">
        <v>320</v>
      </c>
      <c r="K38" s="1104"/>
      <c r="L38" s="1104">
        <v>375</v>
      </c>
      <c r="M38" s="1104"/>
      <c r="N38" s="668">
        <v>6.7</v>
      </c>
      <c r="O38" s="1104"/>
      <c r="P38" s="668">
        <v>21.085114336978027</v>
      </c>
      <c r="Q38" s="668">
        <f>J38*13/100</f>
        <v>41.6</v>
      </c>
      <c r="R38" s="432">
        <v>6.8860000000000001</v>
      </c>
      <c r="S38" s="432">
        <v>31.634</v>
      </c>
      <c r="T38" s="670">
        <v>75</v>
      </c>
      <c r="U38" s="668">
        <f t="shared" si="9"/>
        <v>10.891664246296834</v>
      </c>
      <c r="V38" s="668">
        <f t="shared" si="4"/>
        <v>78.232281722197641</v>
      </c>
      <c r="W38" s="668">
        <v>0.3</v>
      </c>
      <c r="X38" s="432">
        <f t="shared" si="8"/>
        <v>0.76043269230769228</v>
      </c>
      <c r="Y38" s="432">
        <f t="shared" si="5"/>
        <v>6.7827099999999998</v>
      </c>
      <c r="Z38" s="432">
        <f t="shared" si="1"/>
        <v>31.159490000000002</v>
      </c>
      <c r="AA38" s="670">
        <f t="shared" si="1"/>
        <v>73.875</v>
      </c>
      <c r="AB38" s="432">
        <f t="shared" si="6"/>
        <v>10.891664246296834</v>
      </c>
      <c r="AC38" s="670">
        <f t="shared" si="2"/>
        <v>78.232281722197641</v>
      </c>
      <c r="AD38" s="1109">
        <v>31</v>
      </c>
      <c r="AE38" s="432">
        <f t="shared" si="7"/>
        <v>210.26400999999998</v>
      </c>
      <c r="AF38" s="669"/>
    </row>
    <row r="39" spans="1:32" ht="18.75" customHeight="1" x14ac:dyDescent="0.2">
      <c r="A39" s="1096">
        <v>25</v>
      </c>
      <c r="B39" s="461" t="s">
        <v>44</v>
      </c>
      <c r="C39" s="1096" t="s">
        <v>46</v>
      </c>
      <c r="D39" s="1096">
        <v>610.91999999999996</v>
      </c>
      <c r="E39" s="1096" t="s">
        <v>90</v>
      </c>
      <c r="F39" s="1096">
        <v>177.8</v>
      </c>
      <c r="G39" s="1096" t="s">
        <v>28</v>
      </c>
      <c r="H39" s="1104" t="s">
        <v>539</v>
      </c>
      <c r="I39" s="446">
        <v>564.92000000000041</v>
      </c>
      <c r="J39" s="1104">
        <v>135</v>
      </c>
      <c r="K39" s="1104"/>
      <c r="L39" s="1104">
        <v>215</v>
      </c>
      <c r="M39" s="1104"/>
      <c r="N39" s="668">
        <v>6.4</v>
      </c>
      <c r="O39" s="1104"/>
      <c r="P39" s="668">
        <v>42.785405187709266</v>
      </c>
      <c r="Q39" s="668">
        <f>(32/100)*J39</f>
        <v>43.2</v>
      </c>
      <c r="R39" s="432">
        <v>6.9340000000000002</v>
      </c>
      <c r="S39" s="432">
        <v>38.363999999999997</v>
      </c>
      <c r="T39" s="670">
        <v>129</v>
      </c>
      <c r="U39" s="668">
        <f t="shared" si="9"/>
        <v>18.603980386501298</v>
      </c>
      <c r="V39" s="668">
        <f t="shared" si="4"/>
        <v>81.925763736836615</v>
      </c>
      <c r="W39" s="668">
        <v>0.3</v>
      </c>
      <c r="X39" s="432">
        <f t="shared" si="8"/>
        <v>0.88805555555555549</v>
      </c>
      <c r="Y39" s="432">
        <f t="shared" si="5"/>
        <v>6.8299900000000004</v>
      </c>
      <c r="Z39" s="432">
        <f t="shared" si="1"/>
        <v>37.788539999999998</v>
      </c>
      <c r="AA39" s="670">
        <f t="shared" si="1"/>
        <v>127.065</v>
      </c>
      <c r="AB39" s="432">
        <f t="shared" si="6"/>
        <v>18.603980386501298</v>
      </c>
      <c r="AC39" s="670">
        <f t="shared" si="2"/>
        <v>81.925763736836615</v>
      </c>
      <c r="AD39" s="1109">
        <v>31</v>
      </c>
      <c r="AE39" s="432">
        <f t="shared" si="7"/>
        <v>211.72969000000001</v>
      </c>
      <c r="AF39" s="669"/>
    </row>
    <row r="40" spans="1:32" ht="18.75" customHeight="1" x14ac:dyDescent="0.2">
      <c r="A40" s="1096">
        <v>26</v>
      </c>
      <c r="B40" s="461" t="s">
        <v>45</v>
      </c>
      <c r="C40" s="1096" t="s">
        <v>46</v>
      </c>
      <c r="D40" s="1096">
        <v>636.4</v>
      </c>
      <c r="E40" s="1096" t="s">
        <v>91</v>
      </c>
      <c r="F40" s="1096">
        <v>177.8</v>
      </c>
      <c r="G40" s="1096" t="s">
        <v>28</v>
      </c>
      <c r="H40" s="1104" t="s">
        <v>52</v>
      </c>
      <c r="I40" s="1103">
        <v>592.95000000000005</v>
      </c>
      <c r="J40" s="1074">
        <v>357</v>
      </c>
      <c r="K40" s="1104"/>
      <c r="L40" s="1104">
        <v>402</v>
      </c>
      <c r="M40" s="1104"/>
      <c r="N40" s="668">
        <v>8.5</v>
      </c>
      <c r="O40" s="1104"/>
      <c r="P40" s="668">
        <v>15.793855791841201</v>
      </c>
      <c r="Q40" s="668">
        <f>LEFT(H40,(FIND("K",H40,1)-1))*J40/100</f>
        <v>78.540000000000006</v>
      </c>
      <c r="R40" s="432">
        <v>6.4580000000000002</v>
      </c>
      <c r="S40" s="432">
        <v>27.008000000000003</v>
      </c>
      <c r="T40" s="670">
        <v>37</v>
      </c>
      <c r="U40" s="668">
        <f t="shared" si="9"/>
        <v>5.7293279653143383</v>
      </c>
      <c r="V40" s="668">
        <f t="shared" si="4"/>
        <v>76.088566350710906</v>
      </c>
      <c r="W40" s="668">
        <v>0.2</v>
      </c>
      <c r="X40" s="432">
        <f t="shared" si="8"/>
        <v>0.34387573211102623</v>
      </c>
      <c r="Y40" s="432">
        <f t="shared" si="5"/>
        <v>6.3611300000000002</v>
      </c>
      <c r="Z40" s="432">
        <f t="shared" si="1"/>
        <v>26.602880000000003</v>
      </c>
      <c r="AA40" s="670">
        <f t="shared" si="1"/>
        <v>36.445</v>
      </c>
      <c r="AB40" s="432">
        <f t="shared" si="6"/>
        <v>5.7293279653143383</v>
      </c>
      <c r="AC40" s="670">
        <f t="shared" si="2"/>
        <v>76.088566350710906</v>
      </c>
      <c r="AD40" s="1109">
        <v>31</v>
      </c>
      <c r="AE40" s="432">
        <f t="shared" si="7"/>
        <v>197.19503</v>
      </c>
      <c r="AF40" s="669"/>
    </row>
    <row r="41" spans="1:32" ht="18.75" customHeight="1" x14ac:dyDescent="0.2">
      <c r="A41" s="1096">
        <v>27</v>
      </c>
      <c r="B41" s="461" t="s">
        <v>206</v>
      </c>
      <c r="C41" s="1096" t="s">
        <v>46</v>
      </c>
      <c r="D41" s="1096">
        <v>660.2</v>
      </c>
      <c r="E41" s="1096" t="s">
        <v>436</v>
      </c>
      <c r="F41" s="1096">
        <v>177.8</v>
      </c>
      <c r="G41" s="1096" t="s">
        <v>28</v>
      </c>
      <c r="H41" s="1104" t="s">
        <v>212</v>
      </c>
      <c r="I41" s="1103">
        <v>547.63</v>
      </c>
      <c r="J41" s="1104">
        <v>350</v>
      </c>
      <c r="K41" s="1104"/>
      <c r="L41" s="1104">
        <v>341</v>
      </c>
      <c r="M41" s="1104"/>
      <c r="N41" s="668">
        <v>7.6</v>
      </c>
      <c r="O41" s="1104"/>
      <c r="P41" s="668">
        <v>31.966863154603818</v>
      </c>
      <c r="Q41" s="668">
        <f t="shared" ref="Q41:Q71" si="10">LEFT(H41,(FIND("K",H41,1)-1))*J41/100</f>
        <v>28</v>
      </c>
      <c r="R41" s="432">
        <v>5.0650000000000004</v>
      </c>
      <c r="S41" s="432">
        <v>15.352</v>
      </c>
      <c r="T41" s="670">
        <v>78</v>
      </c>
      <c r="U41" s="668">
        <f t="shared" si="9"/>
        <v>15.39980256663376</v>
      </c>
      <c r="V41" s="668">
        <f t="shared" si="4"/>
        <v>67.007556018759757</v>
      </c>
      <c r="W41" s="668">
        <v>0.3</v>
      </c>
      <c r="X41" s="432">
        <f t="shared" si="8"/>
        <v>0.54828571428571427</v>
      </c>
      <c r="Y41" s="432">
        <f t="shared" si="5"/>
        <v>4.9890250000000007</v>
      </c>
      <c r="Z41" s="432">
        <f t="shared" si="1"/>
        <v>15.12172</v>
      </c>
      <c r="AA41" s="670">
        <f t="shared" si="1"/>
        <v>76.83</v>
      </c>
      <c r="AB41" s="432">
        <f t="shared" si="6"/>
        <v>15.39980256663376</v>
      </c>
      <c r="AC41" s="670">
        <f t="shared" si="2"/>
        <v>67.007556018759757</v>
      </c>
      <c r="AD41" s="1109">
        <v>31</v>
      </c>
      <c r="AE41" s="432">
        <f t="shared" si="7"/>
        <v>154.65977500000002</v>
      </c>
      <c r="AF41" s="669"/>
    </row>
    <row r="42" spans="1:32" ht="18.75" customHeight="1" x14ac:dyDescent="0.2">
      <c r="A42" s="1096">
        <v>28</v>
      </c>
      <c r="B42" s="1093" t="s">
        <v>161</v>
      </c>
      <c r="C42" s="1096" t="s">
        <v>46</v>
      </c>
      <c r="D42" s="1092">
        <v>677</v>
      </c>
      <c r="E42" s="679" t="s">
        <v>178</v>
      </c>
      <c r="F42" s="1096">
        <v>177.8</v>
      </c>
      <c r="G42" s="1096" t="s">
        <v>28</v>
      </c>
      <c r="H42" s="1104" t="s">
        <v>491</v>
      </c>
      <c r="I42" s="1103">
        <v>571.5</v>
      </c>
      <c r="J42" s="1103">
        <v>230</v>
      </c>
      <c r="K42" s="1103"/>
      <c r="L42" s="1103">
        <v>262</v>
      </c>
      <c r="M42" s="1103"/>
      <c r="N42" s="668">
        <v>6.3</v>
      </c>
      <c r="O42" s="1103"/>
      <c r="P42" s="448">
        <v>38.419443415202608</v>
      </c>
      <c r="Q42" s="668">
        <f t="shared" si="10"/>
        <v>52.9</v>
      </c>
      <c r="R42" s="432">
        <v>12.848000000000001</v>
      </c>
      <c r="S42" s="432">
        <v>40.834000000000003</v>
      </c>
      <c r="T42" s="492">
        <v>438</v>
      </c>
      <c r="U42" s="668">
        <f t="shared" si="9"/>
        <v>34.090909090909086</v>
      </c>
      <c r="V42" s="668">
        <f t="shared" si="4"/>
        <v>68.536023901650594</v>
      </c>
      <c r="W42" s="668">
        <v>0.3</v>
      </c>
      <c r="X42" s="432">
        <f t="shared" si="8"/>
        <v>0.77190926275992444</v>
      </c>
      <c r="Y42" s="432">
        <f t="shared" si="5"/>
        <v>12.655280000000001</v>
      </c>
      <c r="Z42" s="432">
        <f t="shared" si="1"/>
        <v>40.221490000000003</v>
      </c>
      <c r="AA42" s="670">
        <f t="shared" si="1"/>
        <v>431.43</v>
      </c>
      <c r="AB42" s="432">
        <f t="shared" si="6"/>
        <v>34.090909090909086</v>
      </c>
      <c r="AC42" s="670">
        <f t="shared" si="2"/>
        <v>68.536023901650594</v>
      </c>
      <c r="AD42" s="1109">
        <v>31</v>
      </c>
      <c r="AE42" s="432">
        <f t="shared" si="7"/>
        <v>392.31368000000003</v>
      </c>
      <c r="AF42" s="449"/>
    </row>
    <row r="43" spans="1:32" ht="18.75" customHeight="1" x14ac:dyDescent="0.2">
      <c r="A43" s="1096">
        <v>29</v>
      </c>
      <c r="B43" s="1093" t="s">
        <v>162</v>
      </c>
      <c r="C43" s="1096" t="s">
        <v>46</v>
      </c>
      <c r="D43" s="1092">
        <v>676</v>
      </c>
      <c r="E43" s="679" t="s">
        <v>437</v>
      </c>
      <c r="F43" s="1096">
        <v>177.8</v>
      </c>
      <c r="G43" s="1096" t="s">
        <v>28</v>
      </c>
      <c r="H43" s="1104" t="s">
        <v>50</v>
      </c>
      <c r="I43" s="1103">
        <v>549.20000000000005</v>
      </c>
      <c r="J43" s="493">
        <v>254</v>
      </c>
      <c r="K43" s="1103"/>
      <c r="L43" s="1104">
        <v>449</v>
      </c>
      <c r="M43" s="1103"/>
      <c r="N43" s="668">
        <v>7.1</v>
      </c>
      <c r="O43" s="1103"/>
      <c r="P43" s="448">
        <v>8.359184101511115</v>
      </c>
      <c r="Q43" s="668">
        <f t="shared" si="10"/>
        <v>15.24</v>
      </c>
      <c r="R43" s="432">
        <v>0.6</v>
      </c>
      <c r="S43" s="432">
        <v>1.1000000000000001</v>
      </c>
      <c r="T43" s="492">
        <v>0</v>
      </c>
      <c r="U43" s="668">
        <f t="shared" si="9"/>
        <v>0</v>
      </c>
      <c r="V43" s="668">
        <f t="shared" si="4"/>
        <v>45.45454545454546</v>
      </c>
      <c r="W43" s="668">
        <v>0.3</v>
      </c>
      <c r="X43" s="432">
        <f t="shared" si="8"/>
        <v>7.217847769028872E-2</v>
      </c>
      <c r="Y43" s="432">
        <f t="shared" si="5"/>
        <v>0.59099999999999997</v>
      </c>
      <c r="Z43" s="432">
        <f t="shared" si="1"/>
        <v>1.0835000000000001</v>
      </c>
      <c r="AA43" s="670">
        <f t="shared" si="1"/>
        <v>0</v>
      </c>
      <c r="AB43" s="432">
        <f t="shared" si="6"/>
        <v>0</v>
      </c>
      <c r="AC43" s="670">
        <f t="shared" si="2"/>
        <v>45.45454545454546</v>
      </c>
      <c r="AD43" s="1109">
        <v>31</v>
      </c>
      <c r="AE43" s="432">
        <f t="shared" si="7"/>
        <v>18.320999999999998</v>
      </c>
      <c r="AF43" s="449"/>
    </row>
    <row r="44" spans="1:32" ht="18.75" customHeight="1" x14ac:dyDescent="0.2">
      <c r="A44" s="1096">
        <v>30</v>
      </c>
      <c r="B44" s="1093" t="s">
        <v>163</v>
      </c>
      <c r="C44" s="1096" t="s">
        <v>46</v>
      </c>
      <c r="D44" s="1092">
        <v>597</v>
      </c>
      <c r="E44" s="1096" t="s">
        <v>443</v>
      </c>
      <c r="F44" s="1096">
        <v>177.8</v>
      </c>
      <c r="G44" s="1096" t="s">
        <v>28</v>
      </c>
      <c r="H44" s="1104" t="s">
        <v>487</v>
      </c>
      <c r="I44" s="1103">
        <v>553.9</v>
      </c>
      <c r="J44" s="1103">
        <v>175</v>
      </c>
      <c r="K44" s="1103"/>
      <c r="L44" s="1103">
        <v>428</v>
      </c>
      <c r="M44" s="1103"/>
      <c r="N44" s="668">
        <v>0.5</v>
      </c>
      <c r="O44" s="1103"/>
      <c r="P44" s="448">
        <v>15.564202036906892</v>
      </c>
      <c r="Q44" s="668">
        <f t="shared" si="10"/>
        <v>26.25</v>
      </c>
      <c r="R44" s="432">
        <v>4.7039999999999997</v>
      </c>
      <c r="S44" s="432">
        <v>7.5730000000000004</v>
      </c>
      <c r="T44" s="492">
        <v>10</v>
      </c>
      <c r="U44" s="668">
        <f t="shared" si="9"/>
        <v>2.1258503401360547</v>
      </c>
      <c r="V44" s="668">
        <f t="shared" si="4"/>
        <v>37.884589990756638</v>
      </c>
      <c r="W44" s="668">
        <v>0.3</v>
      </c>
      <c r="X44" s="432">
        <f t="shared" si="8"/>
        <v>0.28849523809523814</v>
      </c>
      <c r="Y44" s="432">
        <f t="shared" si="5"/>
        <v>4.6334399999999993</v>
      </c>
      <c r="Z44" s="432">
        <f t="shared" si="1"/>
        <v>7.4594050000000003</v>
      </c>
      <c r="AA44" s="670">
        <f t="shared" si="1"/>
        <v>9.85</v>
      </c>
      <c r="AB44" s="432">
        <f t="shared" si="6"/>
        <v>2.1258503401360547</v>
      </c>
      <c r="AC44" s="670">
        <f t="shared" si="2"/>
        <v>37.884589990756638</v>
      </c>
      <c r="AD44" s="1109">
        <v>31</v>
      </c>
      <c r="AE44" s="432">
        <f t="shared" si="7"/>
        <v>143.63663999999997</v>
      </c>
      <c r="AF44" s="449"/>
    </row>
    <row r="45" spans="1:32" ht="18.75" customHeight="1" x14ac:dyDescent="0.2">
      <c r="A45" s="1096">
        <v>31</v>
      </c>
      <c r="B45" s="461" t="s">
        <v>59</v>
      </c>
      <c r="C45" s="1096" t="s">
        <v>46</v>
      </c>
      <c r="D45" s="1096">
        <v>601.93999999999983</v>
      </c>
      <c r="E45" s="1096" t="s">
        <v>454</v>
      </c>
      <c r="F45" s="1096">
        <v>177.8</v>
      </c>
      <c r="G45" s="1096" t="s">
        <v>28</v>
      </c>
      <c r="H45" s="1104" t="s">
        <v>538</v>
      </c>
      <c r="I45" s="1103">
        <v>539.76</v>
      </c>
      <c r="J45" s="1104">
        <v>140</v>
      </c>
      <c r="K45" s="1104"/>
      <c r="L45" s="1104">
        <v>401</v>
      </c>
      <c r="M45" s="1104"/>
      <c r="N45" s="668">
        <v>3.5</v>
      </c>
      <c r="O45" s="1104"/>
      <c r="P45" s="668">
        <v>15.666761559938415</v>
      </c>
      <c r="Q45" s="668">
        <f>(22/100)*J45</f>
        <v>30.8</v>
      </c>
      <c r="R45" s="432">
        <v>3.923</v>
      </c>
      <c r="S45" s="432">
        <v>7.883</v>
      </c>
      <c r="T45" s="670">
        <v>36</v>
      </c>
      <c r="U45" s="668">
        <f t="shared" si="9"/>
        <v>9.1766505225592656</v>
      </c>
      <c r="V45" s="668">
        <f t="shared" si="4"/>
        <v>50.234682227578332</v>
      </c>
      <c r="W45" s="668">
        <v>0.3</v>
      </c>
      <c r="X45" s="432">
        <f t="shared" si="8"/>
        <v>0.25594155844155841</v>
      </c>
      <c r="Y45" s="432">
        <f t="shared" si="5"/>
        <v>3.8641549999999998</v>
      </c>
      <c r="Z45" s="432">
        <f t="shared" si="1"/>
        <v>7.7647550000000001</v>
      </c>
      <c r="AA45" s="670">
        <f t="shared" si="1"/>
        <v>35.46</v>
      </c>
      <c r="AB45" s="432">
        <f>U45</f>
        <v>9.1766505225592656</v>
      </c>
      <c r="AC45" s="670">
        <f t="shared" si="2"/>
        <v>50.234682227578332</v>
      </c>
      <c r="AD45" s="1109">
        <v>31</v>
      </c>
      <c r="AE45" s="432">
        <f t="shared" si="7"/>
        <v>119.788805</v>
      </c>
      <c r="AF45" s="449"/>
    </row>
    <row r="46" spans="1:32" ht="18.600000000000001" customHeight="1" x14ac:dyDescent="0.2">
      <c r="A46" s="1096">
        <v>32</v>
      </c>
      <c r="B46" s="461" t="s">
        <v>207</v>
      </c>
      <c r="C46" s="1096" t="s">
        <v>46</v>
      </c>
      <c r="D46" s="1096">
        <v>673</v>
      </c>
      <c r="E46" s="1096" t="s">
        <v>420</v>
      </c>
      <c r="F46" s="1096">
        <v>177.8</v>
      </c>
      <c r="G46" s="1096" t="s">
        <v>28</v>
      </c>
      <c r="H46" s="1104" t="s">
        <v>50</v>
      </c>
      <c r="I46" s="1103">
        <v>564.41999999999996</v>
      </c>
      <c r="J46" s="1104">
        <v>235</v>
      </c>
      <c r="K46" s="1104"/>
      <c r="L46" s="1104">
        <v>191</v>
      </c>
      <c r="M46" s="1104"/>
      <c r="N46" s="668">
        <v>0</v>
      </c>
      <c r="O46" s="1104"/>
      <c r="P46" s="668">
        <v>38.48988838405365</v>
      </c>
      <c r="Q46" s="668">
        <f t="shared" si="10"/>
        <v>14.1</v>
      </c>
      <c r="R46" s="432">
        <v>1.9419999999999999</v>
      </c>
      <c r="S46" s="432">
        <v>8.661999999999999</v>
      </c>
      <c r="T46" s="670">
        <v>0</v>
      </c>
      <c r="U46" s="668">
        <f t="shared" si="9"/>
        <v>0</v>
      </c>
      <c r="V46" s="668">
        <f t="shared" si="4"/>
        <v>77.580235511429237</v>
      </c>
      <c r="W46" s="668">
        <v>0.3</v>
      </c>
      <c r="X46" s="432">
        <f t="shared" si="8"/>
        <v>0.61432624113475176</v>
      </c>
      <c r="Y46" s="432">
        <f t="shared" si="5"/>
        <v>1.9128699999999998</v>
      </c>
      <c r="Z46" s="432">
        <f t="shared" si="1"/>
        <v>8.5320699999999992</v>
      </c>
      <c r="AA46" s="670">
        <f t="shared" si="1"/>
        <v>0</v>
      </c>
      <c r="AB46" s="432">
        <f>U46</f>
        <v>0</v>
      </c>
      <c r="AC46" s="670">
        <f t="shared" si="2"/>
        <v>77.580235511429237</v>
      </c>
      <c r="AD46" s="1109">
        <v>31</v>
      </c>
      <c r="AE46" s="432">
        <f t="shared" si="7"/>
        <v>59.298969999999997</v>
      </c>
      <c r="AF46" s="449"/>
    </row>
    <row r="47" spans="1:32" ht="18.75" customHeight="1" x14ac:dyDescent="0.25">
      <c r="A47" s="1096">
        <v>33</v>
      </c>
      <c r="B47" s="461" t="s">
        <v>196</v>
      </c>
      <c r="C47" s="1096" t="s">
        <v>304</v>
      </c>
      <c r="D47" s="1096">
        <v>641</v>
      </c>
      <c r="E47" s="1096" t="s">
        <v>296</v>
      </c>
      <c r="F47" s="1096">
        <v>177.8</v>
      </c>
      <c r="G47" s="1096" t="s">
        <v>28</v>
      </c>
      <c r="H47" s="1104" t="s">
        <v>50</v>
      </c>
      <c r="I47" s="1103">
        <v>611.92999999999995</v>
      </c>
      <c r="J47" s="1104"/>
      <c r="K47" s="1104">
        <v>496</v>
      </c>
      <c r="L47" s="868"/>
      <c r="M47" s="668">
        <v>0.3</v>
      </c>
      <c r="N47" s="1105"/>
      <c r="O47" s="1104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9"/>
        <v>0</v>
      </c>
      <c r="V47" s="668">
        <f t="shared" si="4"/>
        <v>0</v>
      </c>
      <c r="W47" s="668">
        <v>0.3</v>
      </c>
      <c r="X47" s="432">
        <f t="shared" si="8"/>
        <v>0</v>
      </c>
      <c r="Y47" s="432">
        <f t="shared" si="5"/>
        <v>0</v>
      </c>
      <c r="Z47" s="432">
        <f t="shared" si="1"/>
        <v>0</v>
      </c>
      <c r="AA47" s="670">
        <f t="shared" si="1"/>
        <v>0</v>
      </c>
      <c r="AB47" s="432">
        <f>U47</f>
        <v>0</v>
      </c>
      <c r="AC47" s="670">
        <f t="shared" si="2"/>
        <v>0</v>
      </c>
      <c r="AD47" s="1096">
        <v>0</v>
      </c>
      <c r="AE47" s="432">
        <f t="shared" si="7"/>
        <v>0</v>
      </c>
      <c r="AF47" s="449" t="s">
        <v>335</v>
      </c>
    </row>
    <row r="48" spans="1:32" ht="18.75" customHeight="1" x14ac:dyDescent="0.2">
      <c r="A48" s="1096">
        <v>34</v>
      </c>
      <c r="B48" s="461" t="s">
        <v>60</v>
      </c>
      <c r="C48" s="1096" t="s">
        <v>46</v>
      </c>
      <c r="D48" s="1096">
        <v>638.9</v>
      </c>
      <c r="E48" s="1096" t="s">
        <v>462</v>
      </c>
      <c r="F48" s="1096">
        <v>177.8</v>
      </c>
      <c r="G48" s="1096" t="s">
        <v>28</v>
      </c>
      <c r="H48" s="550" t="s">
        <v>540</v>
      </c>
      <c r="I48" s="1103">
        <v>533.18999999999994</v>
      </c>
      <c r="J48" s="1074">
        <v>290</v>
      </c>
      <c r="K48" s="1104"/>
      <c r="L48" s="1104">
        <v>437</v>
      </c>
      <c r="M48" s="1104"/>
      <c r="N48" s="668">
        <v>3.2</v>
      </c>
      <c r="O48" s="1104"/>
      <c r="P48" s="668">
        <v>15.753245369630855</v>
      </c>
      <c r="Q48" s="668">
        <f>(22/100)*J48</f>
        <v>63.8</v>
      </c>
      <c r="R48" s="432">
        <v>2.746</v>
      </c>
      <c r="S48" s="432">
        <v>7.0269999999999992</v>
      </c>
      <c r="T48" s="670">
        <v>164</v>
      </c>
      <c r="U48" s="668">
        <f t="shared" si="9"/>
        <v>59.723233794610344</v>
      </c>
      <c r="V48" s="668">
        <f t="shared" si="4"/>
        <v>60.922157392913036</v>
      </c>
      <c r="W48" s="668">
        <v>0.3</v>
      </c>
      <c r="X48" s="432">
        <f t="shared" si="8"/>
        <v>0.110141065830721</v>
      </c>
      <c r="Y48" s="432">
        <f t="shared" si="5"/>
        <v>2.7048100000000002</v>
      </c>
      <c r="Z48" s="432">
        <f t="shared" si="1"/>
        <v>6.9215949999999991</v>
      </c>
      <c r="AA48" s="670">
        <f t="shared" si="1"/>
        <v>161.54</v>
      </c>
      <c r="AB48" s="432">
        <f t="shared" si="6"/>
        <v>59.723233794610344</v>
      </c>
      <c r="AC48" s="670">
        <f t="shared" si="2"/>
        <v>60.922157392913036</v>
      </c>
      <c r="AD48" s="1096">
        <v>31</v>
      </c>
      <c r="AE48" s="432">
        <f t="shared" si="7"/>
        <v>83.84911000000001</v>
      </c>
      <c r="AF48" s="449"/>
    </row>
    <row r="49" spans="1:32" ht="18.75" customHeight="1" x14ac:dyDescent="0.2">
      <c r="A49" s="1096">
        <v>35</v>
      </c>
      <c r="B49" s="461" t="s">
        <v>119</v>
      </c>
      <c r="C49" s="1096" t="s">
        <v>427</v>
      </c>
      <c r="D49" s="1096">
        <v>654.07000000000005</v>
      </c>
      <c r="E49" s="1096" t="s">
        <v>410</v>
      </c>
      <c r="F49" s="1096">
        <v>177.8</v>
      </c>
      <c r="G49" s="1096" t="s">
        <v>28</v>
      </c>
      <c r="H49" s="1104" t="s">
        <v>399</v>
      </c>
      <c r="I49" s="1103">
        <v>521.47</v>
      </c>
      <c r="J49" s="1104"/>
      <c r="K49" s="1104">
        <v>478</v>
      </c>
      <c r="L49" s="1104"/>
      <c r="M49" s="1104"/>
      <c r="N49" s="668"/>
      <c r="O49" s="1104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9"/>
        <v>0</v>
      </c>
      <c r="V49" s="668">
        <f t="shared" si="4"/>
        <v>0</v>
      </c>
      <c r="W49" s="668">
        <v>0</v>
      </c>
      <c r="X49" s="432">
        <f t="shared" si="8"/>
        <v>0</v>
      </c>
      <c r="Y49" s="432">
        <f t="shared" si="5"/>
        <v>0</v>
      </c>
      <c r="Z49" s="432">
        <f t="shared" si="1"/>
        <v>0</v>
      </c>
      <c r="AA49" s="670">
        <f t="shared" si="1"/>
        <v>0</v>
      </c>
      <c r="AB49" s="432">
        <f t="shared" si="6"/>
        <v>0</v>
      </c>
      <c r="AC49" s="670">
        <f t="shared" si="2"/>
        <v>0</v>
      </c>
      <c r="AD49" s="1096">
        <v>0</v>
      </c>
      <c r="AE49" s="432">
        <f t="shared" si="7"/>
        <v>0</v>
      </c>
      <c r="AF49" s="449" t="s">
        <v>432</v>
      </c>
    </row>
    <row r="50" spans="1:32" ht="18.75" customHeight="1" x14ac:dyDescent="0.2">
      <c r="A50" s="1096">
        <v>36</v>
      </c>
      <c r="B50" s="461" t="s">
        <v>118</v>
      </c>
      <c r="C50" s="1096" t="s">
        <v>408</v>
      </c>
      <c r="D50" s="1096">
        <v>728.77</v>
      </c>
      <c r="E50" s="1096" t="s">
        <v>442</v>
      </c>
      <c r="F50" s="1096">
        <v>177.8</v>
      </c>
      <c r="G50" s="1096" t="s">
        <v>28</v>
      </c>
      <c r="H50" s="1104" t="s">
        <v>52</v>
      </c>
      <c r="I50" s="1103">
        <v>523.04999999999995</v>
      </c>
      <c r="J50" s="1104">
        <v>300</v>
      </c>
      <c r="K50" s="1104"/>
      <c r="L50" s="1104">
        <v>385</v>
      </c>
      <c r="M50" s="1104"/>
      <c r="N50" s="668">
        <v>7.2</v>
      </c>
      <c r="O50" s="1104"/>
      <c r="P50" s="668">
        <v>20.248545703588736</v>
      </c>
      <c r="Q50" s="668">
        <f t="shared" si="10"/>
        <v>66</v>
      </c>
      <c r="R50" s="432">
        <v>5.7</v>
      </c>
      <c r="S50" s="432">
        <v>13</v>
      </c>
      <c r="T50" s="670">
        <v>114</v>
      </c>
      <c r="U50" s="668">
        <f t="shared" si="9"/>
        <v>20</v>
      </c>
      <c r="V50" s="668">
        <f t="shared" si="4"/>
        <v>56.153846153846153</v>
      </c>
      <c r="W50" s="668">
        <v>0.3</v>
      </c>
      <c r="X50" s="432">
        <f t="shared" si="8"/>
        <v>0.19696969696969696</v>
      </c>
      <c r="Y50" s="432">
        <f t="shared" si="5"/>
        <v>5.6145000000000005</v>
      </c>
      <c r="Z50" s="432">
        <f t="shared" si="1"/>
        <v>12.805</v>
      </c>
      <c r="AA50" s="670">
        <f t="shared" si="1"/>
        <v>112.28999999999999</v>
      </c>
      <c r="AB50" s="432">
        <f t="shared" si="6"/>
        <v>20</v>
      </c>
      <c r="AC50" s="670">
        <f t="shared" si="2"/>
        <v>56.153846153846153</v>
      </c>
      <c r="AD50" s="1096">
        <v>31</v>
      </c>
      <c r="AE50" s="432">
        <f t="shared" si="7"/>
        <v>174.04950000000002</v>
      </c>
      <c r="AF50" s="449"/>
    </row>
    <row r="51" spans="1:32" ht="18.75" customHeight="1" x14ac:dyDescent="0.2">
      <c r="A51" s="1096">
        <v>37</v>
      </c>
      <c r="B51" s="461" t="s">
        <v>117</v>
      </c>
      <c r="C51" s="1096" t="s">
        <v>46</v>
      </c>
      <c r="D51" s="1096">
        <v>671.45</v>
      </c>
      <c r="E51" s="1096" t="s">
        <v>128</v>
      </c>
      <c r="F51" s="1096">
        <v>177.8</v>
      </c>
      <c r="G51" s="1096" t="s">
        <v>28</v>
      </c>
      <c r="H51" s="452" t="s">
        <v>464</v>
      </c>
      <c r="I51" s="1103">
        <v>564.18000000000018</v>
      </c>
      <c r="J51" s="1074"/>
      <c r="K51" s="1104"/>
      <c r="L51" s="1104"/>
      <c r="M51" s="1104">
        <v>3.2</v>
      </c>
      <c r="N51" s="668"/>
      <c r="O51" s="1104"/>
      <c r="P51" s="668">
        <v>31.447846508935225</v>
      </c>
      <c r="Q51" s="668">
        <f>J51*14/100</f>
        <v>0</v>
      </c>
      <c r="R51" s="432">
        <v>0</v>
      </c>
      <c r="S51" s="432">
        <v>0</v>
      </c>
      <c r="T51" s="670">
        <v>0</v>
      </c>
      <c r="U51" s="668">
        <f t="shared" si="9"/>
        <v>0</v>
      </c>
      <c r="V51" s="668">
        <f t="shared" si="4"/>
        <v>0</v>
      </c>
      <c r="W51" s="668">
        <v>0</v>
      </c>
      <c r="X51" s="432">
        <f t="shared" si="8"/>
        <v>0</v>
      </c>
      <c r="Y51" s="432">
        <f t="shared" si="5"/>
        <v>0</v>
      </c>
      <c r="Z51" s="432">
        <f t="shared" si="1"/>
        <v>0</v>
      </c>
      <c r="AA51" s="670">
        <f t="shared" si="1"/>
        <v>0</v>
      </c>
      <c r="AB51" s="432">
        <f t="shared" si="6"/>
        <v>0</v>
      </c>
      <c r="AC51" s="670">
        <f t="shared" si="2"/>
        <v>0</v>
      </c>
      <c r="AD51" s="1096">
        <v>31</v>
      </c>
      <c r="AE51" s="432">
        <f t="shared" si="7"/>
        <v>0</v>
      </c>
      <c r="AF51" s="669" t="s">
        <v>334</v>
      </c>
    </row>
    <row r="52" spans="1:32" ht="18.75" customHeight="1" x14ac:dyDescent="0.2">
      <c r="A52" s="1096">
        <v>38</v>
      </c>
      <c r="B52" s="461" t="s">
        <v>130</v>
      </c>
      <c r="C52" s="1096" t="s">
        <v>46</v>
      </c>
      <c r="D52" s="1096">
        <v>622.6</v>
      </c>
      <c r="E52" s="1096" t="s">
        <v>503</v>
      </c>
      <c r="F52" s="1096">
        <v>177.8</v>
      </c>
      <c r="G52" s="1096" t="s">
        <v>28</v>
      </c>
      <c r="H52" s="1104" t="s">
        <v>502</v>
      </c>
      <c r="I52" s="1103">
        <v>572.83000000000004</v>
      </c>
      <c r="J52" s="1104"/>
      <c r="K52" s="1104"/>
      <c r="L52" s="1104"/>
      <c r="M52" s="1104"/>
      <c r="N52" s="668"/>
      <c r="O52" s="1104"/>
      <c r="P52" s="668">
        <v>44.546058115053057</v>
      </c>
      <c r="Q52" s="668">
        <f t="shared" si="10"/>
        <v>0</v>
      </c>
      <c r="R52" s="432">
        <v>0</v>
      </c>
      <c r="S52" s="432">
        <v>0</v>
      </c>
      <c r="T52" s="670">
        <v>0</v>
      </c>
      <c r="U52" s="668">
        <f t="shared" si="9"/>
        <v>0</v>
      </c>
      <c r="V52" s="668">
        <f t="shared" si="4"/>
        <v>0</v>
      </c>
      <c r="W52" s="668">
        <v>0</v>
      </c>
      <c r="X52" s="432">
        <f t="shared" si="8"/>
        <v>0</v>
      </c>
      <c r="Y52" s="432">
        <f t="shared" si="5"/>
        <v>0</v>
      </c>
      <c r="Z52" s="432">
        <f t="shared" si="1"/>
        <v>0</v>
      </c>
      <c r="AA52" s="670">
        <f t="shared" si="1"/>
        <v>0</v>
      </c>
      <c r="AB52" s="432">
        <f t="shared" si="6"/>
        <v>0</v>
      </c>
      <c r="AC52" s="670">
        <f t="shared" si="2"/>
        <v>0</v>
      </c>
      <c r="AD52" s="1096">
        <v>0</v>
      </c>
      <c r="AE52" s="432">
        <f t="shared" si="7"/>
        <v>0</v>
      </c>
      <c r="AF52" s="669" t="s">
        <v>334</v>
      </c>
    </row>
    <row r="53" spans="1:32" ht="18.75" customHeight="1" x14ac:dyDescent="0.2">
      <c r="A53" s="1096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096">
        <v>177.8</v>
      </c>
      <c r="G53" s="452" t="s">
        <v>28</v>
      </c>
      <c r="H53" s="452" t="s">
        <v>363</v>
      </c>
      <c r="I53" s="453">
        <v>565.65</v>
      </c>
      <c r="J53" s="452">
        <v>175</v>
      </c>
      <c r="K53" s="452"/>
      <c r="L53" s="452">
        <v>453</v>
      </c>
      <c r="M53" s="452"/>
      <c r="N53" s="668">
        <v>6.5</v>
      </c>
      <c r="O53" s="452"/>
      <c r="P53" s="675">
        <v>19.121454599912241</v>
      </c>
      <c r="Q53" s="668">
        <f>J53*7/100</f>
        <v>12.25</v>
      </c>
      <c r="R53" s="456">
        <v>2.9929999999999999</v>
      </c>
      <c r="S53" s="432">
        <v>3.0989999999999998</v>
      </c>
      <c r="T53" s="700">
        <v>20</v>
      </c>
      <c r="U53" s="668">
        <f t="shared" si="9"/>
        <v>6.6822586034079521</v>
      </c>
      <c r="V53" s="668">
        <f t="shared" si="4"/>
        <v>3.4204582123265532</v>
      </c>
      <c r="W53" s="675">
        <v>0.2</v>
      </c>
      <c r="X53" s="432">
        <f t="shared" si="8"/>
        <v>0.25297959183673469</v>
      </c>
      <c r="Y53" s="432">
        <f t="shared" si="5"/>
        <v>2.948105</v>
      </c>
      <c r="Z53" s="432">
        <f t="shared" si="1"/>
        <v>3.0525149999999996</v>
      </c>
      <c r="AA53" s="670">
        <f t="shared" si="1"/>
        <v>19.7</v>
      </c>
      <c r="AB53" s="456">
        <f t="shared" si="6"/>
        <v>6.6822586034079521</v>
      </c>
      <c r="AC53" s="670">
        <f t="shared" si="2"/>
        <v>3.4204582123265532</v>
      </c>
      <c r="AD53" s="1096">
        <v>31</v>
      </c>
      <c r="AE53" s="456">
        <f t="shared" si="7"/>
        <v>91.391255000000001</v>
      </c>
      <c r="AF53" s="449"/>
    </row>
    <row r="54" spans="1:32" ht="18.75" customHeight="1" x14ac:dyDescent="0.2">
      <c r="A54" s="1096">
        <v>40</v>
      </c>
      <c r="B54" s="461" t="s">
        <v>116</v>
      </c>
      <c r="C54" s="1096" t="s">
        <v>46</v>
      </c>
      <c r="D54" s="1096">
        <v>681.27</v>
      </c>
      <c r="E54" s="1096" t="s">
        <v>455</v>
      </c>
      <c r="F54" s="1096">
        <v>177.8</v>
      </c>
      <c r="G54" s="1096" t="s">
        <v>28</v>
      </c>
      <c r="H54" s="1104" t="s">
        <v>53</v>
      </c>
      <c r="I54" s="1103">
        <v>559.23</v>
      </c>
      <c r="J54" s="1074">
        <v>180</v>
      </c>
      <c r="K54" s="1104"/>
      <c r="L54" s="670">
        <v>232</v>
      </c>
      <c r="M54" s="1104"/>
      <c r="N54" s="668">
        <v>2.8</v>
      </c>
      <c r="O54" s="1104"/>
      <c r="P54" s="668">
        <v>40.79107955949334</v>
      </c>
      <c r="Q54" s="675">
        <f t="shared" si="10"/>
        <v>23.4</v>
      </c>
      <c r="R54" s="432">
        <v>1.34</v>
      </c>
      <c r="S54" s="432">
        <v>5.7869999999999999</v>
      </c>
      <c r="T54" s="670">
        <v>0</v>
      </c>
      <c r="U54" s="668">
        <f t="shared" si="9"/>
        <v>0</v>
      </c>
      <c r="V54" s="668">
        <f t="shared" si="4"/>
        <v>76.844651805771562</v>
      </c>
      <c r="W54" s="668">
        <v>0.3</v>
      </c>
      <c r="X54" s="432">
        <f t="shared" si="8"/>
        <v>0.24730769230769231</v>
      </c>
      <c r="Y54" s="432">
        <f t="shared" si="5"/>
        <v>1.3199000000000001</v>
      </c>
      <c r="Z54" s="432">
        <f t="shared" si="1"/>
        <v>5.7001949999999999</v>
      </c>
      <c r="AA54" s="670">
        <f t="shared" si="1"/>
        <v>0</v>
      </c>
      <c r="AB54" s="432">
        <f t="shared" si="6"/>
        <v>0</v>
      </c>
      <c r="AC54" s="670">
        <f t="shared" si="2"/>
        <v>76.844651805771562</v>
      </c>
      <c r="AD54" s="1109">
        <v>31</v>
      </c>
      <c r="AE54" s="432">
        <f t="shared" si="7"/>
        <v>40.916900000000005</v>
      </c>
      <c r="AF54" s="449"/>
    </row>
    <row r="55" spans="1:32" ht="18.75" customHeight="1" x14ac:dyDescent="0.2">
      <c r="A55" s="1096">
        <v>41</v>
      </c>
      <c r="B55" s="461" t="s">
        <v>120</v>
      </c>
      <c r="C55" s="1096" t="s">
        <v>46</v>
      </c>
      <c r="D55" s="1096">
        <v>668.57</v>
      </c>
      <c r="E55" s="1096" t="s">
        <v>285</v>
      </c>
      <c r="F55" s="1096">
        <v>177.8</v>
      </c>
      <c r="G55" s="1096" t="s">
        <v>28</v>
      </c>
      <c r="H55" s="452" t="s">
        <v>464</v>
      </c>
      <c r="I55" s="1103">
        <v>568.66</v>
      </c>
      <c r="J55" s="1104">
        <v>290</v>
      </c>
      <c r="K55" s="1104"/>
      <c r="L55" s="670">
        <v>432</v>
      </c>
      <c r="M55" s="1104"/>
      <c r="N55" s="668">
        <v>0</v>
      </c>
      <c r="O55" s="1104"/>
      <c r="P55" s="668">
        <v>13.750347683204614</v>
      </c>
      <c r="Q55" s="668">
        <f>J55*14/100</f>
        <v>40.6</v>
      </c>
      <c r="R55" s="432">
        <v>2.254</v>
      </c>
      <c r="S55" s="432">
        <v>4.3029999999999999</v>
      </c>
      <c r="T55" s="670">
        <v>0</v>
      </c>
      <c r="U55" s="668">
        <f t="shared" si="9"/>
        <v>0</v>
      </c>
      <c r="V55" s="668">
        <f t="shared" si="4"/>
        <v>47.617940971415287</v>
      </c>
      <c r="W55" s="668">
        <v>0.3</v>
      </c>
      <c r="X55" s="432">
        <f t="shared" si="8"/>
        <v>0.10598522167487684</v>
      </c>
      <c r="Y55" s="432">
        <f t="shared" si="5"/>
        <v>2.2201900000000001</v>
      </c>
      <c r="Z55" s="432">
        <f t="shared" si="1"/>
        <v>4.2384550000000001</v>
      </c>
      <c r="AA55" s="670">
        <f t="shared" si="1"/>
        <v>0</v>
      </c>
      <c r="AB55" s="432">
        <f t="shared" si="6"/>
        <v>0</v>
      </c>
      <c r="AC55" s="670">
        <f t="shared" si="2"/>
        <v>47.617940971415287</v>
      </c>
      <c r="AD55" s="1109">
        <v>31</v>
      </c>
      <c r="AE55" s="432">
        <f t="shared" si="7"/>
        <v>68.825890000000001</v>
      </c>
      <c r="AF55" s="669"/>
    </row>
    <row r="56" spans="1:32" ht="18.75" customHeight="1" x14ac:dyDescent="0.2">
      <c r="A56" s="1096">
        <v>42</v>
      </c>
      <c r="B56" s="461" t="s">
        <v>114</v>
      </c>
      <c r="C56" s="1096" t="s">
        <v>46</v>
      </c>
      <c r="D56" s="1096">
        <v>584.25</v>
      </c>
      <c r="E56" s="1096" t="s">
        <v>419</v>
      </c>
      <c r="F56" s="1096">
        <v>177.8</v>
      </c>
      <c r="G56" s="1096" t="s">
        <v>28</v>
      </c>
      <c r="H56" s="1104" t="s">
        <v>492</v>
      </c>
      <c r="I56" s="1103">
        <v>566.38000000000022</v>
      </c>
      <c r="J56" s="1104">
        <v>175</v>
      </c>
      <c r="K56" s="1104"/>
      <c r="L56" s="1104">
        <v>185</v>
      </c>
      <c r="M56" s="1104"/>
      <c r="N56" s="668">
        <v>1.7</v>
      </c>
      <c r="O56" s="1104"/>
      <c r="P56" s="668">
        <v>46.582408574669991</v>
      </c>
      <c r="Q56" s="668">
        <f>J56*7/100</f>
        <v>12.25</v>
      </c>
      <c r="R56" s="432">
        <v>2.2719999999999998</v>
      </c>
      <c r="S56" s="432">
        <v>9.3209999999999997</v>
      </c>
      <c r="T56" s="670">
        <v>0</v>
      </c>
      <c r="U56" s="668">
        <f t="shared" si="9"/>
        <v>0</v>
      </c>
      <c r="V56" s="668">
        <f t="shared" si="4"/>
        <v>75.624932947108675</v>
      </c>
      <c r="W56" s="668">
        <v>0.3</v>
      </c>
      <c r="X56" s="432">
        <f t="shared" si="8"/>
        <v>0.76089795918367342</v>
      </c>
      <c r="Y56" s="432">
        <f t="shared" si="5"/>
        <v>2.2379199999999999</v>
      </c>
      <c r="Z56" s="432">
        <f t="shared" si="1"/>
        <v>9.1811849999999993</v>
      </c>
      <c r="AA56" s="670">
        <f t="shared" si="1"/>
        <v>0</v>
      </c>
      <c r="AB56" s="432">
        <f t="shared" si="6"/>
        <v>0</v>
      </c>
      <c r="AC56" s="670">
        <v>0</v>
      </c>
      <c r="AD56" s="1109">
        <v>31</v>
      </c>
      <c r="AE56" s="432">
        <f t="shared" si="7"/>
        <v>69.375519999999995</v>
      </c>
      <c r="AF56" s="669"/>
    </row>
    <row r="57" spans="1:32" ht="18.75" customHeight="1" x14ac:dyDescent="0.2">
      <c r="A57" s="1096">
        <v>43</v>
      </c>
      <c r="B57" s="461" t="s">
        <v>106</v>
      </c>
      <c r="C57" s="1096" t="s">
        <v>46</v>
      </c>
      <c r="D57" s="1096">
        <v>568.11</v>
      </c>
      <c r="E57" s="1104" t="s">
        <v>541</v>
      </c>
      <c r="F57" s="1096">
        <v>177.8</v>
      </c>
      <c r="G57" s="1096" t="s">
        <v>28</v>
      </c>
      <c r="H57" s="1104" t="s">
        <v>542</v>
      </c>
      <c r="I57" s="1103">
        <v>567.65</v>
      </c>
      <c r="J57" s="1104">
        <v>200</v>
      </c>
      <c r="K57" s="1104"/>
      <c r="L57" s="1104">
        <v>450</v>
      </c>
      <c r="M57" s="1104"/>
      <c r="N57" s="668">
        <v>0.3</v>
      </c>
      <c r="O57" s="1104"/>
      <c r="P57" s="668">
        <v>43.379220197458594</v>
      </c>
      <c r="Q57" s="668">
        <f>(15/100)*J57</f>
        <v>30</v>
      </c>
      <c r="R57" s="432">
        <v>1.635</v>
      </c>
      <c r="S57" s="432">
        <v>3.371</v>
      </c>
      <c r="T57" s="670">
        <v>37</v>
      </c>
      <c r="U57" s="668">
        <f t="shared" si="9"/>
        <v>22.629969418960243</v>
      </c>
      <c r="V57" s="668">
        <f t="shared" si="4"/>
        <v>51.498071788786717</v>
      </c>
      <c r="W57" s="668">
        <v>0.3</v>
      </c>
      <c r="X57" s="432">
        <f t="shared" si="8"/>
        <v>0.11236666666666667</v>
      </c>
      <c r="Y57" s="432">
        <f t="shared" si="5"/>
        <v>1.6104749999999999</v>
      </c>
      <c r="Z57" s="432">
        <f t="shared" si="1"/>
        <v>3.3204349999999998</v>
      </c>
      <c r="AA57" s="670">
        <f t="shared" si="1"/>
        <v>36.445</v>
      </c>
      <c r="AB57" s="432">
        <f t="shared" si="6"/>
        <v>22.629969418960243</v>
      </c>
      <c r="AC57" s="670">
        <f t="shared" si="2"/>
        <v>51.498071788786717</v>
      </c>
      <c r="AD57" s="1109">
        <v>31</v>
      </c>
      <c r="AE57" s="432">
        <f t="shared" si="7"/>
        <v>49.924724999999995</v>
      </c>
      <c r="AF57" s="449"/>
    </row>
    <row r="58" spans="1:32" ht="18.75" customHeight="1" x14ac:dyDescent="0.2">
      <c r="A58" s="1096">
        <v>44</v>
      </c>
      <c r="B58" s="461" t="s">
        <v>105</v>
      </c>
      <c r="C58" s="1096" t="s">
        <v>46</v>
      </c>
      <c r="D58" s="1096">
        <v>609.6</v>
      </c>
      <c r="E58" s="1096" t="s">
        <v>110</v>
      </c>
      <c r="F58" s="1096">
        <v>177.8</v>
      </c>
      <c r="G58" s="1096" t="s">
        <v>28</v>
      </c>
      <c r="H58" s="1104" t="s">
        <v>487</v>
      </c>
      <c r="I58" s="1103">
        <v>505.30000000000013</v>
      </c>
      <c r="J58" s="1104">
        <v>130</v>
      </c>
      <c r="K58" s="1104"/>
      <c r="L58" s="1104">
        <v>370</v>
      </c>
      <c r="M58" s="1104"/>
      <c r="N58" s="668">
        <v>0.5</v>
      </c>
      <c r="O58" s="1104"/>
      <c r="P58" s="668">
        <v>14.547901556494581</v>
      </c>
      <c r="Q58" s="668">
        <f t="shared" si="10"/>
        <v>19.5</v>
      </c>
      <c r="R58" s="432">
        <v>1.325</v>
      </c>
      <c r="S58" s="432">
        <v>1.331</v>
      </c>
      <c r="T58" s="670">
        <v>1.042</v>
      </c>
      <c r="U58" s="668">
        <f t="shared" si="9"/>
        <v>0.78641509433962264</v>
      </c>
      <c r="V58" s="668">
        <f t="shared" si="4"/>
        <v>0.45078888054094707</v>
      </c>
      <c r="W58" s="668">
        <v>0.3</v>
      </c>
      <c r="X58" s="432">
        <f t="shared" si="8"/>
        <v>6.8256410256410258E-2</v>
      </c>
      <c r="Y58" s="432">
        <f t="shared" si="5"/>
        <v>1.3051249999999999</v>
      </c>
      <c r="Z58" s="432">
        <f t="shared" si="1"/>
        <v>1.311035</v>
      </c>
      <c r="AA58" s="670">
        <f t="shared" si="1"/>
        <v>1.02637</v>
      </c>
      <c r="AB58" s="432">
        <v>0</v>
      </c>
      <c r="AC58" s="670">
        <v>0</v>
      </c>
      <c r="AD58" s="1109">
        <v>31</v>
      </c>
      <c r="AE58" s="432">
        <f t="shared" si="7"/>
        <v>40.458874999999999</v>
      </c>
      <c r="AF58" s="669"/>
    </row>
    <row r="59" spans="1:32" ht="18.600000000000001" customHeight="1" x14ac:dyDescent="0.3">
      <c r="A59" s="1096">
        <v>45</v>
      </c>
      <c r="B59" s="1093" t="s">
        <v>158</v>
      </c>
      <c r="C59" s="1096" t="s">
        <v>46</v>
      </c>
      <c r="D59" s="1092">
        <v>621.12</v>
      </c>
      <c r="E59" s="1092" t="s">
        <v>232</v>
      </c>
      <c r="F59" s="1096">
        <v>177.8</v>
      </c>
      <c r="G59" s="1096" t="s">
        <v>28</v>
      </c>
      <c r="H59" s="1104" t="s">
        <v>487</v>
      </c>
      <c r="I59" s="1103">
        <v>542.41</v>
      </c>
      <c r="J59" s="1103">
        <v>290</v>
      </c>
      <c r="K59" s="1103"/>
      <c r="L59" s="1103">
        <v>453</v>
      </c>
      <c r="M59" s="1103"/>
      <c r="N59" s="668">
        <v>4.4000000000000004</v>
      </c>
      <c r="O59" s="1103"/>
      <c r="P59" s="448">
        <v>17.180418442071225</v>
      </c>
      <c r="Q59" s="668">
        <f t="shared" ref="Q59" si="11">LEFT(H59,(FIND("K",H59,1)-1))*J59/100</f>
        <v>43.5</v>
      </c>
      <c r="R59" s="432">
        <v>6.3319999999999999</v>
      </c>
      <c r="S59" s="432">
        <v>9.6419999999999995</v>
      </c>
      <c r="T59" s="492">
        <v>65</v>
      </c>
      <c r="U59" s="668">
        <f t="shared" si="9"/>
        <v>10.265319014529375</v>
      </c>
      <c r="V59" s="668">
        <f t="shared" si="4"/>
        <v>34.328977390582864</v>
      </c>
      <c r="W59" s="668">
        <v>0.2</v>
      </c>
      <c r="X59" s="432">
        <f t="shared" si="8"/>
        <v>0.22165517241379309</v>
      </c>
      <c r="Y59" s="432">
        <f t="shared" si="5"/>
        <v>6.2370199999999993</v>
      </c>
      <c r="Z59" s="432">
        <f t="shared" si="1"/>
        <v>9.4973700000000001</v>
      </c>
      <c r="AA59" s="670">
        <f t="shared" si="1"/>
        <v>64.025000000000006</v>
      </c>
      <c r="AB59" s="432">
        <f t="shared" si="6"/>
        <v>10.265319014529375</v>
      </c>
      <c r="AC59" s="670">
        <f t="shared" si="2"/>
        <v>34.328977390582864</v>
      </c>
      <c r="AD59" s="1109">
        <v>31</v>
      </c>
      <c r="AE59" s="432">
        <f>Y59*AD59</f>
        <v>193.34761999999998</v>
      </c>
      <c r="AF59" s="458"/>
    </row>
    <row r="60" spans="1:32" ht="18.75" customHeight="1" x14ac:dyDescent="0.2">
      <c r="A60" s="1096">
        <v>46</v>
      </c>
      <c r="B60" s="1093" t="s">
        <v>160</v>
      </c>
      <c r="C60" s="1096" t="s">
        <v>304</v>
      </c>
      <c r="D60" s="1092">
        <v>677.33</v>
      </c>
      <c r="E60" s="1092" t="s">
        <v>315</v>
      </c>
      <c r="F60" s="1096">
        <v>177.8</v>
      </c>
      <c r="G60" s="1096" t="s">
        <v>28</v>
      </c>
      <c r="H60" s="1104" t="s">
        <v>52</v>
      </c>
      <c r="I60" s="1103">
        <v>599.4400000000004</v>
      </c>
      <c r="J60" s="1103"/>
      <c r="K60" s="1103"/>
      <c r="L60" s="1104"/>
      <c r="M60" s="1103"/>
      <c r="N60" s="668"/>
      <c r="O60" s="1103"/>
      <c r="P60" s="448">
        <v>49.760394055761445</v>
      </c>
      <c r="Q60" s="668">
        <f t="shared" si="10"/>
        <v>0</v>
      </c>
      <c r="R60" s="432">
        <v>0</v>
      </c>
      <c r="S60" s="432">
        <v>0</v>
      </c>
      <c r="T60" s="492">
        <v>0</v>
      </c>
      <c r="U60" s="668">
        <f t="shared" si="9"/>
        <v>0</v>
      </c>
      <c r="V60" s="668">
        <f t="shared" si="4"/>
        <v>0</v>
      </c>
      <c r="W60" s="668">
        <v>0</v>
      </c>
      <c r="X60" s="432">
        <f t="shared" si="8"/>
        <v>0</v>
      </c>
      <c r="Y60" s="432">
        <f t="shared" si="5"/>
        <v>0</v>
      </c>
      <c r="Z60" s="432">
        <f t="shared" si="1"/>
        <v>0</v>
      </c>
      <c r="AA60" s="670">
        <f t="shared" si="1"/>
        <v>0</v>
      </c>
      <c r="AB60" s="432">
        <f t="shared" si="6"/>
        <v>0</v>
      </c>
      <c r="AC60" s="670">
        <f t="shared" si="2"/>
        <v>0</v>
      </c>
      <c r="AD60" s="1096">
        <v>0</v>
      </c>
      <c r="AE60" s="432">
        <f>Y60*AD60</f>
        <v>0</v>
      </c>
      <c r="AF60" s="669" t="s">
        <v>334</v>
      </c>
    </row>
    <row r="61" spans="1:32" ht="18.75" customHeight="1" x14ac:dyDescent="0.2">
      <c r="A61" s="1096">
        <v>47</v>
      </c>
      <c r="B61" s="461" t="s">
        <v>164</v>
      </c>
      <c r="C61" s="1096" t="s">
        <v>46</v>
      </c>
      <c r="D61" s="1092">
        <v>678.47</v>
      </c>
      <c r="E61" s="1092" t="s">
        <v>233</v>
      </c>
      <c r="F61" s="1096">
        <v>177.8</v>
      </c>
      <c r="G61" s="1096" t="s">
        <v>28</v>
      </c>
      <c r="H61" s="1104" t="s">
        <v>487</v>
      </c>
      <c r="I61" s="1103">
        <v>565.48000000000013</v>
      </c>
      <c r="J61" s="493">
        <v>140</v>
      </c>
      <c r="K61" s="1103"/>
      <c r="L61" s="1103">
        <v>341</v>
      </c>
      <c r="M61" s="1103"/>
      <c r="N61" s="668">
        <v>7.3</v>
      </c>
      <c r="O61" s="1103"/>
      <c r="P61" s="668">
        <v>30.910175295823326</v>
      </c>
      <c r="Q61" s="668">
        <f t="shared" si="10"/>
        <v>21</v>
      </c>
      <c r="R61" s="432">
        <v>4.4379999999999997</v>
      </c>
      <c r="S61" s="432">
        <v>13.61</v>
      </c>
      <c r="T61" s="670">
        <v>0</v>
      </c>
      <c r="U61" s="668">
        <f t="shared" si="9"/>
        <v>0</v>
      </c>
      <c r="V61" s="668">
        <f t="shared" si="4"/>
        <v>67.391623806024995</v>
      </c>
      <c r="W61" s="668">
        <v>0.3</v>
      </c>
      <c r="X61" s="432">
        <f t="shared" si="8"/>
        <v>0.64809523809523806</v>
      </c>
      <c r="Y61" s="432">
        <f t="shared" si="5"/>
        <v>4.3714299999999993</v>
      </c>
      <c r="Z61" s="432">
        <f t="shared" si="1"/>
        <v>13.405849999999999</v>
      </c>
      <c r="AA61" s="670">
        <f t="shared" si="1"/>
        <v>0</v>
      </c>
      <c r="AB61" s="432">
        <f t="shared" si="6"/>
        <v>0</v>
      </c>
      <c r="AC61" s="670">
        <f t="shared" si="2"/>
        <v>67.391623806024995</v>
      </c>
      <c r="AD61" s="1096">
        <v>31</v>
      </c>
      <c r="AE61" s="432">
        <f t="shared" ref="AE61:AE76" si="12">Y61*AD61</f>
        <v>135.51432999999997</v>
      </c>
      <c r="AF61" s="669"/>
    </row>
    <row r="62" spans="1:32" ht="18.75" customHeight="1" x14ac:dyDescent="0.2">
      <c r="A62" s="1096">
        <v>48</v>
      </c>
      <c r="B62" s="461" t="s">
        <v>61</v>
      </c>
      <c r="C62" s="1096" t="s">
        <v>46</v>
      </c>
      <c r="D62" s="1096">
        <v>667.18</v>
      </c>
      <c r="E62" s="1096" t="s">
        <v>96</v>
      </c>
      <c r="F62" s="1096">
        <v>177.8</v>
      </c>
      <c r="G62" s="1096" t="s">
        <v>28</v>
      </c>
      <c r="H62" s="1104" t="s">
        <v>52</v>
      </c>
      <c r="I62" s="1103">
        <v>534.21</v>
      </c>
      <c r="J62" s="1104">
        <v>355</v>
      </c>
      <c r="K62" s="1104"/>
      <c r="L62" s="1104">
        <v>462</v>
      </c>
      <c r="M62" s="1104"/>
      <c r="N62" s="668">
        <v>1.4</v>
      </c>
      <c r="O62" s="1104"/>
      <c r="P62" s="668">
        <v>11.853580617918645</v>
      </c>
      <c r="Q62" s="668">
        <f t="shared" si="10"/>
        <v>78.099999999999994</v>
      </c>
      <c r="R62" s="432">
        <v>5.742</v>
      </c>
      <c r="S62" s="432">
        <v>11.308</v>
      </c>
      <c r="T62" s="670">
        <v>32</v>
      </c>
      <c r="U62" s="668">
        <f t="shared" si="9"/>
        <v>5.5729710902124694</v>
      </c>
      <c r="V62" s="668">
        <f t="shared" si="4"/>
        <v>49.221789883268478</v>
      </c>
      <c r="W62" s="668">
        <v>0.2</v>
      </c>
      <c r="X62" s="432">
        <f t="shared" si="8"/>
        <v>0.14478873239436621</v>
      </c>
      <c r="Y62" s="432">
        <f t="shared" si="5"/>
        <v>5.6558700000000002</v>
      </c>
      <c r="Z62" s="432">
        <f t="shared" si="1"/>
        <v>11.13838</v>
      </c>
      <c r="AA62" s="670">
        <f t="shared" si="1"/>
        <v>31.52</v>
      </c>
      <c r="AB62" s="432">
        <f t="shared" si="6"/>
        <v>5.5729710902124694</v>
      </c>
      <c r="AC62" s="670">
        <f t="shared" si="2"/>
        <v>49.221789883268478</v>
      </c>
      <c r="AD62" s="1109">
        <v>31</v>
      </c>
      <c r="AE62" s="432">
        <f t="shared" si="12"/>
        <v>175.33197000000001</v>
      </c>
      <c r="AF62" s="449"/>
    </row>
    <row r="63" spans="1:32" ht="18.75" customHeight="1" x14ac:dyDescent="0.2">
      <c r="A63" s="1096">
        <v>49</v>
      </c>
      <c r="B63" s="461" t="s">
        <v>64</v>
      </c>
      <c r="C63" s="1096" t="s">
        <v>46</v>
      </c>
      <c r="D63" s="1096">
        <v>672.5</v>
      </c>
      <c r="E63" s="1096" t="s">
        <v>444</v>
      </c>
      <c r="F63" s="1096">
        <v>177.8</v>
      </c>
      <c r="G63" s="1096" t="s">
        <v>28</v>
      </c>
      <c r="H63" s="1104" t="s">
        <v>49</v>
      </c>
      <c r="I63" s="1103">
        <v>523.78</v>
      </c>
      <c r="J63" s="1104">
        <v>364</v>
      </c>
      <c r="K63" s="1104"/>
      <c r="L63" s="1104">
        <v>456</v>
      </c>
      <c r="M63" s="1104"/>
      <c r="N63" s="668">
        <v>7.9</v>
      </c>
      <c r="O63" s="1104"/>
      <c r="P63" s="668">
        <v>18.349305620607218</v>
      </c>
      <c r="Q63" s="668">
        <f t="shared" si="10"/>
        <v>116.48</v>
      </c>
      <c r="R63" s="432">
        <v>6.2910000000000004</v>
      </c>
      <c r="S63" s="432">
        <v>8.3620000000000001</v>
      </c>
      <c r="T63" s="670">
        <v>2448</v>
      </c>
      <c r="U63" s="668">
        <f t="shared" si="9"/>
        <v>389.1273247496423</v>
      </c>
      <c r="V63" s="668">
        <f t="shared" si="4"/>
        <v>24.766802200430515</v>
      </c>
      <c r="W63" s="668">
        <v>0.2</v>
      </c>
      <c r="X63" s="432">
        <f t="shared" si="8"/>
        <v>7.1789148351648346E-2</v>
      </c>
      <c r="Y63" s="432">
        <f t="shared" si="5"/>
        <v>6.1966350000000006</v>
      </c>
      <c r="Z63" s="432">
        <f t="shared" si="1"/>
        <v>8.2365700000000004</v>
      </c>
      <c r="AA63" s="670">
        <f t="shared" si="1"/>
        <v>2411.2799999999997</v>
      </c>
      <c r="AB63" s="432">
        <f t="shared" si="6"/>
        <v>389.1273247496423</v>
      </c>
      <c r="AC63" s="670">
        <f t="shared" si="2"/>
        <v>24.766802200430515</v>
      </c>
      <c r="AD63" s="1109">
        <v>31</v>
      </c>
      <c r="AE63" s="432">
        <f t="shared" si="12"/>
        <v>192.095685</v>
      </c>
      <c r="AF63" s="449"/>
    </row>
    <row r="64" spans="1:32" ht="18.75" customHeight="1" x14ac:dyDescent="0.2">
      <c r="A64" s="1096">
        <v>50</v>
      </c>
      <c r="B64" s="461" t="s">
        <v>169</v>
      </c>
      <c r="C64" s="1096" t="s">
        <v>46</v>
      </c>
      <c r="D64" s="1096">
        <v>647.37</v>
      </c>
      <c r="E64" s="1096" t="s">
        <v>463</v>
      </c>
      <c r="F64" s="1096">
        <v>177.8</v>
      </c>
      <c r="G64" s="1096" t="s">
        <v>28</v>
      </c>
      <c r="H64" s="1104" t="s">
        <v>487</v>
      </c>
      <c r="I64" s="1103">
        <v>538.13999999999976</v>
      </c>
      <c r="J64" s="1104">
        <v>290</v>
      </c>
      <c r="K64" s="1104"/>
      <c r="L64" s="1104">
        <v>466</v>
      </c>
      <c r="M64" s="1104"/>
      <c r="N64" s="668">
        <v>2.1</v>
      </c>
      <c r="O64" s="1104"/>
      <c r="P64" s="668">
        <v>22.592631529250138</v>
      </c>
      <c r="Q64" s="668">
        <f t="shared" si="10"/>
        <v>43.5</v>
      </c>
      <c r="R64" s="432">
        <v>2.5529999999999999</v>
      </c>
      <c r="S64" s="432">
        <v>7.7149999999999999</v>
      </c>
      <c r="T64" s="670">
        <v>0</v>
      </c>
      <c r="U64" s="668">
        <f t="shared" si="9"/>
        <v>0</v>
      </c>
      <c r="V64" s="668">
        <f t="shared" si="4"/>
        <v>66.908619572261827</v>
      </c>
      <c r="W64" s="668">
        <v>0.3</v>
      </c>
      <c r="X64" s="432">
        <f t="shared" si="8"/>
        <v>0.17735632183908046</v>
      </c>
      <c r="Y64" s="432">
        <f t="shared" si="5"/>
        <v>2.5147049999999997</v>
      </c>
      <c r="Z64" s="432">
        <f t="shared" si="1"/>
        <v>7.5992749999999996</v>
      </c>
      <c r="AA64" s="670">
        <f t="shared" si="1"/>
        <v>0</v>
      </c>
      <c r="AB64" s="432">
        <f t="shared" si="6"/>
        <v>0</v>
      </c>
      <c r="AC64" s="670">
        <f t="shared" si="2"/>
        <v>66.908619572261827</v>
      </c>
      <c r="AD64" s="1109">
        <v>31</v>
      </c>
      <c r="AE64" s="432">
        <f>Y64*AD64</f>
        <v>77.955854999999985</v>
      </c>
      <c r="AF64" s="449"/>
    </row>
    <row r="65" spans="1:32" ht="18.75" customHeight="1" x14ac:dyDescent="0.2">
      <c r="A65" s="1096">
        <v>51</v>
      </c>
      <c r="B65" s="461" t="s">
        <v>62</v>
      </c>
      <c r="C65" s="1096" t="s">
        <v>46</v>
      </c>
      <c r="D65" s="1096">
        <v>673.73</v>
      </c>
      <c r="E65" s="1096" t="s">
        <v>97</v>
      </c>
      <c r="F65" s="1096">
        <v>177.8</v>
      </c>
      <c r="G65" s="1096" t="s">
        <v>28</v>
      </c>
      <c r="H65" s="1104" t="s">
        <v>52</v>
      </c>
      <c r="I65" s="1103">
        <v>543</v>
      </c>
      <c r="J65" s="1104">
        <v>350</v>
      </c>
      <c r="K65" s="1104"/>
      <c r="L65" s="1104">
        <v>286</v>
      </c>
      <c r="M65" s="1104"/>
      <c r="N65" s="668">
        <v>0.9</v>
      </c>
      <c r="O65" s="1104"/>
      <c r="P65" s="668">
        <v>13.670917843043933</v>
      </c>
      <c r="Q65" s="668">
        <f>(22/100)*J65</f>
        <v>77</v>
      </c>
      <c r="R65" s="432">
        <v>2.6</v>
      </c>
      <c r="S65" s="432">
        <v>17.373999999999999</v>
      </c>
      <c r="T65" s="670">
        <v>18</v>
      </c>
      <c r="U65" s="668">
        <f t="shared" si="9"/>
        <v>6.9230769230769225</v>
      </c>
      <c r="V65" s="668">
        <f t="shared" si="4"/>
        <v>85.035109934384707</v>
      </c>
      <c r="W65" s="668">
        <v>0.3</v>
      </c>
      <c r="X65" s="432">
        <f t="shared" si="8"/>
        <v>0.22563636363636361</v>
      </c>
      <c r="Y65" s="432">
        <f t="shared" si="5"/>
        <v>2.5609999999999999</v>
      </c>
      <c r="Z65" s="432">
        <f t="shared" si="1"/>
        <v>17.113389999999999</v>
      </c>
      <c r="AA65" s="670">
        <f t="shared" si="1"/>
        <v>17.73</v>
      </c>
      <c r="AB65" s="432">
        <f t="shared" si="6"/>
        <v>6.9230769230769225</v>
      </c>
      <c r="AC65" s="670">
        <f t="shared" si="2"/>
        <v>85.035109934384707</v>
      </c>
      <c r="AD65" s="1109">
        <v>31</v>
      </c>
      <c r="AE65" s="432">
        <f t="shared" si="12"/>
        <v>79.390999999999991</v>
      </c>
      <c r="AF65" s="669"/>
    </row>
    <row r="66" spans="1:32" ht="18.75" customHeight="1" x14ac:dyDescent="0.2">
      <c r="A66" s="1096">
        <v>52</v>
      </c>
      <c r="B66" s="461" t="s">
        <v>157</v>
      </c>
      <c r="C66" s="1096" t="s">
        <v>46</v>
      </c>
      <c r="D66" s="1096">
        <v>676.73</v>
      </c>
      <c r="E66" s="1104" t="s">
        <v>543</v>
      </c>
      <c r="F66" s="1096">
        <v>177.8</v>
      </c>
      <c r="G66" s="1096" t="s">
        <v>28</v>
      </c>
      <c r="H66" s="1104" t="s">
        <v>52</v>
      </c>
      <c r="I66" s="1103">
        <v>553.53</v>
      </c>
      <c r="J66" s="1074">
        <v>260</v>
      </c>
      <c r="K66" s="1104"/>
      <c r="L66" s="1104">
        <v>468</v>
      </c>
      <c r="M66" s="1104"/>
      <c r="N66" s="668">
        <v>0.9</v>
      </c>
      <c r="O66" s="1104"/>
      <c r="P66" s="668">
        <v>44.627710802021632</v>
      </c>
      <c r="Q66" s="668">
        <f>(22/100)*J66</f>
        <v>57.2</v>
      </c>
      <c r="R66" s="432">
        <v>7.8559999999999999</v>
      </c>
      <c r="S66" s="432">
        <v>31.859000000000002</v>
      </c>
      <c r="T66" s="670">
        <v>147</v>
      </c>
      <c r="U66" s="668">
        <f t="shared" si="9"/>
        <v>18.711812627291241</v>
      </c>
      <c r="V66" s="668">
        <f t="shared" si="4"/>
        <v>75.341347813804575</v>
      </c>
      <c r="W66" s="668">
        <v>0.3</v>
      </c>
      <c r="X66" s="432">
        <f t="shared" si="8"/>
        <v>0.55697552447552445</v>
      </c>
      <c r="Y66" s="432">
        <f t="shared" si="5"/>
        <v>7.7381599999999997</v>
      </c>
      <c r="Z66" s="432">
        <f t="shared" si="1"/>
        <v>31.381115000000001</v>
      </c>
      <c r="AA66" s="670">
        <f t="shared" si="1"/>
        <v>144.79499999999999</v>
      </c>
      <c r="AB66" s="432">
        <f t="shared" si="6"/>
        <v>18.711812627291241</v>
      </c>
      <c r="AC66" s="670">
        <f t="shared" si="2"/>
        <v>75.341347813804575</v>
      </c>
      <c r="AD66" s="1109">
        <v>31</v>
      </c>
      <c r="AE66" s="432">
        <f t="shared" si="12"/>
        <v>239.88296</v>
      </c>
      <c r="AF66" s="676"/>
    </row>
    <row r="67" spans="1:32" ht="18.75" customHeight="1" x14ac:dyDescent="0.2">
      <c r="A67" s="1096">
        <v>53</v>
      </c>
      <c r="B67" s="461" t="s">
        <v>159</v>
      </c>
      <c r="C67" s="1096" t="s">
        <v>46</v>
      </c>
      <c r="D67" s="1096">
        <v>676</v>
      </c>
      <c r="E67" s="1096" t="s">
        <v>167</v>
      </c>
      <c r="F67" s="1096">
        <v>177.8</v>
      </c>
      <c r="G67" s="1096" t="s">
        <v>28</v>
      </c>
      <c r="H67" s="1104" t="s">
        <v>342</v>
      </c>
      <c r="I67" s="1103">
        <v>509.61000000000024</v>
      </c>
      <c r="J67" s="1074">
        <v>350</v>
      </c>
      <c r="K67" s="1104"/>
      <c r="L67" s="1104">
        <v>462</v>
      </c>
      <c r="M67" s="1104"/>
      <c r="N67" s="668">
        <v>7.4</v>
      </c>
      <c r="O67" s="1104"/>
      <c r="P67" s="668">
        <v>14.607036957052339</v>
      </c>
      <c r="Q67" s="668">
        <f>(20*J67)/100</f>
        <v>70</v>
      </c>
      <c r="R67" s="432">
        <v>16.95</v>
      </c>
      <c r="S67" s="432">
        <v>21.045999999999999</v>
      </c>
      <c r="T67" s="670">
        <v>412</v>
      </c>
      <c r="U67" s="668">
        <f t="shared" si="9"/>
        <v>24.306784660766962</v>
      </c>
      <c r="V67" s="668">
        <f t="shared" si="4"/>
        <v>19.462130571129908</v>
      </c>
      <c r="W67" s="668">
        <v>0.3</v>
      </c>
      <c r="X67" s="432">
        <f t="shared" si="8"/>
        <v>0.30065714285714285</v>
      </c>
      <c r="Y67" s="432">
        <f t="shared" si="5"/>
        <v>16.69575</v>
      </c>
      <c r="Z67" s="432">
        <f t="shared" si="1"/>
        <v>20.730309999999999</v>
      </c>
      <c r="AA67" s="670">
        <f t="shared" si="1"/>
        <v>405.82</v>
      </c>
      <c r="AB67" s="432">
        <f t="shared" si="6"/>
        <v>24.306784660766962</v>
      </c>
      <c r="AC67" s="670">
        <f t="shared" si="2"/>
        <v>19.462130571129908</v>
      </c>
      <c r="AD67" s="1109">
        <v>31</v>
      </c>
      <c r="AE67" s="432">
        <f t="shared" si="12"/>
        <v>517.56825000000003</v>
      </c>
      <c r="AF67" s="669"/>
    </row>
    <row r="68" spans="1:32" ht="18.75" customHeight="1" x14ac:dyDescent="0.2">
      <c r="A68" s="1096">
        <v>54</v>
      </c>
      <c r="B68" s="461" t="s">
        <v>330</v>
      </c>
      <c r="C68" s="1096" t="s">
        <v>46</v>
      </c>
      <c r="D68" s="1096">
        <v>595</v>
      </c>
      <c r="E68" s="1096" t="s">
        <v>367</v>
      </c>
      <c r="F68" s="1096">
        <v>178.8</v>
      </c>
      <c r="G68" s="1096" t="s">
        <v>28</v>
      </c>
      <c r="H68" s="1104" t="s">
        <v>533</v>
      </c>
      <c r="I68" s="1103">
        <v>498.73</v>
      </c>
      <c r="J68" s="1074">
        <v>321</v>
      </c>
      <c r="K68" s="1104"/>
      <c r="L68" s="1104">
        <v>428</v>
      </c>
      <c r="M68" s="1104"/>
      <c r="N68" s="668">
        <v>10.6</v>
      </c>
      <c r="O68" s="1104"/>
      <c r="P68" s="668">
        <v>18.207758566485918</v>
      </c>
      <c r="Q68" s="668">
        <f>J68*33/100</f>
        <v>105.93</v>
      </c>
      <c r="R68" s="432">
        <v>14.35</v>
      </c>
      <c r="S68" s="432">
        <v>19.131</v>
      </c>
      <c r="T68" s="670">
        <v>771</v>
      </c>
      <c r="U68" s="668">
        <f t="shared" si="9"/>
        <v>53.728222996515683</v>
      </c>
      <c r="V68" s="668">
        <f t="shared" si="4"/>
        <v>24.99085254299305</v>
      </c>
      <c r="W68" s="668">
        <v>0.2</v>
      </c>
      <c r="X68" s="432">
        <f t="shared" si="8"/>
        <v>0.18060039648824694</v>
      </c>
      <c r="Y68" s="432">
        <f t="shared" si="5"/>
        <v>14.134749999999999</v>
      </c>
      <c r="Z68" s="432">
        <f t="shared" si="1"/>
        <v>18.844035000000002</v>
      </c>
      <c r="AA68" s="670">
        <f t="shared" si="1"/>
        <v>759.43499999999995</v>
      </c>
      <c r="AB68" s="432">
        <v>20</v>
      </c>
      <c r="AC68" s="670">
        <v>17</v>
      </c>
      <c r="AD68" s="1109">
        <v>31</v>
      </c>
      <c r="AE68" s="432">
        <f t="shared" si="12"/>
        <v>438.17724999999996</v>
      </c>
      <c r="AF68" s="669"/>
    </row>
    <row r="69" spans="1:32" ht="18.75" customHeight="1" x14ac:dyDescent="0.2">
      <c r="A69" s="1096">
        <v>55</v>
      </c>
      <c r="B69" s="461" t="s">
        <v>210</v>
      </c>
      <c r="C69" s="1096" t="s">
        <v>46</v>
      </c>
      <c r="D69" s="1096">
        <v>728.32</v>
      </c>
      <c r="E69" s="1096" t="s">
        <v>226</v>
      </c>
      <c r="F69" s="1096">
        <v>177.8</v>
      </c>
      <c r="G69" s="1096" t="s">
        <v>28</v>
      </c>
      <c r="H69" s="1104" t="s">
        <v>491</v>
      </c>
      <c r="I69" s="1103">
        <v>518.75</v>
      </c>
      <c r="J69" s="1074">
        <v>300</v>
      </c>
      <c r="K69" s="1104"/>
      <c r="L69" s="1104">
        <v>180</v>
      </c>
      <c r="M69" s="1104"/>
      <c r="N69" s="668">
        <v>11.2</v>
      </c>
      <c r="O69" s="1104"/>
      <c r="P69" s="668">
        <v>46.592814734748103</v>
      </c>
      <c r="Q69" s="668">
        <f t="shared" si="10"/>
        <v>69</v>
      </c>
      <c r="R69" s="432">
        <v>6.6710000000000003</v>
      </c>
      <c r="S69" s="432">
        <v>49.375</v>
      </c>
      <c r="T69" s="670">
        <v>41</v>
      </c>
      <c r="U69" s="668">
        <f t="shared" si="9"/>
        <v>6.1460050966871531</v>
      </c>
      <c r="V69" s="668">
        <f t="shared" si="4"/>
        <v>86.489113924050628</v>
      </c>
      <c r="W69" s="668">
        <v>0.3</v>
      </c>
      <c r="X69" s="432">
        <f t="shared" si="8"/>
        <v>0.71557971014492749</v>
      </c>
      <c r="Y69" s="432">
        <f t="shared" si="5"/>
        <v>6.5709350000000004</v>
      </c>
      <c r="Z69" s="432">
        <f t="shared" si="1"/>
        <v>48.634374999999999</v>
      </c>
      <c r="AA69" s="670">
        <f t="shared" si="1"/>
        <v>40.384999999999998</v>
      </c>
      <c r="AB69" s="432">
        <f t="shared" si="6"/>
        <v>6.1460050966871531</v>
      </c>
      <c r="AC69" s="670">
        <f t="shared" si="2"/>
        <v>86.489113924050628</v>
      </c>
      <c r="AD69" s="1109">
        <v>31</v>
      </c>
      <c r="AE69" s="432">
        <f t="shared" si="12"/>
        <v>203.69898500000002</v>
      </c>
      <c r="AF69" s="449"/>
    </row>
    <row r="70" spans="1:32" ht="18.75" customHeight="1" x14ac:dyDescent="0.2">
      <c r="A70" s="1096">
        <v>56</v>
      </c>
      <c r="B70" s="461" t="s">
        <v>63</v>
      </c>
      <c r="C70" s="1096" t="s">
        <v>46</v>
      </c>
      <c r="D70" s="1096">
        <v>672.99</v>
      </c>
      <c r="E70" s="1096" t="s">
        <v>98</v>
      </c>
      <c r="F70" s="1096">
        <v>177.8</v>
      </c>
      <c r="G70" s="1096" t="s">
        <v>28</v>
      </c>
      <c r="H70" s="1104" t="s">
        <v>310</v>
      </c>
      <c r="I70" s="1103">
        <v>536.32000000000005</v>
      </c>
      <c r="J70" s="1074">
        <v>350</v>
      </c>
      <c r="K70" s="1104"/>
      <c r="L70" s="1104">
        <v>449</v>
      </c>
      <c r="M70" s="1104"/>
      <c r="N70" s="668">
        <v>4.3</v>
      </c>
      <c r="O70" s="1104"/>
      <c r="P70" s="668">
        <v>16.559442271400446</v>
      </c>
      <c r="Q70" s="668">
        <f t="shared" si="10"/>
        <v>77</v>
      </c>
      <c r="R70" s="432">
        <v>17.407</v>
      </c>
      <c r="S70" s="432">
        <v>21.071000000000002</v>
      </c>
      <c r="T70" s="670">
        <v>182</v>
      </c>
      <c r="U70" s="668">
        <f t="shared" si="9"/>
        <v>10.455563853622106</v>
      </c>
      <c r="V70" s="668">
        <f t="shared" si="4"/>
        <v>17.388828247354191</v>
      </c>
      <c r="W70" s="668">
        <v>0.3</v>
      </c>
      <c r="X70" s="432">
        <f t="shared" si="8"/>
        <v>0.27364935064935064</v>
      </c>
      <c r="Y70" s="432">
        <f t="shared" si="5"/>
        <v>17.145894999999999</v>
      </c>
      <c r="Z70" s="432">
        <f t="shared" si="1"/>
        <v>20.754935</v>
      </c>
      <c r="AA70" s="670">
        <f t="shared" si="1"/>
        <v>179.27</v>
      </c>
      <c r="AB70" s="432">
        <f t="shared" si="6"/>
        <v>10.455563853622106</v>
      </c>
      <c r="AC70" s="670">
        <f t="shared" si="2"/>
        <v>17.388828247354191</v>
      </c>
      <c r="AD70" s="1109">
        <v>31</v>
      </c>
      <c r="AE70" s="432">
        <f t="shared" si="12"/>
        <v>531.52274499999999</v>
      </c>
      <c r="AF70" s="449"/>
    </row>
    <row r="71" spans="1:32" ht="18.75" customHeight="1" x14ac:dyDescent="0.2">
      <c r="A71" s="1096">
        <v>57</v>
      </c>
      <c r="B71" s="461" t="s">
        <v>217</v>
      </c>
      <c r="C71" s="1096" t="s">
        <v>537</v>
      </c>
      <c r="D71" s="1096">
        <v>684.57</v>
      </c>
      <c r="E71" s="1096" t="s">
        <v>544</v>
      </c>
      <c r="F71" s="1096">
        <v>177.8</v>
      </c>
      <c r="G71" s="1096" t="s">
        <v>28</v>
      </c>
      <c r="H71" s="1104" t="s">
        <v>219</v>
      </c>
      <c r="I71" s="1103">
        <v>271.50999999999988</v>
      </c>
      <c r="J71" s="1074"/>
      <c r="K71" s="1104"/>
      <c r="L71" s="1104"/>
      <c r="M71" s="1104">
        <v>4.8</v>
      </c>
      <c r="N71" s="668"/>
      <c r="O71" s="1104"/>
      <c r="P71" s="668">
        <v>57.087002555419943</v>
      </c>
      <c r="Q71" s="668">
        <f t="shared" si="10"/>
        <v>0</v>
      </c>
      <c r="R71" s="432">
        <v>0.33800000000000002</v>
      </c>
      <c r="S71" s="432">
        <v>6.024</v>
      </c>
      <c r="T71" s="670">
        <v>0</v>
      </c>
      <c r="U71" s="668">
        <f t="shared" si="9"/>
        <v>0</v>
      </c>
      <c r="V71" s="668">
        <f t="shared" si="4"/>
        <v>94.389110225763602</v>
      </c>
      <c r="W71" s="668">
        <v>0.3</v>
      </c>
      <c r="X71" s="432">
        <v>0</v>
      </c>
      <c r="Y71" s="432">
        <f t="shared" si="5"/>
        <v>0.33293</v>
      </c>
      <c r="Z71" s="432">
        <f t="shared" si="1"/>
        <v>5.9336399999999996</v>
      </c>
      <c r="AA71" s="670">
        <f t="shared" si="1"/>
        <v>0</v>
      </c>
      <c r="AB71" s="432">
        <f t="shared" si="6"/>
        <v>0</v>
      </c>
      <c r="AC71" s="670">
        <f t="shared" si="2"/>
        <v>94.389110225763602</v>
      </c>
      <c r="AD71" s="1109">
        <v>31</v>
      </c>
      <c r="AE71" s="432">
        <f t="shared" si="12"/>
        <v>10.320830000000001</v>
      </c>
      <c r="AF71" s="449" t="s">
        <v>334</v>
      </c>
    </row>
    <row r="72" spans="1:32" ht="18.75" customHeight="1" x14ac:dyDescent="0.2">
      <c r="A72" s="1096">
        <v>58</v>
      </c>
      <c r="B72" s="461" t="s">
        <v>211</v>
      </c>
      <c r="C72" s="1096" t="s">
        <v>46</v>
      </c>
      <c r="D72" s="1096">
        <v>675.29</v>
      </c>
      <c r="E72" s="1096" t="s">
        <v>224</v>
      </c>
      <c r="F72" s="1096">
        <v>177.8</v>
      </c>
      <c r="G72" s="1096" t="s">
        <v>28</v>
      </c>
      <c r="H72" s="1104" t="s">
        <v>384</v>
      </c>
      <c r="I72" s="1103">
        <v>554.95999999999981</v>
      </c>
      <c r="J72" s="1074">
        <v>270</v>
      </c>
      <c r="K72" s="1104"/>
      <c r="L72" s="1104">
        <v>422</v>
      </c>
      <c r="M72" s="1104"/>
      <c r="N72" s="668">
        <v>0.1</v>
      </c>
      <c r="O72" s="1104"/>
      <c r="P72" s="668">
        <v>15.575074807056675</v>
      </c>
      <c r="Q72" s="668">
        <f>(22*J72)/100</f>
        <v>59.4</v>
      </c>
      <c r="R72" s="432">
        <v>2.0489999999999999</v>
      </c>
      <c r="S72" s="432">
        <v>7.2579999999999991</v>
      </c>
      <c r="T72" s="670">
        <v>28</v>
      </c>
      <c r="U72" s="668">
        <f t="shared" si="9"/>
        <v>13.66520253782333</v>
      </c>
      <c r="V72" s="668">
        <f t="shared" si="4"/>
        <v>71.769082391843483</v>
      </c>
      <c r="W72" s="668">
        <v>0.3</v>
      </c>
      <c r="X72" s="432">
        <f t="shared" si="8"/>
        <v>0.12218855218855218</v>
      </c>
      <c r="Y72" s="432">
        <f t="shared" si="5"/>
        <v>2.018265</v>
      </c>
      <c r="Z72" s="432">
        <f t="shared" si="1"/>
        <v>7.1491299999999987</v>
      </c>
      <c r="AA72" s="670">
        <f t="shared" si="1"/>
        <v>27.58</v>
      </c>
      <c r="AB72" s="432">
        <f t="shared" si="6"/>
        <v>13.66520253782333</v>
      </c>
      <c r="AC72" s="670">
        <f t="shared" si="2"/>
        <v>71.769082391843483</v>
      </c>
      <c r="AD72" s="1109">
        <v>31</v>
      </c>
      <c r="AE72" s="432">
        <f t="shared" si="12"/>
        <v>62.566215</v>
      </c>
      <c r="AF72" s="449"/>
    </row>
    <row r="73" spans="1:32" ht="18.600000000000001" customHeight="1" x14ac:dyDescent="0.2">
      <c r="A73" s="1096">
        <v>59</v>
      </c>
      <c r="B73" s="461" t="s">
        <v>341</v>
      </c>
      <c r="C73" s="1096" t="s">
        <v>46</v>
      </c>
      <c r="D73" s="1096">
        <v>683.16</v>
      </c>
      <c r="E73" s="1096" t="s">
        <v>343</v>
      </c>
      <c r="F73" s="1096">
        <v>177.8</v>
      </c>
      <c r="G73" s="1096" t="s">
        <v>28</v>
      </c>
      <c r="H73" s="1104" t="s">
        <v>342</v>
      </c>
      <c r="I73" s="1103">
        <v>571.9</v>
      </c>
      <c r="J73" s="1074">
        <v>312</v>
      </c>
      <c r="K73" s="1104"/>
      <c r="L73" s="1104">
        <v>316</v>
      </c>
      <c r="M73" s="1104"/>
      <c r="N73" s="668">
        <v>10.6</v>
      </c>
      <c r="O73" s="1104"/>
      <c r="P73" s="668">
        <v>30.933440241759644</v>
      </c>
      <c r="Q73" s="668">
        <f>(20*J73)/100</f>
        <v>62.4</v>
      </c>
      <c r="R73" s="432">
        <v>31.846</v>
      </c>
      <c r="S73" s="432">
        <v>41.588000000000001</v>
      </c>
      <c r="T73" s="670">
        <v>481</v>
      </c>
      <c r="U73" s="668">
        <f t="shared" si="9"/>
        <v>15.103937700182126</v>
      </c>
      <c r="V73" s="668">
        <f t="shared" si="4"/>
        <v>23.425026449937484</v>
      </c>
      <c r="W73" s="668">
        <v>0.3</v>
      </c>
      <c r="X73" s="432">
        <f t="shared" si="8"/>
        <v>0.66647435897435903</v>
      </c>
      <c r="Y73" s="432">
        <f t="shared" si="5"/>
        <v>31.368310000000001</v>
      </c>
      <c r="Z73" s="432">
        <f t="shared" si="1"/>
        <v>40.964179999999999</v>
      </c>
      <c r="AA73" s="670">
        <f t="shared" si="1"/>
        <v>473.78499999999997</v>
      </c>
      <c r="AB73" s="432">
        <f t="shared" si="6"/>
        <v>15.103937700182126</v>
      </c>
      <c r="AC73" s="670">
        <f t="shared" si="2"/>
        <v>23.425026449937484</v>
      </c>
      <c r="AD73" s="1109">
        <v>31</v>
      </c>
      <c r="AE73" s="432">
        <f t="shared" si="12"/>
        <v>972.41761000000008</v>
      </c>
      <c r="AF73" s="449"/>
    </row>
    <row r="74" spans="1:32" ht="18.75" customHeight="1" x14ac:dyDescent="0.2">
      <c r="A74" s="1096">
        <v>60</v>
      </c>
      <c r="B74" s="461" t="s">
        <v>354</v>
      </c>
      <c r="C74" s="1096" t="s">
        <v>46</v>
      </c>
      <c r="D74" s="1096">
        <v>564.06999999999982</v>
      </c>
      <c r="E74" s="832" t="s">
        <v>545</v>
      </c>
      <c r="F74" s="1096">
        <v>178.8</v>
      </c>
      <c r="G74" s="1096" t="s">
        <v>28</v>
      </c>
      <c r="H74" s="1104" t="s">
        <v>491</v>
      </c>
      <c r="I74" s="1103">
        <v>541.77</v>
      </c>
      <c r="J74" s="1074">
        <v>280</v>
      </c>
      <c r="K74" s="1104"/>
      <c r="L74" s="1104">
        <v>267</v>
      </c>
      <c r="M74" s="1104"/>
      <c r="N74" s="668">
        <v>11.4</v>
      </c>
      <c r="O74" s="1104"/>
      <c r="P74" s="668">
        <v>36.785788808815667</v>
      </c>
      <c r="Q74" s="668">
        <f>(20/100)*J74</f>
        <v>56</v>
      </c>
      <c r="R74" s="432">
        <v>16.411999999999999</v>
      </c>
      <c r="S74" s="432">
        <v>51.382999999999996</v>
      </c>
      <c r="T74" s="670">
        <v>230</v>
      </c>
      <c r="U74" s="668">
        <f t="shared" si="9"/>
        <v>14.014135998050207</v>
      </c>
      <c r="V74" s="668">
        <f t="shared" si="4"/>
        <v>68.059474923612868</v>
      </c>
      <c r="W74" s="668">
        <v>0.3</v>
      </c>
      <c r="X74" s="432">
        <f t="shared" si="8"/>
        <v>0.9175535714285713</v>
      </c>
      <c r="Y74" s="432">
        <f t="shared" si="5"/>
        <v>16.16582</v>
      </c>
      <c r="Z74" s="432">
        <f t="shared" si="1"/>
        <v>50.612254999999998</v>
      </c>
      <c r="AA74" s="670">
        <f t="shared" si="1"/>
        <v>226.54999999999998</v>
      </c>
      <c r="AB74" s="432">
        <f t="shared" si="6"/>
        <v>14.014135998050207</v>
      </c>
      <c r="AC74" s="670">
        <f t="shared" si="2"/>
        <v>68.059474923612868</v>
      </c>
      <c r="AD74" s="1109">
        <v>31</v>
      </c>
      <c r="AE74" s="432">
        <f t="shared" si="12"/>
        <v>501.14042000000001</v>
      </c>
      <c r="AF74" s="449"/>
    </row>
    <row r="75" spans="1:32" ht="18.75" customHeight="1" x14ac:dyDescent="0.2">
      <c r="A75" s="1096">
        <v>61</v>
      </c>
      <c r="B75" s="461" t="s">
        <v>423</v>
      </c>
      <c r="C75" s="1104" t="s">
        <v>46</v>
      </c>
      <c r="D75" s="1096">
        <v>572.0200000000001</v>
      </c>
      <c r="E75" s="1106" t="s">
        <v>546</v>
      </c>
      <c r="F75" s="1104">
        <v>179.8</v>
      </c>
      <c r="G75" s="1104" t="s">
        <v>28</v>
      </c>
      <c r="H75" s="550" t="s">
        <v>466</v>
      </c>
      <c r="I75" s="1103"/>
      <c r="J75" s="1074">
        <v>185</v>
      </c>
      <c r="K75" s="1104"/>
      <c r="L75" s="1104">
        <v>410</v>
      </c>
      <c r="M75" s="1104"/>
      <c r="N75" s="668">
        <v>10.1</v>
      </c>
      <c r="O75" s="1104"/>
      <c r="P75" s="668"/>
      <c r="Q75" s="668">
        <f>(13/100)*J75</f>
        <v>24.05</v>
      </c>
      <c r="R75" s="432">
        <v>13.478999999999999</v>
      </c>
      <c r="S75" s="432">
        <v>13.923999999999999</v>
      </c>
      <c r="T75" s="670">
        <v>487</v>
      </c>
      <c r="U75" s="668">
        <f t="shared" si="9"/>
        <v>36.130276726760151</v>
      </c>
      <c r="V75" s="668">
        <f t="shared" si="4"/>
        <v>3.1959207124389564</v>
      </c>
      <c r="W75" s="668">
        <v>0.2</v>
      </c>
      <c r="X75" s="432">
        <f t="shared" si="8"/>
        <v>0.57896049896049895</v>
      </c>
      <c r="Y75" s="432">
        <f t="shared" si="5"/>
        <v>13.276814999999999</v>
      </c>
      <c r="Z75" s="432">
        <f t="shared" ref="Z75" si="13">S75*0.985</f>
        <v>13.71514</v>
      </c>
      <c r="AA75" s="670">
        <f t="shared" ref="AA75" si="14">T75*0.985</f>
        <v>479.69499999999999</v>
      </c>
      <c r="AB75" s="432">
        <f t="shared" ref="AB75" si="15">U75</f>
        <v>36.130276726760151</v>
      </c>
      <c r="AC75" s="670">
        <f t="shared" si="2"/>
        <v>3.1959207124389564</v>
      </c>
      <c r="AD75" s="1096"/>
      <c r="AE75" s="432"/>
      <c r="AF75" s="449"/>
    </row>
    <row r="76" spans="1:32" ht="18.75" customHeight="1" x14ac:dyDescent="0.2">
      <c r="A76" s="1096">
        <v>62</v>
      </c>
      <c r="B76" s="461" t="s">
        <v>213</v>
      </c>
      <c r="C76" s="1096" t="s">
        <v>46</v>
      </c>
      <c r="D76" s="1096">
        <v>690.8</v>
      </c>
      <c r="E76" s="1096" t="s">
        <v>497</v>
      </c>
      <c r="F76" s="1096">
        <v>177.8</v>
      </c>
      <c r="G76" s="1096" t="s">
        <v>28</v>
      </c>
      <c r="H76" s="1104" t="s">
        <v>487</v>
      </c>
      <c r="I76" s="1103">
        <v>605.00000000000011</v>
      </c>
      <c r="J76" s="1074">
        <v>260</v>
      </c>
      <c r="K76" s="1104"/>
      <c r="L76" s="1104">
        <v>526</v>
      </c>
      <c r="M76" s="1104"/>
      <c r="N76" s="668">
        <v>7.6</v>
      </c>
      <c r="O76" s="1104"/>
      <c r="P76" s="668">
        <v>21.095639540413956</v>
      </c>
      <c r="Q76" s="668">
        <f t="shared" ref="Q76:Q79" si="16">LEFT(H76,(FIND("K",H76,1)-1))*J76/100</f>
        <v>39</v>
      </c>
      <c r="R76" s="432">
        <v>5.6740000000000004</v>
      </c>
      <c r="S76" s="432">
        <v>10.605</v>
      </c>
      <c r="T76" s="670">
        <v>112</v>
      </c>
      <c r="U76" s="668">
        <f t="shared" si="9"/>
        <v>19.739161085653858</v>
      </c>
      <c r="V76" s="668">
        <f t="shared" si="4"/>
        <v>46.496935407826498</v>
      </c>
      <c r="W76" s="668">
        <v>0.3</v>
      </c>
      <c r="X76" s="432">
        <f t="shared" si="8"/>
        <v>0.27192307692307693</v>
      </c>
      <c r="Y76" s="432">
        <f t="shared" si="5"/>
        <v>5.5888900000000001</v>
      </c>
      <c r="Z76" s="432">
        <f t="shared" si="1"/>
        <v>10.445925000000001</v>
      </c>
      <c r="AA76" s="670">
        <f t="shared" si="1"/>
        <v>110.32</v>
      </c>
      <c r="AB76" s="432">
        <f t="shared" si="6"/>
        <v>19.739161085653858</v>
      </c>
      <c r="AC76" s="670">
        <f>V76</f>
        <v>46.496935407826498</v>
      </c>
      <c r="AD76" s="1096">
        <v>31</v>
      </c>
      <c r="AE76" s="432">
        <f t="shared" si="12"/>
        <v>173.25559000000001</v>
      </c>
      <c r="AF76" s="669"/>
    </row>
    <row r="77" spans="1:32" ht="18.75" customHeight="1" x14ac:dyDescent="0.2">
      <c r="A77" s="1096">
        <v>63</v>
      </c>
      <c r="B77" s="461" t="s">
        <v>506</v>
      </c>
      <c r="C77" s="1104" t="s">
        <v>46</v>
      </c>
      <c r="D77" s="1092">
        <v>580.95000000000016</v>
      </c>
      <c r="E77" s="1092" t="s">
        <v>547</v>
      </c>
      <c r="F77" s="1096">
        <v>177.8</v>
      </c>
      <c r="G77" s="1096" t="s">
        <v>28</v>
      </c>
      <c r="H77" s="1104" t="s">
        <v>491</v>
      </c>
      <c r="I77" s="1103">
        <v>580.48000000000013</v>
      </c>
      <c r="J77" s="1103">
        <v>85</v>
      </c>
      <c r="K77" s="1103"/>
      <c r="L77" s="1103">
        <v>180</v>
      </c>
      <c r="M77" s="1103"/>
      <c r="N77" s="668">
        <v>8</v>
      </c>
      <c r="O77" s="1103"/>
      <c r="P77" s="668">
        <v>12.571795801197572</v>
      </c>
      <c r="Q77" s="668">
        <f>(23/100)*J77</f>
        <v>19.55</v>
      </c>
      <c r="R77" s="432">
        <v>0.92700000000000005</v>
      </c>
      <c r="S77" s="432">
        <v>14.247</v>
      </c>
      <c r="T77" s="492">
        <v>0</v>
      </c>
      <c r="U77" s="432">
        <f t="shared" si="9"/>
        <v>0</v>
      </c>
      <c r="V77" s="432">
        <f t="shared" si="4"/>
        <v>93.493367024636768</v>
      </c>
      <c r="W77" s="668">
        <v>0.2</v>
      </c>
      <c r="X77" s="432">
        <f t="shared" si="8"/>
        <v>0.72874680306905371</v>
      </c>
      <c r="Y77" s="432">
        <f t="shared" si="5"/>
        <v>0.91309499999999999</v>
      </c>
      <c r="Z77" s="1045">
        <f t="shared" si="1"/>
        <v>14.033294999999999</v>
      </c>
      <c r="AA77" s="670">
        <f t="shared" si="1"/>
        <v>0</v>
      </c>
      <c r="AB77" s="432">
        <f t="shared" si="6"/>
        <v>0</v>
      </c>
      <c r="AC77" s="432">
        <f t="shared" ref="AC77" si="17">V77</f>
        <v>93.493367024636768</v>
      </c>
      <c r="AD77" s="1096">
        <v>31</v>
      </c>
      <c r="AE77" s="432">
        <f>Y77*AD77</f>
        <v>28.305945000000001</v>
      </c>
      <c r="AF77" s="449"/>
    </row>
    <row r="78" spans="1:32" ht="18.75" customHeight="1" x14ac:dyDescent="0.2">
      <c r="A78" s="1096">
        <v>64</v>
      </c>
      <c r="B78" s="461" t="s">
        <v>451</v>
      </c>
      <c r="C78" s="1096" t="s">
        <v>46</v>
      </c>
      <c r="D78" s="1103">
        <v>595.20000000000005</v>
      </c>
      <c r="E78" s="1092" t="s">
        <v>475</v>
      </c>
      <c r="F78" s="1096">
        <v>177.8</v>
      </c>
      <c r="G78" s="1096" t="s">
        <v>28</v>
      </c>
      <c r="H78" s="1104" t="s">
        <v>466</v>
      </c>
      <c r="I78" s="1103">
        <v>568.6</v>
      </c>
      <c r="J78" s="1103">
        <v>85</v>
      </c>
      <c r="K78" s="1103"/>
      <c r="L78" s="1103">
        <v>514</v>
      </c>
      <c r="M78" s="1103"/>
      <c r="N78" s="668">
        <v>0</v>
      </c>
      <c r="O78" s="1103"/>
      <c r="P78" s="668">
        <v>31.889079761431368</v>
      </c>
      <c r="Q78" s="668">
        <f>(13/100)*J78</f>
        <v>11.05</v>
      </c>
      <c r="R78" s="432">
        <v>0.83</v>
      </c>
      <c r="S78" s="432">
        <v>1.284</v>
      </c>
      <c r="T78" s="492">
        <v>0</v>
      </c>
      <c r="U78" s="432">
        <f t="shared" si="9"/>
        <v>0</v>
      </c>
      <c r="V78" s="432">
        <f t="shared" si="4"/>
        <v>35.358255451713397</v>
      </c>
      <c r="W78" s="668">
        <v>0.2</v>
      </c>
      <c r="X78" s="432">
        <f t="shared" si="8"/>
        <v>0.11619909502262443</v>
      </c>
      <c r="Y78" s="432">
        <f t="shared" si="5"/>
        <v>0.81755</v>
      </c>
      <c r="Z78" s="1045">
        <f t="shared" ref="Z78" si="18">S78*0.985</f>
        <v>1.26474</v>
      </c>
      <c r="AA78" s="670">
        <f t="shared" ref="AA78" si="19">T78*0.985</f>
        <v>0</v>
      </c>
      <c r="AB78" s="432">
        <f t="shared" ref="AB78" si="20">U78</f>
        <v>0</v>
      </c>
      <c r="AC78" s="432">
        <f t="shared" ref="AC78" si="21">V78</f>
        <v>35.358255451713397</v>
      </c>
      <c r="AD78" s="1096"/>
      <c r="AE78" s="432"/>
      <c r="AF78" s="669" t="s">
        <v>432</v>
      </c>
    </row>
    <row r="79" spans="1:32" ht="18.75" customHeight="1" x14ac:dyDescent="0.2">
      <c r="A79" s="1096">
        <v>65</v>
      </c>
      <c r="B79" s="461" t="s">
        <v>172</v>
      </c>
      <c r="C79" s="1096" t="s">
        <v>46</v>
      </c>
      <c r="D79" s="1096">
        <v>673</v>
      </c>
      <c r="E79" s="1096" t="s">
        <v>173</v>
      </c>
      <c r="F79" s="1096">
        <v>177.8</v>
      </c>
      <c r="G79" s="1096" t="s">
        <v>28</v>
      </c>
      <c r="H79" s="1104" t="s">
        <v>487</v>
      </c>
      <c r="I79" s="1103">
        <v>555.56000000000006</v>
      </c>
      <c r="J79" s="1074">
        <v>220</v>
      </c>
      <c r="K79" s="1104"/>
      <c r="L79" s="1104">
        <v>163</v>
      </c>
      <c r="M79" s="1104"/>
      <c r="N79" s="668">
        <v>6</v>
      </c>
      <c r="O79" s="1104"/>
      <c r="P79" s="448">
        <v>45.248759019788054</v>
      </c>
      <c r="Q79" s="668">
        <f t="shared" si="16"/>
        <v>33</v>
      </c>
      <c r="R79" s="432">
        <v>2.9860000000000002</v>
      </c>
      <c r="S79" s="432">
        <v>17.495000000000001</v>
      </c>
      <c r="T79" s="670">
        <v>7</v>
      </c>
      <c r="U79" s="668">
        <f t="shared" si="9"/>
        <v>2.3442732752846616</v>
      </c>
      <c r="V79" s="668">
        <f t="shared" si="4"/>
        <v>82.932266361817668</v>
      </c>
      <c r="W79" s="668">
        <v>0.3</v>
      </c>
      <c r="X79" s="432">
        <f t="shared" si="8"/>
        <v>0.53015151515151515</v>
      </c>
      <c r="Y79" s="432">
        <f t="shared" si="5"/>
        <v>2.9412100000000003</v>
      </c>
      <c r="Z79" s="432">
        <f t="shared" si="1"/>
        <v>17.232575000000001</v>
      </c>
      <c r="AA79" s="670">
        <f t="shared" si="1"/>
        <v>6.8949999999999996</v>
      </c>
      <c r="AB79" s="432">
        <f t="shared" si="6"/>
        <v>2.3442732752846616</v>
      </c>
      <c r="AC79" s="670">
        <f t="shared" si="2"/>
        <v>82.932266361817668</v>
      </c>
      <c r="AD79" s="1096">
        <v>31</v>
      </c>
      <c r="AE79" s="432">
        <f>Y79*AD79</f>
        <v>91.177510000000012</v>
      </c>
      <c r="AF79" s="449"/>
    </row>
    <row r="80" spans="1:32" ht="18.75" customHeight="1" x14ac:dyDescent="0.25">
      <c r="A80" s="869"/>
      <c r="B80" s="1096"/>
      <c r="C80" s="1096"/>
      <c r="D80" s="1092"/>
      <c r="E80" s="1092"/>
      <c r="F80" s="461"/>
      <c r="G80" s="1096"/>
      <c r="H80" s="1104"/>
      <c r="I80" s="1103"/>
      <c r="J80" s="1103"/>
      <c r="K80" s="1103"/>
      <c r="L80" s="1103"/>
      <c r="M80" s="1103"/>
      <c r="N80" s="1104"/>
      <c r="O80" s="1103"/>
      <c r="P80" s="668"/>
      <c r="Q80" s="448"/>
      <c r="R80" s="466">
        <f>SUM(R15:R79)</f>
        <v>371.44499999999988</v>
      </c>
      <c r="S80" s="466">
        <f>SUM(S15:S79)</f>
        <v>903.97100000000012</v>
      </c>
      <c r="T80" s="512">
        <f>SUM(T15:T79)</f>
        <v>10319.042000000001</v>
      </c>
      <c r="U80" s="466">
        <f>T80/R80</f>
        <v>27.78080738736557</v>
      </c>
      <c r="V80" s="466"/>
      <c r="W80" s="466"/>
      <c r="X80" s="466"/>
      <c r="Y80" s="466">
        <f>SUM(Y15:Y79)</f>
        <v>365.87332500000002</v>
      </c>
      <c r="Z80" s="466">
        <f>SUM(Z15:Z79)</f>
        <v>890.4114350000001</v>
      </c>
      <c r="AA80" s="678">
        <f>SUM(AA15:AA79)</f>
        <v>10164.256369999999</v>
      </c>
      <c r="AB80" s="466">
        <f>AA80/Y80</f>
        <v>27.780807387365556</v>
      </c>
      <c r="AC80" s="466"/>
      <c r="AD80" s="1095"/>
      <c r="AE80" s="466">
        <f>SUM(AE15:AE79)</f>
        <v>10905.147760000003</v>
      </c>
      <c r="AF80" s="669"/>
    </row>
    <row r="81" spans="1:32" ht="18.75" customHeight="1" x14ac:dyDescent="0.25">
      <c r="A81" s="869"/>
      <c r="B81" s="1096"/>
      <c r="C81" s="1096"/>
      <c r="D81" s="1092"/>
      <c r="E81" s="1092"/>
      <c r="F81" s="461"/>
      <c r="G81" s="1096"/>
      <c r="H81" s="1104"/>
      <c r="I81" s="1103"/>
      <c r="J81" s="1103"/>
      <c r="K81" s="1103"/>
      <c r="L81" s="1103"/>
      <c r="M81" s="1103"/>
      <c r="N81" s="1104"/>
      <c r="O81" s="1103"/>
      <c r="P81" s="668"/>
      <c r="Q81" s="448"/>
      <c r="R81" s="466"/>
      <c r="S81" s="466"/>
      <c r="T81" s="512"/>
      <c r="U81" s="466"/>
      <c r="V81" s="466"/>
      <c r="W81" s="466"/>
      <c r="X81" s="466"/>
      <c r="Y81" s="466"/>
      <c r="Z81" s="708"/>
      <c r="AA81" s="678"/>
      <c r="AB81" s="466"/>
      <c r="AC81" s="466"/>
      <c r="AD81" s="1095"/>
      <c r="AE81" s="466"/>
      <c r="AF81" s="669"/>
    </row>
    <row r="82" spans="1:32" ht="18.75" customHeight="1" x14ac:dyDescent="0.25">
      <c r="A82" s="869"/>
      <c r="B82" s="1096"/>
      <c r="C82" s="1096"/>
      <c r="D82" s="1092"/>
      <c r="E82" s="1091" t="s">
        <v>388</v>
      </c>
      <c r="F82" s="461"/>
      <c r="G82" s="1096"/>
      <c r="H82" s="1104"/>
      <c r="I82" s="1103"/>
      <c r="J82" s="1103"/>
      <c r="K82" s="1103"/>
      <c r="L82" s="1103"/>
      <c r="M82" s="1103"/>
      <c r="N82" s="1104"/>
      <c r="O82" s="1103"/>
      <c r="P82" s="668"/>
      <c r="Q82" s="448"/>
      <c r="R82" s="466"/>
      <c r="S82" s="466"/>
      <c r="T82" s="512"/>
      <c r="U82" s="466"/>
      <c r="V82" s="466"/>
      <c r="W82" s="466"/>
      <c r="X82" s="466"/>
      <c r="Y82" s="466"/>
      <c r="Z82" s="708"/>
      <c r="AA82" s="678"/>
      <c r="AB82" s="466"/>
      <c r="AC82" s="466"/>
      <c r="AD82" s="1095"/>
      <c r="AE82" s="466"/>
      <c r="AF82" s="669"/>
    </row>
    <row r="83" spans="1:32" ht="18.75" customHeight="1" x14ac:dyDescent="0.2">
      <c r="A83" s="1096">
        <v>66</v>
      </c>
      <c r="B83" s="461" t="s">
        <v>505</v>
      </c>
      <c r="C83" s="1096" t="s">
        <v>445</v>
      </c>
      <c r="D83" s="1092">
        <v>737.21</v>
      </c>
      <c r="E83" s="1092" t="s">
        <v>507</v>
      </c>
      <c r="F83" s="1096">
        <v>177.8</v>
      </c>
      <c r="G83" s="1096" t="s">
        <v>28</v>
      </c>
      <c r="H83" s="1104" t="s">
        <v>491</v>
      </c>
      <c r="I83" s="1103">
        <v>660.03999999999962</v>
      </c>
      <c r="J83" s="1103"/>
      <c r="K83" s="1103"/>
      <c r="L83" s="1103"/>
      <c r="M83" s="1103">
        <v>3.2</v>
      </c>
      <c r="N83" s="1104"/>
      <c r="O83" s="1103"/>
      <c r="P83" s="668">
        <v>0</v>
      </c>
      <c r="Q83" s="448">
        <f>J83*23/100</f>
        <v>0</v>
      </c>
      <c r="R83" s="432">
        <v>0</v>
      </c>
      <c r="S83" s="432">
        <v>0</v>
      </c>
      <c r="T83" s="492">
        <v>0</v>
      </c>
      <c r="U83" s="432">
        <f t="shared" ref="U83:U86" si="22">IF(R83=0,0,T83/R83)</f>
        <v>0</v>
      </c>
      <c r="V83" s="432">
        <f t="shared" ref="V83:V86" si="23">IF(S83=0,0,(S83-R83)/S83*100)</f>
        <v>0</v>
      </c>
      <c r="W83" s="432">
        <v>0.2</v>
      </c>
      <c r="X83" s="432">
        <f t="shared" ref="X83:X86" si="24">IF(S83=0,0,S83/Q83)</f>
        <v>0</v>
      </c>
      <c r="Y83" s="432">
        <f t="shared" ref="Y83:AA86" si="25">R83*0.985</f>
        <v>0</v>
      </c>
      <c r="Z83" s="1045">
        <f t="shared" si="25"/>
        <v>0</v>
      </c>
      <c r="AA83" s="670">
        <f t="shared" si="25"/>
        <v>0</v>
      </c>
      <c r="AB83" s="432">
        <f t="shared" ref="AB83:AC86" si="26">U83</f>
        <v>0</v>
      </c>
      <c r="AC83" s="432">
        <f t="shared" si="26"/>
        <v>0</v>
      </c>
      <c r="AD83" s="1096">
        <v>0</v>
      </c>
      <c r="AE83" s="432">
        <f>Y83*AD83</f>
        <v>0</v>
      </c>
      <c r="AF83" s="449" t="s">
        <v>432</v>
      </c>
    </row>
    <row r="84" spans="1:32" ht="18.75" customHeight="1" x14ac:dyDescent="0.2">
      <c r="A84" s="1096">
        <v>66</v>
      </c>
      <c r="B84" s="461" t="s">
        <v>104</v>
      </c>
      <c r="C84" s="1096" t="s">
        <v>536</v>
      </c>
      <c r="D84" s="1096">
        <v>687.00000000000045</v>
      </c>
      <c r="E84" s="1103" t="s">
        <v>548</v>
      </c>
      <c r="F84" s="1096">
        <v>177.8</v>
      </c>
      <c r="G84" s="1096" t="s">
        <v>28</v>
      </c>
      <c r="H84" s="1104" t="s">
        <v>48</v>
      </c>
      <c r="I84" s="1103">
        <v>555.39000000000033</v>
      </c>
      <c r="J84" s="1104">
        <v>150</v>
      </c>
      <c r="K84" s="1104"/>
      <c r="L84" s="1104">
        <v>456</v>
      </c>
      <c r="M84" s="1104"/>
      <c r="N84" s="1104">
        <v>0</v>
      </c>
      <c r="O84" s="1104"/>
      <c r="P84" s="668">
        <v>1.1000000000000001</v>
      </c>
      <c r="Q84" s="668">
        <f>J84*13/100</f>
        <v>19.5</v>
      </c>
      <c r="R84" s="432">
        <v>0.7</v>
      </c>
      <c r="S84" s="432">
        <v>1</v>
      </c>
      <c r="T84" s="670">
        <v>0</v>
      </c>
      <c r="U84" s="668">
        <f t="shared" si="22"/>
        <v>0</v>
      </c>
      <c r="V84" s="668">
        <f t="shared" si="23"/>
        <v>30.000000000000004</v>
      </c>
      <c r="W84" s="668">
        <v>0</v>
      </c>
      <c r="X84" s="432">
        <f t="shared" si="24"/>
        <v>5.128205128205128E-2</v>
      </c>
      <c r="Y84" s="432">
        <f t="shared" si="25"/>
        <v>0.6895</v>
      </c>
      <c r="Z84" s="432">
        <f t="shared" si="25"/>
        <v>0.98499999999999999</v>
      </c>
      <c r="AA84" s="670">
        <f t="shared" si="25"/>
        <v>0</v>
      </c>
      <c r="AB84" s="432">
        <f t="shared" si="26"/>
        <v>0</v>
      </c>
      <c r="AC84" s="670">
        <f t="shared" si="26"/>
        <v>30.000000000000004</v>
      </c>
      <c r="AD84" s="1096">
        <v>0</v>
      </c>
      <c r="AE84" s="432">
        <f t="shared" ref="AE84:AE85" si="27">Y84*AD84</f>
        <v>0</v>
      </c>
      <c r="AF84" s="669"/>
    </row>
    <row r="85" spans="1:32" ht="18.75" customHeight="1" x14ac:dyDescent="0.2">
      <c r="A85" s="1096">
        <v>67</v>
      </c>
      <c r="B85" s="461" t="s">
        <v>156</v>
      </c>
      <c r="C85" s="1096" t="s">
        <v>536</v>
      </c>
      <c r="D85" s="1096">
        <v>650.24</v>
      </c>
      <c r="E85" s="1096" t="s">
        <v>549</v>
      </c>
      <c r="F85" s="1096">
        <v>177.8</v>
      </c>
      <c r="G85" s="1096" t="s">
        <v>28</v>
      </c>
      <c r="H85" s="1104" t="s">
        <v>491</v>
      </c>
      <c r="I85" s="1103">
        <v>525.82000000000005</v>
      </c>
      <c r="J85" s="1104">
        <v>200</v>
      </c>
      <c r="K85" s="1104"/>
      <c r="L85" s="1104">
        <v>388</v>
      </c>
      <c r="M85" s="1104"/>
      <c r="N85" s="1104">
        <v>0.3</v>
      </c>
      <c r="O85" s="1104"/>
      <c r="P85" s="668">
        <v>12.053083914287333</v>
      </c>
      <c r="Q85" s="668">
        <f>J85*13/100</f>
        <v>26</v>
      </c>
      <c r="R85" s="432">
        <v>3.8</v>
      </c>
      <c r="S85" s="432">
        <v>3.9</v>
      </c>
      <c r="T85" s="670">
        <v>14.667</v>
      </c>
      <c r="U85" s="668">
        <f t="shared" si="22"/>
        <v>3.8597368421052631</v>
      </c>
      <c r="V85" s="668">
        <f t="shared" si="23"/>
        <v>2.5641025641025665</v>
      </c>
      <c r="W85" s="668">
        <v>0.2</v>
      </c>
      <c r="X85" s="432">
        <f t="shared" si="24"/>
        <v>0.15</v>
      </c>
      <c r="Y85" s="432">
        <f t="shared" si="25"/>
        <v>3.7429999999999999</v>
      </c>
      <c r="Z85" s="432">
        <f t="shared" si="25"/>
        <v>3.8414999999999999</v>
      </c>
      <c r="AA85" s="670">
        <f t="shared" si="25"/>
        <v>14.446994999999999</v>
      </c>
      <c r="AB85" s="432">
        <f t="shared" si="26"/>
        <v>3.8597368421052631</v>
      </c>
      <c r="AC85" s="670">
        <f t="shared" si="26"/>
        <v>2.5641025641025665</v>
      </c>
      <c r="AD85" s="1096">
        <v>31</v>
      </c>
      <c r="AE85" s="432">
        <f t="shared" si="27"/>
        <v>116.033</v>
      </c>
      <c r="AF85" s="449"/>
    </row>
    <row r="86" spans="1:32" ht="18.75" customHeight="1" x14ac:dyDescent="0.2">
      <c r="A86" s="1096">
        <v>68</v>
      </c>
      <c r="B86" s="461" t="s">
        <v>504</v>
      </c>
      <c r="C86" s="1096" t="s">
        <v>445</v>
      </c>
      <c r="D86" s="1092">
        <v>695.15</v>
      </c>
      <c r="E86" s="1092" t="s">
        <v>508</v>
      </c>
      <c r="F86" s="461">
        <v>177.8</v>
      </c>
      <c r="G86" s="1096" t="s">
        <v>28</v>
      </c>
      <c r="H86" s="1104" t="s">
        <v>491</v>
      </c>
      <c r="I86" s="1103">
        <v>632.3399999999998</v>
      </c>
      <c r="J86" s="1103">
        <v>200</v>
      </c>
      <c r="K86" s="1103">
        <v>150</v>
      </c>
      <c r="L86" s="1103"/>
      <c r="M86" s="1103">
        <v>14.3</v>
      </c>
      <c r="N86" s="1104"/>
      <c r="O86" s="1103"/>
      <c r="P86" s="668">
        <v>9.2373127720390151</v>
      </c>
      <c r="Q86" s="448">
        <f>J86*23/100</f>
        <v>46</v>
      </c>
      <c r="R86" s="432">
        <v>0.84199999999999997</v>
      </c>
      <c r="S86" s="432">
        <v>0.878</v>
      </c>
      <c r="T86" s="492">
        <v>0</v>
      </c>
      <c r="U86" s="432">
        <f t="shared" si="22"/>
        <v>0</v>
      </c>
      <c r="V86" s="432">
        <f t="shared" si="23"/>
        <v>4.1002277904328057</v>
      </c>
      <c r="W86" s="432">
        <v>0.2</v>
      </c>
      <c r="X86" s="432">
        <f t="shared" si="24"/>
        <v>1.908695652173913E-2</v>
      </c>
      <c r="Y86" s="432">
        <f t="shared" si="25"/>
        <v>0.82936999999999994</v>
      </c>
      <c r="Z86" s="1045">
        <f t="shared" si="25"/>
        <v>0.86482999999999999</v>
      </c>
      <c r="AA86" s="670">
        <f t="shared" si="25"/>
        <v>0</v>
      </c>
      <c r="AB86" s="432">
        <f t="shared" si="26"/>
        <v>0</v>
      </c>
      <c r="AC86" s="432">
        <f t="shared" si="26"/>
        <v>4.1002277904328057</v>
      </c>
      <c r="AD86" s="1096">
        <v>31</v>
      </c>
      <c r="AE86" s="432">
        <f>Y86*AD86</f>
        <v>25.710469999999997</v>
      </c>
      <c r="AF86" s="669"/>
    </row>
    <row r="87" spans="1:32" ht="18.75" customHeight="1" x14ac:dyDescent="0.2">
      <c r="A87" s="1096">
        <v>69</v>
      </c>
      <c r="B87" s="461" t="s">
        <v>424</v>
      </c>
      <c r="C87" s="1096" t="s">
        <v>445</v>
      </c>
      <c r="D87" s="1092">
        <v>691</v>
      </c>
      <c r="E87" s="1092" t="s">
        <v>495</v>
      </c>
      <c r="F87" s="1096">
        <v>177.8</v>
      </c>
      <c r="G87" s="1096" t="s">
        <v>28</v>
      </c>
      <c r="H87" s="1104" t="s">
        <v>48</v>
      </c>
      <c r="I87" s="1103">
        <v>628.34</v>
      </c>
      <c r="J87" s="1103"/>
      <c r="K87" s="1103">
        <v>605</v>
      </c>
      <c r="L87" s="1103"/>
      <c r="M87" s="1103">
        <v>9.5</v>
      </c>
      <c r="N87" s="1104"/>
      <c r="O87" s="1103"/>
      <c r="P87" s="668">
        <v>12.1</v>
      </c>
      <c r="Q87" s="668">
        <f t="shared" ref="Q87" si="28">LEFT(H87,(FIND("K",H87,1)-1))*J87/100</f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096"/>
      <c r="AE87" s="432">
        <f>Y87*AD87</f>
        <v>0</v>
      </c>
      <c r="AF87" s="449" t="s">
        <v>432</v>
      </c>
    </row>
    <row r="88" spans="1:32" ht="18.75" customHeight="1" x14ac:dyDescent="0.25">
      <c r="A88" s="1096">
        <v>70</v>
      </c>
      <c r="B88" s="461" t="s">
        <v>155</v>
      </c>
      <c r="C88" s="1096" t="s">
        <v>415</v>
      </c>
      <c r="D88" s="1096">
        <v>513.9</v>
      </c>
      <c r="E88" s="1096" t="s">
        <v>477</v>
      </c>
      <c r="F88" s="1096">
        <v>177.8</v>
      </c>
      <c r="G88" s="1096"/>
      <c r="H88" s="1104"/>
      <c r="I88" s="1103">
        <v>9.5</v>
      </c>
      <c r="J88" s="1103"/>
      <c r="K88" s="1103"/>
      <c r="L88" s="1103"/>
      <c r="M88" s="1103"/>
      <c r="N88" s="1104"/>
      <c r="O88" s="1103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096">
        <v>71</v>
      </c>
      <c r="B89" s="461" t="s">
        <v>465</v>
      </c>
      <c r="C89" s="1096" t="s">
        <v>46</v>
      </c>
      <c r="D89" s="1096">
        <v>571.91</v>
      </c>
      <c r="E89" s="1096" t="s">
        <v>478</v>
      </c>
      <c r="F89" s="1096">
        <v>177.8</v>
      </c>
      <c r="G89" s="1096"/>
      <c r="H89" s="831"/>
      <c r="I89" s="1103">
        <v>9.5</v>
      </c>
      <c r="J89" s="1103"/>
      <c r="K89" s="1103"/>
      <c r="L89" s="1103"/>
      <c r="M89" s="1103"/>
      <c r="N89" s="1104"/>
      <c r="O89" s="1103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095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096"/>
      <c r="H90" s="1104"/>
      <c r="I90" s="1104"/>
      <c r="J90" s="1103"/>
      <c r="K90" s="1103"/>
      <c r="L90" s="1103"/>
      <c r="M90" s="1103"/>
      <c r="N90" s="1103"/>
      <c r="O90" s="1103"/>
      <c r="P90" s="448"/>
      <c r="Q90" s="448"/>
      <c r="R90" s="466">
        <f>SUM(R83:R89)</f>
        <v>5.3419999999999996</v>
      </c>
      <c r="S90" s="466">
        <f>SUM(S83:S89)</f>
        <v>5.7780000000000005</v>
      </c>
      <c r="T90" s="512">
        <f>SUM(T83:T89)</f>
        <v>14.667</v>
      </c>
      <c r="U90" s="466">
        <f>T90/R90</f>
        <v>2.7456008985398728</v>
      </c>
      <c r="V90" s="466"/>
      <c r="W90" s="466"/>
      <c r="X90" s="466"/>
      <c r="Y90" s="466">
        <f>SUM(Y83:Y89)</f>
        <v>5.26187</v>
      </c>
      <c r="Z90" s="466">
        <f>SUM(Z83:Z89)</f>
        <v>5.6913300000000007</v>
      </c>
      <c r="AA90" s="678">
        <f>SUM(AA26:AA89)</f>
        <v>18659.594734999999</v>
      </c>
      <c r="AB90" s="466">
        <f>AA90/Y90</f>
        <v>3546.1907525271431</v>
      </c>
      <c r="AC90" s="466"/>
      <c r="AD90" s="1095"/>
      <c r="AE90" s="466">
        <f>SUM(AE83:AE89)</f>
        <v>141.74347</v>
      </c>
      <c r="AF90" s="669"/>
    </row>
    <row r="91" spans="1:32" ht="18.75" customHeight="1" x14ac:dyDescent="0.25">
      <c r="A91" s="870"/>
      <c r="B91" s="873"/>
      <c r="C91" s="850"/>
      <c r="D91" s="850"/>
      <c r="E91" s="1097" t="s">
        <v>470</v>
      </c>
      <c r="F91" s="853"/>
      <c r="G91" s="1087"/>
      <c r="H91" s="1101"/>
      <c r="I91" s="1101"/>
      <c r="J91" s="1103"/>
      <c r="K91" s="1103"/>
      <c r="L91" s="1103"/>
      <c r="M91" s="1103"/>
      <c r="N91" s="1103"/>
      <c r="O91" s="1103"/>
      <c r="P91" s="448"/>
      <c r="Q91" s="448"/>
      <c r="R91" s="1108"/>
      <c r="S91" s="437"/>
      <c r="T91" s="1108"/>
      <c r="U91" s="1107"/>
      <c r="V91" s="1087"/>
      <c r="W91" s="1087"/>
      <c r="X91" s="421"/>
      <c r="Y91" s="1092"/>
      <c r="Z91" s="1092"/>
      <c r="AA91" s="1092"/>
      <c r="AB91" s="1087"/>
      <c r="AC91" s="1087"/>
      <c r="AD91" s="1092"/>
      <c r="AE91" s="1092"/>
      <c r="AF91" s="1091"/>
    </row>
    <row r="92" spans="1:32" ht="18.75" customHeight="1" x14ac:dyDescent="0.2">
      <c r="A92" s="1094">
        <v>72</v>
      </c>
      <c r="B92" s="1096" t="s">
        <v>131</v>
      </c>
      <c r="C92" s="1094" t="s">
        <v>313</v>
      </c>
      <c r="D92" s="1096">
        <v>389.74</v>
      </c>
      <c r="E92" s="679" t="s">
        <v>136</v>
      </c>
      <c r="F92" s="1096">
        <v>177.8</v>
      </c>
      <c r="G92" s="1096" t="s">
        <v>28</v>
      </c>
      <c r="H92" s="1104" t="s">
        <v>485</v>
      </c>
      <c r="I92" s="1103">
        <v>132.27000000000001</v>
      </c>
      <c r="J92" s="1103">
        <v>170</v>
      </c>
      <c r="K92" s="1104"/>
      <c r="L92" s="1104">
        <v>70</v>
      </c>
      <c r="M92" s="1104"/>
      <c r="N92" s="1104">
        <v>0.5</v>
      </c>
      <c r="O92" s="1104"/>
      <c r="P92" s="668">
        <v>12.863322073940665</v>
      </c>
      <c r="Q92" s="448">
        <f>(15*J92)/100</f>
        <v>25.5</v>
      </c>
      <c r="R92" s="432">
        <v>7.508</v>
      </c>
      <c r="S92" s="432">
        <v>10.776</v>
      </c>
      <c r="T92" s="432">
        <v>0</v>
      </c>
      <c r="U92" s="432">
        <f>T92/R92</f>
        <v>0</v>
      </c>
      <c r="V92" s="432">
        <f t="shared" ref="V92:V95" si="29">(S92-R92)/S92*100</f>
        <v>30.326651818856714</v>
      </c>
      <c r="W92" s="432">
        <v>0.3</v>
      </c>
      <c r="X92" s="432">
        <f t="shared" ref="X92:X95" si="30">S92/Q92</f>
        <v>0.42258823529411765</v>
      </c>
      <c r="Y92" s="432">
        <f t="shared" ref="Y92:AA95" si="31">R92*0.985</f>
        <v>7.3953800000000003</v>
      </c>
      <c r="Z92" s="432">
        <f>S92*0.985</f>
        <v>10.61436</v>
      </c>
      <c r="AA92" s="432">
        <f>T92*0.985</f>
        <v>0</v>
      </c>
      <c r="AB92" s="432">
        <f t="shared" ref="AB92:AC95" si="32">U92</f>
        <v>0</v>
      </c>
      <c r="AC92" s="432">
        <f t="shared" si="32"/>
        <v>30.326651818856714</v>
      </c>
      <c r="AD92" s="1096">
        <v>31</v>
      </c>
      <c r="AE92" s="432">
        <f t="shared" ref="AE92:AE95" si="33">Y92*AD92</f>
        <v>229.25678000000002</v>
      </c>
      <c r="AF92" s="449"/>
    </row>
    <row r="93" spans="1:32" ht="18.75" customHeight="1" x14ac:dyDescent="0.2">
      <c r="A93" s="1094">
        <v>73</v>
      </c>
      <c r="B93" s="1096" t="s">
        <v>132</v>
      </c>
      <c r="C93" s="1094" t="s">
        <v>313</v>
      </c>
      <c r="D93" s="1096">
        <v>387.72</v>
      </c>
      <c r="E93" s="679" t="s">
        <v>135</v>
      </c>
      <c r="F93" s="1096">
        <v>177.8</v>
      </c>
      <c r="G93" s="1096" t="s">
        <v>28</v>
      </c>
      <c r="H93" s="1104" t="s">
        <v>485</v>
      </c>
      <c r="I93" s="1103">
        <v>130.34</v>
      </c>
      <c r="J93" s="1104">
        <v>205</v>
      </c>
      <c r="K93" s="1104"/>
      <c r="L93" s="1104">
        <v>75</v>
      </c>
      <c r="M93" s="1104"/>
      <c r="N93" s="1104">
        <v>0</v>
      </c>
      <c r="O93" s="1104"/>
      <c r="P93" s="668">
        <v>10.150799978120727</v>
      </c>
      <c r="Q93" s="448">
        <f>(15*J93)/100</f>
        <v>30.75</v>
      </c>
      <c r="R93" s="432">
        <v>7.99</v>
      </c>
      <c r="S93" s="432">
        <v>9.2050000000000001</v>
      </c>
      <c r="T93" s="432">
        <v>0</v>
      </c>
      <c r="U93" s="432">
        <f>T93/R93</f>
        <v>0</v>
      </c>
      <c r="V93" s="432">
        <f t="shared" si="29"/>
        <v>13.199348180336774</v>
      </c>
      <c r="W93" s="432">
        <v>0.3</v>
      </c>
      <c r="X93" s="432">
        <f t="shared" si="30"/>
        <v>0.29934959349593498</v>
      </c>
      <c r="Y93" s="432">
        <f t="shared" si="31"/>
        <v>7.8701499999999998</v>
      </c>
      <c r="Z93" s="432">
        <f t="shared" si="31"/>
        <v>9.0669249999999995</v>
      </c>
      <c r="AA93" s="432">
        <f t="shared" si="31"/>
        <v>0</v>
      </c>
      <c r="AB93" s="432">
        <v>0</v>
      </c>
      <c r="AC93" s="432">
        <f>V93</f>
        <v>13.199348180336774</v>
      </c>
      <c r="AD93" s="1109">
        <v>31</v>
      </c>
      <c r="AE93" s="432">
        <f t="shared" si="33"/>
        <v>243.97465</v>
      </c>
      <c r="AF93" s="449"/>
    </row>
    <row r="94" spans="1:32" ht="18.75" customHeight="1" x14ac:dyDescent="0.2">
      <c r="A94" s="1094">
        <v>74</v>
      </c>
      <c r="B94" s="1096" t="s">
        <v>121</v>
      </c>
      <c r="C94" s="1094" t="s">
        <v>313</v>
      </c>
      <c r="D94" s="1096">
        <v>389.57</v>
      </c>
      <c r="E94" s="1096" t="s">
        <v>137</v>
      </c>
      <c r="F94" s="1096">
        <v>177.8</v>
      </c>
      <c r="G94" s="1096" t="s">
        <v>28</v>
      </c>
      <c r="H94" s="831" t="s">
        <v>466</v>
      </c>
      <c r="I94" s="1103">
        <v>123.65000000000003</v>
      </c>
      <c r="J94" s="1104">
        <v>130</v>
      </c>
      <c r="K94" s="1104"/>
      <c r="L94" s="1104">
        <v>45</v>
      </c>
      <c r="M94" s="1104"/>
      <c r="N94" s="1104">
        <v>0</v>
      </c>
      <c r="O94" s="1104"/>
      <c r="P94" s="668">
        <v>12.201132184842152</v>
      </c>
      <c r="Q94" s="448">
        <f>(13*J94)/100</f>
        <v>16.899999999999999</v>
      </c>
      <c r="R94" s="432">
        <v>8.0299999999999994</v>
      </c>
      <c r="S94" s="432">
        <v>16.466000000000001</v>
      </c>
      <c r="T94" s="432">
        <v>0</v>
      </c>
      <c r="U94" s="432">
        <v>0</v>
      </c>
      <c r="V94" s="432">
        <f t="shared" si="29"/>
        <v>51.232843434956891</v>
      </c>
      <c r="W94" s="432">
        <v>0.3</v>
      </c>
      <c r="X94" s="432">
        <f>S94/Q94</f>
        <v>0.9743195266272191</v>
      </c>
      <c r="Y94" s="432">
        <f t="shared" si="31"/>
        <v>7.9095499999999994</v>
      </c>
      <c r="Z94" s="432">
        <f t="shared" si="31"/>
        <v>16.219010000000001</v>
      </c>
      <c r="AA94" s="432">
        <f t="shared" si="31"/>
        <v>0</v>
      </c>
      <c r="AB94" s="432">
        <v>0</v>
      </c>
      <c r="AC94" s="432">
        <v>47</v>
      </c>
      <c r="AD94" s="1109">
        <v>31</v>
      </c>
      <c r="AE94" s="432">
        <f t="shared" si="33"/>
        <v>245.19604999999999</v>
      </c>
      <c r="AF94" s="669"/>
    </row>
    <row r="95" spans="1:32" ht="18.75" customHeight="1" x14ac:dyDescent="0.2">
      <c r="A95" s="1094">
        <v>75</v>
      </c>
      <c r="B95" s="1096" t="s">
        <v>122</v>
      </c>
      <c r="C95" s="1094" t="s">
        <v>313</v>
      </c>
      <c r="D95" s="1096">
        <v>391.06</v>
      </c>
      <c r="E95" s="1096" t="s">
        <v>138</v>
      </c>
      <c r="F95" s="1096">
        <v>177.8</v>
      </c>
      <c r="G95" s="1096" t="s">
        <v>28</v>
      </c>
      <c r="H95" s="1104" t="s">
        <v>485</v>
      </c>
      <c r="I95" s="432">
        <v>148.36999999999998</v>
      </c>
      <c r="J95" s="1104">
        <v>100</v>
      </c>
      <c r="K95" s="1102"/>
      <c r="L95" s="1104">
        <v>81</v>
      </c>
      <c r="M95" s="1102"/>
      <c r="N95" s="1104">
        <v>0.2</v>
      </c>
      <c r="O95" s="1102"/>
      <c r="P95" s="668">
        <v>10.35950553820205</v>
      </c>
      <c r="Q95" s="448">
        <f>(15*J95)/100</f>
        <v>15</v>
      </c>
      <c r="R95" s="432">
        <v>6.0869999999999997</v>
      </c>
      <c r="S95" s="432">
        <v>6.4859999999999998</v>
      </c>
      <c r="T95" s="432">
        <v>0</v>
      </c>
      <c r="U95" s="432">
        <f>T95/R95</f>
        <v>0</v>
      </c>
      <c r="V95" s="432">
        <f t="shared" si="29"/>
        <v>6.1517113783533768</v>
      </c>
      <c r="W95" s="432">
        <v>0.3</v>
      </c>
      <c r="X95" s="432">
        <f t="shared" si="30"/>
        <v>0.43240000000000001</v>
      </c>
      <c r="Y95" s="432">
        <f t="shared" si="31"/>
        <v>5.9956949999999996</v>
      </c>
      <c r="Z95" s="432">
        <f t="shared" si="31"/>
        <v>6.3887099999999997</v>
      </c>
      <c r="AA95" s="432">
        <f t="shared" si="31"/>
        <v>0</v>
      </c>
      <c r="AB95" s="432">
        <f t="shared" si="32"/>
        <v>0</v>
      </c>
      <c r="AC95" s="432">
        <f t="shared" si="32"/>
        <v>6.1517113783533768</v>
      </c>
      <c r="AD95" s="1109">
        <v>31</v>
      </c>
      <c r="AE95" s="432">
        <f t="shared" si="33"/>
        <v>185.86654499999997</v>
      </c>
      <c r="AF95" s="680"/>
    </row>
    <row r="96" spans="1:32" ht="18.75" customHeight="1" x14ac:dyDescent="0.2">
      <c r="A96" s="1094">
        <v>76</v>
      </c>
      <c r="B96" s="1096" t="s">
        <v>188</v>
      </c>
      <c r="C96" s="1094" t="s">
        <v>344</v>
      </c>
      <c r="D96" s="1096">
        <v>400.5</v>
      </c>
      <c r="E96" s="1096" t="s">
        <v>345</v>
      </c>
      <c r="F96" s="1096">
        <v>177.8</v>
      </c>
      <c r="G96" s="1096"/>
      <c r="H96" s="1096"/>
      <c r="I96" s="432"/>
      <c r="J96" s="1096"/>
      <c r="K96" s="1095"/>
      <c r="L96" s="1096"/>
      <c r="M96" s="1095"/>
      <c r="N96" s="1096"/>
      <c r="O96" s="1095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096"/>
      <c r="AE96" s="432"/>
      <c r="AF96" s="669"/>
    </row>
    <row r="97" spans="1:32" ht="18.75" customHeight="1" x14ac:dyDescent="0.2">
      <c r="A97" s="1094">
        <v>77</v>
      </c>
      <c r="B97" s="1096" t="s">
        <v>186</v>
      </c>
      <c r="C97" s="1094" t="s">
        <v>346</v>
      </c>
      <c r="D97" s="1096">
        <v>349.5</v>
      </c>
      <c r="E97" s="461" t="s">
        <v>347</v>
      </c>
      <c r="F97" s="1096">
        <v>177.8</v>
      </c>
      <c r="G97" s="1096"/>
      <c r="H97" s="1096"/>
      <c r="I97" s="432"/>
      <c r="J97" s="1096"/>
      <c r="K97" s="1096"/>
      <c r="L97" s="1096"/>
      <c r="M97" s="1095"/>
      <c r="N97" s="1096"/>
      <c r="O97" s="1095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096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092"/>
      <c r="G98" s="1087"/>
      <c r="H98" s="1091"/>
      <c r="I98" s="1091"/>
      <c r="J98" s="1092"/>
      <c r="K98" s="1092"/>
      <c r="L98" s="1092"/>
      <c r="M98" s="1092"/>
      <c r="N98" s="1092"/>
      <c r="O98" s="1092"/>
      <c r="P98" s="448"/>
      <c r="Q98" s="448"/>
      <c r="R98" s="466">
        <f>SUM(R92:R97)</f>
        <v>29.614999999999998</v>
      </c>
      <c r="S98" s="466">
        <f>SUM(S92:S97)</f>
        <v>42.933</v>
      </c>
      <c r="T98" s="466">
        <f>SUM(T92:T95)</f>
        <v>0</v>
      </c>
      <c r="U98" s="466">
        <f>SUM(U92:U95)</f>
        <v>0</v>
      </c>
      <c r="V98" s="1087"/>
      <c r="W98" s="1087"/>
      <c r="X98" s="1087"/>
      <c r="Y98" s="466">
        <v>29.614999999999998</v>
      </c>
      <c r="Z98" s="466">
        <f>SUM(Z92:Z97)</f>
        <v>42.289005000000003</v>
      </c>
      <c r="AA98" s="466">
        <f>SUM(AA92:AA95)</f>
        <v>0</v>
      </c>
      <c r="AB98" s="466">
        <f>AA98/Y98</f>
        <v>0</v>
      </c>
      <c r="AC98" s="1087"/>
      <c r="AD98" s="1092"/>
      <c r="AE98" s="466">
        <f>SUM(AE92:AE97)</f>
        <v>904.29402500000003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095"/>
      <c r="G99" s="1096"/>
      <c r="H99" s="1096"/>
      <c r="I99" s="432"/>
      <c r="J99" s="1096"/>
      <c r="K99" s="1095"/>
      <c r="L99" s="1096"/>
      <c r="M99" s="1095"/>
      <c r="N99" s="668"/>
      <c r="O99" s="1095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087"/>
      <c r="H100" s="1091"/>
      <c r="I100" s="1091"/>
      <c r="J100" s="1092"/>
      <c r="K100" s="1092"/>
      <c r="L100" s="1092"/>
      <c r="M100" s="1092"/>
      <c r="N100" s="1092"/>
      <c r="O100" s="1092"/>
      <c r="P100" s="448"/>
      <c r="Q100" s="448"/>
      <c r="R100" s="1092"/>
      <c r="S100" s="1092"/>
      <c r="T100" s="1092"/>
      <c r="U100" s="1087"/>
      <c r="V100" s="1087"/>
      <c r="W100" s="1087"/>
      <c r="X100" s="1087"/>
      <c r="Y100" s="1092"/>
      <c r="Z100" s="1092"/>
      <c r="AA100" s="1092"/>
      <c r="AB100" s="1087"/>
      <c r="AC100" s="1087"/>
      <c r="AD100" s="1092"/>
      <c r="AE100" s="1092"/>
      <c r="AF100" s="1091"/>
    </row>
    <row r="101" spans="1:32" ht="18.75" customHeight="1" x14ac:dyDescent="0.2">
      <c r="A101" s="1096">
        <v>78</v>
      </c>
      <c r="B101" s="1093" t="s">
        <v>107</v>
      </c>
      <c r="C101" s="1092" t="s">
        <v>109</v>
      </c>
      <c r="D101" s="1092"/>
      <c r="E101" s="1092"/>
      <c r="F101" s="1092"/>
      <c r="G101" s="1087"/>
      <c r="H101" s="1091"/>
      <c r="I101" s="1091"/>
      <c r="J101" s="1092"/>
      <c r="K101" s="1092"/>
      <c r="L101" s="1092"/>
      <c r="M101" s="1092"/>
      <c r="N101" s="1092"/>
      <c r="O101" s="1092"/>
      <c r="P101" s="448"/>
      <c r="Q101" s="448"/>
      <c r="R101" s="1092"/>
      <c r="S101" s="1092"/>
      <c r="T101" s="1092"/>
      <c r="U101" s="1087"/>
      <c r="V101" s="1087"/>
      <c r="W101" s="1087"/>
      <c r="X101" s="1087"/>
      <c r="Y101" s="1091"/>
      <c r="Z101" s="1091"/>
      <c r="AA101" s="1092"/>
      <c r="AB101" s="1087"/>
      <c r="AC101" s="1087"/>
      <c r="AD101" s="493"/>
      <c r="AE101" s="1092"/>
      <c r="AF101" s="1091"/>
    </row>
    <row r="102" spans="1:32" ht="18.75" customHeight="1" x14ac:dyDescent="0.2">
      <c r="A102" s="1096">
        <v>79</v>
      </c>
      <c r="B102" s="1093" t="s">
        <v>108</v>
      </c>
      <c r="C102" s="1092" t="s">
        <v>109</v>
      </c>
      <c r="D102" s="1092"/>
      <c r="E102" s="1092"/>
      <c r="F102" s="1092"/>
      <c r="G102" s="1087"/>
      <c r="H102" s="1091"/>
      <c r="I102" s="1091"/>
      <c r="J102" s="1092"/>
      <c r="K102" s="1092"/>
      <c r="L102" s="1092"/>
      <c r="M102" s="1092"/>
      <c r="N102" s="1092"/>
      <c r="O102" s="1092"/>
      <c r="P102" s="448"/>
      <c r="Q102" s="448"/>
      <c r="R102" s="437"/>
      <c r="S102" s="1092"/>
      <c r="T102" s="1092"/>
      <c r="U102" s="1087"/>
      <c r="V102" s="1087"/>
      <c r="W102" s="1087"/>
      <c r="X102" s="1087"/>
      <c r="Y102" s="1091"/>
      <c r="Z102" s="1091"/>
      <c r="AA102" s="1092"/>
      <c r="AB102" s="1087"/>
      <c r="AC102" s="1087"/>
      <c r="AD102" s="493"/>
      <c r="AE102" s="1092"/>
      <c r="AF102" s="1091"/>
    </row>
    <row r="103" spans="1:32" ht="18.75" customHeight="1" x14ac:dyDescent="0.2">
      <c r="A103" s="1096">
        <v>80</v>
      </c>
      <c r="B103" s="1093" t="s">
        <v>195</v>
      </c>
      <c r="C103" s="1094" t="s">
        <v>484</v>
      </c>
      <c r="D103" s="1092"/>
      <c r="E103" s="1092"/>
      <c r="F103" s="1092"/>
      <c r="G103" s="1087"/>
      <c r="H103" s="1091"/>
      <c r="I103" s="1091"/>
      <c r="J103" s="1092"/>
      <c r="K103" s="1092"/>
      <c r="L103" s="1092"/>
      <c r="M103" s="1092"/>
      <c r="N103" s="1092"/>
      <c r="O103" s="1092"/>
      <c r="P103" s="448"/>
      <c r="Q103" s="448"/>
      <c r="R103" s="1092"/>
      <c r="S103" s="1092"/>
      <c r="T103" s="1092"/>
      <c r="U103" s="1087"/>
      <c r="V103" s="1087"/>
      <c r="W103" s="1087"/>
      <c r="X103" s="1087"/>
      <c r="Y103" s="1091"/>
      <c r="Z103" s="1091"/>
      <c r="AA103" s="1092"/>
      <c r="AB103" s="1087"/>
      <c r="AC103" s="1087"/>
      <c r="AD103" s="493"/>
      <c r="AE103" s="1092"/>
      <c r="AF103" s="1091"/>
    </row>
    <row r="104" spans="1:32" ht="18.75" customHeight="1" x14ac:dyDescent="0.2">
      <c r="A104" s="1096">
        <v>81</v>
      </c>
      <c r="B104" s="1093" t="s">
        <v>192</v>
      </c>
      <c r="C104" s="1094" t="s">
        <v>484</v>
      </c>
      <c r="D104" s="1092"/>
      <c r="E104" s="1092"/>
      <c r="F104" s="1092"/>
      <c r="G104" s="1087"/>
      <c r="H104" s="1091"/>
      <c r="I104" s="1091"/>
      <c r="J104" s="1092"/>
      <c r="K104" s="1092"/>
      <c r="L104" s="1092"/>
      <c r="M104" s="1092"/>
      <c r="N104" s="1092"/>
      <c r="O104" s="1092"/>
      <c r="P104" s="448"/>
      <c r="Q104" s="448"/>
      <c r="R104" s="1092"/>
      <c r="S104" s="1092"/>
      <c r="T104" s="1092"/>
      <c r="U104" s="1087"/>
      <c r="V104" s="1087"/>
      <c r="W104" s="1087"/>
      <c r="X104" s="1087"/>
      <c r="Y104" s="1091"/>
      <c r="Z104" s="1091"/>
      <c r="AA104" s="1092"/>
      <c r="AB104" s="1087"/>
      <c r="AC104" s="1087"/>
      <c r="AD104" s="493"/>
      <c r="AE104" s="1092"/>
      <c r="AF104" s="1091"/>
    </row>
    <row r="105" spans="1:32" ht="18.75" customHeight="1" x14ac:dyDescent="0.2">
      <c r="A105" s="1096"/>
      <c r="B105" s="851"/>
      <c r="C105" s="850"/>
      <c r="D105" s="850"/>
      <c r="E105" s="1091" t="s">
        <v>278</v>
      </c>
      <c r="F105" s="850"/>
      <c r="G105" s="1087"/>
      <c r="H105" s="1091"/>
      <c r="I105" s="1091"/>
      <c r="J105" s="1092"/>
      <c r="K105" s="1092"/>
      <c r="L105" s="1092"/>
      <c r="M105" s="1092"/>
      <c r="N105" s="1092"/>
      <c r="O105" s="1092"/>
      <c r="P105" s="448"/>
      <c r="Q105" s="448"/>
      <c r="R105" s="1092"/>
      <c r="S105" s="1092"/>
      <c r="T105" s="1092"/>
      <c r="U105" s="1087"/>
      <c r="V105" s="1087"/>
      <c r="W105" s="1087"/>
      <c r="X105" s="1087"/>
      <c r="Y105" s="437"/>
      <c r="Z105" s="1092"/>
      <c r="AA105" s="1092"/>
      <c r="AB105" s="1087"/>
      <c r="AC105" s="1087"/>
      <c r="AD105" s="1092"/>
      <c r="AE105" s="1092"/>
      <c r="AF105" s="1091"/>
    </row>
    <row r="106" spans="1:32" ht="18.75" customHeight="1" x14ac:dyDescent="0.2">
      <c r="A106" s="1096">
        <v>82</v>
      </c>
      <c r="B106" s="461" t="s">
        <v>189</v>
      </c>
      <c r="C106" s="1096" t="s">
        <v>46</v>
      </c>
      <c r="D106" s="1096">
        <v>673</v>
      </c>
      <c r="E106" s="1096" t="s">
        <v>190</v>
      </c>
      <c r="F106" s="1096">
        <v>177.8</v>
      </c>
      <c r="G106" s="1096"/>
      <c r="H106" s="1096"/>
      <c r="I106" s="1092"/>
      <c r="J106" s="1092"/>
      <c r="K106" s="1092"/>
      <c r="L106" s="1092"/>
      <c r="M106" s="1092"/>
      <c r="N106" s="1092"/>
      <c r="O106" s="1092"/>
      <c r="P106" s="448"/>
      <c r="Q106" s="448"/>
      <c r="R106" s="1092"/>
      <c r="S106" s="1092"/>
      <c r="T106" s="1092"/>
      <c r="U106" s="1087"/>
      <c r="V106" s="1087"/>
      <c r="W106" s="1087"/>
      <c r="X106" s="1087"/>
      <c r="Y106" s="473"/>
      <c r="Z106" s="683"/>
      <c r="AA106" s="1091"/>
      <c r="AB106" s="1087"/>
      <c r="AC106" s="1092"/>
      <c r="AD106" s="1096"/>
      <c r="AE106" s="432"/>
      <c r="AF106" s="449"/>
    </row>
    <row r="107" spans="1:32" ht="18.75" customHeight="1" x14ac:dyDescent="0.3">
      <c r="A107" s="1096">
        <v>83</v>
      </c>
      <c r="B107" s="461" t="s">
        <v>181</v>
      </c>
      <c r="C107" s="684" t="s">
        <v>344</v>
      </c>
      <c r="D107" s="1096">
        <v>374.5</v>
      </c>
      <c r="E107" s="1096" t="s">
        <v>182</v>
      </c>
      <c r="F107" s="1096">
        <v>177.8</v>
      </c>
      <c r="G107" s="1096"/>
      <c r="H107" s="1096"/>
      <c r="I107" s="1092"/>
      <c r="J107" s="1096"/>
      <c r="K107" s="1096"/>
      <c r="L107" s="1096"/>
      <c r="M107" s="1096"/>
      <c r="N107" s="668"/>
      <c r="O107" s="1096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096"/>
      <c r="AE107" s="432"/>
      <c r="AF107" s="449"/>
    </row>
    <row r="108" spans="1:32" ht="18.75" customHeight="1" x14ac:dyDescent="0.2">
      <c r="A108" s="1096">
        <v>84</v>
      </c>
      <c r="B108" s="461" t="s">
        <v>174</v>
      </c>
      <c r="C108" s="1096" t="s">
        <v>46</v>
      </c>
      <c r="D108" s="1096">
        <v>672</v>
      </c>
      <c r="E108" s="1096" t="s">
        <v>175</v>
      </c>
      <c r="F108" s="1096">
        <v>177.8</v>
      </c>
      <c r="G108" s="1096"/>
      <c r="H108" s="1096"/>
      <c r="I108" s="1092"/>
      <c r="J108" s="1096"/>
      <c r="K108" s="1096"/>
      <c r="L108" s="1096"/>
      <c r="M108" s="1096"/>
      <c r="N108" s="668"/>
      <c r="O108" s="1096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096"/>
      <c r="AE108" s="432"/>
      <c r="AF108" s="449"/>
    </row>
    <row r="109" spans="1:32" ht="18.75" customHeight="1" x14ac:dyDescent="0.2">
      <c r="A109" s="1096">
        <v>85</v>
      </c>
      <c r="B109" s="1093" t="s">
        <v>103</v>
      </c>
      <c r="C109" s="1096" t="s">
        <v>46</v>
      </c>
      <c r="D109" s="1092">
        <v>582</v>
      </c>
      <c r="E109" s="1092" t="s">
        <v>112</v>
      </c>
      <c r="F109" s="1096">
        <v>177.8</v>
      </c>
      <c r="G109" s="1096"/>
      <c r="H109" s="1096"/>
      <c r="I109" s="1092"/>
      <c r="J109" s="1092"/>
      <c r="K109" s="1092"/>
      <c r="L109" s="1092"/>
      <c r="M109" s="1092"/>
      <c r="N109" s="1092"/>
      <c r="O109" s="1092"/>
      <c r="P109" s="448"/>
      <c r="Q109" s="448"/>
      <c r="R109" s="1092"/>
      <c r="S109" s="1092"/>
      <c r="T109" s="1092"/>
      <c r="U109" s="1087"/>
      <c r="V109" s="1087"/>
      <c r="W109" s="1087"/>
      <c r="X109" s="421"/>
      <c r="Y109" s="492"/>
      <c r="Z109" s="1092"/>
      <c r="AA109" s="1092"/>
      <c r="AB109" s="1087"/>
      <c r="AC109" s="1092"/>
      <c r="AD109" s="493"/>
      <c r="AE109" s="437"/>
      <c r="AF109" s="449"/>
    </row>
    <row r="110" spans="1:32" ht="18.75" customHeight="1" x14ac:dyDescent="0.2">
      <c r="A110" s="1096">
        <v>86</v>
      </c>
      <c r="B110" s="1096" t="s">
        <v>57</v>
      </c>
      <c r="C110" s="1094" t="s">
        <v>314</v>
      </c>
      <c r="D110" s="1096">
        <v>376.58</v>
      </c>
      <c r="E110" s="461" t="s">
        <v>93</v>
      </c>
      <c r="F110" s="1096">
        <v>177.8</v>
      </c>
      <c r="G110" s="1096"/>
      <c r="H110" s="1096"/>
      <c r="I110" s="1092"/>
      <c r="J110" s="1092"/>
      <c r="K110" s="1092"/>
      <c r="L110" s="1092"/>
      <c r="M110" s="1092"/>
      <c r="N110" s="1092"/>
      <c r="O110" s="1092"/>
      <c r="P110" s="448"/>
      <c r="Q110" s="448"/>
      <c r="R110" s="1092"/>
      <c r="S110" s="1092"/>
      <c r="T110" s="1092"/>
      <c r="U110" s="1087"/>
      <c r="V110" s="1087"/>
      <c r="W110" s="1087"/>
      <c r="X110" s="421"/>
      <c r="Y110" s="492"/>
      <c r="Z110" s="1092"/>
      <c r="AA110" s="1092"/>
      <c r="AB110" s="1087"/>
      <c r="AC110" s="1092"/>
      <c r="AD110" s="493"/>
      <c r="AE110" s="437"/>
      <c r="AF110" s="449"/>
    </row>
    <row r="111" spans="1:32" ht="18.75" customHeight="1" x14ac:dyDescent="0.2">
      <c r="A111" s="1096">
        <v>87</v>
      </c>
      <c r="B111" s="1096" t="s">
        <v>184</v>
      </c>
      <c r="C111" s="1094" t="s">
        <v>314</v>
      </c>
      <c r="D111" s="1096">
        <v>422.78</v>
      </c>
      <c r="E111" s="461" t="s">
        <v>185</v>
      </c>
      <c r="F111" s="1096">
        <v>177.8</v>
      </c>
      <c r="G111" s="1096"/>
      <c r="H111" s="1096"/>
      <c r="I111" s="432"/>
      <c r="J111" s="1092"/>
      <c r="K111" s="1092"/>
      <c r="L111" s="1092"/>
      <c r="M111" s="1092"/>
      <c r="N111" s="1092"/>
      <c r="O111" s="1092"/>
      <c r="P111" s="448"/>
      <c r="Q111" s="448"/>
      <c r="R111" s="1092"/>
      <c r="S111" s="1092"/>
      <c r="T111" s="1092"/>
      <c r="U111" s="1087"/>
      <c r="V111" s="1087"/>
      <c r="W111" s="1087"/>
      <c r="X111" s="421"/>
      <c r="Y111" s="492"/>
      <c r="Z111" s="1092"/>
      <c r="AA111" s="1092"/>
      <c r="AB111" s="1087"/>
      <c r="AC111" s="1092"/>
      <c r="AD111" s="493"/>
      <c r="AE111" s="437"/>
      <c r="AF111" s="449"/>
    </row>
    <row r="112" spans="1:32" ht="18.75" customHeight="1" x14ac:dyDescent="0.2">
      <c r="A112" s="1096">
        <v>88</v>
      </c>
      <c r="B112" s="1093" t="s">
        <v>220</v>
      </c>
      <c r="C112" s="1096" t="s">
        <v>46</v>
      </c>
      <c r="D112" s="1092">
        <v>685.69</v>
      </c>
      <c r="E112" s="1092" t="s">
        <v>222</v>
      </c>
      <c r="F112" s="1096">
        <v>177.8</v>
      </c>
      <c r="G112" s="1096"/>
      <c r="H112" s="1096"/>
      <c r="I112" s="1092"/>
      <c r="J112" s="1092"/>
      <c r="K112" s="1092"/>
      <c r="L112" s="1092"/>
      <c r="M112" s="1092"/>
      <c r="N112" s="1092"/>
      <c r="O112" s="1092"/>
      <c r="P112" s="448"/>
      <c r="Q112" s="771"/>
      <c r="R112" s="1092"/>
      <c r="S112" s="1092"/>
      <c r="T112" s="1092"/>
      <c r="U112" s="1087"/>
      <c r="V112" s="1087"/>
      <c r="W112" s="1087"/>
      <c r="X112" s="421"/>
      <c r="Y112" s="492"/>
      <c r="Z112" s="1092"/>
      <c r="AA112" s="1092"/>
      <c r="AB112" s="1087"/>
      <c r="AC112" s="1092"/>
      <c r="AD112" s="493"/>
      <c r="AE112" s="437"/>
      <c r="AF112" s="449"/>
    </row>
    <row r="113" spans="1:32" ht="18.75" customHeight="1" x14ac:dyDescent="0.2">
      <c r="A113" s="1096"/>
      <c r="B113" s="851"/>
      <c r="C113" s="850"/>
      <c r="D113" s="850"/>
      <c r="E113" s="1091" t="s">
        <v>469</v>
      </c>
      <c r="F113" s="850"/>
      <c r="G113" s="1096"/>
      <c r="H113" s="1096"/>
      <c r="I113" s="1092"/>
      <c r="J113" s="1096"/>
      <c r="K113" s="1096"/>
      <c r="L113" s="1096"/>
      <c r="M113" s="1096"/>
      <c r="N113" s="668"/>
      <c r="O113" s="1096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096"/>
      <c r="AE113" s="432"/>
      <c r="AF113" s="449"/>
    </row>
    <row r="114" spans="1:32" ht="18.75" customHeight="1" x14ac:dyDescent="0.2">
      <c r="A114" s="1096">
        <v>89</v>
      </c>
      <c r="B114" s="461" t="s">
        <v>56</v>
      </c>
      <c r="C114" s="1096" t="s">
        <v>46</v>
      </c>
      <c r="D114" s="1096">
        <v>680.52</v>
      </c>
      <c r="E114" s="1096" t="s">
        <v>92</v>
      </c>
      <c r="F114" s="1096">
        <v>177.8</v>
      </c>
      <c r="G114" s="1096"/>
      <c r="H114" s="1096"/>
      <c r="I114" s="1092"/>
      <c r="J114" s="1096"/>
      <c r="K114" s="1096"/>
      <c r="L114" s="1096"/>
      <c r="M114" s="1096"/>
      <c r="N114" s="668"/>
      <c r="O114" s="1096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096"/>
      <c r="AE114" s="432"/>
      <c r="AF114" s="449"/>
    </row>
    <row r="115" spans="1:32" ht="18.75" customHeight="1" x14ac:dyDescent="0.2">
      <c r="A115" s="1096"/>
      <c r="B115" s="461"/>
      <c r="C115" s="1096"/>
      <c r="D115" s="1096"/>
      <c r="E115" s="1096"/>
      <c r="F115" s="1096"/>
      <c r="G115" s="1096"/>
      <c r="H115" s="1096"/>
      <c r="I115" s="1092"/>
      <c r="J115" s="1096"/>
      <c r="K115" s="1096"/>
      <c r="L115" s="1096"/>
      <c r="M115" s="1096"/>
      <c r="N115" s="668"/>
      <c r="O115" s="1096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096"/>
      <c r="AE115" s="432"/>
      <c r="AF115" s="449"/>
    </row>
    <row r="116" spans="1:32" ht="18.75" x14ac:dyDescent="0.25">
      <c r="A116" s="870"/>
      <c r="B116" s="1096"/>
      <c r="C116" s="1096"/>
      <c r="D116" s="1096"/>
      <c r="E116" s="461"/>
      <c r="F116" s="1096"/>
      <c r="G116" s="1096"/>
      <c r="H116" s="1096"/>
      <c r="I116" s="1092"/>
      <c r="J116" s="1096"/>
      <c r="K116" s="1096"/>
      <c r="L116" s="1096"/>
      <c r="M116" s="1096"/>
      <c r="N116" s="668"/>
      <c r="O116" s="1096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096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095"/>
      <c r="G117" s="1096"/>
      <c r="H117" s="1096"/>
      <c r="I117" s="432"/>
      <c r="J117" s="1096"/>
      <c r="K117" s="1095"/>
      <c r="L117" s="1096"/>
      <c r="M117" s="1095"/>
      <c r="N117" s="668"/>
      <c r="O117" s="1095"/>
      <c r="P117" s="682"/>
      <c r="Q117" s="774"/>
      <c r="R117" s="466">
        <f>R80+R90+R98</f>
        <v>406.40199999999987</v>
      </c>
      <c r="S117" s="466">
        <f>S80+S90+S98</f>
        <v>952.68200000000013</v>
      </c>
      <c r="T117" s="678">
        <f>T80+T90+T98</f>
        <v>10333.709000000001</v>
      </c>
      <c r="U117" s="466">
        <f>T117/R117</f>
        <v>25.427308428600263</v>
      </c>
      <c r="V117" s="466"/>
      <c r="W117" s="466"/>
      <c r="X117" s="466"/>
      <c r="Y117" s="466">
        <f>Y80+Y90+Y98</f>
        <v>400.75019500000002</v>
      </c>
      <c r="Z117" s="466">
        <f>Z80+Z98+Z90</f>
        <v>938.39177000000007</v>
      </c>
      <c r="AA117" s="678">
        <f>AA80+AA98+AA90</f>
        <v>28823.851104999998</v>
      </c>
      <c r="AB117" s="466">
        <f>AB80+AB98+AB90</f>
        <v>3573.9715599145088</v>
      </c>
      <c r="AC117" s="466"/>
      <c r="AD117" s="466"/>
      <c r="AE117" s="686">
        <f>AE80+AE90+AE98</f>
        <v>11951.185255000002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11353.625992250001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099"/>
      <c r="Y120" s="1099"/>
      <c r="Z120" s="1099"/>
      <c r="AA120" s="1099"/>
      <c r="AB120" s="1099"/>
      <c r="AC120" s="1099"/>
      <c r="AD120" s="1099"/>
      <c r="AE120" s="1099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264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099" t="s">
        <v>373</v>
      </c>
      <c r="AC121" s="1099"/>
      <c r="AD121" s="1099"/>
      <c r="AE121" s="1099"/>
      <c r="AF121" s="1099"/>
    </row>
    <row r="122" spans="1:32" x14ac:dyDescent="0.2">
      <c r="R122" s="1124"/>
    </row>
  </sheetData>
  <mergeCells count="33">
    <mergeCell ref="U13:U14"/>
    <mergeCell ref="AF13:AF14"/>
    <mergeCell ref="B117:E117"/>
    <mergeCell ref="K119:M119"/>
    <mergeCell ref="AB13:AB14"/>
    <mergeCell ref="AC13:AC14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F122"/>
  <sheetViews>
    <sheetView zoomScale="68" zoomScaleNormal="68" workbookViewId="0">
      <pane xSplit="3" topLeftCell="D1" activePane="topRight" state="frozen"/>
      <selection pane="topRight" activeCell="E19" sqref="E19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20" style="666" customWidth="1"/>
    <col min="4" max="4" width="8.85546875" style="666" customWidth="1"/>
    <col min="5" max="5" width="101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2.85546875" style="666" customWidth="1"/>
    <col min="22" max="22" width="8.5703125" style="666" customWidth="1"/>
    <col min="23" max="23" width="9.28515625" style="666" bestFit="1" customWidth="1"/>
    <col min="24" max="24" width="9.42578125" style="666" customWidth="1"/>
    <col min="25" max="25" width="9.5703125" style="666" customWidth="1"/>
    <col min="26" max="26" width="10.85546875" style="666" customWidth="1"/>
    <col min="27" max="27" width="9.28515625" style="666" customWidth="1"/>
    <col min="28" max="28" width="13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122"/>
      <c r="G2" s="1111"/>
      <c r="H2" s="1111"/>
      <c r="I2" s="1122"/>
      <c r="J2" s="1909" t="s">
        <v>550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122"/>
      <c r="Y2" s="1122"/>
      <c r="Z2" s="1122"/>
      <c r="AA2" s="1122"/>
      <c r="AB2" s="1122"/>
      <c r="AC2" s="1122"/>
      <c r="AD2" s="1122"/>
      <c r="AE2" s="1122"/>
      <c r="AF2" s="405"/>
    </row>
    <row r="3" spans="1:32" ht="18.75" x14ac:dyDescent="0.2">
      <c r="A3" s="1910" t="s">
        <v>54</v>
      </c>
      <c r="B3" s="1910"/>
      <c r="C3" s="1910"/>
      <c r="D3" s="1910"/>
      <c r="E3" s="1122"/>
      <c r="F3" s="1122"/>
      <c r="G3" s="1111"/>
      <c r="H3" s="1121"/>
      <c r="I3" s="1121"/>
      <c r="J3" s="1121"/>
      <c r="K3" s="1121"/>
      <c r="L3" s="1121"/>
      <c r="M3" s="1121"/>
      <c r="N3" s="1121"/>
      <c r="O3" s="1121"/>
      <c r="P3" s="1121"/>
      <c r="Q3" s="767"/>
      <c r="R3" s="1122"/>
      <c r="S3" s="1122"/>
      <c r="T3" s="1122"/>
      <c r="U3" s="1122"/>
      <c r="V3" s="1122"/>
      <c r="W3" s="1122"/>
      <c r="X3" s="1122"/>
      <c r="Y3" s="1122"/>
      <c r="Z3" s="1122"/>
      <c r="AA3" s="1122"/>
      <c r="AB3" s="1122"/>
      <c r="AC3" s="1122"/>
      <c r="AD3" s="1122"/>
      <c r="AE3" s="1122"/>
      <c r="AF3" s="408" t="s">
        <v>55</v>
      </c>
    </row>
    <row r="4" spans="1:32" ht="18.75" x14ac:dyDescent="0.2">
      <c r="A4" s="1112"/>
      <c r="B4" s="1112"/>
      <c r="C4" s="1112"/>
      <c r="D4" s="1112"/>
      <c r="E4" s="1122"/>
      <c r="F4" s="1122"/>
      <c r="G4" s="1111"/>
      <c r="H4" s="1121"/>
      <c r="I4" s="1121"/>
      <c r="J4" s="1121"/>
      <c r="K4" s="1121"/>
      <c r="L4" s="1121"/>
      <c r="M4" s="1121"/>
      <c r="N4" s="1121"/>
      <c r="O4" s="1121"/>
      <c r="P4" s="1121"/>
      <c r="Q4" s="767"/>
      <c r="R4" s="1122"/>
      <c r="S4" s="1122"/>
      <c r="T4" s="1122"/>
      <c r="U4" s="1122"/>
      <c r="V4" s="1122"/>
      <c r="W4" s="1122"/>
      <c r="X4" s="1122"/>
      <c r="Y4" s="1122"/>
      <c r="Z4" s="1122"/>
      <c r="AA4" s="1122"/>
      <c r="AB4" s="1122"/>
      <c r="AC4" s="1122"/>
      <c r="AD4" s="1122"/>
      <c r="AE4" s="1122"/>
      <c r="AF4" s="408"/>
    </row>
    <row r="5" spans="1:32" ht="18.75" x14ac:dyDescent="0.2">
      <c r="A5" s="1113" t="s">
        <v>494</v>
      </c>
      <c r="B5" s="1113"/>
      <c r="C5" s="1113"/>
      <c r="D5" s="1113"/>
      <c r="E5" s="1113"/>
      <c r="F5" s="1122"/>
      <c r="G5" s="1111"/>
      <c r="H5" s="1111"/>
      <c r="I5" s="1121"/>
      <c r="J5" s="1121"/>
      <c r="K5" s="1121"/>
      <c r="L5" s="1121"/>
      <c r="M5" s="1121"/>
      <c r="N5" s="1121"/>
      <c r="O5" s="1121"/>
      <c r="P5" s="1121"/>
      <c r="Q5" s="767"/>
      <c r="R5" s="1123"/>
      <c r="S5" s="1123"/>
      <c r="T5" s="1123"/>
      <c r="U5" s="1123"/>
      <c r="V5" s="1123"/>
      <c r="W5" s="1123"/>
      <c r="X5" s="1122"/>
      <c r="Y5" s="1122"/>
      <c r="Z5" s="1122"/>
      <c r="AA5" s="1122"/>
      <c r="AB5" s="1122"/>
      <c r="AC5" s="1122"/>
      <c r="AD5" s="1122"/>
      <c r="AE5" s="1122"/>
      <c r="AF5" s="411" t="s">
        <v>468</v>
      </c>
    </row>
    <row r="6" spans="1:32" ht="18.75" x14ac:dyDescent="0.2">
      <c r="A6" s="1113" t="s">
        <v>499</v>
      </c>
      <c r="B6" s="412"/>
      <c r="C6" s="412"/>
      <c r="D6" s="412"/>
      <c r="E6" s="1122"/>
      <c r="F6" s="1122"/>
      <c r="G6" s="1111"/>
      <c r="H6" s="1111"/>
      <c r="I6" s="1122"/>
      <c r="J6" s="1122"/>
      <c r="K6" s="1111"/>
      <c r="L6" s="1111"/>
      <c r="M6" s="1122"/>
      <c r="N6" s="1122"/>
      <c r="O6" s="1122"/>
      <c r="P6" s="413"/>
      <c r="Q6" s="768"/>
      <c r="R6" s="1122"/>
      <c r="S6" s="1122"/>
      <c r="T6" s="1122"/>
      <c r="U6" s="1122"/>
      <c r="V6" s="1122"/>
      <c r="W6" s="1122"/>
      <c r="X6" s="1122"/>
      <c r="Y6" s="1122"/>
      <c r="Z6" s="1122"/>
      <c r="AA6" s="1122"/>
      <c r="AB6" s="1122"/>
      <c r="AC6" s="1122"/>
      <c r="AD6" s="1122"/>
      <c r="AE6" s="1122"/>
      <c r="AF6" s="415" t="s">
        <v>511</v>
      </c>
    </row>
    <row r="7" spans="1:32" ht="18.75" x14ac:dyDescent="0.2">
      <c r="A7" s="1122"/>
      <c r="B7" s="1113"/>
      <c r="C7" s="1113"/>
      <c r="D7" s="1113"/>
      <c r="E7" s="1122"/>
      <c r="F7" s="1122"/>
      <c r="G7" s="1111"/>
      <c r="H7" s="1111"/>
      <c r="I7" s="405"/>
      <c r="J7" s="1122"/>
      <c r="K7" s="1111"/>
      <c r="L7" s="1111"/>
      <c r="M7" s="1122"/>
      <c r="N7" s="1122"/>
      <c r="O7" s="1122"/>
      <c r="P7" s="413"/>
      <c r="Q7" s="768"/>
      <c r="R7" s="1122"/>
      <c r="S7" s="1122"/>
      <c r="T7" s="1122"/>
      <c r="U7" s="1122"/>
      <c r="V7" s="1122"/>
      <c r="W7" s="411"/>
      <c r="X7" s="1122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122"/>
      <c r="G8" s="1111"/>
      <c r="H8" s="1111"/>
      <c r="I8" s="405"/>
      <c r="J8" s="1122"/>
      <c r="K8" s="1111"/>
      <c r="L8" s="1111"/>
      <c r="M8" s="1122"/>
      <c r="N8" s="1122"/>
      <c r="O8" s="1122"/>
      <c r="P8" s="413"/>
      <c r="Q8" s="768"/>
      <c r="R8" s="1122"/>
      <c r="S8" s="1122"/>
      <c r="T8" s="1122"/>
      <c r="U8" s="1122"/>
      <c r="V8" s="1122"/>
      <c r="W8" s="411"/>
      <c r="X8" s="1122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122"/>
      <c r="G9" s="1111"/>
      <c r="H9" s="1111"/>
      <c r="I9" s="405"/>
      <c r="J9" s="1122"/>
      <c r="K9" s="1111"/>
      <c r="L9" s="1111"/>
      <c r="M9" s="1122"/>
      <c r="N9" s="1122"/>
      <c r="O9" s="1122"/>
      <c r="P9" s="413"/>
      <c r="Q9" s="768"/>
      <c r="R9" s="1122"/>
      <c r="S9" s="1122"/>
      <c r="T9" s="1122"/>
      <c r="U9" s="1122"/>
      <c r="V9" s="1122"/>
      <c r="W9" s="411"/>
      <c r="X9" s="1122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122"/>
      <c r="G10" s="1111"/>
      <c r="H10" s="1111"/>
      <c r="I10" s="1122"/>
      <c r="J10" s="1122"/>
      <c r="K10" s="1111"/>
      <c r="L10" s="1111"/>
      <c r="M10" s="1111"/>
      <c r="N10" s="1111"/>
      <c r="O10" s="1111"/>
      <c r="P10" s="1111"/>
      <c r="Q10" s="769"/>
      <c r="R10" s="1111"/>
      <c r="S10" s="1111"/>
      <c r="T10" s="1111"/>
      <c r="U10" s="1111"/>
      <c r="V10" s="1111"/>
      <c r="W10" s="1122"/>
      <c r="X10" s="1122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111"/>
      <c r="C11" s="1111"/>
      <c r="D11" s="1111"/>
      <c r="E11" s="1122"/>
      <c r="F11" s="1122"/>
      <c r="G11" s="1111"/>
      <c r="H11" s="1111"/>
      <c r="I11" s="405"/>
      <c r="J11" s="1122"/>
      <c r="K11" s="1111"/>
      <c r="L11" s="1111"/>
      <c r="M11" s="1122"/>
      <c r="N11" s="1122"/>
      <c r="O11" s="1122"/>
      <c r="P11" s="413"/>
      <c r="Q11" s="768"/>
      <c r="R11" s="1122"/>
      <c r="S11" s="1122"/>
      <c r="T11" s="1122"/>
      <c r="U11" s="1122"/>
      <c r="V11" s="1122"/>
      <c r="W11" s="411"/>
      <c r="X11" s="1122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110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110" t="s">
        <v>18</v>
      </c>
      <c r="AE13" s="1110" t="s">
        <v>20</v>
      </c>
      <c r="AF13" s="1891" t="s">
        <v>21</v>
      </c>
    </row>
    <row r="14" spans="1:32" ht="37.5" x14ac:dyDescent="0.2">
      <c r="A14" s="1891"/>
      <c r="B14" s="1891"/>
      <c r="C14" s="1903"/>
      <c r="D14" s="1115" t="s">
        <v>3</v>
      </c>
      <c r="E14" s="1115" t="s">
        <v>3</v>
      </c>
      <c r="F14" s="1115" t="s">
        <v>4</v>
      </c>
      <c r="G14" s="1903"/>
      <c r="H14" s="1903"/>
      <c r="I14" s="1891"/>
      <c r="J14" s="1115" t="s">
        <v>7</v>
      </c>
      <c r="K14" s="1115" t="s">
        <v>30</v>
      </c>
      <c r="L14" s="1115" t="s">
        <v>29</v>
      </c>
      <c r="M14" s="1115" t="s">
        <v>31</v>
      </c>
      <c r="N14" s="1115" t="s">
        <v>32</v>
      </c>
      <c r="O14" s="1115" t="s">
        <v>12</v>
      </c>
      <c r="P14" s="448" t="s">
        <v>13</v>
      </c>
      <c r="Q14" s="771" t="s">
        <v>26</v>
      </c>
      <c r="R14" s="1115" t="s">
        <v>14</v>
      </c>
      <c r="S14" s="1115" t="s">
        <v>25</v>
      </c>
      <c r="T14" s="1115" t="s">
        <v>113</v>
      </c>
      <c r="U14" s="1903"/>
      <c r="V14" s="1903"/>
      <c r="W14" s="1903"/>
      <c r="X14" s="1903"/>
      <c r="Y14" s="1115" t="s">
        <v>14</v>
      </c>
      <c r="Z14" s="1115" t="s">
        <v>25</v>
      </c>
      <c r="AA14" s="1115" t="s">
        <v>113</v>
      </c>
      <c r="AB14" s="1903"/>
      <c r="AC14" s="1903"/>
      <c r="AD14" s="1115" t="s">
        <v>19</v>
      </c>
      <c r="AE14" s="1115" t="s">
        <v>27</v>
      </c>
      <c r="AF14" s="1891"/>
    </row>
    <row r="15" spans="1:32" ht="18.75" customHeight="1" x14ac:dyDescent="0.2">
      <c r="A15" s="1119">
        <v>1</v>
      </c>
      <c r="B15" s="461" t="s">
        <v>139</v>
      </c>
      <c r="C15" s="1119" t="s">
        <v>46</v>
      </c>
      <c r="D15" s="1119">
        <v>610.5</v>
      </c>
      <c r="E15" s="1119" t="s">
        <v>203</v>
      </c>
      <c r="F15" s="1119">
        <v>177.8</v>
      </c>
      <c r="G15" s="1119" t="s">
        <v>28</v>
      </c>
      <c r="H15" s="452" t="s">
        <v>363</v>
      </c>
      <c r="I15" s="1115">
        <v>558.54</v>
      </c>
      <c r="J15" s="1074">
        <v>285</v>
      </c>
      <c r="K15" s="1119"/>
      <c r="L15" s="1130">
        <v>498</v>
      </c>
      <c r="M15" s="1130"/>
      <c r="N15" s="668">
        <v>0</v>
      </c>
      <c r="O15" s="1119"/>
      <c r="P15" s="668">
        <v>14.566664454260767</v>
      </c>
      <c r="Q15" s="668">
        <f>J15*7/100</f>
        <v>19.95</v>
      </c>
      <c r="R15" s="432">
        <v>2.2639999999999998</v>
      </c>
      <c r="S15" s="432">
        <v>8.109</v>
      </c>
      <c r="T15" s="670">
        <v>5</v>
      </c>
      <c r="U15" s="668">
        <f t="shared" ref="U15:U34" si="0">IF(R15=0,0,T15/R15)</f>
        <v>2.2084805653710249</v>
      </c>
      <c r="V15" s="668">
        <f>100-((R15/S15)*100)</f>
        <v>72.080404488839562</v>
      </c>
      <c r="W15" s="668">
        <v>0.2</v>
      </c>
      <c r="X15" s="432">
        <f>IF(S15=0,0,S15/Q15)</f>
        <v>0.40646616541353386</v>
      </c>
      <c r="Y15" s="432">
        <f>R15*0.985</f>
        <v>2.2300399999999998</v>
      </c>
      <c r="Z15" s="432">
        <f t="shared" ref="Z15:AA80" si="1">S15*0.985</f>
        <v>7.9873649999999996</v>
      </c>
      <c r="AA15" s="670">
        <f t="shared" si="1"/>
        <v>4.9249999999999998</v>
      </c>
      <c r="AB15" s="432">
        <f>U15</f>
        <v>2.2084805653710249</v>
      </c>
      <c r="AC15" s="670">
        <f t="shared" ref="AC15:AC80" si="2">V15</f>
        <v>72.080404488839562</v>
      </c>
      <c r="AD15" s="1119">
        <v>31</v>
      </c>
      <c r="AE15" s="432">
        <f>Y15*AD15</f>
        <v>69.131239999999991</v>
      </c>
      <c r="AF15" s="669"/>
    </row>
    <row r="16" spans="1:32" ht="18.75" customHeight="1" x14ac:dyDescent="0.2">
      <c r="A16" s="1127">
        <v>2</v>
      </c>
      <c r="B16" s="461" t="s">
        <v>140</v>
      </c>
      <c r="C16" s="1119" t="s">
        <v>46</v>
      </c>
      <c r="D16" s="1119">
        <v>623.5</v>
      </c>
      <c r="E16" s="1119" t="s">
        <v>480</v>
      </c>
      <c r="F16" s="1119">
        <v>177.8</v>
      </c>
      <c r="G16" s="1119" t="s">
        <v>28</v>
      </c>
      <c r="H16" s="1119" t="s">
        <v>50</v>
      </c>
      <c r="I16" s="1115">
        <v>586.46999999999991</v>
      </c>
      <c r="J16" s="1119">
        <v>250</v>
      </c>
      <c r="K16" s="1119"/>
      <c r="L16" s="1130">
        <v>311</v>
      </c>
      <c r="M16" s="1130"/>
      <c r="N16" s="668">
        <v>6.7</v>
      </c>
      <c r="O16" s="1119"/>
      <c r="P16" s="668">
        <v>31.15199679138869</v>
      </c>
      <c r="Q16" s="668">
        <f t="shared" ref="Q16:Q35" si="3">LEFT(H16,(FIND("K",H16,1)-1))*J16/100</f>
        <v>15</v>
      </c>
      <c r="R16" s="432">
        <v>3.165</v>
      </c>
      <c r="S16" s="432">
        <v>4.6340000000000003</v>
      </c>
      <c r="T16" s="670">
        <v>0</v>
      </c>
      <c r="U16" s="668">
        <f t="shared" si="0"/>
        <v>0</v>
      </c>
      <c r="V16" s="668">
        <f t="shared" ref="V16:V78" si="4">100-((R16/S16)*100)</f>
        <v>31.700474751834278</v>
      </c>
      <c r="W16" s="668">
        <v>0.3</v>
      </c>
      <c r="X16" s="432">
        <f>IF(S16=0,0,S16/Q16)</f>
        <v>0.30893333333333334</v>
      </c>
      <c r="Y16" s="432">
        <f t="shared" ref="Y16:Y80" si="5">R16*0.985</f>
        <v>3.1175250000000001</v>
      </c>
      <c r="Z16" s="432">
        <f t="shared" si="1"/>
        <v>4.5644900000000002</v>
      </c>
      <c r="AA16" s="670">
        <f t="shared" si="1"/>
        <v>0</v>
      </c>
      <c r="AB16" s="432">
        <f t="shared" ref="AB16:AC80" si="6">U16</f>
        <v>0</v>
      </c>
      <c r="AC16" s="670">
        <f t="shared" si="2"/>
        <v>31.700474751834278</v>
      </c>
      <c r="AD16" s="1119">
        <v>31</v>
      </c>
      <c r="AE16" s="432">
        <f t="shared" ref="AE16:AE58" si="7">Y16*AD16</f>
        <v>96.643275000000003</v>
      </c>
      <c r="AF16" s="669"/>
    </row>
    <row r="17" spans="1:32" ht="18.75" customHeight="1" x14ac:dyDescent="0.2">
      <c r="A17" s="1127">
        <v>3</v>
      </c>
      <c r="B17" s="461" t="s">
        <v>141</v>
      </c>
      <c r="C17" s="1119" t="s">
        <v>46</v>
      </c>
      <c r="D17" s="1119">
        <v>670</v>
      </c>
      <c r="E17" s="1119" t="s">
        <v>68</v>
      </c>
      <c r="F17" s="1119">
        <v>177.8</v>
      </c>
      <c r="G17" s="1119" t="s">
        <v>28</v>
      </c>
      <c r="H17" s="1119" t="s">
        <v>551</v>
      </c>
      <c r="I17" s="1126">
        <v>565.27</v>
      </c>
      <c r="J17" s="1119">
        <v>330</v>
      </c>
      <c r="K17" s="1119"/>
      <c r="L17" s="1130">
        <v>497</v>
      </c>
      <c r="M17" s="1130"/>
      <c r="N17" s="668">
        <v>9.3000000000000007</v>
      </c>
      <c r="O17" s="1119"/>
      <c r="P17" s="668">
        <v>14.232444177047096</v>
      </c>
      <c r="Q17" s="668">
        <f>22*(J17/100)</f>
        <v>72.599999999999994</v>
      </c>
      <c r="R17" s="432">
        <v>7.2539999999999996</v>
      </c>
      <c r="S17" s="432">
        <v>11.89</v>
      </c>
      <c r="T17" s="670">
        <v>1187</v>
      </c>
      <c r="U17" s="668">
        <f t="shared" si="0"/>
        <v>163.6338571822443</v>
      </c>
      <c r="V17" s="668">
        <f t="shared" si="4"/>
        <v>38.990748528174947</v>
      </c>
      <c r="W17" s="668">
        <v>0.2</v>
      </c>
      <c r="X17" s="432">
        <f t="shared" ref="X17:X80" si="8">IF(S17=0,0,S17/Q17)</f>
        <v>0.16377410468319561</v>
      </c>
      <c r="Y17" s="432">
        <f t="shared" si="5"/>
        <v>7.1451899999999995</v>
      </c>
      <c r="Z17" s="432">
        <f t="shared" si="1"/>
        <v>11.711650000000001</v>
      </c>
      <c r="AA17" s="670">
        <f t="shared" si="1"/>
        <v>1169.1949999999999</v>
      </c>
      <c r="AB17" s="432">
        <f t="shared" si="6"/>
        <v>163.6338571822443</v>
      </c>
      <c r="AC17" s="670">
        <f t="shared" si="2"/>
        <v>38.990748528174947</v>
      </c>
      <c r="AD17" s="1119">
        <v>31</v>
      </c>
      <c r="AE17" s="432">
        <f>Y17*AD17</f>
        <v>221.50088999999997</v>
      </c>
      <c r="AF17" s="669"/>
    </row>
    <row r="18" spans="1:32" ht="18.75" customHeight="1" x14ac:dyDescent="0.2">
      <c r="A18" s="1127">
        <v>4</v>
      </c>
      <c r="B18" s="461" t="s">
        <v>142</v>
      </c>
      <c r="C18" s="1119" t="s">
        <v>46</v>
      </c>
      <c r="D18" s="1119">
        <v>628</v>
      </c>
      <c r="E18" s="1119" t="s">
        <v>481</v>
      </c>
      <c r="F18" s="1119">
        <v>177.8</v>
      </c>
      <c r="G18" s="1119" t="s">
        <v>28</v>
      </c>
      <c r="H18" s="831" t="s">
        <v>466</v>
      </c>
      <c r="I18" s="1115">
        <v>541.28</v>
      </c>
      <c r="J18" s="1119">
        <v>336</v>
      </c>
      <c r="K18" s="1119"/>
      <c r="L18" s="1130">
        <v>434</v>
      </c>
      <c r="M18" s="1130"/>
      <c r="N18" s="668">
        <v>1.6</v>
      </c>
      <c r="O18" s="1119"/>
      <c r="P18" s="668">
        <v>14.350509724787846</v>
      </c>
      <c r="Q18" s="668">
        <f>13*J18/100</f>
        <v>43.68</v>
      </c>
      <c r="R18" s="432">
        <v>3.4279999999999999</v>
      </c>
      <c r="S18" s="432">
        <v>6.5640000000000001</v>
      </c>
      <c r="T18" s="670">
        <v>54</v>
      </c>
      <c r="U18" s="668">
        <f t="shared" si="0"/>
        <v>15.752625437572929</v>
      </c>
      <c r="V18" s="668">
        <f t="shared" si="4"/>
        <v>47.775746496039005</v>
      </c>
      <c r="W18" s="668">
        <v>0.2</v>
      </c>
      <c r="X18" s="432">
        <f t="shared" si="8"/>
        <v>0.15027472527472527</v>
      </c>
      <c r="Y18" s="432">
        <f t="shared" si="5"/>
        <v>3.3765799999999997</v>
      </c>
      <c r="Z18" s="432">
        <f t="shared" si="1"/>
        <v>6.4655399999999998</v>
      </c>
      <c r="AA18" s="670">
        <f t="shared" si="1"/>
        <v>53.19</v>
      </c>
      <c r="AB18" s="432">
        <f t="shared" si="6"/>
        <v>15.752625437572929</v>
      </c>
      <c r="AC18" s="670">
        <f t="shared" si="2"/>
        <v>47.775746496039005</v>
      </c>
      <c r="AD18" s="1119">
        <v>31</v>
      </c>
      <c r="AE18" s="432">
        <f t="shared" si="7"/>
        <v>104.67397999999999</v>
      </c>
      <c r="AF18" s="669"/>
    </row>
    <row r="19" spans="1:32" ht="18.75" customHeight="1" x14ac:dyDescent="0.2">
      <c r="A19" s="1127">
        <v>5</v>
      </c>
      <c r="B19" s="461" t="s">
        <v>143</v>
      </c>
      <c r="C19" s="1119" t="s">
        <v>46</v>
      </c>
      <c r="D19" s="1119">
        <v>576.6</v>
      </c>
      <c r="E19" s="1119" t="s">
        <v>70</v>
      </c>
      <c r="F19" s="1119">
        <v>177.8</v>
      </c>
      <c r="G19" s="1119" t="s">
        <v>28</v>
      </c>
      <c r="H19" s="550" t="s">
        <v>53</v>
      </c>
      <c r="I19" s="1115">
        <v>546.04999999999995</v>
      </c>
      <c r="J19" s="1119">
        <v>305</v>
      </c>
      <c r="K19" s="1119"/>
      <c r="L19" s="1130">
        <v>409</v>
      </c>
      <c r="M19" s="1130"/>
      <c r="N19" s="668">
        <v>1.3</v>
      </c>
      <c r="O19" s="1119"/>
      <c r="P19" s="668">
        <v>15.925007703311813</v>
      </c>
      <c r="Q19" s="668">
        <f t="shared" si="3"/>
        <v>39.65</v>
      </c>
      <c r="R19" s="432">
        <v>5.883</v>
      </c>
      <c r="S19" s="432">
        <v>6.6589999999999998</v>
      </c>
      <c r="T19" s="670">
        <v>25</v>
      </c>
      <c r="U19" s="668">
        <f t="shared" si="0"/>
        <v>4.2495325514193443</v>
      </c>
      <c r="V19" s="668">
        <f t="shared" si="4"/>
        <v>11.653401411623364</v>
      </c>
      <c r="W19" s="668">
        <v>0.2</v>
      </c>
      <c r="X19" s="432">
        <f t="shared" si="8"/>
        <v>0.16794451450189155</v>
      </c>
      <c r="Y19" s="432">
        <f t="shared" si="5"/>
        <v>5.7947550000000003</v>
      </c>
      <c r="Z19" s="432">
        <f t="shared" si="1"/>
        <v>6.5591149999999994</v>
      </c>
      <c r="AA19" s="670">
        <f t="shared" si="1"/>
        <v>24.625</v>
      </c>
      <c r="AB19" s="432">
        <f t="shared" si="6"/>
        <v>4.2495325514193443</v>
      </c>
      <c r="AC19" s="670">
        <f t="shared" si="2"/>
        <v>11.653401411623364</v>
      </c>
      <c r="AD19" s="1119">
        <v>31</v>
      </c>
      <c r="AE19" s="432">
        <f t="shared" si="7"/>
        <v>179.637405</v>
      </c>
      <c r="AF19" s="669"/>
    </row>
    <row r="20" spans="1:32" ht="18.75" customHeight="1" x14ac:dyDescent="0.2">
      <c r="A20" s="1127">
        <v>6</v>
      </c>
      <c r="B20" s="461" t="s">
        <v>144</v>
      </c>
      <c r="C20" s="1119" t="s">
        <v>46</v>
      </c>
      <c r="D20" s="1119">
        <v>676.6</v>
      </c>
      <c r="E20" s="1119" t="s">
        <v>460</v>
      </c>
      <c r="F20" s="1119">
        <v>177.8</v>
      </c>
      <c r="G20" s="1119" t="s">
        <v>28</v>
      </c>
      <c r="H20" s="1119" t="s">
        <v>461</v>
      </c>
      <c r="I20" s="1115">
        <v>567.16</v>
      </c>
      <c r="J20" s="1119">
        <v>300</v>
      </c>
      <c r="K20" s="1119"/>
      <c r="L20" s="1130">
        <v>493</v>
      </c>
      <c r="M20" s="1130"/>
      <c r="N20" s="668">
        <v>0</v>
      </c>
      <c r="O20" s="1119"/>
      <c r="P20" s="668">
        <v>16.481527768443414</v>
      </c>
      <c r="Q20" s="668">
        <f>J20*22/100</f>
        <v>66</v>
      </c>
      <c r="R20" s="432">
        <v>3.3940000000000001</v>
      </c>
      <c r="S20" s="432">
        <v>4.2679999999999998</v>
      </c>
      <c r="T20" s="670">
        <v>0</v>
      </c>
      <c r="U20" s="668">
        <f t="shared" si="0"/>
        <v>0</v>
      </c>
      <c r="V20" s="668">
        <f t="shared" si="4"/>
        <v>20.4779756326148</v>
      </c>
      <c r="W20" s="668">
        <v>0.2</v>
      </c>
      <c r="X20" s="432">
        <f t="shared" si="8"/>
        <v>6.4666666666666664E-2</v>
      </c>
      <c r="Y20" s="432">
        <f t="shared" si="5"/>
        <v>3.3430900000000001</v>
      </c>
      <c r="Z20" s="432">
        <f t="shared" si="1"/>
        <v>4.2039799999999996</v>
      </c>
      <c r="AA20" s="670">
        <f t="shared" si="1"/>
        <v>0</v>
      </c>
      <c r="AB20" s="432">
        <v>14.613</v>
      </c>
      <c r="AC20" s="670">
        <f t="shared" si="2"/>
        <v>20.4779756326148</v>
      </c>
      <c r="AD20" s="1119">
        <v>31</v>
      </c>
      <c r="AE20" s="432">
        <f t="shared" si="7"/>
        <v>103.63579</v>
      </c>
      <c r="AF20" s="669"/>
    </row>
    <row r="21" spans="1:32" ht="18.75" customHeight="1" x14ac:dyDescent="0.2">
      <c r="A21" s="1127">
        <v>7</v>
      </c>
      <c r="B21" s="461" t="s">
        <v>145</v>
      </c>
      <c r="C21" s="1119" t="s">
        <v>46</v>
      </c>
      <c r="D21" s="1119" t="s">
        <v>47</v>
      </c>
      <c r="E21" s="1119" t="s">
        <v>72</v>
      </c>
      <c r="F21" s="1119">
        <v>177.8</v>
      </c>
      <c r="G21" s="1119" t="s">
        <v>28</v>
      </c>
      <c r="H21" s="1119" t="s">
        <v>487</v>
      </c>
      <c r="I21" s="1115">
        <v>557.61</v>
      </c>
      <c r="J21" s="1119">
        <v>330</v>
      </c>
      <c r="K21" s="1119"/>
      <c r="L21" s="1130">
        <v>438</v>
      </c>
      <c r="M21" s="1130"/>
      <c r="N21" s="668">
        <v>3.7</v>
      </c>
      <c r="O21" s="1119"/>
      <c r="P21" s="668">
        <v>18.669403963801376</v>
      </c>
      <c r="Q21" s="668">
        <f t="shared" si="3"/>
        <v>49.5</v>
      </c>
      <c r="R21" s="432">
        <v>12.042</v>
      </c>
      <c r="S21" s="432">
        <v>15.454000000000001</v>
      </c>
      <c r="T21" s="670">
        <v>107</v>
      </c>
      <c r="U21" s="668">
        <f t="shared" si="0"/>
        <v>8.8855671815313073</v>
      </c>
      <c r="V21" s="668">
        <f t="shared" si="4"/>
        <v>22.078426297398735</v>
      </c>
      <c r="W21" s="668">
        <v>0.2</v>
      </c>
      <c r="X21" s="432">
        <f t="shared" si="8"/>
        <v>0.3122020202020202</v>
      </c>
      <c r="Y21" s="432">
        <f t="shared" si="5"/>
        <v>11.861369999999999</v>
      </c>
      <c r="Z21" s="432">
        <f t="shared" si="1"/>
        <v>15.222190000000001</v>
      </c>
      <c r="AA21" s="670">
        <f t="shared" si="1"/>
        <v>105.395</v>
      </c>
      <c r="AB21" s="432">
        <f t="shared" si="6"/>
        <v>8.8855671815313073</v>
      </c>
      <c r="AC21" s="670">
        <f t="shared" si="2"/>
        <v>22.078426297398735</v>
      </c>
      <c r="AD21" s="1119">
        <v>31</v>
      </c>
      <c r="AE21" s="432">
        <f t="shared" si="7"/>
        <v>367.70246999999995</v>
      </c>
      <c r="AF21" s="669"/>
    </row>
    <row r="22" spans="1:32" ht="18.75" customHeight="1" x14ac:dyDescent="0.2">
      <c r="A22" s="1127">
        <v>8</v>
      </c>
      <c r="B22" s="461" t="s">
        <v>146</v>
      </c>
      <c r="C22" s="1119" t="s">
        <v>46</v>
      </c>
      <c r="D22" s="1119">
        <v>634.20000000000005</v>
      </c>
      <c r="E22" s="436" t="s">
        <v>73</v>
      </c>
      <c r="F22" s="1119">
        <v>177.8</v>
      </c>
      <c r="G22" s="1119" t="s">
        <v>28</v>
      </c>
      <c r="H22" s="1119" t="s">
        <v>52</v>
      </c>
      <c r="I22" s="437">
        <v>551.17000000000019</v>
      </c>
      <c r="J22" s="1119">
        <v>350</v>
      </c>
      <c r="K22" s="1118"/>
      <c r="L22" s="1130">
        <v>295</v>
      </c>
      <c r="M22" s="1129"/>
      <c r="N22" s="668">
        <v>8.1</v>
      </c>
      <c r="O22" s="1118"/>
      <c r="P22" s="668">
        <v>19.259881327135318</v>
      </c>
      <c r="Q22" s="668">
        <f t="shared" si="3"/>
        <v>77</v>
      </c>
      <c r="R22" s="432">
        <v>2.0270000000000001</v>
      </c>
      <c r="S22" s="432">
        <v>6.9279999999999999</v>
      </c>
      <c r="T22" s="670">
        <v>0</v>
      </c>
      <c r="U22" s="668">
        <f t="shared" si="0"/>
        <v>0</v>
      </c>
      <c r="V22" s="668">
        <f t="shared" si="4"/>
        <v>70.741916859122398</v>
      </c>
      <c r="W22" s="668">
        <v>0.3</v>
      </c>
      <c r="X22" s="432">
        <f t="shared" si="8"/>
        <v>8.997402597402597E-2</v>
      </c>
      <c r="Y22" s="432">
        <f t="shared" si="5"/>
        <v>1.9965950000000001</v>
      </c>
      <c r="Z22" s="432">
        <f t="shared" si="1"/>
        <v>6.8240799999999995</v>
      </c>
      <c r="AA22" s="670">
        <f t="shared" si="1"/>
        <v>0</v>
      </c>
      <c r="AB22" s="432">
        <f t="shared" si="6"/>
        <v>0</v>
      </c>
      <c r="AC22" s="670">
        <f t="shared" si="2"/>
        <v>70.741916859122398</v>
      </c>
      <c r="AD22" s="1119">
        <v>31</v>
      </c>
      <c r="AE22" s="432">
        <f t="shared" si="7"/>
        <v>61.894445000000005</v>
      </c>
      <c r="AF22" s="669"/>
    </row>
    <row r="23" spans="1:32" ht="18.75" customHeight="1" x14ac:dyDescent="0.2">
      <c r="A23" s="1127">
        <v>9</v>
      </c>
      <c r="B23" s="461" t="s">
        <v>147</v>
      </c>
      <c r="C23" s="1119" t="s">
        <v>46</v>
      </c>
      <c r="D23" s="1119">
        <v>650.1</v>
      </c>
      <c r="E23" s="1119" t="s">
        <v>74</v>
      </c>
      <c r="F23" s="1119">
        <v>177.8</v>
      </c>
      <c r="G23" s="1119" t="s">
        <v>28</v>
      </c>
      <c r="H23" s="1119" t="s">
        <v>52</v>
      </c>
      <c r="I23" s="1115">
        <v>591.98</v>
      </c>
      <c r="J23" s="1119">
        <v>290</v>
      </c>
      <c r="K23" s="1119"/>
      <c r="L23" s="1130">
        <v>455</v>
      </c>
      <c r="M23" s="1130"/>
      <c r="N23" s="668">
        <v>0.2</v>
      </c>
      <c r="O23" s="1119"/>
      <c r="P23" s="668">
        <v>11.90982303482096</v>
      </c>
      <c r="Q23" s="668">
        <f t="shared" si="3"/>
        <v>63.8</v>
      </c>
      <c r="R23" s="432">
        <v>5.5359999999999996</v>
      </c>
      <c r="S23" s="432">
        <v>12.329999999999998</v>
      </c>
      <c r="T23" s="670">
        <v>6</v>
      </c>
      <c r="U23" s="668">
        <f t="shared" si="0"/>
        <v>1.0838150289017341</v>
      </c>
      <c r="V23" s="668">
        <f t="shared" si="4"/>
        <v>55.101378751013783</v>
      </c>
      <c r="W23" s="668">
        <v>0.2</v>
      </c>
      <c r="X23" s="432">
        <f t="shared" si="8"/>
        <v>0.19326018808777429</v>
      </c>
      <c r="Y23" s="432">
        <f t="shared" si="5"/>
        <v>5.4529599999999991</v>
      </c>
      <c r="Z23" s="432">
        <f t="shared" si="1"/>
        <v>12.145049999999998</v>
      </c>
      <c r="AA23" s="670">
        <f t="shared" si="1"/>
        <v>5.91</v>
      </c>
      <c r="AB23" s="432">
        <f t="shared" si="6"/>
        <v>1.0838150289017341</v>
      </c>
      <c r="AC23" s="670">
        <f t="shared" si="2"/>
        <v>55.101378751013783</v>
      </c>
      <c r="AD23" s="1119">
        <v>31</v>
      </c>
      <c r="AE23" s="432">
        <f t="shared" si="7"/>
        <v>169.04175999999998</v>
      </c>
      <c r="AF23" s="669"/>
    </row>
    <row r="24" spans="1:32" ht="18.75" customHeight="1" x14ac:dyDescent="0.2">
      <c r="A24" s="1127">
        <v>10</v>
      </c>
      <c r="B24" s="461" t="s">
        <v>148</v>
      </c>
      <c r="C24" s="1119" t="s">
        <v>46</v>
      </c>
      <c r="D24" s="1119">
        <v>640.20000000000005</v>
      </c>
      <c r="E24" s="1119" t="s">
        <v>398</v>
      </c>
      <c r="F24" s="1119">
        <v>177.8</v>
      </c>
      <c r="G24" s="1119" t="s">
        <v>28</v>
      </c>
      <c r="H24" s="831" t="s">
        <v>466</v>
      </c>
      <c r="I24" s="1115">
        <v>565.38</v>
      </c>
      <c r="J24" s="1074">
        <v>170</v>
      </c>
      <c r="K24" s="1119"/>
      <c r="L24" s="1130">
        <v>329</v>
      </c>
      <c r="M24" s="1130"/>
      <c r="N24" s="668">
        <v>1.3</v>
      </c>
      <c r="O24" s="1119"/>
      <c r="P24" s="668">
        <v>9.8843530738427265</v>
      </c>
      <c r="Q24" s="668">
        <f>J24*13/100</f>
        <v>22.1</v>
      </c>
      <c r="R24" s="432">
        <v>1.18</v>
      </c>
      <c r="S24" s="432">
        <v>1.6479999999999999</v>
      </c>
      <c r="T24" s="670">
        <v>0</v>
      </c>
      <c r="U24" s="668">
        <f t="shared" si="0"/>
        <v>0</v>
      </c>
      <c r="V24" s="668">
        <f t="shared" si="4"/>
        <v>28.398058252427177</v>
      </c>
      <c r="W24" s="668">
        <v>0.2</v>
      </c>
      <c r="X24" s="432">
        <f t="shared" si="8"/>
        <v>7.4570135746606328E-2</v>
      </c>
      <c r="Y24" s="432">
        <f t="shared" si="5"/>
        <v>1.1622999999999999</v>
      </c>
      <c r="Z24" s="432">
        <f t="shared" si="1"/>
        <v>1.6232799999999998</v>
      </c>
      <c r="AA24" s="670">
        <f t="shared" si="1"/>
        <v>0</v>
      </c>
      <c r="AB24" s="432">
        <f t="shared" si="6"/>
        <v>0</v>
      </c>
      <c r="AC24" s="670">
        <f t="shared" si="2"/>
        <v>28.398058252427177</v>
      </c>
      <c r="AD24" s="1119">
        <v>31</v>
      </c>
      <c r="AE24" s="432">
        <f t="shared" si="7"/>
        <v>36.031299999999995</v>
      </c>
      <c r="AF24" s="669"/>
    </row>
    <row r="25" spans="1:32" ht="18.75" customHeight="1" x14ac:dyDescent="0.2">
      <c r="A25" s="1127">
        <v>11</v>
      </c>
      <c r="B25" s="461" t="s">
        <v>149</v>
      </c>
      <c r="C25" s="1119" t="s">
        <v>46</v>
      </c>
      <c r="D25" s="1119">
        <v>606.29999999999995</v>
      </c>
      <c r="E25" s="1119" t="s">
        <v>76</v>
      </c>
      <c r="F25" s="1119">
        <v>177.8</v>
      </c>
      <c r="G25" s="1119" t="s">
        <v>28</v>
      </c>
      <c r="H25" s="1119" t="s">
        <v>466</v>
      </c>
      <c r="I25" s="1115">
        <v>593.61999999999989</v>
      </c>
      <c r="J25" s="1119">
        <v>190</v>
      </c>
      <c r="K25" s="1119"/>
      <c r="L25" s="1130">
        <v>436</v>
      </c>
      <c r="M25" s="1130"/>
      <c r="N25" s="668">
        <v>1</v>
      </c>
      <c r="O25" s="1119"/>
      <c r="P25" s="668">
        <v>12.838143123124361</v>
      </c>
      <c r="Q25" s="668">
        <f>(13/100)*J25</f>
        <v>24.7</v>
      </c>
      <c r="R25" s="432">
        <v>2.3559999999999999</v>
      </c>
      <c r="S25" s="432">
        <v>5.83</v>
      </c>
      <c r="T25" s="670">
        <v>11</v>
      </c>
      <c r="U25" s="668">
        <f t="shared" si="0"/>
        <v>4.6689303904923598</v>
      </c>
      <c r="V25" s="668">
        <f t="shared" si="4"/>
        <v>59.588336192109779</v>
      </c>
      <c r="W25" s="668">
        <v>0.3</v>
      </c>
      <c r="X25" s="432">
        <f t="shared" si="8"/>
        <v>0.23603238866396761</v>
      </c>
      <c r="Y25" s="432">
        <f t="shared" si="5"/>
        <v>2.3206599999999997</v>
      </c>
      <c r="Z25" s="432">
        <f t="shared" si="1"/>
        <v>5.7425499999999996</v>
      </c>
      <c r="AA25" s="670">
        <f t="shared" si="1"/>
        <v>10.834999999999999</v>
      </c>
      <c r="AB25" s="432">
        <f t="shared" si="6"/>
        <v>4.6689303904923598</v>
      </c>
      <c r="AC25" s="670">
        <f t="shared" si="2"/>
        <v>59.588336192109779</v>
      </c>
      <c r="AD25" s="1119">
        <v>31</v>
      </c>
      <c r="AE25" s="432">
        <f t="shared" si="7"/>
        <v>71.940459999999987</v>
      </c>
      <c r="AF25" s="449"/>
    </row>
    <row r="26" spans="1:32" ht="18.75" customHeight="1" x14ac:dyDescent="0.2">
      <c r="A26" s="1127">
        <v>12</v>
      </c>
      <c r="B26" s="461" t="s">
        <v>150</v>
      </c>
      <c r="C26" s="1119" t="s">
        <v>46</v>
      </c>
      <c r="D26" s="1119">
        <v>661</v>
      </c>
      <c r="E26" s="679" t="s">
        <v>433</v>
      </c>
      <c r="F26" s="1119">
        <v>177.8</v>
      </c>
      <c r="G26" s="1119" t="s">
        <v>28</v>
      </c>
      <c r="H26" s="1119" t="s">
        <v>53</v>
      </c>
      <c r="I26" s="1115">
        <v>555.72</v>
      </c>
      <c r="J26" s="1119"/>
      <c r="K26" s="1119"/>
      <c r="L26" s="1130"/>
      <c r="M26" s="1130"/>
      <c r="N26" s="668"/>
      <c r="O26" s="1119"/>
      <c r="P26" s="668">
        <v>43.685850175429259</v>
      </c>
      <c r="Q26" s="668">
        <f t="shared" si="3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/>
      <c r="W26" s="668">
        <v>0.2</v>
      </c>
      <c r="X26" s="432">
        <f t="shared" si="8"/>
        <v>0</v>
      </c>
      <c r="Y26" s="432">
        <f t="shared" si="5"/>
        <v>0</v>
      </c>
      <c r="Z26" s="432">
        <f t="shared" si="1"/>
        <v>0</v>
      </c>
      <c r="AA26" s="670">
        <f t="shared" si="1"/>
        <v>0</v>
      </c>
      <c r="AB26" s="432">
        <f t="shared" si="6"/>
        <v>0</v>
      </c>
      <c r="AC26" s="670">
        <f t="shared" si="2"/>
        <v>0</v>
      </c>
      <c r="AD26" s="1119">
        <v>0</v>
      </c>
      <c r="AE26" s="432">
        <f t="shared" si="7"/>
        <v>0</v>
      </c>
      <c r="AF26" s="449" t="s">
        <v>335</v>
      </c>
    </row>
    <row r="27" spans="1:32" ht="18.75" customHeight="1" x14ac:dyDescent="0.2">
      <c r="A27" s="1127">
        <v>13</v>
      </c>
      <c r="B27" s="461" t="s">
        <v>151</v>
      </c>
      <c r="C27" s="1119" t="s">
        <v>46</v>
      </c>
      <c r="D27" s="1119">
        <v>658.32</v>
      </c>
      <c r="E27" s="1115" t="s">
        <v>298</v>
      </c>
      <c r="F27" s="1119">
        <v>177.8</v>
      </c>
      <c r="G27" s="1119" t="s">
        <v>28</v>
      </c>
      <c r="H27" s="1119" t="s">
        <v>52</v>
      </c>
      <c r="I27" s="1115">
        <v>552.47</v>
      </c>
      <c r="J27" s="1074">
        <v>320</v>
      </c>
      <c r="K27" s="1119"/>
      <c r="L27" s="1130">
        <v>353</v>
      </c>
      <c r="M27" s="1130"/>
      <c r="N27" s="668">
        <v>4.9000000000000004</v>
      </c>
      <c r="O27" s="1119"/>
      <c r="P27" s="668">
        <v>28.125381065550521</v>
      </c>
      <c r="Q27" s="668">
        <f t="shared" si="3"/>
        <v>70.400000000000006</v>
      </c>
      <c r="R27" s="432">
        <v>6.0720000000000001</v>
      </c>
      <c r="S27" s="432">
        <v>26.135999999999999</v>
      </c>
      <c r="T27" s="670">
        <v>29</v>
      </c>
      <c r="U27" s="668">
        <f t="shared" si="0"/>
        <v>4.7760210803689063</v>
      </c>
      <c r="V27" s="668">
        <f t="shared" si="4"/>
        <v>76.767676767676761</v>
      </c>
      <c r="W27" s="668">
        <v>0.3</v>
      </c>
      <c r="X27" s="432">
        <f t="shared" si="8"/>
        <v>0.37124999999999997</v>
      </c>
      <c r="Y27" s="432">
        <f t="shared" si="5"/>
        <v>5.9809200000000002</v>
      </c>
      <c r="Z27" s="432">
        <f t="shared" si="1"/>
        <v>25.743959999999998</v>
      </c>
      <c r="AA27" s="670">
        <f t="shared" si="1"/>
        <v>28.565000000000001</v>
      </c>
      <c r="AB27" s="432">
        <f t="shared" si="6"/>
        <v>4.7760210803689063</v>
      </c>
      <c r="AC27" s="670">
        <f t="shared" si="2"/>
        <v>76.767676767676761</v>
      </c>
      <c r="AD27" s="1119">
        <v>31</v>
      </c>
      <c r="AE27" s="432">
        <f t="shared" si="7"/>
        <v>185.40852000000001</v>
      </c>
      <c r="AF27" s="449"/>
    </row>
    <row r="28" spans="1:32" ht="18.75" customHeight="1" x14ac:dyDescent="0.2">
      <c r="A28" s="1127">
        <v>14</v>
      </c>
      <c r="B28" s="461" t="s">
        <v>36</v>
      </c>
      <c r="C28" s="1119" t="s">
        <v>46</v>
      </c>
      <c r="D28" s="1119">
        <v>584.5</v>
      </c>
      <c r="E28" s="1115" t="s">
        <v>79</v>
      </c>
      <c r="F28" s="1119">
        <v>177.8</v>
      </c>
      <c r="G28" s="1119" t="s">
        <v>28</v>
      </c>
      <c r="H28" s="1119" t="s">
        <v>49</v>
      </c>
      <c r="I28" s="1115">
        <v>525.03</v>
      </c>
      <c r="J28" s="1074">
        <v>325</v>
      </c>
      <c r="K28" s="1119"/>
      <c r="L28" s="1130">
        <v>351</v>
      </c>
      <c r="M28" s="1130"/>
      <c r="N28" s="668">
        <v>6.7</v>
      </c>
      <c r="O28" s="1119"/>
      <c r="P28" s="668">
        <v>20.349731268970327</v>
      </c>
      <c r="Q28" s="668">
        <f t="shared" si="3"/>
        <v>104</v>
      </c>
      <c r="R28" s="432">
        <v>18.148</v>
      </c>
      <c r="S28" s="432">
        <v>45.838000000000001</v>
      </c>
      <c r="T28" s="670">
        <v>207</v>
      </c>
      <c r="U28" s="668">
        <f t="shared" si="0"/>
        <v>11.406215560943355</v>
      </c>
      <c r="V28" s="668">
        <f t="shared" si="4"/>
        <v>60.408394781622235</v>
      </c>
      <c r="W28" s="668">
        <v>0.3</v>
      </c>
      <c r="X28" s="432">
        <f t="shared" si="8"/>
        <v>0.44075000000000003</v>
      </c>
      <c r="Y28" s="432">
        <f t="shared" si="5"/>
        <v>17.875779999999999</v>
      </c>
      <c r="Z28" s="432">
        <f t="shared" si="1"/>
        <v>45.15043</v>
      </c>
      <c r="AA28" s="670">
        <f t="shared" si="1"/>
        <v>203.89500000000001</v>
      </c>
      <c r="AB28" s="432">
        <f t="shared" si="6"/>
        <v>11.406215560943355</v>
      </c>
      <c r="AC28" s="670">
        <f t="shared" si="2"/>
        <v>60.408394781622235</v>
      </c>
      <c r="AD28" s="1119">
        <v>31</v>
      </c>
      <c r="AE28" s="432">
        <f t="shared" si="7"/>
        <v>554.14918</v>
      </c>
      <c r="AF28" s="669"/>
    </row>
    <row r="29" spans="1:32" ht="18.75" customHeight="1" x14ac:dyDescent="0.2">
      <c r="A29" s="1127">
        <v>15</v>
      </c>
      <c r="B29" s="461" t="s">
        <v>152</v>
      </c>
      <c r="C29" s="1119" t="s">
        <v>46</v>
      </c>
      <c r="D29" s="1119">
        <v>564.97999999999979</v>
      </c>
      <c r="E29" s="1115" t="s">
        <v>80</v>
      </c>
      <c r="F29" s="1119">
        <v>177.8</v>
      </c>
      <c r="G29" s="1119" t="s">
        <v>28</v>
      </c>
      <c r="H29" s="432" t="s">
        <v>538</v>
      </c>
      <c r="I29" s="437">
        <v>523.26999999999975</v>
      </c>
      <c r="J29" s="1119">
        <v>320</v>
      </c>
      <c r="K29" s="1119"/>
      <c r="L29" s="1130">
        <v>451</v>
      </c>
      <c r="M29" s="1130"/>
      <c r="N29" s="668">
        <v>8.6</v>
      </c>
      <c r="O29" s="1119"/>
      <c r="P29" s="668">
        <v>18.163586048682095</v>
      </c>
      <c r="Q29" s="668">
        <f>(22/100)*J29</f>
        <v>70.400000000000006</v>
      </c>
      <c r="R29" s="432">
        <v>11.948</v>
      </c>
      <c r="S29" s="432">
        <v>21.657</v>
      </c>
      <c r="T29" s="670">
        <v>713</v>
      </c>
      <c r="U29" s="668">
        <f t="shared" si="0"/>
        <v>59.675259457649815</v>
      </c>
      <c r="V29" s="668">
        <f t="shared" si="4"/>
        <v>44.830770651521448</v>
      </c>
      <c r="W29" s="668">
        <v>0.2</v>
      </c>
      <c r="X29" s="432">
        <f t="shared" si="8"/>
        <v>0.3076278409090909</v>
      </c>
      <c r="Y29" s="432">
        <f t="shared" si="5"/>
        <v>11.76878</v>
      </c>
      <c r="Z29" s="432">
        <f t="shared" si="1"/>
        <v>21.332145000000001</v>
      </c>
      <c r="AA29" s="670">
        <f t="shared" si="1"/>
        <v>702.30499999999995</v>
      </c>
      <c r="AB29" s="432">
        <f t="shared" si="6"/>
        <v>59.675259457649815</v>
      </c>
      <c r="AC29" s="670">
        <f t="shared" si="2"/>
        <v>44.830770651521448</v>
      </c>
      <c r="AD29" s="1119">
        <v>31</v>
      </c>
      <c r="AE29" s="432">
        <f t="shared" si="7"/>
        <v>364.83217999999999</v>
      </c>
      <c r="AF29" s="669"/>
    </row>
    <row r="30" spans="1:32" ht="18.75" customHeight="1" x14ac:dyDescent="0.2">
      <c r="A30" s="1127">
        <v>16</v>
      </c>
      <c r="B30" s="461" t="s">
        <v>37</v>
      </c>
      <c r="C30" s="1119" t="s">
        <v>46</v>
      </c>
      <c r="D30" s="1119">
        <v>670</v>
      </c>
      <c r="E30" s="1119" t="s">
        <v>81</v>
      </c>
      <c r="F30" s="1119">
        <v>177.8</v>
      </c>
      <c r="G30" s="1119" t="s">
        <v>28</v>
      </c>
      <c r="H30" s="1119" t="s">
        <v>487</v>
      </c>
      <c r="I30" s="1126">
        <v>582.59</v>
      </c>
      <c r="J30" s="1074">
        <v>200</v>
      </c>
      <c r="K30" s="1119"/>
      <c r="L30" s="1130">
        <v>411</v>
      </c>
      <c r="M30" s="1130"/>
      <c r="N30" s="668">
        <v>0.9</v>
      </c>
      <c r="O30" s="1119"/>
      <c r="P30" s="668">
        <v>17.548784949710825</v>
      </c>
      <c r="Q30" s="668">
        <f>J30*15/100</f>
        <v>30</v>
      </c>
      <c r="R30" s="432">
        <v>3.2149999999999999</v>
      </c>
      <c r="S30" s="432">
        <v>7.0720000000000001</v>
      </c>
      <c r="T30" s="670">
        <v>0</v>
      </c>
      <c r="U30" s="668">
        <f t="shared" si="0"/>
        <v>0</v>
      </c>
      <c r="V30" s="668">
        <f t="shared" si="4"/>
        <v>54.539027149321271</v>
      </c>
      <c r="W30" s="668">
        <v>0.2</v>
      </c>
      <c r="X30" s="432">
        <f t="shared" si="8"/>
        <v>0.23573333333333332</v>
      </c>
      <c r="Y30" s="432">
        <f t="shared" si="5"/>
        <v>3.1667749999999999</v>
      </c>
      <c r="Z30" s="432">
        <f t="shared" si="1"/>
        <v>6.9659199999999997</v>
      </c>
      <c r="AA30" s="670">
        <f t="shared" si="1"/>
        <v>0</v>
      </c>
      <c r="AB30" s="432">
        <f t="shared" si="6"/>
        <v>0</v>
      </c>
      <c r="AC30" s="670">
        <f t="shared" si="2"/>
        <v>54.539027149321271</v>
      </c>
      <c r="AD30" s="1119">
        <v>31</v>
      </c>
      <c r="AE30" s="432">
        <f>Y30*AD30</f>
        <v>98.170024999999995</v>
      </c>
      <c r="AF30" s="449"/>
    </row>
    <row r="31" spans="1:32" ht="18.75" customHeight="1" x14ac:dyDescent="0.2">
      <c r="A31" s="1127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119" t="s">
        <v>501</v>
      </c>
      <c r="I31" s="461">
        <v>546.35</v>
      </c>
      <c r="J31" s="461">
        <v>310</v>
      </c>
      <c r="K31" s="461"/>
      <c r="L31" s="461">
        <v>434</v>
      </c>
      <c r="M31" s="461"/>
      <c r="N31" s="671">
        <v>1.7</v>
      </c>
      <c r="O31" s="461"/>
      <c r="P31" s="671">
        <v>43.041284069657628</v>
      </c>
      <c r="Q31" s="668">
        <f>J31*33/100</f>
        <v>102.3</v>
      </c>
      <c r="R31" s="672">
        <v>8.3040000000000003</v>
      </c>
      <c r="S31" s="432">
        <v>17.926000000000002</v>
      </c>
      <c r="T31" s="699">
        <v>108</v>
      </c>
      <c r="U31" s="668">
        <f t="shared" si="0"/>
        <v>13.005780346820808</v>
      </c>
      <c r="V31" s="668">
        <f t="shared" si="4"/>
        <v>53.67622447841125</v>
      </c>
      <c r="W31" s="671">
        <v>0.3</v>
      </c>
      <c r="X31" s="432">
        <f t="shared" si="8"/>
        <v>0.17522971652003913</v>
      </c>
      <c r="Y31" s="432">
        <f t="shared" si="5"/>
        <v>8.1794399999999996</v>
      </c>
      <c r="Z31" s="432">
        <f t="shared" si="1"/>
        <v>17.657110000000003</v>
      </c>
      <c r="AA31" s="670">
        <f t="shared" si="1"/>
        <v>106.38</v>
      </c>
      <c r="AB31" s="672">
        <f t="shared" si="6"/>
        <v>13.005780346820808</v>
      </c>
      <c r="AC31" s="699">
        <f t="shared" si="2"/>
        <v>53.67622447841125</v>
      </c>
      <c r="AD31" s="1119">
        <v>31</v>
      </c>
      <c r="AE31" s="672">
        <f>Y31*AD31</f>
        <v>253.56263999999999</v>
      </c>
      <c r="AF31" s="461"/>
    </row>
    <row r="32" spans="1:32" ht="18.600000000000001" customHeight="1" x14ac:dyDescent="0.2">
      <c r="A32" s="1127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119">
        <v>177.8</v>
      </c>
      <c r="G32" s="1119" t="s">
        <v>28</v>
      </c>
      <c r="H32" s="1119" t="s">
        <v>551</v>
      </c>
      <c r="I32" s="437">
        <v>567</v>
      </c>
      <c r="J32" s="1119">
        <v>260</v>
      </c>
      <c r="K32" s="1119"/>
      <c r="L32" s="1130">
        <v>476</v>
      </c>
      <c r="M32" s="1130"/>
      <c r="N32" s="668">
        <v>6</v>
      </c>
      <c r="O32" s="1119"/>
      <c r="P32" s="668">
        <v>17.99701003766927</v>
      </c>
      <c r="Q32" s="668">
        <f>22*(J32/100)</f>
        <v>57.2</v>
      </c>
      <c r="R32" s="432">
        <v>2.4860000000000002</v>
      </c>
      <c r="S32" s="432">
        <v>8.777000000000001</v>
      </c>
      <c r="T32" s="670">
        <v>83</v>
      </c>
      <c r="U32" s="668">
        <f t="shared" si="0"/>
        <v>33.386967015285599</v>
      </c>
      <c r="V32" s="668">
        <f t="shared" si="4"/>
        <v>71.675971288595193</v>
      </c>
      <c r="W32" s="668">
        <v>0.3</v>
      </c>
      <c r="X32" s="432">
        <f t="shared" si="8"/>
        <v>0.15344405594405597</v>
      </c>
      <c r="Y32" s="432">
        <f t="shared" si="5"/>
        <v>2.4487100000000002</v>
      </c>
      <c r="Z32" s="432">
        <f t="shared" si="1"/>
        <v>8.6453450000000007</v>
      </c>
      <c r="AA32" s="670">
        <f t="shared" si="1"/>
        <v>81.754999999999995</v>
      </c>
      <c r="AB32" s="672">
        <f t="shared" si="6"/>
        <v>33.386967015285599</v>
      </c>
      <c r="AC32" s="699">
        <f t="shared" si="2"/>
        <v>71.675971288595193</v>
      </c>
      <c r="AD32" s="1119">
        <v>31</v>
      </c>
      <c r="AE32" s="672">
        <f>Y32*AD32</f>
        <v>75.91001</v>
      </c>
      <c r="AF32" s="669"/>
    </row>
    <row r="33" spans="1:32" ht="18.75" customHeight="1" x14ac:dyDescent="0.2">
      <c r="A33" s="1127">
        <v>19</v>
      </c>
      <c r="B33" s="461" t="s">
        <v>38</v>
      </c>
      <c r="C33" s="1119" t="s">
        <v>46</v>
      </c>
      <c r="D33" s="668">
        <v>580</v>
      </c>
      <c r="E33" s="1119" t="s">
        <v>84</v>
      </c>
      <c r="F33" s="1119">
        <v>177.8</v>
      </c>
      <c r="G33" s="1119" t="s">
        <v>28</v>
      </c>
      <c r="H33" s="1119" t="s">
        <v>52</v>
      </c>
      <c r="I33" s="1115">
        <v>565.38</v>
      </c>
      <c r="J33" s="1119">
        <v>280</v>
      </c>
      <c r="K33" s="1119"/>
      <c r="L33" s="1130">
        <v>505</v>
      </c>
      <c r="M33" s="1130"/>
      <c r="N33" s="668">
        <v>0</v>
      </c>
      <c r="O33" s="1119"/>
      <c r="P33" s="668">
        <v>3.1114531180801959</v>
      </c>
      <c r="Q33" s="668">
        <f>LEFT(H33,(FIND("K",H33,1)-1))*J33/100</f>
        <v>61.6</v>
      </c>
      <c r="R33" s="432">
        <v>3.69</v>
      </c>
      <c r="S33" s="432">
        <v>5.7349999999999994</v>
      </c>
      <c r="T33" s="670">
        <v>6</v>
      </c>
      <c r="U33" s="668">
        <f t="shared" si="0"/>
        <v>1.6260162601626016</v>
      </c>
      <c r="V33" s="668">
        <f t="shared" si="4"/>
        <v>35.658238884045332</v>
      </c>
      <c r="W33" s="668">
        <v>0.2</v>
      </c>
      <c r="X33" s="432">
        <f t="shared" si="8"/>
        <v>9.3100649350649337E-2</v>
      </c>
      <c r="Y33" s="432">
        <f t="shared" si="5"/>
        <v>3.6346499999999997</v>
      </c>
      <c r="Z33" s="432">
        <f t="shared" si="1"/>
        <v>5.6489749999999992</v>
      </c>
      <c r="AA33" s="670">
        <f t="shared" si="1"/>
        <v>5.91</v>
      </c>
      <c r="AB33" s="432">
        <f>U33</f>
        <v>1.6260162601626016</v>
      </c>
      <c r="AC33" s="699">
        <f t="shared" si="2"/>
        <v>35.658238884045332</v>
      </c>
      <c r="AD33" s="1119">
        <v>31</v>
      </c>
      <c r="AE33" s="432">
        <f t="shared" si="7"/>
        <v>112.67415</v>
      </c>
      <c r="AF33" s="669"/>
    </row>
    <row r="34" spans="1:32" ht="18.75" customHeight="1" x14ac:dyDescent="0.2">
      <c r="A34" s="1127">
        <v>20</v>
      </c>
      <c r="B34" s="461" t="s">
        <v>39</v>
      </c>
      <c r="C34" s="1119" t="s">
        <v>46</v>
      </c>
      <c r="D34" s="1119">
        <v>728.6</v>
      </c>
      <c r="E34" s="1119" t="s">
        <v>411</v>
      </c>
      <c r="F34" s="1119">
        <v>177.8</v>
      </c>
      <c r="G34" s="1119" t="s">
        <v>28</v>
      </c>
      <c r="H34" s="1119" t="s">
        <v>380</v>
      </c>
      <c r="I34" s="1115">
        <v>551.77</v>
      </c>
      <c r="J34" s="1074">
        <v>300</v>
      </c>
      <c r="K34" s="1119"/>
      <c r="L34" s="1130">
        <v>463</v>
      </c>
      <c r="M34" s="1130"/>
      <c r="N34" s="668">
        <v>2.4</v>
      </c>
      <c r="O34" s="1119"/>
      <c r="P34" s="668">
        <v>14.107336991152799</v>
      </c>
      <c r="Q34" s="668">
        <f>J34*23/100</f>
        <v>69</v>
      </c>
      <c r="R34" s="432">
        <v>3.03</v>
      </c>
      <c r="S34" s="432">
        <v>7.8509999999999991</v>
      </c>
      <c r="T34" s="670">
        <v>108</v>
      </c>
      <c r="U34" s="668">
        <f t="shared" si="0"/>
        <v>35.643564356435647</v>
      </c>
      <c r="V34" s="668">
        <f t="shared" si="4"/>
        <v>61.406190294230036</v>
      </c>
      <c r="W34" s="668">
        <v>0.2</v>
      </c>
      <c r="X34" s="432">
        <f t="shared" si="8"/>
        <v>0.11378260869565215</v>
      </c>
      <c r="Y34" s="432">
        <f t="shared" si="5"/>
        <v>2.9845499999999996</v>
      </c>
      <c r="Z34" s="432">
        <f t="shared" si="1"/>
        <v>7.7332349999999987</v>
      </c>
      <c r="AA34" s="670">
        <f t="shared" si="1"/>
        <v>106.38</v>
      </c>
      <c r="AB34" s="432">
        <f t="shared" si="6"/>
        <v>35.643564356435647</v>
      </c>
      <c r="AC34" s="699">
        <f t="shared" si="2"/>
        <v>61.406190294230036</v>
      </c>
      <c r="AD34" s="1119">
        <v>31</v>
      </c>
      <c r="AE34" s="432">
        <f t="shared" si="7"/>
        <v>92.521049999999988</v>
      </c>
      <c r="AF34" s="669"/>
    </row>
    <row r="35" spans="1:32" ht="18.75" customHeight="1" x14ac:dyDescent="0.2">
      <c r="A35" s="1127">
        <v>21</v>
      </c>
      <c r="B35" s="461" t="s">
        <v>40</v>
      </c>
      <c r="C35" s="1119" t="s">
        <v>46</v>
      </c>
      <c r="D35" s="1119">
        <v>679.7</v>
      </c>
      <c r="E35" s="1119" t="s">
        <v>86</v>
      </c>
      <c r="F35" s="1119">
        <v>177.8</v>
      </c>
      <c r="G35" s="1119" t="s">
        <v>28</v>
      </c>
      <c r="H35" s="1119" t="s">
        <v>487</v>
      </c>
      <c r="I35" s="1115">
        <v>563.22000000000014</v>
      </c>
      <c r="J35" s="1119">
        <v>200</v>
      </c>
      <c r="K35" s="1119"/>
      <c r="L35" s="1130">
        <v>447</v>
      </c>
      <c r="M35" s="1130"/>
      <c r="N35" s="668">
        <v>2.8</v>
      </c>
      <c r="O35" s="1119"/>
      <c r="P35" s="668">
        <v>15.329099946078896</v>
      </c>
      <c r="Q35" s="668">
        <f t="shared" si="3"/>
        <v>30</v>
      </c>
      <c r="R35" s="432">
        <v>3.8180000000000001</v>
      </c>
      <c r="S35" s="432">
        <v>19</v>
      </c>
      <c r="T35" s="670">
        <v>0</v>
      </c>
      <c r="U35" s="668">
        <f>IF(R35=0,0,T35/R35)</f>
        <v>0</v>
      </c>
      <c r="V35" s="668">
        <f t="shared" si="4"/>
        <v>79.905263157894737</v>
      </c>
      <c r="W35" s="668">
        <v>0.3</v>
      </c>
      <c r="X35" s="432">
        <f t="shared" si="8"/>
        <v>0.6333333333333333</v>
      </c>
      <c r="Y35" s="432">
        <f t="shared" si="5"/>
        <v>3.7607300000000001</v>
      </c>
      <c r="Z35" s="432">
        <f t="shared" si="1"/>
        <v>18.715</v>
      </c>
      <c r="AA35" s="670">
        <f t="shared" si="1"/>
        <v>0</v>
      </c>
      <c r="AB35" s="432">
        <f t="shared" si="6"/>
        <v>0</v>
      </c>
      <c r="AC35" s="699">
        <v>70</v>
      </c>
      <c r="AD35" s="1119">
        <v>31</v>
      </c>
      <c r="AE35" s="432">
        <f>Y35*AD35</f>
        <v>116.58263000000001</v>
      </c>
      <c r="AF35" s="449"/>
    </row>
    <row r="36" spans="1:32" ht="18.75" customHeight="1" x14ac:dyDescent="0.2">
      <c r="A36" s="1127">
        <v>22</v>
      </c>
      <c r="B36" s="461" t="s">
        <v>41</v>
      </c>
      <c r="C36" s="1119" t="s">
        <v>46</v>
      </c>
      <c r="D36" s="1119">
        <v>567.99999999999977</v>
      </c>
      <c r="E36" s="1119" t="s">
        <v>87</v>
      </c>
      <c r="F36" s="1119">
        <v>177.8</v>
      </c>
      <c r="G36" s="1119" t="s">
        <v>28</v>
      </c>
      <c r="H36" s="1119" t="s">
        <v>461</v>
      </c>
      <c r="I36" s="1126">
        <v>535.91</v>
      </c>
      <c r="J36" s="1074">
        <v>175</v>
      </c>
      <c r="K36" s="1119"/>
      <c r="L36" s="1130">
        <v>448</v>
      </c>
      <c r="M36" s="1130"/>
      <c r="N36" s="668">
        <v>6.4</v>
      </c>
      <c r="O36" s="1119"/>
      <c r="P36" s="668">
        <v>13.724104489217046</v>
      </c>
      <c r="Q36" s="668">
        <f>J36*22/100</f>
        <v>38.5</v>
      </c>
      <c r="R36" s="432">
        <v>8.0530000000000008</v>
      </c>
      <c r="S36" s="432">
        <v>10.874000000000001</v>
      </c>
      <c r="T36" s="670">
        <v>269</v>
      </c>
      <c r="U36" s="668">
        <f t="shared" ref="U36:U80" si="9">IF(R36=0,0,T36/R36)</f>
        <v>33.403700484291562</v>
      </c>
      <c r="V36" s="668">
        <f t="shared" si="4"/>
        <v>25.942615412911536</v>
      </c>
      <c r="W36" s="668">
        <v>0.2</v>
      </c>
      <c r="X36" s="432">
        <f t="shared" si="8"/>
        <v>0.28244155844155844</v>
      </c>
      <c r="Y36" s="432">
        <f t="shared" si="5"/>
        <v>7.9322050000000006</v>
      </c>
      <c r="Z36" s="432">
        <f t="shared" si="1"/>
        <v>10.710890000000001</v>
      </c>
      <c r="AA36" s="670">
        <f t="shared" si="1"/>
        <v>264.96499999999997</v>
      </c>
      <c r="AB36" s="432">
        <v>89.536086956521729</v>
      </c>
      <c r="AC36" s="699">
        <f t="shared" si="2"/>
        <v>25.942615412911536</v>
      </c>
      <c r="AD36" s="1119">
        <v>31</v>
      </c>
      <c r="AE36" s="432">
        <f t="shared" si="7"/>
        <v>245.89835500000001</v>
      </c>
      <c r="AF36" s="673"/>
    </row>
    <row r="37" spans="1:32" ht="18.75" customHeight="1" x14ac:dyDescent="0.2">
      <c r="A37" s="1127">
        <v>23</v>
      </c>
      <c r="B37" s="461" t="s">
        <v>42</v>
      </c>
      <c r="C37" s="1119" t="s">
        <v>46</v>
      </c>
      <c r="D37" s="1119">
        <v>583.20000000000005</v>
      </c>
      <c r="E37" s="1119" t="s">
        <v>434</v>
      </c>
      <c r="F37" s="1119">
        <v>177.8</v>
      </c>
      <c r="G37" s="1119" t="s">
        <v>28</v>
      </c>
      <c r="H37" s="1127" t="s">
        <v>552</v>
      </c>
      <c r="I37" s="1115">
        <v>565.09</v>
      </c>
      <c r="J37" s="1074">
        <v>358</v>
      </c>
      <c r="K37" s="1119"/>
      <c r="L37" s="1130">
        <v>98</v>
      </c>
      <c r="M37" s="1130"/>
      <c r="N37" s="668">
        <v>0.4</v>
      </c>
      <c r="O37" s="1119"/>
      <c r="P37" s="668">
        <v>44.359234114587878</v>
      </c>
      <c r="Q37" s="668">
        <f>J37*22/100</f>
        <v>78.760000000000005</v>
      </c>
      <c r="R37" s="432">
        <v>2.8090000000000002</v>
      </c>
      <c r="S37" s="432">
        <v>10.295</v>
      </c>
      <c r="T37" s="670">
        <v>0</v>
      </c>
      <c r="U37" s="668">
        <f t="shared" si="9"/>
        <v>0</v>
      </c>
      <c r="V37" s="668">
        <f t="shared" si="4"/>
        <v>72.714910150558524</v>
      </c>
      <c r="W37" s="668">
        <v>0.2</v>
      </c>
      <c r="X37" s="432">
        <f t="shared" si="8"/>
        <v>0.13071356018283392</v>
      </c>
      <c r="Y37" s="432">
        <f t="shared" si="5"/>
        <v>2.7668650000000001</v>
      </c>
      <c r="Z37" s="432">
        <f t="shared" si="1"/>
        <v>10.140575</v>
      </c>
      <c r="AA37" s="670">
        <f t="shared" si="1"/>
        <v>0</v>
      </c>
      <c r="AB37" s="432">
        <f t="shared" si="6"/>
        <v>0</v>
      </c>
      <c r="AC37" s="670">
        <f t="shared" si="2"/>
        <v>72.714910150558524</v>
      </c>
      <c r="AD37" s="1119">
        <v>31</v>
      </c>
      <c r="AE37" s="432">
        <f t="shared" si="7"/>
        <v>85.772815000000008</v>
      </c>
      <c r="AF37" s="449"/>
    </row>
    <row r="38" spans="1:32" ht="18.75" customHeight="1" x14ac:dyDescent="0.2">
      <c r="A38" s="1127">
        <v>24</v>
      </c>
      <c r="B38" s="461" t="s">
        <v>43</v>
      </c>
      <c r="C38" s="1119" t="s">
        <v>46</v>
      </c>
      <c r="D38" s="1119">
        <v>682.7</v>
      </c>
      <c r="E38" s="1119" t="s">
        <v>435</v>
      </c>
      <c r="F38" s="1119">
        <v>177.8</v>
      </c>
      <c r="G38" s="1119" t="s">
        <v>28</v>
      </c>
      <c r="H38" s="1119" t="s">
        <v>399</v>
      </c>
      <c r="I38" s="446">
        <v>575.91</v>
      </c>
      <c r="J38" s="1119">
        <v>330</v>
      </c>
      <c r="K38" s="1119"/>
      <c r="L38" s="1130">
        <v>367</v>
      </c>
      <c r="M38" s="1130"/>
      <c r="N38" s="668">
        <v>5.6</v>
      </c>
      <c r="O38" s="1119"/>
      <c r="P38" s="668">
        <v>21.085114336978027</v>
      </c>
      <c r="Q38" s="668">
        <f>J38*13/100</f>
        <v>42.9</v>
      </c>
      <c r="R38" s="432">
        <v>3.2879999999999998</v>
      </c>
      <c r="S38" s="432">
        <v>22.201000000000001</v>
      </c>
      <c r="T38" s="670">
        <v>39</v>
      </c>
      <c r="U38" s="668">
        <f t="shared" si="9"/>
        <v>11.86131386861314</v>
      </c>
      <c r="V38" s="668">
        <f t="shared" si="4"/>
        <v>85.189856312778701</v>
      </c>
      <c r="W38" s="668">
        <v>0.3</v>
      </c>
      <c r="X38" s="432">
        <f t="shared" si="8"/>
        <v>0.51750582750582752</v>
      </c>
      <c r="Y38" s="432">
        <f t="shared" si="5"/>
        <v>3.2386799999999996</v>
      </c>
      <c r="Z38" s="432">
        <f t="shared" si="1"/>
        <v>21.867985000000001</v>
      </c>
      <c r="AA38" s="670">
        <f t="shared" si="1"/>
        <v>38.414999999999999</v>
      </c>
      <c r="AB38" s="432">
        <f t="shared" si="6"/>
        <v>11.86131386861314</v>
      </c>
      <c r="AC38" s="670">
        <f t="shared" si="2"/>
        <v>85.189856312778701</v>
      </c>
      <c r="AD38" s="1119">
        <v>31</v>
      </c>
      <c r="AE38" s="432">
        <f t="shared" si="7"/>
        <v>100.39907999999998</v>
      </c>
      <c r="AF38" s="669"/>
    </row>
    <row r="39" spans="1:32" ht="18.75" customHeight="1" x14ac:dyDescent="0.2">
      <c r="A39" s="1127">
        <v>25</v>
      </c>
      <c r="B39" s="461" t="s">
        <v>44</v>
      </c>
      <c r="C39" s="1119" t="s">
        <v>46</v>
      </c>
      <c r="D39" s="1119">
        <v>610.91999999999996</v>
      </c>
      <c r="E39" s="1119" t="s">
        <v>90</v>
      </c>
      <c r="F39" s="1119">
        <v>177.8</v>
      </c>
      <c r="G39" s="1119" t="s">
        <v>28</v>
      </c>
      <c r="H39" s="1119" t="s">
        <v>539</v>
      </c>
      <c r="I39" s="446">
        <v>564.91999999999996</v>
      </c>
      <c r="J39" s="1119">
        <v>205</v>
      </c>
      <c r="K39" s="1119"/>
      <c r="L39" s="1130">
        <v>229</v>
      </c>
      <c r="M39" s="1130"/>
      <c r="N39" s="668">
        <v>6.9</v>
      </c>
      <c r="O39" s="1119"/>
      <c r="P39" s="668">
        <v>42.785405187709266</v>
      </c>
      <c r="Q39" s="668">
        <f>(32/100)*J39</f>
        <v>65.599999999999994</v>
      </c>
      <c r="R39" s="432">
        <v>4.9249999999999998</v>
      </c>
      <c r="S39" s="432">
        <v>49.173999999999999</v>
      </c>
      <c r="T39" s="670">
        <v>240</v>
      </c>
      <c r="U39" s="668">
        <f t="shared" si="9"/>
        <v>48.73096446700508</v>
      </c>
      <c r="V39" s="668">
        <f t="shared" si="4"/>
        <v>89.984544678081917</v>
      </c>
      <c r="W39" s="668">
        <v>0.3</v>
      </c>
      <c r="X39" s="432">
        <f t="shared" si="8"/>
        <v>0.74960365853658539</v>
      </c>
      <c r="Y39" s="432">
        <f t="shared" si="5"/>
        <v>4.8511249999999997</v>
      </c>
      <c r="Z39" s="432">
        <f t="shared" si="1"/>
        <v>48.436389999999996</v>
      </c>
      <c r="AA39" s="670">
        <f t="shared" si="1"/>
        <v>236.4</v>
      </c>
      <c r="AB39" s="432">
        <f t="shared" si="6"/>
        <v>48.73096446700508</v>
      </c>
      <c r="AC39" s="670">
        <f t="shared" si="2"/>
        <v>89.984544678081917</v>
      </c>
      <c r="AD39" s="1119">
        <v>31</v>
      </c>
      <c r="AE39" s="432">
        <f t="shared" si="7"/>
        <v>150.38487499999999</v>
      </c>
      <c r="AF39" s="669"/>
    </row>
    <row r="40" spans="1:32" ht="18.75" customHeight="1" x14ac:dyDescent="0.2">
      <c r="A40" s="1127">
        <v>26</v>
      </c>
      <c r="B40" s="461" t="s">
        <v>45</v>
      </c>
      <c r="C40" s="1119" t="s">
        <v>46</v>
      </c>
      <c r="D40" s="1119">
        <v>636.4</v>
      </c>
      <c r="E40" s="1119" t="s">
        <v>91</v>
      </c>
      <c r="F40" s="1119">
        <v>177.8</v>
      </c>
      <c r="G40" s="1119" t="s">
        <v>28</v>
      </c>
      <c r="H40" s="1119" t="s">
        <v>553</v>
      </c>
      <c r="I40" s="1126">
        <v>553.53</v>
      </c>
      <c r="J40" s="1074">
        <v>220</v>
      </c>
      <c r="K40" s="1119"/>
      <c r="L40" s="1130">
        <v>434</v>
      </c>
      <c r="M40" s="1130"/>
      <c r="N40" s="668">
        <v>8.6</v>
      </c>
      <c r="O40" s="1119"/>
      <c r="P40" s="668">
        <v>15.793855791841201</v>
      </c>
      <c r="Q40" s="668">
        <f>(32/100)*J40</f>
        <v>70.400000000000006</v>
      </c>
      <c r="R40" s="432">
        <v>22.923999999999999</v>
      </c>
      <c r="S40" s="432">
        <v>51.251000000000005</v>
      </c>
      <c r="T40" s="670">
        <v>112</v>
      </c>
      <c r="U40" s="668">
        <f t="shared" si="9"/>
        <v>4.8857093002966323</v>
      </c>
      <c r="V40" s="668">
        <f t="shared" si="4"/>
        <v>55.271116661138322</v>
      </c>
      <c r="W40" s="668">
        <v>0.2</v>
      </c>
      <c r="X40" s="432">
        <f t="shared" si="8"/>
        <v>0.72799715909090912</v>
      </c>
      <c r="Y40" s="432">
        <f t="shared" si="5"/>
        <v>22.58014</v>
      </c>
      <c r="Z40" s="432">
        <f t="shared" si="1"/>
        <v>50.482235000000003</v>
      </c>
      <c r="AA40" s="670">
        <f t="shared" si="1"/>
        <v>110.32</v>
      </c>
      <c r="AB40" s="432">
        <f t="shared" si="6"/>
        <v>4.8857093002966323</v>
      </c>
      <c r="AC40" s="670">
        <f t="shared" si="2"/>
        <v>55.271116661138322</v>
      </c>
      <c r="AD40" s="1119">
        <v>31</v>
      </c>
      <c r="AE40" s="432">
        <f t="shared" si="7"/>
        <v>699.98433999999997</v>
      </c>
      <c r="AF40" s="669"/>
    </row>
    <row r="41" spans="1:32" ht="18.75" customHeight="1" x14ac:dyDescent="0.2">
      <c r="A41" s="1127">
        <v>27</v>
      </c>
      <c r="B41" s="461" t="s">
        <v>206</v>
      </c>
      <c r="C41" s="1119" t="s">
        <v>46</v>
      </c>
      <c r="D41" s="1119">
        <v>660.2</v>
      </c>
      <c r="E41" s="1119" t="s">
        <v>436</v>
      </c>
      <c r="F41" s="1119">
        <v>177.8</v>
      </c>
      <c r="G41" s="1119" t="s">
        <v>28</v>
      </c>
      <c r="H41" s="1119" t="s">
        <v>551</v>
      </c>
      <c r="I41" s="1126">
        <v>545.86</v>
      </c>
      <c r="J41" s="1119">
        <v>175</v>
      </c>
      <c r="K41" s="1119"/>
      <c r="L41" s="1130">
        <v>277</v>
      </c>
      <c r="M41" s="1130"/>
      <c r="N41" s="668">
        <v>8.4</v>
      </c>
      <c r="O41" s="1119"/>
      <c r="P41" s="668">
        <v>31.966863154603818</v>
      </c>
      <c r="Q41" s="668">
        <f>(22/100)*J41</f>
        <v>38.5</v>
      </c>
      <c r="R41" s="432">
        <v>7.6589999999999998</v>
      </c>
      <c r="S41" s="432">
        <v>16.207999999999998</v>
      </c>
      <c r="T41" s="670">
        <v>138</v>
      </c>
      <c r="U41" s="668">
        <f t="shared" si="9"/>
        <v>18.018018018018019</v>
      </c>
      <c r="V41" s="668">
        <f t="shared" si="4"/>
        <v>52.745557749259618</v>
      </c>
      <c r="W41" s="668">
        <v>0.3</v>
      </c>
      <c r="X41" s="432">
        <f t="shared" si="8"/>
        <v>0.42098701298701297</v>
      </c>
      <c r="Y41" s="432">
        <f t="shared" si="5"/>
        <v>7.5441149999999997</v>
      </c>
      <c r="Z41" s="432">
        <f t="shared" si="1"/>
        <v>15.964879999999999</v>
      </c>
      <c r="AA41" s="670">
        <f t="shared" si="1"/>
        <v>135.93</v>
      </c>
      <c r="AB41" s="432">
        <f t="shared" si="6"/>
        <v>18.018018018018019</v>
      </c>
      <c r="AC41" s="670">
        <f t="shared" si="2"/>
        <v>52.745557749259618</v>
      </c>
      <c r="AD41" s="1119">
        <v>31</v>
      </c>
      <c r="AE41" s="432">
        <f t="shared" si="7"/>
        <v>233.86756499999998</v>
      </c>
      <c r="AF41" s="669"/>
    </row>
    <row r="42" spans="1:32" ht="18.75" customHeight="1" x14ac:dyDescent="0.2">
      <c r="A42" s="1127">
        <v>28</v>
      </c>
      <c r="B42" s="1116" t="s">
        <v>161</v>
      </c>
      <c r="C42" s="1119" t="s">
        <v>46</v>
      </c>
      <c r="D42" s="1115">
        <v>677</v>
      </c>
      <c r="E42" s="679" t="s">
        <v>178</v>
      </c>
      <c r="F42" s="1119">
        <v>177.8</v>
      </c>
      <c r="G42" s="1119" t="s">
        <v>28</v>
      </c>
      <c r="H42" s="1119" t="s">
        <v>491</v>
      </c>
      <c r="I42" s="1115">
        <v>571.5</v>
      </c>
      <c r="J42" s="1115">
        <v>230</v>
      </c>
      <c r="K42" s="1115"/>
      <c r="L42" s="1128">
        <v>281</v>
      </c>
      <c r="M42" s="1128"/>
      <c r="N42" s="668">
        <v>6.6</v>
      </c>
      <c r="O42" s="1115"/>
      <c r="P42" s="448">
        <v>38.419443415202608</v>
      </c>
      <c r="Q42" s="668">
        <f t="shared" ref="Q42:Q72" si="10">LEFT(H42,(FIND("K",H42,1)-1))*J42/100</f>
        <v>52.9</v>
      </c>
      <c r="R42" s="432">
        <v>11.847</v>
      </c>
      <c r="S42" s="432">
        <v>35.951999999999998</v>
      </c>
      <c r="T42" s="492">
        <v>1302</v>
      </c>
      <c r="U42" s="668">
        <f t="shared" si="9"/>
        <v>109.90124082046088</v>
      </c>
      <c r="V42" s="668">
        <f t="shared" si="4"/>
        <v>67.047730307076108</v>
      </c>
      <c r="W42" s="668">
        <v>0.3</v>
      </c>
      <c r="X42" s="432">
        <f t="shared" si="8"/>
        <v>0.67962192816635159</v>
      </c>
      <c r="Y42" s="432">
        <f t="shared" si="5"/>
        <v>11.669295</v>
      </c>
      <c r="Z42" s="432">
        <f t="shared" si="1"/>
        <v>35.41272</v>
      </c>
      <c r="AA42" s="670">
        <f t="shared" si="1"/>
        <v>1282.47</v>
      </c>
      <c r="AB42" s="432">
        <f t="shared" si="6"/>
        <v>109.90124082046088</v>
      </c>
      <c r="AC42" s="670">
        <f t="shared" si="2"/>
        <v>67.047730307076108</v>
      </c>
      <c r="AD42" s="1119">
        <v>31</v>
      </c>
      <c r="AE42" s="432">
        <f t="shared" si="7"/>
        <v>361.74814500000002</v>
      </c>
      <c r="AF42" s="449"/>
    </row>
    <row r="43" spans="1:32" ht="18.75" customHeight="1" x14ac:dyDescent="0.2">
      <c r="A43" s="1127">
        <v>29</v>
      </c>
      <c r="B43" s="1116" t="s">
        <v>162</v>
      </c>
      <c r="C43" s="1119" t="s">
        <v>46</v>
      </c>
      <c r="D43" s="1115">
        <v>676</v>
      </c>
      <c r="E43" s="679" t="s">
        <v>437</v>
      </c>
      <c r="F43" s="1119">
        <v>177.8</v>
      </c>
      <c r="G43" s="1119" t="s">
        <v>28</v>
      </c>
      <c r="H43" s="1119" t="s">
        <v>50</v>
      </c>
      <c r="I43" s="1115">
        <v>549.20000000000005</v>
      </c>
      <c r="J43" s="493">
        <v>254</v>
      </c>
      <c r="K43" s="1115"/>
      <c r="L43" s="1130">
        <v>407</v>
      </c>
      <c r="M43" s="1128"/>
      <c r="N43" s="668">
        <v>3.3</v>
      </c>
      <c r="O43" s="1115"/>
      <c r="P43" s="448">
        <v>8.359184101511115</v>
      </c>
      <c r="Q43" s="668">
        <f t="shared" si="10"/>
        <v>15.24</v>
      </c>
      <c r="R43" s="432">
        <v>1.746</v>
      </c>
      <c r="S43" s="432">
        <v>2.7610000000000001</v>
      </c>
      <c r="T43" s="492">
        <v>0</v>
      </c>
      <c r="U43" s="668">
        <f t="shared" si="9"/>
        <v>0</v>
      </c>
      <c r="V43" s="668">
        <f t="shared" si="4"/>
        <v>36.762042738138355</v>
      </c>
      <c r="W43" s="668">
        <v>0.3</v>
      </c>
      <c r="X43" s="432">
        <f t="shared" si="8"/>
        <v>0.18116797900262469</v>
      </c>
      <c r="Y43" s="432">
        <f t="shared" si="5"/>
        <v>1.7198100000000001</v>
      </c>
      <c r="Z43" s="432">
        <f t="shared" si="1"/>
        <v>2.7195849999999999</v>
      </c>
      <c r="AA43" s="670">
        <f t="shared" si="1"/>
        <v>0</v>
      </c>
      <c r="AB43" s="432">
        <f t="shared" si="6"/>
        <v>0</v>
      </c>
      <c r="AC43" s="670">
        <f t="shared" si="2"/>
        <v>36.762042738138355</v>
      </c>
      <c r="AD43" s="1119">
        <v>31</v>
      </c>
      <c r="AE43" s="432">
        <f t="shared" si="7"/>
        <v>53.314109999999999</v>
      </c>
      <c r="AF43" s="449"/>
    </row>
    <row r="44" spans="1:32" ht="18.75" customHeight="1" x14ac:dyDescent="0.2">
      <c r="A44" s="1127">
        <v>30</v>
      </c>
      <c r="B44" s="1116" t="s">
        <v>163</v>
      </c>
      <c r="C44" s="1119" t="s">
        <v>46</v>
      </c>
      <c r="D44" s="1115">
        <v>597</v>
      </c>
      <c r="E44" s="1119" t="s">
        <v>443</v>
      </c>
      <c r="F44" s="1119">
        <v>177.8</v>
      </c>
      <c r="G44" s="1119" t="s">
        <v>28</v>
      </c>
      <c r="H44" s="1119" t="s">
        <v>487</v>
      </c>
      <c r="I44" s="1126">
        <v>553.9</v>
      </c>
      <c r="J44" s="1115">
        <v>205</v>
      </c>
      <c r="K44" s="1115"/>
      <c r="L44" s="1128">
        <v>400</v>
      </c>
      <c r="M44" s="1128"/>
      <c r="N44" s="668">
        <v>0.2</v>
      </c>
      <c r="O44" s="1115"/>
      <c r="P44" s="448">
        <v>15.564202036906892</v>
      </c>
      <c r="Q44" s="668">
        <f t="shared" si="10"/>
        <v>30.75</v>
      </c>
      <c r="R44" s="432">
        <v>1.3839999999999999</v>
      </c>
      <c r="S44" s="432">
        <v>8.6140000000000008</v>
      </c>
      <c r="T44" s="492">
        <v>8</v>
      </c>
      <c r="U44" s="668">
        <f t="shared" si="9"/>
        <v>5.7803468208092488</v>
      </c>
      <c r="V44" s="668">
        <f t="shared" si="4"/>
        <v>83.933132110517761</v>
      </c>
      <c r="W44" s="668">
        <v>0.3</v>
      </c>
      <c r="X44" s="432">
        <f t="shared" si="8"/>
        <v>0.28013008130081302</v>
      </c>
      <c r="Y44" s="432">
        <f t="shared" si="5"/>
        <v>1.3632399999999998</v>
      </c>
      <c r="Z44" s="432">
        <f t="shared" si="1"/>
        <v>8.4847900000000003</v>
      </c>
      <c r="AA44" s="670">
        <f t="shared" si="1"/>
        <v>7.88</v>
      </c>
      <c r="AB44" s="432">
        <f t="shared" si="6"/>
        <v>5.7803468208092488</v>
      </c>
      <c r="AC44" s="670">
        <f t="shared" si="2"/>
        <v>83.933132110517761</v>
      </c>
      <c r="AD44" s="1119">
        <v>31</v>
      </c>
      <c r="AE44" s="432">
        <f t="shared" si="7"/>
        <v>42.260439999999996</v>
      </c>
      <c r="AF44" s="449"/>
    </row>
    <row r="45" spans="1:32" ht="18.75" customHeight="1" x14ac:dyDescent="0.2">
      <c r="A45" s="1127">
        <v>31</v>
      </c>
      <c r="B45" s="461" t="s">
        <v>59</v>
      </c>
      <c r="C45" s="1119" t="s">
        <v>46</v>
      </c>
      <c r="D45" s="1119">
        <v>601.93999999999983</v>
      </c>
      <c r="E45" s="1119" t="s">
        <v>454</v>
      </c>
      <c r="F45" s="1119">
        <v>177.8</v>
      </c>
      <c r="G45" s="1119" t="s">
        <v>28</v>
      </c>
      <c r="H45" s="1119" t="s">
        <v>538</v>
      </c>
      <c r="I45" s="1126">
        <v>539.76</v>
      </c>
      <c r="J45" s="1119">
        <v>280</v>
      </c>
      <c r="K45" s="1119"/>
      <c r="L45" s="1130">
        <v>409</v>
      </c>
      <c r="M45" s="1130"/>
      <c r="N45" s="668">
        <v>2</v>
      </c>
      <c r="O45" s="1119"/>
      <c r="P45" s="668">
        <v>15.666761559938415</v>
      </c>
      <c r="Q45" s="668">
        <f>(22/100)*J45</f>
        <v>61.6</v>
      </c>
      <c r="R45" s="432">
        <v>4.641</v>
      </c>
      <c r="S45" s="432">
        <v>9.2940000000000005</v>
      </c>
      <c r="T45" s="670">
        <v>47</v>
      </c>
      <c r="U45" s="668">
        <f t="shared" si="9"/>
        <v>10.127127774186597</v>
      </c>
      <c r="V45" s="668">
        <f t="shared" si="4"/>
        <v>50.0645577792124</v>
      </c>
      <c r="W45" s="668">
        <v>0.3</v>
      </c>
      <c r="X45" s="432">
        <f t="shared" si="8"/>
        <v>0.15087662337662339</v>
      </c>
      <c r="Y45" s="432">
        <f t="shared" si="5"/>
        <v>4.5713850000000003</v>
      </c>
      <c r="Z45" s="432">
        <f t="shared" si="1"/>
        <v>9.1545900000000007</v>
      </c>
      <c r="AA45" s="670">
        <f t="shared" si="1"/>
        <v>46.295000000000002</v>
      </c>
      <c r="AB45" s="432">
        <f>U45</f>
        <v>10.127127774186597</v>
      </c>
      <c r="AC45" s="670">
        <f t="shared" si="2"/>
        <v>50.0645577792124</v>
      </c>
      <c r="AD45" s="1119">
        <v>31</v>
      </c>
      <c r="AE45" s="432">
        <f t="shared" si="7"/>
        <v>141.71293500000002</v>
      </c>
      <c r="AF45" s="449"/>
    </row>
    <row r="46" spans="1:32" ht="18.600000000000001" customHeight="1" x14ac:dyDescent="0.2">
      <c r="A46" s="1127">
        <v>32</v>
      </c>
      <c r="B46" s="461" t="s">
        <v>207</v>
      </c>
      <c r="C46" s="1119" t="s">
        <v>46</v>
      </c>
      <c r="D46" s="1119">
        <v>673</v>
      </c>
      <c r="E46" s="1119" t="s">
        <v>420</v>
      </c>
      <c r="F46" s="1119">
        <v>177.8</v>
      </c>
      <c r="G46" s="1119" t="s">
        <v>28</v>
      </c>
      <c r="H46" s="1119" t="s">
        <v>50</v>
      </c>
      <c r="I46" s="1115">
        <v>564.41999999999996</v>
      </c>
      <c r="J46" s="1119">
        <v>270</v>
      </c>
      <c r="K46" s="1119"/>
      <c r="L46" s="1130">
        <v>217</v>
      </c>
      <c r="M46" s="1130"/>
      <c r="N46" s="668">
        <v>0</v>
      </c>
      <c r="O46" s="1119"/>
      <c r="P46" s="668">
        <v>38.48988838405365</v>
      </c>
      <c r="Q46" s="668">
        <f t="shared" si="10"/>
        <v>16.2</v>
      </c>
      <c r="R46" s="432">
        <v>3.3130000000000002</v>
      </c>
      <c r="S46" s="432">
        <v>11.319000000000001</v>
      </c>
      <c r="T46" s="670">
        <v>0</v>
      </c>
      <c r="U46" s="668">
        <f t="shared" si="9"/>
        <v>0</v>
      </c>
      <c r="V46" s="668">
        <f t="shared" si="4"/>
        <v>70.730629914303378</v>
      </c>
      <c r="W46" s="668">
        <v>0.3</v>
      </c>
      <c r="X46" s="432">
        <f t="shared" si="8"/>
        <v>0.69870370370370383</v>
      </c>
      <c r="Y46" s="432">
        <f t="shared" si="5"/>
        <v>3.2633049999999999</v>
      </c>
      <c r="Z46" s="432">
        <f t="shared" si="1"/>
        <v>11.149215</v>
      </c>
      <c r="AA46" s="670">
        <f t="shared" si="1"/>
        <v>0</v>
      </c>
      <c r="AB46" s="432">
        <f>U46</f>
        <v>0</v>
      </c>
      <c r="AC46" s="670">
        <f t="shared" si="2"/>
        <v>70.730629914303378</v>
      </c>
      <c r="AD46" s="1119">
        <v>31</v>
      </c>
      <c r="AE46" s="432">
        <f t="shared" si="7"/>
        <v>101.16245499999999</v>
      </c>
      <c r="AF46" s="449"/>
    </row>
    <row r="47" spans="1:32" ht="18.75" customHeight="1" x14ac:dyDescent="0.25">
      <c r="A47" s="1127">
        <v>33</v>
      </c>
      <c r="B47" s="461" t="s">
        <v>196</v>
      </c>
      <c r="C47" s="1119" t="s">
        <v>304</v>
      </c>
      <c r="D47" s="1119">
        <v>641</v>
      </c>
      <c r="E47" s="1119" t="s">
        <v>296</v>
      </c>
      <c r="F47" s="1119">
        <v>177.8</v>
      </c>
      <c r="G47" s="1119" t="s">
        <v>28</v>
      </c>
      <c r="H47" s="1119" t="s">
        <v>50</v>
      </c>
      <c r="I47" s="1115">
        <v>611.92999999999995</v>
      </c>
      <c r="J47" s="1119"/>
      <c r="K47" s="1119">
        <v>496</v>
      </c>
      <c r="L47" s="868"/>
      <c r="M47" s="668">
        <v>0.3</v>
      </c>
      <c r="N47" s="1105"/>
      <c r="O47" s="1119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9"/>
        <v>0</v>
      </c>
      <c r="V47" s="668"/>
      <c r="W47" s="668">
        <v>0.3</v>
      </c>
      <c r="X47" s="432">
        <f t="shared" si="8"/>
        <v>0</v>
      </c>
      <c r="Y47" s="432">
        <f t="shared" si="5"/>
        <v>0</v>
      </c>
      <c r="Z47" s="432">
        <f t="shared" si="1"/>
        <v>0</v>
      </c>
      <c r="AA47" s="670">
        <f t="shared" si="1"/>
        <v>0</v>
      </c>
      <c r="AB47" s="432">
        <f>U47</f>
        <v>0</v>
      </c>
      <c r="AC47" s="670">
        <f t="shared" si="2"/>
        <v>0</v>
      </c>
      <c r="AD47" s="1119">
        <v>0</v>
      </c>
      <c r="AE47" s="432">
        <f t="shared" si="7"/>
        <v>0</v>
      </c>
      <c r="AF47" s="449" t="s">
        <v>335</v>
      </c>
    </row>
    <row r="48" spans="1:32" ht="18.75" customHeight="1" x14ac:dyDescent="0.2">
      <c r="A48" s="1127">
        <v>34</v>
      </c>
      <c r="B48" s="461" t="s">
        <v>60</v>
      </c>
      <c r="C48" s="1119" t="s">
        <v>46</v>
      </c>
      <c r="D48" s="1119">
        <v>638.9</v>
      </c>
      <c r="E48" s="1119" t="s">
        <v>462</v>
      </c>
      <c r="F48" s="1119">
        <v>177.8</v>
      </c>
      <c r="G48" s="1119" t="s">
        <v>28</v>
      </c>
      <c r="H48" s="550" t="s">
        <v>540</v>
      </c>
      <c r="I48" s="1126">
        <v>533.19000000000005</v>
      </c>
      <c r="J48" s="1074">
        <v>364</v>
      </c>
      <c r="K48" s="1119"/>
      <c r="L48" s="1130">
        <v>433</v>
      </c>
      <c r="M48" s="1130"/>
      <c r="N48" s="668">
        <v>1.8</v>
      </c>
      <c r="O48" s="1119"/>
      <c r="P48" s="668">
        <v>15.753245369630855</v>
      </c>
      <c r="Q48" s="668">
        <f>(22/100)*J48</f>
        <v>80.08</v>
      </c>
      <c r="R48" s="432">
        <v>4.91</v>
      </c>
      <c r="S48" s="432">
        <v>11.568000000000001</v>
      </c>
      <c r="T48" s="670">
        <v>134</v>
      </c>
      <c r="U48" s="668">
        <f t="shared" si="9"/>
        <v>27.291242362525459</v>
      </c>
      <c r="V48" s="668">
        <f t="shared" si="4"/>
        <v>57.555325034578154</v>
      </c>
      <c r="W48" s="668">
        <v>0.3</v>
      </c>
      <c r="X48" s="432">
        <f t="shared" si="8"/>
        <v>0.14445554445554448</v>
      </c>
      <c r="Y48" s="432">
        <f t="shared" si="5"/>
        <v>4.8363500000000004</v>
      </c>
      <c r="Z48" s="432">
        <f t="shared" si="1"/>
        <v>11.394480000000001</v>
      </c>
      <c r="AA48" s="670">
        <f t="shared" si="1"/>
        <v>131.99</v>
      </c>
      <c r="AB48" s="432">
        <f t="shared" si="6"/>
        <v>27.291242362525459</v>
      </c>
      <c r="AC48" s="670">
        <f t="shared" si="2"/>
        <v>57.555325034578154</v>
      </c>
      <c r="AD48" s="1119">
        <v>31</v>
      </c>
      <c r="AE48" s="432">
        <f t="shared" si="7"/>
        <v>149.92685</v>
      </c>
      <c r="AF48" s="449"/>
    </row>
    <row r="49" spans="1:32" ht="18.75" customHeight="1" x14ac:dyDescent="0.2">
      <c r="A49" s="1127">
        <v>35</v>
      </c>
      <c r="B49" s="461" t="s">
        <v>119</v>
      </c>
      <c r="C49" s="1119" t="s">
        <v>427</v>
      </c>
      <c r="D49" s="1119">
        <v>654.07000000000005</v>
      </c>
      <c r="E49" s="1119" t="s">
        <v>410</v>
      </c>
      <c r="F49" s="1119">
        <v>177.8</v>
      </c>
      <c r="G49" s="1119" t="s">
        <v>28</v>
      </c>
      <c r="H49" s="1119" t="s">
        <v>399</v>
      </c>
      <c r="I49" s="1115">
        <v>521.47</v>
      </c>
      <c r="J49" s="1119"/>
      <c r="K49" s="1119">
        <v>478</v>
      </c>
      <c r="L49" s="1130"/>
      <c r="M49" s="1130"/>
      <c r="N49" s="668"/>
      <c r="O49" s="1119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9"/>
        <v>0</v>
      </c>
      <c r="V49" s="668"/>
      <c r="W49" s="668">
        <v>0</v>
      </c>
      <c r="X49" s="432">
        <f t="shared" si="8"/>
        <v>0</v>
      </c>
      <c r="Y49" s="432">
        <f t="shared" si="5"/>
        <v>0</v>
      </c>
      <c r="Z49" s="432">
        <f t="shared" si="1"/>
        <v>0</v>
      </c>
      <c r="AA49" s="670">
        <f t="shared" si="1"/>
        <v>0</v>
      </c>
      <c r="AB49" s="432">
        <f t="shared" si="6"/>
        <v>0</v>
      </c>
      <c r="AC49" s="670">
        <f t="shared" si="2"/>
        <v>0</v>
      </c>
      <c r="AD49" s="1119">
        <v>0</v>
      </c>
      <c r="AE49" s="432">
        <f t="shared" si="7"/>
        <v>0</v>
      </c>
      <c r="AF49" s="449" t="s">
        <v>432</v>
      </c>
    </row>
    <row r="50" spans="1:32" ht="18.75" customHeight="1" x14ac:dyDescent="0.2">
      <c r="A50" s="1127">
        <v>36</v>
      </c>
      <c r="B50" s="461" t="s">
        <v>118</v>
      </c>
      <c r="C50" s="1119" t="s">
        <v>408</v>
      </c>
      <c r="D50" s="1119">
        <v>728.77</v>
      </c>
      <c r="E50" s="1119" t="s">
        <v>442</v>
      </c>
      <c r="F50" s="1119">
        <v>177.8</v>
      </c>
      <c r="G50" s="1119" t="s">
        <v>28</v>
      </c>
      <c r="H50" s="1119" t="s">
        <v>52</v>
      </c>
      <c r="I50" s="1115">
        <v>522.24000000000012</v>
      </c>
      <c r="J50" s="1119">
        <v>260</v>
      </c>
      <c r="K50" s="1119"/>
      <c r="L50" s="1130">
        <v>393</v>
      </c>
      <c r="M50" s="1130"/>
      <c r="N50" s="668">
        <v>2.6</v>
      </c>
      <c r="O50" s="1119"/>
      <c r="P50" s="668">
        <v>20.248545703588736</v>
      </c>
      <c r="Q50" s="668">
        <f t="shared" si="10"/>
        <v>57.2</v>
      </c>
      <c r="R50" s="432">
        <v>6.1740000000000004</v>
      </c>
      <c r="S50" s="432">
        <v>9.718</v>
      </c>
      <c r="T50" s="670">
        <v>55</v>
      </c>
      <c r="U50" s="668">
        <f t="shared" si="9"/>
        <v>8.9083252348558464</v>
      </c>
      <c r="V50" s="668">
        <f t="shared" si="4"/>
        <v>36.468409137682642</v>
      </c>
      <c r="W50" s="668">
        <v>0.3</v>
      </c>
      <c r="X50" s="432">
        <f t="shared" si="8"/>
        <v>0.1698951048951049</v>
      </c>
      <c r="Y50" s="432">
        <f t="shared" si="5"/>
        <v>6.0813899999999999</v>
      </c>
      <c r="Z50" s="432">
        <f t="shared" si="1"/>
        <v>9.5722299999999994</v>
      </c>
      <c r="AA50" s="670">
        <f t="shared" si="1"/>
        <v>54.174999999999997</v>
      </c>
      <c r="AB50" s="432">
        <f t="shared" si="6"/>
        <v>8.9083252348558464</v>
      </c>
      <c r="AC50" s="670">
        <f t="shared" si="2"/>
        <v>36.468409137682642</v>
      </c>
      <c r="AD50" s="1119">
        <v>31</v>
      </c>
      <c r="AE50" s="432">
        <f t="shared" si="7"/>
        <v>188.52309</v>
      </c>
      <c r="AF50" s="449"/>
    </row>
    <row r="51" spans="1:32" ht="18.75" customHeight="1" x14ac:dyDescent="0.2">
      <c r="A51" s="1127">
        <v>37</v>
      </c>
      <c r="B51" s="461" t="s">
        <v>117</v>
      </c>
      <c r="C51" s="1119" t="s">
        <v>46</v>
      </c>
      <c r="D51" s="1119">
        <v>671.45</v>
      </c>
      <c r="E51" s="1130" t="s">
        <v>554</v>
      </c>
      <c r="F51" s="1119">
        <v>177.8</v>
      </c>
      <c r="G51" s="1119" t="s">
        <v>28</v>
      </c>
      <c r="H51" s="452" t="s">
        <v>464</v>
      </c>
      <c r="I51" s="1115">
        <v>564.6500000000002</v>
      </c>
      <c r="J51" s="1074"/>
      <c r="K51" s="1119"/>
      <c r="L51" s="1130"/>
      <c r="M51" s="1130">
        <v>3.2</v>
      </c>
      <c r="N51" s="668"/>
      <c r="O51" s="1119"/>
      <c r="P51" s="668">
        <v>31.447846508935225</v>
      </c>
      <c r="Q51" s="668">
        <f>J51*14/100</f>
        <v>0</v>
      </c>
      <c r="R51" s="432">
        <v>0</v>
      </c>
      <c r="S51" s="432">
        <v>0</v>
      </c>
      <c r="T51" s="670">
        <v>0</v>
      </c>
      <c r="U51" s="668">
        <f t="shared" si="9"/>
        <v>0</v>
      </c>
      <c r="V51" s="668"/>
      <c r="W51" s="668">
        <v>0</v>
      </c>
      <c r="X51" s="432">
        <f t="shared" si="8"/>
        <v>0</v>
      </c>
      <c r="Y51" s="432">
        <f t="shared" si="5"/>
        <v>0</v>
      </c>
      <c r="Z51" s="432">
        <f t="shared" si="1"/>
        <v>0</v>
      </c>
      <c r="AA51" s="670">
        <f t="shared" si="1"/>
        <v>0</v>
      </c>
      <c r="AB51" s="432">
        <f t="shared" si="6"/>
        <v>0</v>
      </c>
      <c r="AC51" s="670">
        <f t="shared" si="2"/>
        <v>0</v>
      </c>
      <c r="AD51" s="1119">
        <v>31</v>
      </c>
      <c r="AE51" s="432">
        <f t="shared" si="7"/>
        <v>0</v>
      </c>
      <c r="AF51" s="669" t="s">
        <v>335</v>
      </c>
    </row>
    <row r="52" spans="1:32" ht="18.75" customHeight="1" x14ac:dyDescent="0.2">
      <c r="A52" s="1127">
        <v>38</v>
      </c>
      <c r="B52" s="461" t="s">
        <v>130</v>
      </c>
      <c r="C52" s="1119" t="s">
        <v>46</v>
      </c>
      <c r="D52" s="1119">
        <v>622.6</v>
      </c>
      <c r="E52" s="1130" t="s">
        <v>555</v>
      </c>
      <c r="F52" s="1119">
        <v>177.8</v>
      </c>
      <c r="G52" s="1119" t="s">
        <v>28</v>
      </c>
      <c r="H52" s="1119" t="s">
        <v>502</v>
      </c>
      <c r="I52" s="1115">
        <v>572.83000000000004</v>
      </c>
      <c r="J52" s="1119">
        <v>135</v>
      </c>
      <c r="K52" s="1119"/>
      <c r="L52" s="1130">
        <v>416</v>
      </c>
      <c r="M52" s="1130"/>
      <c r="N52" s="668">
        <v>0.4</v>
      </c>
      <c r="O52" s="1119"/>
      <c r="P52" s="668">
        <v>44.546058115053057</v>
      </c>
      <c r="Q52" s="668">
        <f>(15/100)*J52</f>
        <v>20.25</v>
      </c>
      <c r="R52" s="432">
        <v>0.56599999999999995</v>
      </c>
      <c r="S52" s="432">
        <v>0.60099999999999998</v>
      </c>
      <c r="T52" s="670">
        <v>0</v>
      </c>
      <c r="U52" s="668">
        <f t="shared" si="9"/>
        <v>0</v>
      </c>
      <c r="V52" s="668">
        <f t="shared" si="4"/>
        <v>5.8236272878535829</v>
      </c>
      <c r="W52" s="668">
        <v>0</v>
      </c>
      <c r="X52" s="432">
        <f t="shared" si="8"/>
        <v>2.9679012345679011E-2</v>
      </c>
      <c r="Y52" s="432">
        <f t="shared" si="5"/>
        <v>0.55750999999999995</v>
      </c>
      <c r="Z52" s="432">
        <f t="shared" si="1"/>
        <v>0.59198499999999998</v>
      </c>
      <c r="AA52" s="670">
        <f t="shared" si="1"/>
        <v>0</v>
      </c>
      <c r="AB52" s="432">
        <f t="shared" si="6"/>
        <v>0</v>
      </c>
      <c r="AC52" s="670">
        <f t="shared" si="2"/>
        <v>5.8236272878535829</v>
      </c>
      <c r="AD52" s="1119">
        <v>0</v>
      </c>
      <c r="AE52" s="432">
        <f t="shared" si="7"/>
        <v>0</v>
      </c>
      <c r="AF52" s="669"/>
    </row>
    <row r="53" spans="1:32" ht="18.75" customHeight="1" x14ac:dyDescent="0.2">
      <c r="A53" s="1127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119">
        <v>177.8</v>
      </c>
      <c r="G53" s="452" t="s">
        <v>28</v>
      </c>
      <c r="H53" s="452" t="s">
        <v>363</v>
      </c>
      <c r="I53" s="453">
        <v>565.65</v>
      </c>
      <c r="J53" s="452">
        <v>290</v>
      </c>
      <c r="K53" s="452"/>
      <c r="L53" s="452">
        <v>419</v>
      </c>
      <c r="M53" s="452"/>
      <c r="N53" s="668">
        <v>1.3</v>
      </c>
      <c r="O53" s="452"/>
      <c r="P53" s="675">
        <v>19.121454599912241</v>
      </c>
      <c r="Q53" s="668">
        <f>J53*7/100</f>
        <v>20.3</v>
      </c>
      <c r="R53" s="456">
        <v>3.4430000000000001</v>
      </c>
      <c r="S53" s="432">
        <v>3.742</v>
      </c>
      <c r="T53" s="700">
        <v>57</v>
      </c>
      <c r="U53" s="668">
        <f t="shared" si="9"/>
        <v>16.555329654371189</v>
      </c>
      <c r="V53" s="668">
        <f t="shared" si="4"/>
        <v>7.9903794762159208</v>
      </c>
      <c r="W53" s="675">
        <v>0.2</v>
      </c>
      <c r="X53" s="432">
        <f t="shared" si="8"/>
        <v>0.18433497536945812</v>
      </c>
      <c r="Y53" s="432">
        <f t="shared" si="5"/>
        <v>3.3913549999999999</v>
      </c>
      <c r="Z53" s="432">
        <f t="shared" si="1"/>
        <v>3.68587</v>
      </c>
      <c r="AA53" s="670">
        <f t="shared" si="1"/>
        <v>56.144999999999996</v>
      </c>
      <c r="AB53" s="456">
        <f t="shared" si="6"/>
        <v>16.555329654371189</v>
      </c>
      <c r="AC53" s="670">
        <f t="shared" si="2"/>
        <v>7.9903794762159208</v>
      </c>
      <c r="AD53" s="1119">
        <v>31</v>
      </c>
      <c r="AE53" s="456">
        <f t="shared" si="7"/>
        <v>105.13200499999999</v>
      </c>
      <c r="AF53" s="449"/>
    </row>
    <row r="54" spans="1:32" ht="18.75" customHeight="1" x14ac:dyDescent="0.2">
      <c r="A54" s="1127">
        <v>40</v>
      </c>
      <c r="B54" s="461" t="s">
        <v>116</v>
      </c>
      <c r="C54" s="1119" t="s">
        <v>46</v>
      </c>
      <c r="D54" s="1119">
        <v>681.27</v>
      </c>
      <c r="E54" s="1130" t="s">
        <v>455</v>
      </c>
      <c r="F54" s="1119">
        <v>177.8</v>
      </c>
      <c r="G54" s="1119" t="s">
        <v>28</v>
      </c>
      <c r="H54" s="1119" t="s">
        <v>556</v>
      </c>
      <c r="I54" s="1115">
        <v>559.23</v>
      </c>
      <c r="J54" s="1074">
        <v>100</v>
      </c>
      <c r="K54" s="1119"/>
      <c r="L54" s="670">
        <v>299</v>
      </c>
      <c r="M54" s="1130"/>
      <c r="N54" s="668">
        <v>1.5</v>
      </c>
      <c r="O54" s="1119"/>
      <c r="P54" s="668">
        <v>40.79107955949334</v>
      </c>
      <c r="Q54" s="675">
        <f>J54*13/100</f>
        <v>13</v>
      </c>
      <c r="R54" s="432">
        <v>3.3490000000000002</v>
      </c>
      <c r="S54" s="432">
        <v>9.9969999999999999</v>
      </c>
      <c r="T54" s="670">
        <v>5</v>
      </c>
      <c r="U54" s="668">
        <f t="shared" si="9"/>
        <v>1.492982979994028</v>
      </c>
      <c r="V54" s="668">
        <f t="shared" si="4"/>
        <v>66.499949984995496</v>
      </c>
      <c r="W54" s="668">
        <v>0.3</v>
      </c>
      <c r="X54" s="432">
        <f t="shared" si="8"/>
        <v>0.76900000000000002</v>
      </c>
      <c r="Y54" s="432">
        <f t="shared" si="5"/>
        <v>3.2987649999999999</v>
      </c>
      <c r="Z54" s="432">
        <f t="shared" si="1"/>
        <v>9.8470449999999996</v>
      </c>
      <c r="AA54" s="670">
        <f t="shared" si="1"/>
        <v>4.9249999999999998</v>
      </c>
      <c r="AB54" s="432">
        <f t="shared" si="6"/>
        <v>1.492982979994028</v>
      </c>
      <c r="AC54" s="670">
        <f t="shared" si="2"/>
        <v>66.499949984995496</v>
      </c>
      <c r="AD54" s="1119">
        <v>31</v>
      </c>
      <c r="AE54" s="432">
        <f t="shared" si="7"/>
        <v>102.261715</v>
      </c>
      <c r="AF54" s="449"/>
    </row>
    <row r="55" spans="1:32" ht="18.75" customHeight="1" x14ac:dyDescent="0.2">
      <c r="A55" s="1127">
        <v>41</v>
      </c>
      <c r="B55" s="461" t="s">
        <v>120</v>
      </c>
      <c r="C55" s="1119" t="s">
        <v>46</v>
      </c>
      <c r="D55" s="1119">
        <v>668.57</v>
      </c>
      <c r="E55" s="1130" t="s">
        <v>285</v>
      </c>
      <c r="F55" s="1119">
        <v>177.8</v>
      </c>
      <c r="G55" s="1119" t="s">
        <v>28</v>
      </c>
      <c r="H55" s="452" t="s">
        <v>464</v>
      </c>
      <c r="I55" s="1115">
        <v>568.66</v>
      </c>
      <c r="J55" s="1119">
        <v>320</v>
      </c>
      <c r="K55" s="1119"/>
      <c r="L55" s="670">
        <v>453</v>
      </c>
      <c r="M55" s="1130"/>
      <c r="N55" s="668">
        <v>0</v>
      </c>
      <c r="O55" s="1119"/>
      <c r="P55" s="668">
        <v>13.750347683204614</v>
      </c>
      <c r="Q55" s="668">
        <f>J55*14/100</f>
        <v>44.8</v>
      </c>
      <c r="R55" s="432">
        <v>3.3530000000000002</v>
      </c>
      <c r="S55" s="432">
        <v>6.9350000000000005</v>
      </c>
      <c r="T55" s="670">
        <v>0</v>
      </c>
      <c r="U55" s="668">
        <f t="shared" si="9"/>
        <v>0</v>
      </c>
      <c r="V55" s="668">
        <f t="shared" si="4"/>
        <v>51.65104542177361</v>
      </c>
      <c r="W55" s="668">
        <v>0.3</v>
      </c>
      <c r="X55" s="432">
        <f t="shared" si="8"/>
        <v>0.15479910714285716</v>
      </c>
      <c r="Y55" s="432">
        <f t="shared" si="5"/>
        <v>3.302705</v>
      </c>
      <c r="Z55" s="432">
        <f t="shared" si="1"/>
        <v>6.8309750000000005</v>
      </c>
      <c r="AA55" s="670">
        <f t="shared" si="1"/>
        <v>0</v>
      </c>
      <c r="AB55" s="432">
        <f t="shared" si="6"/>
        <v>0</v>
      </c>
      <c r="AC55" s="670">
        <f t="shared" si="2"/>
        <v>51.65104542177361</v>
      </c>
      <c r="AD55" s="1119">
        <v>31</v>
      </c>
      <c r="AE55" s="432">
        <f t="shared" si="7"/>
        <v>102.383855</v>
      </c>
      <c r="AF55" s="669"/>
    </row>
    <row r="56" spans="1:32" ht="18.75" customHeight="1" x14ac:dyDescent="0.2">
      <c r="A56" s="1127">
        <v>42</v>
      </c>
      <c r="B56" s="461" t="s">
        <v>114</v>
      </c>
      <c r="C56" s="1119" t="s">
        <v>46</v>
      </c>
      <c r="D56" s="1119">
        <v>584.25</v>
      </c>
      <c r="E56" s="1130" t="s">
        <v>419</v>
      </c>
      <c r="F56" s="1119">
        <v>177.8</v>
      </c>
      <c r="G56" s="1119" t="s">
        <v>28</v>
      </c>
      <c r="H56" s="1119" t="s">
        <v>492</v>
      </c>
      <c r="I56" s="1115">
        <v>566.38000000000022</v>
      </c>
      <c r="J56" s="1119">
        <v>210</v>
      </c>
      <c r="K56" s="1119"/>
      <c r="L56" s="1130">
        <v>170</v>
      </c>
      <c r="M56" s="1130"/>
      <c r="N56" s="668">
        <v>3.4</v>
      </c>
      <c r="O56" s="1119"/>
      <c r="P56" s="668">
        <v>46.582408574669991</v>
      </c>
      <c r="Q56" s="668">
        <f>J56*7/100</f>
        <v>14.7</v>
      </c>
      <c r="R56" s="432">
        <v>2.835</v>
      </c>
      <c r="S56" s="432">
        <v>8.1430000000000007</v>
      </c>
      <c r="T56" s="670">
        <v>0</v>
      </c>
      <c r="U56" s="668">
        <f t="shared" si="9"/>
        <v>0</v>
      </c>
      <c r="V56" s="668">
        <f t="shared" si="4"/>
        <v>65.184821318924236</v>
      </c>
      <c r="W56" s="668">
        <v>0.3</v>
      </c>
      <c r="X56" s="432">
        <f t="shared" si="8"/>
        <v>0.55394557823129253</v>
      </c>
      <c r="Y56" s="432">
        <f t="shared" si="5"/>
        <v>2.792475</v>
      </c>
      <c r="Z56" s="432">
        <f t="shared" si="1"/>
        <v>8.020855000000001</v>
      </c>
      <c r="AA56" s="670">
        <f t="shared" si="1"/>
        <v>0</v>
      </c>
      <c r="AB56" s="432">
        <f t="shared" si="6"/>
        <v>0</v>
      </c>
      <c r="AC56" s="670">
        <v>0</v>
      </c>
      <c r="AD56" s="1119">
        <v>31</v>
      </c>
      <c r="AE56" s="432">
        <f t="shared" si="7"/>
        <v>86.566725000000005</v>
      </c>
      <c r="AF56" s="669"/>
    </row>
    <row r="57" spans="1:32" ht="18.75" customHeight="1" x14ac:dyDescent="0.2">
      <c r="A57" s="1127">
        <v>43</v>
      </c>
      <c r="B57" s="461" t="s">
        <v>106</v>
      </c>
      <c r="C57" s="1119" t="s">
        <v>46</v>
      </c>
      <c r="D57" s="1119">
        <v>568.11</v>
      </c>
      <c r="E57" s="1130" t="s">
        <v>541</v>
      </c>
      <c r="F57" s="1119">
        <v>177.8</v>
      </c>
      <c r="G57" s="1119" t="s">
        <v>28</v>
      </c>
      <c r="H57" s="1119" t="s">
        <v>542</v>
      </c>
      <c r="I57" s="1115">
        <v>567.65</v>
      </c>
      <c r="J57" s="1119"/>
      <c r="K57" s="1119">
        <v>450</v>
      </c>
      <c r="L57" s="677"/>
      <c r="M57" s="668">
        <v>0.3</v>
      </c>
      <c r="O57" s="1119"/>
      <c r="P57" s="668">
        <v>43.379220197458594</v>
      </c>
      <c r="Q57" s="668">
        <f>(15/100)*J57</f>
        <v>0</v>
      </c>
      <c r="R57" s="432">
        <v>0</v>
      </c>
      <c r="S57" s="432">
        <v>0</v>
      </c>
      <c r="T57" s="670">
        <v>0</v>
      </c>
      <c r="U57" s="668">
        <f t="shared" si="9"/>
        <v>0</v>
      </c>
      <c r="V57" s="668"/>
      <c r="W57" s="668">
        <v>0.3</v>
      </c>
      <c r="X57" s="432">
        <f t="shared" si="8"/>
        <v>0</v>
      </c>
      <c r="Y57" s="432">
        <f t="shared" si="5"/>
        <v>0</v>
      </c>
      <c r="Z57" s="432">
        <f t="shared" si="1"/>
        <v>0</v>
      </c>
      <c r="AA57" s="670">
        <f t="shared" si="1"/>
        <v>0</v>
      </c>
      <c r="AB57" s="432">
        <f t="shared" si="6"/>
        <v>0</v>
      </c>
      <c r="AC57" s="670">
        <f t="shared" si="2"/>
        <v>0</v>
      </c>
      <c r="AD57" s="1119">
        <v>31</v>
      </c>
      <c r="AE57" s="432">
        <f t="shared" si="7"/>
        <v>0</v>
      </c>
      <c r="AF57" s="449"/>
    </row>
    <row r="58" spans="1:32" ht="18.75" customHeight="1" x14ac:dyDescent="0.2">
      <c r="A58" s="1127">
        <v>44</v>
      </c>
      <c r="B58" s="461" t="s">
        <v>105</v>
      </c>
      <c r="C58" s="1119" t="s">
        <v>46</v>
      </c>
      <c r="D58" s="1119">
        <v>609.6</v>
      </c>
      <c r="E58" s="1130" t="s">
        <v>110</v>
      </c>
      <c r="F58" s="1119">
        <v>177.8</v>
      </c>
      <c r="G58" s="1119" t="s">
        <v>28</v>
      </c>
      <c r="H58" s="1119" t="s">
        <v>487</v>
      </c>
      <c r="I58" s="1115">
        <v>505.30000000000013</v>
      </c>
      <c r="J58" s="1119"/>
      <c r="K58" s="1119">
        <v>370</v>
      </c>
      <c r="L58" s="677"/>
      <c r="M58" s="668">
        <v>0.5</v>
      </c>
      <c r="O58" s="1119"/>
      <c r="P58" s="668">
        <v>14.547901556494581</v>
      </c>
      <c r="Q58" s="668">
        <f t="shared" si="10"/>
        <v>0</v>
      </c>
      <c r="R58" s="432">
        <v>0</v>
      </c>
      <c r="S58" s="432">
        <v>0</v>
      </c>
      <c r="T58" s="670">
        <v>0</v>
      </c>
      <c r="U58" s="668">
        <f t="shared" si="9"/>
        <v>0</v>
      </c>
      <c r="V58" s="668"/>
      <c r="W58" s="668">
        <v>0.3</v>
      </c>
      <c r="X58" s="432">
        <f t="shared" si="8"/>
        <v>0</v>
      </c>
      <c r="Y58" s="432">
        <f t="shared" si="5"/>
        <v>0</v>
      </c>
      <c r="Z58" s="432">
        <f t="shared" si="1"/>
        <v>0</v>
      </c>
      <c r="AA58" s="670">
        <f t="shared" si="1"/>
        <v>0</v>
      </c>
      <c r="AB58" s="432">
        <v>0</v>
      </c>
      <c r="AC58" s="670">
        <v>0</v>
      </c>
      <c r="AD58" s="1119">
        <v>31</v>
      </c>
      <c r="AE58" s="432">
        <f t="shared" si="7"/>
        <v>0</v>
      </c>
      <c r="AF58" s="669"/>
    </row>
    <row r="59" spans="1:32" ht="18.600000000000001" customHeight="1" x14ac:dyDescent="0.3">
      <c r="A59" s="1127">
        <v>45</v>
      </c>
      <c r="B59" s="1116" t="s">
        <v>158</v>
      </c>
      <c r="C59" s="1119" t="s">
        <v>46</v>
      </c>
      <c r="D59" s="1115">
        <v>621.12</v>
      </c>
      <c r="E59" s="1128" t="s">
        <v>232</v>
      </c>
      <c r="F59" s="1119">
        <v>177.8</v>
      </c>
      <c r="G59" s="1119" t="s">
        <v>28</v>
      </c>
      <c r="H59" s="1119" t="s">
        <v>487</v>
      </c>
      <c r="I59" s="1126">
        <v>542.41</v>
      </c>
      <c r="J59" s="1115">
        <v>320</v>
      </c>
      <c r="K59" s="1115"/>
      <c r="L59" s="1128">
        <v>455</v>
      </c>
      <c r="M59" s="1128"/>
      <c r="N59" s="668">
        <v>5.3</v>
      </c>
      <c r="O59" s="1115"/>
      <c r="P59" s="448">
        <v>17.180418442071225</v>
      </c>
      <c r="Q59" s="668">
        <f t="shared" si="10"/>
        <v>48</v>
      </c>
      <c r="R59" s="432">
        <v>8.9760000000000009</v>
      </c>
      <c r="S59" s="432">
        <v>11.024000000000001</v>
      </c>
      <c r="T59" s="492">
        <v>49</v>
      </c>
      <c r="U59" s="668">
        <f t="shared" si="9"/>
        <v>5.4590017825311934</v>
      </c>
      <c r="V59" s="668">
        <f t="shared" si="4"/>
        <v>18.577648766328011</v>
      </c>
      <c r="W59" s="668">
        <v>0.2</v>
      </c>
      <c r="X59" s="432">
        <f t="shared" si="8"/>
        <v>0.22966666666666669</v>
      </c>
      <c r="Y59" s="432">
        <f t="shared" si="5"/>
        <v>8.8413599999999999</v>
      </c>
      <c r="Z59" s="432">
        <f t="shared" si="1"/>
        <v>10.858640000000001</v>
      </c>
      <c r="AA59" s="670">
        <f t="shared" si="1"/>
        <v>48.265000000000001</v>
      </c>
      <c r="AB59" s="432">
        <f t="shared" si="6"/>
        <v>5.4590017825311934</v>
      </c>
      <c r="AC59" s="670">
        <f t="shared" si="2"/>
        <v>18.577648766328011</v>
      </c>
      <c r="AD59" s="1119">
        <v>31</v>
      </c>
      <c r="AE59" s="432">
        <f>Y59*AD59</f>
        <v>274.08215999999999</v>
      </c>
      <c r="AF59" s="458"/>
    </row>
    <row r="60" spans="1:32" ht="18.75" customHeight="1" x14ac:dyDescent="0.2">
      <c r="A60" s="1127">
        <v>46</v>
      </c>
      <c r="B60" s="1116" t="s">
        <v>160</v>
      </c>
      <c r="C60" s="1119" t="s">
        <v>304</v>
      </c>
      <c r="D60" s="1115">
        <v>677.33</v>
      </c>
      <c r="E60" s="1128" t="s">
        <v>315</v>
      </c>
      <c r="F60" s="1119">
        <v>177.8</v>
      </c>
      <c r="G60" s="1119" t="s">
        <v>28</v>
      </c>
      <c r="H60" s="1119" t="s">
        <v>52</v>
      </c>
      <c r="I60" s="1115">
        <v>599.4400000000004</v>
      </c>
      <c r="J60" s="1115"/>
      <c r="K60" s="1115"/>
      <c r="L60" s="1130"/>
      <c r="M60" s="1128"/>
      <c r="N60" s="668"/>
      <c r="O60" s="1115"/>
      <c r="P60" s="448">
        <v>49.760394055761445</v>
      </c>
      <c r="Q60" s="668">
        <f t="shared" si="10"/>
        <v>0</v>
      </c>
      <c r="R60" s="432">
        <v>0</v>
      </c>
      <c r="S60" s="432">
        <v>0</v>
      </c>
      <c r="T60" s="492">
        <v>0</v>
      </c>
      <c r="U60" s="668">
        <f t="shared" si="9"/>
        <v>0</v>
      </c>
      <c r="V60" s="668"/>
      <c r="W60" s="668">
        <v>0</v>
      </c>
      <c r="X60" s="432">
        <f t="shared" si="8"/>
        <v>0</v>
      </c>
      <c r="Y60" s="432">
        <f t="shared" si="5"/>
        <v>0</v>
      </c>
      <c r="Z60" s="432">
        <f t="shared" si="1"/>
        <v>0</v>
      </c>
      <c r="AA60" s="670">
        <f t="shared" si="1"/>
        <v>0</v>
      </c>
      <c r="AB60" s="432">
        <f t="shared" si="6"/>
        <v>0</v>
      </c>
      <c r="AC60" s="670">
        <f t="shared" si="2"/>
        <v>0</v>
      </c>
      <c r="AD60" s="1119">
        <v>0</v>
      </c>
      <c r="AE60" s="432">
        <f>Y60*AD60</f>
        <v>0</v>
      </c>
      <c r="AF60" s="669" t="s">
        <v>334</v>
      </c>
    </row>
    <row r="61" spans="1:32" ht="18.75" customHeight="1" x14ac:dyDescent="0.2">
      <c r="A61" s="1127">
        <v>47</v>
      </c>
      <c r="B61" s="461" t="s">
        <v>164</v>
      </c>
      <c r="C61" s="1119" t="s">
        <v>46</v>
      </c>
      <c r="D61" s="1115">
        <v>678.47</v>
      </c>
      <c r="E61" s="1128" t="s">
        <v>233</v>
      </c>
      <c r="F61" s="1119">
        <v>177.8</v>
      </c>
      <c r="G61" s="1119" t="s">
        <v>28</v>
      </c>
      <c r="H61" s="1119" t="s">
        <v>487</v>
      </c>
      <c r="I61" s="1115">
        <v>565.48000000000013</v>
      </c>
      <c r="J61" s="493">
        <v>230</v>
      </c>
      <c r="K61" s="1115"/>
      <c r="L61" s="1128">
        <v>338</v>
      </c>
      <c r="M61" s="1128"/>
      <c r="N61" s="668">
        <v>7.8</v>
      </c>
      <c r="O61" s="1115"/>
      <c r="P61" s="668">
        <v>30.910175295823326</v>
      </c>
      <c r="Q61" s="668">
        <f t="shared" si="10"/>
        <v>34.5</v>
      </c>
      <c r="R61" s="432">
        <v>3.51</v>
      </c>
      <c r="S61" s="432">
        <v>14.183999999999999</v>
      </c>
      <c r="T61" s="670">
        <v>21</v>
      </c>
      <c r="U61" s="668">
        <f t="shared" si="9"/>
        <v>5.982905982905983</v>
      </c>
      <c r="V61" s="668">
        <f t="shared" si="4"/>
        <v>75.253807106598984</v>
      </c>
      <c r="W61" s="668">
        <v>0.3</v>
      </c>
      <c r="X61" s="432">
        <f t="shared" si="8"/>
        <v>0.41113043478260869</v>
      </c>
      <c r="Y61" s="432">
        <f t="shared" si="5"/>
        <v>3.4573499999999999</v>
      </c>
      <c r="Z61" s="432">
        <f t="shared" si="1"/>
        <v>13.97124</v>
      </c>
      <c r="AA61" s="670">
        <f t="shared" si="1"/>
        <v>20.684999999999999</v>
      </c>
      <c r="AB61" s="432">
        <f t="shared" si="6"/>
        <v>5.982905982905983</v>
      </c>
      <c r="AC61" s="670">
        <f t="shared" si="2"/>
        <v>75.253807106598984</v>
      </c>
      <c r="AD61" s="1119">
        <v>31</v>
      </c>
      <c r="AE61" s="432">
        <f t="shared" ref="AE61:AE77" si="11">Y61*AD61</f>
        <v>107.17784999999999</v>
      </c>
      <c r="AF61" s="669"/>
    </row>
    <row r="62" spans="1:32" ht="18.75" customHeight="1" x14ac:dyDescent="0.2">
      <c r="A62" s="1127">
        <v>48</v>
      </c>
      <c r="B62" s="461" t="s">
        <v>61</v>
      </c>
      <c r="C62" s="1119" t="s">
        <v>46</v>
      </c>
      <c r="D62" s="1119">
        <v>667.18</v>
      </c>
      <c r="E62" s="1130" t="s">
        <v>96</v>
      </c>
      <c r="F62" s="1119">
        <v>177.8</v>
      </c>
      <c r="G62" s="1119" t="s">
        <v>28</v>
      </c>
      <c r="H62" s="1119" t="s">
        <v>52</v>
      </c>
      <c r="I62" s="1115">
        <v>534.21</v>
      </c>
      <c r="J62" s="1119">
        <v>355</v>
      </c>
      <c r="K62" s="1119"/>
      <c r="L62" s="1130">
        <v>461</v>
      </c>
      <c r="M62" s="1130"/>
      <c r="N62" s="668">
        <v>2.2999999999999998</v>
      </c>
      <c r="O62" s="1119"/>
      <c r="P62" s="668">
        <v>11.853580617918645</v>
      </c>
      <c r="Q62" s="668">
        <f t="shared" si="10"/>
        <v>78.099999999999994</v>
      </c>
      <c r="R62" s="432">
        <v>6.452</v>
      </c>
      <c r="S62" s="432">
        <v>13.782</v>
      </c>
      <c r="T62" s="670">
        <v>55</v>
      </c>
      <c r="U62" s="668">
        <f t="shared" si="9"/>
        <v>8.5244885306881581</v>
      </c>
      <c r="V62" s="668">
        <f t="shared" si="4"/>
        <v>53.18531417791322</v>
      </c>
      <c r="W62" s="668">
        <v>0.2</v>
      </c>
      <c r="X62" s="432">
        <f t="shared" si="8"/>
        <v>0.17646606914212548</v>
      </c>
      <c r="Y62" s="432">
        <f t="shared" si="5"/>
        <v>6.3552200000000001</v>
      </c>
      <c r="Z62" s="432">
        <f t="shared" si="1"/>
        <v>13.57527</v>
      </c>
      <c r="AA62" s="670">
        <f t="shared" si="1"/>
        <v>54.174999999999997</v>
      </c>
      <c r="AB62" s="432">
        <f t="shared" si="6"/>
        <v>8.5244885306881581</v>
      </c>
      <c r="AC62" s="670">
        <f t="shared" si="2"/>
        <v>53.18531417791322</v>
      </c>
      <c r="AD62" s="1119">
        <v>31</v>
      </c>
      <c r="AE62" s="432">
        <f t="shared" si="11"/>
        <v>197.01182</v>
      </c>
      <c r="AF62" s="449"/>
    </row>
    <row r="63" spans="1:32" ht="18.75" customHeight="1" x14ac:dyDescent="0.2">
      <c r="A63" s="1127">
        <v>49</v>
      </c>
      <c r="B63" s="461" t="s">
        <v>64</v>
      </c>
      <c r="C63" s="1119" t="s">
        <v>46</v>
      </c>
      <c r="D63" s="1119">
        <v>672.5</v>
      </c>
      <c r="E63" s="1130" t="s">
        <v>444</v>
      </c>
      <c r="F63" s="1119">
        <v>177.8</v>
      </c>
      <c r="G63" s="1119" t="s">
        <v>28</v>
      </c>
      <c r="H63" s="1119" t="s">
        <v>466</v>
      </c>
      <c r="I63" s="1115">
        <v>521.87000000000012</v>
      </c>
      <c r="J63" s="1119">
        <v>250</v>
      </c>
      <c r="K63" s="1119"/>
      <c r="L63" s="1130">
        <v>433</v>
      </c>
      <c r="M63" s="1130"/>
      <c r="N63" s="668">
        <v>8.8000000000000007</v>
      </c>
      <c r="O63" s="1119"/>
      <c r="P63" s="668">
        <v>18.349305620607218</v>
      </c>
      <c r="Q63" s="668">
        <f>J63*13/100</f>
        <v>32.5</v>
      </c>
      <c r="R63" s="432">
        <v>4.8579999999999997</v>
      </c>
      <c r="S63" s="432">
        <v>8.6769999999999996</v>
      </c>
      <c r="T63" s="670">
        <v>1058.999</v>
      </c>
      <c r="U63" s="668">
        <f t="shared" si="9"/>
        <v>217.9907369287773</v>
      </c>
      <c r="V63" s="668">
        <f t="shared" si="4"/>
        <v>44.012907686988591</v>
      </c>
      <c r="W63" s="668">
        <v>0.2</v>
      </c>
      <c r="X63" s="432">
        <f t="shared" si="8"/>
        <v>0.26698461538461538</v>
      </c>
      <c r="Y63" s="432">
        <f t="shared" si="5"/>
        <v>4.7851299999999997</v>
      </c>
      <c r="Z63" s="432">
        <f t="shared" si="1"/>
        <v>8.5468449999999994</v>
      </c>
      <c r="AA63" s="670">
        <f t="shared" si="1"/>
        <v>1043.1140150000001</v>
      </c>
      <c r="AB63" s="432">
        <f t="shared" si="6"/>
        <v>217.9907369287773</v>
      </c>
      <c r="AC63" s="670">
        <f t="shared" si="2"/>
        <v>44.012907686988591</v>
      </c>
      <c r="AD63" s="1119">
        <v>31</v>
      </c>
      <c r="AE63" s="432">
        <f t="shared" si="11"/>
        <v>148.33902999999998</v>
      </c>
      <c r="AF63" s="449"/>
    </row>
    <row r="64" spans="1:32" ht="18.75" customHeight="1" x14ac:dyDescent="0.2">
      <c r="A64" s="1127">
        <v>50</v>
      </c>
      <c r="B64" s="461" t="s">
        <v>156</v>
      </c>
      <c r="C64" s="1127" t="s">
        <v>558</v>
      </c>
      <c r="D64" s="1127">
        <v>679.54</v>
      </c>
      <c r="E64" s="1130" t="s">
        <v>557</v>
      </c>
      <c r="F64" s="1127">
        <v>177.8</v>
      </c>
      <c r="G64" s="1127" t="s">
        <v>28</v>
      </c>
      <c r="H64" s="1127" t="s">
        <v>466</v>
      </c>
      <c r="I64" s="1126">
        <v>510.67</v>
      </c>
      <c r="J64" s="1127">
        <v>220</v>
      </c>
      <c r="K64" s="1127"/>
      <c r="L64" s="1130">
        <v>412</v>
      </c>
      <c r="M64" s="1130"/>
      <c r="N64" s="668">
        <v>5.4</v>
      </c>
      <c r="O64" s="1127"/>
      <c r="P64" s="668">
        <v>17.5</v>
      </c>
      <c r="Q64" s="668">
        <f>J64*13/100</f>
        <v>28.6</v>
      </c>
      <c r="R64" s="432">
        <v>5.5049999999999999</v>
      </c>
      <c r="S64" s="432">
        <v>10.129</v>
      </c>
      <c r="T64" s="670">
        <v>52</v>
      </c>
      <c r="U64" s="668"/>
      <c r="V64" s="668">
        <f t="shared" si="4"/>
        <v>45.651100799684073</v>
      </c>
      <c r="W64" s="668"/>
      <c r="X64" s="432">
        <f t="shared" si="8"/>
        <v>0.35416083916083912</v>
      </c>
      <c r="Y64" s="432"/>
      <c r="Z64" s="432"/>
      <c r="AA64" s="670"/>
      <c r="AB64" s="432"/>
      <c r="AC64" s="670"/>
      <c r="AD64" s="1127"/>
      <c r="AE64" s="432"/>
      <c r="AF64" s="449"/>
    </row>
    <row r="65" spans="1:32" ht="18.75" customHeight="1" x14ac:dyDescent="0.2">
      <c r="A65" s="1127">
        <v>51</v>
      </c>
      <c r="B65" s="461" t="s">
        <v>169</v>
      </c>
      <c r="C65" s="1119" t="s">
        <v>46</v>
      </c>
      <c r="D65" s="1119">
        <v>647.37</v>
      </c>
      <c r="E65" s="1130" t="s">
        <v>463</v>
      </c>
      <c r="F65" s="1119">
        <v>177.8</v>
      </c>
      <c r="G65" s="1119" t="s">
        <v>28</v>
      </c>
      <c r="H65" s="1119" t="s">
        <v>466</v>
      </c>
      <c r="I65" s="1126">
        <v>538.92999999999995</v>
      </c>
      <c r="J65" s="1119">
        <v>230</v>
      </c>
      <c r="K65" s="1119"/>
      <c r="L65" s="1130">
        <v>421</v>
      </c>
      <c r="M65" s="1130"/>
      <c r="N65" s="668">
        <v>2.1</v>
      </c>
      <c r="O65" s="1119"/>
      <c r="P65" s="668">
        <v>22.592631529250138</v>
      </c>
      <c r="Q65" s="668">
        <f>J65*13/100</f>
        <v>29.9</v>
      </c>
      <c r="R65" s="432">
        <v>3.2559999999999998</v>
      </c>
      <c r="S65" s="432">
        <v>7.2240000000000002</v>
      </c>
      <c r="T65" s="670">
        <v>25</v>
      </c>
      <c r="U65" s="668">
        <f t="shared" si="9"/>
        <v>7.6781326781326786</v>
      </c>
      <c r="V65" s="668">
        <f t="shared" si="4"/>
        <v>54.928017718715402</v>
      </c>
      <c r="W65" s="668">
        <v>0.3</v>
      </c>
      <c r="X65" s="432">
        <f t="shared" si="8"/>
        <v>0.24160535117056858</v>
      </c>
      <c r="Y65" s="432">
        <f t="shared" si="5"/>
        <v>3.2071599999999996</v>
      </c>
      <c r="Z65" s="432">
        <f t="shared" si="1"/>
        <v>7.11564</v>
      </c>
      <c r="AA65" s="670">
        <f t="shared" si="1"/>
        <v>24.625</v>
      </c>
      <c r="AB65" s="432">
        <f t="shared" si="6"/>
        <v>7.6781326781326786</v>
      </c>
      <c r="AC65" s="670">
        <f t="shared" si="2"/>
        <v>54.928017718715402</v>
      </c>
      <c r="AD65" s="1119">
        <v>31</v>
      </c>
      <c r="AE65" s="432">
        <f>Y65*AD65</f>
        <v>99.421959999999984</v>
      </c>
      <c r="AF65" s="449"/>
    </row>
    <row r="66" spans="1:32" ht="18.75" customHeight="1" x14ac:dyDescent="0.2">
      <c r="A66" s="1127">
        <v>52</v>
      </c>
      <c r="B66" s="461" t="s">
        <v>62</v>
      </c>
      <c r="C66" s="1119" t="s">
        <v>46</v>
      </c>
      <c r="D66" s="1119">
        <v>673.73</v>
      </c>
      <c r="E66" s="1130" t="s">
        <v>97</v>
      </c>
      <c r="F66" s="1119">
        <v>177.8</v>
      </c>
      <c r="G66" s="1119" t="s">
        <v>28</v>
      </c>
      <c r="H66" s="1119" t="s">
        <v>551</v>
      </c>
      <c r="I66" s="1126">
        <v>541.07000000000005</v>
      </c>
      <c r="J66" s="1119">
        <v>210</v>
      </c>
      <c r="K66" s="1119"/>
      <c r="L66" s="1130">
        <v>439</v>
      </c>
      <c r="M66" s="1130"/>
      <c r="N66" s="668">
        <v>10.199999999999999</v>
      </c>
      <c r="O66" s="1119"/>
      <c r="P66" s="668">
        <v>13.670917843043933</v>
      </c>
      <c r="Q66" s="668">
        <f>(22/100)*J66</f>
        <v>46.2</v>
      </c>
      <c r="R66" s="432">
        <v>11.866</v>
      </c>
      <c r="S66" s="432">
        <v>27.396999999999998</v>
      </c>
      <c r="T66" s="670">
        <v>88</v>
      </c>
      <c r="U66" s="668">
        <f t="shared" si="9"/>
        <v>7.4161469745491324</v>
      </c>
      <c r="V66" s="668">
        <f t="shared" si="4"/>
        <v>56.688688542541158</v>
      </c>
      <c r="W66" s="668">
        <v>0.3</v>
      </c>
      <c r="X66" s="432">
        <f t="shared" si="8"/>
        <v>0.59300865800865799</v>
      </c>
      <c r="Y66" s="432">
        <f t="shared" si="5"/>
        <v>11.68801</v>
      </c>
      <c r="Z66" s="432">
        <f t="shared" si="1"/>
        <v>26.986044999999997</v>
      </c>
      <c r="AA66" s="670">
        <f t="shared" si="1"/>
        <v>86.679999999999993</v>
      </c>
      <c r="AB66" s="432">
        <f t="shared" si="6"/>
        <v>7.4161469745491324</v>
      </c>
      <c r="AC66" s="670">
        <f t="shared" si="2"/>
        <v>56.688688542541158</v>
      </c>
      <c r="AD66" s="1119">
        <v>31</v>
      </c>
      <c r="AE66" s="432">
        <f t="shared" si="11"/>
        <v>362.32830999999999</v>
      </c>
      <c r="AF66" s="669"/>
    </row>
    <row r="67" spans="1:32" ht="18.75" customHeight="1" x14ac:dyDescent="0.2">
      <c r="A67" s="1127">
        <v>53</v>
      </c>
      <c r="B67" s="461" t="s">
        <v>157</v>
      </c>
      <c r="C67" s="1119" t="s">
        <v>46</v>
      </c>
      <c r="D67" s="1119">
        <v>676.73</v>
      </c>
      <c r="E67" s="1130" t="s">
        <v>543</v>
      </c>
      <c r="F67" s="1119">
        <v>177.8</v>
      </c>
      <c r="G67" s="1119" t="s">
        <v>28</v>
      </c>
      <c r="H67" s="1119" t="s">
        <v>52</v>
      </c>
      <c r="I67" s="1115">
        <v>553.53</v>
      </c>
      <c r="J67" s="1074"/>
      <c r="K67" s="1119">
        <v>468</v>
      </c>
      <c r="M67" s="668">
        <v>0.9</v>
      </c>
      <c r="O67" s="1119"/>
      <c r="P67" s="668">
        <v>44.627710802021632</v>
      </c>
      <c r="Q67" s="668">
        <f>(22/100)*J67</f>
        <v>0</v>
      </c>
      <c r="R67" s="432">
        <v>0</v>
      </c>
      <c r="S67" s="432">
        <v>0</v>
      </c>
      <c r="T67" s="670">
        <v>0</v>
      </c>
      <c r="U67" s="668">
        <f t="shared" si="9"/>
        <v>0</v>
      </c>
      <c r="V67" s="668"/>
      <c r="W67" s="668">
        <v>0.3</v>
      </c>
      <c r="X67" s="432">
        <f t="shared" si="8"/>
        <v>0</v>
      </c>
      <c r="Y67" s="432">
        <f t="shared" si="5"/>
        <v>0</v>
      </c>
      <c r="Z67" s="432">
        <f t="shared" si="1"/>
        <v>0</v>
      </c>
      <c r="AA67" s="670">
        <f t="shared" si="1"/>
        <v>0</v>
      </c>
      <c r="AB67" s="432">
        <f t="shared" si="6"/>
        <v>0</v>
      </c>
      <c r="AC67" s="670">
        <f t="shared" si="2"/>
        <v>0</v>
      </c>
      <c r="AD67" s="1119">
        <v>31</v>
      </c>
      <c r="AE67" s="432">
        <f t="shared" si="11"/>
        <v>0</v>
      </c>
      <c r="AF67" s="676"/>
    </row>
    <row r="68" spans="1:32" ht="18.75" customHeight="1" x14ac:dyDescent="0.2">
      <c r="A68" s="1127">
        <v>54</v>
      </c>
      <c r="B68" s="461" t="s">
        <v>159</v>
      </c>
      <c r="C68" s="1119" t="s">
        <v>46</v>
      </c>
      <c r="D68" s="1119">
        <v>676</v>
      </c>
      <c r="E68" s="1130" t="s">
        <v>167</v>
      </c>
      <c r="F68" s="1119">
        <v>177.8</v>
      </c>
      <c r="G68" s="1119" t="s">
        <v>28</v>
      </c>
      <c r="H68" s="1119" t="s">
        <v>342</v>
      </c>
      <c r="I68" s="1115">
        <v>509.61000000000024</v>
      </c>
      <c r="J68" s="1074">
        <v>360</v>
      </c>
      <c r="K68" s="1119"/>
      <c r="L68" s="1130">
        <v>465</v>
      </c>
      <c r="M68" s="1130"/>
      <c r="N68" s="668">
        <v>7.4</v>
      </c>
      <c r="O68" s="1119"/>
      <c r="P68" s="668">
        <v>14.607036957052339</v>
      </c>
      <c r="Q68" s="668">
        <f>(20*J68)/100</f>
        <v>72</v>
      </c>
      <c r="R68" s="432">
        <v>16.832000000000001</v>
      </c>
      <c r="S68" s="432">
        <v>20.422000000000001</v>
      </c>
      <c r="T68" s="670">
        <v>368</v>
      </c>
      <c r="U68" s="668">
        <f t="shared" si="9"/>
        <v>21.863117870722434</v>
      </c>
      <c r="V68" s="668">
        <f t="shared" si="4"/>
        <v>17.579081382822451</v>
      </c>
      <c r="W68" s="668">
        <v>0.3</v>
      </c>
      <c r="X68" s="432">
        <f t="shared" si="8"/>
        <v>0.28363888888888888</v>
      </c>
      <c r="Y68" s="432">
        <f t="shared" si="5"/>
        <v>16.579520000000002</v>
      </c>
      <c r="Z68" s="432">
        <f t="shared" si="1"/>
        <v>20.115670000000001</v>
      </c>
      <c r="AA68" s="670">
        <f t="shared" si="1"/>
        <v>362.48</v>
      </c>
      <c r="AB68" s="432">
        <f t="shared" si="6"/>
        <v>21.863117870722434</v>
      </c>
      <c r="AC68" s="670">
        <f t="shared" si="2"/>
        <v>17.579081382822451</v>
      </c>
      <c r="AD68" s="1119">
        <v>31</v>
      </c>
      <c r="AE68" s="432">
        <f t="shared" si="11"/>
        <v>513.96512000000007</v>
      </c>
      <c r="AF68" s="669"/>
    </row>
    <row r="69" spans="1:32" ht="18.75" customHeight="1" x14ac:dyDescent="0.2">
      <c r="A69" s="1127">
        <v>55</v>
      </c>
      <c r="B69" s="461" t="s">
        <v>330</v>
      </c>
      <c r="C69" s="1119" t="s">
        <v>46</v>
      </c>
      <c r="D69" s="1119">
        <v>595</v>
      </c>
      <c r="E69" s="1130" t="s">
        <v>367</v>
      </c>
      <c r="F69" s="1119">
        <v>178.8</v>
      </c>
      <c r="G69" s="1119" t="s">
        <v>28</v>
      </c>
      <c r="H69" s="1119" t="s">
        <v>49</v>
      </c>
      <c r="I69" s="1126">
        <v>499.34</v>
      </c>
      <c r="J69" s="1074">
        <v>310</v>
      </c>
      <c r="K69" s="1119"/>
      <c r="L69" s="1130">
        <v>457</v>
      </c>
      <c r="M69" s="1130"/>
      <c r="N69" s="668">
        <v>10.1</v>
      </c>
      <c r="O69" s="1119"/>
      <c r="P69" s="668">
        <v>18.207758566485918</v>
      </c>
      <c r="Q69" s="668">
        <f>J69*32/100</f>
        <v>99.2</v>
      </c>
      <c r="R69" s="432">
        <v>20.196999999999999</v>
      </c>
      <c r="S69" s="432">
        <v>26.41</v>
      </c>
      <c r="T69" s="670">
        <v>667</v>
      </c>
      <c r="U69" s="668">
        <f t="shared" si="9"/>
        <v>33.024706639599941</v>
      </c>
      <c r="V69" s="668">
        <f t="shared" si="4"/>
        <v>23.525179856115102</v>
      </c>
      <c r="W69" s="668">
        <v>0.2</v>
      </c>
      <c r="X69" s="432">
        <f t="shared" si="8"/>
        <v>0.26622983870967742</v>
      </c>
      <c r="Y69" s="432">
        <f t="shared" si="5"/>
        <v>19.894044999999998</v>
      </c>
      <c r="Z69" s="432">
        <f t="shared" si="1"/>
        <v>26.013850000000001</v>
      </c>
      <c r="AA69" s="670">
        <f t="shared" si="1"/>
        <v>656.995</v>
      </c>
      <c r="AB69" s="432">
        <v>20</v>
      </c>
      <c r="AC69" s="670">
        <v>17</v>
      </c>
      <c r="AD69" s="1119">
        <v>31</v>
      </c>
      <c r="AE69" s="432">
        <f t="shared" si="11"/>
        <v>616.71539499999994</v>
      </c>
      <c r="AF69" s="669"/>
    </row>
    <row r="70" spans="1:32" ht="18.75" customHeight="1" x14ac:dyDescent="0.2">
      <c r="A70" s="1127">
        <v>56</v>
      </c>
      <c r="B70" s="461" t="s">
        <v>210</v>
      </c>
      <c r="C70" s="1119" t="s">
        <v>46</v>
      </c>
      <c r="D70" s="1119">
        <v>728.32</v>
      </c>
      <c r="E70" s="1130" t="s">
        <v>226</v>
      </c>
      <c r="F70" s="1119">
        <v>177.8</v>
      </c>
      <c r="G70" s="1119" t="s">
        <v>28</v>
      </c>
      <c r="H70" s="1119" t="s">
        <v>491</v>
      </c>
      <c r="I70" s="1115">
        <v>518.75</v>
      </c>
      <c r="J70" s="1074">
        <v>300</v>
      </c>
      <c r="K70" s="1119"/>
      <c r="L70" s="1130">
        <v>177</v>
      </c>
      <c r="M70" s="1130"/>
      <c r="N70" s="668">
        <v>11.5</v>
      </c>
      <c r="O70" s="1119"/>
      <c r="P70" s="668">
        <v>46.592814734748103</v>
      </c>
      <c r="Q70" s="668">
        <f t="shared" si="10"/>
        <v>69</v>
      </c>
      <c r="R70" s="432">
        <v>8.5950000000000006</v>
      </c>
      <c r="S70" s="432">
        <v>52.646999999999998</v>
      </c>
      <c r="T70" s="670">
        <v>152</v>
      </c>
      <c r="U70" s="668">
        <f t="shared" si="9"/>
        <v>17.684700407213494</v>
      </c>
      <c r="V70" s="668">
        <f t="shared" si="4"/>
        <v>83.674283434953551</v>
      </c>
      <c r="W70" s="668">
        <v>0.3</v>
      </c>
      <c r="X70" s="432">
        <f t="shared" si="8"/>
        <v>0.76300000000000001</v>
      </c>
      <c r="Y70" s="432">
        <f t="shared" si="5"/>
        <v>8.466075</v>
      </c>
      <c r="Z70" s="432">
        <f t="shared" si="1"/>
        <v>51.857295000000001</v>
      </c>
      <c r="AA70" s="670">
        <f t="shared" si="1"/>
        <v>149.72</v>
      </c>
      <c r="AB70" s="432">
        <f t="shared" si="6"/>
        <v>17.684700407213494</v>
      </c>
      <c r="AC70" s="670">
        <f t="shared" si="2"/>
        <v>83.674283434953551</v>
      </c>
      <c r="AD70" s="1119">
        <v>31</v>
      </c>
      <c r="AE70" s="432">
        <f t="shared" si="11"/>
        <v>262.44832500000001</v>
      </c>
      <c r="AF70" s="449"/>
    </row>
    <row r="71" spans="1:32" ht="18.75" customHeight="1" x14ac:dyDescent="0.2">
      <c r="A71" s="1127">
        <v>57</v>
      </c>
      <c r="B71" s="461" t="s">
        <v>63</v>
      </c>
      <c r="C71" s="1119" t="s">
        <v>46</v>
      </c>
      <c r="D71" s="1119">
        <v>672.99</v>
      </c>
      <c r="E71" s="1130" t="s">
        <v>98</v>
      </c>
      <c r="F71" s="1119">
        <v>177.8</v>
      </c>
      <c r="G71" s="1119" t="s">
        <v>28</v>
      </c>
      <c r="H71" s="1119" t="s">
        <v>310</v>
      </c>
      <c r="I71" s="1115">
        <v>536.32000000000005</v>
      </c>
      <c r="J71" s="1074">
        <v>350</v>
      </c>
      <c r="K71" s="1119"/>
      <c r="L71" s="1130">
        <v>452</v>
      </c>
      <c r="M71" s="1130"/>
      <c r="N71" s="668">
        <v>4.0999999999999996</v>
      </c>
      <c r="O71" s="1119"/>
      <c r="P71" s="668">
        <v>16.559442271400446</v>
      </c>
      <c r="Q71" s="668">
        <f t="shared" si="10"/>
        <v>77</v>
      </c>
      <c r="R71" s="432">
        <v>17.829000000000001</v>
      </c>
      <c r="S71" s="432">
        <v>23.177</v>
      </c>
      <c r="T71" s="670">
        <v>128</v>
      </c>
      <c r="U71" s="668">
        <f t="shared" si="9"/>
        <v>7.1793145998092989</v>
      </c>
      <c r="V71" s="668">
        <f t="shared" si="4"/>
        <v>23.074599818785856</v>
      </c>
      <c r="W71" s="668">
        <v>0.3</v>
      </c>
      <c r="X71" s="432">
        <f t="shared" si="8"/>
        <v>0.30099999999999999</v>
      </c>
      <c r="Y71" s="432">
        <f t="shared" si="5"/>
        <v>17.561565000000002</v>
      </c>
      <c r="Z71" s="432">
        <f t="shared" si="1"/>
        <v>22.829345</v>
      </c>
      <c r="AA71" s="670">
        <f t="shared" si="1"/>
        <v>126.08</v>
      </c>
      <c r="AB71" s="432">
        <f t="shared" si="6"/>
        <v>7.1793145998092989</v>
      </c>
      <c r="AC71" s="670">
        <f t="shared" si="2"/>
        <v>23.074599818785856</v>
      </c>
      <c r="AD71" s="1119">
        <v>31</v>
      </c>
      <c r="AE71" s="432">
        <f t="shared" si="11"/>
        <v>544.40851500000008</v>
      </c>
      <c r="AF71" s="449"/>
    </row>
    <row r="72" spans="1:32" ht="18.75" customHeight="1" x14ac:dyDescent="0.2">
      <c r="A72" s="1127">
        <v>58</v>
      </c>
      <c r="B72" s="461" t="s">
        <v>217</v>
      </c>
      <c r="C72" s="1119" t="s">
        <v>537</v>
      </c>
      <c r="D72" s="1119">
        <v>684.57</v>
      </c>
      <c r="E72" s="1130" t="s">
        <v>544</v>
      </c>
      <c r="F72" s="1119">
        <v>177.8</v>
      </c>
      <c r="G72" s="1119" t="s">
        <v>28</v>
      </c>
      <c r="H72" s="1119" t="s">
        <v>219</v>
      </c>
      <c r="I72" s="1115">
        <v>271.50999999999988</v>
      </c>
      <c r="J72" s="1074"/>
      <c r="K72" s="1119"/>
      <c r="L72" s="1130"/>
      <c r="M72" s="1130">
        <v>4.8</v>
      </c>
      <c r="N72" s="668"/>
      <c r="O72" s="1119"/>
      <c r="P72" s="668">
        <v>57.087002555419943</v>
      </c>
      <c r="Q72" s="668">
        <f t="shared" si="10"/>
        <v>0</v>
      </c>
      <c r="R72" s="432">
        <v>0</v>
      </c>
      <c r="S72" s="432">
        <v>0</v>
      </c>
      <c r="T72" s="670">
        <v>0</v>
      </c>
      <c r="U72" s="668">
        <f t="shared" si="9"/>
        <v>0</v>
      </c>
      <c r="V72" s="668"/>
      <c r="W72" s="668">
        <v>0.3</v>
      </c>
      <c r="X72" s="432">
        <v>0</v>
      </c>
      <c r="Y72" s="432">
        <f t="shared" si="5"/>
        <v>0</v>
      </c>
      <c r="Z72" s="432">
        <f t="shared" si="1"/>
        <v>0</v>
      </c>
      <c r="AA72" s="670">
        <f t="shared" si="1"/>
        <v>0</v>
      </c>
      <c r="AB72" s="432">
        <f t="shared" si="6"/>
        <v>0</v>
      </c>
      <c r="AC72" s="670">
        <f t="shared" si="2"/>
        <v>0</v>
      </c>
      <c r="AD72" s="1119">
        <v>31</v>
      </c>
      <c r="AE72" s="432">
        <f t="shared" si="11"/>
        <v>0</v>
      </c>
      <c r="AF72" s="449" t="s">
        <v>334</v>
      </c>
    </row>
    <row r="73" spans="1:32" ht="18.75" customHeight="1" x14ac:dyDescent="0.2">
      <c r="A73" s="1127">
        <v>59</v>
      </c>
      <c r="B73" s="461" t="s">
        <v>211</v>
      </c>
      <c r="C73" s="1119" t="s">
        <v>46</v>
      </c>
      <c r="D73" s="1119">
        <v>675.29</v>
      </c>
      <c r="E73" s="1130" t="s">
        <v>224</v>
      </c>
      <c r="F73" s="1119">
        <v>177.8</v>
      </c>
      <c r="G73" s="1119" t="s">
        <v>28</v>
      </c>
      <c r="H73" s="1119" t="s">
        <v>384</v>
      </c>
      <c r="I73" s="1115">
        <v>554.95999999999981</v>
      </c>
      <c r="J73" s="1074">
        <v>290</v>
      </c>
      <c r="K73" s="1119"/>
      <c r="L73" s="1130">
        <v>444</v>
      </c>
      <c r="M73" s="1130"/>
      <c r="N73" s="668">
        <v>2.9</v>
      </c>
      <c r="O73" s="1119"/>
      <c r="P73" s="668">
        <v>15.575074807056675</v>
      </c>
      <c r="Q73" s="668">
        <f>(22*J73)/100</f>
        <v>63.8</v>
      </c>
      <c r="R73" s="432">
        <v>3.2080000000000002</v>
      </c>
      <c r="S73" s="432">
        <v>8.2949999999999999</v>
      </c>
      <c r="T73" s="670">
        <v>28</v>
      </c>
      <c r="U73" s="668">
        <f t="shared" si="9"/>
        <v>8.728179551122194</v>
      </c>
      <c r="V73" s="668">
        <f t="shared" si="4"/>
        <v>61.32610006027727</v>
      </c>
      <c r="W73" s="668">
        <v>0.3</v>
      </c>
      <c r="X73" s="432">
        <f t="shared" si="8"/>
        <v>0.13001567398119124</v>
      </c>
      <c r="Y73" s="432">
        <f t="shared" si="5"/>
        <v>3.1598800000000002</v>
      </c>
      <c r="Z73" s="432">
        <f t="shared" si="1"/>
        <v>8.1705749999999995</v>
      </c>
      <c r="AA73" s="670">
        <f t="shared" si="1"/>
        <v>27.58</v>
      </c>
      <c r="AB73" s="432">
        <f t="shared" si="6"/>
        <v>8.728179551122194</v>
      </c>
      <c r="AC73" s="670">
        <f t="shared" si="2"/>
        <v>61.32610006027727</v>
      </c>
      <c r="AD73" s="1119">
        <v>31</v>
      </c>
      <c r="AE73" s="432">
        <f t="shared" si="11"/>
        <v>97.956280000000007</v>
      </c>
      <c r="AF73" s="449"/>
    </row>
    <row r="74" spans="1:32" ht="18.600000000000001" customHeight="1" x14ac:dyDescent="0.2">
      <c r="A74" s="1127">
        <v>60</v>
      </c>
      <c r="B74" s="461" t="s">
        <v>341</v>
      </c>
      <c r="C74" s="1119" t="s">
        <v>46</v>
      </c>
      <c r="D74" s="1119">
        <v>683.16</v>
      </c>
      <c r="E74" s="1130" t="s">
        <v>343</v>
      </c>
      <c r="F74" s="1119">
        <v>177.8</v>
      </c>
      <c r="G74" s="1119" t="s">
        <v>28</v>
      </c>
      <c r="H74" s="1119" t="s">
        <v>342</v>
      </c>
      <c r="I74" s="1115">
        <v>571.9</v>
      </c>
      <c r="J74" s="1074">
        <v>312</v>
      </c>
      <c r="K74" s="1119"/>
      <c r="L74" s="1130">
        <v>380</v>
      </c>
      <c r="M74" s="1130"/>
      <c r="N74" s="668">
        <v>11.1</v>
      </c>
      <c r="O74" s="1119"/>
      <c r="P74" s="668">
        <v>30.933440241759644</v>
      </c>
      <c r="Q74" s="668">
        <f>(20*J74)/100</f>
        <v>62.4</v>
      </c>
      <c r="R74" s="432">
        <v>19.501999999999999</v>
      </c>
      <c r="S74" s="432">
        <v>37.762</v>
      </c>
      <c r="T74" s="670">
        <v>372</v>
      </c>
      <c r="U74" s="668">
        <f t="shared" si="9"/>
        <v>19.074966670085121</v>
      </c>
      <c r="V74" s="668">
        <f t="shared" si="4"/>
        <v>48.355489645675554</v>
      </c>
      <c r="W74" s="668">
        <v>0.3</v>
      </c>
      <c r="X74" s="432">
        <f t="shared" si="8"/>
        <v>0.60516025641025639</v>
      </c>
      <c r="Y74" s="432">
        <f t="shared" si="5"/>
        <v>19.20947</v>
      </c>
      <c r="Z74" s="432">
        <f t="shared" si="1"/>
        <v>37.195569999999996</v>
      </c>
      <c r="AA74" s="670">
        <f t="shared" si="1"/>
        <v>366.42</v>
      </c>
      <c r="AB74" s="432">
        <f t="shared" si="6"/>
        <v>19.074966670085121</v>
      </c>
      <c r="AC74" s="670">
        <f t="shared" si="2"/>
        <v>48.355489645675554</v>
      </c>
      <c r="AD74" s="1119">
        <v>31</v>
      </c>
      <c r="AE74" s="432">
        <f t="shared" si="11"/>
        <v>595.49356999999998</v>
      </c>
      <c r="AF74" s="449"/>
    </row>
    <row r="75" spans="1:32" ht="18.75" customHeight="1" x14ac:dyDescent="0.2">
      <c r="A75" s="1127">
        <v>61</v>
      </c>
      <c r="B75" s="461" t="s">
        <v>354</v>
      </c>
      <c r="C75" s="1119" t="s">
        <v>46</v>
      </c>
      <c r="D75" s="1119">
        <v>564.06999999999982</v>
      </c>
      <c r="E75" s="832" t="s">
        <v>545</v>
      </c>
      <c r="F75" s="1119">
        <v>178.8</v>
      </c>
      <c r="G75" s="1119" t="s">
        <v>28</v>
      </c>
      <c r="H75" s="1119" t="s">
        <v>491</v>
      </c>
      <c r="I75" s="1126">
        <v>541.77</v>
      </c>
      <c r="J75" s="1074">
        <v>340</v>
      </c>
      <c r="K75" s="1119"/>
      <c r="L75" s="1130">
        <v>243</v>
      </c>
      <c r="M75" s="1130"/>
      <c r="N75" s="668">
        <v>11.6</v>
      </c>
      <c r="O75" s="1119"/>
      <c r="P75" s="668">
        <v>36.785788808815667</v>
      </c>
      <c r="Q75" s="668">
        <f>(23/100)*J75</f>
        <v>78.2</v>
      </c>
      <c r="R75" s="432">
        <v>15.577999999999999</v>
      </c>
      <c r="S75" s="432">
        <v>49.212000000000003</v>
      </c>
      <c r="T75" s="670">
        <v>39</v>
      </c>
      <c r="U75" s="668">
        <f t="shared" si="9"/>
        <v>2.5035306201052769</v>
      </c>
      <c r="V75" s="668">
        <f t="shared" si="4"/>
        <v>68.345119076647975</v>
      </c>
      <c r="W75" s="668">
        <v>0.3</v>
      </c>
      <c r="X75" s="432">
        <f t="shared" si="8"/>
        <v>0.62930946291560108</v>
      </c>
      <c r="Y75" s="432">
        <f t="shared" si="5"/>
        <v>15.344329999999999</v>
      </c>
      <c r="Z75" s="432">
        <f t="shared" si="1"/>
        <v>48.473820000000003</v>
      </c>
      <c r="AA75" s="670">
        <f t="shared" si="1"/>
        <v>38.414999999999999</v>
      </c>
      <c r="AB75" s="432">
        <f t="shared" si="6"/>
        <v>2.5035306201052769</v>
      </c>
      <c r="AC75" s="670">
        <f t="shared" si="2"/>
        <v>68.345119076647975</v>
      </c>
      <c r="AD75" s="1119">
        <v>31</v>
      </c>
      <c r="AE75" s="432">
        <f t="shared" si="11"/>
        <v>475.67422999999997</v>
      </c>
      <c r="AF75" s="449"/>
    </row>
    <row r="76" spans="1:32" ht="18.75" customHeight="1" x14ac:dyDescent="0.2">
      <c r="A76" s="1127">
        <v>62</v>
      </c>
      <c r="B76" s="461" t="s">
        <v>423</v>
      </c>
      <c r="C76" s="1119" t="s">
        <v>46</v>
      </c>
      <c r="D76" s="1119">
        <v>572.0200000000001</v>
      </c>
      <c r="E76" s="1106" t="s">
        <v>546</v>
      </c>
      <c r="F76" s="1119">
        <v>179.8</v>
      </c>
      <c r="G76" s="1119" t="s">
        <v>28</v>
      </c>
      <c r="H76" s="550" t="s">
        <v>466</v>
      </c>
      <c r="I76" s="1126">
        <v>572.02</v>
      </c>
      <c r="J76" s="1074">
        <v>320</v>
      </c>
      <c r="K76" s="1119"/>
      <c r="L76" s="1130">
        <v>527</v>
      </c>
      <c r="M76" s="1130"/>
      <c r="N76" s="668">
        <v>10.9</v>
      </c>
      <c r="O76" s="1119"/>
      <c r="P76" s="668">
        <v>13.966371257707081</v>
      </c>
      <c r="Q76" s="668">
        <f>(13/100)*J76</f>
        <v>41.6</v>
      </c>
      <c r="R76" s="432">
        <v>14.135</v>
      </c>
      <c r="S76" s="432">
        <v>14.308999999999999</v>
      </c>
      <c r="T76" s="670">
        <v>477</v>
      </c>
      <c r="U76" s="668">
        <f t="shared" si="9"/>
        <v>33.746020516448532</v>
      </c>
      <c r="V76" s="668">
        <f t="shared" si="4"/>
        <v>1.2160178908379322</v>
      </c>
      <c r="W76" s="668">
        <v>0.2</v>
      </c>
      <c r="X76" s="432">
        <f t="shared" si="8"/>
        <v>0.34396634615384614</v>
      </c>
      <c r="Y76" s="432">
        <f t="shared" si="5"/>
        <v>13.922974999999999</v>
      </c>
      <c r="Z76" s="432">
        <f t="shared" si="1"/>
        <v>14.094365</v>
      </c>
      <c r="AA76" s="670">
        <f t="shared" si="1"/>
        <v>469.84499999999997</v>
      </c>
      <c r="AB76" s="432">
        <f t="shared" si="6"/>
        <v>33.746020516448532</v>
      </c>
      <c r="AC76" s="670">
        <f t="shared" si="2"/>
        <v>1.2160178908379322</v>
      </c>
      <c r="AD76" s="1119"/>
      <c r="AE76" s="432"/>
      <c r="AF76" s="449"/>
    </row>
    <row r="77" spans="1:32" ht="18.75" customHeight="1" x14ac:dyDescent="0.2">
      <c r="A77" s="1127">
        <v>63</v>
      </c>
      <c r="B77" s="461" t="s">
        <v>213</v>
      </c>
      <c r="C77" s="1119" t="s">
        <v>46</v>
      </c>
      <c r="D77" s="1119">
        <v>690.8</v>
      </c>
      <c r="E77" s="1130" t="s">
        <v>497</v>
      </c>
      <c r="F77" s="1119">
        <v>177.8</v>
      </c>
      <c r="G77" s="1119" t="s">
        <v>28</v>
      </c>
      <c r="H77" s="1119" t="s">
        <v>487</v>
      </c>
      <c r="I77" s="1115">
        <v>605.00000000000011</v>
      </c>
      <c r="J77" s="1074">
        <v>330</v>
      </c>
      <c r="K77" s="1119"/>
      <c r="L77" s="1130">
        <v>530</v>
      </c>
      <c r="M77" s="1130"/>
      <c r="N77" s="668">
        <v>7.3</v>
      </c>
      <c r="O77" s="1119"/>
      <c r="P77" s="668">
        <v>21.095639540413956</v>
      </c>
      <c r="Q77" s="668">
        <f t="shared" ref="Q77:Q80" si="12">LEFT(H77,(FIND("K",H77,1)-1))*J77/100</f>
        <v>49.5</v>
      </c>
      <c r="R77" s="432">
        <v>5.8579999999999997</v>
      </c>
      <c r="S77" s="432">
        <v>12.481999999999999</v>
      </c>
      <c r="T77" s="670">
        <v>102</v>
      </c>
      <c r="U77" s="668">
        <f t="shared" si="9"/>
        <v>17.412086036189827</v>
      </c>
      <c r="V77" s="668">
        <f t="shared" si="4"/>
        <v>53.068418522672651</v>
      </c>
      <c r="W77" s="668">
        <v>0.3</v>
      </c>
      <c r="X77" s="432">
        <f t="shared" si="8"/>
        <v>0.25216161616161614</v>
      </c>
      <c r="Y77" s="432">
        <f t="shared" si="5"/>
        <v>5.77013</v>
      </c>
      <c r="Z77" s="432">
        <f t="shared" si="1"/>
        <v>12.29477</v>
      </c>
      <c r="AA77" s="670">
        <f t="shared" si="1"/>
        <v>100.47</v>
      </c>
      <c r="AB77" s="432">
        <f t="shared" si="6"/>
        <v>17.412086036189827</v>
      </c>
      <c r="AC77" s="670">
        <f>V77</f>
        <v>53.068418522672651</v>
      </c>
      <c r="AD77" s="1119">
        <v>31</v>
      </c>
      <c r="AE77" s="432">
        <f t="shared" si="11"/>
        <v>178.87403</v>
      </c>
      <c r="AF77" s="669"/>
    </row>
    <row r="78" spans="1:32" ht="18.75" customHeight="1" x14ac:dyDescent="0.2">
      <c r="A78" s="1127">
        <v>64</v>
      </c>
      <c r="B78" s="461" t="s">
        <v>506</v>
      </c>
      <c r="C78" s="1119" t="s">
        <v>46</v>
      </c>
      <c r="D78" s="1115">
        <v>580.95000000000016</v>
      </c>
      <c r="E78" s="1128" t="s">
        <v>547</v>
      </c>
      <c r="F78" s="1119">
        <v>177.8</v>
      </c>
      <c r="G78" s="1119" t="s">
        <v>28</v>
      </c>
      <c r="H78" s="1119" t="s">
        <v>491</v>
      </c>
      <c r="I78" s="1126">
        <v>580.48000000000013</v>
      </c>
      <c r="J78" s="1128">
        <v>135</v>
      </c>
      <c r="K78" s="1115"/>
      <c r="L78" s="1128">
        <v>465</v>
      </c>
      <c r="M78" s="1128"/>
      <c r="N78" s="668">
        <v>0.8</v>
      </c>
      <c r="O78" s="1115"/>
      <c r="P78" s="668">
        <v>12.571795801197572</v>
      </c>
      <c r="Q78" s="668">
        <f>(23/100)*J78</f>
        <v>31.05</v>
      </c>
      <c r="R78" s="432">
        <v>0.89600000000000002</v>
      </c>
      <c r="S78" s="432">
        <v>1.8129999999999999</v>
      </c>
      <c r="T78" s="492">
        <v>0</v>
      </c>
      <c r="U78" s="432">
        <f t="shared" si="9"/>
        <v>0</v>
      </c>
      <c r="V78" s="668">
        <f t="shared" si="4"/>
        <v>50.579150579150578</v>
      </c>
      <c r="W78" s="668">
        <v>0.2</v>
      </c>
      <c r="X78" s="432">
        <f t="shared" si="8"/>
        <v>5.8389694041867952E-2</v>
      </c>
      <c r="Y78" s="432">
        <f t="shared" si="5"/>
        <v>0.88256000000000001</v>
      </c>
      <c r="Z78" s="1045">
        <f t="shared" si="1"/>
        <v>1.7858049999999999</v>
      </c>
      <c r="AA78" s="670">
        <f t="shared" si="1"/>
        <v>0</v>
      </c>
      <c r="AB78" s="432">
        <f t="shared" si="6"/>
        <v>0</v>
      </c>
      <c r="AC78" s="432">
        <f t="shared" si="6"/>
        <v>50.579150579150578</v>
      </c>
      <c r="AD78" s="1119">
        <v>31</v>
      </c>
      <c r="AE78" s="432">
        <f>Y78*AD78</f>
        <v>27.359359999999999</v>
      </c>
      <c r="AF78" s="449"/>
    </row>
    <row r="79" spans="1:32" ht="18.75" customHeight="1" x14ac:dyDescent="0.2">
      <c r="A79" s="1127">
        <v>65</v>
      </c>
      <c r="B79" s="461" t="s">
        <v>451</v>
      </c>
      <c r="C79" s="1119" t="s">
        <v>46</v>
      </c>
      <c r="D79" s="1115">
        <v>595.20000000000005</v>
      </c>
      <c r="E79" s="1128" t="s">
        <v>559</v>
      </c>
      <c r="F79" s="1119">
        <v>177.8</v>
      </c>
      <c r="G79" s="1119" t="s">
        <v>28</v>
      </c>
      <c r="H79" s="1119" t="s">
        <v>466</v>
      </c>
      <c r="I79" s="1115">
        <v>595.14000000000078</v>
      </c>
      <c r="J79" s="1128">
        <v>200</v>
      </c>
      <c r="K79" s="1115"/>
      <c r="L79" s="1128">
        <v>562</v>
      </c>
      <c r="M79" s="1128"/>
      <c r="N79" s="668">
        <v>14.1</v>
      </c>
      <c r="O79" s="1115"/>
      <c r="P79" s="668">
        <v>31.889079761431368</v>
      </c>
      <c r="Q79" s="668">
        <f>(13/100)*J79</f>
        <v>26</v>
      </c>
      <c r="R79" s="432">
        <v>3.1509999999999998</v>
      </c>
      <c r="S79" s="432">
        <v>3.3369999999999997</v>
      </c>
      <c r="T79" s="492">
        <v>0</v>
      </c>
      <c r="U79" s="432">
        <f t="shared" si="9"/>
        <v>0</v>
      </c>
      <c r="V79" s="668">
        <f t="shared" ref="V79:V80" si="13">100-((R79/S79)*100)</f>
        <v>5.573868744381187</v>
      </c>
      <c r="W79" s="668">
        <v>0.2</v>
      </c>
      <c r="X79" s="432">
        <f t="shared" si="8"/>
        <v>0.12834615384615383</v>
      </c>
      <c r="Y79" s="432">
        <f t="shared" si="5"/>
        <v>3.1037349999999999</v>
      </c>
      <c r="Z79" s="1045">
        <f t="shared" si="1"/>
        <v>3.2869449999999998</v>
      </c>
      <c r="AA79" s="670">
        <f t="shared" si="1"/>
        <v>0</v>
      </c>
      <c r="AB79" s="432">
        <f t="shared" si="6"/>
        <v>0</v>
      </c>
      <c r="AC79" s="432">
        <f t="shared" si="6"/>
        <v>5.573868744381187</v>
      </c>
      <c r="AD79" s="1119"/>
      <c r="AE79" s="432"/>
      <c r="AF79" s="669" t="s">
        <v>432</v>
      </c>
    </row>
    <row r="80" spans="1:32" ht="18.75" customHeight="1" x14ac:dyDescent="0.2">
      <c r="A80" s="1127">
        <v>66</v>
      </c>
      <c r="B80" s="461" t="s">
        <v>172</v>
      </c>
      <c r="C80" s="1119" t="s">
        <v>46</v>
      </c>
      <c r="D80" s="1119">
        <v>673</v>
      </c>
      <c r="E80" s="1130" t="s">
        <v>173</v>
      </c>
      <c r="F80" s="1119">
        <v>177.8</v>
      </c>
      <c r="G80" s="1119" t="s">
        <v>28</v>
      </c>
      <c r="H80" s="1119" t="s">
        <v>487</v>
      </c>
      <c r="I80" s="1115">
        <v>555.56000000000006</v>
      </c>
      <c r="J80" s="1074">
        <v>290</v>
      </c>
      <c r="K80" s="1119"/>
      <c r="L80" s="1130">
        <v>143</v>
      </c>
      <c r="M80" s="1130"/>
      <c r="N80" s="668">
        <v>7.8</v>
      </c>
      <c r="O80" s="1119"/>
      <c r="P80" s="448">
        <v>45.248759019788054</v>
      </c>
      <c r="Q80" s="668">
        <f t="shared" si="12"/>
        <v>43.5</v>
      </c>
      <c r="R80" s="432">
        <v>2.2610000000000001</v>
      </c>
      <c r="S80" s="432">
        <v>9.08</v>
      </c>
      <c r="T80" s="670">
        <v>0</v>
      </c>
      <c r="U80" s="668">
        <f t="shared" si="9"/>
        <v>0</v>
      </c>
      <c r="V80" s="668">
        <f t="shared" si="13"/>
        <v>75.09911894273128</v>
      </c>
      <c r="W80" s="668">
        <v>0.3</v>
      </c>
      <c r="X80" s="432">
        <f t="shared" si="8"/>
        <v>0.20873563218390806</v>
      </c>
      <c r="Y80" s="432">
        <f t="shared" si="5"/>
        <v>2.2270850000000002</v>
      </c>
      <c r="Z80" s="432">
        <f t="shared" si="1"/>
        <v>8.9437999999999995</v>
      </c>
      <c r="AA80" s="670">
        <f t="shared" si="1"/>
        <v>0</v>
      </c>
      <c r="AB80" s="432">
        <f t="shared" si="6"/>
        <v>0</v>
      </c>
      <c r="AC80" s="670">
        <f t="shared" si="2"/>
        <v>75.09911894273128</v>
      </c>
      <c r="AD80" s="1119">
        <v>31</v>
      </c>
      <c r="AE80" s="432">
        <f>Y80*AD80</f>
        <v>69.039635000000004</v>
      </c>
      <c r="AF80" s="449"/>
    </row>
    <row r="81" spans="1:32" ht="18.75" customHeight="1" x14ac:dyDescent="0.25">
      <c r="A81" s="869"/>
      <c r="B81" s="1119"/>
      <c r="C81" s="1119"/>
      <c r="D81" s="1115"/>
      <c r="E81" s="1115"/>
      <c r="F81" s="461"/>
      <c r="G81" s="1119"/>
      <c r="H81" s="1119"/>
      <c r="I81" s="1115"/>
      <c r="J81" s="1115"/>
      <c r="K81" s="1115"/>
      <c r="L81" s="1115"/>
      <c r="M81" s="1115"/>
      <c r="N81" s="1119"/>
      <c r="O81" s="1115"/>
      <c r="P81" s="668"/>
      <c r="Q81" s="448"/>
      <c r="R81" s="466">
        <f>SUM(R15:R80)</f>
        <v>378.92400000000009</v>
      </c>
      <c r="S81" s="466">
        <f>SUM(S15:S80)</f>
        <v>874.31600000000003</v>
      </c>
      <c r="T81" s="512">
        <f>SUM(T15:T80)</f>
        <v>8736.9989999999998</v>
      </c>
      <c r="U81" s="466">
        <f>T81/R81</f>
        <v>23.057391455806435</v>
      </c>
      <c r="V81" s="466"/>
      <c r="W81" s="466"/>
      <c r="X81" s="466"/>
      <c r="Y81" s="466">
        <f>SUM(Y15:Y80)</f>
        <v>367.81771499999996</v>
      </c>
      <c r="Z81" s="466">
        <f>SUM(Z15:Z80)</f>
        <v>851.22419500000001</v>
      </c>
      <c r="AA81" s="678">
        <f>SUM(AA15:AA80)</f>
        <v>8554.7240150000016</v>
      </c>
      <c r="AB81" s="466">
        <f>AA81/Y81</f>
        <v>23.25805328598706</v>
      </c>
      <c r="AC81" s="466"/>
      <c r="AD81" s="1118"/>
      <c r="AE81" s="466">
        <f>SUM(AE15:AE80)</f>
        <v>10857.238345</v>
      </c>
      <c r="AF81" s="669"/>
    </row>
    <row r="82" spans="1:32" ht="18.75" customHeight="1" x14ac:dyDescent="0.25">
      <c r="A82" s="869"/>
      <c r="B82" s="1119"/>
      <c r="C82" s="1119"/>
      <c r="D82" s="1115"/>
      <c r="E82" s="1115"/>
      <c r="F82" s="461"/>
      <c r="G82" s="1119"/>
      <c r="H82" s="1119"/>
      <c r="I82" s="1115"/>
      <c r="J82" s="1115"/>
      <c r="K82" s="1115"/>
      <c r="L82" s="1115"/>
      <c r="M82" s="1115"/>
      <c r="N82" s="1119"/>
      <c r="O82" s="1115"/>
      <c r="P82" s="668"/>
      <c r="Q82" s="448"/>
      <c r="R82" s="466"/>
      <c r="S82" s="466"/>
      <c r="T82" s="512"/>
      <c r="U82" s="466"/>
      <c r="V82" s="466"/>
      <c r="W82" s="466"/>
      <c r="X82" s="466"/>
      <c r="Y82" s="466"/>
      <c r="Z82" s="708"/>
      <c r="AA82" s="678"/>
      <c r="AB82" s="466"/>
      <c r="AC82" s="466"/>
      <c r="AD82" s="1118"/>
      <c r="AE82" s="466"/>
      <c r="AF82" s="669"/>
    </row>
    <row r="83" spans="1:32" ht="18.75" customHeight="1" x14ac:dyDescent="0.25">
      <c r="A83" s="869"/>
      <c r="B83" s="1119"/>
      <c r="C83" s="1119"/>
      <c r="D83" s="1115"/>
      <c r="E83" s="1114" t="s">
        <v>388</v>
      </c>
      <c r="F83" s="461"/>
      <c r="G83" s="1119"/>
      <c r="H83" s="1119"/>
      <c r="I83" s="1115"/>
      <c r="J83" s="1115"/>
      <c r="K83" s="1115"/>
      <c r="L83" s="1115"/>
      <c r="M83" s="1115"/>
      <c r="N83" s="1119"/>
      <c r="O83" s="1115"/>
      <c r="P83" s="668"/>
      <c r="Q83" s="448"/>
      <c r="R83" s="466"/>
      <c r="S83" s="466"/>
      <c r="T83" s="512"/>
      <c r="U83" s="466"/>
      <c r="V83" s="466"/>
      <c r="W83" s="466"/>
      <c r="X83" s="466"/>
      <c r="Y83" s="466"/>
      <c r="Z83" s="708"/>
      <c r="AA83" s="678"/>
      <c r="AB83" s="466"/>
      <c r="AC83" s="466"/>
      <c r="AD83" s="1118"/>
      <c r="AE83" s="466"/>
      <c r="AF83" s="669"/>
    </row>
    <row r="84" spans="1:32" ht="18.75" customHeight="1" x14ac:dyDescent="0.2">
      <c r="A84" s="1119">
        <v>67</v>
      </c>
      <c r="B84" s="461" t="s">
        <v>505</v>
      </c>
      <c r="C84" s="1119" t="s">
        <v>445</v>
      </c>
      <c r="D84" s="1115">
        <v>737.21</v>
      </c>
      <c r="E84" s="1115" t="s">
        <v>507</v>
      </c>
      <c r="F84" s="1119">
        <v>177.8</v>
      </c>
      <c r="G84" s="1119" t="s">
        <v>28</v>
      </c>
      <c r="H84" s="1119" t="s">
        <v>491</v>
      </c>
      <c r="I84" s="1115">
        <v>660.03999999999962</v>
      </c>
      <c r="J84" s="1115"/>
      <c r="K84" s="1115"/>
      <c r="L84" s="1115"/>
      <c r="M84" s="1115">
        <v>3.2</v>
      </c>
      <c r="N84" s="1119"/>
      <c r="O84" s="1115"/>
      <c r="P84" s="668">
        <v>0</v>
      </c>
      <c r="Q84" s="448">
        <f>J84*23/100</f>
        <v>0</v>
      </c>
      <c r="R84" s="432">
        <v>0</v>
      </c>
      <c r="S84" s="432">
        <v>0</v>
      </c>
      <c r="T84" s="492">
        <v>0</v>
      </c>
      <c r="U84" s="432">
        <f t="shared" ref="U84:U86" si="14">IF(R84=0,0,T84/R84)</f>
        <v>0</v>
      </c>
      <c r="V84" s="432">
        <f t="shared" ref="V84:V86" si="15">IF(S84=0,0,(S84-R84)/S84*100)</f>
        <v>0</v>
      </c>
      <c r="W84" s="432">
        <v>0.2</v>
      </c>
      <c r="X84" s="432">
        <f t="shared" ref="X84:X86" si="16">IF(S84=0,0,S84/Q84)</f>
        <v>0</v>
      </c>
      <c r="Y84" s="432">
        <f t="shared" ref="Y84:AA86" si="17">R84*0.985</f>
        <v>0</v>
      </c>
      <c r="Z84" s="1045">
        <f t="shared" si="17"/>
        <v>0</v>
      </c>
      <c r="AA84" s="670">
        <f t="shared" si="17"/>
        <v>0</v>
      </c>
      <c r="AB84" s="432">
        <f t="shared" ref="AB84:AC86" si="18">U84</f>
        <v>0</v>
      </c>
      <c r="AC84" s="432">
        <f t="shared" si="18"/>
        <v>0</v>
      </c>
      <c r="AD84" s="1119">
        <v>0</v>
      </c>
      <c r="AE84" s="432">
        <f>Y84*AD84</f>
        <v>0</v>
      </c>
      <c r="AF84" s="449" t="s">
        <v>432</v>
      </c>
    </row>
    <row r="85" spans="1:32" ht="18.75" customHeight="1" x14ac:dyDescent="0.2">
      <c r="A85" s="1127">
        <v>68</v>
      </c>
      <c r="B85" s="461" t="s">
        <v>104</v>
      </c>
      <c r="C85" s="1119" t="s">
        <v>536</v>
      </c>
      <c r="D85" s="1119">
        <v>687.00000000000045</v>
      </c>
      <c r="E85" s="1115" t="s">
        <v>548</v>
      </c>
      <c r="F85" s="1119">
        <v>177.8</v>
      </c>
      <c r="G85" s="1119" t="s">
        <v>28</v>
      </c>
      <c r="H85" s="1119" t="s">
        <v>48</v>
      </c>
      <c r="I85" s="1115">
        <v>555.39000000000033</v>
      </c>
      <c r="J85" s="1119"/>
      <c r="K85" s="1119">
        <v>456</v>
      </c>
      <c r="M85" s="1119">
        <v>0</v>
      </c>
      <c r="O85" s="1119"/>
      <c r="P85" s="668">
        <v>1.1000000000000001</v>
      </c>
      <c r="Q85" s="668">
        <f>J85*13/100</f>
        <v>0</v>
      </c>
      <c r="R85" s="432">
        <v>0</v>
      </c>
      <c r="S85" s="432">
        <v>1</v>
      </c>
      <c r="T85" s="670">
        <v>0</v>
      </c>
      <c r="U85" s="668">
        <f t="shared" si="14"/>
        <v>0</v>
      </c>
      <c r="V85" s="668">
        <f t="shared" si="15"/>
        <v>100</v>
      </c>
      <c r="W85" s="668">
        <v>0</v>
      </c>
      <c r="X85" s="432" t="e">
        <f t="shared" si="16"/>
        <v>#DIV/0!</v>
      </c>
      <c r="Y85" s="432">
        <f t="shared" si="17"/>
        <v>0</v>
      </c>
      <c r="Z85" s="432">
        <f t="shared" si="17"/>
        <v>0.98499999999999999</v>
      </c>
      <c r="AA85" s="670">
        <f t="shared" si="17"/>
        <v>0</v>
      </c>
      <c r="AB85" s="432">
        <f t="shared" si="18"/>
        <v>0</v>
      </c>
      <c r="AC85" s="670">
        <f t="shared" si="18"/>
        <v>100</v>
      </c>
      <c r="AD85" s="1119">
        <v>0</v>
      </c>
      <c r="AE85" s="432">
        <f t="shared" ref="AE85" si="19">Y85*AD85</f>
        <v>0</v>
      </c>
      <c r="AF85" s="669" t="s">
        <v>432</v>
      </c>
    </row>
    <row r="86" spans="1:32" ht="18.75" customHeight="1" x14ac:dyDescent="0.2">
      <c r="A86" s="1127">
        <v>69</v>
      </c>
      <c r="B86" s="461" t="s">
        <v>504</v>
      </c>
      <c r="C86" s="1119" t="s">
        <v>445</v>
      </c>
      <c r="D86" s="1115">
        <v>695.15</v>
      </c>
      <c r="E86" s="1115" t="s">
        <v>508</v>
      </c>
      <c r="F86" s="461">
        <v>177.8</v>
      </c>
      <c r="G86" s="1119" t="s">
        <v>28</v>
      </c>
      <c r="H86" s="1119" t="s">
        <v>491</v>
      </c>
      <c r="I86" s="1115">
        <v>632.3399999999998</v>
      </c>
      <c r="J86" s="1115"/>
      <c r="K86" s="1115">
        <v>150</v>
      </c>
      <c r="L86" s="1115"/>
      <c r="M86" s="1115">
        <v>14.3</v>
      </c>
      <c r="N86" s="1119"/>
      <c r="O86" s="1115"/>
      <c r="P86" s="668">
        <v>9.2373127720390151</v>
      </c>
      <c r="Q86" s="448">
        <f>J86*23/100</f>
        <v>0</v>
      </c>
      <c r="R86" s="432">
        <v>0</v>
      </c>
      <c r="S86" s="432">
        <v>0.878</v>
      </c>
      <c r="T86" s="492">
        <v>0</v>
      </c>
      <c r="U86" s="432">
        <f t="shared" si="14"/>
        <v>0</v>
      </c>
      <c r="V86" s="432">
        <f t="shared" si="15"/>
        <v>100</v>
      </c>
      <c r="W86" s="432">
        <v>0.2</v>
      </c>
      <c r="X86" s="432" t="e">
        <f t="shared" si="16"/>
        <v>#DIV/0!</v>
      </c>
      <c r="Y86" s="432">
        <f t="shared" si="17"/>
        <v>0</v>
      </c>
      <c r="Z86" s="1045">
        <f t="shared" si="17"/>
        <v>0.86482999999999999</v>
      </c>
      <c r="AA86" s="670">
        <f t="shared" si="17"/>
        <v>0</v>
      </c>
      <c r="AB86" s="432">
        <f t="shared" si="18"/>
        <v>0</v>
      </c>
      <c r="AC86" s="432">
        <f t="shared" si="18"/>
        <v>100</v>
      </c>
      <c r="AD86" s="1119">
        <v>31</v>
      </c>
      <c r="AE86" s="432">
        <f>Y86*AD86</f>
        <v>0</v>
      </c>
      <c r="AF86" s="669" t="s">
        <v>432</v>
      </c>
    </row>
    <row r="87" spans="1:32" ht="18.75" customHeight="1" x14ac:dyDescent="0.2">
      <c r="A87" s="1127">
        <v>70</v>
      </c>
      <c r="B87" s="461" t="s">
        <v>424</v>
      </c>
      <c r="C87" s="1119" t="s">
        <v>445</v>
      </c>
      <c r="D87" s="1115">
        <v>691</v>
      </c>
      <c r="E87" s="1115" t="s">
        <v>495</v>
      </c>
      <c r="F87" s="1119">
        <v>177.8</v>
      </c>
      <c r="G87" s="1119" t="s">
        <v>28</v>
      </c>
      <c r="H87" s="1119" t="s">
        <v>48</v>
      </c>
      <c r="I87" s="1115">
        <v>628.34</v>
      </c>
      <c r="J87" s="1115"/>
      <c r="K87" s="1115">
        <v>605</v>
      </c>
      <c r="L87" s="1115"/>
      <c r="M87" s="1115">
        <v>9.5</v>
      </c>
      <c r="N87" s="1119"/>
      <c r="O87" s="1115"/>
      <c r="P87" s="668">
        <v>12.1</v>
      </c>
      <c r="Q87" s="668">
        <f t="shared" ref="Q87" si="20">LEFT(H87,(FIND("K",H87,1)-1))*J87/100</f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119"/>
      <c r="AE87" s="432">
        <f>Y87*AD87</f>
        <v>0</v>
      </c>
      <c r="AF87" s="449" t="s">
        <v>432</v>
      </c>
    </row>
    <row r="88" spans="1:32" ht="18.75" customHeight="1" x14ac:dyDescent="0.25">
      <c r="A88" s="1127">
        <v>71</v>
      </c>
      <c r="B88" s="461" t="s">
        <v>155</v>
      </c>
      <c r="C88" s="1119" t="s">
        <v>415</v>
      </c>
      <c r="D88" s="1119">
        <v>513.9</v>
      </c>
      <c r="E88" s="1119" t="s">
        <v>477</v>
      </c>
      <c r="F88" s="1119">
        <v>177.8</v>
      </c>
      <c r="G88" s="1119"/>
      <c r="H88" s="1119"/>
      <c r="I88" s="1115">
        <v>9.5</v>
      </c>
      <c r="J88" s="1115"/>
      <c r="K88" s="1115"/>
      <c r="L88" s="1115"/>
      <c r="M88" s="1115"/>
      <c r="N88" s="1119"/>
      <c r="O88" s="1115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127">
        <v>72</v>
      </c>
      <c r="B89" s="461" t="s">
        <v>465</v>
      </c>
      <c r="C89" s="1119" t="s">
        <v>46</v>
      </c>
      <c r="D89" s="1119">
        <v>571.91</v>
      </c>
      <c r="E89" s="1119" t="s">
        <v>478</v>
      </c>
      <c r="F89" s="1119">
        <v>177.8</v>
      </c>
      <c r="G89" s="1119"/>
      <c r="H89" s="831"/>
      <c r="I89" s="1115">
        <v>9.5</v>
      </c>
      <c r="J89" s="1115"/>
      <c r="K89" s="1115"/>
      <c r="L89" s="1115"/>
      <c r="M89" s="1115"/>
      <c r="N89" s="1119"/>
      <c r="O89" s="1115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118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119"/>
      <c r="H90" s="1119"/>
      <c r="I90" s="1119"/>
      <c r="J90" s="1115"/>
      <c r="K90" s="1115"/>
      <c r="L90" s="1115"/>
      <c r="M90" s="1115"/>
      <c r="N90" s="1115"/>
      <c r="O90" s="1115"/>
      <c r="P90" s="448"/>
      <c r="Q90" s="448"/>
      <c r="R90" s="466">
        <f>SUM(R84:R89)</f>
        <v>0</v>
      </c>
      <c r="S90" s="466">
        <f>SUM(S84:S89)</f>
        <v>1.8780000000000001</v>
      </c>
      <c r="T90" s="512">
        <f>SUM(T84:T89)</f>
        <v>0</v>
      </c>
      <c r="U90" s="466"/>
      <c r="V90" s="466"/>
      <c r="W90" s="466"/>
      <c r="X90" s="466"/>
      <c r="Y90" s="466">
        <f>SUM(Y84:Y89)</f>
        <v>0</v>
      </c>
      <c r="Z90" s="466">
        <f>SUM(Z84:Z89)</f>
        <v>1.8498299999999999</v>
      </c>
      <c r="AA90" s="678">
        <f>SUM(AA26:AA89)</f>
        <v>15735.373030000002</v>
      </c>
      <c r="AB90" s="466"/>
      <c r="AC90" s="466"/>
      <c r="AD90" s="1118"/>
      <c r="AE90" s="466">
        <f>SUM(AE84:AE89)</f>
        <v>0</v>
      </c>
      <c r="AF90" s="669"/>
    </row>
    <row r="91" spans="1:32" ht="18.75" customHeight="1" x14ac:dyDescent="0.25">
      <c r="A91" s="870"/>
      <c r="B91" s="873"/>
      <c r="C91" s="850"/>
      <c r="D91" s="850"/>
      <c r="E91" s="1120" t="s">
        <v>470</v>
      </c>
      <c r="F91" s="853"/>
      <c r="G91" s="1110"/>
      <c r="H91" s="1114"/>
      <c r="I91" s="1114"/>
      <c r="J91" s="1115"/>
      <c r="K91" s="1115"/>
      <c r="L91" s="1115"/>
      <c r="M91" s="1115"/>
      <c r="N91" s="1115"/>
      <c r="O91" s="1115"/>
      <c r="P91" s="448"/>
      <c r="Q91" s="448"/>
      <c r="R91" s="1115"/>
      <c r="S91" s="437"/>
      <c r="T91" s="1115"/>
      <c r="U91" s="1110"/>
      <c r="V91" s="1110"/>
      <c r="W91" s="1110"/>
      <c r="X91" s="421"/>
      <c r="Y91" s="1115"/>
      <c r="Z91" s="1115"/>
      <c r="AA91" s="1115"/>
      <c r="AB91" s="1110"/>
      <c r="AC91" s="1110"/>
      <c r="AD91" s="1115"/>
      <c r="AE91" s="1115"/>
      <c r="AF91" s="1114"/>
    </row>
    <row r="92" spans="1:32" ht="18.75" customHeight="1" x14ac:dyDescent="0.2">
      <c r="A92" s="1117">
        <v>73</v>
      </c>
      <c r="B92" s="1119" t="s">
        <v>131</v>
      </c>
      <c r="C92" s="1117" t="s">
        <v>313</v>
      </c>
      <c r="D92" s="1119">
        <v>389.74</v>
      </c>
      <c r="E92" s="679" t="s">
        <v>136</v>
      </c>
      <c r="F92" s="1119">
        <v>177.8</v>
      </c>
      <c r="G92" s="1119" t="s">
        <v>28</v>
      </c>
      <c r="H92" s="1119" t="s">
        <v>466</v>
      </c>
      <c r="I92" s="1115">
        <v>137.63999999999999</v>
      </c>
      <c r="J92" s="1115">
        <v>120</v>
      </c>
      <c r="K92" s="1119"/>
      <c r="L92" s="1130">
        <v>82</v>
      </c>
      <c r="M92" s="1130"/>
      <c r="N92" s="1130">
        <v>0</v>
      </c>
      <c r="O92" s="1119"/>
      <c r="P92" s="668">
        <v>12.863322073940665</v>
      </c>
      <c r="Q92" s="448">
        <f>(13*J92)/100</f>
        <v>15.6</v>
      </c>
      <c r="R92" s="432">
        <v>7.0759999999999996</v>
      </c>
      <c r="S92" s="432">
        <v>11.074</v>
      </c>
      <c r="T92" s="432">
        <v>0</v>
      </c>
      <c r="U92" s="432">
        <f>T92/R92</f>
        <v>0</v>
      </c>
      <c r="V92" s="432">
        <f t="shared" ref="V92:V95" si="21">(S92-R92)/S92*100</f>
        <v>36.102582625970747</v>
      </c>
      <c r="W92" s="432">
        <v>0.3</v>
      </c>
      <c r="X92" s="432">
        <f t="shared" ref="X92:X95" si="22">S92/Q92</f>
        <v>0.70987179487179486</v>
      </c>
      <c r="Y92" s="432">
        <f t="shared" ref="Y92:AA95" si="23">R92*0.985</f>
        <v>6.9698599999999997</v>
      </c>
      <c r="Z92" s="432">
        <f>S92*0.985</f>
        <v>10.90789</v>
      </c>
      <c r="AA92" s="432">
        <f>T92*0.985</f>
        <v>0</v>
      </c>
      <c r="AB92" s="432">
        <f t="shared" ref="AB92:AC95" si="24">U92</f>
        <v>0</v>
      </c>
      <c r="AC92" s="432">
        <f t="shared" si="24"/>
        <v>36.102582625970747</v>
      </c>
      <c r="AD92" s="1119">
        <v>31</v>
      </c>
      <c r="AE92" s="432">
        <f t="shared" ref="AE92:AE95" si="25">Y92*AD92</f>
        <v>216.06565999999998</v>
      </c>
      <c r="AF92" s="449"/>
    </row>
    <row r="93" spans="1:32" ht="18.75" customHeight="1" x14ac:dyDescent="0.2">
      <c r="A93" s="1125">
        <v>74</v>
      </c>
      <c r="B93" s="1119" t="s">
        <v>132</v>
      </c>
      <c r="C93" s="1117" t="s">
        <v>313</v>
      </c>
      <c r="D93" s="1119">
        <v>387.72</v>
      </c>
      <c r="E93" s="679" t="s">
        <v>135</v>
      </c>
      <c r="F93" s="1119">
        <v>177.8</v>
      </c>
      <c r="G93" s="1119" t="s">
        <v>28</v>
      </c>
      <c r="H93" s="1119" t="s">
        <v>485</v>
      </c>
      <c r="I93" s="1115">
        <v>130.34</v>
      </c>
      <c r="J93" s="1119">
        <v>250</v>
      </c>
      <c r="K93" s="1119"/>
      <c r="L93" s="1130">
        <v>80</v>
      </c>
      <c r="M93" s="1130"/>
      <c r="N93" s="1130">
        <v>0</v>
      </c>
      <c r="O93" s="1119"/>
      <c r="P93" s="668">
        <v>10.150799978120727</v>
      </c>
      <c r="Q93" s="448">
        <f>(15*J93)/100</f>
        <v>37.5</v>
      </c>
      <c r="R93" s="432">
        <v>9.3439999999999994</v>
      </c>
      <c r="S93" s="432">
        <v>13.206999999999999</v>
      </c>
      <c r="T93" s="432">
        <v>0</v>
      </c>
      <c r="U93" s="432">
        <f>T93/R93</f>
        <v>0</v>
      </c>
      <c r="V93" s="432">
        <f t="shared" si="21"/>
        <v>29.249640342242749</v>
      </c>
      <c r="W93" s="432">
        <v>0.3</v>
      </c>
      <c r="X93" s="432">
        <f t="shared" si="22"/>
        <v>0.35218666666666665</v>
      </c>
      <c r="Y93" s="432">
        <f t="shared" si="23"/>
        <v>9.2038399999999996</v>
      </c>
      <c r="Z93" s="432">
        <f t="shared" si="23"/>
        <v>13.008894999999999</v>
      </c>
      <c r="AA93" s="432">
        <f t="shared" si="23"/>
        <v>0</v>
      </c>
      <c r="AB93" s="432">
        <v>0</v>
      </c>
      <c r="AC93" s="432">
        <f>V93</f>
        <v>29.249640342242749</v>
      </c>
      <c r="AD93" s="1119">
        <v>31</v>
      </c>
      <c r="AE93" s="432">
        <f t="shared" si="25"/>
        <v>285.31903999999997</v>
      </c>
      <c r="AF93" s="449"/>
    </row>
    <row r="94" spans="1:32" ht="18.75" customHeight="1" x14ac:dyDescent="0.2">
      <c r="A94" s="1125">
        <v>75</v>
      </c>
      <c r="B94" s="1119" t="s">
        <v>121</v>
      </c>
      <c r="C94" s="1117" t="s">
        <v>313</v>
      </c>
      <c r="D94" s="1119">
        <v>389.57</v>
      </c>
      <c r="E94" s="1119" t="s">
        <v>137</v>
      </c>
      <c r="F94" s="1119">
        <v>177.8</v>
      </c>
      <c r="G94" s="1119" t="s">
        <v>28</v>
      </c>
      <c r="H94" s="831" t="s">
        <v>466</v>
      </c>
      <c r="I94" s="1126">
        <v>132.82</v>
      </c>
      <c r="J94" s="1119">
        <v>200</v>
      </c>
      <c r="K94" s="1119"/>
      <c r="L94" s="1130">
        <v>104</v>
      </c>
      <c r="M94" s="1130"/>
      <c r="N94" s="1130">
        <v>0.2</v>
      </c>
      <c r="O94" s="1119"/>
      <c r="P94" s="668">
        <v>12.201132184842152</v>
      </c>
      <c r="Q94" s="448">
        <f>(13*J94)/100</f>
        <v>26</v>
      </c>
      <c r="R94" s="432">
        <v>3.653</v>
      </c>
      <c r="S94" s="432">
        <v>7.9369999999999994</v>
      </c>
      <c r="T94" s="432">
        <v>0</v>
      </c>
      <c r="U94" s="432">
        <v>0</v>
      </c>
      <c r="V94" s="432">
        <f t="shared" si="21"/>
        <v>53.975053546680094</v>
      </c>
      <c r="W94" s="432">
        <v>0.3</v>
      </c>
      <c r="X94" s="432">
        <f>S94/Q94</f>
        <v>0.30526923076923074</v>
      </c>
      <c r="Y94" s="432">
        <f t="shared" si="23"/>
        <v>3.5982050000000001</v>
      </c>
      <c r="Z94" s="432">
        <f t="shared" si="23"/>
        <v>7.817944999999999</v>
      </c>
      <c r="AA94" s="432">
        <f t="shared" si="23"/>
        <v>0</v>
      </c>
      <c r="AB94" s="432">
        <v>0</v>
      </c>
      <c r="AC94" s="432">
        <v>47</v>
      </c>
      <c r="AD94" s="1119">
        <v>31</v>
      </c>
      <c r="AE94" s="432">
        <f t="shared" si="25"/>
        <v>111.544355</v>
      </c>
      <c r="AF94" s="669"/>
    </row>
    <row r="95" spans="1:32" ht="18.75" customHeight="1" x14ac:dyDescent="0.2">
      <c r="A95" s="1125">
        <v>76</v>
      </c>
      <c r="B95" s="1119" t="s">
        <v>122</v>
      </c>
      <c r="C95" s="1117" t="s">
        <v>313</v>
      </c>
      <c r="D95" s="1119">
        <v>391.06</v>
      </c>
      <c r="E95" s="1119" t="s">
        <v>138</v>
      </c>
      <c r="F95" s="1119">
        <v>177.8</v>
      </c>
      <c r="G95" s="1119" t="s">
        <v>28</v>
      </c>
      <c r="H95" s="1119" t="s">
        <v>485</v>
      </c>
      <c r="I95" s="432">
        <v>148.37</v>
      </c>
      <c r="J95" s="1119">
        <v>160</v>
      </c>
      <c r="K95" s="1118"/>
      <c r="L95" s="1130">
        <v>90</v>
      </c>
      <c r="M95" s="1129"/>
      <c r="N95" s="1130">
        <v>0.1</v>
      </c>
      <c r="O95" s="1118"/>
      <c r="P95" s="668">
        <v>10.35950553820205</v>
      </c>
      <c r="Q95" s="448">
        <f>(15*J95)/100</f>
        <v>24</v>
      </c>
      <c r="R95" s="432">
        <v>7.0640000000000001</v>
      </c>
      <c r="S95" s="432">
        <v>7.5570000000000004</v>
      </c>
      <c r="T95" s="432">
        <v>0</v>
      </c>
      <c r="U95" s="432">
        <f>T95/R95</f>
        <v>0</v>
      </c>
      <c r="V95" s="432">
        <f t="shared" si="21"/>
        <v>6.5237528119624226</v>
      </c>
      <c r="W95" s="432">
        <v>0.3</v>
      </c>
      <c r="X95" s="432">
        <f t="shared" si="22"/>
        <v>0.31487500000000002</v>
      </c>
      <c r="Y95" s="432">
        <f t="shared" si="23"/>
        <v>6.9580399999999996</v>
      </c>
      <c r="Z95" s="432">
        <f t="shared" si="23"/>
        <v>7.4436450000000001</v>
      </c>
      <c r="AA95" s="432">
        <f t="shared" si="23"/>
        <v>0</v>
      </c>
      <c r="AB95" s="432">
        <f t="shared" si="24"/>
        <v>0</v>
      </c>
      <c r="AC95" s="432">
        <f t="shared" si="24"/>
        <v>6.5237528119624226</v>
      </c>
      <c r="AD95" s="1119">
        <v>31</v>
      </c>
      <c r="AE95" s="432">
        <f t="shared" si="25"/>
        <v>215.69923999999997</v>
      </c>
      <c r="AF95" s="680"/>
    </row>
    <row r="96" spans="1:32" ht="18.75" customHeight="1" x14ac:dyDescent="0.2">
      <c r="A96" s="1125">
        <v>77</v>
      </c>
      <c r="B96" s="1119" t="s">
        <v>188</v>
      </c>
      <c r="C96" s="1117" t="s">
        <v>344</v>
      </c>
      <c r="D96" s="1119">
        <v>400.5</v>
      </c>
      <c r="E96" s="1119" t="s">
        <v>345</v>
      </c>
      <c r="F96" s="1119">
        <v>177.8</v>
      </c>
      <c r="G96" s="1119"/>
      <c r="H96" s="1119"/>
      <c r="I96" s="432"/>
      <c r="J96" s="1119"/>
      <c r="K96" s="1118"/>
      <c r="L96" s="1119"/>
      <c r="M96" s="1118"/>
      <c r="N96" s="1119"/>
      <c r="O96" s="1118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119"/>
      <c r="AE96" s="432"/>
      <c r="AF96" s="669"/>
    </row>
    <row r="97" spans="1:32" ht="18.75" customHeight="1" x14ac:dyDescent="0.2">
      <c r="A97" s="1125">
        <v>78</v>
      </c>
      <c r="B97" s="1119" t="s">
        <v>186</v>
      </c>
      <c r="C97" s="1117" t="s">
        <v>346</v>
      </c>
      <c r="D97" s="1119">
        <v>349.5</v>
      </c>
      <c r="E97" s="461" t="s">
        <v>347</v>
      </c>
      <c r="F97" s="1119">
        <v>177.8</v>
      </c>
      <c r="G97" s="1119"/>
      <c r="H97" s="1119"/>
      <c r="I97" s="432"/>
      <c r="J97" s="1119"/>
      <c r="K97" s="1119"/>
      <c r="L97" s="1119"/>
      <c r="M97" s="1118"/>
      <c r="N97" s="1119"/>
      <c r="O97" s="1118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119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115"/>
      <c r="G98" s="1110"/>
      <c r="H98" s="1114"/>
      <c r="I98" s="1114"/>
      <c r="J98" s="1115"/>
      <c r="K98" s="1115"/>
      <c r="L98" s="1115"/>
      <c r="M98" s="1115"/>
      <c r="N98" s="1115"/>
      <c r="O98" s="1115"/>
      <c r="P98" s="448"/>
      <c r="Q98" s="448"/>
      <c r="R98" s="466">
        <f>SUM(R92:R97)</f>
        <v>27.136999999999997</v>
      </c>
      <c r="S98" s="466">
        <f>SUM(S92:S97)</f>
        <v>39.774999999999999</v>
      </c>
      <c r="T98" s="466">
        <f>SUM(T92:T95)</f>
        <v>0</v>
      </c>
      <c r="U98" s="466">
        <f>SUM(U92:U95)</f>
        <v>0</v>
      </c>
      <c r="V98" s="1110"/>
      <c r="W98" s="1110"/>
      <c r="X98" s="1110"/>
      <c r="Y98" s="466">
        <v>29.614999999999998</v>
      </c>
      <c r="Z98" s="466">
        <f>SUM(Z92:Z97)</f>
        <v>39.178374999999996</v>
      </c>
      <c r="AA98" s="466">
        <f>SUM(AA92:AA95)</f>
        <v>0</v>
      </c>
      <c r="AB98" s="466">
        <f>AA98/Y98</f>
        <v>0</v>
      </c>
      <c r="AC98" s="1110"/>
      <c r="AD98" s="1115"/>
      <c r="AE98" s="466">
        <f>SUM(AE92:AE97)</f>
        <v>828.62829499999998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118"/>
      <c r="G99" s="1119"/>
      <c r="H99" s="1119"/>
      <c r="I99" s="432"/>
      <c r="J99" s="1119"/>
      <c r="K99" s="1118"/>
      <c r="L99" s="1119"/>
      <c r="M99" s="1118"/>
      <c r="N99" s="668"/>
      <c r="O99" s="1118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110"/>
      <c r="H100" s="1114"/>
      <c r="I100" s="1114"/>
      <c r="J100" s="1115"/>
      <c r="K100" s="1115"/>
      <c r="L100" s="1115"/>
      <c r="M100" s="1115"/>
      <c r="N100" s="1115"/>
      <c r="O100" s="1115"/>
      <c r="P100" s="448"/>
      <c r="Q100" s="448"/>
      <c r="R100" s="1115"/>
      <c r="S100" s="1115"/>
      <c r="T100" s="1115"/>
      <c r="U100" s="1110"/>
      <c r="V100" s="1110"/>
      <c r="W100" s="1110"/>
      <c r="X100" s="1110"/>
      <c r="Y100" s="1115"/>
      <c r="Z100" s="1115"/>
      <c r="AA100" s="1115"/>
      <c r="AB100" s="1110"/>
      <c r="AC100" s="1110"/>
      <c r="AD100" s="1115"/>
      <c r="AE100" s="1115"/>
      <c r="AF100" s="1114"/>
    </row>
    <row r="101" spans="1:32" ht="18.75" customHeight="1" x14ac:dyDescent="0.2">
      <c r="A101" s="1119">
        <v>79</v>
      </c>
      <c r="B101" s="1116" t="s">
        <v>107</v>
      </c>
      <c r="C101" s="1115" t="s">
        <v>109</v>
      </c>
      <c r="D101" s="1115"/>
      <c r="E101" s="1115"/>
      <c r="F101" s="1115"/>
      <c r="G101" s="1110"/>
      <c r="H101" s="1114"/>
      <c r="I101" s="1114"/>
      <c r="J101" s="1115"/>
      <c r="K101" s="1115"/>
      <c r="L101" s="1115"/>
      <c r="M101" s="1115"/>
      <c r="N101" s="1115"/>
      <c r="O101" s="1115"/>
      <c r="P101" s="448"/>
      <c r="Q101" s="448"/>
      <c r="R101" s="1115"/>
      <c r="S101" s="1115"/>
      <c r="T101" s="1115"/>
      <c r="U101" s="1110"/>
      <c r="V101" s="1110"/>
      <c r="W101" s="1110"/>
      <c r="X101" s="1110"/>
      <c r="Y101" s="1114"/>
      <c r="Z101" s="1114"/>
      <c r="AA101" s="1115"/>
      <c r="AB101" s="1110"/>
      <c r="AC101" s="1110"/>
      <c r="AD101" s="493"/>
      <c r="AE101" s="1115"/>
      <c r="AF101" s="1114"/>
    </row>
    <row r="102" spans="1:32" ht="18.75" customHeight="1" x14ac:dyDescent="0.2">
      <c r="A102" s="1127">
        <v>80</v>
      </c>
      <c r="B102" s="1116" t="s">
        <v>108</v>
      </c>
      <c r="C102" s="1115" t="s">
        <v>109</v>
      </c>
      <c r="D102" s="1115"/>
      <c r="E102" s="1115"/>
      <c r="F102" s="1115"/>
      <c r="G102" s="1110"/>
      <c r="H102" s="1114"/>
      <c r="I102" s="1114"/>
      <c r="J102" s="1115"/>
      <c r="K102" s="1115"/>
      <c r="L102" s="1115"/>
      <c r="M102" s="1115"/>
      <c r="N102" s="1115"/>
      <c r="O102" s="1115"/>
      <c r="P102" s="448"/>
      <c r="Q102" s="448"/>
      <c r="R102" s="437"/>
      <c r="S102" s="1115"/>
      <c r="T102" s="1115"/>
      <c r="U102" s="1110"/>
      <c r="V102" s="1110"/>
      <c r="W102" s="1110"/>
      <c r="X102" s="1110"/>
      <c r="Y102" s="1114"/>
      <c r="Z102" s="1114"/>
      <c r="AA102" s="1115"/>
      <c r="AB102" s="1110"/>
      <c r="AC102" s="1110"/>
      <c r="AD102" s="493"/>
      <c r="AE102" s="1115"/>
      <c r="AF102" s="1114"/>
    </row>
    <row r="103" spans="1:32" ht="18.75" customHeight="1" x14ac:dyDescent="0.2">
      <c r="A103" s="1127">
        <v>81</v>
      </c>
      <c r="B103" s="1116" t="s">
        <v>195</v>
      </c>
      <c r="C103" s="1117" t="s">
        <v>484</v>
      </c>
      <c r="D103" s="1115"/>
      <c r="E103" s="1115"/>
      <c r="F103" s="1115"/>
      <c r="G103" s="1110"/>
      <c r="H103" s="1114"/>
      <c r="I103" s="1114"/>
      <c r="J103" s="1115"/>
      <c r="K103" s="1115"/>
      <c r="L103" s="1115"/>
      <c r="M103" s="1115"/>
      <c r="N103" s="1115"/>
      <c r="O103" s="1115"/>
      <c r="P103" s="448"/>
      <c r="Q103" s="448"/>
      <c r="R103" s="1115"/>
      <c r="S103" s="1115"/>
      <c r="T103" s="1115"/>
      <c r="U103" s="1110"/>
      <c r="V103" s="1110"/>
      <c r="W103" s="1110"/>
      <c r="X103" s="1110"/>
      <c r="Y103" s="1114"/>
      <c r="Z103" s="1114"/>
      <c r="AA103" s="1115"/>
      <c r="AB103" s="1110"/>
      <c r="AC103" s="1110"/>
      <c r="AD103" s="493"/>
      <c r="AE103" s="1115"/>
      <c r="AF103" s="1114"/>
    </row>
    <row r="104" spans="1:32" ht="18.75" customHeight="1" x14ac:dyDescent="0.2">
      <c r="A104" s="1127">
        <v>82</v>
      </c>
      <c r="B104" s="1116" t="s">
        <v>192</v>
      </c>
      <c r="C104" s="1117" t="s">
        <v>484</v>
      </c>
      <c r="D104" s="1115"/>
      <c r="E104" s="1115"/>
      <c r="F104" s="1115"/>
      <c r="G104" s="1110"/>
      <c r="H104" s="1114"/>
      <c r="I104" s="1114"/>
      <c r="J104" s="1115"/>
      <c r="K104" s="1115"/>
      <c r="L104" s="1115"/>
      <c r="M104" s="1115"/>
      <c r="N104" s="1115"/>
      <c r="O104" s="1115"/>
      <c r="P104" s="448"/>
      <c r="Q104" s="448"/>
      <c r="R104" s="1115"/>
      <c r="S104" s="1115"/>
      <c r="T104" s="1115"/>
      <c r="U104" s="1110"/>
      <c r="V104" s="1110"/>
      <c r="W104" s="1110"/>
      <c r="X104" s="1110"/>
      <c r="Y104" s="1114"/>
      <c r="Z104" s="1114"/>
      <c r="AA104" s="1115"/>
      <c r="AB104" s="1110"/>
      <c r="AC104" s="1110"/>
      <c r="AD104" s="493"/>
      <c r="AE104" s="1115"/>
      <c r="AF104" s="1114"/>
    </row>
    <row r="105" spans="1:32" ht="18.75" customHeight="1" x14ac:dyDescent="0.2">
      <c r="A105" s="1119"/>
      <c r="B105" s="851"/>
      <c r="C105" s="850"/>
      <c r="D105" s="850"/>
      <c r="E105" s="1114" t="s">
        <v>278</v>
      </c>
      <c r="F105" s="850"/>
      <c r="G105" s="1110"/>
      <c r="H105" s="1114"/>
      <c r="I105" s="1114"/>
      <c r="J105" s="1115"/>
      <c r="K105" s="1115"/>
      <c r="L105" s="1115"/>
      <c r="M105" s="1115"/>
      <c r="N105" s="1115"/>
      <c r="O105" s="1115"/>
      <c r="P105" s="448"/>
      <c r="Q105" s="448"/>
      <c r="R105" s="1115"/>
      <c r="S105" s="1115"/>
      <c r="T105" s="1115"/>
      <c r="U105" s="1110"/>
      <c r="V105" s="1110"/>
      <c r="W105" s="1110"/>
      <c r="X105" s="1110"/>
      <c r="Y105" s="437"/>
      <c r="Z105" s="1115"/>
      <c r="AA105" s="1115"/>
      <c r="AB105" s="1110"/>
      <c r="AC105" s="1110"/>
      <c r="AD105" s="1115"/>
      <c r="AE105" s="1115"/>
      <c r="AF105" s="1114"/>
    </row>
    <row r="106" spans="1:32" ht="18.75" customHeight="1" x14ac:dyDescent="0.2">
      <c r="A106" s="1119">
        <v>83</v>
      </c>
      <c r="B106" s="461" t="s">
        <v>189</v>
      </c>
      <c r="C106" s="1119" t="s">
        <v>46</v>
      </c>
      <c r="D106" s="1119">
        <v>673</v>
      </c>
      <c r="E106" s="1119" t="s">
        <v>190</v>
      </c>
      <c r="F106" s="1119">
        <v>177.8</v>
      </c>
      <c r="G106" s="1119"/>
      <c r="H106" s="1119"/>
      <c r="I106" s="1115"/>
      <c r="J106" s="1115"/>
      <c r="K106" s="1115"/>
      <c r="L106" s="1115"/>
      <c r="M106" s="1115"/>
      <c r="N106" s="1115"/>
      <c r="O106" s="1115"/>
      <c r="P106" s="448"/>
      <c r="Q106" s="448"/>
      <c r="R106" s="1115"/>
      <c r="S106" s="1115"/>
      <c r="T106" s="1115"/>
      <c r="U106" s="1110"/>
      <c r="V106" s="1110"/>
      <c r="W106" s="1110"/>
      <c r="X106" s="1110"/>
      <c r="Y106" s="473"/>
      <c r="Z106" s="683"/>
      <c r="AA106" s="1114"/>
      <c r="AB106" s="1110"/>
      <c r="AC106" s="1115"/>
      <c r="AD106" s="1119"/>
      <c r="AE106" s="432"/>
      <c r="AF106" s="449"/>
    </row>
    <row r="107" spans="1:32" ht="18.75" customHeight="1" x14ac:dyDescent="0.3">
      <c r="A107" s="1127">
        <v>84</v>
      </c>
      <c r="B107" s="461" t="s">
        <v>181</v>
      </c>
      <c r="C107" s="684" t="s">
        <v>344</v>
      </c>
      <c r="D107" s="1119">
        <v>374.5</v>
      </c>
      <c r="E107" s="1119" t="s">
        <v>182</v>
      </c>
      <c r="F107" s="1119">
        <v>177.8</v>
      </c>
      <c r="G107" s="1119"/>
      <c r="H107" s="1119"/>
      <c r="I107" s="1115"/>
      <c r="J107" s="1119"/>
      <c r="K107" s="1119"/>
      <c r="L107" s="1119"/>
      <c r="M107" s="1119"/>
      <c r="N107" s="668"/>
      <c r="O107" s="1119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119"/>
      <c r="AE107" s="432"/>
      <c r="AF107" s="449"/>
    </row>
    <row r="108" spans="1:32" ht="18.75" customHeight="1" x14ac:dyDescent="0.2">
      <c r="A108" s="1127">
        <v>85</v>
      </c>
      <c r="B108" s="461" t="s">
        <v>174</v>
      </c>
      <c r="C108" s="1119" t="s">
        <v>46</v>
      </c>
      <c r="D108" s="1119">
        <v>672</v>
      </c>
      <c r="E108" s="1119" t="s">
        <v>175</v>
      </c>
      <c r="F108" s="1119">
        <v>177.8</v>
      </c>
      <c r="G108" s="1119"/>
      <c r="H108" s="1119"/>
      <c r="I108" s="1115"/>
      <c r="J108" s="1119"/>
      <c r="K108" s="1119"/>
      <c r="L108" s="1119"/>
      <c r="M108" s="1119"/>
      <c r="N108" s="668"/>
      <c r="O108" s="1119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119"/>
      <c r="AE108" s="432"/>
      <c r="AF108" s="449"/>
    </row>
    <row r="109" spans="1:32" ht="18.75" customHeight="1" x14ac:dyDescent="0.2">
      <c r="A109" s="1127">
        <v>86</v>
      </c>
      <c r="B109" s="1116" t="s">
        <v>103</v>
      </c>
      <c r="C109" s="1119" t="s">
        <v>46</v>
      </c>
      <c r="D109" s="1115">
        <v>582</v>
      </c>
      <c r="E109" s="1115" t="s">
        <v>112</v>
      </c>
      <c r="F109" s="1119">
        <v>177.8</v>
      </c>
      <c r="G109" s="1119"/>
      <c r="H109" s="1119"/>
      <c r="I109" s="1115"/>
      <c r="J109" s="1115"/>
      <c r="K109" s="1115"/>
      <c r="L109" s="1115"/>
      <c r="M109" s="1115"/>
      <c r="N109" s="1115"/>
      <c r="O109" s="1115"/>
      <c r="P109" s="448"/>
      <c r="Q109" s="448"/>
      <c r="R109" s="1115"/>
      <c r="S109" s="1115"/>
      <c r="T109" s="1115"/>
      <c r="U109" s="1110"/>
      <c r="V109" s="1110"/>
      <c r="W109" s="1110"/>
      <c r="X109" s="421"/>
      <c r="Y109" s="492"/>
      <c r="Z109" s="1115"/>
      <c r="AA109" s="1115"/>
      <c r="AB109" s="1110"/>
      <c r="AC109" s="1115"/>
      <c r="AD109" s="493"/>
      <c r="AE109" s="437"/>
      <c r="AF109" s="449"/>
    </row>
    <row r="110" spans="1:32" ht="18.75" customHeight="1" x14ac:dyDescent="0.2">
      <c r="A110" s="1127">
        <v>87</v>
      </c>
      <c r="B110" s="1119" t="s">
        <v>57</v>
      </c>
      <c r="C110" s="1117" t="s">
        <v>314</v>
      </c>
      <c r="D110" s="1119">
        <v>376.58</v>
      </c>
      <c r="E110" s="461" t="s">
        <v>93</v>
      </c>
      <c r="F110" s="1119">
        <v>177.8</v>
      </c>
      <c r="G110" s="1119"/>
      <c r="H110" s="1119"/>
      <c r="I110" s="1115"/>
      <c r="J110" s="1115"/>
      <c r="K110" s="1115"/>
      <c r="L110" s="1115"/>
      <c r="M110" s="1115"/>
      <c r="N110" s="1115"/>
      <c r="O110" s="1115"/>
      <c r="P110" s="448"/>
      <c r="Q110" s="448"/>
      <c r="R110" s="1115"/>
      <c r="S110" s="1115"/>
      <c r="T110" s="1115"/>
      <c r="U110" s="1110"/>
      <c r="V110" s="1110"/>
      <c r="W110" s="1110"/>
      <c r="X110" s="421"/>
      <c r="Y110" s="492"/>
      <c r="Z110" s="1115"/>
      <c r="AA110" s="1115"/>
      <c r="AB110" s="1110"/>
      <c r="AC110" s="1115"/>
      <c r="AD110" s="493"/>
      <c r="AE110" s="437"/>
      <c r="AF110" s="449"/>
    </row>
    <row r="111" spans="1:32" ht="18.75" customHeight="1" x14ac:dyDescent="0.2">
      <c r="A111" s="1127">
        <v>88</v>
      </c>
      <c r="B111" s="1119" t="s">
        <v>184</v>
      </c>
      <c r="C111" s="1117" t="s">
        <v>314</v>
      </c>
      <c r="D111" s="1119">
        <v>422.78</v>
      </c>
      <c r="E111" s="461" t="s">
        <v>185</v>
      </c>
      <c r="F111" s="1119">
        <v>177.8</v>
      </c>
      <c r="G111" s="1119"/>
      <c r="H111" s="1119"/>
      <c r="I111" s="432"/>
      <c r="J111" s="1115"/>
      <c r="K111" s="1115"/>
      <c r="L111" s="1115"/>
      <c r="M111" s="1115"/>
      <c r="N111" s="1115"/>
      <c r="O111" s="1115"/>
      <c r="P111" s="448"/>
      <c r="Q111" s="448"/>
      <c r="R111" s="1115"/>
      <c r="S111" s="1115"/>
      <c r="T111" s="1115"/>
      <c r="U111" s="1110"/>
      <c r="V111" s="1110"/>
      <c r="W111" s="1110"/>
      <c r="X111" s="421"/>
      <c r="Y111" s="492"/>
      <c r="Z111" s="1115"/>
      <c r="AA111" s="1115"/>
      <c r="AB111" s="1110"/>
      <c r="AC111" s="1115"/>
      <c r="AD111" s="493"/>
      <c r="AE111" s="437"/>
      <c r="AF111" s="449"/>
    </row>
    <row r="112" spans="1:32" ht="18.75" customHeight="1" x14ac:dyDescent="0.2">
      <c r="A112" s="1127">
        <v>89</v>
      </c>
      <c r="B112" s="1116" t="s">
        <v>220</v>
      </c>
      <c r="C112" s="1119" t="s">
        <v>46</v>
      </c>
      <c r="D112" s="1115">
        <v>685.69</v>
      </c>
      <c r="E112" s="1115" t="s">
        <v>222</v>
      </c>
      <c r="F112" s="1119">
        <v>177.8</v>
      </c>
      <c r="G112" s="1119"/>
      <c r="H112" s="1119"/>
      <c r="I112" s="1115"/>
      <c r="J112" s="1115"/>
      <c r="K112" s="1115"/>
      <c r="L112" s="1115"/>
      <c r="M112" s="1115"/>
      <c r="N112" s="1115"/>
      <c r="O112" s="1115"/>
      <c r="P112" s="448"/>
      <c r="Q112" s="771"/>
      <c r="R112" s="1115"/>
      <c r="S112" s="1115"/>
      <c r="T112" s="1115"/>
      <c r="U112" s="1110"/>
      <c r="V112" s="1110"/>
      <c r="W112" s="1110"/>
      <c r="X112" s="421"/>
      <c r="Y112" s="492"/>
      <c r="Z112" s="1115"/>
      <c r="AA112" s="1115"/>
      <c r="AB112" s="1110"/>
      <c r="AC112" s="1115"/>
      <c r="AD112" s="493"/>
      <c r="AE112" s="437"/>
      <c r="AF112" s="449"/>
    </row>
    <row r="113" spans="1:32" ht="18.75" customHeight="1" x14ac:dyDescent="0.2">
      <c r="A113" s="1119"/>
      <c r="B113" s="851"/>
      <c r="C113" s="850"/>
      <c r="D113" s="850"/>
      <c r="E113" s="1114" t="s">
        <v>469</v>
      </c>
      <c r="F113" s="850"/>
      <c r="G113" s="1119"/>
      <c r="H113" s="1119"/>
      <c r="I113" s="1115"/>
      <c r="J113" s="1119"/>
      <c r="K113" s="1119"/>
      <c r="L113" s="1119"/>
      <c r="M113" s="1119"/>
      <c r="N113" s="668"/>
      <c r="O113" s="1119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119"/>
      <c r="AE113" s="432"/>
      <c r="AF113" s="449"/>
    </row>
    <row r="114" spans="1:32" ht="18.75" customHeight="1" x14ac:dyDescent="0.2">
      <c r="A114" s="1119">
        <v>90</v>
      </c>
      <c r="B114" s="461" t="s">
        <v>56</v>
      </c>
      <c r="C114" s="1119" t="s">
        <v>46</v>
      </c>
      <c r="D114" s="1119">
        <v>680.52</v>
      </c>
      <c r="E114" s="1119" t="s">
        <v>92</v>
      </c>
      <c r="F114" s="1119">
        <v>177.8</v>
      </c>
      <c r="G114" s="1119"/>
      <c r="H114" s="1119"/>
      <c r="I114" s="1115"/>
      <c r="J114" s="1119"/>
      <c r="K114" s="1119"/>
      <c r="L114" s="1119"/>
      <c r="M114" s="1119"/>
      <c r="N114" s="668"/>
      <c r="O114" s="1119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119"/>
      <c r="AE114" s="432"/>
      <c r="AF114" s="449"/>
    </row>
    <row r="115" spans="1:32" ht="18.75" customHeight="1" x14ac:dyDescent="0.2">
      <c r="A115" s="1119"/>
      <c r="B115" s="461"/>
      <c r="C115" s="1119"/>
      <c r="D115" s="1119"/>
      <c r="E115" s="1119"/>
      <c r="F115" s="1119"/>
      <c r="G115" s="1119"/>
      <c r="H115" s="1119"/>
      <c r="I115" s="1115"/>
      <c r="J115" s="1119"/>
      <c r="K115" s="1119"/>
      <c r="L115" s="1119"/>
      <c r="M115" s="1119"/>
      <c r="N115" s="668"/>
      <c r="O115" s="1119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119"/>
      <c r="AE115" s="432"/>
      <c r="AF115" s="449"/>
    </row>
    <row r="116" spans="1:32" ht="18.75" x14ac:dyDescent="0.25">
      <c r="A116" s="870"/>
      <c r="B116" s="1119"/>
      <c r="C116" s="1119"/>
      <c r="D116" s="1119"/>
      <c r="E116" s="461"/>
      <c r="F116" s="1119"/>
      <c r="G116" s="1119"/>
      <c r="H116" s="1119"/>
      <c r="I116" s="1115"/>
      <c r="J116" s="1119"/>
      <c r="K116" s="1119"/>
      <c r="L116" s="1119"/>
      <c r="M116" s="1119"/>
      <c r="N116" s="668"/>
      <c r="O116" s="1119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119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118"/>
      <c r="G117" s="1119"/>
      <c r="H117" s="1119"/>
      <c r="I117" s="432"/>
      <c r="J117" s="1119"/>
      <c r="K117" s="1118"/>
      <c r="L117" s="1119"/>
      <c r="M117" s="1118"/>
      <c r="N117" s="668"/>
      <c r="O117" s="1118"/>
      <c r="P117" s="682"/>
      <c r="Q117" s="774"/>
      <c r="R117" s="466">
        <f>R81+R90+R98</f>
        <v>406.06100000000009</v>
      </c>
      <c r="S117" s="466">
        <f>S81+S90+S98</f>
        <v>915.96900000000005</v>
      </c>
      <c r="T117" s="678">
        <f>T81+T90+T98</f>
        <v>8736.9989999999998</v>
      </c>
      <c r="U117" s="466">
        <f>T117/R117</f>
        <v>21.516469200440323</v>
      </c>
      <c r="V117" s="466"/>
      <c r="W117" s="466"/>
      <c r="X117" s="466"/>
      <c r="Y117" s="466">
        <f>Y81+Y90+Y98</f>
        <v>397.43271499999997</v>
      </c>
      <c r="Z117" s="466">
        <f>Z81+Z98+Z90</f>
        <v>892.25239999999997</v>
      </c>
      <c r="AA117" s="678">
        <f>AA81+AA98+AA90</f>
        <v>24290.097045000002</v>
      </c>
      <c r="AB117" s="466">
        <f>AB81+AB98+AB90</f>
        <v>23.25805328598706</v>
      </c>
      <c r="AC117" s="466"/>
      <c r="AD117" s="466"/>
      <c r="AE117" s="686">
        <f>AE81+AE90+AE98</f>
        <v>11685.86664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11101.573307999999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122"/>
      <c r="Y120" s="1122"/>
      <c r="Z120" s="1122"/>
      <c r="AA120" s="1122"/>
      <c r="AB120" s="1122"/>
      <c r="AC120" s="1122"/>
      <c r="AD120" s="1122"/>
      <c r="AE120" s="1122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264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122" t="s">
        <v>373</v>
      </c>
      <c r="AC121" s="1122"/>
      <c r="AD121" s="1122"/>
      <c r="AE121" s="1122"/>
      <c r="AF121" s="1122"/>
    </row>
    <row r="122" spans="1:32" x14ac:dyDescent="0.2">
      <c r="R122" s="1124"/>
    </row>
  </sheetData>
  <mergeCells count="33">
    <mergeCell ref="U13:U14"/>
    <mergeCell ref="AF13:AF14"/>
    <mergeCell ref="B117:E117"/>
    <mergeCell ref="K119:M119"/>
    <mergeCell ref="AB13:AB14"/>
    <mergeCell ref="AC13:AC14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F122"/>
  <sheetViews>
    <sheetView zoomScale="84" zoomScaleNormal="84" workbookViewId="0">
      <pane xSplit="2" topLeftCell="J1" activePane="topRight" state="frozen"/>
      <selection pane="topRight" activeCell="N127" sqref="N127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20" style="666" customWidth="1"/>
    <col min="4" max="4" width="8.85546875" style="666" customWidth="1"/>
    <col min="5" max="5" width="101" style="666" customWidth="1"/>
    <col min="6" max="6" width="9.28515625" style="666" bestFit="1" customWidth="1"/>
    <col min="7" max="7" width="8.85546875" style="666"/>
    <col min="8" max="8" width="19.85546875" style="666" customWidth="1"/>
    <col min="9" max="9" width="14.7109375" style="666" customWidth="1"/>
    <col min="10" max="11" width="9.28515625" style="666" bestFit="1" customWidth="1"/>
    <col min="12" max="12" width="9.140625" style="666" bestFit="1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2.85546875" style="666" customWidth="1"/>
    <col min="22" max="22" width="9.7109375" style="666" customWidth="1"/>
    <col min="23" max="23" width="9.28515625" style="666" bestFit="1" customWidth="1"/>
    <col min="24" max="24" width="9.42578125" style="666" customWidth="1"/>
    <col min="25" max="25" width="9.5703125" style="666" customWidth="1"/>
    <col min="26" max="26" width="10.85546875" style="666" customWidth="1"/>
    <col min="27" max="27" width="9.28515625" style="666" customWidth="1"/>
    <col min="28" max="28" width="13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66.28515625" style="666" customWidth="1"/>
    <col min="33" max="16384" width="8.85546875" style="666"/>
  </cols>
  <sheetData>
    <row r="1" spans="1:32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2" ht="18.75" x14ac:dyDescent="0.3">
      <c r="A2" s="656"/>
      <c r="B2" s="656"/>
      <c r="C2" s="656"/>
      <c r="D2" s="656"/>
      <c r="E2" s="656"/>
      <c r="F2" s="1143"/>
      <c r="G2" s="1132"/>
      <c r="H2" s="1132"/>
      <c r="I2" s="1143"/>
      <c r="J2" s="1909" t="s">
        <v>560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143"/>
      <c r="Y2" s="1143"/>
      <c r="Z2" s="1143"/>
      <c r="AA2" s="1143"/>
      <c r="AB2" s="1143"/>
      <c r="AC2" s="1143"/>
      <c r="AD2" s="1143"/>
      <c r="AE2" s="1143"/>
      <c r="AF2" s="405"/>
    </row>
    <row r="3" spans="1:32" ht="18.75" x14ac:dyDescent="0.2">
      <c r="A3" s="1910" t="s">
        <v>54</v>
      </c>
      <c r="B3" s="1910"/>
      <c r="C3" s="1910"/>
      <c r="D3" s="1910"/>
      <c r="E3" s="1143"/>
      <c r="F3" s="1143"/>
      <c r="G3" s="1132"/>
      <c r="H3" s="1142"/>
      <c r="I3" s="1142"/>
      <c r="J3" s="1142"/>
      <c r="K3" s="1142"/>
      <c r="L3" s="1142"/>
      <c r="M3" s="1142"/>
      <c r="N3" s="1142"/>
      <c r="O3" s="1142"/>
      <c r="P3" s="1142"/>
      <c r="Q3" s="767"/>
      <c r="R3" s="1143"/>
      <c r="S3" s="1143"/>
      <c r="T3" s="1143"/>
      <c r="U3" s="1143"/>
      <c r="V3" s="1143"/>
      <c r="W3" s="1143"/>
      <c r="X3" s="1143"/>
      <c r="Y3" s="1143"/>
      <c r="Z3" s="1143"/>
      <c r="AA3" s="1143"/>
      <c r="AB3" s="1143"/>
      <c r="AC3" s="1143"/>
      <c r="AD3" s="1143"/>
      <c r="AE3" s="1143"/>
      <c r="AF3" s="408" t="s">
        <v>55</v>
      </c>
    </row>
    <row r="4" spans="1:32" ht="18.75" x14ac:dyDescent="0.2">
      <c r="A4" s="1133"/>
      <c r="B4" s="1133"/>
      <c r="C4" s="1133"/>
      <c r="D4" s="1133"/>
      <c r="E4" s="1143"/>
      <c r="F4" s="1143"/>
      <c r="G4" s="1132"/>
      <c r="H4" s="1142"/>
      <c r="I4" s="1142"/>
      <c r="J4" s="1142"/>
      <c r="K4" s="1142"/>
      <c r="L4" s="1142"/>
      <c r="M4" s="1142"/>
      <c r="N4" s="1142"/>
      <c r="O4" s="1142"/>
      <c r="P4" s="1142"/>
      <c r="Q4" s="767"/>
      <c r="R4" s="1143"/>
      <c r="S4" s="1143"/>
      <c r="T4" s="1143"/>
      <c r="U4" s="1143"/>
      <c r="V4" s="1143"/>
      <c r="W4" s="1143"/>
      <c r="X4" s="1143"/>
      <c r="Y4" s="1143"/>
      <c r="Z4" s="1143"/>
      <c r="AA4" s="1143"/>
      <c r="AB4" s="1143"/>
      <c r="AC4" s="1143"/>
      <c r="AD4" s="1143"/>
      <c r="AE4" s="1143"/>
      <c r="AF4" s="408"/>
    </row>
    <row r="5" spans="1:32" ht="18.75" x14ac:dyDescent="0.2">
      <c r="A5" s="1134" t="s">
        <v>494</v>
      </c>
      <c r="B5" s="1134"/>
      <c r="C5" s="1134"/>
      <c r="D5" s="1134"/>
      <c r="E5" s="1134"/>
      <c r="F5" s="1143"/>
      <c r="G5" s="1132"/>
      <c r="H5" s="1132"/>
      <c r="I5" s="1142"/>
      <c r="J5" s="1142"/>
      <c r="K5" s="1142"/>
      <c r="L5" s="1142"/>
      <c r="M5" s="1142"/>
      <c r="N5" s="1142"/>
      <c r="O5" s="1142"/>
      <c r="P5" s="1142"/>
      <c r="Q5" s="767"/>
      <c r="R5" s="1144"/>
      <c r="S5" s="1144"/>
      <c r="T5" s="1144"/>
      <c r="U5" s="1144"/>
      <c r="V5" s="1144"/>
      <c r="W5" s="1144"/>
      <c r="X5" s="1143"/>
      <c r="Y5" s="1143"/>
      <c r="Z5" s="1143"/>
      <c r="AA5" s="1143"/>
      <c r="AB5" s="1143"/>
      <c r="AC5" s="1143"/>
      <c r="AD5" s="1143"/>
      <c r="AE5" s="1143"/>
      <c r="AF5" s="411" t="s">
        <v>468</v>
      </c>
    </row>
    <row r="6" spans="1:32" ht="18.75" x14ac:dyDescent="0.2">
      <c r="A6" s="1134" t="s">
        <v>499</v>
      </c>
      <c r="B6" s="412"/>
      <c r="C6" s="412"/>
      <c r="D6" s="412"/>
      <c r="E6" s="1143"/>
      <c r="F6" s="1143"/>
      <c r="G6" s="1132"/>
      <c r="H6" s="1132"/>
      <c r="I6" s="1143"/>
      <c r="J6" s="1143"/>
      <c r="K6" s="1132"/>
      <c r="L6" s="1132"/>
      <c r="M6" s="1143"/>
      <c r="N6" s="1143"/>
      <c r="O6" s="1143"/>
      <c r="P6" s="413"/>
      <c r="Q6" s="768"/>
      <c r="R6" s="1143"/>
      <c r="S6" s="1143"/>
      <c r="T6" s="1143"/>
      <c r="U6" s="1143"/>
      <c r="V6" s="1143"/>
      <c r="W6" s="1143"/>
      <c r="X6" s="1143"/>
      <c r="Y6" s="1143"/>
      <c r="Z6" s="1143"/>
      <c r="AA6" s="1143"/>
      <c r="AB6" s="1143"/>
      <c r="AC6" s="1143"/>
      <c r="AD6" s="1143"/>
      <c r="AE6" s="1143"/>
      <c r="AF6" s="415" t="s">
        <v>511</v>
      </c>
    </row>
    <row r="7" spans="1:32" ht="18.75" x14ac:dyDescent="0.2">
      <c r="A7" s="1143"/>
      <c r="B7" s="1134"/>
      <c r="C7" s="1134"/>
      <c r="D7" s="1134"/>
      <c r="E7" s="1143"/>
      <c r="F7" s="1143"/>
      <c r="G7" s="1132"/>
      <c r="H7" s="1132"/>
      <c r="I7" s="405"/>
      <c r="J7" s="1143"/>
      <c r="K7" s="1132"/>
      <c r="L7" s="1132"/>
      <c r="M7" s="1143"/>
      <c r="N7" s="1143"/>
      <c r="O7" s="1143"/>
      <c r="P7" s="413"/>
      <c r="Q7" s="768"/>
      <c r="R7" s="1143"/>
      <c r="S7" s="1143"/>
      <c r="T7" s="1143"/>
      <c r="U7" s="1143"/>
      <c r="V7" s="1143"/>
      <c r="W7" s="411"/>
      <c r="X7" s="1143"/>
      <c r="Y7" s="412"/>
      <c r="Z7" s="412"/>
      <c r="AA7" s="412"/>
      <c r="AB7" s="412"/>
      <c r="AC7" s="412"/>
      <c r="AD7" s="412"/>
      <c r="AE7" s="412"/>
      <c r="AF7" s="417"/>
    </row>
    <row r="8" spans="1:32" ht="18.75" x14ac:dyDescent="0.2">
      <c r="A8" s="1911" t="s">
        <v>261</v>
      </c>
      <c r="B8" s="1911"/>
      <c r="C8" s="1911"/>
      <c r="D8" s="1911"/>
      <c r="E8" s="1911"/>
      <c r="F8" s="1143"/>
      <c r="G8" s="1132"/>
      <c r="H8" s="1132"/>
      <c r="I8" s="405"/>
      <c r="J8" s="1143"/>
      <c r="K8" s="1132"/>
      <c r="L8" s="1132"/>
      <c r="M8" s="1143"/>
      <c r="N8" s="1143"/>
      <c r="O8" s="1143"/>
      <c r="P8" s="413"/>
      <c r="Q8" s="768"/>
      <c r="R8" s="1143"/>
      <c r="S8" s="1143"/>
      <c r="T8" s="1143"/>
      <c r="U8" s="1143"/>
      <c r="V8" s="1143"/>
      <c r="W8" s="411"/>
      <c r="X8" s="1143"/>
      <c r="Y8" s="412"/>
      <c r="Z8" s="412"/>
      <c r="AA8" s="412"/>
      <c r="AB8" s="412"/>
      <c r="AC8" s="412"/>
      <c r="AD8" s="412"/>
      <c r="AE8" s="412"/>
      <c r="AF8" s="411"/>
    </row>
    <row r="9" spans="1:32" ht="18.75" x14ac:dyDescent="0.2">
      <c r="A9" s="1911" t="s">
        <v>499</v>
      </c>
      <c r="B9" s="1911"/>
      <c r="C9" s="1911"/>
      <c r="D9" s="1911"/>
      <c r="E9" s="1911"/>
      <c r="F9" s="1143"/>
      <c r="G9" s="1132"/>
      <c r="H9" s="1132"/>
      <c r="I9" s="405"/>
      <c r="J9" s="1143"/>
      <c r="K9" s="1132"/>
      <c r="L9" s="1132"/>
      <c r="M9" s="1143"/>
      <c r="N9" s="1143"/>
      <c r="O9" s="1143"/>
      <c r="P9" s="413"/>
      <c r="Q9" s="768"/>
      <c r="R9" s="1143"/>
      <c r="S9" s="1143"/>
      <c r="T9" s="1143"/>
      <c r="U9" s="1143"/>
      <c r="V9" s="1143"/>
      <c r="W9" s="411"/>
      <c r="X9" s="1143"/>
      <c r="Y9" s="412"/>
      <c r="Z9" s="412"/>
      <c r="AA9" s="412"/>
      <c r="AB9" s="412"/>
      <c r="AC9" s="412"/>
      <c r="AD9" s="412"/>
      <c r="AE9" s="412"/>
      <c r="AF9" s="415"/>
    </row>
    <row r="10" spans="1:32" ht="18.75" x14ac:dyDescent="0.3">
      <c r="A10" s="667"/>
      <c r="B10" s="1911"/>
      <c r="C10" s="1911"/>
      <c r="D10" s="1911"/>
      <c r="E10" s="1911"/>
      <c r="F10" s="1143"/>
      <c r="G10" s="1132"/>
      <c r="H10" s="1132"/>
      <c r="I10" s="1143"/>
      <c r="J10" s="1143"/>
      <c r="K10" s="1132"/>
      <c r="L10" s="1132"/>
      <c r="M10" s="1132"/>
      <c r="N10" s="1132"/>
      <c r="O10" s="1132"/>
      <c r="P10" s="1132"/>
      <c r="Q10" s="769"/>
      <c r="R10" s="1132"/>
      <c r="S10" s="1132"/>
      <c r="T10" s="1132"/>
      <c r="U10" s="1132"/>
      <c r="V10" s="1132"/>
      <c r="W10" s="1143"/>
      <c r="X10" s="1143"/>
      <c r="Y10" s="412"/>
      <c r="Z10" s="412"/>
      <c r="AA10" s="412"/>
      <c r="AB10" s="412"/>
      <c r="AC10" s="412"/>
      <c r="AD10" s="412"/>
      <c r="AE10" s="412"/>
      <c r="AF10" s="417"/>
    </row>
    <row r="11" spans="1:32" ht="18.75" x14ac:dyDescent="0.25">
      <c r="A11" s="868"/>
      <c r="B11" s="1132"/>
      <c r="C11" s="1132"/>
      <c r="D11" s="1132"/>
      <c r="E11" s="1143"/>
      <c r="F11" s="1143"/>
      <c r="G11" s="1132"/>
      <c r="H11" s="1132"/>
      <c r="I11" s="405"/>
      <c r="J11" s="1143"/>
      <c r="K11" s="1132"/>
      <c r="L11" s="1132"/>
      <c r="M11" s="1143"/>
      <c r="N11" s="1143"/>
      <c r="O11" s="1143"/>
      <c r="P11" s="413"/>
      <c r="Q11" s="768"/>
      <c r="R11" s="1143"/>
      <c r="S11" s="1143"/>
      <c r="T11" s="1143"/>
      <c r="U11" s="1143"/>
      <c r="V11" s="1143"/>
      <c r="W11" s="411"/>
      <c r="X11" s="1143"/>
      <c r="Y11" s="412"/>
      <c r="Z11" s="412"/>
      <c r="AA11" s="412"/>
      <c r="AB11" s="412"/>
      <c r="AC11" s="412"/>
      <c r="AD11" s="412"/>
      <c r="AE11" s="412"/>
      <c r="AF11" s="415"/>
    </row>
    <row r="12" spans="1:32" ht="18.75" x14ac:dyDescent="0.2">
      <c r="A12" s="1891" t="s">
        <v>1</v>
      </c>
      <c r="B12" s="1891" t="s">
        <v>2</v>
      </c>
      <c r="C12" s="1903" t="s">
        <v>8</v>
      </c>
      <c r="D12" s="1903" t="s">
        <v>33</v>
      </c>
      <c r="E12" s="1891" t="s">
        <v>0</v>
      </c>
      <c r="F12" s="1903" t="s">
        <v>34</v>
      </c>
      <c r="G12" s="1903" t="s">
        <v>5</v>
      </c>
      <c r="H12" s="1908" t="s">
        <v>23</v>
      </c>
      <c r="I12" s="1908"/>
      <c r="J12" s="1908"/>
      <c r="K12" s="1908"/>
      <c r="L12" s="1908"/>
      <c r="M12" s="1908"/>
      <c r="N12" s="1908"/>
      <c r="O12" s="1908"/>
      <c r="P12" s="1908"/>
      <c r="Q12" s="1908"/>
      <c r="R12" s="1908"/>
      <c r="S12" s="1908"/>
      <c r="T12" s="1908"/>
      <c r="U12" s="1908"/>
      <c r="V12" s="1908"/>
      <c r="W12" s="1908"/>
      <c r="X12" s="1908" t="s">
        <v>22</v>
      </c>
      <c r="Y12" s="1908"/>
      <c r="Z12" s="1908"/>
      <c r="AA12" s="1908"/>
      <c r="AB12" s="1908"/>
      <c r="AC12" s="1908"/>
      <c r="AD12" s="1908"/>
      <c r="AE12" s="1908"/>
      <c r="AF12" s="1908"/>
    </row>
    <row r="13" spans="1:32" ht="196.15" customHeight="1" x14ac:dyDescent="0.2">
      <c r="A13" s="1891"/>
      <c r="B13" s="1891"/>
      <c r="C13" s="1903"/>
      <c r="D13" s="1903"/>
      <c r="E13" s="1891"/>
      <c r="F13" s="1903"/>
      <c r="G13" s="1903"/>
      <c r="H13" s="1903" t="s">
        <v>66</v>
      </c>
      <c r="I13" s="1891" t="s">
        <v>35</v>
      </c>
      <c r="J13" s="1131" t="s">
        <v>6</v>
      </c>
      <c r="K13" s="1891" t="s">
        <v>9</v>
      </c>
      <c r="L13" s="1891"/>
      <c r="M13" s="1891" t="s">
        <v>10</v>
      </c>
      <c r="N13" s="1891"/>
      <c r="O13" s="1891" t="s">
        <v>11</v>
      </c>
      <c r="P13" s="1891"/>
      <c r="Q13" s="770" t="s">
        <v>67</v>
      </c>
      <c r="R13" s="1891" t="s">
        <v>15</v>
      </c>
      <c r="S13" s="1912"/>
      <c r="T13" s="1912"/>
      <c r="U13" s="1903" t="s">
        <v>100</v>
      </c>
      <c r="V13" s="1903" t="s">
        <v>16</v>
      </c>
      <c r="W13" s="1903" t="s">
        <v>17</v>
      </c>
      <c r="X13" s="1903" t="s">
        <v>24</v>
      </c>
      <c r="Y13" s="1891" t="s">
        <v>15</v>
      </c>
      <c r="Z13" s="1912"/>
      <c r="AA13" s="1912"/>
      <c r="AB13" s="1903" t="s">
        <v>100</v>
      </c>
      <c r="AC13" s="1903" t="s">
        <v>16</v>
      </c>
      <c r="AD13" s="1131" t="s">
        <v>18</v>
      </c>
      <c r="AE13" s="1131" t="s">
        <v>20</v>
      </c>
      <c r="AF13" s="1891" t="s">
        <v>21</v>
      </c>
    </row>
    <row r="14" spans="1:32" ht="37.5" x14ac:dyDescent="0.2">
      <c r="A14" s="1891"/>
      <c r="B14" s="1891"/>
      <c r="C14" s="1903"/>
      <c r="D14" s="1136" t="s">
        <v>3</v>
      </c>
      <c r="E14" s="1136" t="s">
        <v>3</v>
      </c>
      <c r="F14" s="1136" t="s">
        <v>4</v>
      </c>
      <c r="G14" s="1903"/>
      <c r="H14" s="1903"/>
      <c r="I14" s="1891"/>
      <c r="J14" s="1136" t="s">
        <v>7</v>
      </c>
      <c r="K14" s="1136" t="s">
        <v>30</v>
      </c>
      <c r="L14" s="1136" t="s">
        <v>29</v>
      </c>
      <c r="M14" s="1136" t="s">
        <v>31</v>
      </c>
      <c r="N14" s="1136" t="s">
        <v>32</v>
      </c>
      <c r="O14" s="1136" t="s">
        <v>12</v>
      </c>
      <c r="P14" s="448" t="s">
        <v>13</v>
      </c>
      <c r="Q14" s="771" t="s">
        <v>26</v>
      </c>
      <c r="R14" s="1136" t="s">
        <v>14</v>
      </c>
      <c r="S14" s="1136" t="s">
        <v>25</v>
      </c>
      <c r="T14" s="1136" t="s">
        <v>113</v>
      </c>
      <c r="U14" s="1903"/>
      <c r="V14" s="1903"/>
      <c r="W14" s="1903"/>
      <c r="X14" s="1903"/>
      <c r="Y14" s="1136" t="s">
        <v>14</v>
      </c>
      <c r="Z14" s="1136" t="s">
        <v>25</v>
      </c>
      <c r="AA14" s="1136" t="s">
        <v>113</v>
      </c>
      <c r="AB14" s="1903"/>
      <c r="AC14" s="1903"/>
      <c r="AD14" s="1136" t="s">
        <v>19</v>
      </c>
      <c r="AE14" s="1136" t="s">
        <v>27</v>
      </c>
      <c r="AF14" s="1891"/>
    </row>
    <row r="15" spans="1:32" ht="18.75" customHeight="1" x14ac:dyDescent="0.2">
      <c r="A15" s="1140">
        <v>1</v>
      </c>
      <c r="B15" s="461" t="s">
        <v>139</v>
      </c>
      <c r="C15" s="1140" t="s">
        <v>46</v>
      </c>
      <c r="D15" s="1140">
        <v>610.5</v>
      </c>
      <c r="E15" s="1140" t="s">
        <v>203</v>
      </c>
      <c r="F15" s="1140">
        <v>177.8</v>
      </c>
      <c r="G15" s="1140" t="s">
        <v>28</v>
      </c>
      <c r="H15" s="452" t="s">
        <v>363</v>
      </c>
      <c r="I15" s="1149">
        <v>558.54</v>
      </c>
      <c r="J15" s="1074">
        <v>315</v>
      </c>
      <c r="K15" s="1151"/>
      <c r="L15" s="1151">
        <v>492</v>
      </c>
      <c r="M15" s="1151"/>
      <c r="N15" s="668">
        <v>0</v>
      </c>
      <c r="O15" s="1147"/>
      <c r="P15" s="668">
        <v>14.566664454260767</v>
      </c>
      <c r="Q15" s="668">
        <f>J15*7/100</f>
        <v>22.05</v>
      </c>
      <c r="R15" s="432">
        <v>2.036</v>
      </c>
      <c r="S15" s="432">
        <v>10.085000000000001</v>
      </c>
      <c r="T15" s="670">
        <v>24</v>
      </c>
      <c r="U15" s="668">
        <f t="shared" ref="U15:U34" si="0">IF(R15=0,0,T15/R15)</f>
        <v>11.787819253438114</v>
      </c>
      <c r="V15" s="668">
        <f>100-((R15/S15)*100)</f>
        <v>79.811601388200302</v>
      </c>
      <c r="W15" s="668">
        <v>0.2</v>
      </c>
      <c r="X15" s="432">
        <f>IF(S15=0,0,S15/Q15)</f>
        <v>0.45736961451247166</v>
      </c>
      <c r="Y15" s="432">
        <f>R15*0.985</f>
        <v>2.0054599999999998</v>
      </c>
      <c r="Z15" s="432">
        <f t="shared" ref="Z15:AA80" si="1">S15*0.985</f>
        <v>9.9337250000000008</v>
      </c>
      <c r="AA15" s="670">
        <f t="shared" si="1"/>
        <v>23.64</v>
      </c>
      <c r="AB15" s="432">
        <f>U15</f>
        <v>11.787819253438114</v>
      </c>
      <c r="AC15" s="670">
        <f t="shared" ref="AC15:AC80" si="2">V15</f>
        <v>79.811601388200302</v>
      </c>
      <c r="AD15" s="1140">
        <v>29</v>
      </c>
      <c r="AE15" s="432">
        <f>Y15*AD15</f>
        <v>58.158339999999995</v>
      </c>
      <c r="AF15" s="669"/>
    </row>
    <row r="16" spans="1:32" ht="18.75" customHeight="1" x14ac:dyDescent="0.2">
      <c r="A16" s="1140">
        <v>2</v>
      </c>
      <c r="B16" s="461" t="s">
        <v>140</v>
      </c>
      <c r="C16" s="1140" t="s">
        <v>46</v>
      </c>
      <c r="D16" s="1140">
        <v>623.5</v>
      </c>
      <c r="E16" s="1140" t="s">
        <v>480</v>
      </c>
      <c r="F16" s="1140">
        <v>177.8</v>
      </c>
      <c r="G16" s="1140" t="s">
        <v>28</v>
      </c>
      <c r="H16" s="1151" t="s">
        <v>50</v>
      </c>
      <c r="I16" s="1149">
        <v>586.46999999999991</v>
      </c>
      <c r="J16" s="1151"/>
      <c r="K16" s="1151">
        <v>311</v>
      </c>
      <c r="L16" s="1151"/>
      <c r="M16" s="1151">
        <v>6.7</v>
      </c>
      <c r="N16" s="668"/>
      <c r="O16" s="1147"/>
      <c r="P16" s="668">
        <v>31.15199679138869</v>
      </c>
      <c r="Q16" s="668">
        <f t="shared" ref="Q16:Q35" si="3">LEFT(H16,(FIND("K",H16,1)-1))*J16/100</f>
        <v>0</v>
      </c>
      <c r="R16" s="432">
        <v>0</v>
      </c>
      <c r="S16" s="432">
        <v>0</v>
      </c>
      <c r="T16" s="670">
        <v>0</v>
      </c>
      <c r="U16" s="668">
        <f t="shared" si="0"/>
        <v>0</v>
      </c>
      <c r="V16" s="668" t="e">
        <f t="shared" ref="V16:V79" si="4">100-((R16/S16)*100)</f>
        <v>#DIV/0!</v>
      </c>
      <c r="W16" s="668">
        <v>0.3</v>
      </c>
      <c r="X16" s="432">
        <f>IF(S16=0,0,S16/Q16)</f>
        <v>0</v>
      </c>
      <c r="Y16" s="432">
        <f t="shared" ref="Y16:Y80" si="5">R16*0.985</f>
        <v>0</v>
      </c>
      <c r="Z16" s="432">
        <f t="shared" si="1"/>
        <v>0</v>
      </c>
      <c r="AA16" s="670">
        <f t="shared" si="1"/>
        <v>0</v>
      </c>
      <c r="AB16" s="432">
        <f t="shared" ref="AB16:AC80" si="6">U16</f>
        <v>0</v>
      </c>
      <c r="AC16" s="670" t="e">
        <f t="shared" si="2"/>
        <v>#DIV/0!</v>
      </c>
      <c r="AD16" s="1147">
        <v>29</v>
      </c>
      <c r="AE16" s="432">
        <f t="shared" ref="AE16:AE58" si="7">Y16*AD16</f>
        <v>0</v>
      </c>
      <c r="AF16" s="449" t="s">
        <v>335</v>
      </c>
    </row>
    <row r="17" spans="1:32" ht="18.75" customHeight="1" x14ac:dyDescent="0.2">
      <c r="A17" s="1140">
        <v>3</v>
      </c>
      <c r="B17" s="461" t="s">
        <v>141</v>
      </c>
      <c r="C17" s="1140" t="s">
        <v>46</v>
      </c>
      <c r="D17" s="1140">
        <v>670</v>
      </c>
      <c r="E17" s="1140" t="s">
        <v>68</v>
      </c>
      <c r="F17" s="1140">
        <v>177.8</v>
      </c>
      <c r="G17" s="1140" t="s">
        <v>28</v>
      </c>
      <c r="H17" s="1151" t="s">
        <v>551</v>
      </c>
      <c r="I17" s="1149">
        <v>565.27</v>
      </c>
      <c r="J17" s="1151">
        <v>330</v>
      </c>
      <c r="K17" s="1151"/>
      <c r="L17" s="1151">
        <v>498</v>
      </c>
      <c r="M17" s="1151"/>
      <c r="N17" s="668">
        <v>8.8000000000000007</v>
      </c>
      <c r="O17" s="1147"/>
      <c r="P17" s="668">
        <v>14.232444177047096</v>
      </c>
      <c r="Q17" s="668">
        <f>22*(J17/100)</f>
        <v>72.599999999999994</v>
      </c>
      <c r="R17" s="432">
        <v>11.57</v>
      </c>
      <c r="S17" s="432">
        <v>21.809000000000001</v>
      </c>
      <c r="T17" s="670">
        <v>1055</v>
      </c>
      <c r="U17" s="668">
        <f t="shared" si="0"/>
        <v>91.184096802074322</v>
      </c>
      <c r="V17" s="668">
        <f t="shared" si="4"/>
        <v>46.948507496904945</v>
      </c>
      <c r="W17" s="668">
        <v>0.2</v>
      </c>
      <c r="X17" s="432">
        <f t="shared" ref="X17:X80" si="8">IF(S17=0,0,S17/Q17)</f>
        <v>0.30039944903581273</v>
      </c>
      <c r="Y17" s="432">
        <f t="shared" si="5"/>
        <v>11.39645</v>
      </c>
      <c r="Z17" s="432">
        <f t="shared" si="1"/>
        <v>21.481864999999999</v>
      </c>
      <c r="AA17" s="670">
        <f t="shared" si="1"/>
        <v>1039.175</v>
      </c>
      <c r="AB17" s="432">
        <f t="shared" si="6"/>
        <v>91.184096802074322</v>
      </c>
      <c r="AC17" s="670">
        <f t="shared" si="2"/>
        <v>46.948507496904945</v>
      </c>
      <c r="AD17" s="1147">
        <v>29</v>
      </c>
      <c r="AE17" s="432">
        <f>Y17*AD17</f>
        <v>330.49705</v>
      </c>
      <c r="AF17" s="669"/>
    </row>
    <row r="18" spans="1:32" ht="18.75" customHeight="1" x14ac:dyDescent="0.2">
      <c r="A18" s="1140">
        <v>4</v>
      </c>
      <c r="B18" s="461" t="s">
        <v>142</v>
      </c>
      <c r="C18" s="1140" t="s">
        <v>46</v>
      </c>
      <c r="D18" s="1140">
        <v>628</v>
      </c>
      <c r="E18" s="1140" t="s">
        <v>481</v>
      </c>
      <c r="F18" s="1140">
        <v>177.8</v>
      </c>
      <c r="G18" s="1140" t="s">
        <v>28</v>
      </c>
      <c r="H18" s="831" t="s">
        <v>466</v>
      </c>
      <c r="I18" s="1149">
        <v>541.28</v>
      </c>
      <c r="J18" s="1151">
        <v>336</v>
      </c>
      <c r="K18" s="1151"/>
      <c r="L18" s="1151">
        <v>436</v>
      </c>
      <c r="M18" s="1151"/>
      <c r="N18" s="668">
        <v>1.7</v>
      </c>
      <c r="O18" s="1147"/>
      <c r="P18" s="668">
        <v>14.350509724787846</v>
      </c>
      <c r="Q18" s="668">
        <f>13*J18/100</f>
        <v>43.68</v>
      </c>
      <c r="R18" s="432">
        <v>6.7169999999999996</v>
      </c>
      <c r="S18" s="432">
        <v>9.89</v>
      </c>
      <c r="T18" s="670">
        <v>65</v>
      </c>
      <c r="U18" s="668">
        <f t="shared" si="0"/>
        <v>9.6769391097216015</v>
      </c>
      <c r="V18" s="668">
        <f t="shared" si="4"/>
        <v>32.082912032355921</v>
      </c>
      <c r="W18" s="668">
        <v>0.2</v>
      </c>
      <c r="X18" s="432">
        <f t="shared" si="8"/>
        <v>0.22641941391941395</v>
      </c>
      <c r="Y18" s="432">
        <f t="shared" si="5"/>
        <v>6.6162449999999993</v>
      </c>
      <c r="Z18" s="432">
        <f t="shared" si="1"/>
        <v>9.7416499999999999</v>
      </c>
      <c r="AA18" s="670">
        <f t="shared" si="1"/>
        <v>64.025000000000006</v>
      </c>
      <c r="AB18" s="432">
        <f t="shared" si="6"/>
        <v>9.6769391097216015</v>
      </c>
      <c r="AC18" s="670">
        <f t="shared" si="2"/>
        <v>32.082912032355921</v>
      </c>
      <c r="AD18" s="1147">
        <v>29</v>
      </c>
      <c r="AE18" s="432">
        <f t="shared" si="7"/>
        <v>191.87110499999997</v>
      </c>
      <c r="AF18" s="669"/>
    </row>
    <row r="19" spans="1:32" ht="18.75" customHeight="1" x14ac:dyDescent="0.2">
      <c r="A19" s="1140">
        <v>5</v>
      </c>
      <c r="B19" s="461" t="s">
        <v>143</v>
      </c>
      <c r="C19" s="1140" t="s">
        <v>46</v>
      </c>
      <c r="D19" s="1140">
        <v>576.6</v>
      </c>
      <c r="E19" s="1140" t="s">
        <v>70</v>
      </c>
      <c r="F19" s="1140">
        <v>177.8</v>
      </c>
      <c r="G19" s="1140" t="s">
        <v>28</v>
      </c>
      <c r="H19" s="550" t="s">
        <v>53</v>
      </c>
      <c r="I19" s="1149">
        <v>546.04999999999995</v>
      </c>
      <c r="J19" s="1151">
        <v>130</v>
      </c>
      <c r="K19" s="1151"/>
      <c r="L19" s="1151">
        <v>433</v>
      </c>
      <c r="M19" s="1151"/>
      <c r="N19" s="668">
        <v>3.8</v>
      </c>
      <c r="O19" s="1147"/>
      <c r="P19" s="668">
        <v>15.925007703311813</v>
      </c>
      <c r="Q19" s="668">
        <f t="shared" si="3"/>
        <v>16.899999999999999</v>
      </c>
      <c r="R19" s="432">
        <v>5.516</v>
      </c>
      <c r="S19" s="432">
        <v>6.4</v>
      </c>
      <c r="T19" s="670">
        <v>203</v>
      </c>
      <c r="U19" s="668">
        <f t="shared" si="0"/>
        <v>36.802030456852791</v>
      </c>
      <c r="V19" s="668">
        <f t="shared" si="4"/>
        <v>13.8125</v>
      </c>
      <c r="W19" s="668">
        <v>0.2</v>
      </c>
      <c r="X19" s="432">
        <f t="shared" si="8"/>
        <v>0.37869822485207105</v>
      </c>
      <c r="Y19" s="432">
        <f t="shared" si="5"/>
        <v>5.4332599999999998</v>
      </c>
      <c r="Z19" s="432">
        <f t="shared" si="1"/>
        <v>6.3040000000000003</v>
      </c>
      <c r="AA19" s="670">
        <f t="shared" si="1"/>
        <v>199.95499999999998</v>
      </c>
      <c r="AB19" s="432">
        <f t="shared" si="6"/>
        <v>36.802030456852791</v>
      </c>
      <c r="AC19" s="670">
        <f t="shared" si="2"/>
        <v>13.8125</v>
      </c>
      <c r="AD19" s="1147">
        <v>29</v>
      </c>
      <c r="AE19" s="432">
        <f t="shared" si="7"/>
        <v>157.56453999999999</v>
      </c>
      <c r="AF19" s="669"/>
    </row>
    <row r="20" spans="1:32" ht="18.75" customHeight="1" x14ac:dyDescent="0.2">
      <c r="A20" s="1140">
        <v>6</v>
      </c>
      <c r="B20" s="461" t="s">
        <v>144</v>
      </c>
      <c r="C20" s="1140" t="s">
        <v>46</v>
      </c>
      <c r="D20" s="1140">
        <v>676.6</v>
      </c>
      <c r="E20" s="1140" t="s">
        <v>460</v>
      </c>
      <c r="F20" s="1140">
        <v>177.8</v>
      </c>
      <c r="G20" s="1140" t="s">
        <v>28</v>
      </c>
      <c r="H20" s="1151" t="s">
        <v>461</v>
      </c>
      <c r="I20" s="1149">
        <v>567.16</v>
      </c>
      <c r="J20" s="1151">
        <v>320</v>
      </c>
      <c r="K20" s="1151"/>
      <c r="L20" s="1151">
        <v>433</v>
      </c>
      <c r="M20" s="1151"/>
      <c r="N20" s="668">
        <v>0.7</v>
      </c>
      <c r="O20" s="1147"/>
      <c r="P20" s="668">
        <v>16.481527768443414</v>
      </c>
      <c r="Q20" s="668">
        <f>J20*22/100</f>
        <v>70.400000000000006</v>
      </c>
      <c r="R20" s="432">
        <v>2.4510000000000001</v>
      </c>
      <c r="S20" s="432">
        <v>3.2650000000000001</v>
      </c>
      <c r="T20" s="670">
        <v>0</v>
      </c>
      <c r="U20" s="668">
        <f t="shared" si="0"/>
        <v>0</v>
      </c>
      <c r="V20" s="668">
        <f t="shared" si="4"/>
        <v>24.931087289433378</v>
      </c>
      <c r="W20" s="668">
        <v>0.2</v>
      </c>
      <c r="X20" s="432">
        <f t="shared" si="8"/>
        <v>4.637784090909091E-2</v>
      </c>
      <c r="Y20" s="432">
        <f t="shared" si="5"/>
        <v>2.4142350000000001</v>
      </c>
      <c r="Z20" s="432">
        <f t="shared" si="1"/>
        <v>3.2160250000000001</v>
      </c>
      <c r="AA20" s="670">
        <f t="shared" si="1"/>
        <v>0</v>
      </c>
      <c r="AB20" s="432">
        <v>14.613</v>
      </c>
      <c r="AC20" s="670">
        <f t="shared" si="2"/>
        <v>24.931087289433378</v>
      </c>
      <c r="AD20" s="1147">
        <v>29</v>
      </c>
      <c r="AE20" s="432">
        <f t="shared" si="7"/>
        <v>70.012815000000003</v>
      </c>
      <c r="AF20" s="669"/>
    </row>
    <row r="21" spans="1:32" ht="18.75" customHeight="1" x14ac:dyDescent="0.2">
      <c r="A21" s="1140">
        <v>7</v>
      </c>
      <c r="B21" s="461" t="s">
        <v>145</v>
      </c>
      <c r="C21" s="1140" t="s">
        <v>46</v>
      </c>
      <c r="D21" s="1140" t="s">
        <v>47</v>
      </c>
      <c r="E21" s="1140" t="s">
        <v>72</v>
      </c>
      <c r="F21" s="1140">
        <v>177.8</v>
      </c>
      <c r="G21" s="1140" t="s">
        <v>28</v>
      </c>
      <c r="H21" s="1151" t="s">
        <v>487</v>
      </c>
      <c r="I21" s="1149">
        <v>557.61</v>
      </c>
      <c r="J21" s="1151">
        <v>330</v>
      </c>
      <c r="K21" s="1151"/>
      <c r="L21" s="1151">
        <v>438</v>
      </c>
      <c r="M21" s="1151"/>
      <c r="N21" s="668">
        <v>3.1</v>
      </c>
      <c r="O21" s="1147"/>
      <c r="P21" s="668">
        <v>18.669403963801376</v>
      </c>
      <c r="Q21" s="668">
        <f t="shared" si="3"/>
        <v>49.5</v>
      </c>
      <c r="R21" s="432">
        <v>9.8079999999999998</v>
      </c>
      <c r="S21" s="432">
        <v>13.125</v>
      </c>
      <c r="T21" s="670">
        <v>110</v>
      </c>
      <c r="U21" s="668">
        <f t="shared" si="0"/>
        <v>11.215334420880914</v>
      </c>
      <c r="V21" s="668">
        <f t="shared" si="4"/>
        <v>25.272380952380956</v>
      </c>
      <c r="W21" s="668">
        <v>0.2</v>
      </c>
      <c r="X21" s="432">
        <f t="shared" si="8"/>
        <v>0.26515151515151514</v>
      </c>
      <c r="Y21" s="432">
        <f t="shared" si="5"/>
        <v>9.6608800000000006</v>
      </c>
      <c r="Z21" s="432">
        <f t="shared" si="1"/>
        <v>12.928125</v>
      </c>
      <c r="AA21" s="670">
        <f t="shared" si="1"/>
        <v>108.35</v>
      </c>
      <c r="AB21" s="432">
        <f t="shared" si="6"/>
        <v>11.215334420880914</v>
      </c>
      <c r="AC21" s="670">
        <f t="shared" si="2"/>
        <v>25.272380952380956</v>
      </c>
      <c r="AD21" s="1147">
        <v>29</v>
      </c>
      <c r="AE21" s="432">
        <f t="shared" si="7"/>
        <v>280.16552000000001</v>
      </c>
      <c r="AF21" s="669"/>
    </row>
    <row r="22" spans="1:32" ht="18.75" customHeight="1" x14ac:dyDescent="0.2">
      <c r="A22" s="1140">
        <v>8</v>
      </c>
      <c r="B22" s="461" t="s">
        <v>146</v>
      </c>
      <c r="C22" s="1140" t="s">
        <v>46</v>
      </c>
      <c r="D22" s="1140">
        <v>634.20000000000005</v>
      </c>
      <c r="E22" s="436" t="s">
        <v>73</v>
      </c>
      <c r="F22" s="1140">
        <v>177.8</v>
      </c>
      <c r="G22" s="1140" t="s">
        <v>28</v>
      </c>
      <c r="H22" s="1151" t="s">
        <v>52</v>
      </c>
      <c r="I22" s="437">
        <v>551.17000000000019</v>
      </c>
      <c r="J22" s="1151">
        <v>350</v>
      </c>
      <c r="K22" s="1150"/>
      <c r="L22" s="1151">
        <v>289</v>
      </c>
      <c r="M22" s="1150"/>
      <c r="N22" s="668">
        <v>7.1</v>
      </c>
      <c r="O22" s="1145"/>
      <c r="P22" s="668">
        <v>19.259881327135318</v>
      </c>
      <c r="Q22" s="668">
        <f t="shared" si="3"/>
        <v>77</v>
      </c>
      <c r="R22" s="432">
        <v>3.0819999999999999</v>
      </c>
      <c r="S22" s="432">
        <v>9.6660000000000004</v>
      </c>
      <c r="T22" s="670">
        <v>0</v>
      </c>
      <c r="U22" s="668">
        <f t="shared" si="0"/>
        <v>0</v>
      </c>
      <c r="V22" s="668">
        <f t="shared" si="4"/>
        <v>68.115042416718396</v>
      </c>
      <c r="W22" s="668">
        <v>0.3</v>
      </c>
      <c r="X22" s="432">
        <f t="shared" si="8"/>
        <v>0.12553246753246755</v>
      </c>
      <c r="Y22" s="432">
        <f t="shared" si="5"/>
        <v>3.0357699999999999</v>
      </c>
      <c r="Z22" s="432">
        <f t="shared" si="1"/>
        <v>9.5210100000000004</v>
      </c>
      <c r="AA22" s="670">
        <f t="shared" si="1"/>
        <v>0</v>
      </c>
      <c r="AB22" s="432">
        <f t="shared" si="6"/>
        <v>0</v>
      </c>
      <c r="AC22" s="670">
        <f t="shared" si="2"/>
        <v>68.115042416718396</v>
      </c>
      <c r="AD22" s="1147">
        <v>29</v>
      </c>
      <c r="AE22" s="432">
        <f t="shared" si="7"/>
        <v>88.037329999999997</v>
      </c>
      <c r="AF22" s="669"/>
    </row>
    <row r="23" spans="1:32" ht="18.75" customHeight="1" x14ac:dyDescent="0.2">
      <c r="A23" s="1140">
        <v>9</v>
      </c>
      <c r="B23" s="461" t="s">
        <v>147</v>
      </c>
      <c r="C23" s="1140" t="s">
        <v>46</v>
      </c>
      <c r="D23" s="1140">
        <v>650.1</v>
      </c>
      <c r="E23" s="1140" t="s">
        <v>74</v>
      </c>
      <c r="F23" s="1140">
        <v>177.8</v>
      </c>
      <c r="G23" s="1140" t="s">
        <v>28</v>
      </c>
      <c r="H23" s="1151" t="s">
        <v>52</v>
      </c>
      <c r="I23" s="1149">
        <v>591.98</v>
      </c>
      <c r="J23" s="1151">
        <v>290</v>
      </c>
      <c r="K23" s="1151"/>
      <c r="L23" s="1151">
        <v>455</v>
      </c>
      <c r="M23" s="1151"/>
      <c r="N23" s="668">
        <v>0.5</v>
      </c>
      <c r="O23" s="1147"/>
      <c r="P23" s="668">
        <v>11.90982303482096</v>
      </c>
      <c r="Q23" s="668">
        <f t="shared" si="3"/>
        <v>63.8</v>
      </c>
      <c r="R23" s="432">
        <v>4.6449999999999996</v>
      </c>
      <c r="S23" s="432">
        <v>10.5</v>
      </c>
      <c r="T23" s="670">
        <v>68</v>
      </c>
      <c r="U23" s="668">
        <f t="shared" si="0"/>
        <v>14.639397201291713</v>
      </c>
      <c r="V23" s="668">
        <f t="shared" si="4"/>
        <v>55.761904761904766</v>
      </c>
      <c r="W23" s="668">
        <v>0.2</v>
      </c>
      <c r="X23" s="432">
        <f t="shared" si="8"/>
        <v>0.16457680250783699</v>
      </c>
      <c r="Y23" s="432">
        <f t="shared" si="5"/>
        <v>4.5753249999999994</v>
      </c>
      <c r="Z23" s="432">
        <f t="shared" si="1"/>
        <v>10.342499999999999</v>
      </c>
      <c r="AA23" s="670">
        <f t="shared" si="1"/>
        <v>66.98</v>
      </c>
      <c r="AB23" s="432">
        <f t="shared" si="6"/>
        <v>14.639397201291713</v>
      </c>
      <c r="AC23" s="670">
        <f t="shared" si="2"/>
        <v>55.761904761904766</v>
      </c>
      <c r="AD23" s="1147">
        <v>29</v>
      </c>
      <c r="AE23" s="432">
        <f t="shared" si="7"/>
        <v>132.68442499999998</v>
      </c>
      <c r="AF23" s="669"/>
    </row>
    <row r="24" spans="1:32" ht="18.75" customHeight="1" x14ac:dyDescent="0.2">
      <c r="A24" s="1140">
        <v>10</v>
      </c>
      <c r="B24" s="461" t="s">
        <v>148</v>
      </c>
      <c r="C24" s="1140" t="s">
        <v>46</v>
      </c>
      <c r="D24" s="1140">
        <v>640.20000000000005</v>
      </c>
      <c r="E24" s="1140" t="s">
        <v>398</v>
      </c>
      <c r="F24" s="1140">
        <v>177.8</v>
      </c>
      <c r="G24" s="1140" t="s">
        <v>28</v>
      </c>
      <c r="H24" s="831" t="s">
        <v>466</v>
      </c>
      <c r="I24" s="1149">
        <v>565.38</v>
      </c>
      <c r="J24" s="1074"/>
      <c r="K24" s="1151">
        <v>329</v>
      </c>
      <c r="L24" s="1151"/>
      <c r="M24" s="1151">
        <v>1.3</v>
      </c>
      <c r="N24" s="668"/>
      <c r="O24" s="1147"/>
      <c r="P24" s="668">
        <v>9.8843530738427265</v>
      </c>
      <c r="Q24" s="668">
        <f>J24*13/100</f>
        <v>0</v>
      </c>
      <c r="R24" s="432">
        <v>0</v>
      </c>
      <c r="S24" s="432">
        <v>0</v>
      </c>
      <c r="T24" s="670">
        <v>0</v>
      </c>
      <c r="U24" s="668">
        <v>0</v>
      </c>
      <c r="V24" s="668" t="e">
        <f t="shared" si="4"/>
        <v>#DIV/0!</v>
      </c>
      <c r="W24" s="668">
        <v>0</v>
      </c>
      <c r="X24" s="432">
        <f t="shared" si="8"/>
        <v>0</v>
      </c>
      <c r="Y24" s="432">
        <f t="shared" si="5"/>
        <v>0</v>
      </c>
      <c r="Z24" s="432">
        <f t="shared" si="1"/>
        <v>0</v>
      </c>
      <c r="AA24" s="670">
        <f t="shared" si="1"/>
        <v>0</v>
      </c>
      <c r="AB24" s="432">
        <f t="shared" si="6"/>
        <v>0</v>
      </c>
      <c r="AC24" s="670" t="e">
        <f t="shared" si="2"/>
        <v>#DIV/0!</v>
      </c>
      <c r="AD24" s="1147">
        <v>29</v>
      </c>
      <c r="AE24" s="432">
        <f t="shared" si="7"/>
        <v>0</v>
      </c>
      <c r="AF24" s="669"/>
    </row>
    <row r="25" spans="1:32" ht="18.75" customHeight="1" x14ac:dyDescent="0.2">
      <c r="A25" s="1140">
        <v>11</v>
      </c>
      <c r="B25" s="461" t="s">
        <v>149</v>
      </c>
      <c r="C25" s="1140" t="s">
        <v>46</v>
      </c>
      <c r="D25" s="1140">
        <v>606.29999999999995</v>
      </c>
      <c r="E25" s="1140" t="s">
        <v>76</v>
      </c>
      <c r="F25" s="1140">
        <v>177.8</v>
      </c>
      <c r="G25" s="1140" t="s">
        <v>28</v>
      </c>
      <c r="H25" s="1151" t="s">
        <v>466</v>
      </c>
      <c r="I25" s="1149">
        <v>593.61999999999989</v>
      </c>
      <c r="J25" s="1151">
        <v>210</v>
      </c>
      <c r="K25" s="1151"/>
      <c r="L25" s="1151">
        <v>436</v>
      </c>
      <c r="M25" s="1151"/>
      <c r="N25" s="668">
        <v>1</v>
      </c>
      <c r="O25" s="1147"/>
      <c r="P25" s="668">
        <v>12.838143123124361</v>
      </c>
      <c r="Q25" s="668">
        <f>(13/100)*J25</f>
        <v>27.3</v>
      </c>
      <c r="R25" s="432">
        <v>1.2490000000000001</v>
      </c>
      <c r="S25" s="432">
        <v>4.2409999999999997</v>
      </c>
      <c r="T25" s="670">
        <v>11</v>
      </c>
      <c r="U25" s="668">
        <f t="shared" si="0"/>
        <v>8.8070456365092067</v>
      </c>
      <c r="V25" s="668">
        <f t="shared" si="4"/>
        <v>70.549398726715395</v>
      </c>
      <c r="W25" s="668">
        <v>0.3</v>
      </c>
      <c r="X25" s="432">
        <f t="shared" si="8"/>
        <v>0.15534798534798533</v>
      </c>
      <c r="Y25" s="432">
        <f t="shared" si="5"/>
        <v>1.2302650000000002</v>
      </c>
      <c r="Z25" s="432">
        <f t="shared" si="1"/>
        <v>4.1773849999999992</v>
      </c>
      <c r="AA25" s="670">
        <f t="shared" si="1"/>
        <v>10.834999999999999</v>
      </c>
      <c r="AB25" s="432">
        <f t="shared" si="6"/>
        <v>8.8070456365092067</v>
      </c>
      <c r="AC25" s="670">
        <f t="shared" si="2"/>
        <v>70.549398726715395</v>
      </c>
      <c r="AD25" s="1147">
        <v>29</v>
      </c>
      <c r="AE25" s="432">
        <f t="shared" si="7"/>
        <v>35.677685000000004</v>
      </c>
      <c r="AF25" s="449"/>
    </row>
    <row r="26" spans="1:32" ht="18.75" customHeight="1" x14ac:dyDescent="0.2">
      <c r="A26" s="1140">
        <v>12</v>
      </c>
      <c r="B26" s="461" t="s">
        <v>150</v>
      </c>
      <c r="C26" s="1140" t="s">
        <v>46</v>
      </c>
      <c r="D26" s="1140">
        <v>661</v>
      </c>
      <c r="E26" s="679" t="s">
        <v>433</v>
      </c>
      <c r="F26" s="1140">
        <v>177.8</v>
      </c>
      <c r="G26" s="1140" t="s">
        <v>28</v>
      </c>
      <c r="H26" s="1151" t="s">
        <v>53</v>
      </c>
      <c r="I26" s="1149">
        <v>555.72</v>
      </c>
      <c r="J26" s="1151"/>
      <c r="K26" s="1151"/>
      <c r="L26" s="1151"/>
      <c r="M26" s="1151"/>
      <c r="N26" s="668"/>
      <c r="O26" s="1147"/>
      <c r="P26" s="668">
        <v>43.685850175429259</v>
      </c>
      <c r="Q26" s="668">
        <f t="shared" si="3"/>
        <v>0</v>
      </c>
      <c r="R26" s="432">
        <v>0</v>
      </c>
      <c r="S26" s="432">
        <v>0</v>
      </c>
      <c r="T26" s="670">
        <v>0</v>
      </c>
      <c r="U26" s="668">
        <f t="shared" si="0"/>
        <v>0</v>
      </c>
      <c r="V26" s="668"/>
      <c r="W26" s="668">
        <v>0.2</v>
      </c>
      <c r="X26" s="432">
        <f t="shared" si="8"/>
        <v>0</v>
      </c>
      <c r="Y26" s="432">
        <f t="shared" si="5"/>
        <v>0</v>
      </c>
      <c r="Z26" s="432">
        <f t="shared" si="1"/>
        <v>0</v>
      </c>
      <c r="AA26" s="670">
        <f t="shared" si="1"/>
        <v>0</v>
      </c>
      <c r="AB26" s="432">
        <f t="shared" si="6"/>
        <v>0</v>
      </c>
      <c r="AC26" s="670">
        <f t="shared" si="2"/>
        <v>0</v>
      </c>
      <c r="AD26" s="1140">
        <v>0</v>
      </c>
      <c r="AE26" s="432">
        <f t="shared" si="7"/>
        <v>0</v>
      </c>
      <c r="AF26" s="449" t="s">
        <v>335</v>
      </c>
    </row>
    <row r="27" spans="1:32" ht="18.75" customHeight="1" x14ac:dyDescent="0.2">
      <c r="A27" s="1140">
        <v>13</v>
      </c>
      <c r="B27" s="461" t="s">
        <v>151</v>
      </c>
      <c r="C27" s="1140" t="s">
        <v>46</v>
      </c>
      <c r="D27" s="1140">
        <v>658.32</v>
      </c>
      <c r="E27" s="1136" t="s">
        <v>298</v>
      </c>
      <c r="F27" s="1140">
        <v>177.8</v>
      </c>
      <c r="G27" s="1140" t="s">
        <v>28</v>
      </c>
      <c r="H27" s="1151" t="s">
        <v>52</v>
      </c>
      <c r="I27" s="1149">
        <v>552.47</v>
      </c>
      <c r="J27" s="1074">
        <v>320</v>
      </c>
      <c r="K27" s="1151"/>
      <c r="L27" s="1151">
        <v>341</v>
      </c>
      <c r="M27" s="1151"/>
      <c r="N27" s="668">
        <v>0.7</v>
      </c>
      <c r="O27" s="1147"/>
      <c r="P27" s="668">
        <v>28.125381065550521</v>
      </c>
      <c r="Q27" s="668">
        <f t="shared" si="3"/>
        <v>70.400000000000006</v>
      </c>
      <c r="R27" s="432">
        <v>6.5220000000000002</v>
      </c>
      <c r="S27" s="432">
        <v>24.981000000000002</v>
      </c>
      <c r="T27" s="670">
        <v>18</v>
      </c>
      <c r="U27" s="668">
        <f t="shared" si="0"/>
        <v>2.7598896044158234</v>
      </c>
      <c r="V27" s="668">
        <f t="shared" si="4"/>
        <v>73.892158040110488</v>
      </c>
      <c r="W27" s="668">
        <v>0.3</v>
      </c>
      <c r="X27" s="432">
        <f t="shared" si="8"/>
        <v>0.35484375000000001</v>
      </c>
      <c r="Y27" s="432">
        <f t="shared" si="5"/>
        <v>6.4241700000000002</v>
      </c>
      <c r="Z27" s="432">
        <f t="shared" si="1"/>
        <v>24.606285</v>
      </c>
      <c r="AA27" s="670">
        <f t="shared" si="1"/>
        <v>17.73</v>
      </c>
      <c r="AB27" s="432">
        <f t="shared" si="6"/>
        <v>2.7598896044158234</v>
      </c>
      <c r="AC27" s="670">
        <f t="shared" si="2"/>
        <v>73.892158040110488</v>
      </c>
      <c r="AD27" s="1140">
        <v>29</v>
      </c>
      <c r="AE27" s="432">
        <f t="shared" si="7"/>
        <v>186.30092999999999</v>
      </c>
      <c r="AF27" s="449"/>
    </row>
    <row r="28" spans="1:32" ht="18.75" customHeight="1" x14ac:dyDescent="0.2">
      <c r="A28" s="1140">
        <v>14</v>
      </c>
      <c r="B28" s="461" t="s">
        <v>36</v>
      </c>
      <c r="C28" s="1140" t="s">
        <v>46</v>
      </c>
      <c r="D28" s="1140">
        <v>584.5</v>
      </c>
      <c r="E28" s="1136" t="s">
        <v>79</v>
      </c>
      <c r="F28" s="1140">
        <v>177.8</v>
      </c>
      <c r="G28" s="1140" t="s">
        <v>28</v>
      </c>
      <c r="H28" s="1151" t="s">
        <v>49</v>
      </c>
      <c r="I28" s="1149">
        <v>525.03</v>
      </c>
      <c r="J28" s="1074">
        <v>325</v>
      </c>
      <c r="K28" s="1151"/>
      <c r="L28" s="1151">
        <v>304</v>
      </c>
      <c r="M28" s="1151"/>
      <c r="N28" s="668">
        <v>1.3</v>
      </c>
      <c r="O28" s="1147"/>
      <c r="P28" s="668">
        <v>20.349731268970327</v>
      </c>
      <c r="Q28" s="668">
        <f t="shared" si="3"/>
        <v>104</v>
      </c>
      <c r="R28" s="432">
        <v>8.5649999999999995</v>
      </c>
      <c r="S28" s="432">
        <v>26.062000000000001</v>
      </c>
      <c r="T28" s="670">
        <v>80</v>
      </c>
      <c r="U28" s="668">
        <f t="shared" si="0"/>
        <v>9.3403385872737896</v>
      </c>
      <c r="V28" s="668">
        <f t="shared" si="4"/>
        <v>67.136060164223778</v>
      </c>
      <c r="W28" s="668">
        <v>0.3</v>
      </c>
      <c r="X28" s="432">
        <f t="shared" si="8"/>
        <v>0.25059615384615386</v>
      </c>
      <c r="Y28" s="432">
        <f t="shared" si="5"/>
        <v>8.4365249999999996</v>
      </c>
      <c r="Z28" s="432">
        <f t="shared" si="1"/>
        <v>25.67107</v>
      </c>
      <c r="AA28" s="670">
        <f t="shared" si="1"/>
        <v>78.8</v>
      </c>
      <c r="AB28" s="432">
        <f t="shared" si="6"/>
        <v>9.3403385872737896</v>
      </c>
      <c r="AC28" s="670">
        <f t="shared" si="2"/>
        <v>67.136060164223778</v>
      </c>
      <c r="AD28" s="1147">
        <v>29</v>
      </c>
      <c r="AE28" s="432">
        <f t="shared" si="7"/>
        <v>244.65922499999999</v>
      </c>
      <c r="AF28" s="669"/>
    </row>
    <row r="29" spans="1:32" ht="18.75" customHeight="1" x14ac:dyDescent="0.2">
      <c r="A29" s="1140">
        <v>15</v>
      </c>
      <c r="B29" s="461" t="s">
        <v>152</v>
      </c>
      <c r="C29" s="1140" t="s">
        <v>46</v>
      </c>
      <c r="D29" s="1140">
        <v>564.97999999999979</v>
      </c>
      <c r="E29" s="1136" t="s">
        <v>80</v>
      </c>
      <c r="F29" s="1140">
        <v>177.8</v>
      </c>
      <c r="G29" s="1140" t="s">
        <v>28</v>
      </c>
      <c r="H29" s="432" t="s">
        <v>538</v>
      </c>
      <c r="I29" s="437">
        <v>521.93999999999983</v>
      </c>
      <c r="J29" s="1151">
        <v>250</v>
      </c>
      <c r="K29" s="1151"/>
      <c r="L29" s="1151">
        <v>453</v>
      </c>
      <c r="M29" s="1151"/>
      <c r="N29" s="668">
        <v>4.8</v>
      </c>
      <c r="O29" s="1147"/>
      <c r="P29" s="668">
        <v>18.163586048682095</v>
      </c>
      <c r="Q29" s="668">
        <f>(22/100)*J29</f>
        <v>55</v>
      </c>
      <c r="R29" s="432">
        <v>10.519</v>
      </c>
      <c r="S29" s="432">
        <v>21.699000000000002</v>
      </c>
      <c r="T29" s="670">
        <v>677</v>
      </c>
      <c r="U29" s="668">
        <f t="shared" si="0"/>
        <v>64.359730012358582</v>
      </c>
      <c r="V29" s="668">
        <f t="shared" si="4"/>
        <v>51.523111664131996</v>
      </c>
      <c r="W29" s="668">
        <v>0.2</v>
      </c>
      <c r="X29" s="432">
        <f t="shared" si="8"/>
        <v>0.39452727272727278</v>
      </c>
      <c r="Y29" s="432">
        <f t="shared" si="5"/>
        <v>10.361215</v>
      </c>
      <c r="Z29" s="432">
        <f t="shared" si="1"/>
        <v>21.373515000000001</v>
      </c>
      <c r="AA29" s="670">
        <f t="shared" si="1"/>
        <v>666.84500000000003</v>
      </c>
      <c r="AB29" s="432">
        <f t="shared" si="6"/>
        <v>64.359730012358582</v>
      </c>
      <c r="AC29" s="670">
        <f t="shared" si="2"/>
        <v>51.523111664131996</v>
      </c>
      <c r="AD29" s="1147">
        <v>29</v>
      </c>
      <c r="AE29" s="432">
        <f t="shared" si="7"/>
        <v>300.475235</v>
      </c>
      <c r="AF29" s="669"/>
    </row>
    <row r="30" spans="1:32" ht="18.75" customHeight="1" x14ac:dyDescent="0.2">
      <c r="A30" s="1140">
        <v>16</v>
      </c>
      <c r="B30" s="461" t="s">
        <v>37</v>
      </c>
      <c r="C30" s="1140" t="s">
        <v>46</v>
      </c>
      <c r="D30" s="1140">
        <v>670</v>
      </c>
      <c r="E30" s="1140" t="s">
        <v>81</v>
      </c>
      <c r="F30" s="1140">
        <v>177.8</v>
      </c>
      <c r="G30" s="1140" t="s">
        <v>28</v>
      </c>
      <c r="H30" s="1151" t="s">
        <v>487</v>
      </c>
      <c r="I30" s="1149">
        <v>569.34999999999991</v>
      </c>
      <c r="J30" s="1074">
        <v>240</v>
      </c>
      <c r="K30" s="1151"/>
      <c r="L30" s="1151">
        <v>430</v>
      </c>
      <c r="M30" s="1151"/>
      <c r="N30" s="668">
        <v>0</v>
      </c>
      <c r="O30" s="1147"/>
      <c r="P30" s="668">
        <v>17.548784949710825</v>
      </c>
      <c r="Q30" s="668">
        <f>J30*15/100</f>
        <v>36</v>
      </c>
      <c r="R30" s="432">
        <v>8.2789999999999999</v>
      </c>
      <c r="S30" s="432">
        <v>7.0720000000000001</v>
      </c>
      <c r="T30" s="670">
        <v>9</v>
      </c>
      <c r="U30" s="668">
        <f t="shared" si="0"/>
        <v>1.0870878125377461</v>
      </c>
      <c r="V30" s="668">
        <f t="shared" si="4"/>
        <v>-17.067307692307693</v>
      </c>
      <c r="W30" s="668">
        <v>0.2</v>
      </c>
      <c r="X30" s="432">
        <f t="shared" si="8"/>
        <v>0.19644444444444445</v>
      </c>
      <c r="Y30" s="432">
        <f t="shared" si="5"/>
        <v>8.1548149999999993</v>
      </c>
      <c r="Z30" s="432">
        <f t="shared" si="1"/>
        <v>6.9659199999999997</v>
      </c>
      <c r="AA30" s="670">
        <f t="shared" si="1"/>
        <v>8.8650000000000002</v>
      </c>
      <c r="AB30" s="432">
        <f t="shared" si="6"/>
        <v>1.0870878125377461</v>
      </c>
      <c r="AC30" s="670">
        <f t="shared" si="2"/>
        <v>-17.067307692307693</v>
      </c>
      <c r="AD30" s="1147">
        <v>29</v>
      </c>
      <c r="AE30" s="432">
        <f>Y30*AD30</f>
        <v>236.48963499999996</v>
      </c>
      <c r="AF30" s="449"/>
    </row>
    <row r="31" spans="1:32" ht="18.75" customHeight="1" x14ac:dyDescent="0.2">
      <c r="A31" s="1140">
        <v>17</v>
      </c>
      <c r="B31" s="461" t="s">
        <v>153</v>
      </c>
      <c r="C31" s="461" t="s">
        <v>46</v>
      </c>
      <c r="D31" s="461">
        <v>666.6</v>
      </c>
      <c r="E31" s="461" t="s">
        <v>82</v>
      </c>
      <c r="F31" s="461">
        <v>177.8</v>
      </c>
      <c r="G31" s="461" t="s">
        <v>28</v>
      </c>
      <c r="H31" s="1151" t="s">
        <v>501</v>
      </c>
      <c r="I31" s="461">
        <v>546.35</v>
      </c>
      <c r="J31" s="461">
        <v>330</v>
      </c>
      <c r="K31" s="461"/>
      <c r="L31" s="461">
        <v>436</v>
      </c>
      <c r="M31" s="461"/>
      <c r="N31" s="671">
        <v>2.2000000000000002</v>
      </c>
      <c r="O31" s="461"/>
      <c r="P31" s="671">
        <v>43.041284069657628</v>
      </c>
      <c r="Q31" s="668">
        <f>J31*33/100</f>
        <v>108.9</v>
      </c>
      <c r="R31" s="672">
        <v>6.7329999999999997</v>
      </c>
      <c r="S31" s="432">
        <v>16.838000000000001</v>
      </c>
      <c r="T31" s="699">
        <v>112</v>
      </c>
      <c r="U31" s="668">
        <f t="shared" si="0"/>
        <v>16.634486855784942</v>
      </c>
      <c r="V31" s="668">
        <f t="shared" si="4"/>
        <v>60.013065684760662</v>
      </c>
      <c r="W31" s="671">
        <v>0.3</v>
      </c>
      <c r="X31" s="432">
        <f t="shared" si="8"/>
        <v>0.15461891643709827</v>
      </c>
      <c r="Y31" s="432">
        <f t="shared" si="5"/>
        <v>6.6320049999999995</v>
      </c>
      <c r="Z31" s="432">
        <f t="shared" si="1"/>
        <v>16.585430000000002</v>
      </c>
      <c r="AA31" s="670">
        <f t="shared" si="1"/>
        <v>110.32</v>
      </c>
      <c r="AB31" s="672">
        <f t="shared" si="6"/>
        <v>16.634486855784942</v>
      </c>
      <c r="AC31" s="699">
        <f t="shared" si="2"/>
        <v>60.013065684760662</v>
      </c>
      <c r="AD31" s="1147">
        <v>29</v>
      </c>
      <c r="AE31" s="672">
        <f>Y31*AD31</f>
        <v>192.32814499999998</v>
      </c>
      <c r="AF31" s="461"/>
    </row>
    <row r="32" spans="1:32" ht="18.600000000000001" customHeight="1" x14ac:dyDescent="0.2">
      <c r="A32" s="1140">
        <v>18</v>
      </c>
      <c r="B32" s="461" t="s">
        <v>154</v>
      </c>
      <c r="C32" s="461" t="s">
        <v>46</v>
      </c>
      <c r="D32" s="443">
        <v>644.79999999999995</v>
      </c>
      <c r="E32" s="436" t="s">
        <v>421</v>
      </c>
      <c r="F32" s="1140">
        <v>177.8</v>
      </c>
      <c r="G32" s="1140" t="s">
        <v>28</v>
      </c>
      <c r="H32" s="1151" t="s">
        <v>551</v>
      </c>
      <c r="I32" s="437">
        <v>567</v>
      </c>
      <c r="J32" s="1151">
        <v>295</v>
      </c>
      <c r="K32" s="1151"/>
      <c r="L32" s="1151">
        <v>479</v>
      </c>
      <c r="M32" s="1151"/>
      <c r="N32" s="668">
        <v>0.4</v>
      </c>
      <c r="O32" s="1147"/>
      <c r="P32" s="668">
        <v>17.99701003766927</v>
      </c>
      <c r="Q32" s="668">
        <f>22*(J32/100)</f>
        <v>64.900000000000006</v>
      </c>
      <c r="R32" s="432">
        <v>2.1160000000000001</v>
      </c>
      <c r="S32" s="432">
        <v>6.79</v>
      </c>
      <c r="T32" s="670">
        <v>73</v>
      </c>
      <c r="U32" s="668">
        <f t="shared" si="0"/>
        <v>34.499054820415878</v>
      </c>
      <c r="V32" s="668">
        <f t="shared" si="4"/>
        <v>68.836524300441823</v>
      </c>
      <c r="W32" s="668">
        <v>0.3</v>
      </c>
      <c r="X32" s="432">
        <f t="shared" si="8"/>
        <v>0.10462249614791987</v>
      </c>
      <c r="Y32" s="432">
        <f t="shared" si="5"/>
        <v>2.08426</v>
      </c>
      <c r="Z32" s="432">
        <f t="shared" si="1"/>
        <v>6.6881500000000003</v>
      </c>
      <c r="AA32" s="670">
        <f t="shared" si="1"/>
        <v>71.905000000000001</v>
      </c>
      <c r="AB32" s="672">
        <f t="shared" si="6"/>
        <v>34.499054820415878</v>
      </c>
      <c r="AC32" s="699">
        <f t="shared" si="2"/>
        <v>68.836524300441823</v>
      </c>
      <c r="AD32" s="1147">
        <v>29</v>
      </c>
      <c r="AE32" s="672">
        <f>Y32*AD32</f>
        <v>60.443539999999999</v>
      </c>
      <c r="AF32" s="669"/>
    </row>
    <row r="33" spans="1:32" ht="18.75" customHeight="1" x14ac:dyDescent="0.2">
      <c r="A33" s="1140">
        <v>19</v>
      </c>
      <c r="B33" s="461" t="s">
        <v>38</v>
      </c>
      <c r="C33" s="1140" t="s">
        <v>46</v>
      </c>
      <c r="D33" s="668">
        <v>580</v>
      </c>
      <c r="E33" s="1140" t="s">
        <v>84</v>
      </c>
      <c r="F33" s="1140">
        <v>177.8</v>
      </c>
      <c r="G33" s="1140" t="s">
        <v>28</v>
      </c>
      <c r="H33" s="1151" t="s">
        <v>52</v>
      </c>
      <c r="I33" s="1149">
        <v>565.38</v>
      </c>
      <c r="J33" s="1151">
        <v>300</v>
      </c>
      <c r="K33" s="1151"/>
      <c r="L33" s="1151">
        <v>507</v>
      </c>
      <c r="M33" s="1151"/>
      <c r="N33" s="668">
        <v>5.9</v>
      </c>
      <c r="O33" s="1147"/>
      <c r="P33" s="668">
        <v>3.1114531180801959</v>
      </c>
      <c r="Q33" s="668">
        <f>LEFT(H33,(FIND("K",H33,1)-1))*J33/100</f>
        <v>66</v>
      </c>
      <c r="R33" s="432">
        <v>2.8050000000000002</v>
      </c>
      <c r="S33" s="432">
        <v>5.36</v>
      </c>
      <c r="T33" s="670">
        <v>1</v>
      </c>
      <c r="U33" s="668">
        <f t="shared" si="0"/>
        <v>0.35650623885918004</v>
      </c>
      <c r="V33" s="668">
        <f t="shared" si="4"/>
        <v>47.667910447761194</v>
      </c>
      <c r="W33" s="668">
        <v>0.2</v>
      </c>
      <c r="X33" s="432">
        <f t="shared" si="8"/>
        <v>8.1212121212121222E-2</v>
      </c>
      <c r="Y33" s="432">
        <f t="shared" si="5"/>
        <v>2.7629250000000001</v>
      </c>
      <c r="Z33" s="432">
        <f t="shared" si="1"/>
        <v>5.2796000000000003</v>
      </c>
      <c r="AA33" s="670">
        <f t="shared" si="1"/>
        <v>0.98499999999999999</v>
      </c>
      <c r="AB33" s="432">
        <f>U33</f>
        <v>0.35650623885918004</v>
      </c>
      <c r="AC33" s="699">
        <f t="shared" si="2"/>
        <v>47.667910447761194</v>
      </c>
      <c r="AD33" s="1147">
        <v>29</v>
      </c>
      <c r="AE33" s="432">
        <f t="shared" si="7"/>
        <v>80.124825000000001</v>
      </c>
      <c r="AF33" s="669"/>
    </row>
    <row r="34" spans="1:32" ht="18.75" customHeight="1" x14ac:dyDescent="0.2">
      <c r="A34" s="1140">
        <v>20</v>
      </c>
      <c r="B34" s="461" t="s">
        <v>39</v>
      </c>
      <c r="C34" s="1140" t="s">
        <v>46</v>
      </c>
      <c r="D34" s="1140">
        <v>728.6</v>
      </c>
      <c r="E34" s="1140" t="s">
        <v>411</v>
      </c>
      <c r="F34" s="1140">
        <v>177.8</v>
      </c>
      <c r="G34" s="1140" t="s">
        <v>28</v>
      </c>
      <c r="H34" s="1151" t="s">
        <v>380</v>
      </c>
      <c r="I34" s="1149">
        <v>551.82999999999993</v>
      </c>
      <c r="J34" s="1074">
        <v>300</v>
      </c>
      <c r="K34" s="1151"/>
      <c r="L34" s="1151">
        <v>463</v>
      </c>
      <c r="M34" s="1151"/>
      <c r="N34" s="668">
        <v>0.4</v>
      </c>
      <c r="O34" s="1147"/>
      <c r="P34" s="668">
        <v>14.107336991152799</v>
      </c>
      <c r="Q34" s="668">
        <f>J34*23/100</f>
        <v>69</v>
      </c>
      <c r="R34" s="432">
        <v>2.621</v>
      </c>
      <c r="S34" s="432">
        <v>8.2560000000000002</v>
      </c>
      <c r="T34" s="670">
        <v>31</v>
      </c>
      <c r="U34" s="668">
        <f t="shared" si="0"/>
        <v>11.827546737886303</v>
      </c>
      <c r="V34" s="668">
        <f t="shared" si="4"/>
        <v>68.253391472868216</v>
      </c>
      <c r="W34" s="668">
        <v>0.2</v>
      </c>
      <c r="X34" s="432">
        <f t="shared" si="8"/>
        <v>0.11965217391304347</v>
      </c>
      <c r="Y34" s="432">
        <f t="shared" si="5"/>
        <v>2.5816849999999998</v>
      </c>
      <c r="Z34" s="432">
        <f t="shared" si="1"/>
        <v>8.1321600000000007</v>
      </c>
      <c r="AA34" s="670">
        <f t="shared" si="1"/>
        <v>30.535</v>
      </c>
      <c r="AB34" s="432">
        <f t="shared" si="6"/>
        <v>11.827546737886303</v>
      </c>
      <c r="AC34" s="699">
        <f t="shared" si="2"/>
        <v>68.253391472868216</v>
      </c>
      <c r="AD34" s="1147">
        <v>29</v>
      </c>
      <c r="AE34" s="432">
        <f t="shared" si="7"/>
        <v>74.868865</v>
      </c>
      <c r="AF34" s="669"/>
    </row>
    <row r="35" spans="1:32" ht="18.75" customHeight="1" x14ac:dyDescent="0.2">
      <c r="A35" s="1140">
        <v>21</v>
      </c>
      <c r="B35" s="461" t="s">
        <v>40</v>
      </c>
      <c r="C35" s="1140" t="s">
        <v>46</v>
      </c>
      <c r="D35" s="1140">
        <v>679.7</v>
      </c>
      <c r="E35" s="1140" t="s">
        <v>86</v>
      </c>
      <c r="F35" s="1140">
        <v>177.8</v>
      </c>
      <c r="G35" s="1140" t="s">
        <v>28</v>
      </c>
      <c r="H35" s="1151" t="s">
        <v>487</v>
      </c>
      <c r="I35" s="1149">
        <v>563.22000000000014</v>
      </c>
      <c r="J35" s="1151">
        <v>220</v>
      </c>
      <c r="K35" s="1151"/>
      <c r="L35" s="1151">
        <v>428</v>
      </c>
      <c r="M35" s="1151"/>
      <c r="N35" s="668">
        <v>5.6</v>
      </c>
      <c r="O35" s="1147"/>
      <c r="P35" s="668">
        <v>15.329099946078896</v>
      </c>
      <c r="Q35" s="668">
        <f t="shared" si="3"/>
        <v>33</v>
      </c>
      <c r="R35" s="432">
        <v>4</v>
      </c>
      <c r="S35" s="432">
        <v>11.984</v>
      </c>
      <c r="T35" s="670">
        <v>0</v>
      </c>
      <c r="U35" s="668">
        <f>IF(R35=0,0,T35/R35)</f>
        <v>0</v>
      </c>
      <c r="V35" s="668">
        <f t="shared" si="4"/>
        <v>66.622162883845135</v>
      </c>
      <c r="W35" s="668">
        <v>0.3</v>
      </c>
      <c r="X35" s="432">
        <f t="shared" si="8"/>
        <v>0.36315151515151517</v>
      </c>
      <c r="Y35" s="432">
        <f t="shared" si="5"/>
        <v>3.94</v>
      </c>
      <c r="Z35" s="432">
        <f t="shared" si="1"/>
        <v>11.80424</v>
      </c>
      <c r="AA35" s="670">
        <f t="shared" si="1"/>
        <v>0</v>
      </c>
      <c r="AB35" s="432">
        <f t="shared" si="6"/>
        <v>0</v>
      </c>
      <c r="AC35" s="699">
        <v>70</v>
      </c>
      <c r="AD35" s="1147">
        <v>29</v>
      </c>
      <c r="AE35" s="432">
        <f>Y35*AD35</f>
        <v>114.26</v>
      </c>
      <c r="AF35" s="449"/>
    </row>
    <row r="36" spans="1:32" ht="18.75" customHeight="1" x14ac:dyDescent="0.2">
      <c r="A36" s="1140">
        <v>22</v>
      </c>
      <c r="B36" s="461" t="s">
        <v>41</v>
      </c>
      <c r="C36" s="1140" t="s">
        <v>46</v>
      </c>
      <c r="D36" s="1140">
        <v>567.99999999999977</v>
      </c>
      <c r="E36" s="1140" t="s">
        <v>87</v>
      </c>
      <c r="F36" s="1140">
        <v>177.8</v>
      </c>
      <c r="G36" s="1140" t="s">
        <v>28</v>
      </c>
      <c r="H36" s="1151" t="s">
        <v>461</v>
      </c>
      <c r="I36" s="1149">
        <v>535.91</v>
      </c>
      <c r="J36" s="1074">
        <v>210</v>
      </c>
      <c r="K36" s="1151"/>
      <c r="L36" s="1151">
        <v>449</v>
      </c>
      <c r="M36" s="1151"/>
      <c r="N36" s="668">
        <v>6.4</v>
      </c>
      <c r="O36" s="1147"/>
      <c r="P36" s="668">
        <v>13.724104489217046</v>
      </c>
      <c r="Q36" s="668">
        <f>J36*22/100</f>
        <v>46.2</v>
      </c>
      <c r="R36" s="432">
        <v>6.0439999999999996</v>
      </c>
      <c r="S36" s="432">
        <v>8.5009999999999994</v>
      </c>
      <c r="T36" s="670">
        <v>224</v>
      </c>
      <c r="U36" s="668">
        <f t="shared" ref="U36:U80" si="9">IF(R36=0,0,T36/R36)</f>
        <v>37.061548643282599</v>
      </c>
      <c r="V36" s="668">
        <f t="shared" si="4"/>
        <v>28.902482060934005</v>
      </c>
      <c r="W36" s="668">
        <v>0.2</v>
      </c>
      <c r="X36" s="432">
        <f t="shared" si="8"/>
        <v>0.18400432900432898</v>
      </c>
      <c r="Y36" s="432">
        <f t="shared" si="5"/>
        <v>5.9533399999999999</v>
      </c>
      <c r="Z36" s="432">
        <f t="shared" si="1"/>
        <v>8.3734849999999987</v>
      </c>
      <c r="AA36" s="670">
        <f t="shared" si="1"/>
        <v>220.64</v>
      </c>
      <c r="AB36" s="432">
        <v>89.536086956521729</v>
      </c>
      <c r="AC36" s="699">
        <f t="shared" si="2"/>
        <v>28.902482060934005</v>
      </c>
      <c r="AD36" s="1147">
        <v>29</v>
      </c>
      <c r="AE36" s="432">
        <f t="shared" si="7"/>
        <v>172.64686</v>
      </c>
      <c r="AF36" s="673"/>
    </row>
    <row r="37" spans="1:32" ht="18.75" customHeight="1" x14ac:dyDescent="0.2">
      <c r="A37" s="1140">
        <v>23</v>
      </c>
      <c r="B37" s="461" t="s">
        <v>42</v>
      </c>
      <c r="C37" s="1140" t="s">
        <v>46</v>
      </c>
      <c r="D37" s="1140">
        <v>583.20000000000005</v>
      </c>
      <c r="E37" s="1140" t="s">
        <v>434</v>
      </c>
      <c r="F37" s="1140">
        <v>177.8</v>
      </c>
      <c r="G37" s="1140" t="s">
        <v>28</v>
      </c>
      <c r="H37" s="1151" t="s">
        <v>552</v>
      </c>
      <c r="I37" s="1149">
        <v>565.09</v>
      </c>
      <c r="J37" s="1074">
        <v>358</v>
      </c>
      <c r="K37" s="1151"/>
      <c r="L37" s="1151">
        <v>101</v>
      </c>
      <c r="M37" s="1151"/>
      <c r="N37" s="668">
        <v>8</v>
      </c>
      <c r="O37" s="1147"/>
      <c r="P37" s="668">
        <v>44.359234114587878</v>
      </c>
      <c r="Q37" s="668">
        <f>J37*22/100</f>
        <v>78.760000000000005</v>
      </c>
      <c r="R37" s="432">
        <v>2.2789999999999999</v>
      </c>
      <c r="S37" s="432">
        <v>8.298</v>
      </c>
      <c r="T37" s="670">
        <v>0</v>
      </c>
      <c r="U37" s="668">
        <f t="shared" si="9"/>
        <v>0</v>
      </c>
      <c r="V37" s="668">
        <f t="shared" si="4"/>
        <v>72.5355507351169</v>
      </c>
      <c r="W37" s="668">
        <v>0.2</v>
      </c>
      <c r="X37" s="432">
        <f t="shared" si="8"/>
        <v>0.10535804977145759</v>
      </c>
      <c r="Y37" s="432">
        <f t="shared" si="5"/>
        <v>2.244815</v>
      </c>
      <c r="Z37" s="432">
        <f t="shared" si="1"/>
        <v>8.1735299999999995</v>
      </c>
      <c r="AA37" s="670">
        <f t="shared" si="1"/>
        <v>0</v>
      </c>
      <c r="AB37" s="432">
        <f t="shared" si="6"/>
        <v>0</v>
      </c>
      <c r="AC37" s="670">
        <f t="shared" si="2"/>
        <v>72.5355507351169</v>
      </c>
      <c r="AD37" s="1147">
        <v>29</v>
      </c>
      <c r="AE37" s="432">
        <f t="shared" si="7"/>
        <v>65.099635000000006</v>
      </c>
      <c r="AF37" s="449"/>
    </row>
    <row r="38" spans="1:32" ht="18.75" customHeight="1" x14ac:dyDescent="0.2">
      <c r="A38" s="1140">
        <v>24</v>
      </c>
      <c r="B38" s="461" t="s">
        <v>43</v>
      </c>
      <c r="C38" s="1140" t="s">
        <v>46</v>
      </c>
      <c r="D38" s="1140">
        <v>682.7</v>
      </c>
      <c r="E38" s="1140" t="s">
        <v>435</v>
      </c>
      <c r="F38" s="1140">
        <v>177.8</v>
      </c>
      <c r="G38" s="1140" t="s">
        <v>28</v>
      </c>
      <c r="H38" s="1151" t="s">
        <v>399</v>
      </c>
      <c r="I38" s="446">
        <v>551.38</v>
      </c>
      <c r="J38" s="1151">
        <v>330</v>
      </c>
      <c r="K38" s="1151"/>
      <c r="L38" s="1151">
        <v>298</v>
      </c>
      <c r="M38" s="1151"/>
      <c r="N38" s="668">
        <v>7</v>
      </c>
      <c r="O38" s="1147"/>
      <c r="P38" s="668">
        <v>21.085114336978027</v>
      </c>
      <c r="Q38" s="668">
        <f>J38*13/100</f>
        <v>42.9</v>
      </c>
      <c r="R38" s="432">
        <v>1.2070000000000001</v>
      </c>
      <c r="S38" s="432">
        <v>9.8689999999999998</v>
      </c>
      <c r="T38" s="670">
        <v>0</v>
      </c>
      <c r="U38" s="668">
        <f t="shared" si="9"/>
        <v>0</v>
      </c>
      <c r="V38" s="668">
        <f t="shared" si="4"/>
        <v>87.769784172661872</v>
      </c>
      <c r="W38" s="668">
        <v>0.3</v>
      </c>
      <c r="X38" s="432">
        <f t="shared" si="8"/>
        <v>0.23004662004662005</v>
      </c>
      <c r="Y38" s="432">
        <f t="shared" si="5"/>
        <v>1.188895</v>
      </c>
      <c r="Z38" s="432">
        <f t="shared" si="1"/>
        <v>9.7209649999999996</v>
      </c>
      <c r="AA38" s="670">
        <f t="shared" si="1"/>
        <v>0</v>
      </c>
      <c r="AB38" s="432">
        <f t="shared" si="6"/>
        <v>0</v>
      </c>
      <c r="AC38" s="670">
        <f t="shared" si="2"/>
        <v>87.769784172661872</v>
      </c>
      <c r="AD38" s="1147">
        <v>29</v>
      </c>
      <c r="AE38" s="432">
        <f t="shared" si="7"/>
        <v>34.477955000000001</v>
      </c>
      <c r="AF38" s="669"/>
    </row>
    <row r="39" spans="1:32" ht="18.75" customHeight="1" x14ac:dyDescent="0.2">
      <c r="A39" s="1140">
        <v>25</v>
      </c>
      <c r="B39" s="461" t="s">
        <v>44</v>
      </c>
      <c r="C39" s="1140" t="s">
        <v>46</v>
      </c>
      <c r="D39" s="1140">
        <v>610.91999999999996</v>
      </c>
      <c r="E39" s="1140" t="s">
        <v>90</v>
      </c>
      <c r="F39" s="1140">
        <v>177.8</v>
      </c>
      <c r="G39" s="1140" t="s">
        <v>28</v>
      </c>
      <c r="H39" s="1151" t="s">
        <v>539</v>
      </c>
      <c r="I39" s="446">
        <v>564.91999999999996</v>
      </c>
      <c r="J39" s="1151">
        <v>205</v>
      </c>
      <c r="K39" s="1151"/>
      <c r="L39" s="1151">
        <v>248</v>
      </c>
      <c r="M39" s="1151"/>
      <c r="N39" s="668">
        <v>6</v>
      </c>
      <c r="O39" s="1147"/>
      <c r="P39" s="668">
        <v>42.785405187709266</v>
      </c>
      <c r="Q39" s="668">
        <f>(32/100)*J39</f>
        <v>65.599999999999994</v>
      </c>
      <c r="R39" s="432">
        <v>9.3379999999999992</v>
      </c>
      <c r="S39" s="432">
        <v>56.243000000000002</v>
      </c>
      <c r="T39" s="670">
        <v>290</v>
      </c>
      <c r="U39" s="668">
        <f t="shared" si="9"/>
        <v>31.055900621118017</v>
      </c>
      <c r="V39" s="668">
        <f t="shared" si="4"/>
        <v>83.397044965595725</v>
      </c>
      <c r="W39" s="668">
        <v>0.3</v>
      </c>
      <c r="X39" s="432">
        <f t="shared" si="8"/>
        <v>0.85736280487804883</v>
      </c>
      <c r="Y39" s="432">
        <f t="shared" si="5"/>
        <v>9.1979299999999995</v>
      </c>
      <c r="Z39" s="432">
        <f t="shared" si="1"/>
        <v>55.399355</v>
      </c>
      <c r="AA39" s="670">
        <f t="shared" si="1"/>
        <v>285.64999999999998</v>
      </c>
      <c r="AB39" s="432">
        <f t="shared" si="6"/>
        <v>31.055900621118017</v>
      </c>
      <c r="AC39" s="670">
        <f t="shared" si="2"/>
        <v>83.397044965595725</v>
      </c>
      <c r="AD39" s="1147">
        <v>29</v>
      </c>
      <c r="AE39" s="432">
        <f t="shared" si="7"/>
        <v>266.73996999999997</v>
      </c>
      <c r="AF39" s="669"/>
    </row>
    <row r="40" spans="1:32" ht="18.75" customHeight="1" x14ac:dyDescent="0.2">
      <c r="A40" s="1140">
        <v>26</v>
      </c>
      <c r="B40" s="461" t="s">
        <v>45</v>
      </c>
      <c r="C40" s="1140" t="s">
        <v>46</v>
      </c>
      <c r="D40" s="1140">
        <v>636.4</v>
      </c>
      <c r="E40" s="1140" t="s">
        <v>91</v>
      </c>
      <c r="F40" s="1140">
        <v>177.8</v>
      </c>
      <c r="G40" s="1140" t="s">
        <v>28</v>
      </c>
      <c r="H40" s="1151" t="s">
        <v>553</v>
      </c>
      <c r="I40" s="1149">
        <v>553.53</v>
      </c>
      <c r="J40" s="1074">
        <v>220</v>
      </c>
      <c r="K40" s="1151"/>
      <c r="L40" s="1151">
        <v>450</v>
      </c>
      <c r="M40" s="1151"/>
      <c r="N40" s="668">
        <v>5</v>
      </c>
      <c r="O40" s="1147"/>
      <c r="P40" s="668">
        <v>15.793855791841201</v>
      </c>
      <c r="Q40" s="668">
        <f>(32/100)*J40</f>
        <v>70.400000000000006</v>
      </c>
      <c r="R40" s="432">
        <v>19.315999999999999</v>
      </c>
      <c r="S40" s="432">
        <v>46.595999999999997</v>
      </c>
      <c r="T40" s="670">
        <v>152</v>
      </c>
      <c r="U40" s="668">
        <f t="shared" si="9"/>
        <v>7.8691240422447715</v>
      </c>
      <c r="V40" s="668">
        <f t="shared" si="4"/>
        <v>58.545797922568461</v>
      </c>
      <c r="W40" s="668">
        <v>0.2</v>
      </c>
      <c r="X40" s="432">
        <f t="shared" si="8"/>
        <v>0.66187499999999988</v>
      </c>
      <c r="Y40" s="432">
        <f t="shared" si="5"/>
        <v>19.026259999999997</v>
      </c>
      <c r="Z40" s="432">
        <f t="shared" si="1"/>
        <v>45.897059999999996</v>
      </c>
      <c r="AA40" s="670">
        <f t="shared" si="1"/>
        <v>149.72</v>
      </c>
      <c r="AB40" s="432">
        <f t="shared" si="6"/>
        <v>7.8691240422447715</v>
      </c>
      <c r="AC40" s="670">
        <f t="shared" si="2"/>
        <v>58.545797922568461</v>
      </c>
      <c r="AD40" s="1147">
        <v>29</v>
      </c>
      <c r="AE40" s="432">
        <f t="shared" si="7"/>
        <v>551.76153999999997</v>
      </c>
      <c r="AF40" s="669"/>
    </row>
    <row r="41" spans="1:32" ht="18.75" customHeight="1" x14ac:dyDescent="0.2">
      <c r="A41" s="1140">
        <v>27</v>
      </c>
      <c r="B41" s="461" t="s">
        <v>206</v>
      </c>
      <c r="C41" s="1140" t="s">
        <v>46</v>
      </c>
      <c r="D41" s="1140">
        <v>660.2</v>
      </c>
      <c r="E41" s="1140" t="s">
        <v>436</v>
      </c>
      <c r="F41" s="1140">
        <v>177.8</v>
      </c>
      <c r="G41" s="1140" t="s">
        <v>28</v>
      </c>
      <c r="H41" s="1151" t="s">
        <v>551</v>
      </c>
      <c r="I41" s="1149">
        <v>545.86</v>
      </c>
      <c r="J41" s="1151">
        <v>225</v>
      </c>
      <c r="K41" s="1151"/>
      <c r="L41" s="1151">
        <v>440</v>
      </c>
      <c r="M41" s="1151"/>
      <c r="N41" s="668">
        <v>0.2</v>
      </c>
      <c r="O41" s="1147"/>
      <c r="P41" s="668">
        <v>31.966863154603818</v>
      </c>
      <c r="Q41" s="668">
        <f>J41*22/100</f>
        <v>49.5</v>
      </c>
      <c r="R41" s="432">
        <v>8.8420000000000005</v>
      </c>
      <c r="S41" s="432">
        <v>24.510999999999999</v>
      </c>
      <c r="T41" s="670">
        <v>95</v>
      </c>
      <c r="U41" s="668">
        <f t="shared" si="9"/>
        <v>10.744175525899117</v>
      </c>
      <c r="V41" s="668">
        <f t="shared" si="4"/>
        <v>63.926400391660884</v>
      </c>
      <c r="W41" s="668">
        <v>0.3</v>
      </c>
      <c r="X41" s="432">
        <f t="shared" si="8"/>
        <v>0.49517171717171715</v>
      </c>
      <c r="Y41" s="432">
        <f t="shared" si="5"/>
        <v>8.7093699999999998</v>
      </c>
      <c r="Z41" s="432">
        <f t="shared" si="1"/>
        <v>24.143335</v>
      </c>
      <c r="AA41" s="670">
        <f t="shared" si="1"/>
        <v>93.575000000000003</v>
      </c>
      <c r="AB41" s="432">
        <f t="shared" si="6"/>
        <v>10.744175525899117</v>
      </c>
      <c r="AC41" s="670">
        <f t="shared" si="2"/>
        <v>63.926400391660884</v>
      </c>
      <c r="AD41" s="1147">
        <v>29</v>
      </c>
      <c r="AE41" s="432">
        <f t="shared" si="7"/>
        <v>252.57173</v>
      </c>
      <c r="AF41" s="669"/>
    </row>
    <row r="42" spans="1:32" ht="18.75" customHeight="1" x14ac:dyDescent="0.2">
      <c r="A42" s="1140">
        <v>28</v>
      </c>
      <c r="B42" s="1137" t="s">
        <v>161</v>
      </c>
      <c r="C42" s="1140" t="s">
        <v>46</v>
      </c>
      <c r="D42" s="1136">
        <v>677</v>
      </c>
      <c r="E42" s="679" t="s">
        <v>178</v>
      </c>
      <c r="F42" s="1140">
        <v>177.8</v>
      </c>
      <c r="G42" s="1140" t="s">
        <v>28</v>
      </c>
      <c r="H42" s="1151" t="s">
        <v>501</v>
      </c>
      <c r="I42" s="1149">
        <v>510.44000000000011</v>
      </c>
      <c r="J42" s="1149">
        <v>230</v>
      </c>
      <c r="K42" s="1149"/>
      <c r="L42" s="1149">
        <v>317</v>
      </c>
      <c r="M42" s="1149"/>
      <c r="N42" s="668">
        <v>6.6</v>
      </c>
      <c r="O42" s="1146"/>
      <c r="P42" s="448">
        <v>38.419443415202608</v>
      </c>
      <c r="Q42" s="668">
        <f>J42*33/100</f>
        <v>75.900000000000006</v>
      </c>
      <c r="R42" s="432">
        <v>8.7579999999999991</v>
      </c>
      <c r="S42" s="432">
        <v>38.185000000000002</v>
      </c>
      <c r="T42" s="492">
        <v>123</v>
      </c>
      <c r="U42" s="668">
        <f t="shared" si="9"/>
        <v>14.044302352135192</v>
      </c>
      <c r="V42" s="668">
        <f t="shared" si="4"/>
        <v>77.064292261359185</v>
      </c>
      <c r="W42" s="668">
        <v>0.3</v>
      </c>
      <c r="X42" s="432">
        <f t="shared" si="8"/>
        <v>0.50309617918313565</v>
      </c>
      <c r="Y42" s="432">
        <f t="shared" si="5"/>
        <v>8.6266299999999987</v>
      </c>
      <c r="Z42" s="432">
        <f t="shared" si="1"/>
        <v>37.612225000000002</v>
      </c>
      <c r="AA42" s="670">
        <f t="shared" si="1"/>
        <v>121.155</v>
      </c>
      <c r="AB42" s="432">
        <f t="shared" si="6"/>
        <v>14.044302352135192</v>
      </c>
      <c r="AC42" s="670">
        <f t="shared" si="2"/>
        <v>77.064292261359185</v>
      </c>
      <c r="AD42" s="1147">
        <v>29</v>
      </c>
      <c r="AE42" s="432">
        <f t="shared" si="7"/>
        <v>250.17226999999997</v>
      </c>
      <c r="AF42" s="449"/>
    </row>
    <row r="43" spans="1:32" ht="18.75" customHeight="1" x14ac:dyDescent="0.2">
      <c r="A43" s="1140">
        <v>29</v>
      </c>
      <c r="B43" s="1137" t="s">
        <v>162</v>
      </c>
      <c r="C43" s="1140" t="s">
        <v>46</v>
      </c>
      <c r="D43" s="1136">
        <v>676</v>
      </c>
      <c r="E43" s="679" t="s">
        <v>437</v>
      </c>
      <c r="F43" s="1140">
        <v>177.8</v>
      </c>
      <c r="G43" s="1140" t="s">
        <v>28</v>
      </c>
      <c r="H43" s="1151" t="s">
        <v>50</v>
      </c>
      <c r="I43" s="1149">
        <v>549.20000000000005</v>
      </c>
      <c r="J43" s="493">
        <v>254</v>
      </c>
      <c r="K43" s="1149"/>
      <c r="L43" s="1151">
        <v>403</v>
      </c>
      <c r="M43" s="1149"/>
      <c r="N43" s="668">
        <v>3.3</v>
      </c>
      <c r="O43" s="1146"/>
      <c r="P43" s="448">
        <v>8.359184101511115</v>
      </c>
      <c r="Q43" s="668">
        <f t="shared" ref="Q43:Q72" si="10">LEFT(H43,(FIND("K",H43,1)-1))*J43/100</f>
        <v>15.24</v>
      </c>
      <c r="R43" s="432">
        <v>1.2450000000000001</v>
      </c>
      <c r="S43" s="432">
        <v>1.784</v>
      </c>
      <c r="T43" s="492">
        <v>0</v>
      </c>
      <c r="U43" s="668">
        <f t="shared" si="9"/>
        <v>0</v>
      </c>
      <c r="V43" s="668">
        <f t="shared" si="4"/>
        <v>30.213004484304932</v>
      </c>
      <c r="W43" s="668">
        <v>0.3</v>
      </c>
      <c r="X43" s="432">
        <f t="shared" si="8"/>
        <v>0.11706036745406824</v>
      </c>
      <c r="Y43" s="432">
        <f t="shared" si="5"/>
        <v>1.2263250000000001</v>
      </c>
      <c r="Z43" s="432">
        <f t="shared" si="1"/>
        <v>1.7572399999999999</v>
      </c>
      <c r="AA43" s="670">
        <f t="shared" si="1"/>
        <v>0</v>
      </c>
      <c r="AB43" s="432">
        <f t="shared" si="6"/>
        <v>0</v>
      </c>
      <c r="AC43" s="670">
        <f t="shared" si="2"/>
        <v>30.213004484304932</v>
      </c>
      <c r="AD43" s="1147">
        <v>29</v>
      </c>
      <c r="AE43" s="432">
        <f t="shared" si="7"/>
        <v>35.563425000000002</v>
      </c>
      <c r="AF43" s="449"/>
    </row>
    <row r="44" spans="1:32" ht="18.75" customHeight="1" x14ac:dyDescent="0.2">
      <c r="A44" s="1140">
        <v>30</v>
      </c>
      <c r="B44" s="1137" t="s">
        <v>163</v>
      </c>
      <c r="C44" s="1140" t="s">
        <v>46</v>
      </c>
      <c r="D44" s="1136">
        <v>597</v>
      </c>
      <c r="E44" s="1140" t="s">
        <v>443</v>
      </c>
      <c r="F44" s="1140">
        <v>177.8</v>
      </c>
      <c r="G44" s="1140" t="s">
        <v>28</v>
      </c>
      <c r="H44" s="1151" t="s">
        <v>487</v>
      </c>
      <c r="I44" s="1149">
        <v>553.9</v>
      </c>
      <c r="J44" s="1149">
        <v>245</v>
      </c>
      <c r="K44" s="1149"/>
      <c r="L44" s="1149">
        <v>432</v>
      </c>
      <c r="M44" s="1149"/>
      <c r="N44" s="668">
        <v>0.2</v>
      </c>
      <c r="O44" s="1146"/>
      <c r="P44" s="448">
        <v>15.564202036906892</v>
      </c>
      <c r="Q44" s="668">
        <f t="shared" si="10"/>
        <v>36.75</v>
      </c>
      <c r="R44" s="432">
        <v>1.9239999999999999</v>
      </c>
      <c r="S44" s="432">
        <v>8.9329999999999998</v>
      </c>
      <c r="T44" s="492">
        <v>0</v>
      </c>
      <c r="U44" s="668">
        <f t="shared" si="9"/>
        <v>0</v>
      </c>
      <c r="V44" s="668">
        <f t="shared" si="4"/>
        <v>78.461882906078586</v>
      </c>
      <c r="W44" s="668">
        <v>0.3</v>
      </c>
      <c r="X44" s="432">
        <f t="shared" si="8"/>
        <v>0.2430748299319728</v>
      </c>
      <c r="Y44" s="432">
        <f t="shared" si="5"/>
        <v>1.8951399999999998</v>
      </c>
      <c r="Z44" s="432">
        <f t="shared" si="1"/>
        <v>8.7990049999999993</v>
      </c>
      <c r="AA44" s="670">
        <f t="shared" si="1"/>
        <v>0</v>
      </c>
      <c r="AB44" s="432">
        <f t="shared" si="6"/>
        <v>0</v>
      </c>
      <c r="AC44" s="670">
        <f t="shared" si="2"/>
        <v>78.461882906078586</v>
      </c>
      <c r="AD44" s="1147">
        <v>29</v>
      </c>
      <c r="AE44" s="432">
        <f t="shared" si="7"/>
        <v>54.959059999999994</v>
      </c>
      <c r="AF44" s="449"/>
    </row>
    <row r="45" spans="1:32" ht="18.75" customHeight="1" x14ac:dyDescent="0.2">
      <c r="A45" s="1140">
        <v>31</v>
      </c>
      <c r="B45" s="461" t="s">
        <v>59</v>
      </c>
      <c r="C45" s="1140" t="s">
        <v>46</v>
      </c>
      <c r="D45" s="1140">
        <v>601.93999999999983</v>
      </c>
      <c r="E45" s="1140" t="s">
        <v>454</v>
      </c>
      <c r="F45" s="1140">
        <v>177.8</v>
      </c>
      <c r="G45" s="1140" t="s">
        <v>28</v>
      </c>
      <c r="H45" s="1151" t="s">
        <v>538</v>
      </c>
      <c r="I45" s="1149">
        <v>539.76</v>
      </c>
      <c r="J45" s="1151">
        <v>320</v>
      </c>
      <c r="K45" s="1151"/>
      <c r="L45" s="1151">
        <v>410</v>
      </c>
      <c r="M45" s="1151"/>
      <c r="N45" s="668">
        <v>1.5</v>
      </c>
      <c r="O45" s="1147"/>
      <c r="P45" s="668">
        <v>15.666761559938415</v>
      </c>
      <c r="Q45" s="668">
        <f>(22/100)*J45</f>
        <v>70.400000000000006</v>
      </c>
      <c r="R45" s="432">
        <v>5.2880000000000003</v>
      </c>
      <c r="S45" s="432">
        <v>10.430999999999999</v>
      </c>
      <c r="T45" s="670">
        <v>33</v>
      </c>
      <c r="U45" s="668">
        <f t="shared" si="9"/>
        <v>6.2405446293494702</v>
      </c>
      <c r="V45" s="668">
        <f t="shared" si="4"/>
        <v>49.304956380021082</v>
      </c>
      <c r="W45" s="668">
        <v>0.3</v>
      </c>
      <c r="X45" s="432">
        <f t="shared" si="8"/>
        <v>0.1481676136363636</v>
      </c>
      <c r="Y45" s="432">
        <f t="shared" si="5"/>
        <v>5.2086800000000002</v>
      </c>
      <c r="Z45" s="432">
        <f t="shared" si="1"/>
        <v>10.274534999999998</v>
      </c>
      <c r="AA45" s="670">
        <f t="shared" si="1"/>
        <v>32.505000000000003</v>
      </c>
      <c r="AB45" s="432">
        <f>U45</f>
        <v>6.2405446293494702</v>
      </c>
      <c r="AC45" s="670">
        <f t="shared" si="2"/>
        <v>49.304956380021082</v>
      </c>
      <c r="AD45" s="1147">
        <v>29</v>
      </c>
      <c r="AE45" s="432">
        <f t="shared" si="7"/>
        <v>151.05172000000002</v>
      </c>
      <c r="AF45" s="449"/>
    </row>
    <row r="46" spans="1:32" ht="18.600000000000001" customHeight="1" x14ac:dyDescent="0.2">
      <c r="A46" s="1140">
        <v>32</v>
      </c>
      <c r="B46" s="461" t="s">
        <v>207</v>
      </c>
      <c r="C46" s="1140" t="s">
        <v>46</v>
      </c>
      <c r="D46" s="1140">
        <v>673</v>
      </c>
      <c r="E46" s="1140" t="s">
        <v>420</v>
      </c>
      <c r="F46" s="1140">
        <v>177.8</v>
      </c>
      <c r="G46" s="1140" t="s">
        <v>28</v>
      </c>
      <c r="H46" s="1151" t="s">
        <v>50</v>
      </c>
      <c r="I46" s="1149">
        <v>564.41999999999996</v>
      </c>
      <c r="J46" s="1151">
        <v>290</v>
      </c>
      <c r="K46" s="1151"/>
      <c r="L46" s="1151">
        <v>231</v>
      </c>
      <c r="M46" s="1151"/>
      <c r="N46" s="668">
        <v>0.1</v>
      </c>
      <c r="O46" s="1147"/>
      <c r="P46" s="668">
        <v>38.48988838405365</v>
      </c>
      <c r="Q46" s="668">
        <f t="shared" si="10"/>
        <v>17.399999999999999</v>
      </c>
      <c r="R46" s="432">
        <v>3.9359999999999999</v>
      </c>
      <c r="S46" s="432">
        <v>11.03</v>
      </c>
      <c r="T46" s="670">
        <v>0</v>
      </c>
      <c r="U46" s="668">
        <f t="shared" si="9"/>
        <v>0</v>
      </c>
      <c r="V46" s="668">
        <f t="shared" si="4"/>
        <v>64.315503173164103</v>
      </c>
      <c r="W46" s="668">
        <v>0.3</v>
      </c>
      <c r="X46" s="432">
        <f t="shared" si="8"/>
        <v>0.63390804597701156</v>
      </c>
      <c r="Y46" s="432">
        <f t="shared" si="5"/>
        <v>3.87696</v>
      </c>
      <c r="Z46" s="432">
        <f t="shared" si="1"/>
        <v>10.864549999999999</v>
      </c>
      <c r="AA46" s="670">
        <f t="shared" si="1"/>
        <v>0</v>
      </c>
      <c r="AB46" s="432">
        <f>U46</f>
        <v>0</v>
      </c>
      <c r="AC46" s="670">
        <f t="shared" si="2"/>
        <v>64.315503173164103</v>
      </c>
      <c r="AD46" s="1147">
        <v>29</v>
      </c>
      <c r="AE46" s="432">
        <f t="shared" si="7"/>
        <v>112.43183999999999</v>
      </c>
      <c r="AF46" s="449"/>
    </row>
    <row r="47" spans="1:32" ht="18.75" customHeight="1" x14ac:dyDescent="0.25">
      <c r="A47" s="1140">
        <v>33</v>
      </c>
      <c r="B47" s="461" t="s">
        <v>196</v>
      </c>
      <c r="C47" s="1140" t="s">
        <v>304</v>
      </c>
      <c r="D47" s="1140">
        <v>641</v>
      </c>
      <c r="E47" s="1140" t="s">
        <v>296</v>
      </c>
      <c r="F47" s="1140">
        <v>177.8</v>
      </c>
      <c r="G47" s="1140" t="s">
        <v>28</v>
      </c>
      <c r="H47" s="1151" t="s">
        <v>50</v>
      </c>
      <c r="I47" s="1149">
        <v>611.92999999999995</v>
      </c>
      <c r="J47" s="1151"/>
      <c r="K47" s="1151">
        <v>496</v>
      </c>
      <c r="L47" s="868"/>
      <c r="M47" s="668">
        <v>0.3</v>
      </c>
      <c r="N47" s="1105"/>
      <c r="O47" s="1147"/>
      <c r="P47" s="668"/>
      <c r="Q47" s="668">
        <f>LEFT(H47,(FIND("K",H47,1)-1))*J47/100</f>
        <v>0</v>
      </c>
      <c r="R47" s="432">
        <v>0</v>
      </c>
      <c r="S47" s="432">
        <v>0</v>
      </c>
      <c r="T47" s="670">
        <v>0</v>
      </c>
      <c r="U47" s="668">
        <f t="shared" si="9"/>
        <v>0</v>
      </c>
      <c r="V47" s="668"/>
      <c r="W47" s="668">
        <v>0.3</v>
      </c>
      <c r="X47" s="432">
        <f t="shared" si="8"/>
        <v>0</v>
      </c>
      <c r="Y47" s="432">
        <f t="shared" si="5"/>
        <v>0</v>
      </c>
      <c r="Z47" s="432">
        <f t="shared" si="1"/>
        <v>0</v>
      </c>
      <c r="AA47" s="670">
        <f t="shared" si="1"/>
        <v>0</v>
      </c>
      <c r="AB47" s="432">
        <f>U47</f>
        <v>0</v>
      </c>
      <c r="AC47" s="670">
        <f t="shared" si="2"/>
        <v>0</v>
      </c>
      <c r="AD47" s="1140">
        <v>0</v>
      </c>
      <c r="AE47" s="432">
        <f t="shared" si="7"/>
        <v>0</v>
      </c>
      <c r="AF47" s="449" t="s">
        <v>335</v>
      </c>
    </row>
    <row r="48" spans="1:32" ht="18.75" customHeight="1" x14ac:dyDescent="0.2">
      <c r="A48" s="1140">
        <v>34</v>
      </c>
      <c r="B48" s="461" t="s">
        <v>60</v>
      </c>
      <c r="C48" s="1140" t="s">
        <v>46</v>
      </c>
      <c r="D48" s="1140">
        <v>638.9</v>
      </c>
      <c r="E48" s="1140" t="s">
        <v>462</v>
      </c>
      <c r="F48" s="1140">
        <v>177.8</v>
      </c>
      <c r="G48" s="1140" t="s">
        <v>28</v>
      </c>
      <c r="H48" s="550" t="s">
        <v>540</v>
      </c>
      <c r="I48" s="1149">
        <v>533.19000000000005</v>
      </c>
      <c r="J48" s="1074">
        <v>364</v>
      </c>
      <c r="K48" s="1151"/>
      <c r="L48" s="1151">
        <v>437</v>
      </c>
      <c r="M48" s="1151"/>
      <c r="N48" s="668">
        <v>1.8</v>
      </c>
      <c r="O48" s="1147"/>
      <c r="P48" s="668">
        <v>15.753245369630855</v>
      </c>
      <c r="Q48" s="668">
        <f>(22/100)*J48</f>
        <v>80.08</v>
      </c>
      <c r="R48" s="432">
        <v>3.9289999999999998</v>
      </c>
      <c r="S48" s="432">
        <v>9.4760000000000009</v>
      </c>
      <c r="T48" s="670">
        <v>96</v>
      </c>
      <c r="U48" s="668">
        <f t="shared" si="9"/>
        <v>24.433698142020873</v>
      </c>
      <c r="V48" s="668">
        <f t="shared" si="4"/>
        <v>58.537357534824821</v>
      </c>
      <c r="W48" s="668">
        <v>0.3</v>
      </c>
      <c r="X48" s="432">
        <f t="shared" si="8"/>
        <v>0.11833166833166835</v>
      </c>
      <c r="Y48" s="432">
        <f t="shared" si="5"/>
        <v>3.8700649999999999</v>
      </c>
      <c r="Z48" s="432">
        <f t="shared" si="1"/>
        <v>9.3338600000000014</v>
      </c>
      <c r="AA48" s="670">
        <f t="shared" si="1"/>
        <v>94.56</v>
      </c>
      <c r="AB48" s="432">
        <f t="shared" si="6"/>
        <v>24.433698142020873</v>
      </c>
      <c r="AC48" s="670">
        <f t="shared" si="2"/>
        <v>58.537357534824821</v>
      </c>
      <c r="AD48" s="1140">
        <v>29</v>
      </c>
      <c r="AE48" s="432">
        <f t="shared" si="7"/>
        <v>112.23188499999999</v>
      </c>
      <c r="AF48" s="449"/>
    </row>
    <row r="49" spans="1:32" ht="18.75" customHeight="1" x14ac:dyDescent="0.2">
      <c r="A49" s="1140">
        <v>35</v>
      </c>
      <c r="B49" s="461" t="s">
        <v>119</v>
      </c>
      <c r="C49" s="1140" t="s">
        <v>427</v>
      </c>
      <c r="D49" s="1140">
        <v>654.07000000000005</v>
      </c>
      <c r="E49" s="1140" t="s">
        <v>410</v>
      </c>
      <c r="F49" s="1140">
        <v>177.8</v>
      </c>
      <c r="G49" s="1140" t="s">
        <v>28</v>
      </c>
      <c r="H49" s="1151" t="s">
        <v>399</v>
      </c>
      <c r="I49" s="1149">
        <v>521.47</v>
      </c>
      <c r="J49" s="1151"/>
      <c r="K49" s="1151">
        <v>478</v>
      </c>
      <c r="L49" s="1151"/>
      <c r="M49" s="1151"/>
      <c r="N49" s="668"/>
      <c r="O49" s="1147"/>
      <c r="P49" s="668"/>
      <c r="Q49" s="668">
        <f>J49*13/100</f>
        <v>0</v>
      </c>
      <c r="R49" s="432">
        <v>0</v>
      </c>
      <c r="S49" s="432">
        <v>0</v>
      </c>
      <c r="T49" s="670">
        <v>0</v>
      </c>
      <c r="U49" s="668">
        <f t="shared" si="9"/>
        <v>0</v>
      </c>
      <c r="V49" s="668"/>
      <c r="W49" s="668">
        <v>0</v>
      </c>
      <c r="X49" s="432">
        <f t="shared" si="8"/>
        <v>0</v>
      </c>
      <c r="Y49" s="432">
        <f t="shared" si="5"/>
        <v>0</v>
      </c>
      <c r="Z49" s="432">
        <f t="shared" si="1"/>
        <v>0</v>
      </c>
      <c r="AA49" s="670">
        <f t="shared" si="1"/>
        <v>0</v>
      </c>
      <c r="AB49" s="432">
        <f t="shared" si="6"/>
        <v>0</v>
      </c>
      <c r="AC49" s="670">
        <f t="shared" si="2"/>
        <v>0</v>
      </c>
      <c r="AD49" s="1140">
        <v>0</v>
      </c>
      <c r="AE49" s="432">
        <f t="shared" si="7"/>
        <v>0</v>
      </c>
      <c r="AF49" s="449" t="s">
        <v>432</v>
      </c>
    </row>
    <row r="50" spans="1:32" ht="18.75" customHeight="1" x14ac:dyDescent="0.2">
      <c r="A50" s="1140">
        <v>36</v>
      </c>
      <c r="B50" s="461" t="s">
        <v>118</v>
      </c>
      <c r="C50" s="1140" t="s">
        <v>408</v>
      </c>
      <c r="D50" s="1140">
        <v>728.77</v>
      </c>
      <c r="E50" s="1140" t="s">
        <v>442</v>
      </c>
      <c r="F50" s="1140">
        <v>177.8</v>
      </c>
      <c r="G50" s="1140" t="s">
        <v>28</v>
      </c>
      <c r="H50" s="1151" t="s">
        <v>52</v>
      </c>
      <c r="I50" s="1149">
        <v>522.24000000000012</v>
      </c>
      <c r="J50" s="1151">
        <v>280</v>
      </c>
      <c r="K50" s="1151"/>
      <c r="L50" s="1151">
        <v>389</v>
      </c>
      <c r="M50" s="1151"/>
      <c r="N50" s="668">
        <v>1.9</v>
      </c>
      <c r="O50" s="1147"/>
      <c r="P50" s="668">
        <v>20.248545703588736</v>
      </c>
      <c r="Q50" s="668">
        <f t="shared" si="10"/>
        <v>61.6</v>
      </c>
      <c r="R50" s="432">
        <v>4.8449999999999998</v>
      </c>
      <c r="S50" s="432">
        <v>9.8059999999999992</v>
      </c>
      <c r="T50" s="670">
        <v>34</v>
      </c>
      <c r="U50" s="668">
        <f t="shared" si="9"/>
        <v>7.0175438596491233</v>
      </c>
      <c r="V50" s="668">
        <f t="shared" si="4"/>
        <v>50.591474607383233</v>
      </c>
      <c r="W50" s="668">
        <v>0.3</v>
      </c>
      <c r="X50" s="432">
        <f t="shared" si="8"/>
        <v>0.15918831168831168</v>
      </c>
      <c r="Y50" s="432">
        <f t="shared" si="5"/>
        <v>4.7723249999999995</v>
      </c>
      <c r="Z50" s="432">
        <f t="shared" si="1"/>
        <v>9.6589099999999988</v>
      </c>
      <c r="AA50" s="670">
        <f t="shared" si="1"/>
        <v>33.49</v>
      </c>
      <c r="AB50" s="432">
        <f t="shared" si="6"/>
        <v>7.0175438596491233</v>
      </c>
      <c r="AC50" s="670">
        <f t="shared" si="2"/>
        <v>50.591474607383233</v>
      </c>
      <c r="AD50" s="1140">
        <v>29</v>
      </c>
      <c r="AE50" s="432">
        <f t="shared" si="7"/>
        <v>138.397425</v>
      </c>
      <c r="AF50" s="449"/>
    </row>
    <row r="51" spans="1:32" ht="18.75" customHeight="1" x14ac:dyDescent="0.2">
      <c r="A51" s="1140">
        <v>37</v>
      </c>
      <c r="B51" s="461" t="s">
        <v>117</v>
      </c>
      <c r="C51" s="1140" t="s">
        <v>46</v>
      </c>
      <c r="D51" s="1140">
        <v>671.45</v>
      </c>
      <c r="E51" s="1140" t="s">
        <v>554</v>
      </c>
      <c r="F51" s="1140">
        <v>177.8</v>
      </c>
      <c r="G51" s="1140" t="s">
        <v>28</v>
      </c>
      <c r="H51" s="452" t="s">
        <v>464</v>
      </c>
      <c r="I51" s="1149">
        <v>564.6500000000002</v>
      </c>
      <c r="J51" s="1074"/>
      <c r="K51" s="1151"/>
      <c r="L51" s="1151"/>
      <c r="M51" s="1151">
        <v>3.2</v>
      </c>
      <c r="N51" s="668"/>
      <c r="O51" s="1147"/>
      <c r="P51" s="668">
        <v>31.447846508935225</v>
      </c>
      <c r="Q51" s="668">
        <f>J51*14/100</f>
        <v>0</v>
      </c>
      <c r="R51" s="432">
        <v>0</v>
      </c>
      <c r="S51" s="432">
        <v>0</v>
      </c>
      <c r="T51" s="670">
        <v>0</v>
      </c>
      <c r="U51" s="668">
        <f t="shared" si="9"/>
        <v>0</v>
      </c>
      <c r="V51" s="668"/>
      <c r="W51" s="668">
        <v>0</v>
      </c>
      <c r="X51" s="432">
        <f t="shared" si="8"/>
        <v>0</v>
      </c>
      <c r="Y51" s="432">
        <f t="shared" si="5"/>
        <v>0</v>
      </c>
      <c r="Z51" s="432">
        <f t="shared" si="1"/>
        <v>0</v>
      </c>
      <c r="AA51" s="670">
        <f t="shared" si="1"/>
        <v>0</v>
      </c>
      <c r="AB51" s="432">
        <f t="shared" si="6"/>
        <v>0</v>
      </c>
      <c r="AC51" s="670">
        <f t="shared" si="2"/>
        <v>0</v>
      </c>
      <c r="AD51" s="1140">
        <v>29</v>
      </c>
      <c r="AE51" s="432">
        <f t="shared" si="7"/>
        <v>0</v>
      </c>
      <c r="AF51" s="669" t="s">
        <v>335</v>
      </c>
    </row>
    <row r="52" spans="1:32" ht="18.75" customHeight="1" x14ac:dyDescent="0.2">
      <c r="A52" s="1140">
        <v>38</v>
      </c>
      <c r="B52" s="461" t="s">
        <v>130</v>
      </c>
      <c r="C52" s="1140" t="s">
        <v>46</v>
      </c>
      <c r="D52" s="1140">
        <v>622.6</v>
      </c>
      <c r="E52" s="1140" t="s">
        <v>555</v>
      </c>
      <c r="F52" s="1140">
        <v>177.8</v>
      </c>
      <c r="G52" s="1140" t="s">
        <v>28</v>
      </c>
      <c r="H52" s="1151" t="s">
        <v>502</v>
      </c>
      <c r="I52" s="1149">
        <v>572.83000000000004</v>
      </c>
      <c r="J52" s="1151"/>
      <c r="K52" s="1151">
        <v>416</v>
      </c>
      <c r="L52" s="1151"/>
      <c r="M52" s="1151">
        <v>0.4</v>
      </c>
      <c r="N52" s="668"/>
      <c r="O52" s="1147"/>
      <c r="P52" s="668">
        <v>44.546058115053057</v>
      </c>
      <c r="Q52" s="668">
        <f>(15/100)*J52</f>
        <v>0</v>
      </c>
      <c r="R52" s="432">
        <v>0</v>
      </c>
      <c r="S52" s="432">
        <v>0</v>
      </c>
      <c r="T52" s="670">
        <v>0</v>
      </c>
      <c r="U52" s="668">
        <f t="shared" si="9"/>
        <v>0</v>
      </c>
      <c r="V52" s="668"/>
      <c r="W52" s="668">
        <v>0</v>
      </c>
      <c r="X52" s="432">
        <f t="shared" si="8"/>
        <v>0</v>
      </c>
      <c r="Y52" s="432">
        <f t="shared" si="5"/>
        <v>0</v>
      </c>
      <c r="Z52" s="432">
        <f t="shared" si="1"/>
        <v>0</v>
      </c>
      <c r="AA52" s="670">
        <f t="shared" si="1"/>
        <v>0</v>
      </c>
      <c r="AB52" s="432">
        <f t="shared" si="6"/>
        <v>0</v>
      </c>
      <c r="AC52" s="670">
        <f t="shared" si="2"/>
        <v>0</v>
      </c>
      <c r="AD52" s="1140">
        <v>0</v>
      </c>
      <c r="AE52" s="432">
        <f t="shared" si="7"/>
        <v>0</v>
      </c>
      <c r="AF52" s="669" t="s">
        <v>335</v>
      </c>
    </row>
    <row r="53" spans="1:32" ht="18.75" customHeight="1" x14ac:dyDescent="0.2">
      <c r="A53" s="1140">
        <v>39</v>
      </c>
      <c r="B53" s="674" t="s">
        <v>115</v>
      </c>
      <c r="C53" s="452" t="s">
        <v>46</v>
      </c>
      <c r="D53" s="452">
        <v>671.43</v>
      </c>
      <c r="E53" s="452" t="s">
        <v>286</v>
      </c>
      <c r="F53" s="1140">
        <v>177.8</v>
      </c>
      <c r="G53" s="452" t="s">
        <v>28</v>
      </c>
      <c r="H53" s="452" t="s">
        <v>363</v>
      </c>
      <c r="I53" s="453">
        <v>565.65</v>
      </c>
      <c r="J53" s="452">
        <v>310</v>
      </c>
      <c r="K53" s="452"/>
      <c r="L53" s="452">
        <v>411</v>
      </c>
      <c r="M53" s="452"/>
      <c r="N53" s="668">
        <v>0.7</v>
      </c>
      <c r="O53" s="452"/>
      <c r="P53" s="675">
        <v>19.121454599912241</v>
      </c>
      <c r="Q53" s="668">
        <f>J53*7/100</f>
        <v>21.7</v>
      </c>
      <c r="R53" s="456">
        <v>4.048</v>
      </c>
      <c r="S53" s="432">
        <v>4.5670000000000002</v>
      </c>
      <c r="T53" s="700">
        <v>0</v>
      </c>
      <c r="U53" s="668">
        <f t="shared" si="9"/>
        <v>0</v>
      </c>
      <c r="V53" s="668">
        <f t="shared" si="4"/>
        <v>11.364134004817174</v>
      </c>
      <c r="W53" s="675">
        <v>0.2</v>
      </c>
      <c r="X53" s="432">
        <f t="shared" si="8"/>
        <v>0.21046082949308756</v>
      </c>
      <c r="Y53" s="432">
        <f t="shared" si="5"/>
        <v>3.9872800000000002</v>
      </c>
      <c r="Z53" s="432">
        <f t="shared" si="1"/>
        <v>4.4984950000000001</v>
      </c>
      <c r="AA53" s="670">
        <f t="shared" si="1"/>
        <v>0</v>
      </c>
      <c r="AB53" s="456">
        <f t="shared" si="6"/>
        <v>0</v>
      </c>
      <c r="AC53" s="670">
        <f t="shared" si="2"/>
        <v>11.364134004817174</v>
      </c>
      <c r="AD53" s="1140">
        <v>29</v>
      </c>
      <c r="AE53" s="456">
        <f t="shared" si="7"/>
        <v>115.63112000000001</v>
      </c>
      <c r="AF53" s="449"/>
    </row>
    <row r="54" spans="1:32" ht="18.75" customHeight="1" x14ac:dyDescent="0.2">
      <c r="A54" s="1140">
        <v>40</v>
      </c>
      <c r="B54" s="461" t="s">
        <v>116</v>
      </c>
      <c r="C54" s="1140" t="s">
        <v>46</v>
      </c>
      <c r="D54" s="1140">
        <v>681.27</v>
      </c>
      <c r="E54" s="1140" t="s">
        <v>455</v>
      </c>
      <c r="F54" s="1140">
        <v>177.8</v>
      </c>
      <c r="G54" s="1140" t="s">
        <v>28</v>
      </c>
      <c r="H54" s="1151" t="s">
        <v>556</v>
      </c>
      <c r="I54" s="1149">
        <v>559.23</v>
      </c>
      <c r="J54" s="1074">
        <v>100</v>
      </c>
      <c r="K54" s="1151"/>
      <c r="L54" s="670">
        <v>392</v>
      </c>
      <c r="M54" s="1151"/>
      <c r="N54" s="668">
        <v>8</v>
      </c>
      <c r="O54" s="1147"/>
      <c r="P54" s="668">
        <v>40.79107955949334</v>
      </c>
      <c r="Q54" s="675">
        <f>J54*13/100</f>
        <v>13</v>
      </c>
      <c r="R54" s="432">
        <v>3.4620000000000002</v>
      </c>
      <c r="S54" s="432">
        <v>11.005000000000001</v>
      </c>
      <c r="T54" s="670">
        <v>0</v>
      </c>
      <c r="U54" s="668">
        <f t="shared" si="9"/>
        <v>0</v>
      </c>
      <c r="V54" s="668">
        <f t="shared" si="4"/>
        <v>68.541572012721488</v>
      </c>
      <c r="W54" s="668">
        <v>0.3</v>
      </c>
      <c r="X54" s="432">
        <f t="shared" si="8"/>
        <v>0.84653846153846157</v>
      </c>
      <c r="Y54" s="432">
        <f t="shared" si="5"/>
        <v>3.4100700000000002</v>
      </c>
      <c r="Z54" s="432">
        <f t="shared" si="1"/>
        <v>10.839925000000001</v>
      </c>
      <c r="AA54" s="670">
        <f t="shared" si="1"/>
        <v>0</v>
      </c>
      <c r="AB54" s="432">
        <f t="shared" si="6"/>
        <v>0</v>
      </c>
      <c r="AC54" s="670">
        <f t="shared" si="2"/>
        <v>68.541572012721488</v>
      </c>
      <c r="AD54" s="1147">
        <v>29</v>
      </c>
      <c r="AE54" s="432">
        <f t="shared" si="7"/>
        <v>98.892030000000005</v>
      </c>
      <c r="AF54" s="449"/>
    </row>
    <row r="55" spans="1:32" ht="18.75" customHeight="1" x14ac:dyDescent="0.2">
      <c r="A55" s="1140">
        <v>41</v>
      </c>
      <c r="B55" s="461" t="s">
        <v>120</v>
      </c>
      <c r="C55" s="1140" t="s">
        <v>46</v>
      </c>
      <c r="D55" s="1140">
        <v>668.57</v>
      </c>
      <c r="E55" s="1140" t="s">
        <v>285</v>
      </c>
      <c r="F55" s="1140">
        <v>177.8</v>
      </c>
      <c r="G55" s="1140" t="s">
        <v>28</v>
      </c>
      <c r="H55" s="452" t="s">
        <v>464</v>
      </c>
      <c r="I55" s="1149">
        <v>568.66</v>
      </c>
      <c r="J55" s="1151">
        <v>320</v>
      </c>
      <c r="K55" s="1151"/>
      <c r="L55" s="670">
        <v>464</v>
      </c>
      <c r="M55" s="1151"/>
      <c r="N55" s="668">
        <v>0</v>
      </c>
      <c r="O55" s="1147"/>
      <c r="P55" s="668">
        <v>13.750347683204614</v>
      </c>
      <c r="Q55" s="668">
        <f>J55*14/100</f>
        <v>44.8</v>
      </c>
      <c r="R55" s="432">
        <v>2.7469999999999999</v>
      </c>
      <c r="S55" s="432">
        <v>5.3890000000000002</v>
      </c>
      <c r="T55" s="670">
        <v>3</v>
      </c>
      <c r="U55" s="668">
        <f t="shared" si="9"/>
        <v>1.0921004732435384</v>
      </c>
      <c r="V55" s="668">
        <f t="shared" si="4"/>
        <v>49.025793282612732</v>
      </c>
      <c r="W55" s="668">
        <v>0.3</v>
      </c>
      <c r="X55" s="432">
        <f t="shared" si="8"/>
        <v>0.12029017857142858</v>
      </c>
      <c r="Y55" s="432">
        <f t="shared" si="5"/>
        <v>2.7057949999999997</v>
      </c>
      <c r="Z55" s="432">
        <f t="shared" si="1"/>
        <v>5.3081649999999998</v>
      </c>
      <c r="AA55" s="670">
        <f t="shared" si="1"/>
        <v>2.9550000000000001</v>
      </c>
      <c r="AB55" s="432">
        <f t="shared" si="6"/>
        <v>1.0921004732435384</v>
      </c>
      <c r="AC55" s="670">
        <f t="shared" si="2"/>
        <v>49.025793282612732</v>
      </c>
      <c r="AD55" s="1147">
        <v>29</v>
      </c>
      <c r="AE55" s="432">
        <f t="shared" si="7"/>
        <v>78.468054999999993</v>
      </c>
      <c r="AF55" s="669"/>
    </row>
    <row r="56" spans="1:32" ht="18.75" customHeight="1" x14ac:dyDescent="0.2">
      <c r="A56" s="1140">
        <v>42</v>
      </c>
      <c r="B56" s="461" t="s">
        <v>114</v>
      </c>
      <c r="C56" s="1140" t="s">
        <v>46</v>
      </c>
      <c r="D56" s="1140">
        <v>584.25</v>
      </c>
      <c r="E56" s="1140" t="s">
        <v>419</v>
      </c>
      <c r="F56" s="1140">
        <v>177.8</v>
      </c>
      <c r="G56" s="1140" t="s">
        <v>28</v>
      </c>
      <c r="H56" s="1151" t="s">
        <v>492</v>
      </c>
      <c r="I56" s="1149">
        <v>566.38000000000022</v>
      </c>
      <c r="J56" s="1151">
        <v>210</v>
      </c>
      <c r="K56" s="1151"/>
      <c r="L56" s="1151">
        <v>155</v>
      </c>
      <c r="M56" s="1151"/>
      <c r="N56" s="668">
        <v>3.9</v>
      </c>
      <c r="O56" s="1147"/>
      <c r="P56" s="668">
        <v>46.582408574669991</v>
      </c>
      <c r="Q56" s="668">
        <f>J56*7/100</f>
        <v>14.7</v>
      </c>
      <c r="R56" s="432">
        <v>1.2929999999999999</v>
      </c>
      <c r="S56" s="432">
        <v>6.5869999999999997</v>
      </c>
      <c r="T56" s="670">
        <v>0</v>
      </c>
      <c r="U56" s="668">
        <f t="shared" si="9"/>
        <v>0</v>
      </c>
      <c r="V56" s="668">
        <f t="shared" si="4"/>
        <v>80.370426597844244</v>
      </c>
      <c r="W56" s="668">
        <v>0.3</v>
      </c>
      <c r="X56" s="432">
        <f t="shared" si="8"/>
        <v>0.4480952380952381</v>
      </c>
      <c r="Y56" s="432">
        <f t="shared" si="5"/>
        <v>1.2736049999999999</v>
      </c>
      <c r="Z56" s="432">
        <f t="shared" si="1"/>
        <v>6.4881949999999993</v>
      </c>
      <c r="AA56" s="670">
        <f t="shared" si="1"/>
        <v>0</v>
      </c>
      <c r="AB56" s="432">
        <f t="shared" si="6"/>
        <v>0</v>
      </c>
      <c r="AC56" s="670">
        <v>0</v>
      </c>
      <c r="AD56" s="1147">
        <v>29</v>
      </c>
      <c r="AE56" s="432">
        <f t="shared" si="7"/>
        <v>36.934545</v>
      </c>
      <c r="AF56" s="669"/>
    </row>
    <row r="57" spans="1:32" ht="18.75" customHeight="1" x14ac:dyDescent="0.2">
      <c r="A57" s="1140">
        <v>43</v>
      </c>
      <c r="B57" s="461" t="s">
        <v>106</v>
      </c>
      <c r="C57" s="1140" t="s">
        <v>46</v>
      </c>
      <c r="D57" s="1140">
        <v>568.11</v>
      </c>
      <c r="E57" s="1140" t="s">
        <v>541</v>
      </c>
      <c r="F57" s="1140">
        <v>177.8</v>
      </c>
      <c r="G57" s="1140" t="s">
        <v>28</v>
      </c>
      <c r="H57" s="1151" t="s">
        <v>542</v>
      </c>
      <c r="I57" s="1149">
        <v>567.65</v>
      </c>
      <c r="J57" s="1151"/>
      <c r="K57" s="1151">
        <v>450</v>
      </c>
      <c r="L57" s="677"/>
      <c r="M57" s="668">
        <v>0.3</v>
      </c>
      <c r="N57" s="677"/>
      <c r="O57" s="1147"/>
      <c r="P57" s="668">
        <v>43.379220197458594</v>
      </c>
      <c r="Q57" s="668">
        <f>(15/100)*J57</f>
        <v>0</v>
      </c>
      <c r="R57" s="432">
        <v>0</v>
      </c>
      <c r="S57" s="432">
        <v>0</v>
      </c>
      <c r="T57" s="670">
        <v>0</v>
      </c>
      <c r="U57" s="668">
        <f t="shared" si="9"/>
        <v>0</v>
      </c>
      <c r="V57" s="668"/>
      <c r="W57" s="668">
        <v>0.3</v>
      </c>
      <c r="X57" s="432">
        <f t="shared" si="8"/>
        <v>0</v>
      </c>
      <c r="Y57" s="432">
        <f t="shared" si="5"/>
        <v>0</v>
      </c>
      <c r="Z57" s="432">
        <f t="shared" si="1"/>
        <v>0</v>
      </c>
      <c r="AA57" s="670">
        <f t="shared" si="1"/>
        <v>0</v>
      </c>
      <c r="AB57" s="432">
        <f t="shared" si="6"/>
        <v>0</v>
      </c>
      <c r="AC57" s="670">
        <f t="shared" si="2"/>
        <v>0</v>
      </c>
      <c r="AD57" s="1147">
        <v>29</v>
      </c>
      <c r="AE57" s="432">
        <f t="shared" si="7"/>
        <v>0</v>
      </c>
      <c r="AF57" s="669" t="s">
        <v>335</v>
      </c>
    </row>
    <row r="58" spans="1:32" ht="18.75" customHeight="1" x14ac:dyDescent="0.2">
      <c r="A58" s="1140">
        <v>44</v>
      </c>
      <c r="B58" s="461" t="s">
        <v>105</v>
      </c>
      <c r="C58" s="1140" t="s">
        <v>46</v>
      </c>
      <c r="D58" s="1140">
        <v>609.6</v>
      </c>
      <c r="E58" s="1140" t="s">
        <v>110</v>
      </c>
      <c r="F58" s="1140">
        <v>177.8</v>
      </c>
      <c r="G58" s="1140" t="s">
        <v>28</v>
      </c>
      <c r="H58" s="1151" t="s">
        <v>48</v>
      </c>
      <c r="I58" s="1149">
        <v>506.61000000000013</v>
      </c>
      <c r="J58" s="1151">
        <v>120</v>
      </c>
      <c r="K58" s="1151"/>
      <c r="L58" s="1149">
        <v>397</v>
      </c>
      <c r="M58" s="668"/>
      <c r="N58" s="668">
        <v>0.2</v>
      </c>
      <c r="O58" s="1147"/>
      <c r="P58" s="668">
        <v>14.547901556494581</v>
      </c>
      <c r="Q58" s="668">
        <f t="shared" si="10"/>
        <v>15.6</v>
      </c>
      <c r="R58" s="432">
        <v>1.363</v>
      </c>
      <c r="S58" s="432">
        <v>2.0979999999999999</v>
      </c>
      <c r="T58" s="670">
        <v>0</v>
      </c>
      <c r="U58" s="668">
        <f t="shared" si="9"/>
        <v>0</v>
      </c>
      <c r="V58" s="668"/>
      <c r="W58" s="668">
        <v>0.3</v>
      </c>
      <c r="X58" s="432">
        <f t="shared" si="8"/>
        <v>0.13448717948717948</v>
      </c>
      <c r="Y58" s="432">
        <f t="shared" si="5"/>
        <v>1.3425549999999999</v>
      </c>
      <c r="Z58" s="432">
        <f t="shared" si="1"/>
        <v>2.0665299999999998</v>
      </c>
      <c r="AA58" s="670">
        <f t="shared" si="1"/>
        <v>0</v>
      </c>
      <c r="AB58" s="432">
        <v>0</v>
      </c>
      <c r="AC58" s="670">
        <v>0</v>
      </c>
      <c r="AD58" s="1147">
        <v>29</v>
      </c>
      <c r="AE58" s="432">
        <f t="shared" si="7"/>
        <v>38.934094999999999</v>
      </c>
      <c r="AF58" s="669"/>
    </row>
    <row r="59" spans="1:32" ht="18.600000000000001" customHeight="1" x14ac:dyDescent="0.3">
      <c r="A59" s="1140">
        <v>45</v>
      </c>
      <c r="B59" s="1137" t="s">
        <v>158</v>
      </c>
      <c r="C59" s="1140" t="s">
        <v>46</v>
      </c>
      <c r="D59" s="1136">
        <v>621.12</v>
      </c>
      <c r="E59" s="1136" t="s">
        <v>232</v>
      </c>
      <c r="F59" s="1140">
        <v>177.8</v>
      </c>
      <c r="G59" s="1140" t="s">
        <v>28</v>
      </c>
      <c r="H59" s="1151" t="s">
        <v>487</v>
      </c>
      <c r="I59" s="1149">
        <v>542.41</v>
      </c>
      <c r="J59" s="1149">
        <v>330</v>
      </c>
      <c r="K59" s="1149"/>
      <c r="L59" s="1149">
        <v>461</v>
      </c>
      <c r="M59" s="1149"/>
      <c r="N59" s="668">
        <v>5.4</v>
      </c>
      <c r="O59" s="1146"/>
      <c r="P59" s="448">
        <v>17.180418442071225</v>
      </c>
      <c r="Q59" s="668">
        <f t="shared" si="10"/>
        <v>49.5</v>
      </c>
      <c r="R59" s="432">
        <v>7.8209999999999997</v>
      </c>
      <c r="S59" s="432">
        <v>11.035</v>
      </c>
      <c r="T59" s="492">
        <v>41</v>
      </c>
      <c r="U59" s="668">
        <f t="shared" si="9"/>
        <v>5.2422963815368879</v>
      </c>
      <c r="V59" s="668">
        <f t="shared" si="4"/>
        <v>29.125509741730866</v>
      </c>
      <c r="W59" s="668">
        <v>0.2</v>
      </c>
      <c r="X59" s="432">
        <f t="shared" si="8"/>
        <v>0.22292929292929292</v>
      </c>
      <c r="Y59" s="432">
        <f t="shared" si="5"/>
        <v>7.7036849999999992</v>
      </c>
      <c r="Z59" s="432">
        <f t="shared" si="1"/>
        <v>10.869475</v>
      </c>
      <c r="AA59" s="670">
        <f t="shared" si="1"/>
        <v>40.384999999999998</v>
      </c>
      <c r="AB59" s="432">
        <f t="shared" si="6"/>
        <v>5.2422963815368879</v>
      </c>
      <c r="AC59" s="670">
        <f t="shared" si="2"/>
        <v>29.125509741730866</v>
      </c>
      <c r="AD59" s="1147">
        <v>29</v>
      </c>
      <c r="AE59" s="432">
        <f>Y59*AD59</f>
        <v>223.40686499999998</v>
      </c>
      <c r="AF59" s="458"/>
    </row>
    <row r="60" spans="1:32" ht="18.75" customHeight="1" x14ac:dyDescent="0.2">
      <c r="A60" s="1140">
        <v>46</v>
      </c>
      <c r="B60" s="1137" t="s">
        <v>160</v>
      </c>
      <c r="C60" s="1140" t="s">
        <v>304</v>
      </c>
      <c r="D60" s="1136">
        <v>677.33</v>
      </c>
      <c r="E60" s="1136" t="s">
        <v>315</v>
      </c>
      <c r="F60" s="1140">
        <v>177.8</v>
      </c>
      <c r="G60" s="1140" t="s">
        <v>28</v>
      </c>
      <c r="H60" s="1151" t="s">
        <v>52</v>
      </c>
      <c r="I60" s="1149">
        <v>599.4400000000004</v>
      </c>
      <c r="J60" s="1149"/>
      <c r="K60" s="1149"/>
      <c r="L60" s="1151"/>
      <c r="M60" s="1149"/>
      <c r="N60" s="668"/>
      <c r="O60" s="1146"/>
      <c r="P60" s="448">
        <v>49.760394055761445</v>
      </c>
      <c r="Q60" s="668">
        <f t="shared" si="10"/>
        <v>0</v>
      </c>
      <c r="R60" s="432">
        <v>0</v>
      </c>
      <c r="S60" s="432">
        <v>0</v>
      </c>
      <c r="T60" s="492">
        <v>0</v>
      </c>
      <c r="U60" s="668">
        <f t="shared" si="9"/>
        <v>0</v>
      </c>
      <c r="V60" s="668"/>
      <c r="W60" s="668">
        <v>0</v>
      </c>
      <c r="X60" s="432">
        <f t="shared" si="8"/>
        <v>0</v>
      </c>
      <c r="Y60" s="432">
        <f t="shared" si="5"/>
        <v>0</v>
      </c>
      <c r="Z60" s="432">
        <f t="shared" si="1"/>
        <v>0</v>
      </c>
      <c r="AA60" s="670">
        <f t="shared" si="1"/>
        <v>0</v>
      </c>
      <c r="AB60" s="432">
        <f t="shared" si="6"/>
        <v>0</v>
      </c>
      <c r="AC60" s="670">
        <f t="shared" si="2"/>
        <v>0</v>
      </c>
      <c r="AD60" s="1147">
        <v>29</v>
      </c>
      <c r="AE60" s="432">
        <f>Y60*AD60</f>
        <v>0</v>
      </c>
      <c r="AF60" s="669" t="s">
        <v>334</v>
      </c>
    </row>
    <row r="61" spans="1:32" ht="18.75" customHeight="1" x14ac:dyDescent="0.2">
      <c r="A61" s="1140">
        <v>47</v>
      </c>
      <c r="B61" s="461" t="s">
        <v>164</v>
      </c>
      <c r="C61" s="1140" t="s">
        <v>46</v>
      </c>
      <c r="D61" s="1136">
        <v>678.47</v>
      </c>
      <c r="E61" s="1136" t="s">
        <v>233</v>
      </c>
      <c r="F61" s="1140">
        <v>177.8</v>
      </c>
      <c r="G61" s="1140" t="s">
        <v>28</v>
      </c>
      <c r="H61" s="1151" t="s">
        <v>487</v>
      </c>
      <c r="I61" s="1149">
        <v>565.48000000000013</v>
      </c>
      <c r="J61" s="493">
        <v>230</v>
      </c>
      <c r="K61" s="1149"/>
      <c r="L61" s="1149">
        <v>302</v>
      </c>
      <c r="M61" s="1149"/>
      <c r="N61" s="668">
        <v>6.6</v>
      </c>
      <c r="O61" s="1146"/>
      <c r="P61" s="668">
        <v>30.910175295823326</v>
      </c>
      <c r="Q61" s="668">
        <f t="shared" si="10"/>
        <v>34.5</v>
      </c>
      <c r="R61" s="432">
        <v>4.42</v>
      </c>
      <c r="S61" s="432">
        <v>21.509</v>
      </c>
      <c r="T61" s="670">
        <v>15</v>
      </c>
      <c r="U61" s="668">
        <f t="shared" si="9"/>
        <v>3.3936651583710407</v>
      </c>
      <c r="V61" s="668">
        <f t="shared" si="4"/>
        <v>79.450462597052393</v>
      </c>
      <c r="W61" s="668">
        <v>0.3</v>
      </c>
      <c r="X61" s="432">
        <f t="shared" si="8"/>
        <v>0.62344927536231887</v>
      </c>
      <c r="Y61" s="432">
        <f t="shared" si="5"/>
        <v>4.3536999999999999</v>
      </c>
      <c r="Z61" s="432">
        <f t="shared" si="1"/>
        <v>21.186364999999999</v>
      </c>
      <c r="AA61" s="670">
        <f t="shared" si="1"/>
        <v>14.775</v>
      </c>
      <c r="AB61" s="432">
        <f t="shared" si="6"/>
        <v>3.3936651583710407</v>
      </c>
      <c r="AC61" s="670">
        <f t="shared" si="2"/>
        <v>79.450462597052393</v>
      </c>
      <c r="AD61" s="1147">
        <v>29</v>
      </c>
      <c r="AE61" s="432">
        <f t="shared" ref="AE61:AE77" si="11">Y61*AD61</f>
        <v>126.2573</v>
      </c>
      <c r="AF61" s="669"/>
    </row>
    <row r="62" spans="1:32" ht="18.75" customHeight="1" x14ac:dyDescent="0.2">
      <c r="A62" s="1140">
        <v>48</v>
      </c>
      <c r="B62" s="461" t="s">
        <v>61</v>
      </c>
      <c r="C62" s="1140" t="s">
        <v>46</v>
      </c>
      <c r="D62" s="1140">
        <v>667.18</v>
      </c>
      <c r="E62" s="1140" t="s">
        <v>96</v>
      </c>
      <c r="F62" s="1140">
        <v>177.8</v>
      </c>
      <c r="G62" s="1140" t="s">
        <v>28</v>
      </c>
      <c r="H62" s="1151" t="s">
        <v>52</v>
      </c>
      <c r="I62" s="1149">
        <v>534.21</v>
      </c>
      <c r="J62" s="1151">
        <v>355</v>
      </c>
      <c r="K62" s="1151"/>
      <c r="L62" s="1151">
        <v>458</v>
      </c>
      <c r="M62" s="1151"/>
      <c r="N62" s="668">
        <v>2.4</v>
      </c>
      <c r="O62" s="1147"/>
      <c r="P62" s="668">
        <v>11.853580617918645</v>
      </c>
      <c r="Q62" s="668">
        <f t="shared" si="10"/>
        <v>78.099999999999994</v>
      </c>
      <c r="R62" s="432">
        <v>6.36</v>
      </c>
      <c r="S62" s="432">
        <v>10.787000000000001</v>
      </c>
      <c r="T62" s="670">
        <v>0</v>
      </c>
      <c r="U62" s="668">
        <f t="shared" si="9"/>
        <v>0</v>
      </c>
      <c r="V62" s="668">
        <f t="shared" si="4"/>
        <v>41.040140910355063</v>
      </c>
      <c r="W62" s="668">
        <v>0.2</v>
      </c>
      <c r="X62" s="432">
        <f t="shared" si="8"/>
        <v>0.1381177976952625</v>
      </c>
      <c r="Y62" s="432">
        <f t="shared" si="5"/>
        <v>6.2646000000000006</v>
      </c>
      <c r="Z62" s="432">
        <f t="shared" si="1"/>
        <v>10.625195000000001</v>
      </c>
      <c r="AA62" s="670">
        <f t="shared" si="1"/>
        <v>0</v>
      </c>
      <c r="AB62" s="432">
        <f t="shared" si="6"/>
        <v>0</v>
      </c>
      <c r="AC62" s="670">
        <f t="shared" si="2"/>
        <v>41.040140910355063</v>
      </c>
      <c r="AD62" s="1147">
        <v>29</v>
      </c>
      <c r="AE62" s="432">
        <f t="shared" si="11"/>
        <v>181.67340000000002</v>
      </c>
      <c r="AF62" s="449"/>
    </row>
    <row r="63" spans="1:32" ht="18.75" customHeight="1" x14ac:dyDescent="0.2">
      <c r="A63" s="1140">
        <v>49</v>
      </c>
      <c r="B63" s="461" t="s">
        <v>64</v>
      </c>
      <c r="C63" s="1140" t="s">
        <v>46</v>
      </c>
      <c r="D63" s="1140">
        <v>672.5</v>
      </c>
      <c r="E63" s="1140" t="s">
        <v>444</v>
      </c>
      <c r="F63" s="1140">
        <v>177.8</v>
      </c>
      <c r="G63" s="1140" t="s">
        <v>28</v>
      </c>
      <c r="H63" s="1151" t="s">
        <v>466</v>
      </c>
      <c r="I63" s="1149">
        <v>521.87000000000012</v>
      </c>
      <c r="J63" s="1151">
        <v>260</v>
      </c>
      <c r="K63" s="1151"/>
      <c r="L63" s="1151">
        <v>427</v>
      </c>
      <c r="M63" s="1151"/>
      <c r="N63" s="668">
        <v>7.8</v>
      </c>
      <c r="O63" s="1147"/>
      <c r="P63" s="668">
        <v>18.349305620607218</v>
      </c>
      <c r="Q63" s="668">
        <f>J63*13/100</f>
        <v>33.799999999999997</v>
      </c>
      <c r="R63" s="432">
        <v>7.1559999999999997</v>
      </c>
      <c r="S63" s="432">
        <v>11.288</v>
      </c>
      <c r="T63" s="670">
        <v>1218</v>
      </c>
      <c r="U63" s="668">
        <f t="shared" si="9"/>
        <v>170.20681945220795</v>
      </c>
      <c r="V63" s="668">
        <f t="shared" si="4"/>
        <v>36.60524450744154</v>
      </c>
      <c r="W63" s="668">
        <v>0.2</v>
      </c>
      <c r="X63" s="432">
        <f t="shared" si="8"/>
        <v>0.33396449704142017</v>
      </c>
      <c r="Y63" s="432">
        <f t="shared" si="5"/>
        <v>7.0486599999999999</v>
      </c>
      <c r="Z63" s="432">
        <f t="shared" si="1"/>
        <v>11.118679999999999</v>
      </c>
      <c r="AA63" s="670">
        <f t="shared" si="1"/>
        <v>1199.73</v>
      </c>
      <c r="AB63" s="432">
        <f t="shared" si="6"/>
        <v>170.20681945220795</v>
      </c>
      <c r="AC63" s="670">
        <f t="shared" si="2"/>
        <v>36.60524450744154</v>
      </c>
      <c r="AD63" s="1147">
        <v>29</v>
      </c>
      <c r="AE63" s="432">
        <f t="shared" si="11"/>
        <v>204.41113999999999</v>
      </c>
      <c r="AF63" s="449"/>
    </row>
    <row r="64" spans="1:32" ht="18.75" customHeight="1" x14ac:dyDescent="0.2">
      <c r="A64" s="1140">
        <v>50</v>
      </c>
      <c r="B64" s="461" t="s">
        <v>156</v>
      </c>
      <c r="C64" s="1140" t="s">
        <v>558</v>
      </c>
      <c r="D64" s="1140">
        <v>679.54</v>
      </c>
      <c r="E64" s="1140" t="s">
        <v>557</v>
      </c>
      <c r="F64" s="1140">
        <v>177.8</v>
      </c>
      <c r="G64" s="1140" t="s">
        <v>28</v>
      </c>
      <c r="H64" s="1151" t="s">
        <v>466</v>
      </c>
      <c r="I64" s="1149">
        <v>510.67</v>
      </c>
      <c r="J64" s="1151">
        <v>240</v>
      </c>
      <c r="K64" s="1151"/>
      <c r="L64" s="1151">
        <v>408</v>
      </c>
      <c r="M64" s="1151"/>
      <c r="N64" s="668">
        <v>3.4</v>
      </c>
      <c r="O64" s="1147"/>
      <c r="P64" s="668">
        <v>17.5</v>
      </c>
      <c r="Q64" s="668">
        <f>J64*13/100</f>
        <v>31.2</v>
      </c>
      <c r="R64" s="432">
        <v>4.6980000000000004</v>
      </c>
      <c r="S64" s="432">
        <v>10.391999999999999</v>
      </c>
      <c r="T64" s="670">
        <v>48</v>
      </c>
      <c r="U64" s="668"/>
      <c r="V64" s="668">
        <f t="shared" si="4"/>
        <v>54.792147806004614</v>
      </c>
      <c r="W64" s="668"/>
      <c r="X64" s="432">
        <f t="shared" si="8"/>
        <v>0.33307692307692305</v>
      </c>
      <c r="Y64" s="432"/>
      <c r="Z64" s="432"/>
      <c r="AA64" s="670"/>
      <c r="AB64" s="432"/>
      <c r="AC64" s="670"/>
      <c r="AD64" s="1140"/>
      <c r="AE64" s="432"/>
      <c r="AF64" s="449"/>
    </row>
    <row r="65" spans="1:32" ht="18.75" customHeight="1" x14ac:dyDescent="0.2">
      <c r="A65" s="1140">
        <v>51</v>
      </c>
      <c r="B65" s="461" t="s">
        <v>169</v>
      </c>
      <c r="C65" s="1140" t="s">
        <v>46</v>
      </c>
      <c r="D65" s="1140">
        <v>647.37</v>
      </c>
      <c r="E65" s="1140" t="s">
        <v>463</v>
      </c>
      <c r="F65" s="1140">
        <v>177.8</v>
      </c>
      <c r="G65" s="1140" t="s">
        <v>28</v>
      </c>
      <c r="H65" s="1151" t="s">
        <v>466</v>
      </c>
      <c r="I65" s="1149">
        <v>538.92999999999995</v>
      </c>
      <c r="J65" s="1151">
        <v>280</v>
      </c>
      <c r="K65" s="1151"/>
      <c r="L65" s="1151">
        <v>413</v>
      </c>
      <c r="M65" s="1151"/>
      <c r="N65" s="668">
        <v>0.7</v>
      </c>
      <c r="O65" s="1147"/>
      <c r="P65" s="668">
        <v>22.592631529250138</v>
      </c>
      <c r="Q65" s="668">
        <f>J65*13/100</f>
        <v>36.4</v>
      </c>
      <c r="R65" s="432">
        <v>3.9329999999999998</v>
      </c>
      <c r="S65" s="432">
        <v>7.4219999999999997</v>
      </c>
      <c r="T65" s="670">
        <v>0</v>
      </c>
      <c r="U65" s="668">
        <f t="shared" si="9"/>
        <v>0</v>
      </c>
      <c r="V65" s="668">
        <f t="shared" si="4"/>
        <v>47.00889248181084</v>
      </c>
      <c r="W65" s="668">
        <v>0.3</v>
      </c>
      <c r="X65" s="432">
        <f t="shared" si="8"/>
        <v>0.20390109890109889</v>
      </c>
      <c r="Y65" s="432">
        <f t="shared" si="5"/>
        <v>3.8740049999999999</v>
      </c>
      <c r="Z65" s="432">
        <f t="shared" si="1"/>
        <v>7.31067</v>
      </c>
      <c r="AA65" s="670">
        <f t="shared" si="1"/>
        <v>0</v>
      </c>
      <c r="AB65" s="432">
        <f t="shared" si="6"/>
        <v>0</v>
      </c>
      <c r="AC65" s="670">
        <f t="shared" si="2"/>
        <v>47.00889248181084</v>
      </c>
      <c r="AD65" s="1140">
        <v>29</v>
      </c>
      <c r="AE65" s="432">
        <f>Y65*AD65</f>
        <v>112.34614499999999</v>
      </c>
      <c r="AF65" s="449"/>
    </row>
    <row r="66" spans="1:32" ht="18.75" customHeight="1" x14ac:dyDescent="0.2">
      <c r="A66" s="1140">
        <v>52</v>
      </c>
      <c r="B66" s="461" t="s">
        <v>62</v>
      </c>
      <c r="C66" s="1140" t="s">
        <v>46</v>
      </c>
      <c r="D66" s="1140">
        <v>673.73</v>
      </c>
      <c r="E66" s="1140" t="s">
        <v>97</v>
      </c>
      <c r="F66" s="1140">
        <v>177.8</v>
      </c>
      <c r="G66" s="1140" t="s">
        <v>28</v>
      </c>
      <c r="H66" s="1151" t="s">
        <v>551</v>
      </c>
      <c r="I66" s="1149">
        <v>541.07000000000005</v>
      </c>
      <c r="J66" s="1151">
        <v>250</v>
      </c>
      <c r="K66" s="1151"/>
      <c r="L66" s="1151">
        <v>428</v>
      </c>
      <c r="M66" s="1151"/>
      <c r="N66" s="668">
        <v>9.6</v>
      </c>
      <c r="O66" s="1147"/>
      <c r="P66" s="668">
        <v>13.670917843043933</v>
      </c>
      <c r="Q66" s="668">
        <f>(22/100)*J66</f>
        <v>55</v>
      </c>
      <c r="R66" s="432">
        <v>13.2</v>
      </c>
      <c r="S66" s="432">
        <v>30.245000000000001</v>
      </c>
      <c r="T66" s="670">
        <v>183</v>
      </c>
      <c r="U66" s="668">
        <f t="shared" si="9"/>
        <v>13.863636363636365</v>
      </c>
      <c r="V66" s="668">
        <f t="shared" si="4"/>
        <v>56.356422549181687</v>
      </c>
      <c r="W66" s="668">
        <v>0.3</v>
      </c>
      <c r="X66" s="432">
        <f t="shared" si="8"/>
        <v>0.5499090909090909</v>
      </c>
      <c r="Y66" s="432">
        <f t="shared" si="5"/>
        <v>13.001999999999999</v>
      </c>
      <c r="Z66" s="432">
        <f t="shared" si="1"/>
        <v>29.791325000000001</v>
      </c>
      <c r="AA66" s="670">
        <f t="shared" si="1"/>
        <v>180.255</v>
      </c>
      <c r="AB66" s="432">
        <f t="shared" si="6"/>
        <v>13.863636363636365</v>
      </c>
      <c r="AC66" s="670">
        <f t="shared" si="2"/>
        <v>56.356422549181687</v>
      </c>
      <c r="AD66" s="1147">
        <v>29</v>
      </c>
      <c r="AE66" s="432">
        <f t="shared" si="11"/>
        <v>377.05799999999999</v>
      </c>
      <c r="AF66" s="669"/>
    </row>
    <row r="67" spans="1:32" ht="18.75" customHeight="1" x14ac:dyDescent="0.2">
      <c r="A67" s="1140">
        <v>53</v>
      </c>
      <c r="B67" s="461" t="s">
        <v>157</v>
      </c>
      <c r="C67" s="1140" t="s">
        <v>46</v>
      </c>
      <c r="D67" s="1140">
        <v>676.73</v>
      </c>
      <c r="E67" s="1140" t="s">
        <v>543</v>
      </c>
      <c r="F67" s="1140">
        <v>177.8</v>
      </c>
      <c r="G67" s="1140" t="s">
        <v>28</v>
      </c>
      <c r="H67" s="1151" t="s">
        <v>466</v>
      </c>
      <c r="I67" s="1149">
        <v>538.54</v>
      </c>
      <c r="J67" s="1074">
        <v>110</v>
      </c>
      <c r="K67" s="1151"/>
      <c r="L67" s="1151">
        <v>171</v>
      </c>
      <c r="M67" s="668"/>
      <c r="N67" s="668">
        <v>11.1</v>
      </c>
      <c r="O67" s="1147"/>
      <c r="P67" s="668">
        <v>44.627710802021632</v>
      </c>
      <c r="Q67" s="668">
        <f>(13/100)*J67</f>
        <v>14.3</v>
      </c>
      <c r="R67" s="432">
        <v>2.9180000000000001</v>
      </c>
      <c r="S67" s="432">
        <v>12.464</v>
      </c>
      <c r="T67" s="670">
        <v>0</v>
      </c>
      <c r="U67" s="668">
        <f t="shared" si="9"/>
        <v>0</v>
      </c>
      <c r="V67" s="668"/>
      <c r="W67" s="668">
        <v>0.3</v>
      </c>
      <c r="X67" s="432">
        <f t="shared" si="8"/>
        <v>0.87160839160839154</v>
      </c>
      <c r="Y67" s="432">
        <f t="shared" si="5"/>
        <v>2.8742300000000003</v>
      </c>
      <c r="Z67" s="432">
        <f t="shared" si="1"/>
        <v>12.27704</v>
      </c>
      <c r="AA67" s="670">
        <f t="shared" si="1"/>
        <v>0</v>
      </c>
      <c r="AB67" s="432">
        <f t="shared" si="6"/>
        <v>0</v>
      </c>
      <c r="AC67" s="670">
        <f t="shared" si="2"/>
        <v>0</v>
      </c>
      <c r="AD67" s="1147">
        <v>29</v>
      </c>
      <c r="AE67" s="432">
        <f t="shared" si="11"/>
        <v>83.352670000000003</v>
      </c>
      <c r="AF67" s="676"/>
    </row>
    <row r="68" spans="1:32" ht="18.75" customHeight="1" x14ac:dyDescent="0.2">
      <c r="A68" s="1140">
        <v>54</v>
      </c>
      <c r="B68" s="461" t="s">
        <v>159</v>
      </c>
      <c r="C68" s="1140" t="s">
        <v>46</v>
      </c>
      <c r="D68" s="1140">
        <v>676</v>
      </c>
      <c r="E68" s="1140" t="s">
        <v>167</v>
      </c>
      <c r="F68" s="1140">
        <v>177.8</v>
      </c>
      <c r="G68" s="1140" t="s">
        <v>28</v>
      </c>
      <c r="H68" s="1151" t="s">
        <v>342</v>
      </c>
      <c r="I68" s="1149">
        <v>509.61000000000024</v>
      </c>
      <c r="J68" s="1074">
        <v>360</v>
      </c>
      <c r="K68" s="1151"/>
      <c r="L68" s="1151">
        <v>464</v>
      </c>
      <c r="M68" s="1151"/>
      <c r="N68" s="668">
        <v>7.4</v>
      </c>
      <c r="O68" s="1147"/>
      <c r="P68" s="668">
        <v>14.607036957052339</v>
      </c>
      <c r="Q68" s="668">
        <f>(20*J68)/100</f>
        <v>72</v>
      </c>
      <c r="R68" s="432">
        <v>15.103999999999999</v>
      </c>
      <c r="S68" s="432">
        <v>18.725999999999999</v>
      </c>
      <c r="T68" s="670">
        <v>337</v>
      </c>
      <c r="U68" s="668">
        <f t="shared" si="9"/>
        <v>22.311970338983052</v>
      </c>
      <c r="V68" s="668">
        <f t="shared" si="4"/>
        <v>19.342091210082231</v>
      </c>
      <c r="W68" s="668">
        <v>0.3</v>
      </c>
      <c r="X68" s="432">
        <f t="shared" si="8"/>
        <v>0.26008333333333333</v>
      </c>
      <c r="Y68" s="432">
        <f t="shared" si="5"/>
        <v>14.877439999999998</v>
      </c>
      <c r="Z68" s="432">
        <f t="shared" si="1"/>
        <v>18.44511</v>
      </c>
      <c r="AA68" s="670">
        <f t="shared" si="1"/>
        <v>331.94499999999999</v>
      </c>
      <c r="AB68" s="432">
        <f t="shared" si="6"/>
        <v>22.311970338983052</v>
      </c>
      <c r="AC68" s="670">
        <f t="shared" si="2"/>
        <v>19.342091210082231</v>
      </c>
      <c r="AD68" s="1147">
        <v>29</v>
      </c>
      <c r="AE68" s="432">
        <f t="shared" si="11"/>
        <v>431.44575999999995</v>
      </c>
      <c r="AF68" s="669"/>
    </row>
    <row r="69" spans="1:32" ht="18.75" customHeight="1" x14ac:dyDescent="0.2">
      <c r="A69" s="1140">
        <v>55</v>
      </c>
      <c r="B69" s="461" t="s">
        <v>330</v>
      </c>
      <c r="C69" s="1140" t="s">
        <v>46</v>
      </c>
      <c r="D69" s="1140">
        <v>595</v>
      </c>
      <c r="E69" s="1140" t="s">
        <v>367</v>
      </c>
      <c r="F69" s="1140">
        <v>178.8</v>
      </c>
      <c r="G69" s="1140" t="s">
        <v>28</v>
      </c>
      <c r="H69" s="1151" t="s">
        <v>49</v>
      </c>
      <c r="I69" s="1149">
        <v>499.34</v>
      </c>
      <c r="J69" s="1074">
        <v>310</v>
      </c>
      <c r="K69" s="1151"/>
      <c r="L69" s="1151">
        <v>460</v>
      </c>
      <c r="M69" s="1151"/>
      <c r="N69" s="668">
        <v>9.8000000000000007</v>
      </c>
      <c r="O69" s="1147"/>
      <c r="P69" s="668">
        <v>18.207758566485918</v>
      </c>
      <c r="Q69" s="668">
        <f>J69*32/100</f>
        <v>99.2</v>
      </c>
      <c r="R69" s="432">
        <v>24.468</v>
      </c>
      <c r="S69" s="432">
        <v>28.588999999999999</v>
      </c>
      <c r="T69" s="670">
        <v>651</v>
      </c>
      <c r="U69" s="668">
        <f t="shared" si="9"/>
        <v>26.606179499754781</v>
      </c>
      <c r="V69" s="668">
        <f t="shared" si="4"/>
        <v>14.414634999475311</v>
      </c>
      <c r="W69" s="668">
        <v>0.2</v>
      </c>
      <c r="X69" s="432">
        <f t="shared" si="8"/>
        <v>0.28819556451612899</v>
      </c>
      <c r="Y69" s="432">
        <f t="shared" si="5"/>
        <v>24.10098</v>
      </c>
      <c r="Z69" s="432">
        <f t="shared" si="1"/>
        <v>28.160164999999999</v>
      </c>
      <c r="AA69" s="670">
        <f t="shared" si="1"/>
        <v>641.23500000000001</v>
      </c>
      <c r="AB69" s="432">
        <v>20</v>
      </c>
      <c r="AC69" s="670">
        <v>17</v>
      </c>
      <c r="AD69" s="1147">
        <v>29</v>
      </c>
      <c r="AE69" s="432">
        <f t="shared" si="11"/>
        <v>698.92841999999996</v>
      </c>
      <c r="AF69" s="669"/>
    </row>
    <row r="70" spans="1:32" ht="18.75" customHeight="1" x14ac:dyDescent="0.2">
      <c r="A70" s="1140">
        <v>56</v>
      </c>
      <c r="B70" s="461" t="s">
        <v>210</v>
      </c>
      <c r="C70" s="1140" t="s">
        <v>46</v>
      </c>
      <c r="D70" s="1140">
        <v>728.32</v>
      </c>
      <c r="E70" s="1140" t="s">
        <v>226</v>
      </c>
      <c r="F70" s="1140">
        <v>177.8</v>
      </c>
      <c r="G70" s="1140" t="s">
        <v>28</v>
      </c>
      <c r="H70" s="1151" t="s">
        <v>491</v>
      </c>
      <c r="I70" s="1149">
        <v>518.75</v>
      </c>
      <c r="J70" s="1074">
        <v>320</v>
      </c>
      <c r="K70" s="1151"/>
      <c r="L70" s="1151">
        <v>165</v>
      </c>
      <c r="M70" s="1151"/>
      <c r="N70" s="668">
        <v>10.5</v>
      </c>
      <c r="O70" s="1147"/>
      <c r="P70" s="668">
        <v>46.592814734748103</v>
      </c>
      <c r="Q70" s="668">
        <f t="shared" si="10"/>
        <v>73.599999999999994</v>
      </c>
      <c r="R70" s="432">
        <v>7.1589999999999998</v>
      </c>
      <c r="S70" s="432">
        <v>52.307000000000002</v>
      </c>
      <c r="T70" s="670">
        <v>59</v>
      </c>
      <c r="U70" s="668">
        <f t="shared" si="9"/>
        <v>8.2413744936443631</v>
      </c>
      <c r="V70" s="668">
        <f t="shared" si="4"/>
        <v>86.313495325673429</v>
      </c>
      <c r="W70" s="668">
        <v>0.3</v>
      </c>
      <c r="X70" s="432">
        <f t="shared" si="8"/>
        <v>0.71069293478260875</v>
      </c>
      <c r="Y70" s="432">
        <f t="shared" si="5"/>
        <v>7.051615</v>
      </c>
      <c r="Z70" s="432">
        <f t="shared" si="1"/>
        <v>51.522395000000003</v>
      </c>
      <c r="AA70" s="670">
        <f t="shared" si="1"/>
        <v>58.115000000000002</v>
      </c>
      <c r="AB70" s="432">
        <f t="shared" si="6"/>
        <v>8.2413744936443631</v>
      </c>
      <c r="AC70" s="670">
        <f t="shared" si="2"/>
        <v>86.313495325673429</v>
      </c>
      <c r="AD70" s="1147">
        <v>29</v>
      </c>
      <c r="AE70" s="432">
        <f t="shared" si="11"/>
        <v>204.496835</v>
      </c>
      <c r="AF70" s="449"/>
    </row>
    <row r="71" spans="1:32" ht="18.75" customHeight="1" x14ac:dyDescent="0.2">
      <c r="A71" s="1140">
        <v>57</v>
      </c>
      <c r="B71" s="461" t="s">
        <v>63</v>
      </c>
      <c r="C71" s="1140" t="s">
        <v>46</v>
      </c>
      <c r="D71" s="1140">
        <v>672.99</v>
      </c>
      <c r="E71" s="1140" t="s">
        <v>98</v>
      </c>
      <c r="F71" s="1140">
        <v>177.8</v>
      </c>
      <c r="G71" s="1140" t="s">
        <v>28</v>
      </c>
      <c r="H71" s="1151" t="s">
        <v>310</v>
      </c>
      <c r="I71" s="1149">
        <v>536.32000000000005</v>
      </c>
      <c r="J71" s="1074">
        <v>350</v>
      </c>
      <c r="K71" s="1151"/>
      <c r="L71" s="1151">
        <v>452</v>
      </c>
      <c r="M71" s="1151"/>
      <c r="N71" s="668">
        <v>3.9</v>
      </c>
      <c r="O71" s="1147"/>
      <c r="P71" s="668">
        <v>16.559442271400446</v>
      </c>
      <c r="Q71" s="668">
        <f t="shared" si="10"/>
        <v>77</v>
      </c>
      <c r="R71" s="432">
        <v>17.64</v>
      </c>
      <c r="S71" s="432">
        <v>23.126999999999999</v>
      </c>
      <c r="T71" s="670">
        <v>112</v>
      </c>
      <c r="U71" s="668">
        <f t="shared" si="9"/>
        <v>6.3492063492063489</v>
      </c>
      <c r="V71" s="668">
        <f t="shared" si="4"/>
        <v>23.725515631080555</v>
      </c>
      <c r="W71" s="668">
        <v>0.3</v>
      </c>
      <c r="X71" s="432">
        <f t="shared" si="8"/>
        <v>0.30035064935064931</v>
      </c>
      <c r="Y71" s="432">
        <f t="shared" si="5"/>
        <v>17.375399999999999</v>
      </c>
      <c r="Z71" s="432">
        <f t="shared" si="1"/>
        <v>22.780094999999999</v>
      </c>
      <c r="AA71" s="670">
        <f t="shared" si="1"/>
        <v>110.32</v>
      </c>
      <c r="AB71" s="432">
        <f t="shared" si="6"/>
        <v>6.3492063492063489</v>
      </c>
      <c r="AC71" s="670">
        <f t="shared" si="2"/>
        <v>23.725515631080555</v>
      </c>
      <c r="AD71" s="1147">
        <v>29</v>
      </c>
      <c r="AE71" s="432">
        <f t="shared" si="11"/>
        <v>503.88659999999999</v>
      </c>
      <c r="AF71" s="449"/>
    </row>
    <row r="72" spans="1:32" ht="18.75" customHeight="1" x14ac:dyDescent="0.2">
      <c r="A72" s="1140">
        <v>58</v>
      </c>
      <c r="B72" s="461" t="s">
        <v>217</v>
      </c>
      <c r="C72" s="1140" t="s">
        <v>537</v>
      </c>
      <c r="D72" s="1140">
        <v>684.57</v>
      </c>
      <c r="E72" s="1140" t="s">
        <v>544</v>
      </c>
      <c r="F72" s="1140">
        <v>177.8</v>
      </c>
      <c r="G72" s="1140" t="s">
        <v>28</v>
      </c>
      <c r="H72" s="1151" t="s">
        <v>219</v>
      </c>
      <c r="I72" s="1149">
        <v>271.50999999999988</v>
      </c>
      <c r="J72" s="1074"/>
      <c r="K72" s="1151"/>
      <c r="L72" s="1151"/>
      <c r="M72" s="1151">
        <v>4.8</v>
      </c>
      <c r="N72" s="668"/>
      <c r="O72" s="1147"/>
      <c r="P72" s="668">
        <v>57.087002555419943</v>
      </c>
      <c r="Q72" s="668">
        <f t="shared" si="10"/>
        <v>0</v>
      </c>
      <c r="R72" s="432">
        <v>0</v>
      </c>
      <c r="S72" s="432">
        <v>0</v>
      </c>
      <c r="T72" s="670">
        <v>0</v>
      </c>
      <c r="U72" s="668">
        <f t="shared" si="9"/>
        <v>0</v>
      </c>
      <c r="V72" s="668"/>
      <c r="W72" s="668">
        <v>0.3</v>
      </c>
      <c r="X72" s="432">
        <v>0</v>
      </c>
      <c r="Y72" s="432">
        <f t="shared" si="5"/>
        <v>0</v>
      </c>
      <c r="Z72" s="432">
        <f t="shared" si="1"/>
        <v>0</v>
      </c>
      <c r="AA72" s="670">
        <f t="shared" si="1"/>
        <v>0</v>
      </c>
      <c r="AB72" s="432">
        <f t="shared" si="6"/>
        <v>0</v>
      </c>
      <c r="AC72" s="670">
        <f t="shared" si="2"/>
        <v>0</v>
      </c>
      <c r="AD72" s="1147">
        <v>29</v>
      </c>
      <c r="AE72" s="432">
        <f t="shared" si="11"/>
        <v>0</v>
      </c>
      <c r="AF72" s="449" t="s">
        <v>334</v>
      </c>
    </row>
    <row r="73" spans="1:32" ht="18.75" customHeight="1" x14ac:dyDescent="0.2">
      <c r="A73" s="1140">
        <v>59</v>
      </c>
      <c r="B73" s="461" t="s">
        <v>211</v>
      </c>
      <c r="C73" s="1140" t="s">
        <v>46</v>
      </c>
      <c r="D73" s="1140">
        <v>675.29</v>
      </c>
      <c r="E73" s="1140" t="s">
        <v>224</v>
      </c>
      <c r="F73" s="1140">
        <v>177.8</v>
      </c>
      <c r="G73" s="1140" t="s">
        <v>28</v>
      </c>
      <c r="H73" s="1151" t="s">
        <v>384</v>
      </c>
      <c r="I73" s="1149">
        <v>554.95999999999981</v>
      </c>
      <c r="J73" s="1074">
        <v>310</v>
      </c>
      <c r="K73" s="1151"/>
      <c r="L73" s="1151">
        <v>455</v>
      </c>
      <c r="M73" s="1151"/>
      <c r="N73" s="668">
        <v>5.7</v>
      </c>
      <c r="O73" s="1147"/>
      <c r="P73" s="668">
        <v>15.575074807056675</v>
      </c>
      <c r="Q73" s="668">
        <f>(22*J73)/100</f>
        <v>68.2</v>
      </c>
      <c r="R73" s="432">
        <v>2.9319999999999999</v>
      </c>
      <c r="S73" s="432">
        <v>7.4880000000000004</v>
      </c>
      <c r="T73" s="670">
        <v>12</v>
      </c>
      <c r="U73" s="668">
        <f t="shared" si="9"/>
        <v>4.0927694406548429</v>
      </c>
      <c r="V73" s="668">
        <f t="shared" si="4"/>
        <v>60.844017094017097</v>
      </c>
      <c r="W73" s="668">
        <v>0.3</v>
      </c>
      <c r="X73" s="432">
        <f t="shared" si="8"/>
        <v>0.10979472140762464</v>
      </c>
      <c r="Y73" s="432">
        <f t="shared" si="5"/>
        <v>2.88802</v>
      </c>
      <c r="Z73" s="432">
        <f t="shared" si="1"/>
        <v>7.37568</v>
      </c>
      <c r="AA73" s="670">
        <f t="shared" si="1"/>
        <v>11.82</v>
      </c>
      <c r="AB73" s="432">
        <f t="shared" si="6"/>
        <v>4.0927694406548429</v>
      </c>
      <c r="AC73" s="670">
        <f t="shared" si="2"/>
        <v>60.844017094017097</v>
      </c>
      <c r="AD73" s="1147">
        <v>29</v>
      </c>
      <c r="AE73" s="432">
        <f t="shared" si="11"/>
        <v>83.752579999999995</v>
      </c>
      <c r="AF73" s="449"/>
    </row>
    <row r="74" spans="1:32" ht="18.600000000000001" customHeight="1" x14ac:dyDescent="0.2">
      <c r="A74" s="1140">
        <v>60</v>
      </c>
      <c r="B74" s="461" t="s">
        <v>341</v>
      </c>
      <c r="C74" s="1140" t="s">
        <v>46</v>
      </c>
      <c r="D74" s="1140">
        <v>683.16</v>
      </c>
      <c r="E74" s="1140" t="s">
        <v>343</v>
      </c>
      <c r="F74" s="1140">
        <v>177.8</v>
      </c>
      <c r="G74" s="1140" t="s">
        <v>28</v>
      </c>
      <c r="H74" s="1151" t="s">
        <v>342</v>
      </c>
      <c r="I74" s="1149">
        <v>571.9</v>
      </c>
      <c r="J74" s="1074">
        <v>312</v>
      </c>
      <c r="K74" s="1151"/>
      <c r="L74" s="1151">
        <v>416</v>
      </c>
      <c r="M74" s="1151"/>
      <c r="N74" s="668">
        <v>10</v>
      </c>
      <c r="O74" s="1147"/>
      <c r="P74" s="668">
        <v>30.933440241759644</v>
      </c>
      <c r="Q74" s="668">
        <f>(20*J74)/100</f>
        <v>62.4</v>
      </c>
      <c r="R74" s="432">
        <v>19.559999999999999</v>
      </c>
      <c r="S74" s="432">
        <v>36.295000000000002</v>
      </c>
      <c r="T74" s="670">
        <v>281</v>
      </c>
      <c r="U74" s="668">
        <f t="shared" si="9"/>
        <v>14.366053169734153</v>
      </c>
      <c r="V74" s="668">
        <f t="shared" si="4"/>
        <v>46.108279377324699</v>
      </c>
      <c r="W74" s="668">
        <v>0.3</v>
      </c>
      <c r="X74" s="432">
        <f t="shared" si="8"/>
        <v>0.58165064102564101</v>
      </c>
      <c r="Y74" s="432">
        <f t="shared" si="5"/>
        <v>19.266599999999997</v>
      </c>
      <c r="Z74" s="432">
        <f t="shared" si="1"/>
        <v>35.750574999999998</v>
      </c>
      <c r="AA74" s="670">
        <f t="shared" si="1"/>
        <v>276.78499999999997</v>
      </c>
      <c r="AB74" s="432">
        <f t="shared" si="6"/>
        <v>14.366053169734153</v>
      </c>
      <c r="AC74" s="670">
        <f t="shared" si="2"/>
        <v>46.108279377324699</v>
      </c>
      <c r="AD74" s="1147">
        <v>29</v>
      </c>
      <c r="AE74" s="432">
        <f t="shared" si="11"/>
        <v>558.73139999999989</v>
      </c>
      <c r="AF74" s="449"/>
    </row>
    <row r="75" spans="1:32" ht="18.75" customHeight="1" x14ac:dyDescent="0.2">
      <c r="A75" s="1140">
        <v>61</v>
      </c>
      <c r="B75" s="461" t="s">
        <v>354</v>
      </c>
      <c r="C75" s="1140" t="s">
        <v>46</v>
      </c>
      <c r="D75" s="1140">
        <v>564.06999999999982</v>
      </c>
      <c r="E75" s="832" t="s">
        <v>545</v>
      </c>
      <c r="F75" s="1140">
        <v>178.8</v>
      </c>
      <c r="G75" s="1140" t="s">
        <v>28</v>
      </c>
      <c r="H75" s="1151" t="s">
        <v>491</v>
      </c>
      <c r="I75" s="1149">
        <v>541.77</v>
      </c>
      <c r="J75" s="1074">
        <v>340</v>
      </c>
      <c r="K75" s="1151"/>
      <c r="L75" s="1151">
        <v>211</v>
      </c>
      <c r="M75" s="1151"/>
      <c r="N75" s="668">
        <v>11.4</v>
      </c>
      <c r="O75" s="1147"/>
      <c r="P75" s="668">
        <v>36.785788808815667</v>
      </c>
      <c r="Q75" s="668">
        <f>(23/100)*J75</f>
        <v>78.2</v>
      </c>
      <c r="R75" s="432">
        <v>8.2940000000000005</v>
      </c>
      <c r="S75" s="432">
        <v>37.677</v>
      </c>
      <c r="T75" s="670">
        <v>30</v>
      </c>
      <c r="U75" s="668">
        <f t="shared" si="9"/>
        <v>3.6170725825898238</v>
      </c>
      <c r="V75" s="668">
        <f t="shared" si="4"/>
        <v>77.986570056002336</v>
      </c>
      <c r="W75" s="668">
        <v>0.3</v>
      </c>
      <c r="X75" s="432">
        <f t="shared" si="8"/>
        <v>0.4818030690537084</v>
      </c>
      <c r="Y75" s="432">
        <f t="shared" si="5"/>
        <v>8.1695900000000012</v>
      </c>
      <c r="Z75" s="432">
        <f t="shared" si="1"/>
        <v>37.111845000000002</v>
      </c>
      <c r="AA75" s="670">
        <f t="shared" si="1"/>
        <v>29.55</v>
      </c>
      <c r="AB75" s="432">
        <f t="shared" si="6"/>
        <v>3.6170725825898238</v>
      </c>
      <c r="AC75" s="670">
        <f t="shared" si="2"/>
        <v>77.986570056002336</v>
      </c>
      <c r="AD75" s="1147">
        <v>29</v>
      </c>
      <c r="AE75" s="432">
        <f t="shared" si="11"/>
        <v>236.91811000000004</v>
      </c>
      <c r="AF75" s="449"/>
    </row>
    <row r="76" spans="1:32" ht="18.75" customHeight="1" x14ac:dyDescent="0.2">
      <c r="A76" s="1140">
        <v>62</v>
      </c>
      <c r="B76" s="461" t="s">
        <v>423</v>
      </c>
      <c r="C76" s="1140" t="s">
        <v>46</v>
      </c>
      <c r="D76" s="1140">
        <v>572.0200000000001</v>
      </c>
      <c r="E76" s="1106" t="s">
        <v>546</v>
      </c>
      <c r="F76" s="1140">
        <v>179.8</v>
      </c>
      <c r="G76" s="1140" t="s">
        <v>28</v>
      </c>
      <c r="H76" s="550" t="s">
        <v>466</v>
      </c>
      <c r="I76" s="1149">
        <v>572.02</v>
      </c>
      <c r="J76" s="1074">
        <v>350</v>
      </c>
      <c r="K76" s="1151"/>
      <c r="L76" s="1151">
        <v>526</v>
      </c>
      <c r="M76" s="1151"/>
      <c r="N76" s="668">
        <v>11.4</v>
      </c>
      <c r="O76" s="1147"/>
      <c r="P76" s="668">
        <v>13.966371257707081</v>
      </c>
      <c r="Q76" s="668">
        <f>(13/100)*J76</f>
        <v>45.5</v>
      </c>
      <c r="R76" s="432">
        <v>23.626999999999999</v>
      </c>
      <c r="S76" s="432">
        <v>24.628</v>
      </c>
      <c r="T76" s="670">
        <v>296</v>
      </c>
      <c r="U76" s="668">
        <f t="shared" si="9"/>
        <v>12.528039954289584</v>
      </c>
      <c r="V76" s="668">
        <f t="shared" si="4"/>
        <v>4.0644794542796916</v>
      </c>
      <c r="W76" s="668">
        <v>0.2</v>
      </c>
      <c r="X76" s="432">
        <f t="shared" si="8"/>
        <v>0.54127472527472531</v>
      </c>
      <c r="Y76" s="432">
        <f t="shared" si="5"/>
        <v>23.272594999999999</v>
      </c>
      <c r="Z76" s="432">
        <f t="shared" si="1"/>
        <v>24.258579999999998</v>
      </c>
      <c r="AA76" s="670">
        <f t="shared" si="1"/>
        <v>291.56</v>
      </c>
      <c r="AB76" s="432">
        <f t="shared" si="6"/>
        <v>12.528039954289584</v>
      </c>
      <c r="AC76" s="670">
        <f t="shared" si="2"/>
        <v>4.0644794542796916</v>
      </c>
      <c r="AD76" s="1140"/>
      <c r="AE76" s="432"/>
      <c r="AF76" s="449"/>
    </row>
    <row r="77" spans="1:32" ht="18.75" customHeight="1" x14ac:dyDescent="0.2">
      <c r="A77" s="1140">
        <v>63</v>
      </c>
      <c r="B77" s="461" t="s">
        <v>213</v>
      </c>
      <c r="C77" s="1140" t="s">
        <v>46</v>
      </c>
      <c r="D77" s="1140">
        <v>690.8</v>
      </c>
      <c r="E77" s="1140" t="s">
        <v>497</v>
      </c>
      <c r="F77" s="1140">
        <v>177.8</v>
      </c>
      <c r="G77" s="1140" t="s">
        <v>28</v>
      </c>
      <c r="H77" s="1151" t="s">
        <v>487</v>
      </c>
      <c r="I77" s="1149">
        <v>605.00000000000011</v>
      </c>
      <c r="J77" s="1074">
        <v>330</v>
      </c>
      <c r="K77" s="1151"/>
      <c r="L77" s="1151">
        <v>527</v>
      </c>
      <c r="M77" s="1151"/>
      <c r="N77" s="668">
        <v>6.2</v>
      </c>
      <c r="O77" s="1147"/>
      <c r="P77" s="668">
        <v>21.095639540413956</v>
      </c>
      <c r="Q77" s="668">
        <f t="shared" ref="Q77:Q80" si="12">LEFT(H77,(FIND("K",H77,1)-1))*J77/100</f>
        <v>49.5</v>
      </c>
      <c r="R77" s="432">
        <v>5.21</v>
      </c>
      <c r="S77" s="432">
        <v>10.539</v>
      </c>
      <c r="T77" s="670">
        <v>101</v>
      </c>
      <c r="U77" s="668">
        <f t="shared" si="9"/>
        <v>19.385796545105567</v>
      </c>
      <c r="V77" s="668">
        <f t="shared" si="4"/>
        <v>50.56456969351931</v>
      </c>
      <c r="W77" s="668">
        <v>0.3</v>
      </c>
      <c r="X77" s="432">
        <f t="shared" si="8"/>
        <v>0.21290909090909091</v>
      </c>
      <c r="Y77" s="432">
        <f t="shared" si="5"/>
        <v>5.13185</v>
      </c>
      <c r="Z77" s="432">
        <f t="shared" si="1"/>
        <v>10.380915</v>
      </c>
      <c r="AA77" s="670">
        <f t="shared" si="1"/>
        <v>99.484999999999999</v>
      </c>
      <c r="AB77" s="432">
        <f t="shared" si="6"/>
        <v>19.385796545105567</v>
      </c>
      <c r="AC77" s="670">
        <f>V77</f>
        <v>50.56456969351931</v>
      </c>
      <c r="AD77" s="1140">
        <v>29</v>
      </c>
      <c r="AE77" s="432">
        <f t="shared" si="11"/>
        <v>148.82364999999999</v>
      </c>
      <c r="AF77" s="669"/>
    </row>
    <row r="78" spans="1:32" ht="18.75" customHeight="1" x14ac:dyDescent="0.2">
      <c r="A78" s="1140">
        <v>64</v>
      </c>
      <c r="B78" s="461" t="s">
        <v>506</v>
      </c>
      <c r="C78" s="1140" t="s">
        <v>46</v>
      </c>
      <c r="D78" s="1136">
        <v>580.95000000000016</v>
      </c>
      <c r="E78" s="1136" t="s">
        <v>547</v>
      </c>
      <c r="F78" s="1140">
        <v>177.8</v>
      </c>
      <c r="G78" s="1140" t="s">
        <v>28</v>
      </c>
      <c r="H78" s="1151" t="s">
        <v>491</v>
      </c>
      <c r="I78" s="1149">
        <v>580.48000000000013</v>
      </c>
      <c r="J78" s="1149">
        <v>165</v>
      </c>
      <c r="K78" s="1149"/>
      <c r="L78" s="1149">
        <v>611</v>
      </c>
      <c r="M78" s="1149"/>
      <c r="N78" s="668">
        <v>5.6</v>
      </c>
      <c r="O78" s="1146"/>
      <c r="P78" s="668">
        <v>12.571795801197572</v>
      </c>
      <c r="Q78" s="668">
        <f>(23/100)*J78</f>
        <v>37.950000000000003</v>
      </c>
      <c r="R78" s="432">
        <v>2.2200000000000002</v>
      </c>
      <c r="S78" s="432">
        <v>2.395</v>
      </c>
      <c r="T78" s="492">
        <v>0</v>
      </c>
      <c r="U78" s="432">
        <f t="shared" si="9"/>
        <v>0</v>
      </c>
      <c r="V78" s="668">
        <f t="shared" si="4"/>
        <v>7.3068893528183736</v>
      </c>
      <c r="W78" s="668">
        <v>0.2</v>
      </c>
      <c r="X78" s="432">
        <f t="shared" si="8"/>
        <v>6.3109354413702232E-2</v>
      </c>
      <c r="Y78" s="432">
        <f t="shared" si="5"/>
        <v>2.1867000000000001</v>
      </c>
      <c r="Z78" s="1045">
        <f t="shared" si="1"/>
        <v>2.3590749999999998</v>
      </c>
      <c r="AA78" s="670">
        <f t="shared" si="1"/>
        <v>0</v>
      </c>
      <c r="AB78" s="432">
        <f t="shared" si="6"/>
        <v>0</v>
      </c>
      <c r="AC78" s="432">
        <f t="shared" si="6"/>
        <v>7.3068893528183736</v>
      </c>
      <c r="AD78" s="1147">
        <v>29</v>
      </c>
      <c r="AE78" s="432">
        <f>Y78*AD78</f>
        <v>63.414300000000004</v>
      </c>
      <c r="AF78" s="449"/>
    </row>
    <row r="79" spans="1:32" ht="18.75" customHeight="1" x14ac:dyDescent="0.2">
      <c r="A79" s="1140">
        <v>65</v>
      </c>
      <c r="B79" s="461" t="s">
        <v>451</v>
      </c>
      <c r="C79" s="1140" t="s">
        <v>46</v>
      </c>
      <c r="D79" s="1136">
        <v>595.20000000000005</v>
      </c>
      <c r="E79" s="1136" t="s">
        <v>559</v>
      </c>
      <c r="F79" s="1140">
        <v>177.8</v>
      </c>
      <c r="G79" s="1140" t="s">
        <v>28</v>
      </c>
      <c r="H79" s="1151" t="s">
        <v>491</v>
      </c>
      <c r="I79" s="1149">
        <v>594.17999999999995</v>
      </c>
      <c r="J79" s="1149">
        <v>135</v>
      </c>
      <c r="K79" s="1149"/>
      <c r="L79" s="1149">
        <v>401</v>
      </c>
      <c r="M79" s="1149"/>
      <c r="N79" s="668">
        <v>14.8</v>
      </c>
      <c r="O79" s="1146"/>
      <c r="P79" s="668">
        <v>31.889079761431368</v>
      </c>
      <c r="Q79" s="668">
        <f>(23/100)*J79</f>
        <v>31.05</v>
      </c>
      <c r="R79" s="432">
        <v>3.4470000000000001</v>
      </c>
      <c r="S79" s="432">
        <v>3.8319999999999999</v>
      </c>
      <c r="T79" s="492">
        <v>0</v>
      </c>
      <c r="U79" s="432">
        <f t="shared" si="9"/>
        <v>0</v>
      </c>
      <c r="V79" s="668">
        <f t="shared" si="4"/>
        <v>10.046972860125265</v>
      </c>
      <c r="W79" s="668">
        <v>0.2</v>
      </c>
      <c r="X79" s="432">
        <f t="shared" si="8"/>
        <v>0.12341384863123993</v>
      </c>
      <c r="Y79" s="432">
        <f t="shared" si="5"/>
        <v>3.395295</v>
      </c>
      <c r="Z79" s="1045">
        <f t="shared" si="1"/>
        <v>3.7745199999999999</v>
      </c>
      <c r="AA79" s="670">
        <f t="shared" si="1"/>
        <v>0</v>
      </c>
      <c r="AB79" s="432">
        <f t="shared" si="6"/>
        <v>0</v>
      </c>
      <c r="AC79" s="432">
        <f t="shared" si="6"/>
        <v>10.046972860125265</v>
      </c>
      <c r="AD79" s="1140"/>
      <c r="AE79" s="432"/>
      <c r="AF79" s="669" t="s">
        <v>432</v>
      </c>
    </row>
    <row r="80" spans="1:32" ht="18.75" customHeight="1" x14ac:dyDescent="0.2">
      <c r="A80" s="1140">
        <v>66</v>
      </c>
      <c r="B80" s="461" t="s">
        <v>172</v>
      </c>
      <c r="C80" s="1140" t="s">
        <v>46</v>
      </c>
      <c r="D80" s="1140">
        <v>673</v>
      </c>
      <c r="E80" s="1140" t="s">
        <v>173</v>
      </c>
      <c r="F80" s="1140">
        <v>177.8</v>
      </c>
      <c r="G80" s="1140" t="s">
        <v>28</v>
      </c>
      <c r="H80" s="1151" t="s">
        <v>487</v>
      </c>
      <c r="I80" s="1149">
        <v>555.56000000000006</v>
      </c>
      <c r="J80" s="1074">
        <v>310</v>
      </c>
      <c r="K80" s="1151"/>
      <c r="L80" s="1151">
        <v>121</v>
      </c>
      <c r="M80" s="1151"/>
      <c r="N80" s="668">
        <v>6.8</v>
      </c>
      <c r="O80" s="1147"/>
      <c r="P80" s="448">
        <v>45.248759019788054</v>
      </c>
      <c r="Q80" s="668">
        <f t="shared" si="12"/>
        <v>46.5</v>
      </c>
      <c r="R80" s="432">
        <v>0.63300000000000001</v>
      </c>
      <c r="S80" s="432">
        <v>4.2409999999999997</v>
      </c>
      <c r="T80" s="670">
        <v>0</v>
      </c>
      <c r="U80" s="668">
        <f t="shared" si="9"/>
        <v>0</v>
      </c>
      <c r="V80" s="668">
        <f t="shared" ref="V80" si="13">100-((R80/S80)*100)</f>
        <v>85.074274935156808</v>
      </c>
      <c r="W80" s="668">
        <v>0.3</v>
      </c>
      <c r="X80" s="432">
        <f t="shared" si="8"/>
        <v>9.1204301075268807E-2</v>
      </c>
      <c r="Y80" s="432">
        <f t="shared" si="5"/>
        <v>0.62350499999999998</v>
      </c>
      <c r="Z80" s="432">
        <f t="shared" si="1"/>
        <v>4.1773849999999992</v>
      </c>
      <c r="AA80" s="670">
        <f t="shared" si="1"/>
        <v>0</v>
      </c>
      <c r="AB80" s="432">
        <f t="shared" si="6"/>
        <v>0</v>
      </c>
      <c r="AC80" s="670">
        <f t="shared" si="2"/>
        <v>85.074274935156808</v>
      </c>
      <c r="AD80" s="1140">
        <v>29</v>
      </c>
      <c r="AE80" s="432">
        <f>Y80*AD80</f>
        <v>18.081644999999998</v>
      </c>
      <c r="AF80" s="449"/>
    </row>
    <row r="81" spans="1:32" ht="18.75" customHeight="1" x14ac:dyDescent="0.25">
      <c r="A81" s="869"/>
      <c r="B81" s="1140"/>
      <c r="C81" s="1140"/>
      <c r="D81" s="1136"/>
      <c r="E81" s="1136"/>
      <c r="F81" s="461"/>
      <c r="G81" s="1140"/>
      <c r="H81" s="1151"/>
      <c r="I81" s="1149"/>
      <c r="J81" s="1149"/>
      <c r="K81" s="1149"/>
      <c r="L81" s="1149"/>
      <c r="M81" s="1149"/>
      <c r="N81" s="1151"/>
      <c r="O81" s="1136"/>
      <c r="P81" s="668"/>
      <c r="Q81" s="448"/>
      <c r="R81" s="466">
        <f>SUM(R15:R80)</f>
        <v>369.89800000000002</v>
      </c>
      <c r="S81" s="466">
        <f>SUM(S15:S80)</f>
        <v>856.31800000000021</v>
      </c>
      <c r="T81" s="512">
        <f>SUM(T15:T80)</f>
        <v>6971</v>
      </c>
      <c r="U81" s="466">
        <f>T81/R81</f>
        <v>18.845735851505008</v>
      </c>
      <c r="V81" s="466"/>
      <c r="W81" s="466"/>
      <c r="X81" s="466"/>
      <c r="Y81" s="466">
        <f>SUM(Y15:Y80)</f>
        <v>359.72200000000009</v>
      </c>
      <c r="Z81" s="466">
        <f>SUM(Z15:Z80)</f>
        <v>833.23710999999992</v>
      </c>
      <c r="AA81" s="678">
        <f>SUM(AA15:AA80)</f>
        <v>6819.1549999999988</v>
      </c>
      <c r="AB81" s="466">
        <f>AA81/Y81</f>
        <v>18.956736035049278</v>
      </c>
      <c r="AC81" s="466"/>
      <c r="AD81" s="1139"/>
      <c r="AE81" s="466">
        <f>SUM(AE15:AE80)</f>
        <v>9658.5691900000038</v>
      </c>
      <c r="AF81" s="669"/>
    </row>
    <row r="82" spans="1:32" ht="18.75" customHeight="1" x14ac:dyDescent="0.25">
      <c r="A82" s="869"/>
      <c r="B82" s="1140"/>
      <c r="C82" s="1140"/>
      <c r="D82" s="1136"/>
      <c r="E82" s="1136"/>
      <c r="F82" s="461"/>
      <c r="G82" s="1140"/>
      <c r="H82" s="1151"/>
      <c r="I82" s="1149"/>
      <c r="J82" s="1149"/>
      <c r="K82" s="1149"/>
      <c r="L82" s="1149"/>
      <c r="M82" s="1149"/>
      <c r="N82" s="1151"/>
      <c r="O82" s="1136"/>
      <c r="P82" s="668"/>
      <c r="Q82" s="448"/>
      <c r="R82" s="466"/>
      <c r="S82" s="466"/>
      <c r="T82" s="512"/>
      <c r="U82" s="466"/>
      <c r="V82" s="466"/>
      <c r="W82" s="466"/>
      <c r="X82" s="466"/>
      <c r="Y82" s="466"/>
      <c r="Z82" s="708"/>
      <c r="AA82" s="678"/>
      <c r="AB82" s="466"/>
      <c r="AC82" s="466"/>
      <c r="AD82" s="1139"/>
      <c r="AE82" s="466"/>
      <c r="AF82" s="669"/>
    </row>
    <row r="83" spans="1:32" ht="18.75" customHeight="1" x14ac:dyDescent="0.25">
      <c r="A83" s="869"/>
      <c r="B83" s="1140"/>
      <c r="C83" s="1140"/>
      <c r="D83" s="1136"/>
      <c r="E83" s="1135" t="s">
        <v>388</v>
      </c>
      <c r="F83" s="461"/>
      <c r="G83" s="1140"/>
      <c r="H83" s="1151"/>
      <c r="I83" s="1149"/>
      <c r="J83" s="1149"/>
      <c r="K83" s="1149"/>
      <c r="L83" s="1149"/>
      <c r="M83" s="1149"/>
      <c r="N83" s="1151"/>
      <c r="O83" s="1136"/>
      <c r="P83" s="668"/>
      <c r="Q83" s="448"/>
      <c r="R83" s="466"/>
      <c r="S83" s="466"/>
      <c r="T83" s="512"/>
      <c r="U83" s="466"/>
      <c r="V83" s="466"/>
      <c r="W83" s="466"/>
      <c r="X83" s="466"/>
      <c r="Y83" s="466"/>
      <c r="Z83" s="708"/>
      <c r="AA83" s="678"/>
      <c r="AB83" s="466"/>
      <c r="AC83" s="466"/>
      <c r="AD83" s="1139"/>
      <c r="AE83" s="466"/>
      <c r="AF83" s="669"/>
    </row>
    <row r="84" spans="1:32" ht="18.75" customHeight="1" x14ac:dyDescent="0.2">
      <c r="A84" s="1140">
        <v>67</v>
      </c>
      <c r="B84" s="461" t="s">
        <v>505</v>
      </c>
      <c r="C84" s="1140" t="s">
        <v>445</v>
      </c>
      <c r="D84" s="1136">
        <v>737.21</v>
      </c>
      <c r="E84" s="1136" t="s">
        <v>507</v>
      </c>
      <c r="F84" s="1140">
        <v>177.8</v>
      </c>
      <c r="G84" s="1140" t="s">
        <v>28</v>
      </c>
      <c r="H84" s="1151" t="s">
        <v>491</v>
      </c>
      <c r="I84" s="1149">
        <v>660.03999999999962</v>
      </c>
      <c r="J84" s="1149"/>
      <c r="K84" s="1149"/>
      <c r="L84" s="1149"/>
      <c r="M84" s="1149">
        <v>3.2</v>
      </c>
      <c r="N84" s="1151"/>
      <c r="O84" s="1136"/>
      <c r="P84" s="668">
        <v>0</v>
      </c>
      <c r="Q84" s="448">
        <f>J84*23/100</f>
        <v>0</v>
      </c>
      <c r="R84" s="432">
        <v>0</v>
      </c>
      <c r="S84" s="432">
        <v>0</v>
      </c>
      <c r="T84" s="492">
        <v>0</v>
      </c>
      <c r="U84" s="432">
        <f t="shared" ref="U84:U86" si="14">IF(R84=0,0,T84/R84)</f>
        <v>0</v>
      </c>
      <c r="V84" s="432">
        <f t="shared" ref="V84:V86" si="15">IF(S84=0,0,(S84-R84)/S84*100)</f>
        <v>0</v>
      </c>
      <c r="W84" s="432">
        <v>0.2</v>
      </c>
      <c r="X84" s="432">
        <f t="shared" ref="X84:X86" si="16">IF(S84=0,0,S84/Q84)</f>
        <v>0</v>
      </c>
      <c r="Y84" s="432">
        <f t="shared" ref="Y84:AA86" si="17">R84*0.985</f>
        <v>0</v>
      </c>
      <c r="Z84" s="1045">
        <f t="shared" si="17"/>
        <v>0</v>
      </c>
      <c r="AA84" s="670">
        <f t="shared" si="17"/>
        <v>0</v>
      </c>
      <c r="AB84" s="432">
        <f t="shared" ref="AB84:AC86" si="18">U84</f>
        <v>0</v>
      </c>
      <c r="AC84" s="432">
        <f t="shared" si="18"/>
        <v>0</v>
      </c>
      <c r="AD84" s="1140">
        <v>0</v>
      </c>
      <c r="AE84" s="432">
        <f>Y84*AD84</f>
        <v>0</v>
      </c>
      <c r="AF84" s="449" t="s">
        <v>432</v>
      </c>
    </row>
    <row r="85" spans="1:32" ht="18.75" customHeight="1" x14ac:dyDescent="0.2">
      <c r="A85" s="1140">
        <v>68</v>
      </c>
      <c r="B85" s="461" t="s">
        <v>104</v>
      </c>
      <c r="C85" s="1140" t="s">
        <v>536</v>
      </c>
      <c r="D85" s="1140">
        <v>687.00000000000045</v>
      </c>
      <c r="E85" s="1136" t="s">
        <v>548</v>
      </c>
      <c r="F85" s="1140">
        <v>177.8</v>
      </c>
      <c r="G85" s="1140" t="s">
        <v>28</v>
      </c>
      <c r="H85" s="1151" t="s">
        <v>48</v>
      </c>
      <c r="I85" s="1149">
        <v>555.39000000000033</v>
      </c>
      <c r="J85" s="1151"/>
      <c r="K85" s="1151">
        <v>456</v>
      </c>
      <c r="M85" s="1151">
        <v>0</v>
      </c>
      <c r="O85" s="1140"/>
      <c r="P85" s="668">
        <v>1.1000000000000001</v>
      </c>
      <c r="Q85" s="668">
        <f>J85*13/100</f>
        <v>0</v>
      </c>
      <c r="R85" s="432">
        <v>0</v>
      </c>
      <c r="S85" s="432">
        <v>1</v>
      </c>
      <c r="T85" s="670">
        <v>0</v>
      </c>
      <c r="U85" s="668">
        <f t="shared" si="14"/>
        <v>0</v>
      </c>
      <c r="V85" s="668">
        <f t="shared" si="15"/>
        <v>100</v>
      </c>
      <c r="W85" s="668">
        <v>0</v>
      </c>
      <c r="X85" s="432" t="e">
        <f t="shared" si="16"/>
        <v>#DIV/0!</v>
      </c>
      <c r="Y85" s="432">
        <f t="shared" si="17"/>
        <v>0</v>
      </c>
      <c r="Z85" s="432">
        <f t="shared" si="17"/>
        <v>0.98499999999999999</v>
      </c>
      <c r="AA85" s="670">
        <f t="shared" si="17"/>
        <v>0</v>
      </c>
      <c r="AB85" s="432">
        <f t="shared" si="18"/>
        <v>0</v>
      </c>
      <c r="AC85" s="670">
        <f t="shared" si="18"/>
        <v>100</v>
      </c>
      <c r="AD85" s="1140">
        <v>0</v>
      </c>
      <c r="AE85" s="432">
        <f t="shared" ref="AE85" si="19">Y85*AD85</f>
        <v>0</v>
      </c>
      <c r="AF85" s="669" t="s">
        <v>432</v>
      </c>
    </row>
    <row r="86" spans="1:32" ht="18.75" customHeight="1" x14ac:dyDescent="0.2">
      <c r="A86" s="1140">
        <v>69</v>
      </c>
      <c r="B86" s="461" t="s">
        <v>504</v>
      </c>
      <c r="C86" s="1140" t="s">
        <v>445</v>
      </c>
      <c r="D86" s="1136">
        <v>695.15</v>
      </c>
      <c r="E86" s="1136" t="s">
        <v>508</v>
      </c>
      <c r="F86" s="461">
        <v>177.8</v>
      </c>
      <c r="G86" s="1140" t="s">
        <v>28</v>
      </c>
      <c r="H86" s="1151" t="s">
        <v>491</v>
      </c>
      <c r="I86" s="1149">
        <v>632.3399999999998</v>
      </c>
      <c r="J86" s="1149"/>
      <c r="K86" s="1149">
        <v>150</v>
      </c>
      <c r="L86" s="1149"/>
      <c r="M86" s="1149">
        <v>14.3</v>
      </c>
      <c r="N86" s="1151"/>
      <c r="O86" s="1136"/>
      <c r="P86" s="668">
        <v>9.2373127720390151</v>
      </c>
      <c r="Q86" s="448">
        <f>J86*23/100</f>
        <v>0</v>
      </c>
      <c r="R86" s="432">
        <v>0</v>
      </c>
      <c r="S86" s="432">
        <v>0.878</v>
      </c>
      <c r="T86" s="492">
        <v>0</v>
      </c>
      <c r="U86" s="432">
        <f t="shared" si="14"/>
        <v>0</v>
      </c>
      <c r="V86" s="432">
        <f t="shared" si="15"/>
        <v>100</v>
      </c>
      <c r="W86" s="432">
        <v>0.2</v>
      </c>
      <c r="X86" s="432" t="e">
        <f t="shared" si="16"/>
        <v>#DIV/0!</v>
      </c>
      <c r="Y86" s="432">
        <f t="shared" si="17"/>
        <v>0</v>
      </c>
      <c r="Z86" s="1045">
        <f t="shared" si="17"/>
        <v>0.86482999999999999</v>
      </c>
      <c r="AA86" s="670">
        <f t="shared" si="17"/>
        <v>0</v>
      </c>
      <c r="AB86" s="432">
        <f t="shared" si="18"/>
        <v>0</v>
      </c>
      <c r="AC86" s="432">
        <f t="shared" si="18"/>
        <v>100</v>
      </c>
      <c r="AD86" s="1140">
        <v>0</v>
      </c>
      <c r="AE86" s="432">
        <f>Y86*AD86</f>
        <v>0</v>
      </c>
      <c r="AF86" s="669" t="s">
        <v>432</v>
      </c>
    </row>
    <row r="87" spans="1:32" ht="18.75" customHeight="1" x14ac:dyDescent="0.2">
      <c r="A87" s="1140">
        <v>70</v>
      </c>
      <c r="B87" s="461" t="s">
        <v>424</v>
      </c>
      <c r="C87" s="1140" t="s">
        <v>445</v>
      </c>
      <c r="D87" s="1136">
        <v>691</v>
      </c>
      <c r="E87" s="1136" t="s">
        <v>495</v>
      </c>
      <c r="F87" s="1140">
        <v>177.8</v>
      </c>
      <c r="G87" s="1140" t="s">
        <v>28</v>
      </c>
      <c r="H87" s="1151" t="s">
        <v>48</v>
      </c>
      <c r="I87" s="1149">
        <v>628.34</v>
      </c>
      <c r="J87" s="1149"/>
      <c r="K87" s="1149">
        <v>605</v>
      </c>
      <c r="L87" s="1149"/>
      <c r="M87" s="1149">
        <v>9.5</v>
      </c>
      <c r="N87" s="1151"/>
      <c r="O87" s="1136"/>
      <c r="P87" s="668">
        <v>12.1</v>
      </c>
      <c r="Q87" s="668">
        <f t="shared" ref="Q87" si="20">LEFT(H87,(FIND("K",H87,1)-1))*J87/100</f>
        <v>0</v>
      </c>
      <c r="R87" s="432"/>
      <c r="S87" s="432"/>
      <c r="T87" s="492"/>
      <c r="U87" s="668"/>
      <c r="V87" s="668"/>
      <c r="W87" s="668"/>
      <c r="X87" s="432"/>
      <c r="Y87" s="432"/>
      <c r="Z87" s="432"/>
      <c r="AA87" s="670"/>
      <c r="AB87" s="668"/>
      <c r="AC87" s="670"/>
      <c r="AD87" s="1140"/>
      <c r="AE87" s="432">
        <f>Y87*AD87</f>
        <v>0</v>
      </c>
      <c r="AF87" s="449" t="s">
        <v>432</v>
      </c>
    </row>
    <row r="88" spans="1:32" ht="18.75" customHeight="1" x14ac:dyDescent="0.25">
      <c r="A88" s="1140">
        <v>71</v>
      </c>
      <c r="B88" s="461" t="s">
        <v>155</v>
      </c>
      <c r="C88" s="1140" t="s">
        <v>415</v>
      </c>
      <c r="D88" s="1140">
        <v>513.9</v>
      </c>
      <c r="E88" s="1140" t="s">
        <v>477</v>
      </c>
      <c r="F88" s="1140">
        <v>177.8</v>
      </c>
      <c r="G88" s="1140"/>
      <c r="H88" s="1151"/>
      <c r="I88" s="1149">
        <v>9.5</v>
      </c>
      <c r="J88" s="1149"/>
      <c r="K88" s="1149"/>
      <c r="L88" s="1149"/>
      <c r="M88" s="1149"/>
      <c r="N88" s="1151"/>
      <c r="O88" s="1136"/>
      <c r="P88" s="668"/>
      <c r="Q88" s="448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  <c r="AF88" s="669" t="s">
        <v>334</v>
      </c>
    </row>
    <row r="89" spans="1:32" ht="18.75" customHeight="1" x14ac:dyDescent="0.2">
      <c r="A89" s="1140">
        <v>72</v>
      </c>
      <c r="B89" s="461" t="s">
        <v>465</v>
      </c>
      <c r="C89" s="1140" t="s">
        <v>46</v>
      </c>
      <c r="D89" s="1140">
        <v>571.91</v>
      </c>
      <c r="E89" s="1140" t="s">
        <v>478</v>
      </c>
      <c r="F89" s="1140">
        <v>177.8</v>
      </c>
      <c r="G89" s="1140"/>
      <c r="H89" s="831"/>
      <c r="I89" s="1149">
        <v>9.5</v>
      </c>
      <c r="J89" s="1149"/>
      <c r="K89" s="1149"/>
      <c r="L89" s="1149"/>
      <c r="M89" s="1149"/>
      <c r="N89" s="1151"/>
      <c r="O89" s="1136"/>
      <c r="P89" s="668"/>
      <c r="Q89" s="448"/>
      <c r="R89" s="466"/>
      <c r="S89" s="466"/>
      <c r="T89" s="512"/>
      <c r="U89" s="466"/>
      <c r="V89" s="466"/>
      <c r="W89" s="466"/>
      <c r="X89" s="466"/>
      <c r="Y89" s="466"/>
      <c r="Z89" s="466"/>
      <c r="AA89" s="678"/>
      <c r="AB89" s="466"/>
      <c r="AC89" s="466"/>
      <c r="AD89" s="1139"/>
      <c r="AE89" s="466"/>
      <c r="AF89" s="669" t="s">
        <v>471</v>
      </c>
    </row>
    <row r="90" spans="1:32" ht="18.75" customHeight="1" x14ac:dyDescent="0.25">
      <c r="A90" s="869"/>
      <c r="B90" s="673"/>
      <c r="C90" s="673"/>
      <c r="D90" s="673"/>
      <c r="E90" s="673"/>
      <c r="F90" s="461"/>
      <c r="G90" s="1140"/>
      <c r="H90" s="1151"/>
      <c r="I90" s="1151"/>
      <c r="J90" s="1149"/>
      <c r="K90" s="1149"/>
      <c r="L90" s="1149"/>
      <c r="M90" s="1149"/>
      <c r="N90" s="1149"/>
      <c r="O90" s="1136"/>
      <c r="P90" s="448"/>
      <c r="Q90" s="448"/>
      <c r="R90" s="466">
        <f>SUM(R84:R89)</f>
        <v>0</v>
      </c>
      <c r="S90" s="466">
        <f>SUM(S84:S89)</f>
        <v>1.8780000000000001</v>
      </c>
      <c r="T90" s="512">
        <f>SUM(T84:T89)</f>
        <v>0</v>
      </c>
      <c r="U90" s="466"/>
      <c r="V90" s="466"/>
      <c r="W90" s="466"/>
      <c r="X90" s="466"/>
      <c r="Y90" s="466">
        <f>SUM(Y84:Y89)</f>
        <v>0</v>
      </c>
      <c r="Z90" s="466">
        <f>SUM(Z84:Z89)</f>
        <v>1.8498299999999999</v>
      </c>
      <c r="AA90" s="678">
        <f>SUM(AA26:AA89)</f>
        <v>12125.349999999999</v>
      </c>
      <c r="AB90" s="466"/>
      <c r="AC90" s="466"/>
      <c r="AD90" s="1139"/>
      <c r="AE90" s="466">
        <f>SUM(AE84:AE89)</f>
        <v>0</v>
      </c>
      <c r="AF90" s="669"/>
    </row>
    <row r="91" spans="1:32" ht="18.75" customHeight="1" x14ac:dyDescent="0.25">
      <c r="A91" s="870"/>
      <c r="B91" s="873"/>
      <c r="C91" s="850"/>
      <c r="D91" s="850"/>
      <c r="E91" s="1141" t="s">
        <v>470</v>
      </c>
      <c r="F91" s="853"/>
      <c r="G91" s="1131"/>
      <c r="H91" s="1148"/>
      <c r="I91" s="1148"/>
      <c r="J91" s="1149"/>
      <c r="K91" s="1149"/>
      <c r="L91" s="1149"/>
      <c r="M91" s="1149"/>
      <c r="N91" s="1149"/>
      <c r="O91" s="1136"/>
      <c r="P91" s="448"/>
      <c r="Q91" s="448"/>
      <c r="R91" s="1136"/>
      <c r="S91" s="437"/>
      <c r="T91" s="1136"/>
      <c r="U91" s="1131"/>
      <c r="V91" s="1131"/>
      <c r="W91" s="1131"/>
      <c r="X91" s="421"/>
      <c r="Y91" s="1136"/>
      <c r="Z91" s="1136"/>
      <c r="AA91" s="1136"/>
      <c r="AB91" s="1131"/>
      <c r="AC91" s="1131"/>
      <c r="AD91" s="1136"/>
      <c r="AE91" s="1136"/>
      <c r="AF91" s="1135"/>
    </row>
    <row r="92" spans="1:32" ht="18.75" customHeight="1" x14ac:dyDescent="0.2">
      <c r="A92" s="1138">
        <v>73</v>
      </c>
      <c r="B92" s="1140" t="s">
        <v>131</v>
      </c>
      <c r="C92" s="1138" t="s">
        <v>313</v>
      </c>
      <c r="D92" s="1140">
        <v>389.74</v>
      </c>
      <c r="E92" s="679" t="s">
        <v>136</v>
      </c>
      <c r="F92" s="1140">
        <v>177.8</v>
      </c>
      <c r="G92" s="1140" t="s">
        <v>28</v>
      </c>
      <c r="H92" s="1151" t="s">
        <v>466</v>
      </c>
      <c r="I92" s="1149">
        <v>137.63999999999999</v>
      </c>
      <c r="J92" s="1149">
        <v>170</v>
      </c>
      <c r="K92" s="1151"/>
      <c r="L92" s="1151">
        <v>88</v>
      </c>
      <c r="M92" s="1151"/>
      <c r="N92" s="1151">
        <v>0</v>
      </c>
      <c r="O92" s="1147"/>
      <c r="P92" s="668">
        <v>12.863322073940665</v>
      </c>
      <c r="Q92" s="448">
        <f>(13*J92)/100</f>
        <v>22.1</v>
      </c>
      <c r="R92" s="432">
        <v>3.0609999999999999</v>
      </c>
      <c r="S92" s="432">
        <v>6.3860000000000001</v>
      </c>
      <c r="T92" s="432">
        <v>0</v>
      </c>
      <c r="U92" s="432">
        <f>T92/R92</f>
        <v>0</v>
      </c>
      <c r="V92" s="432">
        <f t="shared" ref="V92:V95" si="21">(S92-R92)/S92*100</f>
        <v>52.06702160977138</v>
      </c>
      <c r="W92" s="432">
        <v>0.3</v>
      </c>
      <c r="X92" s="432">
        <f t="shared" ref="X92:X95" si="22">S92/Q92</f>
        <v>0.28895927601809951</v>
      </c>
      <c r="Y92" s="432">
        <f t="shared" ref="Y92:AA95" si="23">R92*0.985</f>
        <v>3.015085</v>
      </c>
      <c r="Z92" s="432">
        <f>S92*0.985</f>
        <v>6.2902100000000001</v>
      </c>
      <c r="AA92" s="432">
        <f>T92*0.985</f>
        <v>0</v>
      </c>
      <c r="AB92" s="432">
        <f t="shared" ref="AB92:AC95" si="24">U92</f>
        <v>0</v>
      </c>
      <c r="AC92" s="432">
        <f t="shared" si="24"/>
        <v>52.06702160977138</v>
      </c>
      <c r="AD92" s="1140">
        <v>29</v>
      </c>
      <c r="AE92" s="432">
        <f t="shared" ref="AE92:AE95" si="25">Y92*AD92</f>
        <v>87.437465000000003</v>
      </c>
      <c r="AF92" s="449"/>
    </row>
    <row r="93" spans="1:32" ht="18.75" customHeight="1" x14ac:dyDescent="0.2">
      <c r="A93" s="1138">
        <v>74</v>
      </c>
      <c r="B93" s="1140" t="s">
        <v>132</v>
      </c>
      <c r="C93" s="1138" t="s">
        <v>313</v>
      </c>
      <c r="D93" s="1140">
        <v>387.72</v>
      </c>
      <c r="E93" s="679" t="s">
        <v>135</v>
      </c>
      <c r="F93" s="1140">
        <v>177.8</v>
      </c>
      <c r="G93" s="1140" t="s">
        <v>28</v>
      </c>
      <c r="H93" s="1151" t="s">
        <v>485</v>
      </c>
      <c r="I93" s="1149">
        <v>130.34</v>
      </c>
      <c r="J93" s="1151">
        <v>265</v>
      </c>
      <c r="K93" s="1151"/>
      <c r="L93" s="1151">
        <v>84</v>
      </c>
      <c r="M93" s="1151"/>
      <c r="N93" s="1151">
        <v>0.1</v>
      </c>
      <c r="O93" s="1147"/>
      <c r="P93" s="668">
        <v>10.150799978120727</v>
      </c>
      <c r="Q93" s="448">
        <f>(15*J93)/100</f>
        <v>39.75</v>
      </c>
      <c r="R93" s="432">
        <v>8.3650000000000002</v>
      </c>
      <c r="S93" s="432">
        <v>11.282999999999999</v>
      </c>
      <c r="T93" s="432">
        <v>0</v>
      </c>
      <c r="U93" s="432">
        <f>T93/R93</f>
        <v>0</v>
      </c>
      <c r="V93" s="432">
        <f t="shared" si="21"/>
        <v>25.861916157050423</v>
      </c>
      <c r="W93" s="432">
        <v>0.3</v>
      </c>
      <c r="X93" s="432">
        <f t="shared" si="22"/>
        <v>0.28384905660377358</v>
      </c>
      <c r="Y93" s="432">
        <f t="shared" si="23"/>
        <v>8.2395250000000004</v>
      </c>
      <c r="Z93" s="432">
        <f t="shared" si="23"/>
        <v>11.113754999999999</v>
      </c>
      <c r="AA93" s="432">
        <f t="shared" si="23"/>
        <v>0</v>
      </c>
      <c r="AB93" s="432">
        <v>0</v>
      </c>
      <c r="AC93" s="432">
        <f>V93</f>
        <v>25.861916157050423</v>
      </c>
      <c r="AD93" s="1147">
        <v>29</v>
      </c>
      <c r="AE93" s="432">
        <f t="shared" si="25"/>
        <v>238.94622500000003</v>
      </c>
      <c r="AF93" s="449"/>
    </row>
    <row r="94" spans="1:32" ht="18.75" customHeight="1" x14ac:dyDescent="0.2">
      <c r="A94" s="1138">
        <v>75</v>
      </c>
      <c r="B94" s="1140" t="s">
        <v>121</v>
      </c>
      <c r="C94" s="1138" t="s">
        <v>313</v>
      </c>
      <c r="D94" s="1140">
        <v>389.57</v>
      </c>
      <c r="E94" s="1140" t="s">
        <v>137</v>
      </c>
      <c r="F94" s="1140">
        <v>177.8</v>
      </c>
      <c r="G94" s="1140" t="s">
        <v>28</v>
      </c>
      <c r="H94" s="831" t="s">
        <v>487</v>
      </c>
      <c r="I94" s="1149">
        <v>132.89000000000001</v>
      </c>
      <c r="J94" s="1151">
        <v>120</v>
      </c>
      <c r="K94" s="1151"/>
      <c r="L94" s="1151">
        <v>93</v>
      </c>
      <c r="M94" s="1151"/>
      <c r="N94" s="1151">
        <v>0.1</v>
      </c>
      <c r="O94" s="1147"/>
      <c r="P94" s="668">
        <v>12.201132184842152</v>
      </c>
      <c r="Q94" s="448">
        <f t="shared" ref="Q94" si="26">LEFT(H94,(FIND("K",H94,1)-1))*J94/100</f>
        <v>18</v>
      </c>
      <c r="R94" s="432">
        <v>1.5920000000000001</v>
      </c>
      <c r="S94" s="432">
        <v>7.3419999999999996</v>
      </c>
      <c r="T94" s="432">
        <v>0</v>
      </c>
      <c r="U94" s="432">
        <v>0</v>
      </c>
      <c r="V94" s="432">
        <f t="shared" si="21"/>
        <v>78.316535004086091</v>
      </c>
      <c r="W94" s="432">
        <v>0.3</v>
      </c>
      <c r="X94" s="432">
        <f>S94/Q94</f>
        <v>0.40788888888888886</v>
      </c>
      <c r="Y94" s="432">
        <f t="shared" si="23"/>
        <v>1.56812</v>
      </c>
      <c r="Z94" s="432">
        <f t="shared" si="23"/>
        <v>7.2318699999999998</v>
      </c>
      <c r="AA94" s="432">
        <f t="shared" si="23"/>
        <v>0</v>
      </c>
      <c r="AB94" s="432">
        <v>0</v>
      </c>
      <c r="AC94" s="432">
        <v>47</v>
      </c>
      <c r="AD94" s="1147">
        <v>29</v>
      </c>
      <c r="AE94" s="432">
        <f t="shared" si="25"/>
        <v>45.475479999999997</v>
      </c>
      <c r="AF94" s="669"/>
    </row>
    <row r="95" spans="1:32" ht="18.75" customHeight="1" x14ac:dyDescent="0.2">
      <c r="A95" s="1138">
        <v>76</v>
      </c>
      <c r="B95" s="1140" t="s">
        <v>122</v>
      </c>
      <c r="C95" s="1138" t="s">
        <v>313</v>
      </c>
      <c r="D95" s="1140">
        <v>391.06</v>
      </c>
      <c r="E95" s="1140" t="s">
        <v>138</v>
      </c>
      <c r="F95" s="1140">
        <v>177.8</v>
      </c>
      <c r="G95" s="1140" t="s">
        <v>28</v>
      </c>
      <c r="H95" s="1151" t="s">
        <v>485</v>
      </c>
      <c r="I95" s="432">
        <v>148.37</v>
      </c>
      <c r="J95" s="1151">
        <v>170</v>
      </c>
      <c r="K95" s="1150"/>
      <c r="L95" s="1151">
        <v>95</v>
      </c>
      <c r="M95" s="1150"/>
      <c r="N95" s="1151">
        <v>0.3</v>
      </c>
      <c r="O95" s="1145"/>
      <c r="P95" s="668">
        <v>10.35950553820205</v>
      </c>
      <c r="Q95" s="448">
        <f>(15*J95)/100</f>
        <v>25.5</v>
      </c>
      <c r="R95" s="432">
        <v>7.2830000000000004</v>
      </c>
      <c r="S95" s="432">
        <v>7.806</v>
      </c>
      <c r="T95" s="432">
        <v>0</v>
      </c>
      <c r="U95" s="432">
        <f>T95/R95</f>
        <v>0</v>
      </c>
      <c r="V95" s="432">
        <f t="shared" si="21"/>
        <v>6.6999743786830601</v>
      </c>
      <c r="W95" s="432">
        <v>0.3</v>
      </c>
      <c r="X95" s="432">
        <f t="shared" si="22"/>
        <v>0.30611764705882355</v>
      </c>
      <c r="Y95" s="432">
        <f t="shared" si="23"/>
        <v>7.1737549999999999</v>
      </c>
      <c r="Z95" s="432">
        <f t="shared" si="23"/>
        <v>7.6889099999999999</v>
      </c>
      <c r="AA95" s="432">
        <f t="shared" si="23"/>
        <v>0</v>
      </c>
      <c r="AB95" s="432">
        <f t="shared" si="24"/>
        <v>0</v>
      </c>
      <c r="AC95" s="432">
        <f t="shared" si="24"/>
        <v>6.6999743786830601</v>
      </c>
      <c r="AD95" s="1147">
        <v>29</v>
      </c>
      <c r="AE95" s="432">
        <f t="shared" si="25"/>
        <v>208.038895</v>
      </c>
      <c r="AF95" s="680"/>
    </row>
    <row r="96" spans="1:32" ht="18.75" customHeight="1" x14ac:dyDescent="0.2">
      <c r="A96" s="1138">
        <v>77</v>
      </c>
      <c r="B96" s="1140" t="s">
        <v>188</v>
      </c>
      <c r="C96" s="1138" t="s">
        <v>344</v>
      </c>
      <c r="D96" s="1140">
        <v>400.5</v>
      </c>
      <c r="E96" s="1140" t="s">
        <v>345</v>
      </c>
      <c r="F96" s="1140">
        <v>177.8</v>
      </c>
      <c r="G96" s="1140"/>
      <c r="H96" s="1140"/>
      <c r="I96" s="432"/>
      <c r="J96" s="1140"/>
      <c r="K96" s="1139"/>
      <c r="L96" s="1140"/>
      <c r="M96" s="1139"/>
      <c r="N96" s="1140"/>
      <c r="O96" s="1139"/>
      <c r="P96" s="668"/>
      <c r="Q96" s="448"/>
      <c r="R96" s="432"/>
      <c r="S96" s="432"/>
      <c r="T96" s="432"/>
      <c r="U96" s="432"/>
      <c r="V96" s="432"/>
      <c r="W96" s="432"/>
      <c r="X96" s="432"/>
      <c r="Y96" s="432"/>
      <c r="Z96" s="432"/>
      <c r="AA96" s="432"/>
      <c r="AB96" s="432"/>
      <c r="AC96" s="432"/>
      <c r="AD96" s="1140"/>
      <c r="AE96" s="432"/>
      <c r="AF96" s="669"/>
    </row>
    <row r="97" spans="1:32" ht="18.75" customHeight="1" x14ac:dyDescent="0.2">
      <c r="A97" s="1138">
        <v>78</v>
      </c>
      <c r="B97" s="1140" t="s">
        <v>186</v>
      </c>
      <c r="C97" s="1138" t="s">
        <v>346</v>
      </c>
      <c r="D97" s="1140">
        <v>349.5</v>
      </c>
      <c r="E97" s="461" t="s">
        <v>347</v>
      </c>
      <c r="F97" s="1140">
        <v>177.8</v>
      </c>
      <c r="G97" s="1140"/>
      <c r="H97" s="1140"/>
      <c r="I97" s="432"/>
      <c r="J97" s="1140"/>
      <c r="K97" s="1140"/>
      <c r="L97" s="1140"/>
      <c r="M97" s="1139"/>
      <c r="N97" s="1140"/>
      <c r="O97" s="1139"/>
      <c r="P97" s="668"/>
      <c r="Q97" s="448"/>
      <c r="R97" s="432"/>
      <c r="S97" s="432"/>
      <c r="T97" s="432"/>
      <c r="U97" s="432"/>
      <c r="V97" s="432"/>
      <c r="W97" s="432"/>
      <c r="X97" s="432"/>
      <c r="Y97" s="432"/>
      <c r="Z97" s="432"/>
      <c r="AA97" s="432"/>
      <c r="AB97" s="432"/>
      <c r="AC97" s="432"/>
      <c r="AD97" s="1140"/>
      <c r="AE97" s="432"/>
      <c r="AF97" s="669"/>
    </row>
    <row r="98" spans="1:32" ht="18.75" customHeight="1" x14ac:dyDescent="0.25">
      <c r="A98" s="869"/>
      <c r="B98" s="847"/>
      <c r="C98" s="852"/>
      <c r="D98" s="852"/>
      <c r="E98" s="848"/>
      <c r="F98" s="1136"/>
      <c r="G98" s="1131"/>
      <c r="H98" s="1135"/>
      <c r="I98" s="1135"/>
      <c r="J98" s="1136"/>
      <c r="K98" s="1136"/>
      <c r="L98" s="1136"/>
      <c r="M98" s="1136"/>
      <c r="N98" s="1136"/>
      <c r="O98" s="1136"/>
      <c r="P98" s="448"/>
      <c r="Q98" s="448"/>
      <c r="R98" s="466">
        <f>SUM(R92:R97)</f>
        <v>20.301000000000002</v>
      </c>
      <c r="S98" s="466">
        <f>SUM(S92:S97)</f>
        <v>32.817</v>
      </c>
      <c r="T98" s="466">
        <f>SUM(T92:T95)</f>
        <v>0</v>
      </c>
      <c r="U98" s="466">
        <f>SUM(U92:U95)</f>
        <v>0</v>
      </c>
      <c r="V98" s="1131"/>
      <c r="W98" s="1131"/>
      <c r="X98" s="1131"/>
      <c r="Y98" s="466">
        <v>29.614999999999998</v>
      </c>
      <c r="Z98" s="466">
        <f>SUM(Z92:Z97)</f>
        <v>32.324745</v>
      </c>
      <c r="AA98" s="466">
        <f>SUM(AA92:AA95)</f>
        <v>0</v>
      </c>
      <c r="AB98" s="466">
        <f>AA98/Y98</f>
        <v>0</v>
      </c>
      <c r="AC98" s="1131"/>
      <c r="AD98" s="1136"/>
      <c r="AE98" s="466">
        <f>SUM(AE92:AE97)</f>
        <v>579.89806499999997</v>
      </c>
      <c r="AF98" s="471"/>
    </row>
    <row r="99" spans="1:32" ht="18.75" customHeight="1" x14ac:dyDescent="0.25">
      <c r="A99" s="869"/>
      <c r="B99" s="847"/>
      <c r="C99" s="852"/>
      <c r="D99" s="852"/>
      <c r="E99" s="848"/>
      <c r="F99" s="1139"/>
      <c r="G99" s="1140"/>
      <c r="H99" s="1140"/>
      <c r="I99" s="432"/>
      <c r="J99" s="1140"/>
      <c r="K99" s="1139"/>
      <c r="L99" s="1140"/>
      <c r="M99" s="1139"/>
      <c r="N99" s="668"/>
      <c r="O99" s="1139"/>
      <c r="P99" s="682"/>
      <c r="Q99" s="682"/>
      <c r="R99" s="466"/>
      <c r="S99" s="466"/>
      <c r="T99" s="466"/>
      <c r="U99" s="466"/>
      <c r="V99" s="466"/>
      <c r="W99" s="466"/>
      <c r="X99" s="466"/>
      <c r="Y99" s="466"/>
      <c r="Z99" s="678"/>
      <c r="AA99" s="466"/>
      <c r="AB99" s="466"/>
      <c r="AC99" s="466"/>
      <c r="AD99" s="466"/>
      <c r="AE99" s="466"/>
      <c r="AF99" s="680"/>
    </row>
    <row r="100" spans="1:32" ht="18.75" customHeight="1" x14ac:dyDescent="0.25">
      <c r="A100" s="869"/>
      <c r="B100" s="849"/>
      <c r="C100" s="850"/>
      <c r="D100" s="850"/>
      <c r="E100" s="851" t="s">
        <v>472</v>
      </c>
      <c r="F100" s="850"/>
      <c r="G100" s="1131"/>
      <c r="H100" s="1135"/>
      <c r="I100" s="1135"/>
      <c r="J100" s="1136"/>
      <c r="K100" s="1136"/>
      <c r="L100" s="1136"/>
      <c r="M100" s="1136"/>
      <c r="N100" s="1136"/>
      <c r="O100" s="1136"/>
      <c r="P100" s="448"/>
      <c r="Q100" s="448"/>
      <c r="R100" s="1136"/>
      <c r="S100" s="1136"/>
      <c r="T100" s="1136"/>
      <c r="U100" s="1131"/>
      <c r="V100" s="1131"/>
      <c r="W100" s="1131"/>
      <c r="X100" s="1131"/>
      <c r="Y100" s="1136"/>
      <c r="Z100" s="1136"/>
      <c r="AA100" s="1136"/>
      <c r="AB100" s="1131"/>
      <c r="AC100" s="1131"/>
      <c r="AD100" s="1136"/>
      <c r="AE100" s="1136"/>
      <c r="AF100" s="1135"/>
    </row>
    <row r="101" spans="1:32" ht="18.75" customHeight="1" x14ac:dyDescent="0.2">
      <c r="A101" s="1140">
        <v>79</v>
      </c>
      <c r="B101" s="1137" t="s">
        <v>107</v>
      </c>
      <c r="C101" s="1136" t="s">
        <v>109</v>
      </c>
      <c r="D101" s="1136"/>
      <c r="E101" s="1136"/>
      <c r="F101" s="1136"/>
      <c r="G101" s="1131"/>
      <c r="H101" s="1135"/>
      <c r="I101" s="1135"/>
      <c r="J101" s="1136"/>
      <c r="K101" s="1136"/>
      <c r="L101" s="1136"/>
      <c r="M101" s="1136"/>
      <c r="N101" s="1136"/>
      <c r="O101" s="1136"/>
      <c r="P101" s="448"/>
      <c r="Q101" s="448"/>
      <c r="R101" s="1136"/>
      <c r="S101" s="1136"/>
      <c r="T101" s="1136"/>
      <c r="U101" s="1131"/>
      <c r="V101" s="1131"/>
      <c r="W101" s="1131"/>
      <c r="X101" s="1131"/>
      <c r="Y101" s="1135"/>
      <c r="Z101" s="1135"/>
      <c r="AA101" s="1136"/>
      <c r="AB101" s="1131"/>
      <c r="AC101" s="1131"/>
      <c r="AD101" s="493"/>
      <c r="AE101" s="1136"/>
      <c r="AF101" s="1135"/>
    </row>
    <row r="102" spans="1:32" ht="18.75" customHeight="1" x14ac:dyDescent="0.2">
      <c r="A102" s="1140">
        <v>80</v>
      </c>
      <c r="B102" s="1137" t="s">
        <v>108</v>
      </c>
      <c r="C102" s="1136" t="s">
        <v>109</v>
      </c>
      <c r="D102" s="1136"/>
      <c r="E102" s="1136"/>
      <c r="F102" s="1136"/>
      <c r="G102" s="1131"/>
      <c r="H102" s="1135"/>
      <c r="I102" s="1135"/>
      <c r="J102" s="1136"/>
      <c r="K102" s="1136"/>
      <c r="L102" s="1136"/>
      <c r="M102" s="1136"/>
      <c r="N102" s="1136"/>
      <c r="O102" s="1136"/>
      <c r="P102" s="448"/>
      <c r="Q102" s="448"/>
      <c r="R102" s="437"/>
      <c r="S102" s="1136"/>
      <c r="T102" s="1136"/>
      <c r="U102" s="1131"/>
      <c r="V102" s="1131"/>
      <c r="W102" s="1131"/>
      <c r="X102" s="1131"/>
      <c r="Y102" s="1135"/>
      <c r="Z102" s="1135"/>
      <c r="AA102" s="1136"/>
      <c r="AB102" s="1131"/>
      <c r="AC102" s="1131"/>
      <c r="AD102" s="493"/>
      <c r="AE102" s="1136"/>
      <c r="AF102" s="1135"/>
    </row>
    <row r="103" spans="1:32" ht="18.75" customHeight="1" x14ac:dyDescent="0.2">
      <c r="A103" s="1140">
        <v>81</v>
      </c>
      <c r="B103" s="1137" t="s">
        <v>195</v>
      </c>
      <c r="C103" s="1138" t="s">
        <v>484</v>
      </c>
      <c r="D103" s="1136"/>
      <c r="E103" s="1136"/>
      <c r="F103" s="1136"/>
      <c r="G103" s="1131"/>
      <c r="H103" s="1135"/>
      <c r="I103" s="1135"/>
      <c r="J103" s="1136"/>
      <c r="K103" s="1136"/>
      <c r="L103" s="1136"/>
      <c r="M103" s="1136"/>
      <c r="N103" s="1136"/>
      <c r="O103" s="1136"/>
      <c r="P103" s="448"/>
      <c r="Q103" s="448"/>
      <c r="R103" s="1136"/>
      <c r="S103" s="1136"/>
      <c r="T103" s="1136"/>
      <c r="U103" s="1131"/>
      <c r="V103" s="1131"/>
      <c r="W103" s="1131"/>
      <c r="X103" s="1131"/>
      <c r="Y103" s="1135"/>
      <c r="Z103" s="1135"/>
      <c r="AA103" s="1136"/>
      <c r="AB103" s="1131"/>
      <c r="AC103" s="1131"/>
      <c r="AD103" s="493"/>
      <c r="AE103" s="1136"/>
      <c r="AF103" s="1135"/>
    </row>
    <row r="104" spans="1:32" ht="18.75" customHeight="1" x14ac:dyDescent="0.2">
      <c r="A104" s="1140">
        <v>82</v>
      </c>
      <c r="B104" s="1137" t="s">
        <v>192</v>
      </c>
      <c r="C104" s="1138" t="s">
        <v>484</v>
      </c>
      <c r="D104" s="1136"/>
      <c r="E104" s="1136"/>
      <c r="F104" s="1136"/>
      <c r="G104" s="1131"/>
      <c r="H104" s="1135"/>
      <c r="I104" s="1135"/>
      <c r="J104" s="1136"/>
      <c r="K104" s="1136"/>
      <c r="L104" s="1136"/>
      <c r="M104" s="1136"/>
      <c r="N104" s="1136"/>
      <c r="O104" s="1136"/>
      <c r="P104" s="448"/>
      <c r="Q104" s="448"/>
      <c r="R104" s="1136"/>
      <c r="S104" s="1136"/>
      <c r="T104" s="1136"/>
      <c r="U104" s="1131"/>
      <c r="V104" s="1131"/>
      <c r="W104" s="1131"/>
      <c r="X104" s="1131"/>
      <c r="Y104" s="1135"/>
      <c r="Z104" s="1135"/>
      <c r="AA104" s="1136"/>
      <c r="AB104" s="1131"/>
      <c r="AC104" s="1131"/>
      <c r="AD104" s="493"/>
      <c r="AE104" s="1136"/>
      <c r="AF104" s="1135"/>
    </row>
    <row r="105" spans="1:32" ht="18.75" customHeight="1" x14ac:dyDescent="0.2">
      <c r="A105" s="1140"/>
      <c r="B105" s="851"/>
      <c r="C105" s="850"/>
      <c r="D105" s="850"/>
      <c r="E105" s="1135" t="s">
        <v>278</v>
      </c>
      <c r="F105" s="850"/>
      <c r="G105" s="1131"/>
      <c r="H105" s="1135"/>
      <c r="I105" s="1135"/>
      <c r="J105" s="1136"/>
      <c r="K105" s="1136"/>
      <c r="L105" s="1136"/>
      <c r="M105" s="1136"/>
      <c r="N105" s="1136"/>
      <c r="O105" s="1136"/>
      <c r="P105" s="448"/>
      <c r="Q105" s="448"/>
      <c r="R105" s="1136"/>
      <c r="S105" s="1136"/>
      <c r="T105" s="1136"/>
      <c r="U105" s="1131"/>
      <c r="V105" s="1131"/>
      <c r="W105" s="1131"/>
      <c r="X105" s="1131"/>
      <c r="Y105" s="437"/>
      <c r="Z105" s="1136"/>
      <c r="AA105" s="1136"/>
      <c r="AB105" s="1131"/>
      <c r="AC105" s="1131"/>
      <c r="AD105" s="1136"/>
      <c r="AE105" s="1136"/>
      <c r="AF105" s="1135"/>
    </row>
    <row r="106" spans="1:32" ht="18.75" customHeight="1" x14ac:dyDescent="0.2">
      <c r="A106" s="1140">
        <v>83</v>
      </c>
      <c r="B106" s="461" t="s">
        <v>189</v>
      </c>
      <c r="C106" s="1140" t="s">
        <v>46</v>
      </c>
      <c r="D106" s="1140">
        <v>673</v>
      </c>
      <c r="E106" s="1140" t="s">
        <v>190</v>
      </c>
      <c r="F106" s="1140">
        <v>177.8</v>
      </c>
      <c r="G106" s="1140"/>
      <c r="H106" s="1140"/>
      <c r="I106" s="1136"/>
      <c r="J106" s="1136"/>
      <c r="K106" s="1136"/>
      <c r="L106" s="1136"/>
      <c r="M106" s="1136"/>
      <c r="N106" s="1136"/>
      <c r="O106" s="1136"/>
      <c r="P106" s="448"/>
      <c r="Q106" s="448"/>
      <c r="R106" s="1136"/>
      <c r="S106" s="1136"/>
      <c r="T106" s="1136"/>
      <c r="U106" s="1131"/>
      <c r="V106" s="1131"/>
      <c r="W106" s="1131"/>
      <c r="X106" s="1131"/>
      <c r="Y106" s="473"/>
      <c r="Z106" s="683"/>
      <c r="AA106" s="1135"/>
      <c r="AB106" s="1131"/>
      <c r="AC106" s="1136"/>
      <c r="AD106" s="1140"/>
      <c r="AE106" s="432"/>
      <c r="AF106" s="449"/>
    </row>
    <row r="107" spans="1:32" ht="18.75" customHeight="1" x14ac:dyDescent="0.3">
      <c r="A107" s="1140">
        <v>84</v>
      </c>
      <c r="B107" s="461" t="s">
        <v>181</v>
      </c>
      <c r="C107" s="684" t="s">
        <v>344</v>
      </c>
      <c r="D107" s="1140">
        <v>374.5</v>
      </c>
      <c r="E107" s="1140" t="s">
        <v>182</v>
      </c>
      <c r="F107" s="1140">
        <v>177.8</v>
      </c>
      <c r="G107" s="1140"/>
      <c r="H107" s="1140"/>
      <c r="I107" s="1136"/>
      <c r="J107" s="1140"/>
      <c r="K107" s="1140"/>
      <c r="L107" s="1140"/>
      <c r="M107" s="1140"/>
      <c r="N107" s="668"/>
      <c r="O107" s="1140"/>
      <c r="P107" s="432"/>
      <c r="Q107" s="668"/>
      <c r="R107" s="432"/>
      <c r="S107" s="432"/>
      <c r="T107" s="432"/>
      <c r="U107" s="432"/>
      <c r="V107" s="432"/>
      <c r="W107" s="432"/>
      <c r="X107" s="685"/>
      <c r="Y107" s="432"/>
      <c r="Z107" s="432"/>
      <c r="AA107" s="432"/>
      <c r="AB107" s="432"/>
      <c r="AC107" s="432"/>
      <c r="AD107" s="1140"/>
      <c r="AE107" s="432"/>
      <c r="AF107" s="449"/>
    </row>
    <row r="108" spans="1:32" ht="18.75" customHeight="1" x14ac:dyDescent="0.2">
      <c r="A108" s="1140">
        <v>85</v>
      </c>
      <c r="B108" s="461" t="s">
        <v>174</v>
      </c>
      <c r="C108" s="1140" t="s">
        <v>46</v>
      </c>
      <c r="D108" s="1140">
        <v>672</v>
      </c>
      <c r="E108" s="1140" t="s">
        <v>175</v>
      </c>
      <c r="F108" s="1140">
        <v>177.8</v>
      </c>
      <c r="G108" s="1140"/>
      <c r="H108" s="1140"/>
      <c r="I108" s="1136"/>
      <c r="J108" s="1140"/>
      <c r="K108" s="1140"/>
      <c r="L108" s="1140"/>
      <c r="M108" s="1140"/>
      <c r="N108" s="668"/>
      <c r="O108" s="1140"/>
      <c r="P108" s="668"/>
      <c r="Q108" s="668"/>
      <c r="R108" s="432"/>
      <c r="S108" s="432"/>
      <c r="T108" s="432"/>
      <c r="U108" s="432"/>
      <c r="V108" s="432"/>
      <c r="W108" s="432"/>
      <c r="X108" s="432"/>
      <c r="Y108" s="432"/>
      <c r="Z108" s="432"/>
      <c r="AA108" s="432"/>
      <c r="AB108" s="432"/>
      <c r="AC108" s="432"/>
      <c r="AD108" s="1140"/>
      <c r="AE108" s="432"/>
      <c r="AF108" s="449"/>
    </row>
    <row r="109" spans="1:32" ht="18.75" customHeight="1" x14ac:dyDescent="0.2">
      <c r="A109" s="1140">
        <v>86</v>
      </c>
      <c r="B109" s="1137" t="s">
        <v>103</v>
      </c>
      <c r="C109" s="1140" t="s">
        <v>46</v>
      </c>
      <c r="D109" s="1136">
        <v>582</v>
      </c>
      <c r="E109" s="1136" t="s">
        <v>112</v>
      </c>
      <c r="F109" s="1140">
        <v>177.8</v>
      </c>
      <c r="G109" s="1140"/>
      <c r="H109" s="1140"/>
      <c r="I109" s="1136"/>
      <c r="J109" s="1136"/>
      <c r="K109" s="1136"/>
      <c r="L109" s="1136"/>
      <c r="M109" s="1136"/>
      <c r="N109" s="1136"/>
      <c r="O109" s="1136"/>
      <c r="P109" s="448"/>
      <c r="Q109" s="448"/>
      <c r="R109" s="1136"/>
      <c r="S109" s="1136"/>
      <c r="T109" s="1136"/>
      <c r="U109" s="1131"/>
      <c r="V109" s="1131"/>
      <c r="W109" s="1131"/>
      <c r="X109" s="421"/>
      <c r="Y109" s="492"/>
      <c r="Z109" s="1136"/>
      <c r="AA109" s="1136"/>
      <c r="AB109" s="1131"/>
      <c r="AC109" s="1136"/>
      <c r="AD109" s="493"/>
      <c r="AE109" s="437"/>
      <c r="AF109" s="449"/>
    </row>
    <row r="110" spans="1:32" ht="18.75" customHeight="1" x14ac:dyDescent="0.2">
      <c r="A110" s="1140">
        <v>87</v>
      </c>
      <c r="B110" s="1140" t="s">
        <v>57</v>
      </c>
      <c r="C110" s="1138" t="s">
        <v>314</v>
      </c>
      <c r="D110" s="1140">
        <v>376.58</v>
      </c>
      <c r="E110" s="461" t="s">
        <v>93</v>
      </c>
      <c r="F110" s="1140">
        <v>177.8</v>
      </c>
      <c r="G110" s="1140"/>
      <c r="H110" s="1140"/>
      <c r="I110" s="1136"/>
      <c r="J110" s="1136"/>
      <c r="K110" s="1136"/>
      <c r="L110" s="1136"/>
      <c r="M110" s="1136"/>
      <c r="N110" s="1136"/>
      <c r="O110" s="1136"/>
      <c r="P110" s="448"/>
      <c r="Q110" s="448"/>
      <c r="R110" s="1136"/>
      <c r="S110" s="1136"/>
      <c r="T110" s="1136"/>
      <c r="U110" s="1131"/>
      <c r="V110" s="1131"/>
      <c r="W110" s="1131"/>
      <c r="X110" s="421"/>
      <c r="Y110" s="492"/>
      <c r="Z110" s="1136"/>
      <c r="AA110" s="1136"/>
      <c r="AB110" s="1131"/>
      <c r="AC110" s="1136"/>
      <c r="AD110" s="493"/>
      <c r="AE110" s="437"/>
      <c r="AF110" s="449"/>
    </row>
    <row r="111" spans="1:32" ht="18.75" customHeight="1" x14ac:dyDescent="0.2">
      <c r="A111" s="1140">
        <v>88</v>
      </c>
      <c r="B111" s="1140" t="s">
        <v>184</v>
      </c>
      <c r="C111" s="1138" t="s">
        <v>314</v>
      </c>
      <c r="D111" s="1140">
        <v>422.78</v>
      </c>
      <c r="E111" s="461" t="s">
        <v>185</v>
      </c>
      <c r="F111" s="1140">
        <v>177.8</v>
      </c>
      <c r="G111" s="1140"/>
      <c r="H111" s="1140"/>
      <c r="I111" s="432"/>
      <c r="J111" s="1136"/>
      <c r="K111" s="1136"/>
      <c r="L111" s="1136"/>
      <c r="M111" s="1136"/>
      <c r="N111" s="1136"/>
      <c r="O111" s="1136"/>
      <c r="P111" s="448"/>
      <c r="Q111" s="448"/>
      <c r="R111" s="1136"/>
      <c r="S111" s="1136"/>
      <c r="T111" s="1136"/>
      <c r="U111" s="1131"/>
      <c r="V111" s="1131"/>
      <c r="W111" s="1131"/>
      <c r="X111" s="421"/>
      <c r="Y111" s="492"/>
      <c r="Z111" s="1136"/>
      <c r="AA111" s="1136"/>
      <c r="AB111" s="1131"/>
      <c r="AC111" s="1136"/>
      <c r="AD111" s="493"/>
      <c r="AE111" s="437"/>
      <c r="AF111" s="449"/>
    </row>
    <row r="112" spans="1:32" ht="18.75" customHeight="1" x14ac:dyDescent="0.2">
      <c r="A112" s="1140">
        <v>89</v>
      </c>
      <c r="B112" s="1137" t="s">
        <v>220</v>
      </c>
      <c r="C112" s="1140" t="s">
        <v>46</v>
      </c>
      <c r="D112" s="1136">
        <v>685.69</v>
      </c>
      <c r="E112" s="1136" t="s">
        <v>222</v>
      </c>
      <c r="F112" s="1140">
        <v>177.8</v>
      </c>
      <c r="G112" s="1140"/>
      <c r="H112" s="1140"/>
      <c r="I112" s="1136"/>
      <c r="J112" s="1136"/>
      <c r="K112" s="1136"/>
      <c r="L112" s="1136"/>
      <c r="M112" s="1136"/>
      <c r="N112" s="1136"/>
      <c r="O112" s="1136"/>
      <c r="P112" s="448"/>
      <c r="Q112" s="771"/>
      <c r="R112" s="1136"/>
      <c r="S112" s="1136"/>
      <c r="T112" s="1136"/>
      <c r="U112" s="1131"/>
      <c r="V112" s="1131"/>
      <c r="W112" s="1131"/>
      <c r="X112" s="421"/>
      <c r="Y112" s="492"/>
      <c r="Z112" s="1136"/>
      <c r="AA112" s="1136"/>
      <c r="AB112" s="1131"/>
      <c r="AC112" s="1136"/>
      <c r="AD112" s="493"/>
      <c r="AE112" s="437"/>
      <c r="AF112" s="449"/>
    </row>
    <row r="113" spans="1:32" ht="18.75" customHeight="1" x14ac:dyDescent="0.2">
      <c r="A113" s="1140"/>
      <c r="B113" s="851"/>
      <c r="C113" s="850"/>
      <c r="D113" s="850"/>
      <c r="E113" s="1135" t="s">
        <v>469</v>
      </c>
      <c r="F113" s="850"/>
      <c r="G113" s="1140"/>
      <c r="H113" s="1140"/>
      <c r="I113" s="1136"/>
      <c r="J113" s="1140"/>
      <c r="K113" s="1140"/>
      <c r="L113" s="1140"/>
      <c r="M113" s="1140"/>
      <c r="N113" s="668"/>
      <c r="O113" s="1140"/>
      <c r="P113" s="668"/>
      <c r="Q113" s="772"/>
      <c r="R113" s="432"/>
      <c r="S113" s="432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1140"/>
      <c r="AE113" s="432"/>
      <c r="AF113" s="449"/>
    </row>
    <row r="114" spans="1:32" ht="18.75" customHeight="1" x14ac:dyDescent="0.2">
      <c r="A114" s="1140">
        <v>90</v>
      </c>
      <c r="B114" s="461" t="s">
        <v>56</v>
      </c>
      <c r="C114" s="1140" t="s">
        <v>46</v>
      </c>
      <c r="D114" s="1140">
        <v>680.52</v>
      </c>
      <c r="E114" s="1140" t="s">
        <v>92</v>
      </c>
      <c r="F114" s="1140">
        <v>177.8</v>
      </c>
      <c r="G114" s="1140"/>
      <c r="H114" s="1140"/>
      <c r="I114" s="1136"/>
      <c r="J114" s="1140"/>
      <c r="K114" s="1140"/>
      <c r="L114" s="1140"/>
      <c r="M114" s="1140"/>
      <c r="N114" s="668"/>
      <c r="O114" s="1140"/>
      <c r="P114" s="668"/>
      <c r="Q114" s="772"/>
      <c r="R114" s="432"/>
      <c r="S114" s="432"/>
      <c r="T114" s="432"/>
      <c r="U114" s="432"/>
      <c r="V114" s="432"/>
      <c r="W114" s="432"/>
      <c r="X114" s="432"/>
      <c r="Y114" s="432"/>
      <c r="Z114" s="432"/>
      <c r="AA114" s="432"/>
      <c r="AB114" s="432"/>
      <c r="AC114" s="432"/>
      <c r="AD114" s="1140"/>
      <c r="AE114" s="432"/>
      <c r="AF114" s="449"/>
    </row>
    <row r="115" spans="1:32" ht="18.75" customHeight="1" x14ac:dyDescent="0.2">
      <c r="A115" s="1140"/>
      <c r="B115" s="461"/>
      <c r="C115" s="1140"/>
      <c r="D115" s="1140"/>
      <c r="E115" s="1140"/>
      <c r="F115" s="1140"/>
      <c r="G115" s="1140"/>
      <c r="H115" s="1140"/>
      <c r="I115" s="1136"/>
      <c r="J115" s="1140"/>
      <c r="K115" s="1140"/>
      <c r="L115" s="1140"/>
      <c r="M115" s="1140"/>
      <c r="N115" s="668"/>
      <c r="O115" s="1140"/>
      <c r="P115" s="432"/>
      <c r="Q115" s="772"/>
      <c r="R115" s="432"/>
      <c r="S115" s="432"/>
      <c r="T115" s="432"/>
      <c r="U115" s="432"/>
      <c r="V115" s="432"/>
      <c r="W115" s="432"/>
      <c r="X115" s="685"/>
      <c r="Y115" s="432"/>
      <c r="Z115" s="432"/>
      <c r="AA115" s="432"/>
      <c r="AB115" s="432"/>
      <c r="AC115" s="432"/>
      <c r="AD115" s="1140"/>
      <c r="AE115" s="432"/>
      <c r="AF115" s="449"/>
    </row>
    <row r="116" spans="1:32" ht="18.75" x14ac:dyDescent="0.25">
      <c r="A116" s="870"/>
      <c r="B116" s="1140"/>
      <c r="C116" s="1140"/>
      <c r="D116" s="1140"/>
      <c r="E116" s="461"/>
      <c r="F116" s="1140"/>
      <c r="G116" s="1140"/>
      <c r="H116" s="1140"/>
      <c r="I116" s="1136"/>
      <c r="J116" s="1140"/>
      <c r="K116" s="1140"/>
      <c r="L116" s="1140"/>
      <c r="M116" s="1140"/>
      <c r="N116" s="668"/>
      <c r="O116" s="1140"/>
      <c r="P116" s="432"/>
      <c r="Q116" s="772"/>
      <c r="R116" s="432"/>
      <c r="S116" s="432"/>
      <c r="T116" s="432"/>
      <c r="U116" s="432"/>
      <c r="V116" s="432"/>
      <c r="W116" s="432"/>
      <c r="X116" s="685"/>
      <c r="Y116" s="432"/>
      <c r="Z116" s="432"/>
      <c r="AA116" s="432"/>
      <c r="AB116" s="432"/>
      <c r="AC116" s="432"/>
      <c r="AD116" s="1140"/>
      <c r="AE116" s="432"/>
      <c r="AF116" s="449"/>
    </row>
    <row r="117" spans="1:32" ht="18.75" x14ac:dyDescent="0.25">
      <c r="A117" s="871"/>
      <c r="B117" s="1939"/>
      <c r="C117" s="1939"/>
      <c r="D117" s="1939"/>
      <c r="E117" s="1940"/>
      <c r="F117" s="1139"/>
      <c r="G117" s="1140"/>
      <c r="H117" s="1140"/>
      <c r="I117" s="432"/>
      <c r="J117" s="1140"/>
      <c r="K117" s="1139"/>
      <c r="L117" s="1140"/>
      <c r="M117" s="1139"/>
      <c r="N117" s="668"/>
      <c r="O117" s="1139"/>
      <c r="P117" s="682"/>
      <c r="Q117" s="774"/>
      <c r="R117" s="466">
        <f>R81+R90+R98</f>
        <v>390.19900000000001</v>
      </c>
      <c r="S117" s="466">
        <f>S81+S90+S98</f>
        <v>891.01300000000026</v>
      </c>
      <c r="T117" s="678">
        <f>T81+T90+T98</f>
        <v>6971</v>
      </c>
      <c r="U117" s="466">
        <f>T117/R117</f>
        <v>17.865243119536441</v>
      </c>
      <c r="V117" s="466"/>
      <c r="W117" s="466"/>
      <c r="X117" s="466"/>
      <c r="Y117" s="466">
        <f>Y81+Y90+Y98</f>
        <v>389.3370000000001</v>
      </c>
      <c r="Z117" s="466">
        <f>Z81+Z98+Z90</f>
        <v>867.41168499999992</v>
      </c>
      <c r="AA117" s="678">
        <f>AA81+AA98+AA90</f>
        <v>18944.504999999997</v>
      </c>
      <c r="AB117" s="466">
        <f>AB81+AB98+AB90</f>
        <v>18.956736035049278</v>
      </c>
      <c r="AC117" s="466"/>
      <c r="AD117" s="466"/>
      <c r="AE117" s="686">
        <f>AE81+AE90+AE98</f>
        <v>10238.467255000003</v>
      </c>
      <c r="AF117" s="68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9726.5438922500034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143"/>
      <c r="Y120" s="1143"/>
      <c r="Z120" s="1143"/>
      <c r="AA120" s="1143"/>
      <c r="AB120" s="1143"/>
      <c r="AC120" s="1143"/>
      <c r="AD120" s="1143"/>
      <c r="AE120" s="1143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264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143" t="s">
        <v>373</v>
      </c>
      <c r="AC121" s="1143"/>
      <c r="AD121" s="1143"/>
      <c r="AE121" s="1143"/>
      <c r="AF121" s="1143"/>
    </row>
    <row r="122" spans="1:32" x14ac:dyDescent="0.2">
      <c r="R122" s="1124"/>
    </row>
  </sheetData>
  <mergeCells count="33">
    <mergeCell ref="U13:U14"/>
    <mergeCell ref="AF13:AF14"/>
    <mergeCell ref="B117:E117"/>
    <mergeCell ref="K119:M119"/>
    <mergeCell ref="AB13:AB14"/>
    <mergeCell ref="AC13:AC14"/>
    <mergeCell ref="F121:H121"/>
    <mergeCell ref="X121:AA121"/>
    <mergeCell ref="V13:V14"/>
    <mergeCell ref="W13:W14"/>
    <mergeCell ref="X13:X14"/>
    <mergeCell ref="Y13:AA13"/>
    <mergeCell ref="G12:G14"/>
    <mergeCell ref="H12:W12"/>
    <mergeCell ref="X12:AF12"/>
    <mergeCell ref="H13:H14"/>
    <mergeCell ref="F12:F13"/>
    <mergeCell ref="K13:L13"/>
    <mergeCell ref="M13:N13"/>
    <mergeCell ref="O13:P13"/>
    <mergeCell ref="R13:T13"/>
    <mergeCell ref="I13:I14"/>
    <mergeCell ref="I1:X1"/>
    <mergeCell ref="J2:W2"/>
    <mergeCell ref="A3:D3"/>
    <mergeCell ref="A8:E8"/>
    <mergeCell ref="A9:E9"/>
    <mergeCell ref="B10:E10"/>
    <mergeCell ref="A12:A14"/>
    <mergeCell ref="B12:B14"/>
    <mergeCell ref="C12:C14"/>
    <mergeCell ref="D12:D13"/>
    <mergeCell ref="E12:E13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K125"/>
  <sheetViews>
    <sheetView topLeftCell="A10" zoomScale="55" zoomScaleNormal="55" workbookViewId="0">
      <pane xSplit="4" ySplit="6" topLeftCell="E115" activePane="bottomRight" state="frozen"/>
      <selection activeCell="A10" sqref="A10"/>
      <selection pane="topRight" activeCell="E10" sqref="E10"/>
      <selection pane="bottomLeft" activeCell="A16" sqref="A16"/>
      <selection pane="bottomRight" activeCell="E15" sqref="E15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20" style="666" customWidth="1"/>
    <col min="4" max="4" width="8.85546875" style="666" customWidth="1"/>
    <col min="5" max="5" width="101" style="666" customWidth="1"/>
    <col min="6" max="6" width="9.28515625" style="666" bestFit="1" customWidth="1"/>
    <col min="7" max="7" width="8.85546875" style="666"/>
    <col min="8" max="8" width="22" style="666" customWidth="1"/>
    <col min="9" max="9" width="14.7109375" style="666" customWidth="1"/>
    <col min="10" max="11" width="9.28515625" style="666" bestFit="1" customWidth="1"/>
    <col min="12" max="12" width="10.5703125" style="666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666" customWidth="1"/>
    <col min="19" max="19" width="10.7109375" style="666" customWidth="1"/>
    <col min="20" max="20" width="9.85546875" style="666" customWidth="1"/>
    <col min="21" max="21" width="12.85546875" style="666" customWidth="1"/>
    <col min="22" max="22" width="9.7109375" style="666" customWidth="1"/>
    <col min="23" max="23" width="9.28515625" style="666" bestFit="1" customWidth="1"/>
    <col min="24" max="24" width="11.28515625" style="666" customWidth="1"/>
    <col min="25" max="25" width="9.5703125" style="666" customWidth="1"/>
    <col min="26" max="26" width="10.85546875" style="666" customWidth="1"/>
    <col min="27" max="27" width="9.28515625" style="666" customWidth="1"/>
    <col min="28" max="28" width="13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186.42578125" style="666" customWidth="1"/>
    <col min="33" max="33" width="25.7109375" style="666" customWidth="1"/>
    <col min="34" max="34" width="12.5703125" style="666" bestFit="1" customWidth="1"/>
    <col min="35" max="16384" width="8.85546875" style="666"/>
  </cols>
  <sheetData>
    <row r="1" spans="1:37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37" ht="18.75" x14ac:dyDescent="0.3">
      <c r="A2" s="656"/>
      <c r="B2" s="656"/>
      <c r="C2" s="656"/>
      <c r="D2" s="656"/>
      <c r="E2" s="656"/>
      <c r="F2" s="1156"/>
      <c r="G2" s="1152"/>
      <c r="H2" s="1152"/>
      <c r="I2" s="1156"/>
      <c r="J2" s="1909" t="s">
        <v>577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156"/>
      <c r="Y2" s="1156"/>
      <c r="Z2" s="1156"/>
      <c r="AA2" s="1156"/>
      <c r="AB2" s="1156"/>
      <c r="AC2" s="1156"/>
      <c r="AD2" s="1156"/>
      <c r="AE2" s="1156"/>
      <c r="AF2" s="405"/>
    </row>
    <row r="3" spans="1:37" ht="18.75" x14ac:dyDescent="0.25">
      <c r="A3" s="1910" t="s">
        <v>54</v>
      </c>
      <c r="B3" s="1910"/>
      <c r="C3" s="1910"/>
      <c r="D3" s="1910"/>
      <c r="E3" s="1156"/>
      <c r="F3" s="1156"/>
      <c r="G3" s="1152"/>
      <c r="H3" s="1155"/>
      <c r="I3" s="1155"/>
      <c r="J3" s="1155"/>
      <c r="K3" s="1155"/>
      <c r="L3" s="1155"/>
      <c r="M3" s="1155"/>
      <c r="N3" s="1155"/>
      <c r="O3" s="1155"/>
      <c r="P3" s="1155"/>
      <c r="Q3" s="767"/>
      <c r="R3" s="1156"/>
      <c r="S3" s="1156"/>
      <c r="T3" s="1156"/>
      <c r="U3" s="1156"/>
      <c r="V3" s="1156"/>
      <c r="W3" s="1156"/>
      <c r="X3" s="1156"/>
      <c r="Y3" s="1156"/>
      <c r="Z3" s="1156"/>
      <c r="AA3" s="1156"/>
      <c r="AB3" s="1156"/>
      <c r="AC3" s="1156"/>
      <c r="AD3" s="1156"/>
      <c r="AE3" s="1156"/>
      <c r="AF3" s="1170" t="s">
        <v>574</v>
      </c>
    </row>
    <row r="4" spans="1:37" ht="18.75" x14ac:dyDescent="0.2">
      <c r="A4" s="1153"/>
      <c r="B4" s="1153"/>
      <c r="C4" s="1153"/>
      <c r="D4" s="1153"/>
      <c r="E4" s="1156"/>
      <c r="F4" s="1156"/>
      <c r="G4" s="1152"/>
      <c r="H4" s="1155"/>
      <c r="I4" s="1155"/>
      <c r="J4" s="1155"/>
      <c r="K4" s="1155"/>
      <c r="L4" s="1155"/>
      <c r="M4" s="1155"/>
      <c r="N4" s="1155"/>
      <c r="O4" s="1155"/>
      <c r="P4" s="1155"/>
      <c r="Q4" s="767"/>
      <c r="R4" s="1156"/>
      <c r="S4" s="1156"/>
      <c r="T4" s="1156"/>
      <c r="U4" s="1156"/>
      <c r="V4" s="1156"/>
      <c r="W4" s="1156"/>
      <c r="X4" s="1156"/>
      <c r="Y4" s="1156"/>
      <c r="Z4" s="1156"/>
      <c r="AA4" s="1156"/>
      <c r="AB4" s="1156"/>
      <c r="AC4" s="1156"/>
      <c r="AD4" s="1156"/>
      <c r="AE4" s="1156"/>
      <c r="AF4" s="408"/>
    </row>
    <row r="5" spans="1:37" ht="18.75" x14ac:dyDescent="0.2">
      <c r="A5" s="1154" t="s">
        <v>494</v>
      </c>
      <c r="B5" s="1154"/>
      <c r="C5" s="1154"/>
      <c r="D5" s="1154"/>
      <c r="E5" s="1154"/>
      <c r="F5" s="1156"/>
      <c r="G5" s="1152"/>
      <c r="H5" s="1152"/>
      <c r="I5" s="1155"/>
      <c r="J5" s="1155"/>
      <c r="K5" s="1155"/>
      <c r="L5" s="1155"/>
      <c r="M5" s="1155"/>
      <c r="N5" s="1155"/>
      <c r="O5" s="1155"/>
      <c r="P5" s="1155"/>
      <c r="Q5" s="767"/>
      <c r="R5" s="1157"/>
      <c r="S5" s="1157"/>
      <c r="T5" s="1157"/>
      <c r="U5" s="1157"/>
      <c r="V5" s="1157"/>
      <c r="W5" s="1157"/>
      <c r="X5" s="1156"/>
      <c r="Y5" s="1156"/>
      <c r="Z5" s="1156"/>
      <c r="AA5" s="1156"/>
      <c r="AB5" s="1156"/>
      <c r="AC5" s="1156"/>
      <c r="AD5" s="1156"/>
      <c r="AE5" s="1156"/>
      <c r="AF5" s="411" t="s">
        <v>570</v>
      </c>
    </row>
    <row r="6" spans="1:37" ht="18.75" x14ac:dyDescent="0.2">
      <c r="A6" s="1154" t="s">
        <v>581</v>
      </c>
      <c r="B6" s="412"/>
      <c r="C6" s="412"/>
      <c r="D6" s="412"/>
      <c r="E6" s="1156"/>
      <c r="F6" s="1156"/>
      <c r="G6" s="1152"/>
      <c r="H6" s="1152"/>
      <c r="I6" s="1156"/>
      <c r="J6" s="1156"/>
      <c r="K6" s="1152"/>
      <c r="L6" s="1152"/>
      <c r="M6" s="1156"/>
      <c r="N6" s="1156"/>
      <c r="O6" s="1156"/>
      <c r="P6" s="413"/>
      <c r="Q6" s="768"/>
      <c r="R6" s="1156"/>
      <c r="S6" s="1156"/>
      <c r="T6" s="1156"/>
      <c r="U6" s="1156"/>
      <c r="V6" s="1156"/>
      <c r="W6" s="1156"/>
      <c r="X6" s="1156"/>
      <c r="Y6" s="1156"/>
      <c r="Z6" s="1156"/>
      <c r="AA6" s="1156"/>
      <c r="AB6" s="1156"/>
      <c r="AC6" s="1156"/>
      <c r="AD6" s="1156"/>
      <c r="AE6" s="1156"/>
      <c r="AF6" s="415" t="s">
        <v>562</v>
      </c>
    </row>
    <row r="7" spans="1:37" ht="18.75" x14ac:dyDescent="0.2">
      <c r="A7" s="1156"/>
      <c r="B7" s="1154"/>
      <c r="C7" s="1154"/>
      <c r="D7" s="1154"/>
      <c r="E7" s="1156"/>
      <c r="F7" s="1156"/>
      <c r="G7" s="1152"/>
      <c r="H7" s="1152"/>
      <c r="I7" s="405"/>
      <c r="J7" s="1156"/>
      <c r="K7" s="1152"/>
      <c r="L7" s="1152"/>
      <c r="M7" s="1156"/>
      <c r="N7" s="1156"/>
      <c r="O7" s="1156"/>
      <c r="P7" s="413"/>
      <c r="Q7" s="768"/>
      <c r="R7" s="1156"/>
      <c r="S7" s="1156"/>
      <c r="T7" s="1156"/>
      <c r="U7" s="1156"/>
      <c r="V7" s="1156"/>
      <c r="W7" s="411"/>
      <c r="X7" s="1156"/>
      <c r="Y7" s="412"/>
      <c r="Z7" s="412"/>
      <c r="AA7" s="412"/>
      <c r="AB7" s="412"/>
      <c r="AC7" s="412"/>
      <c r="AD7" s="412"/>
      <c r="AE7" s="412"/>
      <c r="AF7" s="417"/>
    </row>
    <row r="8" spans="1:37" ht="18.75" x14ac:dyDescent="0.2">
      <c r="A8" s="1911" t="s">
        <v>569</v>
      </c>
      <c r="B8" s="1911"/>
      <c r="C8" s="1911"/>
      <c r="D8" s="1911"/>
      <c r="E8" s="1911"/>
      <c r="F8" s="1156"/>
      <c r="G8" s="1152"/>
      <c r="H8" s="1152"/>
      <c r="I8" s="405"/>
      <c r="J8" s="1156"/>
      <c r="K8" s="1152"/>
      <c r="L8" s="1152"/>
      <c r="M8" s="1156"/>
      <c r="N8" s="1156"/>
      <c r="O8" s="1156"/>
      <c r="P8" s="413"/>
      <c r="Q8" s="768"/>
      <c r="R8" s="1156"/>
      <c r="S8" s="1156"/>
      <c r="T8" s="1156"/>
      <c r="U8" s="1156"/>
      <c r="V8" s="1156"/>
      <c r="W8" s="411"/>
      <c r="X8" s="1156"/>
      <c r="Y8" s="412"/>
      <c r="Z8" s="412"/>
      <c r="AA8" s="412"/>
      <c r="AB8" s="412"/>
      <c r="AC8" s="1167"/>
      <c r="AD8" s="1167"/>
      <c r="AE8" s="1167"/>
      <c r="AF8" s="411" t="s">
        <v>575</v>
      </c>
    </row>
    <row r="9" spans="1:37" ht="18.75" x14ac:dyDescent="0.25">
      <c r="A9" s="1911" t="s">
        <v>581</v>
      </c>
      <c r="B9" s="1911"/>
      <c r="C9" s="1911"/>
      <c r="D9" s="1911"/>
      <c r="E9" s="1911"/>
      <c r="F9" s="1156"/>
      <c r="G9" s="1152"/>
      <c r="H9" s="1152"/>
      <c r="I9" s="405"/>
      <c r="J9" s="1156"/>
      <c r="K9" s="1152"/>
      <c r="L9" s="1152"/>
      <c r="M9" s="1156"/>
      <c r="N9" s="1156"/>
      <c r="O9" s="1156"/>
      <c r="P9" s="413"/>
      <c r="Q9" s="768"/>
      <c r="R9" s="1156"/>
      <c r="S9" s="1156"/>
      <c r="T9" s="1156"/>
      <c r="U9" s="1156"/>
      <c r="V9" s="1156"/>
      <c r="W9" s="411"/>
      <c r="X9" s="1156"/>
      <c r="Y9" s="412"/>
      <c r="Z9" s="412"/>
      <c r="AA9" s="412"/>
      <c r="AB9" s="412"/>
      <c r="AC9" s="1167"/>
      <c r="AD9" s="1167"/>
      <c r="AE9" s="1167"/>
      <c r="AF9" s="1955" t="s">
        <v>576</v>
      </c>
      <c r="AG9" s="1955"/>
    </row>
    <row r="10" spans="1:37" ht="18.75" x14ac:dyDescent="0.3">
      <c r="A10" s="667"/>
      <c r="B10" s="1911"/>
      <c r="C10" s="1911"/>
      <c r="D10" s="1911"/>
      <c r="E10" s="1911"/>
      <c r="F10" s="1156"/>
      <c r="G10" s="1152"/>
      <c r="H10" s="1152"/>
      <c r="I10" s="1156"/>
      <c r="J10" s="1156"/>
      <c r="K10" s="1152"/>
      <c r="L10" s="1152"/>
      <c r="M10" s="1152"/>
      <c r="N10" s="1152"/>
      <c r="O10" s="1152"/>
      <c r="P10" s="1152"/>
      <c r="Q10" s="769"/>
      <c r="R10" s="1152"/>
      <c r="S10" s="1152"/>
      <c r="T10" s="1152"/>
      <c r="U10" s="1152"/>
      <c r="V10" s="1152"/>
      <c r="W10" s="1156"/>
      <c r="X10" s="1156"/>
      <c r="Y10" s="412"/>
      <c r="Z10" s="412"/>
      <c r="AA10" s="412"/>
      <c r="AB10" s="412"/>
      <c r="AF10" s="415" t="s">
        <v>562</v>
      </c>
    </row>
    <row r="11" spans="1:37" ht="48" customHeight="1" x14ac:dyDescent="0.25">
      <c r="A11" s="868"/>
      <c r="B11" s="1152"/>
      <c r="C11" s="1152"/>
      <c r="D11" s="1152"/>
      <c r="E11" s="1156"/>
      <c r="F11" s="1156"/>
      <c r="G11" s="1152"/>
      <c r="H11" s="1152"/>
      <c r="I11" s="405"/>
      <c r="J11" s="1156"/>
      <c r="K11" s="1152"/>
      <c r="L11" s="1152"/>
      <c r="M11" s="1156"/>
      <c r="N11" s="1156"/>
      <c r="O11" s="1156"/>
      <c r="P11" s="413"/>
      <c r="Q11" s="768"/>
      <c r="R11" s="1156"/>
      <c r="S11" s="1156"/>
      <c r="T11" s="1156"/>
      <c r="U11" s="1156"/>
      <c r="V11" s="1156"/>
      <c r="W11" s="411"/>
      <c r="X11" s="1156"/>
      <c r="Y11" s="412"/>
      <c r="Z11" s="412"/>
      <c r="AA11" s="412"/>
      <c r="AB11" s="412"/>
    </row>
    <row r="12" spans="1:37" ht="31.5" customHeight="1" thickBot="1" x14ac:dyDescent="0.3">
      <c r="A12" s="868"/>
      <c r="B12" s="1159"/>
      <c r="C12" s="1159"/>
      <c r="D12" s="1159"/>
      <c r="E12" s="1167"/>
      <c r="F12" s="1167"/>
      <c r="G12" s="1159"/>
      <c r="H12" s="1159"/>
      <c r="I12" s="405"/>
      <c r="J12" s="1167"/>
      <c r="K12" s="1159"/>
      <c r="L12" s="1159"/>
      <c r="M12" s="1167"/>
      <c r="N12" s="1167"/>
      <c r="O12" s="1167"/>
      <c r="P12" s="413"/>
      <c r="Q12" s="768"/>
      <c r="R12" s="1167"/>
      <c r="S12" s="1167"/>
      <c r="T12" s="1167"/>
      <c r="U12" s="1167"/>
      <c r="V12" s="1167"/>
      <c r="W12" s="411"/>
      <c r="X12" s="1167"/>
      <c r="Y12" s="412"/>
      <c r="Z12" s="412"/>
      <c r="AA12" s="412"/>
      <c r="AB12" s="412"/>
      <c r="AC12" s="1167"/>
      <c r="AD12" s="1167"/>
      <c r="AE12" s="1167"/>
      <c r="AF12" s="415"/>
    </row>
    <row r="13" spans="1:37" ht="18.75" x14ac:dyDescent="0.2">
      <c r="A13" s="1944" t="s">
        <v>1</v>
      </c>
      <c r="B13" s="1946" t="s">
        <v>620</v>
      </c>
      <c r="C13" s="1947" t="s">
        <v>8</v>
      </c>
      <c r="D13" s="1947" t="s">
        <v>621</v>
      </c>
      <c r="E13" s="1946" t="s">
        <v>622</v>
      </c>
      <c r="F13" s="1947" t="s">
        <v>623</v>
      </c>
      <c r="G13" s="1947" t="s">
        <v>624</v>
      </c>
      <c r="H13" s="1950" t="s">
        <v>650</v>
      </c>
      <c r="I13" s="1950"/>
      <c r="J13" s="1950"/>
      <c r="K13" s="1950"/>
      <c r="L13" s="1950"/>
      <c r="M13" s="1950"/>
      <c r="N13" s="1950"/>
      <c r="O13" s="1950"/>
      <c r="P13" s="1950"/>
      <c r="Q13" s="1950"/>
      <c r="R13" s="1950"/>
      <c r="S13" s="1950"/>
      <c r="T13" s="1950"/>
      <c r="U13" s="1950"/>
      <c r="V13" s="1950"/>
      <c r="W13" s="1951"/>
      <c r="X13" s="1952" t="s">
        <v>651</v>
      </c>
      <c r="Y13" s="1950"/>
      <c r="Z13" s="1950"/>
      <c r="AA13" s="1950"/>
      <c r="AB13" s="1950"/>
      <c r="AC13" s="1950"/>
      <c r="AD13" s="1950"/>
      <c r="AE13" s="1950"/>
      <c r="AF13" s="1951"/>
    </row>
    <row r="14" spans="1:37" ht="196.15" customHeight="1" x14ac:dyDescent="0.2">
      <c r="A14" s="1945"/>
      <c r="B14" s="1891"/>
      <c r="C14" s="1903"/>
      <c r="D14" s="1903"/>
      <c r="E14" s="1891"/>
      <c r="F14" s="1903"/>
      <c r="G14" s="1903"/>
      <c r="H14" s="1953" t="s">
        <v>625</v>
      </c>
      <c r="I14" s="851" t="s">
        <v>626</v>
      </c>
      <c r="J14" s="1158" t="s">
        <v>627</v>
      </c>
      <c r="K14" s="1891" t="s">
        <v>628</v>
      </c>
      <c r="L14" s="1891"/>
      <c r="M14" s="1891" t="s">
        <v>631</v>
      </c>
      <c r="N14" s="1891"/>
      <c r="O14" s="1891" t="s">
        <v>634</v>
      </c>
      <c r="P14" s="1891"/>
      <c r="Q14" s="770" t="s">
        <v>637</v>
      </c>
      <c r="R14" s="1891" t="s">
        <v>652</v>
      </c>
      <c r="S14" s="1912"/>
      <c r="T14" s="1912"/>
      <c r="U14" s="1903" t="s">
        <v>641</v>
      </c>
      <c r="V14" s="1903" t="s">
        <v>642</v>
      </c>
      <c r="W14" s="1948" t="s">
        <v>643</v>
      </c>
      <c r="X14" s="1949" t="s">
        <v>644</v>
      </c>
      <c r="Y14" s="1891" t="s">
        <v>652</v>
      </c>
      <c r="Z14" s="1912"/>
      <c r="AA14" s="1912"/>
      <c r="AB14" s="1903" t="s">
        <v>641</v>
      </c>
      <c r="AC14" s="1903" t="s">
        <v>642</v>
      </c>
      <c r="AD14" s="1158" t="s">
        <v>645</v>
      </c>
      <c r="AE14" s="1158" t="s">
        <v>647</v>
      </c>
      <c r="AF14" s="1956" t="s">
        <v>649</v>
      </c>
      <c r="AG14" s="1219">
        <v>44440</v>
      </c>
    </row>
    <row r="15" spans="1:37" ht="75" x14ac:dyDescent="0.2">
      <c r="A15" s="1945"/>
      <c r="B15" s="1891"/>
      <c r="C15" s="1903"/>
      <c r="D15" s="1161" t="s">
        <v>3</v>
      </c>
      <c r="E15" s="1161" t="s">
        <v>3</v>
      </c>
      <c r="F15" s="1161" t="s">
        <v>4</v>
      </c>
      <c r="G15" s="1903"/>
      <c r="H15" s="1954"/>
      <c r="I15" s="1161" t="s">
        <v>3</v>
      </c>
      <c r="J15" s="1161" t="s">
        <v>7</v>
      </c>
      <c r="K15" s="1161" t="s">
        <v>629</v>
      </c>
      <c r="L15" s="1161" t="s">
        <v>630</v>
      </c>
      <c r="M15" s="1161" t="s">
        <v>632</v>
      </c>
      <c r="N15" s="1161" t="s">
        <v>633</v>
      </c>
      <c r="O15" s="1161" t="s">
        <v>635</v>
      </c>
      <c r="P15" s="448" t="s">
        <v>636</v>
      </c>
      <c r="Q15" s="771" t="s">
        <v>26</v>
      </c>
      <c r="R15" s="1161" t="s">
        <v>638</v>
      </c>
      <c r="S15" s="1161" t="s">
        <v>639</v>
      </c>
      <c r="T15" s="1161" t="s">
        <v>640</v>
      </c>
      <c r="U15" s="1903"/>
      <c r="V15" s="1903"/>
      <c r="W15" s="1948"/>
      <c r="X15" s="1949"/>
      <c r="Y15" s="1161" t="s">
        <v>638</v>
      </c>
      <c r="Z15" s="1161" t="s">
        <v>639</v>
      </c>
      <c r="AA15" s="1161" t="s">
        <v>640</v>
      </c>
      <c r="AB15" s="1903"/>
      <c r="AC15" s="1903"/>
      <c r="AD15" s="1161" t="s">
        <v>646</v>
      </c>
      <c r="AE15" s="1161" t="s">
        <v>648</v>
      </c>
      <c r="AF15" s="1956"/>
      <c r="AG15" s="666" t="s">
        <v>657</v>
      </c>
      <c r="AH15" s="448" t="s">
        <v>636</v>
      </c>
      <c r="AI15" s="448" t="s">
        <v>654</v>
      </c>
      <c r="AJ15" s="448" t="s">
        <v>653</v>
      </c>
      <c r="AK15" s="448" t="s">
        <v>655</v>
      </c>
    </row>
    <row r="16" spans="1:37" ht="18.75" customHeight="1" x14ac:dyDescent="0.2">
      <c r="A16" s="1191">
        <v>1</v>
      </c>
      <c r="B16" s="461" t="s">
        <v>139</v>
      </c>
      <c r="C16" s="1165" t="s">
        <v>46</v>
      </c>
      <c r="D16" s="1165">
        <v>610.5</v>
      </c>
      <c r="E16" s="1165" t="s">
        <v>571</v>
      </c>
      <c r="F16" s="1165">
        <v>177.8</v>
      </c>
      <c r="G16" s="1165" t="s">
        <v>28</v>
      </c>
      <c r="H16" s="452" t="s">
        <v>556</v>
      </c>
      <c r="I16" s="1161">
        <v>557.80999999999995</v>
      </c>
      <c r="J16" s="1074">
        <v>145</v>
      </c>
      <c r="K16" s="1165"/>
      <c r="L16" s="670">
        <v>435.48</v>
      </c>
      <c r="M16" s="1165"/>
      <c r="N16" s="668">
        <v>3.38</v>
      </c>
      <c r="O16" s="1165"/>
      <c r="P16" s="668">
        <f>AH16</f>
        <v>15.039124414783815</v>
      </c>
      <c r="Q16" s="668">
        <f>LEFT(H16,(FIND("Е",H16,1)-1))*J16/100</f>
        <v>18.850000000000001</v>
      </c>
      <c r="R16" s="432">
        <v>4.9429999999999996</v>
      </c>
      <c r="S16" s="432">
        <v>15</v>
      </c>
      <c r="T16" s="670">
        <v>2.774</v>
      </c>
      <c r="U16" s="668">
        <f t="shared" ref="U16:U35" si="0">IF(R16=0,0,T16/R16)</f>
        <v>0.56119765324701598</v>
      </c>
      <c r="V16" s="668">
        <v>67.048000000000002</v>
      </c>
      <c r="W16" s="1192">
        <v>0.4</v>
      </c>
      <c r="X16" s="1172">
        <f>IF(S16=0,0,S16/Q16)</f>
        <v>0.79575596816976124</v>
      </c>
      <c r="Y16" s="432">
        <f>R16*0.986</f>
        <v>4.8737979999999999</v>
      </c>
      <c r="Z16" s="432">
        <f t="shared" ref="Z16:AA85" si="1">S16*0.985</f>
        <v>14.775</v>
      </c>
      <c r="AA16" s="670">
        <f t="shared" si="1"/>
        <v>2.7323900000000001</v>
      </c>
      <c r="AB16" s="432">
        <f>U16</f>
        <v>0.56119765324701598</v>
      </c>
      <c r="AC16" s="670">
        <f t="shared" ref="AC16:AC85" si="2">V16</f>
        <v>67.048000000000002</v>
      </c>
      <c r="AD16" s="1165">
        <f>(DAY(EOMONTH($AG$14,0))-AG16)</f>
        <v>30</v>
      </c>
      <c r="AE16" s="432">
        <f>Y16*AD16</f>
        <v>146.21394000000001</v>
      </c>
      <c r="AF16" s="1173"/>
      <c r="AH16" s="1124">
        <f>(9.81*(AI16*(100%-(V16/100))+AJ16*(V16/100))*(I16-L16)+N16*101.325+9.81*(AK16)*L16)/101.325</f>
        <v>15.039124414783815</v>
      </c>
      <c r="AI16" s="666">
        <v>0.90790000000000004</v>
      </c>
      <c r="AJ16" s="666">
        <v>1.018</v>
      </c>
      <c r="AK16" s="666">
        <v>7.5858300000000007E-4</v>
      </c>
    </row>
    <row r="17" spans="1:37" ht="18.75" customHeight="1" x14ac:dyDescent="0.2">
      <c r="A17" s="1191">
        <v>2</v>
      </c>
      <c r="B17" s="461" t="s">
        <v>140</v>
      </c>
      <c r="C17" s="1165" t="s">
        <v>46</v>
      </c>
      <c r="D17" s="1165">
        <v>623.5</v>
      </c>
      <c r="E17" s="1165" t="s">
        <v>585</v>
      </c>
      <c r="F17" s="1165">
        <v>177.8</v>
      </c>
      <c r="G17" s="1165" t="s">
        <v>28</v>
      </c>
      <c r="H17" s="1165" t="s">
        <v>551</v>
      </c>
      <c r="I17" s="1161">
        <v>561.58000000000004</v>
      </c>
      <c r="J17" s="1165">
        <v>120</v>
      </c>
      <c r="K17" s="1165"/>
      <c r="L17" s="670">
        <v>426</v>
      </c>
      <c r="M17" s="1165"/>
      <c r="N17" s="668">
        <v>2.48</v>
      </c>
      <c r="O17" s="1165"/>
      <c r="P17" s="668">
        <f t="shared" ref="P17:P80" si="3">AH17</f>
        <v>15.811223292891563</v>
      </c>
      <c r="Q17" s="668">
        <f>LEFT(H17,(FIND("Е",H17,1)-1))*J17/100</f>
        <v>26.4</v>
      </c>
      <c r="R17" s="432">
        <v>1.6830000000000001</v>
      </c>
      <c r="S17" s="432">
        <v>18.536000000000001</v>
      </c>
      <c r="T17" s="670">
        <v>4.9029999999999996</v>
      </c>
      <c r="U17" s="668">
        <f t="shared" si="0"/>
        <v>2.9132501485442659</v>
      </c>
      <c r="V17" s="668">
        <v>90.918999999999997</v>
      </c>
      <c r="W17" s="1192">
        <v>0.5</v>
      </c>
      <c r="X17" s="1172">
        <f>IF(S17=0,0,S17/Q17)</f>
        <v>0.70212121212121226</v>
      </c>
      <c r="Y17" s="432">
        <f t="shared" ref="Y17:Y80" si="4">R17*0.986</f>
        <v>1.659438</v>
      </c>
      <c r="Z17" s="432">
        <f t="shared" si="1"/>
        <v>18.257960000000001</v>
      </c>
      <c r="AA17" s="670">
        <f t="shared" si="1"/>
        <v>4.8294549999999994</v>
      </c>
      <c r="AB17" s="432">
        <f t="shared" ref="AB17:AC85" si="5">U17</f>
        <v>2.9132501485442659</v>
      </c>
      <c r="AC17" s="670">
        <f t="shared" si="2"/>
        <v>90.918999999999997</v>
      </c>
      <c r="AD17" s="1213">
        <f t="shared" ref="AD17:AD40" si="6">(DAY(EOMONTH($AG$14,0))-AG17)</f>
        <v>30</v>
      </c>
      <c r="AE17" s="432">
        <f t="shared" ref="AE17:AE61" si="7">Y17*AD17</f>
        <v>49.783139999999996</v>
      </c>
      <c r="AF17" s="1174"/>
      <c r="AH17" s="1124">
        <f t="shared" ref="AH17:AH80" si="8">(9.81*(AI17*(100%-(V17/100))+AJ17*(V17/100))*(I17-L17)+N17*101.325+9.81*(AK17)*L17)/101.325</f>
        <v>15.811223292891563</v>
      </c>
      <c r="AI17" s="666">
        <v>0.90739999999999998</v>
      </c>
      <c r="AJ17" s="666">
        <v>1.024</v>
      </c>
      <c r="AK17" s="666">
        <v>6.9596980000000001E-4</v>
      </c>
    </row>
    <row r="18" spans="1:37" ht="18.75" customHeight="1" x14ac:dyDescent="0.2">
      <c r="A18" s="1191">
        <v>3</v>
      </c>
      <c r="B18" s="461" t="s">
        <v>141</v>
      </c>
      <c r="C18" s="1165" t="s">
        <v>46</v>
      </c>
      <c r="D18" s="1165">
        <v>670</v>
      </c>
      <c r="E18" s="1165" t="s">
        <v>68</v>
      </c>
      <c r="F18" s="1165">
        <v>177.8</v>
      </c>
      <c r="G18" s="1165" t="s">
        <v>28</v>
      </c>
      <c r="H18" s="1165" t="s">
        <v>586</v>
      </c>
      <c r="I18" s="1161">
        <v>569.63</v>
      </c>
      <c r="J18" s="1165">
        <v>180</v>
      </c>
      <c r="K18" s="1165"/>
      <c r="L18" s="670">
        <v>505.74</v>
      </c>
      <c r="M18" s="1165"/>
      <c r="N18" s="668">
        <v>6.18</v>
      </c>
      <c r="O18" s="1165"/>
      <c r="P18" s="668">
        <f t="shared" si="3"/>
        <v>11.919528109348192</v>
      </c>
      <c r="Q18" s="668">
        <f>RIGHT(H18,(FIND("T",H18,1)-0))*J18/100</f>
        <v>57.6</v>
      </c>
      <c r="R18" s="432">
        <v>9.44</v>
      </c>
      <c r="S18" s="432">
        <v>13.419</v>
      </c>
      <c r="T18" s="670">
        <v>520.42399999999998</v>
      </c>
      <c r="U18" s="668">
        <f t="shared" si="0"/>
        <v>55.12966101694915</v>
      </c>
      <c r="V18" s="668">
        <v>29.654</v>
      </c>
      <c r="W18" s="1192">
        <v>0.2</v>
      </c>
      <c r="X18" s="1172">
        <f t="shared" ref="X18:X85" si="9">IF(S18=0,0,S18/Q18)</f>
        <v>0.23296875</v>
      </c>
      <c r="Y18" s="432">
        <f t="shared" si="4"/>
        <v>9.3078399999999988</v>
      </c>
      <c r="Z18" s="432">
        <f t="shared" si="1"/>
        <v>13.217715</v>
      </c>
      <c r="AA18" s="670">
        <f t="shared" si="1"/>
        <v>512.61763999999994</v>
      </c>
      <c r="AB18" s="432">
        <f t="shared" si="5"/>
        <v>55.12966101694915</v>
      </c>
      <c r="AC18" s="670">
        <f t="shared" si="2"/>
        <v>29.654</v>
      </c>
      <c r="AD18" s="1213">
        <f t="shared" si="6"/>
        <v>30</v>
      </c>
      <c r="AE18" s="432">
        <f>Y18*AD18</f>
        <v>279.23519999999996</v>
      </c>
      <c r="AF18" s="1173"/>
      <c r="AH18" s="1124">
        <f t="shared" si="8"/>
        <v>11.919528109348192</v>
      </c>
      <c r="AI18" s="666">
        <v>0.87260000000000004</v>
      </c>
      <c r="AJ18" s="666">
        <v>1.0349999999999999</v>
      </c>
      <c r="AK18" s="666">
        <v>8.9946269999999998E-4</v>
      </c>
    </row>
    <row r="19" spans="1:37" ht="18.75" customHeight="1" x14ac:dyDescent="0.2">
      <c r="A19" s="1191">
        <v>4</v>
      </c>
      <c r="B19" s="461" t="s">
        <v>142</v>
      </c>
      <c r="C19" s="1165" t="s">
        <v>46</v>
      </c>
      <c r="D19" s="1165">
        <v>656</v>
      </c>
      <c r="E19" s="1165" t="s">
        <v>481</v>
      </c>
      <c r="F19" s="1165">
        <v>177.8</v>
      </c>
      <c r="G19" s="1165" t="s">
        <v>28</v>
      </c>
      <c r="H19" s="1165" t="s">
        <v>551</v>
      </c>
      <c r="I19" s="1161">
        <v>545.66999999999996</v>
      </c>
      <c r="J19" s="1165">
        <v>220</v>
      </c>
      <c r="K19" s="1165"/>
      <c r="L19" s="670">
        <v>439</v>
      </c>
      <c r="M19" s="1165"/>
      <c r="N19" s="668">
        <v>2.5499999999999998</v>
      </c>
      <c r="O19" s="1165"/>
      <c r="P19" s="668">
        <f t="shared" si="3"/>
        <v>12.351274587978789</v>
      </c>
      <c r="Q19" s="668">
        <f>LEFT(H19,(FIND("Е",H19,1)-1))*J19/100</f>
        <v>48.4</v>
      </c>
      <c r="R19" s="432">
        <v>4.6870000000000003</v>
      </c>
      <c r="S19" s="432">
        <v>8.0350000000000001</v>
      </c>
      <c r="T19" s="670">
        <v>11.925000000000001</v>
      </c>
      <c r="U19" s="668">
        <f t="shared" si="0"/>
        <v>2.5442713889481543</v>
      </c>
      <c r="V19" s="668">
        <v>41.673000000000002</v>
      </c>
      <c r="W19" s="1192">
        <v>0.3</v>
      </c>
      <c r="X19" s="1172">
        <f t="shared" si="9"/>
        <v>0.16601239669421489</v>
      </c>
      <c r="Y19" s="432">
        <f t="shared" si="4"/>
        <v>4.6213820000000005</v>
      </c>
      <c r="Z19" s="432">
        <f t="shared" si="1"/>
        <v>7.9144750000000004</v>
      </c>
      <c r="AA19" s="670">
        <f t="shared" si="1"/>
        <v>11.746125000000001</v>
      </c>
      <c r="AB19" s="432">
        <f t="shared" si="5"/>
        <v>2.5442713889481543</v>
      </c>
      <c r="AC19" s="670">
        <f t="shared" si="2"/>
        <v>41.673000000000002</v>
      </c>
      <c r="AD19" s="1213">
        <f t="shared" si="6"/>
        <v>30</v>
      </c>
      <c r="AE19" s="432">
        <f t="shared" si="7"/>
        <v>138.64146000000002</v>
      </c>
      <c r="AF19" s="1173"/>
      <c r="AH19" s="1124">
        <f t="shared" si="8"/>
        <v>12.351274587978789</v>
      </c>
      <c r="AI19" s="666">
        <v>0.89459999999999995</v>
      </c>
      <c r="AJ19" s="666">
        <v>1.018</v>
      </c>
      <c r="AK19" s="666">
        <v>7.3450100000000003E-4</v>
      </c>
    </row>
    <row r="20" spans="1:37" ht="18.75" customHeight="1" x14ac:dyDescent="0.2">
      <c r="A20" s="1191">
        <v>5</v>
      </c>
      <c r="B20" s="461" t="s">
        <v>143</v>
      </c>
      <c r="C20" s="1165" t="s">
        <v>46</v>
      </c>
      <c r="D20" s="1165">
        <v>576.6</v>
      </c>
      <c r="E20" s="1165" t="s">
        <v>70</v>
      </c>
      <c r="F20" s="1165">
        <v>177.8</v>
      </c>
      <c r="G20" s="1165" t="s">
        <v>28</v>
      </c>
      <c r="H20" s="550" t="s">
        <v>587</v>
      </c>
      <c r="I20" s="1161">
        <v>549.09</v>
      </c>
      <c r="J20" s="1165">
        <v>180</v>
      </c>
      <c r="K20" s="1165"/>
      <c r="L20" s="670">
        <v>435</v>
      </c>
      <c r="M20" s="1165"/>
      <c r="N20" s="668">
        <v>2.3199999999999998</v>
      </c>
      <c r="O20" s="1165"/>
      <c r="P20" s="668">
        <f t="shared" si="3"/>
        <v>12.495462853448801</v>
      </c>
      <c r="Q20" s="668">
        <f>RIGHT(H20,(FIND("T",H20,1)-0))*J20/100</f>
        <v>25.2</v>
      </c>
      <c r="R20" s="432">
        <v>7.0019999999999998</v>
      </c>
      <c r="S20" s="432">
        <v>7.8810000000000002</v>
      </c>
      <c r="T20" s="670">
        <v>44.667999999999999</v>
      </c>
      <c r="U20" s="668">
        <f t="shared" si="0"/>
        <v>6.3793201942302202</v>
      </c>
      <c r="V20" s="668">
        <v>11.161</v>
      </c>
      <c r="W20" s="1192">
        <v>0.2</v>
      </c>
      <c r="X20" s="1172">
        <f t="shared" si="9"/>
        <v>0.31273809523809526</v>
      </c>
      <c r="Y20" s="432">
        <f t="shared" si="4"/>
        <v>6.9039719999999996</v>
      </c>
      <c r="Z20" s="432">
        <f t="shared" si="1"/>
        <v>7.762785</v>
      </c>
      <c r="AA20" s="670">
        <f t="shared" si="1"/>
        <v>43.997979999999998</v>
      </c>
      <c r="AB20" s="432">
        <f t="shared" si="5"/>
        <v>6.3793201942302202</v>
      </c>
      <c r="AC20" s="670">
        <f t="shared" si="2"/>
        <v>11.161</v>
      </c>
      <c r="AD20" s="1213">
        <f t="shared" si="6"/>
        <v>30</v>
      </c>
      <c r="AE20" s="432">
        <f t="shared" si="7"/>
        <v>207.11915999999999</v>
      </c>
      <c r="AF20" s="1173"/>
      <c r="AH20" s="1124">
        <f t="shared" si="8"/>
        <v>12.495462853448801</v>
      </c>
      <c r="AI20" s="666">
        <v>0.90529999999999999</v>
      </c>
      <c r="AJ20" s="666">
        <v>1.02</v>
      </c>
      <c r="AK20" s="666">
        <v>8.1276750000000011E-4</v>
      </c>
    </row>
    <row r="21" spans="1:37" ht="18.75" customHeight="1" x14ac:dyDescent="0.2">
      <c r="A21" s="1191">
        <v>6</v>
      </c>
      <c r="B21" s="461" t="s">
        <v>144</v>
      </c>
      <c r="C21" s="1165" t="s">
        <v>46</v>
      </c>
      <c r="D21" s="1165">
        <v>648.48</v>
      </c>
      <c r="E21" s="1165" t="s">
        <v>460</v>
      </c>
      <c r="F21" s="1165">
        <v>177.8</v>
      </c>
      <c r="G21" s="1165" t="s">
        <v>28</v>
      </c>
      <c r="H21" s="1165" t="s">
        <v>487</v>
      </c>
      <c r="I21" s="1161">
        <v>561.16999999999996</v>
      </c>
      <c r="J21" s="1165">
        <v>220</v>
      </c>
      <c r="K21" s="1165"/>
      <c r="L21" s="670">
        <v>398.39</v>
      </c>
      <c r="M21" s="1165"/>
      <c r="N21" s="668">
        <v>0</v>
      </c>
      <c r="O21" s="1165"/>
      <c r="P21" s="668">
        <f t="shared" si="3"/>
        <v>15.044930736776967</v>
      </c>
      <c r="Q21" s="668">
        <f>LEFT(H21,(FIND("K",H21,1)-1))*J21/100</f>
        <v>33</v>
      </c>
      <c r="R21" s="432">
        <v>3.2149999999999999</v>
      </c>
      <c r="S21" s="432">
        <v>4.3109999999999999</v>
      </c>
      <c r="T21" s="670">
        <v>8.2149999999999999</v>
      </c>
      <c r="U21" s="668">
        <f t="shared" si="0"/>
        <v>2.5552099533437014</v>
      </c>
      <c r="V21" s="668">
        <v>25.42</v>
      </c>
      <c r="W21" s="1192">
        <v>0.2</v>
      </c>
      <c r="X21" s="1172">
        <f t="shared" si="9"/>
        <v>0.13063636363636363</v>
      </c>
      <c r="Y21" s="432">
        <f t="shared" si="4"/>
        <v>3.1699899999999999</v>
      </c>
      <c r="Z21" s="432">
        <f t="shared" si="1"/>
        <v>4.2463350000000002</v>
      </c>
      <c r="AA21" s="670">
        <f t="shared" si="1"/>
        <v>8.0917750000000002</v>
      </c>
      <c r="AB21" s="432">
        <v>14.613</v>
      </c>
      <c r="AC21" s="670">
        <f t="shared" si="2"/>
        <v>25.42</v>
      </c>
      <c r="AD21" s="1213">
        <f t="shared" si="6"/>
        <v>30</v>
      </c>
      <c r="AE21" s="432">
        <f t="shared" si="7"/>
        <v>95.099699999999999</v>
      </c>
      <c r="AF21" s="1173"/>
      <c r="AH21" s="1124">
        <f t="shared" si="8"/>
        <v>15.044930736776967</v>
      </c>
      <c r="AI21" s="666">
        <v>0.92600000000000005</v>
      </c>
      <c r="AJ21" s="666">
        <v>1.028</v>
      </c>
      <c r="AK21" s="666">
        <v>1.1053638000000001E-3</v>
      </c>
    </row>
    <row r="22" spans="1:37" ht="18.75" customHeight="1" x14ac:dyDescent="0.2">
      <c r="A22" s="1191">
        <v>7</v>
      </c>
      <c r="B22" s="461" t="s">
        <v>145</v>
      </c>
      <c r="C22" s="1165" t="s">
        <v>46</v>
      </c>
      <c r="D22" s="1165">
        <v>676.7</v>
      </c>
      <c r="E22" s="1165" t="s">
        <v>72</v>
      </c>
      <c r="F22" s="1165">
        <v>177.8</v>
      </c>
      <c r="G22" s="1165" t="s">
        <v>28</v>
      </c>
      <c r="H22" s="1165" t="s">
        <v>588</v>
      </c>
      <c r="I22" s="1161">
        <v>557.91999999999996</v>
      </c>
      <c r="J22" s="1165">
        <v>170</v>
      </c>
      <c r="K22" s="1165"/>
      <c r="L22" s="670">
        <v>441</v>
      </c>
      <c r="M22" s="1165"/>
      <c r="N22" s="668">
        <v>3.31</v>
      </c>
      <c r="O22" s="1165"/>
      <c r="P22" s="668">
        <f t="shared" si="3"/>
        <v>13.934126635670808</v>
      </c>
      <c r="Q22" s="668">
        <f>RIGHT(H22,(FIND("T",H22,1)-0))*J22/100</f>
        <v>23.8</v>
      </c>
      <c r="R22" s="432">
        <v>10.042999999999999</v>
      </c>
      <c r="S22" s="432">
        <v>13.896000000000001</v>
      </c>
      <c r="T22" s="670">
        <v>36.402000000000001</v>
      </c>
      <c r="U22" s="668">
        <f t="shared" si="0"/>
        <v>3.6246141591158025</v>
      </c>
      <c r="V22" s="668">
        <v>27.731999999999999</v>
      </c>
      <c r="W22" s="1192">
        <v>0.2</v>
      </c>
      <c r="X22" s="1172">
        <f t="shared" si="9"/>
        <v>0.58386554621848741</v>
      </c>
      <c r="Y22" s="432">
        <f t="shared" si="4"/>
        <v>9.9023979999999998</v>
      </c>
      <c r="Z22" s="432">
        <f t="shared" si="1"/>
        <v>13.687560000000001</v>
      </c>
      <c r="AA22" s="670">
        <f t="shared" si="1"/>
        <v>35.855969999999999</v>
      </c>
      <c r="AB22" s="432">
        <f t="shared" si="5"/>
        <v>3.6246141591158025</v>
      </c>
      <c r="AC22" s="670">
        <f t="shared" si="2"/>
        <v>27.731999999999999</v>
      </c>
      <c r="AD22" s="1213">
        <f t="shared" si="6"/>
        <v>30</v>
      </c>
      <c r="AE22" s="432">
        <f t="shared" si="7"/>
        <v>297.07193999999998</v>
      </c>
      <c r="AF22" s="1173"/>
      <c r="AH22" s="1124">
        <f t="shared" si="8"/>
        <v>13.934126635670808</v>
      </c>
      <c r="AI22" s="666">
        <v>0.90329999999999999</v>
      </c>
      <c r="AJ22" s="666">
        <v>1.0209999999999999</v>
      </c>
      <c r="AK22" s="666">
        <v>6.8874520000000001E-4</v>
      </c>
    </row>
    <row r="23" spans="1:37" ht="18.75" customHeight="1" x14ac:dyDescent="0.2">
      <c r="A23" s="1191">
        <v>8</v>
      </c>
      <c r="B23" s="461" t="s">
        <v>146</v>
      </c>
      <c r="C23" s="1165" t="s">
        <v>46</v>
      </c>
      <c r="D23" s="1165">
        <v>567</v>
      </c>
      <c r="E23" s="436" t="s">
        <v>572</v>
      </c>
      <c r="F23" s="1165">
        <v>177.8</v>
      </c>
      <c r="G23" s="1165" t="s">
        <v>28</v>
      </c>
      <c r="H23" s="1165" t="s">
        <v>551</v>
      </c>
      <c r="I23" s="437">
        <v>544.89</v>
      </c>
      <c r="J23" s="1165">
        <v>245</v>
      </c>
      <c r="K23" s="1164"/>
      <c r="L23" s="670">
        <v>432.26</v>
      </c>
      <c r="M23" s="1164"/>
      <c r="N23" s="668">
        <v>3.32</v>
      </c>
      <c r="O23" s="1164"/>
      <c r="P23" s="668">
        <f t="shared" si="3"/>
        <v>13.955263373669464</v>
      </c>
      <c r="Q23" s="668">
        <f>LEFT(H23,(FIND("Е",H23,1)-1))*J23/100</f>
        <v>53.9</v>
      </c>
      <c r="R23" s="432">
        <v>3.194</v>
      </c>
      <c r="S23" s="432">
        <v>7.8639999999999999</v>
      </c>
      <c r="T23" s="670">
        <v>85.742000000000004</v>
      </c>
      <c r="U23" s="668">
        <f t="shared" si="0"/>
        <v>26.844708829054479</v>
      </c>
      <c r="V23" s="668">
        <v>59.384999999999998</v>
      </c>
      <c r="W23" s="1192">
        <v>0.3</v>
      </c>
      <c r="X23" s="1172">
        <f t="shared" si="9"/>
        <v>0.14589981447124303</v>
      </c>
      <c r="Y23" s="432">
        <f t="shared" si="4"/>
        <v>3.1492839999999998</v>
      </c>
      <c r="Z23" s="432">
        <f t="shared" si="1"/>
        <v>7.7460399999999998</v>
      </c>
      <c r="AA23" s="670">
        <f t="shared" si="1"/>
        <v>84.455870000000004</v>
      </c>
      <c r="AB23" s="432">
        <f t="shared" si="5"/>
        <v>26.844708829054479</v>
      </c>
      <c r="AC23" s="670">
        <f t="shared" si="2"/>
        <v>59.384999999999998</v>
      </c>
      <c r="AD23" s="1213">
        <f t="shared" si="6"/>
        <v>30</v>
      </c>
      <c r="AE23" s="432">
        <f t="shared" si="7"/>
        <v>94.478519999999989</v>
      </c>
      <c r="AF23" s="1173"/>
      <c r="AH23" s="1124">
        <f t="shared" si="8"/>
        <v>13.955263373669464</v>
      </c>
      <c r="AI23" s="666">
        <v>0.89549999999999996</v>
      </c>
      <c r="AJ23" s="666">
        <v>1.024</v>
      </c>
      <c r="AK23" s="666">
        <v>9.1150370000000005E-4</v>
      </c>
    </row>
    <row r="24" spans="1:37" ht="18.75" customHeight="1" x14ac:dyDescent="0.2">
      <c r="A24" s="1191">
        <v>9</v>
      </c>
      <c r="B24" s="461" t="s">
        <v>147</v>
      </c>
      <c r="C24" s="1165" t="s">
        <v>46</v>
      </c>
      <c r="D24" s="1165">
        <v>650.1</v>
      </c>
      <c r="E24" s="1165" t="s">
        <v>74</v>
      </c>
      <c r="F24" s="1165">
        <v>177.8</v>
      </c>
      <c r="G24" s="1165" t="s">
        <v>28</v>
      </c>
      <c r="H24" s="1165" t="s">
        <v>52</v>
      </c>
      <c r="I24" s="1161">
        <v>591.98</v>
      </c>
      <c r="J24" s="1165">
        <v>290</v>
      </c>
      <c r="K24" s="1165"/>
      <c r="L24" s="670">
        <v>454.68</v>
      </c>
      <c r="M24" s="1165"/>
      <c r="N24" s="668">
        <v>0.15</v>
      </c>
      <c r="O24" s="1165"/>
      <c r="P24" s="668">
        <f t="shared" si="3"/>
        <v>13.091872162525803</v>
      </c>
      <c r="Q24" s="668">
        <f>LEFT(H24,(FIND("K",H24,1)-1))*J24/100</f>
        <v>63.8</v>
      </c>
      <c r="R24" s="432">
        <v>6.42</v>
      </c>
      <c r="S24" s="432">
        <v>14.619</v>
      </c>
      <c r="T24" s="670">
        <v>30.93</v>
      </c>
      <c r="U24" s="668">
        <f t="shared" si="0"/>
        <v>4.8177570093457946</v>
      </c>
      <c r="V24" s="668">
        <v>56.085999999999999</v>
      </c>
      <c r="W24" s="1192">
        <v>0.2</v>
      </c>
      <c r="X24" s="1172">
        <f>IF(S24=0,0,S24/Q24)</f>
        <v>0.22913793103448277</v>
      </c>
      <c r="Y24" s="432">
        <f t="shared" si="4"/>
        <v>6.33012</v>
      </c>
      <c r="Z24" s="432">
        <f t="shared" si="1"/>
        <v>14.399714999999999</v>
      </c>
      <c r="AA24" s="670">
        <f t="shared" si="1"/>
        <v>30.466049999999999</v>
      </c>
      <c r="AB24" s="432">
        <f t="shared" si="5"/>
        <v>4.8177570093457946</v>
      </c>
      <c r="AC24" s="670">
        <f t="shared" si="2"/>
        <v>56.085999999999999</v>
      </c>
      <c r="AD24" s="1213">
        <f t="shared" si="6"/>
        <v>30</v>
      </c>
      <c r="AE24" s="432">
        <f t="shared" si="7"/>
        <v>189.90360000000001</v>
      </c>
      <c r="AF24" s="1173"/>
      <c r="AH24" s="1124">
        <f t="shared" si="8"/>
        <v>13.091872162525803</v>
      </c>
      <c r="AI24" s="666">
        <v>0.90690000000000004</v>
      </c>
      <c r="AJ24" s="666">
        <v>1.0209999999999999</v>
      </c>
      <c r="AK24" s="666">
        <v>8.1276750000000011E-4</v>
      </c>
    </row>
    <row r="25" spans="1:37" ht="18.75" customHeight="1" x14ac:dyDescent="0.2">
      <c r="A25" s="1191">
        <v>10</v>
      </c>
      <c r="B25" s="461" t="s">
        <v>148</v>
      </c>
      <c r="C25" s="1165" t="s">
        <v>46</v>
      </c>
      <c r="D25" s="1165">
        <v>640.20000000000005</v>
      </c>
      <c r="E25" s="1165" t="s">
        <v>398</v>
      </c>
      <c r="F25" s="1165">
        <v>177.8</v>
      </c>
      <c r="G25" s="1165" t="s">
        <v>28</v>
      </c>
      <c r="H25" s="831" t="s">
        <v>564</v>
      </c>
      <c r="I25" s="1161">
        <v>562.96</v>
      </c>
      <c r="J25" s="1074">
        <v>160</v>
      </c>
      <c r="K25" s="1165"/>
      <c r="L25" s="670">
        <v>267.19</v>
      </c>
      <c r="M25" s="1165"/>
      <c r="N25" s="668">
        <v>0.33</v>
      </c>
      <c r="O25" s="1165"/>
      <c r="P25" s="668">
        <f t="shared" si="3"/>
        <v>28.403533141878924</v>
      </c>
      <c r="Q25" s="668">
        <f>J25*7/100</f>
        <v>11.2</v>
      </c>
      <c r="R25" s="432">
        <v>2.4809999999999999</v>
      </c>
      <c r="S25" s="432">
        <v>6.3129999999999997</v>
      </c>
      <c r="T25" s="670">
        <v>2.8639999999999999</v>
      </c>
      <c r="U25" s="668">
        <v>0</v>
      </c>
      <c r="V25" s="668">
        <v>60.698</v>
      </c>
      <c r="W25" s="1192">
        <v>0.2</v>
      </c>
      <c r="X25" s="1172">
        <f t="shared" si="9"/>
        <v>0.56366071428571429</v>
      </c>
      <c r="Y25" s="432">
        <f t="shared" si="4"/>
        <v>2.4462660000000001</v>
      </c>
      <c r="Z25" s="432">
        <f t="shared" si="1"/>
        <v>6.218305</v>
      </c>
      <c r="AA25" s="670">
        <f t="shared" si="1"/>
        <v>2.82104</v>
      </c>
      <c r="AB25" s="432">
        <f t="shared" si="5"/>
        <v>0</v>
      </c>
      <c r="AC25" s="670">
        <f t="shared" si="2"/>
        <v>60.698</v>
      </c>
      <c r="AD25" s="1213">
        <f t="shared" si="6"/>
        <v>30</v>
      </c>
      <c r="AE25" s="432">
        <f t="shared" si="7"/>
        <v>73.387979999999999</v>
      </c>
      <c r="AF25" s="1173"/>
      <c r="AH25" s="1124">
        <f t="shared" si="8"/>
        <v>28.403533141878924</v>
      </c>
      <c r="AI25" s="666">
        <v>0.90039999999999998</v>
      </c>
      <c r="AJ25" s="666">
        <v>1.0309999999999999</v>
      </c>
      <c r="AK25" s="666">
        <v>7.7447712000000004E-4</v>
      </c>
    </row>
    <row r="26" spans="1:37" ht="18.75" customHeight="1" x14ac:dyDescent="0.2">
      <c r="A26" s="1191">
        <v>11</v>
      </c>
      <c r="B26" s="461" t="s">
        <v>149</v>
      </c>
      <c r="C26" s="1165" t="s">
        <v>46</v>
      </c>
      <c r="D26" s="1165">
        <v>606.29999999999995</v>
      </c>
      <c r="E26" s="1165" t="s">
        <v>76</v>
      </c>
      <c r="F26" s="1165">
        <v>177.8</v>
      </c>
      <c r="G26" s="1165" t="s">
        <v>28</v>
      </c>
      <c r="H26" s="1165" t="s">
        <v>487</v>
      </c>
      <c r="I26" s="1161">
        <v>593.29</v>
      </c>
      <c r="J26" s="1165">
        <v>220</v>
      </c>
      <c r="K26" s="1165"/>
      <c r="L26" s="670">
        <v>446.1</v>
      </c>
      <c r="M26" s="1165"/>
      <c r="N26" s="668">
        <v>2.14</v>
      </c>
      <c r="O26" s="1165"/>
      <c r="P26" s="668">
        <f t="shared" si="3"/>
        <v>16.505029566774535</v>
      </c>
      <c r="Q26" s="668">
        <f>(13/100)*J26</f>
        <v>28.6</v>
      </c>
      <c r="R26" s="432">
        <v>1.8919999999999999</v>
      </c>
      <c r="S26" s="432">
        <v>6.1120000000000001</v>
      </c>
      <c r="T26" s="670">
        <v>47.4</v>
      </c>
      <c r="U26" s="668">
        <f t="shared" si="0"/>
        <v>25.052854122621564</v>
      </c>
      <c r="V26" s="668">
        <v>69.037000000000006</v>
      </c>
      <c r="W26" s="1192">
        <v>0.2</v>
      </c>
      <c r="X26" s="1172">
        <f t="shared" si="9"/>
        <v>0.21370629370629371</v>
      </c>
      <c r="Y26" s="432">
        <f t="shared" si="4"/>
        <v>1.8655119999999998</v>
      </c>
      <c r="Z26" s="432">
        <f t="shared" si="1"/>
        <v>6.0203199999999999</v>
      </c>
      <c r="AA26" s="670">
        <f t="shared" si="1"/>
        <v>46.689</v>
      </c>
      <c r="AB26" s="432">
        <f t="shared" si="5"/>
        <v>25.052854122621564</v>
      </c>
      <c r="AC26" s="670">
        <f t="shared" si="2"/>
        <v>69.037000000000006</v>
      </c>
      <c r="AD26" s="1213">
        <f t="shared" si="6"/>
        <v>30</v>
      </c>
      <c r="AE26" s="432">
        <f t="shared" si="7"/>
        <v>55.965359999999997</v>
      </c>
      <c r="AF26" s="1174"/>
      <c r="AH26" s="1124">
        <f t="shared" si="8"/>
        <v>16.505029566774535</v>
      </c>
      <c r="AI26" s="666">
        <v>0.91620000000000001</v>
      </c>
      <c r="AJ26" s="666">
        <v>1.0449999999999999</v>
      </c>
      <c r="AK26" s="666">
        <v>9.6207590000000004E-4</v>
      </c>
    </row>
    <row r="27" spans="1:37" ht="18.75" customHeight="1" x14ac:dyDescent="0.2">
      <c r="A27" s="1191">
        <v>12</v>
      </c>
      <c r="B27" s="461" t="s">
        <v>150</v>
      </c>
      <c r="C27" s="1165" t="s">
        <v>46</v>
      </c>
      <c r="D27" s="1165">
        <v>661</v>
      </c>
      <c r="E27" s="679" t="s">
        <v>433</v>
      </c>
      <c r="F27" s="1165">
        <v>177.8</v>
      </c>
      <c r="G27" s="1165" t="s">
        <v>28</v>
      </c>
      <c r="H27" s="1165" t="s">
        <v>53</v>
      </c>
      <c r="I27" s="1161">
        <v>555.72</v>
      </c>
      <c r="J27" s="1165"/>
      <c r="K27" s="1165"/>
      <c r="L27" s="670"/>
      <c r="M27" s="1165"/>
      <c r="N27" s="668"/>
      <c r="O27" s="1165"/>
      <c r="P27" s="668">
        <f t="shared" si="3"/>
        <v>52.966528931632666</v>
      </c>
      <c r="Q27" s="668">
        <f t="shared" ref="Q27:Q33" si="10">LEFT(H27,(FIND("K",H27,1)-1))*J27/100</f>
        <v>0</v>
      </c>
      <c r="R27" s="432">
        <v>0</v>
      </c>
      <c r="S27" s="432">
        <v>0</v>
      </c>
      <c r="T27" s="670">
        <v>0</v>
      </c>
      <c r="U27" s="668">
        <f t="shared" si="0"/>
        <v>0</v>
      </c>
      <c r="V27" s="668">
        <v>69.037000000000006</v>
      </c>
      <c r="W27" s="1192">
        <v>0</v>
      </c>
      <c r="X27" s="1172">
        <f t="shared" si="9"/>
        <v>0</v>
      </c>
      <c r="Y27" s="432">
        <f t="shared" si="4"/>
        <v>0</v>
      </c>
      <c r="Z27" s="432">
        <f t="shared" si="1"/>
        <v>0</v>
      </c>
      <c r="AA27" s="670">
        <f t="shared" si="1"/>
        <v>0</v>
      </c>
      <c r="AB27" s="432">
        <f t="shared" si="5"/>
        <v>0</v>
      </c>
      <c r="AC27" s="670">
        <f t="shared" si="2"/>
        <v>69.037000000000006</v>
      </c>
      <c r="AD27" s="1213">
        <f t="shared" si="6"/>
        <v>30</v>
      </c>
      <c r="AE27" s="432">
        <f t="shared" si="7"/>
        <v>0</v>
      </c>
      <c r="AF27" s="1174"/>
      <c r="AH27" s="1124">
        <f t="shared" si="8"/>
        <v>52.966528931632666</v>
      </c>
      <c r="AI27" s="666">
        <v>0.91410000000000002</v>
      </c>
      <c r="AJ27" s="666">
        <v>1.016</v>
      </c>
      <c r="AK27" s="666">
        <v>7.9591010000000008E-4</v>
      </c>
    </row>
    <row r="28" spans="1:37" ht="18.75" customHeight="1" x14ac:dyDescent="0.2">
      <c r="A28" s="1191">
        <v>13</v>
      </c>
      <c r="B28" s="461" t="s">
        <v>151</v>
      </c>
      <c r="C28" s="1165" t="s">
        <v>46</v>
      </c>
      <c r="D28" s="1165">
        <v>675.42</v>
      </c>
      <c r="E28" s="1161" t="s">
        <v>298</v>
      </c>
      <c r="F28" s="1165">
        <v>177.8</v>
      </c>
      <c r="G28" s="1165" t="s">
        <v>28</v>
      </c>
      <c r="H28" s="550" t="s">
        <v>540</v>
      </c>
      <c r="I28" s="1161">
        <v>546.04</v>
      </c>
      <c r="J28" s="1074">
        <v>220</v>
      </c>
      <c r="K28" s="1165"/>
      <c r="L28" s="670">
        <v>213.29</v>
      </c>
      <c r="M28" s="1165"/>
      <c r="N28" s="668">
        <v>0.33</v>
      </c>
      <c r="O28" s="1165"/>
      <c r="P28" s="668">
        <f t="shared" si="3"/>
        <v>32.792609865905376</v>
      </c>
      <c r="Q28" s="668">
        <f>LEFT(H28,(FIND("E",H28,1)-1))*J28/100</f>
        <v>48.4</v>
      </c>
      <c r="R28" s="432">
        <v>1.5680000000000001</v>
      </c>
      <c r="S28" s="432">
        <v>18.292000000000002</v>
      </c>
      <c r="T28" s="670">
        <v>5.2569999999999997</v>
      </c>
      <c r="U28" s="668">
        <f t="shared" si="0"/>
        <v>3.3526785714285712</v>
      </c>
      <c r="V28" s="668">
        <v>91.43</v>
      </c>
      <c r="W28" s="1192">
        <v>0.4</v>
      </c>
      <c r="X28" s="1172">
        <f t="shared" si="9"/>
        <v>0.37793388429752073</v>
      </c>
      <c r="Y28" s="432">
        <f t="shared" si="4"/>
        <v>1.5460480000000001</v>
      </c>
      <c r="Z28" s="432">
        <f t="shared" si="1"/>
        <v>18.017620000000001</v>
      </c>
      <c r="AA28" s="670">
        <f t="shared" si="1"/>
        <v>5.1781449999999998</v>
      </c>
      <c r="AB28" s="432">
        <f t="shared" si="5"/>
        <v>3.3526785714285712</v>
      </c>
      <c r="AC28" s="670">
        <f t="shared" si="2"/>
        <v>91.43</v>
      </c>
      <c r="AD28" s="1213">
        <f t="shared" si="6"/>
        <v>28</v>
      </c>
      <c r="AE28" s="432">
        <f t="shared" si="7"/>
        <v>43.289344</v>
      </c>
      <c r="AF28" s="1174" t="s">
        <v>659</v>
      </c>
      <c r="AG28" s="666">
        <v>2</v>
      </c>
      <c r="AH28" s="1124">
        <f t="shared" si="8"/>
        <v>32.792609865905376</v>
      </c>
      <c r="AI28" s="666">
        <v>0.93420000000000003</v>
      </c>
      <c r="AJ28" s="666">
        <v>1.014</v>
      </c>
      <c r="AK28" s="666">
        <v>7.7447712000000004E-4</v>
      </c>
    </row>
    <row r="29" spans="1:37" ht="18.75" customHeight="1" x14ac:dyDescent="0.2">
      <c r="A29" s="1191">
        <v>14</v>
      </c>
      <c r="B29" s="461" t="s">
        <v>36</v>
      </c>
      <c r="C29" s="1165" t="s">
        <v>46</v>
      </c>
      <c r="D29" s="1165">
        <v>584.5</v>
      </c>
      <c r="E29" s="1161" t="s">
        <v>79</v>
      </c>
      <c r="F29" s="1165">
        <v>177.8</v>
      </c>
      <c r="G29" s="1165" t="s">
        <v>28</v>
      </c>
      <c r="H29" s="550" t="s">
        <v>565</v>
      </c>
      <c r="I29" s="1161">
        <v>526.29</v>
      </c>
      <c r="J29" s="1074">
        <v>225</v>
      </c>
      <c r="K29" s="1165"/>
      <c r="L29" s="670">
        <v>259.06</v>
      </c>
      <c r="M29" s="1165"/>
      <c r="N29" s="668">
        <v>3.61</v>
      </c>
      <c r="O29" s="1165"/>
      <c r="P29" s="668">
        <f t="shared" si="3"/>
        <v>29.181839960365746</v>
      </c>
      <c r="Q29" s="668">
        <f>LEFT(H29,(FIND("E",H29,1)-1))*J29/100</f>
        <v>72</v>
      </c>
      <c r="R29" s="432">
        <v>17.305</v>
      </c>
      <c r="S29" s="432">
        <v>64.995000000000005</v>
      </c>
      <c r="T29" s="670">
        <v>211.04599999999999</v>
      </c>
      <c r="U29" s="668">
        <f t="shared" si="0"/>
        <v>12.19566599248772</v>
      </c>
      <c r="V29" s="668">
        <v>73.375</v>
      </c>
      <c r="W29" s="1192">
        <v>0.2</v>
      </c>
      <c r="X29" s="1172">
        <f t="shared" si="9"/>
        <v>0.90270833333333345</v>
      </c>
      <c r="Y29" s="432">
        <f t="shared" si="4"/>
        <v>17.062729999999998</v>
      </c>
      <c r="Z29" s="432">
        <f t="shared" si="1"/>
        <v>64.020075000000006</v>
      </c>
      <c r="AA29" s="670">
        <f t="shared" si="1"/>
        <v>207.88030999999998</v>
      </c>
      <c r="AB29" s="432">
        <f t="shared" si="5"/>
        <v>12.19566599248772</v>
      </c>
      <c r="AC29" s="670">
        <f t="shared" si="2"/>
        <v>73.375</v>
      </c>
      <c r="AD29" s="1213">
        <f t="shared" si="6"/>
        <v>30</v>
      </c>
      <c r="AE29" s="432">
        <f t="shared" si="7"/>
        <v>511.88189999999997</v>
      </c>
      <c r="AF29" s="1173"/>
      <c r="AH29" s="1124">
        <f t="shared" si="8"/>
        <v>29.181839960365746</v>
      </c>
      <c r="AI29" s="666">
        <v>0.88449999999999995</v>
      </c>
      <c r="AJ29" s="666">
        <v>1.0249999999999999</v>
      </c>
      <c r="AK29" s="666">
        <v>8.1397160000000013E-4</v>
      </c>
    </row>
    <row r="30" spans="1:37" ht="18.75" customHeight="1" x14ac:dyDescent="0.2">
      <c r="A30" s="1191">
        <v>15</v>
      </c>
      <c r="B30" s="461" t="s">
        <v>152</v>
      </c>
      <c r="C30" s="1165" t="s">
        <v>46</v>
      </c>
      <c r="D30" s="1165">
        <v>564.97999999999979</v>
      </c>
      <c r="E30" s="1161" t="s">
        <v>80</v>
      </c>
      <c r="F30" s="1165">
        <v>177.8</v>
      </c>
      <c r="G30" s="1165" t="s">
        <v>28</v>
      </c>
      <c r="H30" s="432" t="s">
        <v>589</v>
      </c>
      <c r="I30" s="437">
        <v>513.23</v>
      </c>
      <c r="J30" s="1165">
        <v>180</v>
      </c>
      <c r="K30" s="1165"/>
      <c r="L30" s="670">
        <v>420.68</v>
      </c>
      <c r="M30" s="1165"/>
      <c r="N30" s="668">
        <v>6.03</v>
      </c>
      <c r="O30" s="1165"/>
      <c r="P30" s="668">
        <f t="shared" si="3"/>
        <v>14.680416567791614</v>
      </c>
      <c r="Q30" s="668">
        <f>RIGHT(H30,(FIND("T",H30,1)-0))*J30/100</f>
        <v>36</v>
      </c>
      <c r="R30" s="432">
        <v>8.1760000000000002</v>
      </c>
      <c r="S30" s="432">
        <v>18.372</v>
      </c>
      <c r="T30" s="670">
        <v>59.137999999999998</v>
      </c>
      <c r="U30" s="668">
        <f t="shared" si="0"/>
        <v>7.23312133072407</v>
      </c>
      <c r="V30" s="668">
        <v>55.497</v>
      </c>
      <c r="W30" s="1192">
        <v>0.2</v>
      </c>
      <c r="X30" s="1172">
        <f t="shared" si="9"/>
        <v>0.51033333333333331</v>
      </c>
      <c r="Y30" s="432">
        <f t="shared" si="4"/>
        <v>8.0615360000000003</v>
      </c>
      <c r="Z30" s="432">
        <f t="shared" si="1"/>
        <v>18.096419999999998</v>
      </c>
      <c r="AA30" s="670">
        <f t="shared" si="1"/>
        <v>58.250929999999997</v>
      </c>
      <c r="AB30" s="432">
        <f t="shared" si="5"/>
        <v>7.23312133072407</v>
      </c>
      <c r="AC30" s="670">
        <f t="shared" si="2"/>
        <v>55.497</v>
      </c>
      <c r="AD30" s="1213">
        <f t="shared" si="6"/>
        <v>30</v>
      </c>
      <c r="AE30" s="432">
        <f t="shared" si="7"/>
        <v>241.84608</v>
      </c>
      <c r="AF30" s="1173"/>
      <c r="AH30" s="1124">
        <f t="shared" si="8"/>
        <v>14.680416567791614</v>
      </c>
      <c r="AI30" s="666">
        <v>0.87939999999999996</v>
      </c>
      <c r="AJ30" s="666">
        <v>1.0269999999999999</v>
      </c>
      <c r="AK30" s="666">
        <v>8.9946269999999998E-4</v>
      </c>
    </row>
    <row r="31" spans="1:37" ht="18.75" customHeight="1" x14ac:dyDescent="0.2">
      <c r="A31" s="1191">
        <v>16</v>
      </c>
      <c r="B31" s="461" t="s">
        <v>37</v>
      </c>
      <c r="C31" s="1165" t="s">
        <v>46</v>
      </c>
      <c r="D31" s="1165">
        <v>670</v>
      </c>
      <c r="E31" s="1165" t="s">
        <v>81</v>
      </c>
      <c r="F31" s="1165">
        <v>177.8</v>
      </c>
      <c r="G31" s="1165" t="s">
        <v>28</v>
      </c>
      <c r="H31" s="550" t="s">
        <v>48</v>
      </c>
      <c r="I31" s="1161">
        <v>570.01</v>
      </c>
      <c r="J31" s="1074">
        <v>250</v>
      </c>
      <c r="K31" s="1165"/>
      <c r="L31" s="670">
        <v>425.61</v>
      </c>
      <c r="M31" s="1165"/>
      <c r="N31" s="668">
        <v>2.33</v>
      </c>
      <c r="O31" s="1165"/>
      <c r="P31" s="668">
        <f t="shared" si="3"/>
        <v>16.011331424351209</v>
      </c>
      <c r="Q31" s="668">
        <f>LEFT(H31,(FIND("K",H31,1)-1))*J31/100</f>
        <v>32.5</v>
      </c>
      <c r="R31" s="432">
        <v>4.9340000000000002</v>
      </c>
      <c r="S31" s="432">
        <v>10.851000000000001</v>
      </c>
      <c r="T31" s="670">
        <v>45.417000000000002</v>
      </c>
      <c r="U31" s="668">
        <f t="shared" si="0"/>
        <v>9.2049047426023503</v>
      </c>
      <c r="V31" s="668">
        <v>54.524999999999999</v>
      </c>
      <c r="W31" s="1192">
        <v>0</v>
      </c>
      <c r="X31" s="1172">
        <f t="shared" si="9"/>
        <v>0.33387692307692313</v>
      </c>
      <c r="Y31" s="432">
        <f t="shared" si="4"/>
        <v>4.8649240000000002</v>
      </c>
      <c r="Z31" s="432">
        <f t="shared" si="1"/>
        <v>10.688235000000001</v>
      </c>
      <c r="AA31" s="670">
        <f t="shared" si="1"/>
        <v>44.735745000000001</v>
      </c>
      <c r="AB31" s="432">
        <f t="shared" si="5"/>
        <v>9.2049047426023503</v>
      </c>
      <c r="AC31" s="670">
        <f t="shared" si="2"/>
        <v>54.524999999999999</v>
      </c>
      <c r="AD31" s="1213">
        <f t="shared" si="6"/>
        <v>30</v>
      </c>
      <c r="AE31" s="432">
        <f>Y31*AD31</f>
        <v>145.94772</v>
      </c>
      <c r="AF31" s="1174"/>
      <c r="AH31" s="1124">
        <f t="shared" si="8"/>
        <v>16.011331424351209</v>
      </c>
      <c r="AI31" s="666">
        <v>0.91949999999999998</v>
      </c>
      <c r="AJ31" s="666">
        <v>1.024</v>
      </c>
      <c r="AK31" s="666">
        <v>7.2245999999999996E-4</v>
      </c>
    </row>
    <row r="32" spans="1:37" ht="18.75" customHeight="1" x14ac:dyDescent="0.2">
      <c r="A32" s="1191">
        <v>17</v>
      </c>
      <c r="B32" s="461" t="s">
        <v>153</v>
      </c>
      <c r="C32" s="461" t="s">
        <v>46</v>
      </c>
      <c r="D32" s="461">
        <v>574.61</v>
      </c>
      <c r="E32" s="461" t="s">
        <v>590</v>
      </c>
      <c r="F32" s="461">
        <v>177.8</v>
      </c>
      <c r="G32" s="461" t="s">
        <v>28</v>
      </c>
      <c r="H32" s="550" t="s">
        <v>589</v>
      </c>
      <c r="I32" s="461">
        <v>540.4</v>
      </c>
      <c r="J32" s="461">
        <v>85</v>
      </c>
      <c r="K32" s="461"/>
      <c r="L32" s="699">
        <v>240.75</v>
      </c>
      <c r="M32" s="461"/>
      <c r="N32" s="671">
        <v>0.6</v>
      </c>
      <c r="O32" s="461"/>
      <c r="P32" s="668">
        <f t="shared" si="3"/>
        <v>29.464609026212703</v>
      </c>
      <c r="Q32" s="668">
        <f>RIGHT(H32,(FIND("T",H32,1)-0))*J32/100</f>
        <v>17</v>
      </c>
      <c r="R32" s="672">
        <v>0.16700000000000001</v>
      </c>
      <c r="S32" s="432">
        <v>0.7</v>
      </c>
      <c r="T32" s="699">
        <v>0</v>
      </c>
      <c r="U32" s="668">
        <f t="shared" si="0"/>
        <v>0</v>
      </c>
      <c r="V32" s="668">
        <v>76.25</v>
      </c>
      <c r="W32" s="1193">
        <v>0.6</v>
      </c>
      <c r="X32" s="1172">
        <f t="shared" si="9"/>
        <v>4.1176470588235294E-2</v>
      </c>
      <c r="Y32" s="432">
        <v>3</v>
      </c>
      <c r="Z32" s="432">
        <f t="shared" si="1"/>
        <v>0.6895</v>
      </c>
      <c r="AA32" s="670">
        <f t="shared" si="1"/>
        <v>0</v>
      </c>
      <c r="AB32" s="672">
        <f t="shared" si="5"/>
        <v>0</v>
      </c>
      <c r="AC32" s="699">
        <f t="shared" si="2"/>
        <v>76.25</v>
      </c>
      <c r="AD32" s="1213">
        <f t="shared" si="6"/>
        <v>28</v>
      </c>
      <c r="AE32" s="672">
        <f>Y32*AD32</f>
        <v>84</v>
      </c>
      <c r="AF32" s="1218" t="s">
        <v>656</v>
      </c>
      <c r="AG32" s="666">
        <v>2</v>
      </c>
      <c r="AH32" s="1124">
        <f t="shared" si="8"/>
        <v>29.464609026212703</v>
      </c>
      <c r="AI32" s="666">
        <v>0.90500000000000003</v>
      </c>
      <c r="AJ32" s="666">
        <v>1.022</v>
      </c>
      <c r="AK32" s="666">
        <v>9.1150370000000005E-4</v>
      </c>
    </row>
    <row r="33" spans="1:37" ht="18.600000000000001" customHeight="1" x14ac:dyDescent="0.2">
      <c r="A33" s="1191">
        <v>18</v>
      </c>
      <c r="B33" s="461" t="s">
        <v>154</v>
      </c>
      <c r="C33" s="461" t="s">
        <v>46</v>
      </c>
      <c r="D33" s="443">
        <v>644.79999999999995</v>
      </c>
      <c r="E33" s="436" t="s">
        <v>421</v>
      </c>
      <c r="F33" s="1165">
        <v>177.8</v>
      </c>
      <c r="G33" s="1165" t="s">
        <v>28</v>
      </c>
      <c r="H33" s="550" t="s">
        <v>52</v>
      </c>
      <c r="I33" s="437">
        <v>562.29999999999995</v>
      </c>
      <c r="J33" s="1165">
        <v>160</v>
      </c>
      <c r="K33" s="1165"/>
      <c r="L33" s="670">
        <v>458.9</v>
      </c>
      <c r="M33" s="1165"/>
      <c r="N33" s="668">
        <v>3</v>
      </c>
      <c r="O33" s="1165"/>
      <c r="P33" s="668">
        <f t="shared" si="3"/>
        <v>12.632896226242071</v>
      </c>
      <c r="Q33" s="668">
        <f t="shared" si="10"/>
        <v>35.200000000000003</v>
      </c>
      <c r="R33" s="432">
        <v>1.6779999999999999</v>
      </c>
      <c r="S33" s="432">
        <v>3.4550000000000001</v>
      </c>
      <c r="T33" s="670">
        <v>47.674999999999997</v>
      </c>
      <c r="U33" s="668">
        <f t="shared" si="0"/>
        <v>28.411799761620976</v>
      </c>
      <c r="V33" s="668">
        <v>51.427</v>
      </c>
      <c r="W33" s="1192">
        <v>0.2</v>
      </c>
      <c r="X33" s="1172">
        <f t="shared" si="9"/>
        <v>9.8153409090909083E-2</v>
      </c>
      <c r="Y33" s="432">
        <f t="shared" si="4"/>
        <v>1.6545079999999999</v>
      </c>
      <c r="Z33" s="432">
        <f t="shared" si="1"/>
        <v>3.4031750000000001</v>
      </c>
      <c r="AA33" s="670">
        <f t="shared" si="1"/>
        <v>46.959874999999997</v>
      </c>
      <c r="AB33" s="672">
        <f t="shared" si="5"/>
        <v>28.411799761620976</v>
      </c>
      <c r="AC33" s="699">
        <f t="shared" si="2"/>
        <v>51.427</v>
      </c>
      <c r="AD33" s="1213">
        <f t="shared" si="6"/>
        <v>30</v>
      </c>
      <c r="AE33" s="672">
        <f>Y33*AD33</f>
        <v>49.635239999999996</v>
      </c>
      <c r="AF33" s="1173"/>
      <c r="AH33" s="1124">
        <f t="shared" si="8"/>
        <v>12.632896226242071</v>
      </c>
      <c r="AI33" s="666">
        <v>0.88390000000000002</v>
      </c>
      <c r="AJ33" s="666">
        <v>1.03</v>
      </c>
      <c r="AK33" s="666">
        <v>7.2245999999999996E-4</v>
      </c>
    </row>
    <row r="34" spans="1:37" ht="18.75" customHeight="1" x14ac:dyDescent="0.2">
      <c r="A34" s="1191">
        <v>19</v>
      </c>
      <c r="B34" s="461" t="s">
        <v>38</v>
      </c>
      <c r="C34" s="1165" t="s">
        <v>46</v>
      </c>
      <c r="D34" s="668">
        <v>580</v>
      </c>
      <c r="E34" s="1165" t="s">
        <v>84</v>
      </c>
      <c r="F34" s="1165">
        <v>177.8</v>
      </c>
      <c r="G34" s="1165" t="s">
        <v>28</v>
      </c>
      <c r="H34" s="550" t="s">
        <v>466</v>
      </c>
      <c r="I34" s="1161">
        <v>564.05999999999995</v>
      </c>
      <c r="J34" s="1165">
        <v>200</v>
      </c>
      <c r="K34" s="1165"/>
      <c r="L34" s="670">
        <v>404.39</v>
      </c>
      <c r="M34" s="1165"/>
      <c r="N34" s="668">
        <v>1.6</v>
      </c>
      <c r="O34" s="1165"/>
      <c r="P34" s="668">
        <f t="shared" si="3"/>
        <v>16.584736832421061</v>
      </c>
      <c r="Q34" s="668">
        <f>LEFT(H34,(FIND("E",H34,1)-1))*J34/100</f>
        <v>26</v>
      </c>
      <c r="R34" s="432">
        <v>5.7850000000000001</v>
      </c>
      <c r="S34" s="432">
        <v>11.705</v>
      </c>
      <c r="T34" s="670">
        <v>0.995</v>
      </c>
      <c r="U34" s="668">
        <f t="shared" si="0"/>
        <v>0.17199654278305962</v>
      </c>
      <c r="V34" s="668">
        <v>50.572000000000003</v>
      </c>
      <c r="W34" s="1192">
        <v>0.2</v>
      </c>
      <c r="X34" s="1172">
        <f t="shared" si="9"/>
        <v>0.45019230769230767</v>
      </c>
      <c r="Y34" s="432">
        <f t="shared" si="4"/>
        <v>5.7040100000000002</v>
      </c>
      <c r="Z34" s="432">
        <f t="shared" si="1"/>
        <v>11.529425</v>
      </c>
      <c r="AA34" s="670">
        <f t="shared" si="1"/>
        <v>0.98007500000000003</v>
      </c>
      <c r="AB34" s="432">
        <f>U34</f>
        <v>0.17199654278305962</v>
      </c>
      <c r="AC34" s="699">
        <f t="shared" si="2"/>
        <v>50.572000000000003</v>
      </c>
      <c r="AD34" s="1213">
        <f t="shared" si="6"/>
        <v>30</v>
      </c>
      <c r="AE34" s="432">
        <f t="shared" si="7"/>
        <v>171.12030000000001</v>
      </c>
      <c r="AF34" s="1173"/>
      <c r="AH34" s="1124">
        <f t="shared" si="8"/>
        <v>16.584736832421061</v>
      </c>
      <c r="AI34" s="666">
        <v>0.91639999999999999</v>
      </c>
      <c r="AJ34" s="666">
        <v>1.0169999999999999</v>
      </c>
      <c r="AK34" s="666">
        <v>8.1276750000000011E-4</v>
      </c>
    </row>
    <row r="35" spans="1:37" ht="18.75" customHeight="1" x14ac:dyDescent="0.2">
      <c r="A35" s="1191">
        <v>20</v>
      </c>
      <c r="B35" s="461" t="s">
        <v>39</v>
      </c>
      <c r="C35" s="1165" t="s">
        <v>46</v>
      </c>
      <c r="D35" s="1165">
        <v>575.26</v>
      </c>
      <c r="E35" s="1165" t="s">
        <v>411</v>
      </c>
      <c r="F35" s="1165">
        <v>177.8</v>
      </c>
      <c r="G35" s="1165" t="s">
        <v>28</v>
      </c>
      <c r="H35" s="550" t="s">
        <v>466</v>
      </c>
      <c r="I35" s="1161">
        <v>552.08000000000004</v>
      </c>
      <c r="J35" s="1074">
        <v>205</v>
      </c>
      <c r="K35" s="1165"/>
      <c r="L35" s="670">
        <v>468.45</v>
      </c>
      <c r="M35" s="1165"/>
      <c r="N35" s="668">
        <v>2.92</v>
      </c>
      <c r="O35" s="1165"/>
      <c r="P35" s="668">
        <f t="shared" si="3"/>
        <v>10.856848637627547</v>
      </c>
      <c r="Q35" s="668">
        <f>LEFT(H35,(FIND("E",H35,1)-1))*J35/100</f>
        <v>26.65</v>
      </c>
      <c r="R35" s="432">
        <v>2.35</v>
      </c>
      <c r="S35" s="432">
        <v>6.8860000000000001</v>
      </c>
      <c r="T35" s="670">
        <v>23.041</v>
      </c>
      <c r="U35" s="668">
        <f t="shared" si="0"/>
        <v>9.8046808510638304</v>
      </c>
      <c r="V35" s="668">
        <v>65.878</v>
      </c>
      <c r="W35" s="1192">
        <v>0.2</v>
      </c>
      <c r="X35" s="1172">
        <f t="shared" si="9"/>
        <v>0.25838649155722326</v>
      </c>
      <c r="Y35" s="432">
        <f t="shared" si="4"/>
        <v>2.3170999999999999</v>
      </c>
      <c r="Z35" s="432">
        <f t="shared" si="1"/>
        <v>6.7827099999999998</v>
      </c>
      <c r="AA35" s="670">
        <f t="shared" si="1"/>
        <v>22.695385000000002</v>
      </c>
      <c r="AB35" s="432">
        <f t="shared" si="5"/>
        <v>9.8046808510638304</v>
      </c>
      <c r="AC35" s="699">
        <f t="shared" si="2"/>
        <v>65.878</v>
      </c>
      <c r="AD35" s="1213">
        <f t="shared" si="6"/>
        <v>30</v>
      </c>
      <c r="AE35" s="432">
        <f t="shared" si="7"/>
        <v>69.513000000000005</v>
      </c>
      <c r="AF35" s="1173"/>
      <c r="AH35" s="1124">
        <f t="shared" si="8"/>
        <v>10.856848637627547</v>
      </c>
      <c r="AI35" s="666">
        <v>0.88239999999999996</v>
      </c>
      <c r="AJ35" s="666">
        <v>1.024</v>
      </c>
      <c r="AK35" s="666">
        <v>8.1397160000000013E-4</v>
      </c>
    </row>
    <row r="36" spans="1:37" ht="18.75" customHeight="1" x14ac:dyDescent="0.2">
      <c r="A36" s="1191">
        <v>21</v>
      </c>
      <c r="B36" s="461" t="s">
        <v>40</v>
      </c>
      <c r="C36" s="1165" t="s">
        <v>46</v>
      </c>
      <c r="D36" s="1165">
        <v>604.16999999999996</v>
      </c>
      <c r="E36" s="1165" t="s">
        <v>591</v>
      </c>
      <c r="F36" s="1165">
        <v>177.8</v>
      </c>
      <c r="G36" s="1165" t="s">
        <v>28</v>
      </c>
      <c r="H36" s="1165" t="s">
        <v>592</v>
      </c>
      <c r="I36" s="1161">
        <v>561.96</v>
      </c>
      <c r="J36" s="1165">
        <v>110</v>
      </c>
      <c r="K36" s="1165"/>
      <c r="L36" s="670">
        <v>360.29</v>
      </c>
      <c r="M36" s="1165"/>
      <c r="N36" s="668">
        <v>3.44</v>
      </c>
      <c r="O36" s="1165"/>
      <c r="P36" s="668">
        <f t="shared" si="3"/>
        <v>22.926276018957058</v>
      </c>
      <c r="Q36" s="668">
        <f>RIGHT(H36,(FIND("T",H36,1)-0))*J36/100</f>
        <v>15.4</v>
      </c>
      <c r="R36" s="432">
        <v>2.117</v>
      </c>
      <c r="S36" s="432">
        <v>12.289</v>
      </c>
      <c r="T36" s="670">
        <v>9.6449999999999996</v>
      </c>
      <c r="U36" s="668">
        <f>IF(R36=0,0,T36/R36)</f>
        <v>4.5559754369390646</v>
      </c>
      <c r="V36" s="668">
        <v>82.777000000000001</v>
      </c>
      <c r="W36" s="1192">
        <v>0.2</v>
      </c>
      <c r="X36" s="1172">
        <f t="shared" si="9"/>
        <v>0.79798701298701291</v>
      </c>
      <c r="Y36" s="432">
        <f t="shared" si="4"/>
        <v>2.0873620000000002</v>
      </c>
      <c r="Z36" s="432">
        <f t="shared" si="1"/>
        <v>12.104664999999999</v>
      </c>
      <c r="AA36" s="670">
        <f t="shared" si="1"/>
        <v>9.5003250000000001</v>
      </c>
      <c r="AB36" s="432">
        <f t="shared" si="5"/>
        <v>4.5559754369390646</v>
      </c>
      <c r="AC36" s="699">
        <v>70</v>
      </c>
      <c r="AD36" s="1213">
        <f t="shared" si="6"/>
        <v>30</v>
      </c>
      <c r="AE36" s="432">
        <f>Y36*AD36</f>
        <v>62.620860000000008</v>
      </c>
      <c r="AF36" s="1174"/>
      <c r="AH36" s="1124">
        <f t="shared" si="8"/>
        <v>22.926276018957058</v>
      </c>
      <c r="AI36" s="666">
        <v>0.91810000000000003</v>
      </c>
      <c r="AJ36" s="666">
        <v>1.0129999999999999</v>
      </c>
      <c r="AK36" s="666">
        <v>7.5858300000000007E-4</v>
      </c>
    </row>
    <row r="37" spans="1:37" ht="18.75" customHeight="1" x14ac:dyDescent="0.2">
      <c r="A37" s="1191">
        <v>22</v>
      </c>
      <c r="B37" s="461" t="s">
        <v>41</v>
      </c>
      <c r="C37" s="1165" t="s">
        <v>46</v>
      </c>
      <c r="D37" s="1165">
        <v>573.37</v>
      </c>
      <c r="E37" s="1165" t="s">
        <v>87</v>
      </c>
      <c r="F37" s="1165">
        <v>177.8</v>
      </c>
      <c r="G37" s="1165" t="s">
        <v>28</v>
      </c>
      <c r="H37" s="1165" t="s">
        <v>461</v>
      </c>
      <c r="I37" s="1161">
        <v>535.30999999999995</v>
      </c>
      <c r="J37" s="1074">
        <v>290</v>
      </c>
      <c r="K37" s="1165"/>
      <c r="L37" s="670">
        <v>446.38</v>
      </c>
      <c r="M37" s="1165"/>
      <c r="N37" s="668">
        <v>3.38</v>
      </c>
      <c r="O37" s="1165"/>
      <c r="P37" s="668">
        <f t="shared" si="3"/>
        <v>11.509829803799978</v>
      </c>
      <c r="Q37" s="668">
        <f>(20/100)*J37</f>
        <v>58</v>
      </c>
      <c r="R37" s="432">
        <v>7.9859999999999998</v>
      </c>
      <c r="S37" s="432">
        <v>11.489000000000001</v>
      </c>
      <c r="T37" s="670">
        <v>192.81200000000001</v>
      </c>
      <c r="U37" s="668">
        <f t="shared" ref="U37:U85" si="11">IF(R37=0,0,T37/R37)</f>
        <v>24.143751565239171</v>
      </c>
      <c r="V37" s="668">
        <v>30.488</v>
      </c>
      <c r="W37" s="1192">
        <v>0.2</v>
      </c>
      <c r="X37" s="1172">
        <f t="shared" si="9"/>
        <v>0.19808620689655174</v>
      </c>
      <c r="Y37" s="432">
        <f t="shared" si="4"/>
        <v>7.8741959999999995</v>
      </c>
      <c r="Z37" s="432">
        <f t="shared" si="1"/>
        <v>11.316665</v>
      </c>
      <c r="AA37" s="670">
        <f t="shared" si="1"/>
        <v>189.91982000000002</v>
      </c>
      <c r="AB37" s="432">
        <v>89.536086956521729</v>
      </c>
      <c r="AC37" s="699">
        <f t="shared" si="2"/>
        <v>30.488</v>
      </c>
      <c r="AD37" s="1213">
        <f t="shared" si="6"/>
        <v>30</v>
      </c>
      <c r="AE37" s="432">
        <f t="shared" si="7"/>
        <v>236.22587999999999</v>
      </c>
      <c r="AF37" s="1175"/>
      <c r="AH37" s="1124">
        <f t="shared" si="8"/>
        <v>11.509829803799978</v>
      </c>
      <c r="AI37" s="666">
        <v>0.90390000000000004</v>
      </c>
      <c r="AJ37" s="666">
        <v>1.0229999999999999</v>
      </c>
      <c r="AK37" s="666">
        <v>8.0193060000000006E-4</v>
      </c>
    </row>
    <row r="38" spans="1:37" ht="18.75" customHeight="1" x14ac:dyDescent="0.2">
      <c r="A38" s="1191">
        <v>23</v>
      </c>
      <c r="B38" s="461" t="s">
        <v>42</v>
      </c>
      <c r="C38" s="1165" t="s">
        <v>46</v>
      </c>
      <c r="D38" s="1165">
        <v>583.20000000000005</v>
      </c>
      <c r="E38" s="1165" t="s">
        <v>88</v>
      </c>
      <c r="F38" s="1165">
        <v>177.8</v>
      </c>
      <c r="G38" s="1165" t="s">
        <v>28</v>
      </c>
      <c r="H38" s="1165" t="s">
        <v>491</v>
      </c>
      <c r="I38" s="1161">
        <v>565.11</v>
      </c>
      <c r="J38" s="1074">
        <v>135</v>
      </c>
      <c r="K38" s="1165"/>
      <c r="L38" s="670">
        <v>208.35</v>
      </c>
      <c r="M38" s="1165"/>
      <c r="N38" s="668">
        <v>1.85</v>
      </c>
      <c r="O38" s="1165"/>
      <c r="P38" s="668">
        <f t="shared" si="3"/>
        <v>35.988165841493007</v>
      </c>
      <c r="Q38" s="668">
        <f>LEFT(H38,(FIND("K",H38,1)-1))*J38/100</f>
        <v>31.05</v>
      </c>
      <c r="R38" s="432">
        <v>5.2789999999999999</v>
      </c>
      <c r="S38" s="432">
        <v>15.865</v>
      </c>
      <c r="T38" s="670">
        <v>22.260999999999999</v>
      </c>
      <c r="U38" s="668">
        <f t="shared" si="11"/>
        <v>4.2168971396097747</v>
      </c>
      <c r="V38" s="668">
        <v>66.272000000000006</v>
      </c>
      <c r="W38" s="1192">
        <v>0.3</v>
      </c>
      <c r="X38" s="1172">
        <f t="shared" si="9"/>
        <v>0.51095008051529789</v>
      </c>
      <c r="Y38" s="432">
        <f t="shared" si="4"/>
        <v>5.2050939999999999</v>
      </c>
      <c r="Z38" s="432">
        <f t="shared" si="1"/>
        <v>15.627025</v>
      </c>
      <c r="AA38" s="670">
        <f t="shared" si="1"/>
        <v>21.927084999999998</v>
      </c>
      <c r="AB38" s="432">
        <f t="shared" si="5"/>
        <v>4.2168971396097747</v>
      </c>
      <c r="AC38" s="670">
        <f t="shared" si="2"/>
        <v>66.272000000000006</v>
      </c>
      <c r="AD38" s="1213">
        <f t="shared" si="6"/>
        <v>30</v>
      </c>
      <c r="AE38" s="432">
        <f t="shared" si="7"/>
        <v>156.15281999999999</v>
      </c>
      <c r="AF38" s="1174"/>
      <c r="AH38" s="1124">
        <f t="shared" si="8"/>
        <v>35.988165841493007</v>
      </c>
      <c r="AI38" s="666">
        <v>0.91690000000000005</v>
      </c>
      <c r="AJ38" s="666">
        <v>1.024</v>
      </c>
      <c r="AK38" s="666">
        <v>8.1276750000000011E-4</v>
      </c>
    </row>
    <row r="39" spans="1:37" ht="18.75" customHeight="1" x14ac:dyDescent="0.2">
      <c r="A39" s="1191">
        <v>24</v>
      </c>
      <c r="B39" s="461" t="s">
        <v>43</v>
      </c>
      <c r="C39" s="1165" t="s">
        <v>46</v>
      </c>
      <c r="D39" s="1165">
        <v>682.7</v>
      </c>
      <c r="E39" s="1165" t="s">
        <v>594</v>
      </c>
      <c r="F39" s="1165">
        <v>177.8</v>
      </c>
      <c r="G39" s="1165" t="s">
        <v>28</v>
      </c>
      <c r="H39" s="550" t="s">
        <v>540</v>
      </c>
      <c r="I39" s="446">
        <v>563.63</v>
      </c>
      <c r="J39" s="1165">
        <v>290</v>
      </c>
      <c r="K39" s="1165"/>
      <c r="L39" s="670">
        <v>443.32</v>
      </c>
      <c r="M39" s="1165"/>
      <c r="N39" s="668">
        <v>2.68</v>
      </c>
      <c r="O39" s="1165"/>
      <c r="P39" s="668">
        <f t="shared" si="3"/>
        <v>13.654820000753224</v>
      </c>
      <c r="Q39" s="668">
        <f>LEFT(H39,(FIND("E",H39,1)-1))*J39/100</f>
        <v>63.8</v>
      </c>
      <c r="R39" s="432">
        <v>8.1460000000000008</v>
      </c>
      <c r="S39" s="432">
        <v>12.17</v>
      </c>
      <c r="T39" s="670">
        <v>94.661000000000001</v>
      </c>
      <c r="U39" s="668">
        <f t="shared" si="11"/>
        <v>11.620549963172108</v>
      </c>
      <c r="V39" s="668">
        <v>33.061999999999998</v>
      </c>
      <c r="W39" s="1192">
        <v>0.3</v>
      </c>
      <c r="X39" s="1172">
        <f t="shared" si="9"/>
        <v>0.1907523510971787</v>
      </c>
      <c r="Y39" s="432">
        <f t="shared" si="4"/>
        <v>8.031956000000001</v>
      </c>
      <c r="Z39" s="432">
        <f t="shared" si="1"/>
        <v>11.987449999999999</v>
      </c>
      <c r="AA39" s="670">
        <f t="shared" si="1"/>
        <v>93.241084999999998</v>
      </c>
      <c r="AB39" s="432">
        <f t="shared" si="5"/>
        <v>11.620549963172108</v>
      </c>
      <c r="AC39" s="670">
        <f t="shared" si="2"/>
        <v>33.061999999999998</v>
      </c>
      <c r="AD39" s="1213">
        <f t="shared" si="6"/>
        <v>30</v>
      </c>
      <c r="AE39" s="432">
        <f t="shared" si="7"/>
        <v>240.95868000000002</v>
      </c>
      <c r="AF39" s="1173"/>
      <c r="AH39" s="1124">
        <f t="shared" si="8"/>
        <v>13.654820000753224</v>
      </c>
      <c r="AI39" s="666">
        <v>0.90100000000000002</v>
      </c>
      <c r="AJ39" s="666">
        <v>1.0169999999999999</v>
      </c>
      <c r="AK39" s="666">
        <v>7.7303220000000006E-4</v>
      </c>
    </row>
    <row r="40" spans="1:37" ht="18.75" customHeight="1" x14ac:dyDescent="0.2">
      <c r="A40" s="1191">
        <v>25</v>
      </c>
      <c r="B40" s="461" t="s">
        <v>44</v>
      </c>
      <c r="C40" s="1165" t="s">
        <v>46</v>
      </c>
      <c r="D40" s="1165">
        <v>614.27</v>
      </c>
      <c r="E40" s="1165" t="s">
        <v>593</v>
      </c>
      <c r="F40" s="1165">
        <v>177.8</v>
      </c>
      <c r="G40" s="1165" t="s">
        <v>28</v>
      </c>
      <c r="H40" s="550" t="s">
        <v>565</v>
      </c>
      <c r="I40" s="446">
        <v>579.16999999999996</v>
      </c>
      <c r="J40" s="1165">
        <v>200</v>
      </c>
      <c r="K40" s="1165"/>
      <c r="L40" s="670">
        <v>165.19</v>
      </c>
      <c r="M40" s="1165"/>
      <c r="N40" s="668">
        <v>3.82</v>
      </c>
      <c r="O40" s="1165"/>
      <c r="P40" s="668">
        <f t="shared" si="3"/>
        <v>44.293053528770692</v>
      </c>
      <c r="Q40" s="668">
        <f>(32/100)*J40</f>
        <v>64</v>
      </c>
      <c r="R40" s="432">
        <v>5.6760000000000002</v>
      </c>
      <c r="S40" s="432">
        <v>59.128999999999998</v>
      </c>
      <c r="T40" s="670">
        <v>27.012</v>
      </c>
      <c r="U40" s="668">
        <f t="shared" si="11"/>
        <v>4.7589852008456663</v>
      </c>
      <c r="V40" s="668">
        <v>90.4</v>
      </c>
      <c r="W40" s="1192">
        <v>2</v>
      </c>
      <c r="X40" s="1172">
        <f t="shared" si="9"/>
        <v>0.92389062499999997</v>
      </c>
      <c r="Y40" s="432">
        <f t="shared" si="4"/>
        <v>5.5965360000000004</v>
      </c>
      <c r="Z40" s="432">
        <f t="shared" si="1"/>
        <v>58.242064999999997</v>
      </c>
      <c r="AA40" s="670">
        <f t="shared" si="1"/>
        <v>26.606819999999999</v>
      </c>
      <c r="AB40" s="432">
        <f t="shared" si="5"/>
        <v>4.7589852008456663</v>
      </c>
      <c r="AC40" s="670">
        <f t="shared" si="2"/>
        <v>90.4</v>
      </c>
      <c r="AD40" s="1213">
        <f t="shared" si="6"/>
        <v>30</v>
      </c>
      <c r="AE40" s="432">
        <f t="shared" si="7"/>
        <v>167.89608000000001</v>
      </c>
      <c r="AF40" s="1173"/>
      <c r="AH40" s="1124">
        <f t="shared" si="8"/>
        <v>44.293053528770692</v>
      </c>
      <c r="AI40" s="666">
        <v>0.89100000000000001</v>
      </c>
      <c r="AJ40" s="666">
        <v>1.022</v>
      </c>
      <c r="AK40" s="666">
        <v>9.3558570000000008E-4</v>
      </c>
    </row>
    <row r="41" spans="1:37" ht="18.75" customHeight="1" x14ac:dyDescent="0.2">
      <c r="A41" s="1191">
        <v>26</v>
      </c>
      <c r="B41" s="461" t="s">
        <v>45</v>
      </c>
      <c r="C41" s="1165" t="s">
        <v>46</v>
      </c>
      <c r="D41" s="1165">
        <v>636.4</v>
      </c>
      <c r="E41" s="1165" t="s">
        <v>595</v>
      </c>
      <c r="F41" s="1165">
        <v>177.8</v>
      </c>
      <c r="G41" s="1165" t="s">
        <v>28</v>
      </c>
      <c r="H41" s="1165" t="s">
        <v>553</v>
      </c>
      <c r="I41" s="1161">
        <v>552.38</v>
      </c>
      <c r="J41" s="1074">
        <v>285</v>
      </c>
      <c r="K41" s="1165"/>
      <c r="L41" s="670">
        <v>447.97</v>
      </c>
      <c r="M41" s="1165"/>
      <c r="N41" s="668">
        <v>5.75</v>
      </c>
      <c r="O41" s="1165"/>
      <c r="P41" s="668">
        <f t="shared" si="3"/>
        <v>15.561851874177028</v>
      </c>
      <c r="Q41" s="668">
        <f>(32/100)*J41</f>
        <v>91.2</v>
      </c>
      <c r="R41" s="432">
        <v>18.265999999999998</v>
      </c>
      <c r="S41" s="432">
        <v>42.212000000000003</v>
      </c>
      <c r="T41" s="670">
        <v>270.21199999999999</v>
      </c>
      <c r="U41" s="668">
        <f t="shared" si="11"/>
        <v>14.793167633855251</v>
      </c>
      <c r="V41" s="668">
        <v>56.728999999999999</v>
      </c>
      <c r="W41" s="1192">
        <v>0.2</v>
      </c>
      <c r="X41" s="1172">
        <f t="shared" si="9"/>
        <v>0.46285087719298246</v>
      </c>
      <c r="Y41" s="432">
        <f t="shared" si="4"/>
        <v>18.010275999999998</v>
      </c>
      <c r="Z41" s="432">
        <f t="shared" si="1"/>
        <v>41.57882</v>
      </c>
      <c r="AA41" s="670">
        <f t="shared" si="1"/>
        <v>266.15881999999999</v>
      </c>
      <c r="AB41" s="432">
        <f t="shared" si="5"/>
        <v>14.793167633855251</v>
      </c>
      <c r="AC41" s="670">
        <f t="shared" si="2"/>
        <v>56.728999999999999</v>
      </c>
      <c r="AD41" s="1213">
        <f>(DAY(EOMONTH($AG$14,0))-AG41)</f>
        <v>30</v>
      </c>
      <c r="AE41" s="432">
        <f t="shared" si="7"/>
        <v>540.30827999999997</v>
      </c>
      <c r="AH41" s="1124">
        <f t="shared" si="8"/>
        <v>15.561851874177028</v>
      </c>
      <c r="AI41" s="666">
        <v>0.89349999999999996</v>
      </c>
      <c r="AJ41" s="666">
        <v>1.024</v>
      </c>
      <c r="AK41" s="666">
        <v>7.2366409999999998E-4</v>
      </c>
    </row>
    <row r="42" spans="1:37" ht="18.75" customHeight="1" x14ac:dyDescent="0.2">
      <c r="A42" s="1191">
        <v>27</v>
      </c>
      <c r="B42" s="461" t="s">
        <v>56</v>
      </c>
      <c r="C42" s="1163" t="s">
        <v>46</v>
      </c>
      <c r="D42" s="1165">
        <v>680.52</v>
      </c>
      <c r="E42" s="461" t="s">
        <v>596</v>
      </c>
      <c r="F42" s="1165">
        <v>177.8</v>
      </c>
      <c r="G42" s="1165" t="s">
        <v>28</v>
      </c>
      <c r="H42" s="550" t="s">
        <v>349</v>
      </c>
      <c r="I42" s="1161">
        <v>583.46</v>
      </c>
      <c r="J42" s="1074"/>
      <c r="K42" s="1165"/>
      <c r="L42" s="670"/>
      <c r="M42" s="1165"/>
      <c r="N42" s="668"/>
      <c r="O42" s="1165"/>
      <c r="P42" s="668"/>
      <c r="Q42" s="668"/>
      <c r="R42" s="432"/>
      <c r="S42" s="432"/>
      <c r="T42" s="670"/>
      <c r="U42" s="668"/>
      <c r="V42" s="668"/>
      <c r="W42" s="1192"/>
      <c r="X42" s="1172">
        <f t="shared" ref="X42" si="12">IF(S42=0,0,S42/Q42)</f>
        <v>0</v>
      </c>
      <c r="Y42" s="432">
        <f t="shared" ref="Y42" si="13">R42*0.986</f>
        <v>0</v>
      </c>
      <c r="Z42" s="432">
        <f t="shared" ref="Z42" si="14">S42*0.985</f>
        <v>0</v>
      </c>
      <c r="AA42" s="670">
        <f t="shared" ref="AA42" si="15">T42*0.985</f>
        <v>0</v>
      </c>
      <c r="AB42" s="432">
        <f t="shared" ref="AB42" si="16">U42</f>
        <v>0</v>
      </c>
      <c r="AC42" s="670">
        <f t="shared" ref="AC42" si="17">V42</f>
        <v>0</v>
      </c>
      <c r="AD42" s="1213">
        <f t="shared" ref="AD42:AD85" si="18">(DAY(EOMONTH($AG$14,0))-AG42)</f>
        <v>30</v>
      </c>
      <c r="AE42" s="432">
        <f t="shared" si="7"/>
        <v>0</v>
      </c>
      <c r="AF42" s="1173" t="s">
        <v>660</v>
      </c>
      <c r="AH42" s="1124">
        <f t="shared" si="8"/>
        <v>51.69303580814212</v>
      </c>
      <c r="AI42" s="666">
        <v>0.91510000000000002</v>
      </c>
      <c r="AJ42" s="666">
        <v>1.022</v>
      </c>
      <c r="AK42" s="666">
        <v>6.1000000000000004E-3</v>
      </c>
    </row>
    <row r="43" spans="1:37" ht="18.75" customHeight="1" x14ac:dyDescent="0.2">
      <c r="A43" s="1191">
        <v>28</v>
      </c>
      <c r="B43" s="461" t="s">
        <v>206</v>
      </c>
      <c r="C43" s="1165" t="s">
        <v>46</v>
      </c>
      <c r="D43" s="1165">
        <v>660.74</v>
      </c>
      <c r="E43" s="1165" t="s">
        <v>436</v>
      </c>
      <c r="F43" s="1165">
        <v>177.8</v>
      </c>
      <c r="G43" s="1165" t="s">
        <v>28</v>
      </c>
      <c r="H43" s="1165" t="s">
        <v>551</v>
      </c>
      <c r="I43" s="1161">
        <v>545.86</v>
      </c>
      <c r="J43" s="1165">
        <v>340</v>
      </c>
      <c r="K43" s="1165"/>
      <c r="L43" s="670">
        <v>368.97</v>
      </c>
      <c r="M43" s="1165"/>
      <c r="N43" s="668">
        <v>3.54</v>
      </c>
      <c r="O43" s="1165"/>
      <c r="P43" s="668">
        <f t="shared" si="3"/>
        <v>20.565313319817687</v>
      </c>
      <c r="Q43" s="668">
        <f>J43*22/100</f>
        <v>74.8</v>
      </c>
      <c r="R43" s="432">
        <v>5.8159999999999998</v>
      </c>
      <c r="S43" s="432">
        <v>27.951000000000001</v>
      </c>
      <c r="T43" s="670">
        <v>14.688000000000001</v>
      </c>
      <c r="U43" s="668">
        <f t="shared" si="11"/>
        <v>2.5254470426409905</v>
      </c>
      <c r="V43" s="668">
        <v>79.191999999999993</v>
      </c>
      <c r="W43" s="1192">
        <v>0.4</v>
      </c>
      <c r="X43" s="1172">
        <f t="shared" si="9"/>
        <v>0.37367647058823533</v>
      </c>
      <c r="Y43" s="432">
        <f t="shared" si="4"/>
        <v>5.7345759999999997</v>
      </c>
      <c r="Z43" s="432">
        <f t="shared" si="1"/>
        <v>27.531735000000001</v>
      </c>
      <c r="AA43" s="670">
        <f t="shared" si="1"/>
        <v>14.46768</v>
      </c>
      <c r="AB43" s="432">
        <f t="shared" si="5"/>
        <v>2.5254470426409905</v>
      </c>
      <c r="AC43" s="670">
        <f t="shared" si="2"/>
        <v>79.191999999999993</v>
      </c>
      <c r="AD43" s="1213">
        <f t="shared" si="18"/>
        <v>30</v>
      </c>
      <c r="AE43" s="432">
        <f t="shared" si="7"/>
        <v>172.03727999999998</v>
      </c>
      <c r="AF43" s="1173"/>
      <c r="AH43" s="1124">
        <f t="shared" si="8"/>
        <v>20.565313319817687</v>
      </c>
      <c r="AI43" s="666">
        <v>0.89929999999999999</v>
      </c>
      <c r="AJ43" s="666">
        <v>1.0169999999999999</v>
      </c>
      <c r="AK43" s="666">
        <v>7.7303220000000006E-4</v>
      </c>
    </row>
    <row r="44" spans="1:37" ht="18.75" customHeight="1" x14ac:dyDescent="0.2">
      <c r="A44" s="1191">
        <v>29</v>
      </c>
      <c r="B44" s="1162" t="s">
        <v>161</v>
      </c>
      <c r="C44" s="1165" t="s">
        <v>46</v>
      </c>
      <c r="D44" s="1161">
        <v>677</v>
      </c>
      <c r="E44" s="679" t="s">
        <v>178</v>
      </c>
      <c r="F44" s="1165">
        <v>177.8</v>
      </c>
      <c r="G44" s="1165" t="s">
        <v>28</v>
      </c>
      <c r="H44" s="550" t="s">
        <v>565</v>
      </c>
      <c r="I44" s="1161">
        <v>497.15</v>
      </c>
      <c r="J44" s="1161">
        <v>120</v>
      </c>
      <c r="K44" s="1161"/>
      <c r="L44" s="492">
        <v>392.94</v>
      </c>
      <c r="M44" s="1161"/>
      <c r="N44" s="668">
        <v>3.37</v>
      </c>
      <c r="O44" s="1161"/>
      <c r="P44" s="668">
        <f t="shared" si="3"/>
        <v>13.252346046523165</v>
      </c>
      <c r="Q44" s="668">
        <f>J44*33/100</f>
        <v>39.6</v>
      </c>
      <c r="R44" s="432">
        <v>8.6080000000000005</v>
      </c>
      <c r="S44" s="432">
        <v>24.934000000000001</v>
      </c>
      <c r="T44" s="492">
        <v>63.634999999999998</v>
      </c>
      <c r="U44" s="668">
        <f t="shared" si="11"/>
        <v>7.3925418215613377</v>
      </c>
      <c r="V44" s="668">
        <v>65.474999999999994</v>
      </c>
      <c r="W44" s="1192">
        <v>0.3</v>
      </c>
      <c r="X44" s="1172">
        <f t="shared" si="9"/>
        <v>0.62964646464646468</v>
      </c>
      <c r="Y44" s="432">
        <f t="shared" si="4"/>
        <v>8.4874880000000008</v>
      </c>
      <c r="Z44" s="432">
        <f t="shared" si="1"/>
        <v>24.559989999999999</v>
      </c>
      <c r="AA44" s="670">
        <f t="shared" si="1"/>
        <v>62.680474999999994</v>
      </c>
      <c r="AB44" s="432">
        <f t="shared" si="5"/>
        <v>7.3925418215613377</v>
      </c>
      <c r="AC44" s="670">
        <f t="shared" si="2"/>
        <v>65.474999999999994</v>
      </c>
      <c r="AD44" s="1213">
        <f t="shared" si="18"/>
        <v>30</v>
      </c>
      <c r="AE44" s="432">
        <f t="shared" si="7"/>
        <v>254.62464000000003</v>
      </c>
      <c r="AF44" s="1174"/>
      <c r="AH44" s="1124">
        <f t="shared" si="8"/>
        <v>13.252346046523165</v>
      </c>
      <c r="AI44" s="666">
        <v>0.88949999999999996</v>
      </c>
      <c r="AJ44" s="666">
        <v>1.0209999999999999</v>
      </c>
      <c r="AK44" s="666">
        <v>1.0307096000000001E-3</v>
      </c>
    </row>
    <row r="45" spans="1:37" ht="18.75" customHeight="1" x14ac:dyDescent="0.2">
      <c r="A45" s="1191">
        <v>30</v>
      </c>
      <c r="B45" s="1162" t="s">
        <v>162</v>
      </c>
      <c r="C45" s="1165" t="s">
        <v>46</v>
      </c>
      <c r="D45" s="1161">
        <v>676</v>
      </c>
      <c r="E45" s="679" t="s">
        <v>437</v>
      </c>
      <c r="F45" s="1165">
        <v>177.8</v>
      </c>
      <c r="G45" s="1165" t="s">
        <v>28</v>
      </c>
      <c r="H45" s="550" t="s">
        <v>588</v>
      </c>
      <c r="I45" s="1161">
        <v>550.59</v>
      </c>
      <c r="J45" s="493">
        <v>160</v>
      </c>
      <c r="K45" s="1161"/>
      <c r="L45" s="670">
        <v>412.48</v>
      </c>
      <c r="M45" s="1161"/>
      <c r="N45" s="668">
        <v>0.5</v>
      </c>
      <c r="O45" s="1161"/>
      <c r="P45" s="668">
        <f t="shared" si="3"/>
        <v>13.165324181897693</v>
      </c>
      <c r="Q45" s="668">
        <f>RIGHT(H45,(FIND("T",H45,1)-0))*J45/100</f>
        <v>22.4</v>
      </c>
      <c r="R45" s="432">
        <v>1.8979999999999999</v>
      </c>
      <c r="S45" s="432">
        <v>2.7869999999999999</v>
      </c>
      <c r="T45" s="492">
        <v>5.2789999999999999</v>
      </c>
      <c r="U45" s="668">
        <f t="shared" si="11"/>
        <v>2.7813487881981032</v>
      </c>
      <c r="V45" s="668">
        <v>31.896000000000001</v>
      </c>
      <c r="W45" s="1192">
        <v>0.3</v>
      </c>
      <c r="X45" s="1172">
        <f t="shared" si="9"/>
        <v>0.12441964285714287</v>
      </c>
      <c r="Y45" s="432">
        <f t="shared" si="4"/>
        <v>1.8714279999999999</v>
      </c>
      <c r="Z45" s="432">
        <f t="shared" si="1"/>
        <v>2.7451949999999998</v>
      </c>
      <c r="AA45" s="670">
        <f t="shared" si="1"/>
        <v>5.1998150000000001</v>
      </c>
      <c r="AB45" s="432">
        <f t="shared" si="5"/>
        <v>2.7813487881981032</v>
      </c>
      <c r="AC45" s="670">
        <f t="shared" si="2"/>
        <v>31.896000000000001</v>
      </c>
      <c r="AD45" s="1213">
        <f t="shared" si="18"/>
        <v>30</v>
      </c>
      <c r="AE45" s="432">
        <f t="shared" si="7"/>
        <v>56.142839999999993</v>
      </c>
      <c r="AF45" s="1174"/>
      <c r="AH45" s="1124">
        <f t="shared" si="8"/>
        <v>13.165324181897693</v>
      </c>
      <c r="AI45" s="666">
        <v>0.90820000000000001</v>
      </c>
      <c r="AJ45" s="666">
        <v>1.0229999999999999</v>
      </c>
      <c r="AK45" s="666">
        <v>7.9591010000000008E-4</v>
      </c>
    </row>
    <row r="46" spans="1:37" ht="18.75" customHeight="1" x14ac:dyDescent="0.2">
      <c r="A46" s="1191">
        <v>31</v>
      </c>
      <c r="B46" s="1162" t="s">
        <v>163</v>
      </c>
      <c r="C46" s="1165" t="s">
        <v>46</v>
      </c>
      <c r="D46" s="1161">
        <v>579</v>
      </c>
      <c r="E46" s="1165" t="s">
        <v>597</v>
      </c>
      <c r="F46" s="1165">
        <v>177.8</v>
      </c>
      <c r="G46" s="1165" t="s">
        <v>28</v>
      </c>
      <c r="H46" s="550" t="s">
        <v>466</v>
      </c>
      <c r="I46" s="1161">
        <v>551.34</v>
      </c>
      <c r="J46" s="1161">
        <v>340</v>
      </c>
      <c r="K46" s="1161"/>
      <c r="L46" s="492">
        <v>455.58</v>
      </c>
      <c r="M46" s="1161"/>
      <c r="N46" s="668">
        <v>0.11</v>
      </c>
      <c r="O46" s="1161"/>
      <c r="P46" s="668">
        <f t="shared" si="3"/>
        <v>8.7873276899344965</v>
      </c>
      <c r="Q46" s="668">
        <f t="shared" ref="Q46:Q49" si="19">LEFT(H46,(FIND("E",H46,1)-1))*J46/100</f>
        <v>44.2</v>
      </c>
      <c r="R46" s="432">
        <v>3.1560000000000001</v>
      </c>
      <c r="S46" s="432">
        <v>4.601</v>
      </c>
      <c r="T46" s="492">
        <v>9.7309999999999999</v>
      </c>
      <c r="U46" s="668">
        <f t="shared" si="11"/>
        <v>3.083333333333333</v>
      </c>
      <c r="V46" s="668">
        <v>31.405999999999999</v>
      </c>
      <c r="W46" s="1192">
        <v>0.3</v>
      </c>
      <c r="X46" s="1172">
        <f t="shared" si="9"/>
        <v>0.10409502262443439</v>
      </c>
      <c r="Y46" s="432">
        <f t="shared" si="4"/>
        <v>3.1118160000000001</v>
      </c>
      <c r="Z46" s="432">
        <f t="shared" si="1"/>
        <v>4.5319849999999997</v>
      </c>
      <c r="AA46" s="670">
        <f t="shared" si="1"/>
        <v>9.5850349999999995</v>
      </c>
      <c r="AB46" s="432">
        <f t="shared" si="5"/>
        <v>3.083333333333333</v>
      </c>
      <c r="AC46" s="670">
        <f t="shared" si="2"/>
        <v>31.405999999999999</v>
      </c>
      <c r="AD46" s="1213">
        <f t="shared" si="18"/>
        <v>30</v>
      </c>
      <c r="AE46" s="432">
        <f t="shared" si="7"/>
        <v>93.354480000000009</v>
      </c>
      <c r="AF46" s="1174"/>
      <c r="AH46" s="1124">
        <f t="shared" si="8"/>
        <v>8.7873276899344965</v>
      </c>
      <c r="AI46" s="666">
        <v>0.89559999999999995</v>
      </c>
      <c r="AJ46" s="666">
        <v>1.012</v>
      </c>
      <c r="AK46" s="666">
        <v>7.9591010000000008E-4</v>
      </c>
    </row>
    <row r="47" spans="1:37" ht="18.75" customHeight="1" x14ac:dyDescent="0.2">
      <c r="A47" s="1191">
        <v>32</v>
      </c>
      <c r="B47" s="461" t="s">
        <v>59</v>
      </c>
      <c r="C47" s="1165" t="s">
        <v>46</v>
      </c>
      <c r="D47" s="1165">
        <v>615</v>
      </c>
      <c r="E47" s="1165" t="s">
        <v>454</v>
      </c>
      <c r="F47" s="1165">
        <v>177.8</v>
      </c>
      <c r="G47" s="1165" t="s">
        <v>28</v>
      </c>
      <c r="H47" s="550" t="s">
        <v>540</v>
      </c>
      <c r="I47" s="1161">
        <v>538.11</v>
      </c>
      <c r="J47" s="1165">
        <v>340</v>
      </c>
      <c r="K47" s="1165"/>
      <c r="L47" s="670">
        <v>417.77</v>
      </c>
      <c r="M47" s="1165"/>
      <c r="N47" s="668">
        <v>0</v>
      </c>
      <c r="O47" s="1165"/>
      <c r="P47" s="668">
        <f t="shared" si="3"/>
        <v>11.182671817668048</v>
      </c>
      <c r="Q47" s="668">
        <f t="shared" si="19"/>
        <v>74.8</v>
      </c>
      <c r="R47" s="432">
        <v>4.593</v>
      </c>
      <c r="S47" s="432">
        <v>8.8580000000000005</v>
      </c>
      <c r="T47" s="670">
        <v>45.511000000000003</v>
      </c>
      <c r="U47" s="668">
        <f t="shared" si="11"/>
        <v>9.9087742216416288</v>
      </c>
      <c r="V47" s="668">
        <v>48.152999999999999</v>
      </c>
      <c r="W47" s="1192">
        <v>0.3</v>
      </c>
      <c r="X47" s="1172">
        <f t="shared" si="9"/>
        <v>0.11842245989304814</v>
      </c>
      <c r="Y47" s="432">
        <f t="shared" si="4"/>
        <v>4.5286980000000003</v>
      </c>
      <c r="Z47" s="432">
        <f t="shared" si="1"/>
        <v>8.7251300000000001</v>
      </c>
      <c r="AA47" s="670">
        <f t="shared" si="1"/>
        <v>44.828335000000003</v>
      </c>
      <c r="AB47" s="432">
        <f>U47</f>
        <v>9.9087742216416288</v>
      </c>
      <c r="AC47" s="670">
        <f t="shared" si="2"/>
        <v>48.152999999999999</v>
      </c>
      <c r="AD47" s="1213">
        <f t="shared" si="18"/>
        <v>30</v>
      </c>
      <c r="AE47" s="432">
        <f t="shared" si="7"/>
        <v>135.86094</v>
      </c>
      <c r="AF47" s="1174"/>
      <c r="AH47" s="1124">
        <f t="shared" si="8"/>
        <v>11.182671817668048</v>
      </c>
      <c r="AI47" s="666">
        <v>0.90149999999999997</v>
      </c>
      <c r="AJ47" s="666">
        <v>1.0169999999999999</v>
      </c>
      <c r="AK47" s="666">
        <v>7.7447712000000004E-4</v>
      </c>
    </row>
    <row r="48" spans="1:37" ht="18.600000000000001" customHeight="1" x14ac:dyDescent="0.2">
      <c r="A48" s="1191">
        <v>33</v>
      </c>
      <c r="B48" s="461" t="s">
        <v>207</v>
      </c>
      <c r="C48" s="1165" t="s">
        <v>46</v>
      </c>
      <c r="D48" s="1165">
        <v>674.39</v>
      </c>
      <c r="E48" s="1165" t="s">
        <v>598</v>
      </c>
      <c r="F48" s="1165">
        <v>177.8</v>
      </c>
      <c r="G48" s="1165" t="s">
        <v>28</v>
      </c>
      <c r="H48" s="550" t="s">
        <v>466</v>
      </c>
      <c r="I48" s="1161">
        <v>571.19000000000005</v>
      </c>
      <c r="J48" s="1165">
        <v>120</v>
      </c>
      <c r="K48" s="1165"/>
      <c r="L48" s="670">
        <v>399.87</v>
      </c>
      <c r="M48" s="1165"/>
      <c r="N48" s="668">
        <v>4.1100000000000003</v>
      </c>
      <c r="O48" s="1165"/>
      <c r="P48" s="668">
        <f t="shared" si="3"/>
        <v>20.275192433326023</v>
      </c>
      <c r="Q48" s="668">
        <f t="shared" si="19"/>
        <v>15.6</v>
      </c>
      <c r="R48" s="432">
        <v>5.992</v>
      </c>
      <c r="S48" s="432">
        <v>14.071999999999999</v>
      </c>
      <c r="T48" s="670">
        <v>7.024</v>
      </c>
      <c r="U48" s="668">
        <f t="shared" si="11"/>
        <v>1.1722296395193592</v>
      </c>
      <c r="V48" s="668">
        <v>57.415999999999997</v>
      </c>
      <c r="W48" s="1192">
        <v>0.3</v>
      </c>
      <c r="X48" s="1172">
        <f t="shared" si="9"/>
        <v>0.90205128205128204</v>
      </c>
      <c r="Y48" s="432">
        <f t="shared" si="4"/>
        <v>5.908112</v>
      </c>
      <c r="Z48" s="432">
        <f t="shared" si="1"/>
        <v>13.860919999999998</v>
      </c>
      <c r="AA48" s="670">
        <f t="shared" si="1"/>
        <v>6.9186399999999999</v>
      </c>
      <c r="AB48" s="432">
        <f>U48</f>
        <v>1.1722296395193592</v>
      </c>
      <c r="AC48" s="670">
        <f t="shared" si="2"/>
        <v>57.415999999999997</v>
      </c>
      <c r="AD48" s="1213">
        <f t="shared" si="18"/>
        <v>30</v>
      </c>
      <c r="AE48" s="432">
        <f t="shared" si="7"/>
        <v>177.24336</v>
      </c>
      <c r="AF48" s="1174"/>
      <c r="AH48" s="1124">
        <f t="shared" si="8"/>
        <v>20.275192433326023</v>
      </c>
      <c r="AI48" s="666">
        <v>0.90359999999999996</v>
      </c>
      <c r="AJ48" s="666">
        <v>1.024</v>
      </c>
      <c r="AK48" s="666">
        <v>7.9591010000000008E-4</v>
      </c>
    </row>
    <row r="49" spans="1:37" ht="18.600000000000001" customHeight="1" x14ac:dyDescent="0.2">
      <c r="A49" s="1191">
        <v>34</v>
      </c>
      <c r="B49" s="461" t="s">
        <v>599</v>
      </c>
      <c r="C49" s="1165" t="s">
        <v>46</v>
      </c>
      <c r="D49" s="668">
        <v>684.01</v>
      </c>
      <c r="E49" s="1165" t="s">
        <v>600</v>
      </c>
      <c r="F49" s="1165">
        <v>177.8</v>
      </c>
      <c r="G49" s="1165" t="s">
        <v>28</v>
      </c>
      <c r="H49" s="550" t="s">
        <v>466</v>
      </c>
      <c r="I49" s="1161">
        <v>556.66</v>
      </c>
      <c r="J49" s="1165">
        <v>165</v>
      </c>
      <c r="K49" s="1165"/>
      <c r="L49" s="1214">
        <v>469.06</v>
      </c>
      <c r="M49" s="1165"/>
      <c r="N49" s="671">
        <v>26.55</v>
      </c>
      <c r="O49" s="1165"/>
      <c r="P49" s="668">
        <f t="shared" si="3"/>
        <v>34.995798135560278</v>
      </c>
      <c r="Q49" s="668">
        <f t="shared" si="19"/>
        <v>21.45</v>
      </c>
      <c r="R49" s="432">
        <v>6.0259999999999998</v>
      </c>
      <c r="S49" s="432">
        <v>17.850999999999999</v>
      </c>
      <c r="T49" s="670">
        <v>46.323</v>
      </c>
      <c r="U49" s="668">
        <f t="shared" si="11"/>
        <v>7.6871888483239301</v>
      </c>
      <c r="V49" s="668">
        <v>66.245999999999995</v>
      </c>
      <c r="W49" s="1192">
        <v>0.3</v>
      </c>
      <c r="X49" s="1172">
        <f t="shared" si="9"/>
        <v>0.83221445221445223</v>
      </c>
      <c r="Y49" s="432">
        <f t="shared" si="4"/>
        <v>5.9416359999999999</v>
      </c>
      <c r="Z49" s="432">
        <f t="shared" si="1"/>
        <v>17.583234999999998</v>
      </c>
      <c r="AA49" s="670">
        <f t="shared" si="1"/>
        <v>45.628155</v>
      </c>
      <c r="AB49" s="432">
        <f>U49</f>
        <v>7.6871888483239301</v>
      </c>
      <c r="AC49" s="670">
        <f t="shared" si="2"/>
        <v>66.245999999999995</v>
      </c>
      <c r="AD49" s="1213">
        <f t="shared" si="18"/>
        <v>30</v>
      </c>
      <c r="AE49" s="432">
        <f t="shared" ref="AE49" si="20">Y49*AD49</f>
        <v>178.24907999999999</v>
      </c>
      <c r="AF49" s="1174"/>
      <c r="AH49" s="1124">
        <f t="shared" si="8"/>
        <v>34.995798135560278</v>
      </c>
      <c r="AI49" s="666">
        <v>0.9204</v>
      </c>
      <c r="AJ49" s="666">
        <v>1.028</v>
      </c>
      <c r="AK49" s="666">
        <v>7.7447712000000004E-4</v>
      </c>
    </row>
    <row r="50" spans="1:37" ht="18.75" customHeight="1" x14ac:dyDescent="0.25">
      <c r="A50" s="1191">
        <v>35</v>
      </c>
      <c r="B50" s="461" t="s">
        <v>196</v>
      </c>
      <c r="C50" s="1165" t="s">
        <v>46</v>
      </c>
      <c r="D50" s="1165">
        <v>641</v>
      </c>
      <c r="E50" s="1165" t="s">
        <v>619</v>
      </c>
      <c r="F50" s="1165">
        <v>177.8</v>
      </c>
      <c r="G50" s="1165" t="s">
        <v>28</v>
      </c>
      <c r="H50" s="1165" t="s">
        <v>50</v>
      </c>
      <c r="I50" s="1161">
        <v>607.85</v>
      </c>
      <c r="J50" s="1165"/>
      <c r="K50" s="700">
        <v>58.46</v>
      </c>
      <c r="L50" s="1215"/>
      <c r="M50" s="675">
        <v>0.3</v>
      </c>
      <c r="N50" s="1194"/>
      <c r="O50" s="1165"/>
      <c r="P50" s="668">
        <f t="shared" si="3"/>
        <v>52.724000149518879</v>
      </c>
      <c r="Q50" s="668">
        <f>LEFT(H50,(FIND("K",H50,1)-1))*J50/100</f>
        <v>0</v>
      </c>
      <c r="R50" s="432">
        <v>0</v>
      </c>
      <c r="S50" s="432">
        <v>0</v>
      </c>
      <c r="T50" s="670">
        <v>0</v>
      </c>
      <c r="U50" s="668">
        <f t="shared" si="11"/>
        <v>0</v>
      </c>
      <c r="V50" s="668"/>
      <c r="W50" s="1192">
        <v>0</v>
      </c>
      <c r="X50" s="1172">
        <f t="shared" si="9"/>
        <v>0</v>
      </c>
      <c r="Y50" s="432">
        <f t="shared" si="4"/>
        <v>0</v>
      </c>
      <c r="Z50" s="432">
        <f t="shared" si="1"/>
        <v>0</v>
      </c>
      <c r="AA50" s="670">
        <f t="shared" si="1"/>
        <v>0</v>
      </c>
      <c r="AB50" s="432">
        <f>U50</f>
        <v>0</v>
      </c>
      <c r="AC50" s="670">
        <f t="shared" si="2"/>
        <v>0</v>
      </c>
      <c r="AD50" s="1213">
        <f t="shared" si="18"/>
        <v>30</v>
      </c>
      <c r="AE50" s="432">
        <f t="shared" si="7"/>
        <v>0</v>
      </c>
      <c r="AF50" s="1174"/>
      <c r="AH50" s="1124">
        <f t="shared" si="8"/>
        <v>52.724000149518879</v>
      </c>
      <c r="AI50" s="666">
        <v>0.89590000000000003</v>
      </c>
      <c r="AJ50" s="666">
        <v>1.0169999999999999</v>
      </c>
      <c r="AK50" s="666">
        <v>1.1667729E-3</v>
      </c>
    </row>
    <row r="51" spans="1:37" ht="18.75" customHeight="1" x14ac:dyDescent="0.2">
      <c r="A51" s="1191">
        <v>36</v>
      </c>
      <c r="B51" s="461" t="s">
        <v>60</v>
      </c>
      <c r="C51" s="1165" t="s">
        <v>46</v>
      </c>
      <c r="D51" s="1165">
        <v>641.04999999999995</v>
      </c>
      <c r="E51" s="1165" t="s">
        <v>462</v>
      </c>
      <c r="F51" s="1165">
        <v>177.8</v>
      </c>
      <c r="G51" s="1165" t="s">
        <v>28</v>
      </c>
      <c r="H51" s="550" t="s">
        <v>592</v>
      </c>
      <c r="I51" s="1161">
        <v>532.98</v>
      </c>
      <c r="J51" s="1074">
        <v>125</v>
      </c>
      <c r="K51" s="1165"/>
      <c r="L51" s="670">
        <v>419.52</v>
      </c>
      <c r="M51" s="1165"/>
      <c r="N51" s="668">
        <v>4.0999999999999996</v>
      </c>
      <c r="O51" s="1165"/>
      <c r="P51" s="668">
        <f t="shared" si="3"/>
        <v>14.784320940018246</v>
      </c>
      <c r="Q51" s="668">
        <f>RIGHT(H51,(FIND("T",H51,1)-0))*J51/100</f>
        <v>17.5</v>
      </c>
      <c r="R51" s="432">
        <v>5.9180000000000001</v>
      </c>
      <c r="S51" s="432">
        <v>15.78</v>
      </c>
      <c r="T51" s="670">
        <v>178.76400000000001</v>
      </c>
      <c r="U51" s="668">
        <f t="shared" si="11"/>
        <v>30.206826630618455</v>
      </c>
      <c r="V51" s="668">
        <v>62.5</v>
      </c>
      <c r="W51" s="1192">
        <v>0.2</v>
      </c>
      <c r="X51" s="1172">
        <f t="shared" si="9"/>
        <v>0.90171428571428569</v>
      </c>
      <c r="Y51" s="432">
        <f t="shared" si="4"/>
        <v>5.8351480000000002</v>
      </c>
      <c r="Z51" s="432">
        <f t="shared" si="1"/>
        <v>15.543299999999999</v>
      </c>
      <c r="AA51" s="670">
        <f t="shared" si="1"/>
        <v>176.08253999999999</v>
      </c>
      <c r="AB51" s="432">
        <f t="shared" si="5"/>
        <v>30.206826630618455</v>
      </c>
      <c r="AC51" s="670">
        <f t="shared" si="2"/>
        <v>62.5</v>
      </c>
      <c r="AD51" s="1213">
        <f t="shared" si="18"/>
        <v>30</v>
      </c>
      <c r="AE51" s="432">
        <f t="shared" si="7"/>
        <v>175.05444</v>
      </c>
      <c r="AF51" s="1174"/>
      <c r="AH51" s="1124">
        <f t="shared" si="8"/>
        <v>14.784320940018246</v>
      </c>
      <c r="AI51" s="666">
        <v>0.88219999999999998</v>
      </c>
      <c r="AJ51" s="666">
        <v>1.02</v>
      </c>
      <c r="AK51" s="666">
        <v>1.1667729E-3</v>
      </c>
    </row>
    <row r="52" spans="1:37" ht="18.75" customHeight="1" x14ac:dyDescent="0.2">
      <c r="A52" s="1191">
        <v>37</v>
      </c>
      <c r="B52" s="461" t="s">
        <v>119</v>
      </c>
      <c r="C52" s="1165" t="s">
        <v>404</v>
      </c>
      <c r="D52" s="1165">
        <v>654.07000000000005</v>
      </c>
      <c r="E52" s="1165" t="s">
        <v>410</v>
      </c>
      <c r="F52" s="1165">
        <v>177.8</v>
      </c>
      <c r="G52" s="1165" t="s">
        <v>28</v>
      </c>
      <c r="H52" s="1165" t="s">
        <v>566</v>
      </c>
      <c r="I52" s="1161">
        <v>500.38</v>
      </c>
      <c r="J52" s="1165"/>
      <c r="K52" s="1165">
        <v>478</v>
      </c>
      <c r="L52" s="670"/>
      <c r="M52" s="1165">
        <v>0</v>
      </c>
      <c r="N52" s="668"/>
      <c r="O52" s="1165"/>
      <c r="P52" s="668">
        <f t="shared" si="3"/>
        <v>42.060276101258324</v>
      </c>
      <c r="Q52" s="668">
        <f>J52*13/100</f>
        <v>0</v>
      </c>
      <c r="R52" s="432">
        <v>0</v>
      </c>
      <c r="S52" s="432">
        <v>0</v>
      </c>
      <c r="T52" s="670">
        <v>0</v>
      </c>
      <c r="U52" s="668">
        <f t="shared" si="11"/>
        <v>0</v>
      </c>
      <c r="V52" s="668"/>
      <c r="W52" s="1192">
        <v>0</v>
      </c>
      <c r="X52" s="1172">
        <f t="shared" si="9"/>
        <v>0</v>
      </c>
      <c r="Y52" s="432">
        <f t="shared" si="4"/>
        <v>0</v>
      </c>
      <c r="Z52" s="432">
        <f t="shared" si="1"/>
        <v>0</v>
      </c>
      <c r="AA52" s="670">
        <f t="shared" si="1"/>
        <v>0</v>
      </c>
      <c r="AB52" s="432">
        <f t="shared" si="5"/>
        <v>0</v>
      </c>
      <c r="AC52" s="670">
        <f t="shared" si="2"/>
        <v>0</v>
      </c>
      <c r="AD52" s="1213">
        <f t="shared" si="18"/>
        <v>30</v>
      </c>
      <c r="AE52" s="432">
        <f t="shared" si="7"/>
        <v>0</v>
      </c>
      <c r="AF52" s="1174"/>
      <c r="AH52" s="1124">
        <f t="shared" si="8"/>
        <v>42.060276101258324</v>
      </c>
      <c r="AI52" s="666">
        <v>0.86819999999999997</v>
      </c>
      <c r="AJ52" s="666">
        <v>1.018</v>
      </c>
      <c r="AK52" s="666">
        <v>1.0764654000000001E-3</v>
      </c>
    </row>
    <row r="53" spans="1:37" ht="18.75" customHeight="1" x14ac:dyDescent="0.2">
      <c r="A53" s="1191">
        <v>38</v>
      </c>
      <c r="B53" s="461" t="s">
        <v>118</v>
      </c>
      <c r="C53" s="1165" t="s">
        <v>408</v>
      </c>
      <c r="D53" s="1165">
        <v>728.77</v>
      </c>
      <c r="E53" s="1165" t="s">
        <v>442</v>
      </c>
      <c r="F53" s="1165">
        <v>177.8</v>
      </c>
      <c r="G53" s="1165" t="s">
        <v>28</v>
      </c>
      <c r="H53" s="550" t="s">
        <v>52</v>
      </c>
      <c r="I53" s="1161">
        <v>517.84</v>
      </c>
      <c r="J53" s="1165">
        <v>125</v>
      </c>
      <c r="K53" s="1165"/>
      <c r="L53" s="670">
        <v>398.55</v>
      </c>
      <c r="M53" s="1165"/>
      <c r="N53" s="668">
        <v>3.93</v>
      </c>
      <c r="O53" s="1165"/>
      <c r="P53" s="668">
        <f t="shared" si="3"/>
        <v>15.32502788488347</v>
      </c>
      <c r="Q53" s="668">
        <f>LEFT(H53,(FIND("K",H53,1)-1))*J53/100</f>
        <v>27.5</v>
      </c>
      <c r="R53" s="432">
        <v>7.2610000000000001</v>
      </c>
      <c r="S53" s="432">
        <v>19.192</v>
      </c>
      <c r="T53" s="670">
        <v>6.556</v>
      </c>
      <c r="U53" s="668">
        <f t="shared" si="11"/>
        <v>0.90290593582151213</v>
      </c>
      <c r="V53" s="668">
        <v>62.165999999999997</v>
      </c>
      <c r="W53" s="1192">
        <v>0.3</v>
      </c>
      <c r="X53" s="1172">
        <f t="shared" si="9"/>
        <v>0.69789090909090912</v>
      </c>
      <c r="Y53" s="432">
        <f t="shared" si="4"/>
        <v>7.1593460000000002</v>
      </c>
      <c r="Z53" s="432">
        <f t="shared" si="1"/>
        <v>18.904119999999999</v>
      </c>
      <c r="AA53" s="670">
        <f t="shared" si="1"/>
        <v>6.4576599999999997</v>
      </c>
      <c r="AB53" s="432">
        <f t="shared" si="5"/>
        <v>0.90290593582151213</v>
      </c>
      <c r="AC53" s="670">
        <f t="shared" si="2"/>
        <v>62.165999999999997</v>
      </c>
      <c r="AD53" s="1213">
        <f t="shared" si="18"/>
        <v>30</v>
      </c>
      <c r="AE53" s="432">
        <f t="shared" si="7"/>
        <v>214.78038000000001</v>
      </c>
      <c r="AF53" s="1174"/>
      <c r="AH53" s="1124">
        <f t="shared" si="8"/>
        <v>15.32502788488347</v>
      </c>
      <c r="AI53" s="666">
        <v>0.92290000000000005</v>
      </c>
      <c r="AJ53" s="666">
        <v>1.0209999999999999</v>
      </c>
      <c r="AK53" s="666">
        <v>8.2480850000000007E-4</v>
      </c>
    </row>
    <row r="54" spans="1:37" ht="18.75" customHeight="1" x14ac:dyDescent="0.2">
      <c r="A54" s="1191">
        <v>39</v>
      </c>
      <c r="B54" s="461" t="s">
        <v>117</v>
      </c>
      <c r="C54" s="1165" t="s">
        <v>46</v>
      </c>
      <c r="D54" s="1165">
        <v>671.45</v>
      </c>
      <c r="E54" s="1165" t="s">
        <v>554</v>
      </c>
      <c r="F54" s="1165">
        <v>177.8</v>
      </c>
      <c r="G54" s="1165" t="s">
        <v>28</v>
      </c>
      <c r="H54" s="550" t="s">
        <v>588</v>
      </c>
      <c r="I54" s="1161">
        <v>564.6500000000002</v>
      </c>
      <c r="J54" s="1074"/>
      <c r="K54" s="1165"/>
      <c r="L54" s="670"/>
      <c r="M54" s="1165">
        <v>3.2</v>
      </c>
      <c r="N54" s="668"/>
      <c r="O54" s="1165"/>
      <c r="P54" s="668">
        <f t="shared" si="3"/>
        <v>49.906249621021495</v>
      </c>
      <c r="Q54" s="668">
        <f>RIGHT(H54,(FIND("T",H54,1)-0))*J54/100</f>
        <v>0</v>
      </c>
      <c r="R54" s="432">
        <v>0</v>
      </c>
      <c r="S54" s="432">
        <v>0</v>
      </c>
      <c r="T54" s="670">
        <v>0</v>
      </c>
      <c r="U54" s="668">
        <f t="shared" si="11"/>
        <v>0</v>
      </c>
      <c r="V54" s="668"/>
      <c r="W54" s="1192">
        <v>0</v>
      </c>
      <c r="X54" s="1172">
        <f t="shared" si="9"/>
        <v>0</v>
      </c>
      <c r="Y54" s="432">
        <f t="shared" si="4"/>
        <v>0</v>
      </c>
      <c r="Z54" s="432">
        <f t="shared" si="1"/>
        <v>0</v>
      </c>
      <c r="AA54" s="670">
        <f t="shared" si="1"/>
        <v>0</v>
      </c>
      <c r="AB54" s="432">
        <f t="shared" si="5"/>
        <v>0</v>
      </c>
      <c r="AC54" s="670">
        <f t="shared" si="2"/>
        <v>0</v>
      </c>
      <c r="AD54" s="1213">
        <f t="shared" si="18"/>
        <v>30</v>
      </c>
      <c r="AE54" s="432">
        <f t="shared" si="7"/>
        <v>0</v>
      </c>
      <c r="AF54" s="1173"/>
      <c r="AH54" s="1124">
        <f t="shared" si="8"/>
        <v>49.906249621021495</v>
      </c>
      <c r="AI54" s="666">
        <v>0.91290000000000004</v>
      </c>
      <c r="AJ54" s="666">
        <v>1.0189999999999999</v>
      </c>
      <c r="AK54" s="666">
        <v>8.1276750000000011E-4</v>
      </c>
    </row>
    <row r="55" spans="1:37" ht="18.75" customHeight="1" x14ac:dyDescent="0.2">
      <c r="A55" s="1191">
        <v>40</v>
      </c>
      <c r="B55" s="461" t="s">
        <v>130</v>
      </c>
      <c r="C55" s="1165" t="s">
        <v>46</v>
      </c>
      <c r="D55" s="1165">
        <v>622.48</v>
      </c>
      <c r="E55" s="1165" t="s">
        <v>555</v>
      </c>
      <c r="F55" s="1165">
        <v>177.8</v>
      </c>
      <c r="G55" s="1165" t="s">
        <v>28</v>
      </c>
      <c r="H55" s="1165" t="s">
        <v>487</v>
      </c>
      <c r="I55" s="1161">
        <v>563.54999999999995</v>
      </c>
      <c r="J55" s="1165"/>
      <c r="K55" s="1165">
        <v>250</v>
      </c>
      <c r="L55" s="670"/>
      <c r="M55" s="1165">
        <v>0.4</v>
      </c>
      <c r="N55" s="668"/>
      <c r="O55" s="1165"/>
      <c r="P55" s="668">
        <f>AH55</f>
        <v>27.810815602701702</v>
      </c>
      <c r="Q55" s="668">
        <f>LEFT(H55,(FIND("K",H55,1)-1))*J55/100</f>
        <v>0</v>
      </c>
      <c r="R55" s="432">
        <v>0</v>
      </c>
      <c r="S55" s="432">
        <v>0</v>
      </c>
      <c r="T55" s="670">
        <v>0</v>
      </c>
      <c r="U55" s="668">
        <f t="shared" si="11"/>
        <v>0</v>
      </c>
      <c r="V55" s="668"/>
      <c r="W55" s="1192">
        <v>0</v>
      </c>
      <c r="X55" s="1172">
        <f t="shared" si="9"/>
        <v>0</v>
      </c>
      <c r="Y55" s="432">
        <f t="shared" si="4"/>
        <v>0</v>
      </c>
      <c r="Z55" s="432">
        <f t="shared" si="1"/>
        <v>0</v>
      </c>
      <c r="AA55" s="670">
        <f t="shared" si="1"/>
        <v>0</v>
      </c>
      <c r="AB55" s="432">
        <f t="shared" si="5"/>
        <v>0</v>
      </c>
      <c r="AC55" s="670">
        <f t="shared" si="2"/>
        <v>0</v>
      </c>
      <c r="AD55" s="1213">
        <f t="shared" si="18"/>
        <v>30</v>
      </c>
      <c r="AE55" s="432">
        <f t="shared" si="7"/>
        <v>0</v>
      </c>
      <c r="AF55" s="1173"/>
      <c r="AH55" s="1124">
        <f>(9.81*(AI55*(100%-(V55/100))+AJ55*(V55/100))*(I55-K55)+M55*101.325+9.81*(AK55)*K55)/101.325</f>
        <v>27.810815602701702</v>
      </c>
      <c r="AI55" s="666">
        <v>0.90229999999999999</v>
      </c>
      <c r="AJ55" s="666">
        <v>1.0189999999999999</v>
      </c>
      <c r="AK55" s="666">
        <v>8.1276750000000011E-4</v>
      </c>
    </row>
    <row r="56" spans="1:37" ht="18.75" customHeight="1" x14ac:dyDescent="0.2">
      <c r="A56" s="1191">
        <v>41</v>
      </c>
      <c r="B56" s="674" t="s">
        <v>115</v>
      </c>
      <c r="C56" s="452" t="s">
        <v>46</v>
      </c>
      <c r="D56" s="452">
        <v>580.71</v>
      </c>
      <c r="E56" s="452" t="s">
        <v>286</v>
      </c>
      <c r="F56" s="1165">
        <v>177.8</v>
      </c>
      <c r="G56" s="452" t="s">
        <v>28</v>
      </c>
      <c r="H56" s="1168" t="s">
        <v>466</v>
      </c>
      <c r="I56" s="453">
        <v>565.77</v>
      </c>
      <c r="J56" s="452">
        <v>120</v>
      </c>
      <c r="K56" s="452"/>
      <c r="L56" s="700">
        <v>430.19</v>
      </c>
      <c r="M56" s="452"/>
      <c r="N56" s="668">
        <v>1.74</v>
      </c>
      <c r="O56" s="452"/>
      <c r="P56" s="668">
        <f t="shared" si="3"/>
        <v>13.98542452510195</v>
      </c>
      <c r="Q56" s="668">
        <f>J56*7/100</f>
        <v>8.4</v>
      </c>
      <c r="R56" s="456">
        <v>6.9459999999999997</v>
      </c>
      <c r="S56" s="432">
        <v>7.8710000000000004</v>
      </c>
      <c r="T56" s="700">
        <v>16.248999999999999</v>
      </c>
      <c r="U56" s="668">
        <f t="shared" si="11"/>
        <v>2.3393319896343217</v>
      </c>
      <c r="V56" s="668">
        <v>11.760999999999999</v>
      </c>
      <c r="W56" s="1195">
        <v>0.2</v>
      </c>
      <c r="X56" s="1172">
        <f t="shared" si="9"/>
        <v>0.93702380952380948</v>
      </c>
      <c r="Y56" s="432">
        <f t="shared" si="4"/>
        <v>6.8487559999999998</v>
      </c>
      <c r="Z56" s="432">
        <f t="shared" si="1"/>
        <v>7.7529349999999999</v>
      </c>
      <c r="AA56" s="670">
        <f t="shared" si="1"/>
        <v>16.005264999999998</v>
      </c>
      <c r="AB56" s="456">
        <f t="shared" si="5"/>
        <v>2.3393319896343217</v>
      </c>
      <c r="AC56" s="670">
        <f t="shared" si="2"/>
        <v>11.760999999999999</v>
      </c>
      <c r="AD56" s="1213">
        <f t="shared" si="18"/>
        <v>30</v>
      </c>
      <c r="AE56" s="456">
        <f t="shared" si="7"/>
        <v>205.46268000000001</v>
      </c>
      <c r="AF56" s="1174"/>
      <c r="AH56" s="1124">
        <f t="shared" si="8"/>
        <v>13.98542452510195</v>
      </c>
      <c r="AI56" s="666">
        <v>0.89959999999999996</v>
      </c>
      <c r="AJ56" s="666">
        <v>1.018</v>
      </c>
      <c r="AK56" s="666">
        <v>6.1000000000000004E-3</v>
      </c>
    </row>
    <row r="57" spans="1:37" ht="18.75" customHeight="1" x14ac:dyDescent="0.2">
      <c r="A57" s="1191">
        <v>42</v>
      </c>
      <c r="B57" s="461" t="s">
        <v>116</v>
      </c>
      <c r="C57" s="1165" t="s">
        <v>46</v>
      </c>
      <c r="D57" s="1165">
        <v>681.27</v>
      </c>
      <c r="E57" s="1165" t="s">
        <v>601</v>
      </c>
      <c r="F57" s="1165">
        <v>177.8</v>
      </c>
      <c r="G57" s="1165" t="s">
        <v>28</v>
      </c>
      <c r="H57" s="1165" t="s">
        <v>556</v>
      </c>
      <c r="I57" s="1161">
        <v>577.05999999999995</v>
      </c>
      <c r="J57" s="1074">
        <v>190</v>
      </c>
      <c r="K57" s="1165"/>
      <c r="L57" s="670">
        <v>236.39</v>
      </c>
      <c r="M57" s="1165"/>
      <c r="N57" s="668">
        <v>3.55</v>
      </c>
      <c r="O57" s="1165"/>
      <c r="P57" s="668">
        <f t="shared" si="3"/>
        <v>36.434895719151683</v>
      </c>
      <c r="Q57" s="675">
        <f>J57*13/100</f>
        <v>24.7</v>
      </c>
      <c r="R57" s="432">
        <v>2.9870000000000001</v>
      </c>
      <c r="S57" s="432">
        <v>14.627000000000001</v>
      </c>
      <c r="T57" s="670">
        <v>12.702999999999999</v>
      </c>
      <c r="U57" s="668">
        <f t="shared" si="11"/>
        <v>4.2527619685302973</v>
      </c>
      <c r="V57" s="668">
        <v>79.58</v>
      </c>
      <c r="W57" s="1192">
        <v>0.4</v>
      </c>
      <c r="X57" s="1172">
        <f t="shared" si="9"/>
        <v>0.59218623481781385</v>
      </c>
      <c r="Y57" s="432">
        <f t="shared" si="4"/>
        <v>2.945182</v>
      </c>
      <c r="Z57" s="432">
        <f t="shared" si="1"/>
        <v>14.407595000000001</v>
      </c>
      <c r="AA57" s="670">
        <f t="shared" si="1"/>
        <v>12.512454999999999</v>
      </c>
      <c r="AB57" s="432">
        <f t="shared" si="5"/>
        <v>4.2527619685302973</v>
      </c>
      <c r="AC57" s="670">
        <f t="shared" si="2"/>
        <v>79.58</v>
      </c>
      <c r="AD57" s="1213">
        <f t="shared" si="18"/>
        <v>30</v>
      </c>
      <c r="AE57" s="432">
        <f t="shared" si="7"/>
        <v>88.355459999999994</v>
      </c>
      <c r="AF57" s="1174"/>
      <c r="AH57" s="1124">
        <f t="shared" si="8"/>
        <v>36.434895719151683</v>
      </c>
      <c r="AI57" s="666">
        <v>0.89459999999999995</v>
      </c>
      <c r="AJ57" s="666">
        <v>1.018</v>
      </c>
      <c r="AK57" s="666">
        <v>6.1000000000000004E-3</v>
      </c>
    </row>
    <row r="58" spans="1:37" ht="18.75" customHeight="1" x14ac:dyDescent="0.2">
      <c r="A58" s="1191">
        <v>43</v>
      </c>
      <c r="B58" s="461" t="s">
        <v>120</v>
      </c>
      <c r="C58" s="1165" t="s">
        <v>46</v>
      </c>
      <c r="D58" s="1165">
        <v>668.48</v>
      </c>
      <c r="E58" s="1165" t="s">
        <v>285</v>
      </c>
      <c r="F58" s="1165">
        <v>177.8</v>
      </c>
      <c r="G58" s="1165" t="s">
        <v>28</v>
      </c>
      <c r="H58" s="452" t="s">
        <v>464</v>
      </c>
      <c r="I58" s="1161">
        <v>560.83000000000004</v>
      </c>
      <c r="J58" s="1165">
        <v>120</v>
      </c>
      <c r="K58" s="1165"/>
      <c r="L58" s="670">
        <v>430.39</v>
      </c>
      <c r="M58" s="1165"/>
      <c r="N58" s="668">
        <v>2.73</v>
      </c>
      <c r="O58" s="1165"/>
      <c r="P58" s="668">
        <f t="shared" si="3"/>
        <v>15.09370430577434</v>
      </c>
      <c r="Q58" s="668">
        <f>RIGHT(H58,(FIND("T",H58,1)-0))*J58/100</f>
        <v>16.8</v>
      </c>
      <c r="R58" s="432">
        <v>5.976</v>
      </c>
      <c r="S58" s="432">
        <v>12.474</v>
      </c>
      <c r="T58" s="670">
        <v>12.78</v>
      </c>
      <c r="U58" s="668">
        <f t="shared" si="11"/>
        <v>2.1385542168674698</v>
      </c>
      <c r="V58" s="668">
        <v>52.09</v>
      </c>
      <c r="W58" s="1192">
        <v>0.3</v>
      </c>
      <c r="X58" s="1172">
        <f t="shared" si="9"/>
        <v>0.74249999999999994</v>
      </c>
      <c r="Y58" s="432">
        <f t="shared" si="4"/>
        <v>5.8923360000000002</v>
      </c>
      <c r="Z58" s="432">
        <f t="shared" si="1"/>
        <v>12.28689</v>
      </c>
      <c r="AA58" s="670">
        <f t="shared" si="1"/>
        <v>12.588299999999998</v>
      </c>
      <c r="AB58" s="432">
        <f t="shared" si="5"/>
        <v>2.1385542168674698</v>
      </c>
      <c r="AC58" s="670">
        <f t="shared" si="2"/>
        <v>52.09</v>
      </c>
      <c r="AD58" s="1213">
        <f t="shared" si="18"/>
        <v>30</v>
      </c>
      <c r="AE58" s="432">
        <f t="shared" si="7"/>
        <v>176.77008000000001</v>
      </c>
      <c r="AF58" s="1173"/>
      <c r="AH58" s="1124">
        <f t="shared" si="8"/>
        <v>15.09370430577434</v>
      </c>
      <c r="AI58" s="666">
        <v>0.89459999999999995</v>
      </c>
      <c r="AJ58" s="666">
        <v>1.018</v>
      </c>
      <c r="AK58" s="666">
        <v>6.1000000000000004E-3</v>
      </c>
    </row>
    <row r="59" spans="1:37" ht="18.75" customHeight="1" x14ac:dyDescent="0.2">
      <c r="A59" s="1191">
        <v>44</v>
      </c>
      <c r="B59" s="461" t="s">
        <v>114</v>
      </c>
      <c r="C59" s="1165" t="s">
        <v>46</v>
      </c>
      <c r="D59" s="1165">
        <v>584.25</v>
      </c>
      <c r="E59" s="1165" t="s">
        <v>602</v>
      </c>
      <c r="F59" s="1165">
        <v>177.8</v>
      </c>
      <c r="G59" s="1165" t="s">
        <v>28</v>
      </c>
      <c r="H59" s="550" t="s">
        <v>540</v>
      </c>
      <c r="I59" s="1161">
        <v>556.55999999999995</v>
      </c>
      <c r="J59" s="1165">
        <v>155</v>
      </c>
      <c r="K59" s="1165"/>
      <c r="L59" s="670">
        <v>279.55</v>
      </c>
      <c r="M59" s="1165"/>
      <c r="N59" s="668">
        <v>4.0999999999999996</v>
      </c>
      <c r="O59" s="1165"/>
      <c r="P59" s="668">
        <f t="shared" si="3"/>
        <v>30.877933312481211</v>
      </c>
      <c r="Q59" s="668">
        <f>J59*7/100</f>
        <v>10.85</v>
      </c>
      <c r="R59" s="432">
        <v>6.5720000000000001</v>
      </c>
      <c r="S59" s="432">
        <v>31.553999999999998</v>
      </c>
      <c r="T59" s="670">
        <v>7.6719999999999997</v>
      </c>
      <c r="U59" s="668">
        <f t="shared" si="11"/>
        <v>1.1673767498478393</v>
      </c>
      <c r="V59" s="668">
        <v>79.174000000000007</v>
      </c>
      <c r="W59" s="1192">
        <v>0.3</v>
      </c>
      <c r="X59" s="1172">
        <f t="shared" si="9"/>
        <v>2.9082027649769584</v>
      </c>
      <c r="Y59" s="432">
        <f t="shared" si="4"/>
        <v>6.4799920000000002</v>
      </c>
      <c r="Z59" s="432">
        <f t="shared" si="1"/>
        <v>31.080689999999997</v>
      </c>
      <c r="AA59" s="670">
        <f t="shared" si="1"/>
        <v>7.5569199999999999</v>
      </c>
      <c r="AB59" s="432">
        <f t="shared" si="5"/>
        <v>1.1673767498478393</v>
      </c>
      <c r="AC59" s="670">
        <v>0</v>
      </c>
      <c r="AD59" s="1213">
        <f t="shared" si="18"/>
        <v>30</v>
      </c>
      <c r="AE59" s="432">
        <f t="shared" si="7"/>
        <v>194.39976000000001</v>
      </c>
      <c r="AF59" s="1173"/>
      <c r="AH59" s="1124">
        <f t="shared" si="8"/>
        <v>30.877933312481211</v>
      </c>
      <c r="AI59" s="666">
        <v>0.89459999999999995</v>
      </c>
      <c r="AJ59" s="666">
        <v>1.018</v>
      </c>
      <c r="AK59" s="666">
        <v>6.1000000000000004E-3</v>
      </c>
    </row>
    <row r="60" spans="1:37" ht="18.75" customHeight="1" x14ac:dyDescent="0.3">
      <c r="A60" s="1191">
        <v>45</v>
      </c>
      <c r="B60" s="461" t="s">
        <v>106</v>
      </c>
      <c r="C60" s="1165" t="s">
        <v>46</v>
      </c>
      <c r="D60" s="1165">
        <v>582.16</v>
      </c>
      <c r="E60" s="1165" t="s">
        <v>603</v>
      </c>
      <c r="F60" s="1165">
        <v>177.8</v>
      </c>
      <c r="G60" s="1165" t="s">
        <v>28</v>
      </c>
      <c r="H60" s="550" t="s">
        <v>540</v>
      </c>
      <c r="I60" s="1161">
        <v>551.41999999999996</v>
      </c>
      <c r="J60" s="1165">
        <v>120</v>
      </c>
      <c r="K60" s="1165"/>
      <c r="L60" s="1216">
        <v>438</v>
      </c>
      <c r="M60" s="668"/>
      <c r="N60" s="1169">
        <v>0.98</v>
      </c>
      <c r="O60" s="1165"/>
      <c r="P60" s="668">
        <f t="shared" si="3"/>
        <v>11.709741271161613</v>
      </c>
      <c r="Q60" s="668">
        <f>LEFT(H60,(FIND("E",H60,1)-1))*J60/100</f>
        <v>26.4</v>
      </c>
      <c r="R60" s="432">
        <v>3.427</v>
      </c>
      <c r="S60" s="432">
        <v>6.5620000000000003</v>
      </c>
      <c r="T60" s="670">
        <v>21.992999999999999</v>
      </c>
      <c r="U60" s="668">
        <f t="shared" si="11"/>
        <v>6.4175663845929378</v>
      </c>
      <c r="V60" s="668">
        <v>47.780999999999999</v>
      </c>
      <c r="W60" s="1192">
        <v>0.2</v>
      </c>
      <c r="X60" s="1172">
        <f t="shared" si="9"/>
        <v>0.24856060606060609</v>
      </c>
      <c r="Y60" s="432">
        <f t="shared" si="4"/>
        <v>3.379022</v>
      </c>
      <c r="Z60" s="432">
        <f t="shared" si="1"/>
        <v>6.4635699999999998</v>
      </c>
      <c r="AA60" s="670">
        <f t="shared" si="1"/>
        <v>21.663104999999998</v>
      </c>
      <c r="AB60" s="432">
        <f t="shared" si="5"/>
        <v>6.4175663845929378</v>
      </c>
      <c r="AC60" s="670">
        <f t="shared" si="2"/>
        <v>47.780999999999999</v>
      </c>
      <c r="AD60" s="1213">
        <f t="shared" si="18"/>
        <v>30</v>
      </c>
      <c r="AE60" s="432">
        <f t="shared" si="7"/>
        <v>101.37066</v>
      </c>
      <c r="AF60" s="1173"/>
      <c r="AH60" s="1124">
        <f t="shared" si="8"/>
        <v>11.709741271161613</v>
      </c>
      <c r="AI60" s="666">
        <v>0.89459999999999995</v>
      </c>
      <c r="AJ60" s="666">
        <v>1.018</v>
      </c>
      <c r="AK60" s="666">
        <v>6.1000000000000004E-3</v>
      </c>
    </row>
    <row r="61" spans="1:37" ht="18.75" customHeight="1" x14ac:dyDescent="0.2">
      <c r="A61" s="1191">
        <v>46</v>
      </c>
      <c r="B61" s="461" t="s">
        <v>105</v>
      </c>
      <c r="C61" s="1165" t="s">
        <v>46</v>
      </c>
      <c r="D61" s="1165">
        <v>565</v>
      </c>
      <c r="E61" s="1165" t="s">
        <v>604</v>
      </c>
      <c r="F61" s="1165">
        <v>177.8</v>
      </c>
      <c r="G61" s="1165" t="s">
        <v>28</v>
      </c>
      <c r="H61" s="1165" t="s">
        <v>48</v>
      </c>
      <c r="I61" s="1161">
        <v>506.61000000000013</v>
      </c>
      <c r="J61" s="1165"/>
      <c r="K61" s="1165"/>
      <c r="L61" s="492"/>
      <c r="M61" s="668"/>
      <c r="N61" s="668"/>
      <c r="O61" s="1165"/>
      <c r="P61" s="668">
        <f t="shared" si="3"/>
        <v>43.878830810362707</v>
      </c>
      <c r="Q61" s="668">
        <f t="shared" ref="Q61:Q74" si="21">LEFT(H61,(FIND("K",H61,1)-1))*J61/100</f>
        <v>0</v>
      </c>
      <c r="R61" s="432">
        <v>0</v>
      </c>
      <c r="S61" s="432">
        <v>0</v>
      </c>
      <c r="T61" s="670">
        <v>0</v>
      </c>
      <c r="U61" s="668">
        <f t="shared" si="11"/>
        <v>0</v>
      </c>
      <c r="V61" s="668"/>
      <c r="W61" s="1192">
        <v>0</v>
      </c>
      <c r="X61" s="1172">
        <f>IF(Q61=0,0,Q61/Q61)</f>
        <v>0</v>
      </c>
      <c r="Y61" s="432">
        <f t="shared" si="4"/>
        <v>0</v>
      </c>
      <c r="Z61" s="432">
        <f t="shared" si="1"/>
        <v>0</v>
      </c>
      <c r="AA61" s="670">
        <f t="shared" si="1"/>
        <v>0</v>
      </c>
      <c r="AB61" s="432">
        <v>0</v>
      </c>
      <c r="AC61" s="670">
        <v>0</v>
      </c>
      <c r="AD61" s="1213">
        <f t="shared" si="18"/>
        <v>30</v>
      </c>
      <c r="AE61" s="432">
        <f t="shared" si="7"/>
        <v>0</v>
      </c>
      <c r="AF61" s="1173" t="s">
        <v>663</v>
      </c>
      <c r="AH61" s="1124">
        <f t="shared" si="8"/>
        <v>43.878830810362707</v>
      </c>
      <c r="AI61" s="666">
        <v>0.89459999999999995</v>
      </c>
      <c r="AJ61" s="666">
        <v>1.018</v>
      </c>
      <c r="AK61" s="666">
        <v>6.1000000000000004E-3</v>
      </c>
    </row>
    <row r="62" spans="1:37" ht="18.75" customHeight="1" x14ac:dyDescent="0.3">
      <c r="A62" s="1191">
        <v>47</v>
      </c>
      <c r="B62" s="461" t="s">
        <v>104</v>
      </c>
      <c r="C62" s="1165" t="s">
        <v>580</v>
      </c>
      <c r="D62" s="1165">
        <v>705.7</v>
      </c>
      <c r="E62" s="1161" t="s">
        <v>605</v>
      </c>
      <c r="F62" s="1165">
        <v>177.8</v>
      </c>
      <c r="G62" s="1165" t="s">
        <v>28</v>
      </c>
      <c r="H62" s="550" t="s">
        <v>466</v>
      </c>
      <c r="I62" s="1161">
        <v>533.29999999999995</v>
      </c>
      <c r="J62" s="1165">
        <v>150</v>
      </c>
      <c r="K62" s="1165"/>
      <c r="L62" s="1217">
        <v>13.26</v>
      </c>
      <c r="M62" s="1165">
        <v>0</v>
      </c>
      <c r="N62" s="1196">
        <v>1.49</v>
      </c>
      <c r="O62" s="1165"/>
      <c r="P62" s="668">
        <f t="shared" si="3"/>
        <v>48.493312354740929</v>
      </c>
      <c r="Q62" s="668">
        <f>J62*13/100</f>
        <v>19.5</v>
      </c>
      <c r="R62" s="432">
        <v>2.2090000000000001</v>
      </c>
      <c r="S62" s="432">
        <v>3.222</v>
      </c>
      <c r="T62" s="670">
        <v>21.071999999999999</v>
      </c>
      <c r="U62" s="668">
        <f>IF(R62=0,0,T62/R62)</f>
        <v>9.5391579900407422</v>
      </c>
      <c r="V62" s="668">
        <v>31.440999999999999</v>
      </c>
      <c r="W62" s="1192">
        <v>0.3</v>
      </c>
      <c r="X62" s="1172">
        <f>IF(S62=0,0,S62/Q62)</f>
        <v>0.16523076923076924</v>
      </c>
      <c r="Y62" s="432">
        <f t="shared" si="4"/>
        <v>2.1780740000000001</v>
      </c>
      <c r="Z62" s="432">
        <f>S62*0.985</f>
        <v>3.17367</v>
      </c>
      <c r="AA62" s="670">
        <f>T62*0.985</f>
        <v>20.75592</v>
      </c>
      <c r="AB62" s="432">
        <f>U62</f>
        <v>9.5391579900407422</v>
      </c>
      <c r="AC62" s="670">
        <f>V62</f>
        <v>31.440999999999999</v>
      </c>
      <c r="AD62" s="1213">
        <f t="shared" si="18"/>
        <v>30</v>
      </c>
      <c r="AE62" s="432">
        <f t="shared" ref="AE62" si="22">Y62*AD62</f>
        <v>65.342219999999998</v>
      </c>
      <c r="AF62" s="1173"/>
      <c r="AH62" s="1124">
        <f t="shared" si="8"/>
        <v>48.493312354740929</v>
      </c>
      <c r="AI62" s="666">
        <v>0.89459999999999995</v>
      </c>
      <c r="AJ62" s="666">
        <v>1.018</v>
      </c>
      <c r="AK62" s="666">
        <v>6.1000000000000004E-3</v>
      </c>
    </row>
    <row r="63" spans="1:37" ht="18.600000000000001" customHeight="1" x14ac:dyDescent="0.3">
      <c r="A63" s="1191">
        <v>48</v>
      </c>
      <c r="B63" s="1162" t="s">
        <v>158</v>
      </c>
      <c r="C63" s="1165" t="s">
        <v>46</v>
      </c>
      <c r="D63" s="1161">
        <v>674.45</v>
      </c>
      <c r="E63" s="1161" t="s">
        <v>232</v>
      </c>
      <c r="F63" s="1165">
        <v>177.8</v>
      </c>
      <c r="G63" s="1165" t="s">
        <v>28</v>
      </c>
      <c r="H63" s="550" t="s">
        <v>464</v>
      </c>
      <c r="I63" s="1161">
        <v>542.6</v>
      </c>
      <c r="J63" s="1161">
        <v>120</v>
      </c>
      <c r="K63" s="1161"/>
      <c r="L63" s="492">
        <v>475.42</v>
      </c>
      <c r="M63" s="1161"/>
      <c r="N63" s="668">
        <v>4.42</v>
      </c>
      <c r="O63" s="1161"/>
      <c r="P63" s="668">
        <f t="shared" si="3"/>
        <v>10.760374356969143</v>
      </c>
      <c r="Q63" s="668">
        <f>RIGHT(H63,(FIND("T",H63,1)-0))*J63/100</f>
        <v>16.8</v>
      </c>
      <c r="R63" s="432">
        <v>5.7690000000000001</v>
      </c>
      <c r="S63" s="432">
        <v>8.2439999999999998</v>
      </c>
      <c r="T63" s="492">
        <v>17.061</v>
      </c>
      <c r="U63" s="668">
        <f t="shared" si="11"/>
        <v>2.9573582943317733</v>
      </c>
      <c r="V63" s="668">
        <v>30.021999999999998</v>
      </c>
      <c r="W63" s="1192">
        <v>0.2</v>
      </c>
      <c r="X63" s="1172">
        <f t="shared" si="9"/>
        <v>0.49071428571428566</v>
      </c>
      <c r="Y63" s="432">
        <f t="shared" si="4"/>
        <v>5.6882340000000005</v>
      </c>
      <c r="Z63" s="432">
        <f t="shared" si="1"/>
        <v>8.1203399999999988</v>
      </c>
      <c r="AA63" s="670">
        <f t="shared" si="1"/>
        <v>16.805084999999998</v>
      </c>
      <c r="AB63" s="432">
        <f t="shared" si="5"/>
        <v>2.9573582943317733</v>
      </c>
      <c r="AC63" s="670">
        <f t="shared" si="2"/>
        <v>30.021999999999998</v>
      </c>
      <c r="AD63" s="1213">
        <f t="shared" si="18"/>
        <v>30</v>
      </c>
      <c r="AE63" s="432">
        <f>Y63*AD63</f>
        <v>170.64702000000003</v>
      </c>
      <c r="AF63" s="1176"/>
      <c r="AH63" s="1124">
        <f t="shared" si="8"/>
        <v>10.760374356969143</v>
      </c>
      <c r="AI63" s="666">
        <v>0.89459999999999995</v>
      </c>
      <c r="AJ63" s="666">
        <v>1.018</v>
      </c>
      <c r="AK63" s="666">
        <v>6.1000000000000004E-3</v>
      </c>
    </row>
    <row r="64" spans="1:37" ht="18.75" customHeight="1" x14ac:dyDescent="0.2">
      <c r="A64" s="1191">
        <v>49</v>
      </c>
      <c r="B64" s="461" t="s">
        <v>164</v>
      </c>
      <c r="C64" s="1165" t="s">
        <v>46</v>
      </c>
      <c r="D64" s="1161">
        <v>678.47</v>
      </c>
      <c r="E64" s="1161" t="s">
        <v>606</v>
      </c>
      <c r="F64" s="1165">
        <v>177.8</v>
      </c>
      <c r="G64" s="1165" t="s">
        <v>28</v>
      </c>
      <c r="H64" s="550" t="s">
        <v>466</v>
      </c>
      <c r="I64" s="1161">
        <v>574.4</v>
      </c>
      <c r="J64" s="493">
        <v>240</v>
      </c>
      <c r="K64" s="1161"/>
      <c r="L64" s="492">
        <v>66.28</v>
      </c>
      <c r="M64" s="1161"/>
      <c r="N64" s="668">
        <v>0.1</v>
      </c>
      <c r="O64" s="1161"/>
      <c r="P64" s="668">
        <f t="shared" si="3"/>
        <v>49.248818476457117</v>
      </c>
      <c r="Q64" s="668">
        <f>LEFT(H64,(FIND("E",H64,1)-1))*J64/100</f>
        <v>31.2</v>
      </c>
      <c r="R64" s="432">
        <v>3.5640000000000001</v>
      </c>
      <c r="S64" s="432">
        <v>22.29</v>
      </c>
      <c r="T64" s="670">
        <v>32.353999999999999</v>
      </c>
      <c r="U64" s="668">
        <f t="shared" si="11"/>
        <v>9.0780022446689106</v>
      </c>
      <c r="V64" s="668">
        <v>84.012</v>
      </c>
      <c r="W64" s="1192">
        <v>0.4</v>
      </c>
      <c r="X64" s="1172">
        <f t="shared" si="9"/>
        <v>0.71442307692307694</v>
      </c>
      <c r="Y64" s="432">
        <f t="shared" si="4"/>
        <v>3.5141040000000001</v>
      </c>
      <c r="Z64" s="432">
        <f t="shared" si="1"/>
        <v>21.955649999999999</v>
      </c>
      <c r="AA64" s="670">
        <f t="shared" si="1"/>
        <v>31.868689999999997</v>
      </c>
      <c r="AB64" s="432">
        <f t="shared" si="5"/>
        <v>9.0780022446689106</v>
      </c>
      <c r="AC64" s="670">
        <f t="shared" si="2"/>
        <v>84.012</v>
      </c>
      <c r="AD64" s="1213">
        <f t="shared" si="18"/>
        <v>30</v>
      </c>
      <c r="AE64" s="432">
        <f t="shared" ref="AE64:AE80" si="23">Y64*AD64</f>
        <v>105.42312</v>
      </c>
      <c r="AF64" s="1173"/>
      <c r="AH64" s="1124">
        <f t="shared" si="8"/>
        <v>49.248818476457117</v>
      </c>
      <c r="AI64" s="666">
        <v>0.89459999999999995</v>
      </c>
      <c r="AJ64" s="666">
        <v>1.018</v>
      </c>
      <c r="AK64" s="666">
        <v>6.1000000000000004E-3</v>
      </c>
    </row>
    <row r="65" spans="1:37" ht="18.75" customHeight="1" x14ac:dyDescent="0.2">
      <c r="A65" s="1191">
        <v>50</v>
      </c>
      <c r="B65" s="461" t="s">
        <v>61</v>
      </c>
      <c r="C65" s="1165" t="s">
        <v>46</v>
      </c>
      <c r="D65" s="1165">
        <v>667.18</v>
      </c>
      <c r="E65" s="1165" t="s">
        <v>96</v>
      </c>
      <c r="F65" s="1165">
        <v>177.8</v>
      </c>
      <c r="G65" s="1165" t="s">
        <v>28</v>
      </c>
      <c r="H65" s="550" t="s">
        <v>540</v>
      </c>
      <c r="I65" s="1161">
        <v>534.83000000000004</v>
      </c>
      <c r="J65" s="1165">
        <v>300</v>
      </c>
      <c r="K65" s="1165"/>
      <c r="L65" s="670">
        <v>447.26</v>
      </c>
      <c r="M65" s="1165"/>
      <c r="N65" s="668">
        <v>0.43</v>
      </c>
      <c r="O65" s="1165"/>
      <c r="P65" s="668">
        <f t="shared" si="3"/>
        <v>8.9352646061313745</v>
      </c>
      <c r="Q65" s="668">
        <f>LEFT(H65,(FIND("E",H65,1)-1))*J65/100</f>
        <v>66</v>
      </c>
      <c r="R65" s="432">
        <v>4.0960000000000001</v>
      </c>
      <c r="S65" s="432">
        <v>10.994</v>
      </c>
      <c r="T65" s="670">
        <v>16.535</v>
      </c>
      <c r="U65" s="668">
        <f t="shared" si="11"/>
        <v>4.036865234375</v>
      </c>
      <c r="V65" s="668">
        <v>62.744999999999997</v>
      </c>
      <c r="W65" s="1192">
        <v>0.3</v>
      </c>
      <c r="X65" s="1172">
        <f t="shared" si="9"/>
        <v>0.16657575757575757</v>
      </c>
      <c r="Y65" s="432">
        <f t="shared" si="4"/>
        <v>4.0386560000000005</v>
      </c>
      <c r="Z65" s="432">
        <f t="shared" si="1"/>
        <v>10.829089999999999</v>
      </c>
      <c r="AA65" s="670">
        <f t="shared" si="1"/>
        <v>16.286974999999998</v>
      </c>
      <c r="AB65" s="432">
        <f t="shared" si="5"/>
        <v>4.036865234375</v>
      </c>
      <c r="AC65" s="670">
        <f t="shared" si="2"/>
        <v>62.744999999999997</v>
      </c>
      <c r="AD65" s="1213">
        <f t="shared" si="18"/>
        <v>30</v>
      </c>
      <c r="AE65" s="432">
        <f t="shared" si="23"/>
        <v>121.15968000000001</v>
      </c>
      <c r="AF65" s="1174"/>
      <c r="AH65" s="1124">
        <f t="shared" si="8"/>
        <v>8.9352646061313745</v>
      </c>
      <c r="AI65" s="666">
        <v>0.89459999999999995</v>
      </c>
      <c r="AJ65" s="666">
        <v>1.018</v>
      </c>
      <c r="AK65" s="666">
        <v>6.1000000000000004E-3</v>
      </c>
    </row>
    <row r="66" spans="1:37" ht="18.75" customHeight="1" x14ac:dyDescent="0.2">
      <c r="A66" s="1191">
        <v>51</v>
      </c>
      <c r="B66" s="461" t="s">
        <v>64</v>
      </c>
      <c r="C66" s="1165" t="s">
        <v>46</v>
      </c>
      <c r="D66" s="1165">
        <v>674.52</v>
      </c>
      <c r="E66" s="1165" t="s">
        <v>444</v>
      </c>
      <c r="F66" s="1165">
        <v>177.8</v>
      </c>
      <c r="G66" s="1165" t="s">
        <v>28</v>
      </c>
      <c r="H66" s="1165" t="s">
        <v>466</v>
      </c>
      <c r="I66" s="1161">
        <v>520.71</v>
      </c>
      <c r="J66" s="1165">
        <v>310</v>
      </c>
      <c r="K66" s="1165"/>
      <c r="L66" s="670">
        <v>442.84</v>
      </c>
      <c r="M66" s="1165"/>
      <c r="N66" s="668">
        <v>5.49</v>
      </c>
      <c r="O66" s="1165"/>
      <c r="P66" s="668">
        <f t="shared" si="3"/>
        <v>12.759512298302857</v>
      </c>
      <c r="Q66" s="668">
        <f>J66*13/100</f>
        <v>40.299999999999997</v>
      </c>
      <c r="R66" s="432">
        <v>8.6319999999999997</v>
      </c>
      <c r="S66" s="432">
        <v>12.042</v>
      </c>
      <c r="T66" s="670">
        <v>98.072000000000003</v>
      </c>
      <c r="U66" s="668">
        <f t="shared" si="11"/>
        <v>11.361445783132531</v>
      </c>
      <c r="V66" s="668">
        <v>28.318000000000001</v>
      </c>
      <c r="W66" s="1192">
        <v>0.2</v>
      </c>
      <c r="X66" s="1172">
        <f t="shared" si="9"/>
        <v>0.2988089330024814</v>
      </c>
      <c r="Y66" s="432">
        <f t="shared" si="4"/>
        <v>8.5111519999999992</v>
      </c>
      <c r="Z66" s="432">
        <f t="shared" si="1"/>
        <v>11.861369999999999</v>
      </c>
      <c r="AA66" s="670">
        <f t="shared" si="1"/>
        <v>96.600920000000002</v>
      </c>
      <c r="AB66" s="432">
        <f t="shared" si="5"/>
        <v>11.361445783132531</v>
      </c>
      <c r="AC66" s="670">
        <f t="shared" si="2"/>
        <v>28.318000000000001</v>
      </c>
      <c r="AD66" s="1213">
        <f t="shared" si="18"/>
        <v>30</v>
      </c>
      <c r="AE66" s="432">
        <f t="shared" si="23"/>
        <v>255.33455999999998</v>
      </c>
      <c r="AF66" s="1174"/>
      <c r="AH66" s="1124">
        <f t="shared" si="8"/>
        <v>12.759512298302857</v>
      </c>
      <c r="AI66" s="666">
        <v>0.89459999999999995</v>
      </c>
      <c r="AJ66" s="666">
        <v>1.018</v>
      </c>
      <c r="AK66" s="666">
        <v>6.1000000000000004E-3</v>
      </c>
    </row>
    <row r="67" spans="1:37" ht="18.75" customHeight="1" x14ac:dyDescent="0.2">
      <c r="A67" s="1191">
        <v>52</v>
      </c>
      <c r="B67" s="461" t="s">
        <v>156</v>
      </c>
      <c r="C67" s="1165" t="s">
        <v>408</v>
      </c>
      <c r="D67" s="1165">
        <v>679.54</v>
      </c>
      <c r="E67" s="1165" t="s">
        <v>607</v>
      </c>
      <c r="F67" s="1165">
        <v>177.8</v>
      </c>
      <c r="G67" s="1165" t="s">
        <v>28</v>
      </c>
      <c r="H67" s="1165" t="s">
        <v>464</v>
      </c>
      <c r="I67" s="1161">
        <v>512.28</v>
      </c>
      <c r="J67" s="1165">
        <v>130</v>
      </c>
      <c r="K67" s="1165"/>
      <c r="L67" s="670">
        <v>410.26</v>
      </c>
      <c r="M67" s="1165"/>
      <c r="N67" s="668">
        <v>3.87</v>
      </c>
      <c r="O67" s="1165"/>
      <c r="P67" s="668">
        <f t="shared" si="3"/>
        <v>13.56634167949135</v>
      </c>
      <c r="Q67" s="668">
        <f>RIGHT(H67,(FIND("T",H67,1)-0))*J67/100</f>
        <v>18.2</v>
      </c>
      <c r="R67" s="432">
        <v>3.0779999999999998</v>
      </c>
      <c r="S67" s="432">
        <v>6.2430000000000003</v>
      </c>
      <c r="T67" s="670">
        <v>18.21</v>
      </c>
      <c r="U67" s="668">
        <f t="shared" si="11"/>
        <v>5.9161793372319691</v>
      </c>
      <c r="V67" s="668">
        <v>50.689</v>
      </c>
      <c r="W67" s="1192">
        <v>0.3</v>
      </c>
      <c r="X67" s="1172">
        <f t="shared" si="9"/>
        <v>0.34302197802197804</v>
      </c>
      <c r="Y67" s="432">
        <f t="shared" si="4"/>
        <v>3.0349079999999997</v>
      </c>
      <c r="Z67" s="432">
        <f t="shared" ref="Z67" si="24">S67*0.985</f>
        <v>6.1493549999999999</v>
      </c>
      <c r="AA67" s="670">
        <f t="shared" ref="AA67" si="25">T67*0.985</f>
        <v>17.93685</v>
      </c>
      <c r="AB67" s="432">
        <f t="shared" ref="AB67" si="26">U67</f>
        <v>5.9161793372319691</v>
      </c>
      <c r="AC67" s="670">
        <f t="shared" ref="AC67" si="27">V67</f>
        <v>50.689</v>
      </c>
      <c r="AD67" s="1213">
        <f t="shared" si="18"/>
        <v>30</v>
      </c>
      <c r="AE67" s="432">
        <f t="shared" ref="AE67" si="28">Y67*AD67</f>
        <v>91.047239999999988</v>
      </c>
      <c r="AF67" s="1174"/>
      <c r="AH67" s="1124">
        <f t="shared" si="8"/>
        <v>13.56634167949135</v>
      </c>
      <c r="AI67" s="666">
        <v>0.89459999999999995</v>
      </c>
      <c r="AJ67" s="666">
        <v>1.018</v>
      </c>
      <c r="AK67" s="666">
        <v>6.1000000000000004E-3</v>
      </c>
    </row>
    <row r="68" spans="1:37" ht="18.75" customHeight="1" x14ac:dyDescent="0.2">
      <c r="A68" s="1191">
        <v>53</v>
      </c>
      <c r="B68" s="461" t="s">
        <v>169</v>
      </c>
      <c r="C68" s="1165" t="s">
        <v>46</v>
      </c>
      <c r="D68" s="1165">
        <v>647.11</v>
      </c>
      <c r="E68" s="1165" t="s">
        <v>463</v>
      </c>
      <c r="F68" s="1165">
        <v>177.8</v>
      </c>
      <c r="G68" s="1165" t="s">
        <v>28</v>
      </c>
      <c r="H68" s="1165" t="s">
        <v>466</v>
      </c>
      <c r="I68" s="1161">
        <v>539.32000000000005</v>
      </c>
      <c r="J68" s="1165">
        <v>100</v>
      </c>
      <c r="K68" s="1165"/>
      <c r="L68" s="670">
        <v>357.47</v>
      </c>
      <c r="M68" s="1165"/>
      <c r="N68" s="668">
        <v>4.84</v>
      </c>
      <c r="O68" s="1165"/>
      <c r="P68" s="668">
        <f t="shared" si="3"/>
        <v>22.248015704611166</v>
      </c>
      <c r="Q68" s="668">
        <f>J68*13/100</f>
        <v>13</v>
      </c>
      <c r="R68" s="432">
        <v>2.593</v>
      </c>
      <c r="S68" s="432">
        <v>7.7569999999999997</v>
      </c>
      <c r="T68" s="670">
        <v>8.3550000000000004</v>
      </c>
      <c r="U68" s="668">
        <f t="shared" si="11"/>
        <v>3.2221365214037796</v>
      </c>
      <c r="V68" s="668">
        <v>66.573999999999998</v>
      </c>
      <c r="W68" s="1192">
        <v>0.4</v>
      </c>
      <c r="X68" s="1172">
        <f t="shared" si="9"/>
        <v>0.59669230769230763</v>
      </c>
      <c r="Y68" s="432">
        <f t="shared" si="4"/>
        <v>2.5566979999999999</v>
      </c>
      <c r="Z68" s="432">
        <f t="shared" si="1"/>
        <v>7.6406449999999992</v>
      </c>
      <c r="AA68" s="670">
        <f t="shared" si="1"/>
        <v>8.2296750000000003</v>
      </c>
      <c r="AB68" s="432">
        <f t="shared" si="5"/>
        <v>3.2221365214037796</v>
      </c>
      <c r="AC68" s="670">
        <f t="shared" si="2"/>
        <v>66.573999999999998</v>
      </c>
      <c r="AD68" s="1213">
        <f t="shared" si="18"/>
        <v>30</v>
      </c>
      <c r="AE68" s="432">
        <f>Y68*AD68</f>
        <v>76.700940000000003</v>
      </c>
      <c r="AF68" s="1174"/>
      <c r="AH68" s="1124">
        <f t="shared" si="8"/>
        <v>22.248015704611166</v>
      </c>
      <c r="AI68" s="666">
        <v>0.89459999999999995</v>
      </c>
      <c r="AJ68" s="666">
        <v>1.018</v>
      </c>
      <c r="AK68" s="666">
        <v>6.1000000000000004E-3</v>
      </c>
    </row>
    <row r="69" spans="1:37" ht="18.75" customHeight="1" x14ac:dyDescent="0.2">
      <c r="A69" s="1191">
        <v>54</v>
      </c>
      <c r="B69" s="461" t="s">
        <v>62</v>
      </c>
      <c r="C69" s="1165" t="s">
        <v>46</v>
      </c>
      <c r="D69" s="1165">
        <v>673.73</v>
      </c>
      <c r="E69" s="1165" t="s">
        <v>97</v>
      </c>
      <c r="F69" s="1165">
        <v>177.8</v>
      </c>
      <c r="G69" s="1165" t="s">
        <v>28</v>
      </c>
      <c r="H69" s="550" t="s">
        <v>565</v>
      </c>
      <c r="I69" s="1161">
        <v>541.67999999999995</v>
      </c>
      <c r="J69" s="1165">
        <v>240</v>
      </c>
      <c r="K69" s="1165"/>
      <c r="L69" s="670">
        <v>405.35</v>
      </c>
      <c r="M69" s="1165"/>
      <c r="N69" s="668">
        <v>6.19</v>
      </c>
      <c r="O69" s="1165"/>
      <c r="P69" s="668">
        <f t="shared" si="3"/>
        <v>19.543794324356224</v>
      </c>
      <c r="Q69" s="668">
        <f>(22/100)*J69</f>
        <v>52.8</v>
      </c>
      <c r="R69" s="432">
        <v>9.8569999999999993</v>
      </c>
      <c r="S69" s="432">
        <v>49.817999999999998</v>
      </c>
      <c r="T69" s="670">
        <v>185.626</v>
      </c>
      <c r="U69" s="668">
        <f t="shared" si="11"/>
        <v>18.831896114436443</v>
      </c>
      <c r="V69" s="668">
        <v>80.213999999999999</v>
      </c>
      <c r="W69" s="1192">
        <v>0.4</v>
      </c>
      <c r="X69" s="1172">
        <f t="shared" si="9"/>
        <v>0.94352272727272724</v>
      </c>
      <c r="Y69" s="432">
        <f t="shared" si="4"/>
        <v>9.7190019999999997</v>
      </c>
      <c r="Z69" s="432">
        <f t="shared" si="1"/>
        <v>49.070729999999998</v>
      </c>
      <c r="AA69" s="670">
        <f t="shared" si="1"/>
        <v>182.84161</v>
      </c>
      <c r="AB69" s="432">
        <f t="shared" si="5"/>
        <v>18.831896114436443</v>
      </c>
      <c r="AC69" s="670">
        <f t="shared" si="2"/>
        <v>80.213999999999999</v>
      </c>
      <c r="AD69" s="1213">
        <f t="shared" si="18"/>
        <v>30</v>
      </c>
      <c r="AE69" s="432">
        <f t="shared" si="23"/>
        <v>291.57006000000001</v>
      </c>
      <c r="AF69" s="1173"/>
      <c r="AH69" s="1124">
        <f t="shared" si="8"/>
        <v>19.543794324356224</v>
      </c>
      <c r="AI69" s="666">
        <v>0.89459999999999995</v>
      </c>
      <c r="AJ69" s="666">
        <v>1.018</v>
      </c>
      <c r="AK69" s="666">
        <v>6.1000000000000004E-3</v>
      </c>
    </row>
    <row r="70" spans="1:37" ht="18.75" customHeight="1" x14ac:dyDescent="0.2">
      <c r="A70" s="1191">
        <v>55</v>
      </c>
      <c r="B70" s="461" t="s">
        <v>157</v>
      </c>
      <c r="C70" s="1165" t="s">
        <v>46</v>
      </c>
      <c r="D70" s="1165">
        <v>602</v>
      </c>
      <c r="E70" s="1165" t="s">
        <v>608</v>
      </c>
      <c r="F70" s="1165">
        <v>177.8</v>
      </c>
      <c r="G70" s="1165" t="s">
        <v>28</v>
      </c>
      <c r="H70" s="1165" t="s">
        <v>466</v>
      </c>
      <c r="I70" s="1161">
        <v>539.16</v>
      </c>
      <c r="J70" s="1074">
        <v>170</v>
      </c>
      <c r="K70" s="1165"/>
      <c r="L70" s="670">
        <v>133.68</v>
      </c>
      <c r="M70" s="668"/>
      <c r="N70" s="668">
        <v>5.72</v>
      </c>
      <c r="O70" s="1165"/>
      <c r="P70" s="668">
        <f t="shared" si="3"/>
        <v>45.26219953925083</v>
      </c>
      <c r="Q70" s="668">
        <f>(13/100)*J70</f>
        <v>22.1</v>
      </c>
      <c r="R70" s="432">
        <v>4.6630000000000003</v>
      </c>
      <c r="S70" s="432">
        <v>45.11</v>
      </c>
      <c r="T70" s="670">
        <v>129.077</v>
      </c>
      <c r="U70" s="668">
        <f t="shared" si="11"/>
        <v>27.68110658374437</v>
      </c>
      <c r="V70" s="668">
        <v>89.662000000000006</v>
      </c>
      <c r="W70" s="1192">
        <v>0.4</v>
      </c>
      <c r="X70" s="1172">
        <f t="shared" si="9"/>
        <v>2.0411764705882351</v>
      </c>
      <c r="Y70" s="432">
        <f t="shared" si="4"/>
        <v>4.5977180000000004</v>
      </c>
      <c r="Z70" s="432">
        <f t="shared" si="1"/>
        <v>44.433349999999997</v>
      </c>
      <c r="AA70" s="670">
        <f t="shared" si="1"/>
        <v>127.140845</v>
      </c>
      <c r="AB70" s="432">
        <f t="shared" si="5"/>
        <v>27.68110658374437</v>
      </c>
      <c r="AC70" s="670">
        <f t="shared" si="2"/>
        <v>89.662000000000006</v>
      </c>
      <c r="AD70" s="1213">
        <f t="shared" si="18"/>
        <v>30</v>
      </c>
      <c r="AE70" s="432">
        <f t="shared" si="23"/>
        <v>137.93154000000001</v>
      </c>
      <c r="AF70" s="1177"/>
      <c r="AH70" s="1124">
        <f t="shared" si="8"/>
        <v>45.26219953925083</v>
      </c>
      <c r="AI70" s="666">
        <v>0.89459999999999995</v>
      </c>
      <c r="AJ70" s="666">
        <v>1.018</v>
      </c>
      <c r="AK70" s="666">
        <v>6.1000000000000004E-3</v>
      </c>
    </row>
    <row r="71" spans="1:37" ht="18.75" customHeight="1" x14ac:dyDescent="0.2">
      <c r="A71" s="1191">
        <v>56</v>
      </c>
      <c r="B71" s="461" t="s">
        <v>159</v>
      </c>
      <c r="C71" s="1165" t="s">
        <v>46</v>
      </c>
      <c r="D71" s="1165">
        <v>676</v>
      </c>
      <c r="E71" s="1165" t="s">
        <v>167</v>
      </c>
      <c r="F71" s="1165">
        <v>177.8</v>
      </c>
      <c r="G71" s="1165" t="s">
        <v>28</v>
      </c>
      <c r="H71" s="550" t="s">
        <v>540</v>
      </c>
      <c r="I71" s="1161">
        <v>508.09</v>
      </c>
      <c r="J71" s="1074">
        <v>320</v>
      </c>
      <c r="K71" s="1165"/>
      <c r="L71" s="670">
        <v>449.55</v>
      </c>
      <c r="M71" s="1165"/>
      <c r="N71" s="668">
        <v>5.25</v>
      </c>
      <c r="O71" s="1165"/>
      <c r="P71" s="668">
        <f t="shared" si="3"/>
        <v>10.675939026991369</v>
      </c>
      <c r="Q71" s="668">
        <f>(20*J71)/100</f>
        <v>64</v>
      </c>
      <c r="R71" s="432">
        <v>11.147</v>
      </c>
      <c r="S71" s="432">
        <v>12.795999999999999</v>
      </c>
      <c r="T71" s="670">
        <v>781.54399999999998</v>
      </c>
      <c r="U71" s="668">
        <f t="shared" si="11"/>
        <v>70.112496635866151</v>
      </c>
      <c r="V71" s="668">
        <v>12.888</v>
      </c>
      <c r="W71" s="1192">
        <v>0.2</v>
      </c>
      <c r="X71" s="1172">
        <f t="shared" si="9"/>
        <v>0.19993749999999999</v>
      </c>
      <c r="Y71" s="432">
        <f t="shared" si="4"/>
        <v>10.990942</v>
      </c>
      <c r="Z71" s="432">
        <f t="shared" si="1"/>
        <v>12.604059999999999</v>
      </c>
      <c r="AA71" s="670">
        <f t="shared" si="1"/>
        <v>769.82083999999998</v>
      </c>
      <c r="AB71" s="432">
        <f t="shared" si="5"/>
        <v>70.112496635866151</v>
      </c>
      <c r="AC71" s="670">
        <f t="shared" si="2"/>
        <v>12.888</v>
      </c>
      <c r="AD71" s="1213">
        <f t="shared" si="18"/>
        <v>28</v>
      </c>
      <c r="AE71" s="432">
        <f t="shared" si="23"/>
        <v>307.746376</v>
      </c>
      <c r="AF71" s="1173" t="s">
        <v>658</v>
      </c>
      <c r="AG71" s="666">
        <v>2</v>
      </c>
      <c r="AH71" s="1124">
        <f t="shared" si="8"/>
        <v>10.675939026991369</v>
      </c>
      <c r="AI71" s="666">
        <v>0.89459999999999995</v>
      </c>
      <c r="AJ71" s="666">
        <v>1.018</v>
      </c>
      <c r="AK71" s="666">
        <v>6.1000000000000004E-3</v>
      </c>
    </row>
    <row r="72" spans="1:37" ht="18.75" customHeight="1" x14ac:dyDescent="0.2">
      <c r="A72" s="1191">
        <v>57</v>
      </c>
      <c r="B72" s="461" t="s">
        <v>330</v>
      </c>
      <c r="C72" s="1165" t="s">
        <v>46</v>
      </c>
      <c r="D72" s="1165">
        <v>594.58000000000004</v>
      </c>
      <c r="E72" s="1165" t="s">
        <v>609</v>
      </c>
      <c r="F72" s="1165">
        <v>178.8</v>
      </c>
      <c r="G72" s="1165" t="s">
        <v>28</v>
      </c>
      <c r="H72" s="550" t="s">
        <v>565</v>
      </c>
      <c r="I72" s="1161">
        <v>539.95000000000005</v>
      </c>
      <c r="J72" s="1074">
        <v>280</v>
      </c>
      <c r="K72" s="1165"/>
      <c r="L72" s="670">
        <v>485.13</v>
      </c>
      <c r="M72" s="1165"/>
      <c r="N72" s="668">
        <v>6.8</v>
      </c>
      <c r="O72" s="1165"/>
      <c r="P72" s="668">
        <f t="shared" si="3"/>
        <v>11.8927158476145</v>
      </c>
      <c r="Q72" s="668">
        <f>J72*32/100</f>
        <v>89.6</v>
      </c>
      <c r="R72" s="432">
        <v>16.794</v>
      </c>
      <c r="S72" s="432">
        <v>18.428999999999998</v>
      </c>
      <c r="T72" s="670">
        <v>869.84400000000005</v>
      </c>
      <c r="U72" s="668">
        <f t="shared" si="11"/>
        <v>51.794926759556986</v>
      </c>
      <c r="V72" s="668">
        <v>8.8710000000000004</v>
      </c>
      <c r="W72" s="1192">
        <v>0.2</v>
      </c>
      <c r="X72" s="1172">
        <f t="shared" si="9"/>
        <v>0.20568080357142857</v>
      </c>
      <c r="Y72" s="432">
        <f t="shared" si="4"/>
        <v>16.558883999999999</v>
      </c>
      <c r="Z72" s="432">
        <f t="shared" si="1"/>
        <v>18.152564999999999</v>
      </c>
      <c r="AA72" s="670">
        <f t="shared" si="1"/>
        <v>856.79633999999999</v>
      </c>
      <c r="AB72" s="432">
        <v>20</v>
      </c>
      <c r="AC72" s="670">
        <v>17</v>
      </c>
      <c r="AD72" s="1213">
        <f t="shared" si="18"/>
        <v>30</v>
      </c>
      <c r="AE72" s="432">
        <f t="shared" si="23"/>
        <v>496.76651999999996</v>
      </c>
      <c r="AF72" s="1173"/>
      <c r="AH72" s="1124">
        <f t="shared" si="8"/>
        <v>11.8927158476145</v>
      </c>
      <c r="AI72" s="666">
        <v>0.89459999999999995</v>
      </c>
      <c r="AJ72" s="666">
        <v>1.018</v>
      </c>
      <c r="AK72" s="666">
        <v>6.1000000000000004E-3</v>
      </c>
    </row>
    <row r="73" spans="1:37" ht="18.75" customHeight="1" x14ac:dyDescent="0.2">
      <c r="A73" s="1191">
        <v>58</v>
      </c>
      <c r="B73" s="461" t="s">
        <v>210</v>
      </c>
      <c r="C73" s="1165" t="s">
        <v>46</v>
      </c>
      <c r="D73" s="1165">
        <v>728.8</v>
      </c>
      <c r="E73" s="1165" t="s">
        <v>610</v>
      </c>
      <c r="F73" s="1165">
        <v>177.8</v>
      </c>
      <c r="G73" s="1165" t="s">
        <v>28</v>
      </c>
      <c r="H73" s="550" t="s">
        <v>540</v>
      </c>
      <c r="I73" s="1161">
        <v>549.12</v>
      </c>
      <c r="J73" s="1074">
        <v>340</v>
      </c>
      <c r="K73" s="1165"/>
      <c r="L73" s="670">
        <v>469.68</v>
      </c>
      <c r="M73" s="1165"/>
      <c r="N73" s="668">
        <v>6.55</v>
      </c>
      <c r="O73" s="1165"/>
      <c r="P73" s="668">
        <f t="shared" si="3"/>
        <v>13.990248045631382</v>
      </c>
      <c r="Q73" s="668">
        <f>LEFT(H73,(FIND("E",H73,1)-1))*J73/100</f>
        <v>74.8</v>
      </c>
      <c r="R73" s="432">
        <v>7.899</v>
      </c>
      <c r="S73" s="432">
        <v>11.244999999999999</v>
      </c>
      <c r="T73" s="670">
        <v>420.601</v>
      </c>
      <c r="U73" s="668">
        <f t="shared" si="11"/>
        <v>53.247373085200657</v>
      </c>
      <c r="V73" s="668">
        <v>29.75</v>
      </c>
      <c r="W73" s="1192">
        <v>0.2</v>
      </c>
      <c r="X73" s="1172">
        <f t="shared" si="9"/>
        <v>0.15033422459893048</v>
      </c>
      <c r="Y73" s="432">
        <f t="shared" si="4"/>
        <v>7.7884139999999995</v>
      </c>
      <c r="Z73" s="432">
        <f t="shared" si="1"/>
        <v>11.076324999999999</v>
      </c>
      <c r="AA73" s="670">
        <f t="shared" si="1"/>
        <v>414.29198500000001</v>
      </c>
      <c r="AB73" s="432">
        <f t="shared" si="5"/>
        <v>53.247373085200657</v>
      </c>
      <c r="AC73" s="670">
        <f t="shared" si="2"/>
        <v>29.75</v>
      </c>
      <c r="AD73" s="1213">
        <f t="shared" si="18"/>
        <v>30</v>
      </c>
      <c r="AE73" s="432">
        <f t="shared" si="23"/>
        <v>233.65241999999998</v>
      </c>
      <c r="AF73" s="1174"/>
      <c r="AH73" s="1124">
        <f t="shared" si="8"/>
        <v>13.990248045631382</v>
      </c>
      <c r="AI73" s="666">
        <v>0.89459999999999995</v>
      </c>
      <c r="AJ73" s="666">
        <v>1.018</v>
      </c>
      <c r="AK73" s="666">
        <v>6.1000000000000004E-3</v>
      </c>
    </row>
    <row r="74" spans="1:37" ht="18.75" customHeight="1" x14ac:dyDescent="0.2">
      <c r="A74" s="1191">
        <v>59</v>
      </c>
      <c r="B74" s="461" t="s">
        <v>63</v>
      </c>
      <c r="C74" s="1165" t="s">
        <v>46</v>
      </c>
      <c r="D74" s="1165">
        <v>672.99</v>
      </c>
      <c r="E74" s="1165" t="s">
        <v>98</v>
      </c>
      <c r="F74" s="1165">
        <v>177.8</v>
      </c>
      <c r="G74" s="1165" t="s">
        <v>28</v>
      </c>
      <c r="H74" s="1165" t="s">
        <v>310</v>
      </c>
      <c r="I74" s="1161">
        <v>537.29</v>
      </c>
      <c r="J74" s="1074">
        <v>350</v>
      </c>
      <c r="K74" s="1165"/>
      <c r="L74" s="670">
        <v>450.61</v>
      </c>
      <c r="M74" s="1165"/>
      <c r="N74" s="668">
        <v>4.1900000000000004</v>
      </c>
      <c r="O74" s="1165"/>
      <c r="P74" s="668">
        <f t="shared" si="3"/>
        <v>12.271214355732511</v>
      </c>
      <c r="Q74" s="668">
        <f t="shared" si="21"/>
        <v>77</v>
      </c>
      <c r="R74" s="432">
        <v>13.356999999999999</v>
      </c>
      <c r="S74" s="432">
        <v>18.998999999999999</v>
      </c>
      <c r="T74" s="670">
        <v>154.41999999999999</v>
      </c>
      <c r="U74" s="668">
        <f t="shared" si="11"/>
        <v>11.560979261810287</v>
      </c>
      <c r="V74" s="668">
        <v>29.693999999999999</v>
      </c>
      <c r="W74" s="1192">
        <v>0.3</v>
      </c>
      <c r="X74" s="1172">
        <f t="shared" si="9"/>
        <v>0.24674025974025973</v>
      </c>
      <c r="Y74" s="432">
        <f t="shared" si="4"/>
        <v>13.170001999999998</v>
      </c>
      <c r="Z74" s="432">
        <f t="shared" si="1"/>
        <v>18.714015</v>
      </c>
      <c r="AA74" s="670">
        <f t="shared" si="1"/>
        <v>152.10369999999998</v>
      </c>
      <c r="AB74" s="432">
        <f t="shared" si="5"/>
        <v>11.560979261810287</v>
      </c>
      <c r="AC74" s="670">
        <f t="shared" si="2"/>
        <v>29.693999999999999</v>
      </c>
      <c r="AD74" s="1213">
        <f t="shared" si="18"/>
        <v>30</v>
      </c>
      <c r="AE74" s="432">
        <f t="shared" si="23"/>
        <v>395.10005999999993</v>
      </c>
      <c r="AF74" s="1174"/>
      <c r="AH74" s="1124">
        <f t="shared" si="8"/>
        <v>12.271214355732511</v>
      </c>
      <c r="AI74" s="666">
        <v>0.89459999999999995</v>
      </c>
      <c r="AJ74" s="666">
        <v>1.018</v>
      </c>
      <c r="AK74" s="666">
        <v>6.1000000000000004E-3</v>
      </c>
    </row>
    <row r="75" spans="1:37" ht="18.75" customHeight="1" x14ac:dyDescent="0.2">
      <c r="A75" s="1191">
        <v>60</v>
      </c>
      <c r="B75" s="461" t="s">
        <v>217</v>
      </c>
      <c r="C75" s="1165" t="s">
        <v>408</v>
      </c>
      <c r="D75" s="1165">
        <v>587.72</v>
      </c>
      <c r="E75" s="1165" t="s">
        <v>611</v>
      </c>
      <c r="F75" s="1165">
        <v>177.8</v>
      </c>
      <c r="G75" s="1165" t="s">
        <v>28</v>
      </c>
      <c r="H75" s="550" t="s">
        <v>466</v>
      </c>
      <c r="I75" s="1161">
        <v>555.54999999999995</v>
      </c>
      <c r="J75" s="1074">
        <v>0</v>
      </c>
      <c r="K75" s="1165">
        <v>51.36</v>
      </c>
      <c r="L75" s="670"/>
      <c r="M75" s="1165">
        <v>4.8</v>
      </c>
      <c r="N75" s="668"/>
      <c r="O75" s="1165"/>
      <c r="P75" s="668">
        <f t="shared" si="3"/>
        <v>48.117653533678748</v>
      </c>
      <c r="Q75" s="668">
        <f>LEFT(H75,(FIND("E",H75,1)-1))*J75/100</f>
        <v>0</v>
      </c>
      <c r="R75" s="432">
        <v>0</v>
      </c>
      <c r="S75" s="432">
        <v>0</v>
      </c>
      <c r="T75" s="670">
        <v>0</v>
      </c>
      <c r="U75" s="668">
        <f t="shared" si="11"/>
        <v>0</v>
      </c>
      <c r="V75" s="668"/>
      <c r="W75" s="1192">
        <v>0</v>
      </c>
      <c r="X75" s="1172">
        <v>0</v>
      </c>
      <c r="Y75" s="432">
        <f t="shared" si="4"/>
        <v>0</v>
      </c>
      <c r="Z75" s="432">
        <f t="shared" si="1"/>
        <v>0</v>
      </c>
      <c r="AA75" s="670">
        <f t="shared" si="1"/>
        <v>0</v>
      </c>
      <c r="AB75" s="432">
        <f t="shared" si="5"/>
        <v>0</v>
      </c>
      <c r="AC75" s="670">
        <f t="shared" si="2"/>
        <v>0</v>
      </c>
      <c r="AD75" s="1213">
        <f t="shared" si="18"/>
        <v>30</v>
      </c>
      <c r="AE75" s="432">
        <f t="shared" si="23"/>
        <v>0</v>
      </c>
      <c r="AF75" s="1174"/>
      <c r="AH75" s="1124">
        <f t="shared" si="8"/>
        <v>48.117653533678748</v>
      </c>
      <c r="AI75" s="666">
        <v>0.89459999999999995</v>
      </c>
      <c r="AJ75" s="666">
        <v>1.018</v>
      </c>
      <c r="AK75" s="666">
        <v>6.1000000000000004E-3</v>
      </c>
    </row>
    <row r="76" spans="1:37" ht="20.25" customHeight="1" x14ac:dyDescent="0.2">
      <c r="A76" s="1191">
        <v>61</v>
      </c>
      <c r="B76" s="461" t="s">
        <v>211</v>
      </c>
      <c r="C76" s="1165" t="s">
        <v>46</v>
      </c>
      <c r="D76" s="1165">
        <v>684.03</v>
      </c>
      <c r="E76" s="1165" t="s">
        <v>612</v>
      </c>
      <c r="F76" s="1165">
        <v>177.8</v>
      </c>
      <c r="G76" s="1165" t="s">
        <v>28</v>
      </c>
      <c r="H76" s="550" t="s">
        <v>540</v>
      </c>
      <c r="I76" s="1161">
        <v>582.65</v>
      </c>
      <c r="J76" s="1074">
        <v>140</v>
      </c>
      <c r="K76" s="1165"/>
      <c r="L76" s="670">
        <v>391.97</v>
      </c>
      <c r="M76" s="1165"/>
      <c r="N76" s="668">
        <v>5.94</v>
      </c>
      <c r="O76" s="1165"/>
      <c r="P76" s="668">
        <f t="shared" si="3"/>
        <v>24.229610312699258</v>
      </c>
      <c r="Q76" s="668">
        <f>(22*J76)/100</f>
        <v>30.8</v>
      </c>
      <c r="R76" s="432">
        <v>3.4910000000000001</v>
      </c>
      <c r="S76" s="432">
        <v>10.815</v>
      </c>
      <c r="T76" s="670">
        <v>4.4729999999999999</v>
      </c>
      <c r="U76" s="668">
        <f t="shared" si="11"/>
        <v>1.2812947579490117</v>
      </c>
      <c r="V76" s="668">
        <v>67.724000000000004</v>
      </c>
      <c r="W76" s="1192">
        <v>0.4</v>
      </c>
      <c r="X76" s="1172">
        <f t="shared" si="9"/>
        <v>0.35113636363636364</v>
      </c>
      <c r="Y76" s="432">
        <f t="shared" si="4"/>
        <v>3.442126</v>
      </c>
      <c r="Z76" s="432">
        <f t="shared" si="1"/>
        <v>10.652775</v>
      </c>
      <c r="AA76" s="670">
        <f t="shared" si="1"/>
        <v>4.4059049999999997</v>
      </c>
      <c r="AB76" s="432">
        <f t="shared" si="5"/>
        <v>1.2812947579490117</v>
      </c>
      <c r="AC76" s="670">
        <f t="shared" si="2"/>
        <v>67.724000000000004</v>
      </c>
      <c r="AD76" s="1213">
        <f t="shared" si="18"/>
        <v>30</v>
      </c>
      <c r="AE76" s="432">
        <f t="shared" si="23"/>
        <v>103.26378</v>
      </c>
      <c r="AF76" s="1174"/>
      <c r="AH76" s="1124">
        <f t="shared" si="8"/>
        <v>24.229610312699258</v>
      </c>
      <c r="AI76" s="666">
        <v>0.89459999999999995</v>
      </c>
      <c r="AJ76" s="666">
        <v>1.018</v>
      </c>
      <c r="AK76" s="666">
        <v>6.1000000000000004E-3</v>
      </c>
    </row>
    <row r="77" spans="1:37" ht="18.600000000000001" customHeight="1" x14ac:dyDescent="0.2">
      <c r="A77" s="1191">
        <v>62</v>
      </c>
      <c r="B77" s="461" t="s">
        <v>341</v>
      </c>
      <c r="C77" s="1212" t="s">
        <v>46</v>
      </c>
      <c r="D77" s="1212">
        <v>675.29</v>
      </c>
      <c r="E77" s="1212" t="s">
        <v>343</v>
      </c>
      <c r="F77" s="1212">
        <v>177.8</v>
      </c>
      <c r="G77" s="1212" t="s">
        <v>28</v>
      </c>
      <c r="H77" s="550" t="s">
        <v>565</v>
      </c>
      <c r="I77" s="1211">
        <v>531.94000000000005</v>
      </c>
      <c r="J77" s="1074">
        <v>245</v>
      </c>
      <c r="K77" s="1212"/>
      <c r="L77" s="670">
        <v>365.65</v>
      </c>
      <c r="M77" s="1212"/>
      <c r="N77" s="668">
        <v>7.03</v>
      </c>
      <c r="O77" s="1212"/>
      <c r="P77" s="668">
        <f t="shared" si="3"/>
        <v>22.561953224524743</v>
      </c>
      <c r="Q77" s="668">
        <f>(20*J77)/100</f>
        <v>49</v>
      </c>
      <c r="R77" s="432">
        <v>23.821000000000002</v>
      </c>
      <c r="S77" s="432">
        <v>44.085000000000001</v>
      </c>
      <c r="T77" s="670">
        <v>595.86099999999999</v>
      </c>
      <c r="U77" s="668">
        <f t="shared" si="11"/>
        <v>25.014105201292974</v>
      </c>
      <c r="V77" s="668">
        <v>45.965000000000003</v>
      </c>
      <c r="W77" s="1192">
        <v>0.2</v>
      </c>
      <c r="X77" s="1172">
        <f t="shared" si="9"/>
        <v>0.89969387755102037</v>
      </c>
      <c r="Y77" s="432">
        <f t="shared" si="4"/>
        <v>23.487506</v>
      </c>
      <c r="Z77" s="432">
        <f t="shared" si="1"/>
        <v>43.423724999999997</v>
      </c>
      <c r="AA77" s="670">
        <f t="shared" si="1"/>
        <v>586.92308500000001</v>
      </c>
      <c r="AB77" s="432">
        <f t="shared" si="5"/>
        <v>25.014105201292974</v>
      </c>
      <c r="AC77" s="670">
        <f t="shared" si="2"/>
        <v>45.965000000000003</v>
      </c>
      <c r="AD77" s="1213">
        <f t="shared" si="18"/>
        <v>30</v>
      </c>
      <c r="AE77" s="432">
        <f t="shared" si="23"/>
        <v>704.62518</v>
      </c>
      <c r="AF77" s="1174"/>
      <c r="AH77" s="1124">
        <f t="shared" si="8"/>
        <v>22.561953224524743</v>
      </c>
      <c r="AI77" s="666">
        <v>0.89459999999999995</v>
      </c>
      <c r="AJ77" s="666">
        <v>1.018</v>
      </c>
      <c r="AK77" s="666">
        <v>6.1000000000000004E-3</v>
      </c>
    </row>
    <row r="78" spans="1:37" ht="18.75" customHeight="1" x14ac:dyDescent="0.2">
      <c r="A78" s="1191">
        <v>63</v>
      </c>
      <c r="B78" s="461" t="s">
        <v>354</v>
      </c>
      <c r="C78" s="1165" t="s">
        <v>46</v>
      </c>
      <c r="D78" s="1165">
        <v>563.85</v>
      </c>
      <c r="E78" s="1197" t="s">
        <v>545</v>
      </c>
      <c r="F78" s="1165">
        <v>178.8</v>
      </c>
      <c r="G78" s="1165" t="s">
        <v>28</v>
      </c>
      <c r="H78" s="550" t="s">
        <v>540</v>
      </c>
      <c r="I78" s="1161">
        <v>536.49</v>
      </c>
      <c r="J78" s="1074">
        <v>85</v>
      </c>
      <c r="K78" s="1165"/>
      <c r="L78" s="670">
        <v>65.099999999999994</v>
      </c>
      <c r="M78" s="1165"/>
      <c r="N78" s="668">
        <v>0.85</v>
      </c>
      <c r="O78" s="1165"/>
      <c r="P78" s="668">
        <f t="shared" si="3"/>
        <v>46.740354264924939</v>
      </c>
      <c r="Q78" s="668">
        <f>(22/100)*J78</f>
        <v>18.7</v>
      </c>
      <c r="R78" s="432">
        <v>5.1630000000000003</v>
      </c>
      <c r="S78" s="432">
        <v>18.34</v>
      </c>
      <c r="T78" s="670">
        <v>0</v>
      </c>
      <c r="U78" s="668">
        <f t="shared" si="11"/>
        <v>0</v>
      </c>
      <c r="V78" s="668">
        <v>89.2</v>
      </c>
      <c r="W78" s="1192">
        <v>0.4</v>
      </c>
      <c r="X78" s="1172">
        <f t="shared" si="9"/>
        <v>0.98074866310160436</v>
      </c>
      <c r="Y78" s="432">
        <f t="shared" si="4"/>
        <v>5.0907179999999999</v>
      </c>
      <c r="Z78" s="432">
        <f t="shared" si="1"/>
        <v>18.064899999999998</v>
      </c>
      <c r="AA78" s="670">
        <f t="shared" si="1"/>
        <v>0</v>
      </c>
      <c r="AB78" s="432">
        <f t="shared" si="5"/>
        <v>0</v>
      </c>
      <c r="AC78" s="670">
        <f t="shared" si="2"/>
        <v>89.2</v>
      </c>
      <c r="AD78" s="1213">
        <f t="shared" si="18"/>
        <v>30</v>
      </c>
      <c r="AE78" s="432">
        <f t="shared" si="23"/>
        <v>152.72154</v>
      </c>
      <c r="AF78" s="1174"/>
      <c r="AH78" s="1124">
        <f t="shared" si="8"/>
        <v>46.740354264924939</v>
      </c>
      <c r="AI78" s="666">
        <v>0.89459999999999995</v>
      </c>
      <c r="AJ78" s="666">
        <v>1.018</v>
      </c>
      <c r="AK78" s="666">
        <v>6.1000000000000004E-3</v>
      </c>
    </row>
    <row r="79" spans="1:37" ht="18.75" customHeight="1" x14ac:dyDescent="0.2">
      <c r="A79" s="1191">
        <v>64</v>
      </c>
      <c r="B79" s="461" t="s">
        <v>423</v>
      </c>
      <c r="C79" s="1165" t="s">
        <v>46</v>
      </c>
      <c r="D79" s="1165">
        <v>687.52</v>
      </c>
      <c r="E79" s="1106" t="s">
        <v>546</v>
      </c>
      <c r="F79" s="1165">
        <v>179.8</v>
      </c>
      <c r="G79" s="1165" t="s">
        <v>28</v>
      </c>
      <c r="H79" s="550" t="s">
        <v>540</v>
      </c>
      <c r="I79" s="1161">
        <v>571.21</v>
      </c>
      <c r="J79" s="1074">
        <v>235</v>
      </c>
      <c r="K79" s="1165"/>
      <c r="L79" s="670">
        <v>538</v>
      </c>
      <c r="M79" s="1165"/>
      <c r="N79" s="668">
        <v>21.52</v>
      </c>
      <c r="O79" s="1165"/>
      <c r="P79" s="668">
        <f t="shared" si="3"/>
        <v>24.722369417967649</v>
      </c>
      <c r="Q79" s="668">
        <f>(13/100)*J79</f>
        <v>30.55</v>
      </c>
      <c r="R79" s="432">
        <v>13.742000000000001</v>
      </c>
      <c r="S79" s="432">
        <v>14.032999999999999</v>
      </c>
      <c r="T79" s="670">
        <v>1128.4290000000001</v>
      </c>
      <c r="U79" s="668">
        <f t="shared" si="11"/>
        <v>82.11533983408529</v>
      </c>
      <c r="V79" s="668">
        <v>2.0739999999999998</v>
      </c>
      <c r="W79" s="1192">
        <v>0.2</v>
      </c>
      <c r="X79" s="1172">
        <f t="shared" si="9"/>
        <v>0.45934533551554824</v>
      </c>
      <c r="Y79" s="432">
        <f t="shared" si="4"/>
        <v>13.549612000000002</v>
      </c>
      <c r="Z79" s="432">
        <f t="shared" si="1"/>
        <v>13.822505</v>
      </c>
      <c r="AA79" s="670">
        <f t="shared" si="1"/>
        <v>1111.502565</v>
      </c>
      <c r="AB79" s="432">
        <f t="shared" si="5"/>
        <v>82.11533983408529</v>
      </c>
      <c r="AC79" s="670">
        <f t="shared" si="2"/>
        <v>2.0739999999999998</v>
      </c>
      <c r="AD79" s="1213">
        <f t="shared" si="18"/>
        <v>30</v>
      </c>
      <c r="AE79" s="432"/>
      <c r="AF79" s="1174"/>
      <c r="AH79" s="1124">
        <f t="shared" si="8"/>
        <v>24.722369417967649</v>
      </c>
      <c r="AI79" s="666">
        <v>0.89459999999999995</v>
      </c>
      <c r="AJ79" s="666">
        <v>1.018</v>
      </c>
      <c r="AK79" s="666">
        <v>6.1000000000000004E-3</v>
      </c>
    </row>
    <row r="80" spans="1:37" ht="18.75" customHeight="1" x14ac:dyDescent="0.2">
      <c r="A80" s="1191">
        <v>65</v>
      </c>
      <c r="B80" s="461" t="s">
        <v>213</v>
      </c>
      <c r="C80" s="1165" t="s">
        <v>46</v>
      </c>
      <c r="D80" s="1165">
        <v>694.35</v>
      </c>
      <c r="E80" s="1165" t="s">
        <v>497</v>
      </c>
      <c r="F80" s="1165">
        <v>177.8</v>
      </c>
      <c r="G80" s="1165" t="s">
        <v>28</v>
      </c>
      <c r="H80" s="550" t="s">
        <v>466</v>
      </c>
      <c r="I80" s="1161">
        <v>578.16999999999996</v>
      </c>
      <c r="J80" s="1074">
        <v>260</v>
      </c>
      <c r="K80" s="1165"/>
      <c r="L80" s="670">
        <v>148.97</v>
      </c>
      <c r="M80" s="1165"/>
      <c r="N80" s="668">
        <v>5.96</v>
      </c>
      <c r="O80" s="1165"/>
      <c r="P80" s="668">
        <f t="shared" si="3"/>
        <v>43.236073059589394</v>
      </c>
      <c r="Q80" s="668">
        <f>LEFT(H80,(FIND("E",H80,1)-1))*J80/100</f>
        <v>33.799999999999997</v>
      </c>
      <c r="R80" s="432">
        <v>6.2039999999999997</v>
      </c>
      <c r="S80" s="432">
        <v>6.2210000000000001</v>
      </c>
      <c r="T80" s="670">
        <v>125.42400000000001</v>
      </c>
      <c r="U80" s="668">
        <f t="shared" si="11"/>
        <v>20.21663442940039</v>
      </c>
      <c r="V80" s="668">
        <v>0.27200000000000002</v>
      </c>
      <c r="W80" s="1192">
        <v>0.2</v>
      </c>
      <c r="X80" s="1172">
        <f t="shared" si="9"/>
        <v>0.18405325443786985</v>
      </c>
      <c r="Y80" s="432">
        <f t="shared" si="4"/>
        <v>6.1171439999999997</v>
      </c>
      <c r="Z80" s="432">
        <f t="shared" si="1"/>
        <v>6.1276849999999996</v>
      </c>
      <c r="AA80" s="670">
        <f t="shared" si="1"/>
        <v>123.54264000000001</v>
      </c>
      <c r="AB80" s="432">
        <f t="shared" si="5"/>
        <v>20.21663442940039</v>
      </c>
      <c r="AC80" s="670">
        <f>V80</f>
        <v>0.27200000000000002</v>
      </c>
      <c r="AD80" s="1213">
        <f t="shared" si="18"/>
        <v>30</v>
      </c>
      <c r="AE80" s="432">
        <f t="shared" si="23"/>
        <v>183.51432</v>
      </c>
      <c r="AF80" s="1173"/>
      <c r="AH80" s="1124">
        <f t="shared" si="8"/>
        <v>43.236073059589394</v>
      </c>
      <c r="AI80" s="666">
        <v>0.89459999999999995</v>
      </c>
      <c r="AJ80" s="666">
        <v>1.018</v>
      </c>
      <c r="AK80" s="666">
        <v>6.1000000000000004E-3</v>
      </c>
    </row>
    <row r="81" spans="1:37" ht="18.75" customHeight="1" x14ac:dyDescent="0.2">
      <c r="A81" s="1191">
        <v>66</v>
      </c>
      <c r="B81" s="461" t="s">
        <v>506</v>
      </c>
      <c r="C81" s="1165" t="s">
        <v>46</v>
      </c>
      <c r="D81" s="1161">
        <v>700</v>
      </c>
      <c r="E81" s="1161" t="s">
        <v>547</v>
      </c>
      <c r="F81" s="1165">
        <v>177.8</v>
      </c>
      <c r="G81" s="1165" t="s">
        <v>28</v>
      </c>
      <c r="H81" s="1165" t="s">
        <v>464</v>
      </c>
      <c r="I81" s="1161">
        <v>596.17999999999995</v>
      </c>
      <c r="J81" s="1161">
        <v>65</v>
      </c>
      <c r="K81" s="1161"/>
      <c r="L81" s="492">
        <v>517.88</v>
      </c>
      <c r="M81" s="1161"/>
      <c r="N81" s="668">
        <v>4.55</v>
      </c>
      <c r="O81" s="1161"/>
      <c r="P81" s="668">
        <f t="shared" ref="P81:P85" si="29">AH81</f>
        <v>11.729026596535125</v>
      </c>
      <c r="Q81" s="668">
        <f>RIGHT(H81,(FIND("T",H81,1)-0))*J81/100</f>
        <v>9.1</v>
      </c>
      <c r="R81" s="432">
        <v>3.1080000000000001</v>
      </c>
      <c r="S81" s="432">
        <v>3.4449999999999998</v>
      </c>
      <c r="T81" s="492">
        <v>0</v>
      </c>
      <c r="U81" s="432">
        <f t="shared" si="11"/>
        <v>0</v>
      </c>
      <c r="V81" s="668">
        <v>9.7710000000000008</v>
      </c>
      <c r="W81" s="1192">
        <v>0.2</v>
      </c>
      <c r="X81" s="1172">
        <f t="shared" si="9"/>
        <v>0.37857142857142856</v>
      </c>
      <c r="Y81" s="432">
        <f t="shared" ref="Y81:Y85" si="30">R81*0.986</f>
        <v>3.0644879999999999</v>
      </c>
      <c r="Z81" s="1045">
        <f t="shared" si="1"/>
        <v>3.3933249999999999</v>
      </c>
      <c r="AA81" s="670">
        <f t="shared" si="1"/>
        <v>0</v>
      </c>
      <c r="AB81" s="432">
        <f t="shared" si="5"/>
        <v>0</v>
      </c>
      <c r="AC81" s="432">
        <f t="shared" si="5"/>
        <v>9.7710000000000008</v>
      </c>
      <c r="AD81" s="1213">
        <f t="shared" si="18"/>
        <v>30</v>
      </c>
      <c r="AE81" s="432">
        <f>Y81*AD81</f>
        <v>91.934640000000002</v>
      </c>
      <c r="AF81" s="1174"/>
      <c r="AH81" s="1124">
        <f t="shared" ref="AH81:AH99" si="31">(9.81*(AI81*(100%-(V81/100))+AJ81*(V81/100))*(I81-L81)+N81*101.325+9.81*(AK81)*L81)/101.325</f>
        <v>11.729026596535125</v>
      </c>
      <c r="AI81" s="666">
        <v>0.89459999999999995</v>
      </c>
      <c r="AJ81" s="666">
        <v>1.018</v>
      </c>
      <c r="AK81" s="666">
        <v>6.1000000000000004E-3</v>
      </c>
    </row>
    <row r="82" spans="1:37" ht="18.75" customHeight="1" x14ac:dyDescent="0.2">
      <c r="A82" s="1191">
        <v>67</v>
      </c>
      <c r="B82" s="461" t="s">
        <v>451</v>
      </c>
      <c r="C82" s="1165" t="s">
        <v>46</v>
      </c>
      <c r="D82" s="1161">
        <v>619.66</v>
      </c>
      <c r="E82" s="1161" t="s">
        <v>613</v>
      </c>
      <c r="F82" s="1165">
        <v>177.8</v>
      </c>
      <c r="G82" s="1165" t="s">
        <v>28</v>
      </c>
      <c r="H82" s="550" t="s">
        <v>540</v>
      </c>
      <c r="I82" s="1161">
        <v>594.17999999999995</v>
      </c>
      <c r="J82" s="1161">
        <v>100</v>
      </c>
      <c r="K82" s="1161"/>
      <c r="L82" s="492">
        <v>595.26</v>
      </c>
      <c r="M82" s="1161"/>
      <c r="N82" s="668">
        <v>12.27</v>
      </c>
      <c r="O82" s="1161"/>
      <c r="P82" s="668">
        <f t="shared" si="29"/>
        <v>12.527060163470491</v>
      </c>
      <c r="Q82" s="668">
        <f>LEFT(H82,(FIND("E",H82,1)-1))*J82/100</f>
        <v>22</v>
      </c>
      <c r="R82" s="432">
        <v>4.47</v>
      </c>
      <c r="S82" s="432">
        <v>4.8250000000000002</v>
      </c>
      <c r="T82" s="492">
        <v>153.286</v>
      </c>
      <c r="U82" s="432">
        <f t="shared" si="11"/>
        <v>34.292170022371366</v>
      </c>
      <c r="V82" s="668">
        <v>7.36</v>
      </c>
      <c r="W82" s="1192">
        <v>0.2</v>
      </c>
      <c r="X82" s="1172">
        <f t="shared" si="9"/>
        <v>0.21931818181818183</v>
      </c>
      <c r="Y82" s="432">
        <f t="shared" si="30"/>
        <v>4.4074200000000001</v>
      </c>
      <c r="Z82" s="1045">
        <f t="shared" si="1"/>
        <v>4.7526250000000001</v>
      </c>
      <c r="AA82" s="670">
        <f t="shared" si="1"/>
        <v>150.98670999999999</v>
      </c>
      <c r="AB82" s="432">
        <f t="shared" si="5"/>
        <v>34.292170022371366</v>
      </c>
      <c r="AC82" s="432">
        <f t="shared" si="5"/>
        <v>7.36</v>
      </c>
      <c r="AD82" s="1213">
        <f t="shared" si="18"/>
        <v>30</v>
      </c>
      <c r="AE82" s="432">
        <f>Y82*AD82</f>
        <v>132.2226</v>
      </c>
      <c r="AF82" s="1173"/>
      <c r="AH82" s="1124">
        <f t="shared" si="31"/>
        <v>12.527060163470491</v>
      </c>
      <c r="AI82" s="666">
        <v>0.89459999999999995</v>
      </c>
      <c r="AJ82" s="666">
        <v>1.018</v>
      </c>
      <c r="AK82" s="666">
        <v>6.1000000000000004E-3</v>
      </c>
    </row>
    <row r="83" spans="1:37" ht="18.75" customHeight="1" x14ac:dyDescent="0.2">
      <c r="A83" s="1191">
        <v>68</v>
      </c>
      <c r="B83" s="461" t="s">
        <v>424</v>
      </c>
      <c r="C83" s="1165" t="s">
        <v>46</v>
      </c>
      <c r="D83" s="1161">
        <v>689.4</v>
      </c>
      <c r="E83" s="1161" t="s">
        <v>616</v>
      </c>
      <c r="F83" s="1165">
        <v>177.8</v>
      </c>
      <c r="G83" s="1165" t="s">
        <v>28</v>
      </c>
      <c r="H83" s="550" t="s">
        <v>466</v>
      </c>
      <c r="I83" s="1161">
        <v>604.96</v>
      </c>
      <c r="J83" s="1161">
        <v>0</v>
      </c>
      <c r="K83" s="1161"/>
      <c r="L83" s="492"/>
      <c r="M83" s="1161"/>
      <c r="N83" s="668"/>
      <c r="O83" s="1161"/>
      <c r="P83" s="668">
        <f t="shared" si="29"/>
        <v>52.397184198963728</v>
      </c>
      <c r="Q83" s="668">
        <f>LEFT(H83,(FIND("E",H83,1)-1))*J83/100</f>
        <v>0</v>
      </c>
      <c r="R83" s="432"/>
      <c r="S83" s="432"/>
      <c r="T83" s="492"/>
      <c r="U83" s="432"/>
      <c r="V83" s="668"/>
      <c r="W83" s="1192"/>
      <c r="X83" s="1172"/>
      <c r="Y83" s="432">
        <f t="shared" si="30"/>
        <v>0</v>
      </c>
      <c r="Z83" s="1045"/>
      <c r="AA83" s="670"/>
      <c r="AB83" s="432"/>
      <c r="AC83" s="432"/>
      <c r="AD83" s="1213">
        <f t="shared" si="18"/>
        <v>30</v>
      </c>
      <c r="AE83" s="432"/>
      <c r="AF83" s="1173"/>
      <c r="AH83" s="1124">
        <f t="shared" si="31"/>
        <v>52.397184198963728</v>
      </c>
      <c r="AI83" s="666">
        <v>0.89459999999999995</v>
      </c>
      <c r="AJ83" s="666">
        <v>1.018</v>
      </c>
      <c r="AK83" s="666">
        <v>6.1000000000000004E-3</v>
      </c>
    </row>
    <row r="84" spans="1:37" ht="18.75" customHeight="1" x14ac:dyDescent="0.2">
      <c r="A84" s="1191">
        <v>69</v>
      </c>
      <c r="B84" s="461" t="s">
        <v>567</v>
      </c>
      <c r="C84" s="1165" t="s">
        <v>46</v>
      </c>
      <c r="D84" s="1161">
        <v>577.12</v>
      </c>
      <c r="E84" s="1161" t="s">
        <v>614</v>
      </c>
      <c r="F84" s="1165">
        <v>177.8</v>
      </c>
      <c r="G84" s="1165" t="s">
        <v>28</v>
      </c>
      <c r="H84" s="1165" t="s">
        <v>464</v>
      </c>
      <c r="I84" s="1161">
        <v>537.30999999999995</v>
      </c>
      <c r="J84" s="1161">
        <v>100</v>
      </c>
      <c r="K84" s="1161"/>
      <c r="L84" s="492">
        <v>414.45</v>
      </c>
      <c r="M84" s="1161"/>
      <c r="N84" s="668">
        <v>2.58</v>
      </c>
      <c r="O84" s="1161"/>
      <c r="P84" s="668">
        <f t="shared" si="29"/>
        <v>13.818278176911912</v>
      </c>
      <c r="Q84" s="668">
        <f>RIGHT(H84,(FIND("T",H84,1)-0))*J84/100</f>
        <v>14</v>
      </c>
      <c r="R84" s="432">
        <v>6.827</v>
      </c>
      <c r="S84" s="432">
        <v>9.0259999999999998</v>
      </c>
      <c r="T84" s="492">
        <v>5.4530000000000003</v>
      </c>
      <c r="U84" s="432">
        <f t="shared" ref="U84" si="32">IF(R84=0,0,T84/R84)</f>
        <v>0.79874029588399009</v>
      </c>
      <c r="V84" s="668">
        <v>24</v>
      </c>
      <c r="W84" s="1192">
        <v>0.3</v>
      </c>
      <c r="X84" s="1172">
        <f t="shared" ref="X84" si="33">IF(S84=0,0,S84/Q84)</f>
        <v>0.64471428571428568</v>
      </c>
      <c r="Y84" s="432">
        <f t="shared" si="30"/>
        <v>6.7314220000000002</v>
      </c>
      <c r="Z84" s="1045">
        <f t="shared" ref="Z84" si="34">S84*0.985</f>
        <v>8.8906100000000006</v>
      </c>
      <c r="AA84" s="670">
        <f t="shared" ref="AA84" si="35">T84*0.985</f>
        <v>5.3712049999999998</v>
      </c>
      <c r="AB84" s="432">
        <f t="shared" ref="AB84" si="36">U84</f>
        <v>0.79874029588399009</v>
      </c>
      <c r="AC84" s="432">
        <v>24.363</v>
      </c>
      <c r="AD84" s="1213">
        <f t="shared" si="18"/>
        <v>28</v>
      </c>
      <c r="AE84" s="432">
        <f>Y84*AD84</f>
        <v>188.479816</v>
      </c>
      <c r="AF84" s="1173" t="s">
        <v>658</v>
      </c>
      <c r="AG84" s="666">
        <v>2</v>
      </c>
      <c r="AH84" s="1124">
        <f t="shared" si="31"/>
        <v>13.818278176911912</v>
      </c>
      <c r="AI84" s="666">
        <v>0.89459999999999995</v>
      </c>
      <c r="AJ84" s="666">
        <v>1.018</v>
      </c>
      <c r="AK84" s="666">
        <v>6.1000000000000004E-3</v>
      </c>
    </row>
    <row r="85" spans="1:37" ht="18.75" customHeight="1" x14ac:dyDescent="0.2">
      <c r="A85" s="1191">
        <v>70</v>
      </c>
      <c r="B85" s="461" t="s">
        <v>172</v>
      </c>
      <c r="C85" s="1165" t="s">
        <v>46</v>
      </c>
      <c r="D85" s="1165">
        <v>673.05</v>
      </c>
      <c r="E85" s="1165" t="s">
        <v>615</v>
      </c>
      <c r="F85" s="1165">
        <v>177.8</v>
      </c>
      <c r="G85" s="1165" t="s">
        <v>28</v>
      </c>
      <c r="H85" s="550" t="s">
        <v>540</v>
      </c>
      <c r="I85" s="1161">
        <v>575.29</v>
      </c>
      <c r="J85" s="1074">
        <v>125</v>
      </c>
      <c r="K85" s="1165"/>
      <c r="L85" s="670">
        <v>55.77</v>
      </c>
      <c r="M85" s="1165"/>
      <c r="N85" s="668">
        <v>7.6</v>
      </c>
      <c r="O85" s="1165"/>
      <c r="P85" s="668">
        <f t="shared" si="29"/>
        <v>58.14489128359736</v>
      </c>
      <c r="Q85" s="668">
        <f t="shared" ref="Q85" si="37">LEFT(H85,(FIND("E",H85,1)-1))*J85/100</f>
        <v>27.5</v>
      </c>
      <c r="R85" s="432">
        <v>2.4049999999999998</v>
      </c>
      <c r="S85" s="432">
        <v>21.579000000000001</v>
      </c>
      <c r="T85" s="670">
        <v>18.803999999999998</v>
      </c>
      <c r="U85" s="668">
        <f t="shared" si="11"/>
        <v>7.8187110187110189</v>
      </c>
      <c r="V85" s="668">
        <v>88.852999999999994</v>
      </c>
      <c r="W85" s="1192">
        <v>0.3</v>
      </c>
      <c r="X85" s="1172">
        <f t="shared" si="9"/>
        <v>0.78469090909090911</v>
      </c>
      <c r="Y85" s="432">
        <f t="shared" si="30"/>
        <v>2.3713299999999999</v>
      </c>
      <c r="Z85" s="432">
        <f t="shared" si="1"/>
        <v>21.255315</v>
      </c>
      <c r="AA85" s="670">
        <f t="shared" si="1"/>
        <v>18.521939999999997</v>
      </c>
      <c r="AB85" s="432">
        <f t="shared" si="5"/>
        <v>7.8187110187110189</v>
      </c>
      <c r="AC85" s="670">
        <f t="shared" si="2"/>
        <v>88.852999999999994</v>
      </c>
      <c r="AD85" s="1213">
        <f t="shared" si="18"/>
        <v>30</v>
      </c>
      <c r="AE85" s="432">
        <f>Y85*AD85</f>
        <v>71.139899999999997</v>
      </c>
      <c r="AF85" s="1174"/>
      <c r="AH85" s="1124">
        <f t="shared" si="31"/>
        <v>58.14489128359736</v>
      </c>
      <c r="AI85" s="666">
        <v>0.89459999999999995</v>
      </c>
      <c r="AJ85" s="666">
        <v>1.018</v>
      </c>
      <c r="AK85" s="666">
        <v>6.1000000000000004E-3</v>
      </c>
    </row>
    <row r="86" spans="1:37" ht="18.75" customHeight="1" x14ac:dyDescent="0.25">
      <c r="A86" s="1179"/>
      <c r="B86" s="1165"/>
      <c r="C86" s="1165"/>
      <c r="D86" s="1161"/>
      <c r="E86" s="1161"/>
      <c r="F86" s="461"/>
      <c r="G86" s="1165"/>
      <c r="H86" s="1165"/>
      <c r="I86" s="1161"/>
      <c r="J86" s="1161"/>
      <c r="K86" s="1161"/>
      <c r="L86" s="1161"/>
      <c r="M86" s="1161"/>
      <c r="N86" s="1165"/>
      <c r="O86" s="1161"/>
      <c r="P86" s="668"/>
      <c r="Q86" s="448"/>
      <c r="R86" s="466">
        <f>SUM(R16:R85)</f>
        <v>382.49799999999999</v>
      </c>
      <c r="S86" s="466">
        <f>SUM(S16:S85)</f>
        <v>973.06800000000021</v>
      </c>
      <c r="T86" s="512">
        <f>SUM(T16:T85)</f>
        <v>7038.8280000000004</v>
      </c>
      <c r="U86" s="466">
        <f>T86/R86</f>
        <v>18.40226092685452</v>
      </c>
      <c r="V86" s="466"/>
      <c r="W86" s="1198"/>
      <c r="X86" s="1178"/>
      <c r="Y86" s="466">
        <f>SUM(Y16:Y85)</f>
        <v>379.97836599999999</v>
      </c>
      <c r="Z86" s="466">
        <f>SUM(Z16:Z85)</f>
        <v>958.47198000000003</v>
      </c>
      <c r="AA86" s="678">
        <f>SUM(AA16:AA85)</f>
        <v>6933.245579999998</v>
      </c>
      <c r="AB86" s="466">
        <f>AA86/Y86</f>
        <v>18.246421902872225</v>
      </c>
      <c r="AC86" s="466"/>
      <c r="AD86" s="1164"/>
      <c r="AE86" s="466">
        <f>SUM(AE16:AE85)</f>
        <v>10948.325795999997</v>
      </c>
      <c r="AF86" s="1173"/>
      <c r="AH86" s="1124">
        <f t="shared" si="31"/>
        <v>0</v>
      </c>
      <c r="AI86" s="666">
        <v>0.89459999999999995</v>
      </c>
      <c r="AJ86" s="666">
        <v>1.018</v>
      </c>
      <c r="AK86" s="666">
        <v>6.1000000000000004E-3</v>
      </c>
    </row>
    <row r="87" spans="1:37" ht="18.75" customHeight="1" x14ac:dyDescent="0.25">
      <c r="A87" s="1179"/>
      <c r="B87" s="1165"/>
      <c r="C87" s="1165"/>
      <c r="D87" s="1161"/>
      <c r="E87" s="1161"/>
      <c r="F87" s="461"/>
      <c r="G87" s="1165"/>
      <c r="H87" s="1165"/>
      <c r="I87" s="1161"/>
      <c r="J87" s="1161"/>
      <c r="K87" s="1161"/>
      <c r="L87" s="1161"/>
      <c r="M87" s="1161"/>
      <c r="N87" s="1165"/>
      <c r="O87" s="1161"/>
      <c r="P87" s="668"/>
      <c r="Q87" s="448"/>
      <c r="R87" s="466"/>
      <c r="S87" s="466"/>
      <c r="T87" s="512"/>
      <c r="U87" s="466"/>
      <c r="V87" s="466"/>
      <c r="W87" s="1198"/>
      <c r="X87" s="1178"/>
      <c r="Y87" s="466"/>
      <c r="Z87" s="708"/>
      <c r="AA87" s="678"/>
      <c r="AB87" s="466"/>
      <c r="AC87" s="466"/>
      <c r="AD87" s="1164"/>
      <c r="AE87" s="466"/>
      <c r="AF87" s="1173"/>
      <c r="AH87" s="1124"/>
    </row>
    <row r="88" spans="1:37" ht="18.75" customHeight="1" x14ac:dyDescent="0.25">
      <c r="A88" s="1179"/>
      <c r="B88" s="1165"/>
      <c r="C88" s="1165"/>
      <c r="D88" s="1161"/>
      <c r="E88" s="1160" t="s">
        <v>388</v>
      </c>
      <c r="F88" s="461"/>
      <c r="G88" s="1165"/>
      <c r="H88" s="1165"/>
      <c r="I88" s="1161"/>
      <c r="J88" s="1161"/>
      <c r="K88" s="1161"/>
      <c r="L88" s="1161"/>
      <c r="M88" s="1161"/>
      <c r="N88" s="1165"/>
      <c r="O88" s="1161"/>
      <c r="P88" s="668"/>
      <c r="Q88" s="448"/>
      <c r="R88" s="466"/>
      <c r="S88" s="466"/>
      <c r="T88" s="512"/>
      <c r="U88" s="466"/>
      <c r="V88" s="466"/>
      <c r="W88" s="1198"/>
      <c r="X88" s="1178"/>
      <c r="Y88" s="466"/>
      <c r="Z88" s="708"/>
      <c r="AA88" s="678"/>
      <c r="AB88" s="466"/>
      <c r="AC88" s="466"/>
      <c r="AD88" s="1164"/>
      <c r="AE88" s="466"/>
      <c r="AF88" s="1173"/>
      <c r="AH88" s="1124"/>
    </row>
    <row r="89" spans="1:37" ht="18.75" customHeight="1" x14ac:dyDescent="0.2">
      <c r="A89" s="1191">
        <v>71</v>
      </c>
      <c r="B89" s="461" t="s">
        <v>505</v>
      </c>
      <c r="C89" s="1165" t="s">
        <v>445</v>
      </c>
      <c r="D89" s="1161">
        <v>737.21</v>
      </c>
      <c r="E89" s="1161" t="s">
        <v>507</v>
      </c>
      <c r="F89" s="1165">
        <v>177.8</v>
      </c>
      <c r="G89" s="1165" t="s">
        <v>28</v>
      </c>
      <c r="H89" s="1171" t="s">
        <v>466</v>
      </c>
      <c r="I89" s="1161">
        <v>680.94</v>
      </c>
      <c r="J89" s="1161"/>
      <c r="K89" s="1161"/>
      <c r="L89" s="1161"/>
      <c r="M89" s="1161"/>
      <c r="N89" s="1165"/>
      <c r="O89" s="1161"/>
      <c r="P89" s="668"/>
      <c r="Q89" s="448"/>
      <c r="R89" s="432"/>
      <c r="S89" s="432"/>
      <c r="T89" s="492"/>
      <c r="U89" s="432"/>
      <c r="V89" s="432"/>
      <c r="W89" s="1199"/>
      <c r="X89" s="1172">
        <f>IF(S89=0,0,S89/Q89)</f>
        <v>0</v>
      </c>
      <c r="Y89" s="432">
        <f t="shared" ref="Y89:AA90" si="38">R89*0.985</f>
        <v>0</v>
      </c>
      <c r="Z89" s="432">
        <f t="shared" si="38"/>
        <v>0</v>
      </c>
      <c r="AA89" s="670">
        <f t="shared" si="38"/>
        <v>0</v>
      </c>
      <c r="AB89" s="432">
        <f t="shared" ref="AB89:AC90" si="39">U89</f>
        <v>0</v>
      </c>
      <c r="AC89" s="432">
        <f t="shared" si="39"/>
        <v>0</v>
      </c>
      <c r="AD89" s="1165">
        <f>(DAY(EOMONTH($AG$14,0))-AG89)</f>
        <v>30</v>
      </c>
      <c r="AE89" s="432">
        <f>Y89*AD89</f>
        <v>0</v>
      </c>
      <c r="AF89" s="1174" t="s">
        <v>661</v>
      </c>
      <c r="AH89" s="1124">
        <f t="shared" si="31"/>
        <v>58.978012775129535</v>
      </c>
      <c r="AI89" s="666">
        <v>0.89459999999999995</v>
      </c>
      <c r="AJ89" s="666">
        <v>1.018</v>
      </c>
      <c r="AK89" s="666">
        <v>6.1000000000000004E-3</v>
      </c>
    </row>
    <row r="90" spans="1:37" ht="18.75" customHeight="1" x14ac:dyDescent="0.2">
      <c r="A90" s="1191">
        <v>72</v>
      </c>
      <c r="B90" s="461" t="s">
        <v>504</v>
      </c>
      <c r="C90" s="1165" t="s">
        <v>445</v>
      </c>
      <c r="D90" s="1161">
        <v>695.15</v>
      </c>
      <c r="E90" s="1161" t="s">
        <v>508</v>
      </c>
      <c r="F90" s="461">
        <v>177.8</v>
      </c>
      <c r="G90" s="1165" t="s">
        <v>28</v>
      </c>
      <c r="H90" s="1165" t="s">
        <v>491</v>
      </c>
      <c r="I90" s="1161">
        <v>658.9</v>
      </c>
      <c r="J90" s="1161"/>
      <c r="K90" s="1161"/>
      <c r="L90" s="1161"/>
      <c r="M90" s="1161"/>
      <c r="N90" s="1165"/>
      <c r="O90" s="1161"/>
      <c r="P90" s="668"/>
      <c r="Q90" s="448"/>
      <c r="R90" s="432"/>
      <c r="S90" s="432"/>
      <c r="T90" s="492"/>
      <c r="U90" s="432"/>
      <c r="V90" s="432"/>
      <c r="W90" s="1199"/>
      <c r="X90" s="1172">
        <f t="shared" ref="X90" si="40">IF(S90=0,0,S90/Q90)</f>
        <v>0</v>
      </c>
      <c r="Y90" s="432">
        <f t="shared" si="38"/>
        <v>0</v>
      </c>
      <c r="Z90" s="1045">
        <f t="shared" si="38"/>
        <v>0</v>
      </c>
      <c r="AA90" s="670">
        <f t="shared" si="38"/>
        <v>0</v>
      </c>
      <c r="AB90" s="432">
        <f t="shared" si="39"/>
        <v>0</v>
      </c>
      <c r="AC90" s="432">
        <f t="shared" si="39"/>
        <v>0</v>
      </c>
      <c r="AD90" s="1165">
        <f>(DAY(EOMONTH($AG$14,0))-AG90)</f>
        <v>30</v>
      </c>
      <c r="AE90" s="432">
        <f>Y90*AD90</f>
        <v>0</v>
      </c>
      <c r="AF90" s="1174" t="s">
        <v>661</v>
      </c>
      <c r="AH90" s="1124">
        <f t="shared" si="31"/>
        <v>57.069070134715027</v>
      </c>
      <c r="AI90" s="666">
        <v>0.89459999999999995</v>
      </c>
      <c r="AJ90" s="666">
        <v>1.018</v>
      </c>
      <c r="AK90" s="666">
        <v>6.1000000000000004E-3</v>
      </c>
    </row>
    <row r="91" spans="1:37" ht="18.75" customHeight="1" x14ac:dyDescent="0.25">
      <c r="A91" s="1191">
        <v>73</v>
      </c>
      <c r="B91" s="1162" t="s">
        <v>220</v>
      </c>
      <c r="C91" s="1165" t="s">
        <v>445</v>
      </c>
      <c r="D91" s="1161">
        <v>685.69</v>
      </c>
      <c r="E91" s="1161" t="s">
        <v>579</v>
      </c>
      <c r="F91" s="1165">
        <v>177.8</v>
      </c>
      <c r="G91" s="1165" t="s">
        <v>28</v>
      </c>
      <c r="H91" s="550" t="s">
        <v>466</v>
      </c>
      <c r="I91" s="1161">
        <v>639.97</v>
      </c>
      <c r="J91" s="1161"/>
      <c r="K91" s="1161"/>
      <c r="L91" s="1161"/>
      <c r="M91" s="1161"/>
      <c r="N91" s="1165"/>
      <c r="O91" s="1161"/>
      <c r="P91" s="668"/>
      <c r="Q91" s="448"/>
      <c r="R91" s="869"/>
      <c r="S91" s="869"/>
      <c r="T91" s="869"/>
      <c r="U91" s="869"/>
      <c r="V91" s="869"/>
      <c r="W91" s="1200"/>
      <c r="X91" s="1172">
        <f t="shared" ref="X91:X92" si="41">IF(S91=0,0,S91/Q91)</f>
        <v>0</v>
      </c>
      <c r="Y91" s="432">
        <f t="shared" ref="Y91:Y92" si="42">R91*0.985</f>
        <v>0</v>
      </c>
      <c r="Z91" s="1045">
        <f t="shared" ref="Z91:Z92" si="43">S91*0.985</f>
        <v>0</v>
      </c>
      <c r="AA91" s="670">
        <f t="shared" ref="AA91:AA92" si="44">T91*0.985</f>
        <v>0</v>
      </c>
      <c r="AB91" s="432">
        <f t="shared" ref="AB91:AB92" si="45">U91</f>
        <v>0</v>
      </c>
      <c r="AC91" s="432">
        <f t="shared" ref="AC91:AC92" si="46">V91</f>
        <v>0</v>
      </c>
      <c r="AD91" s="1213">
        <f t="shared" ref="AD91:AD92" si="47">(DAY(EOMONTH($AG$14,0))-AG91)</f>
        <v>30</v>
      </c>
      <c r="AE91" s="432">
        <f t="shared" ref="AE91:AE92" si="48">Y91*AD91</f>
        <v>0</v>
      </c>
      <c r="AF91" s="1174" t="s">
        <v>661</v>
      </c>
      <c r="AH91" s="1124">
        <f t="shared" si="31"/>
        <v>55.429492812435235</v>
      </c>
      <c r="AI91" s="666">
        <v>0.89459999999999995</v>
      </c>
      <c r="AJ91" s="666">
        <v>1.018</v>
      </c>
      <c r="AK91" s="666">
        <v>6.1000000000000004E-3</v>
      </c>
    </row>
    <row r="92" spans="1:37" ht="18.75" customHeight="1" x14ac:dyDescent="0.2">
      <c r="A92" s="1191">
        <v>74</v>
      </c>
      <c r="B92" s="461" t="s">
        <v>465</v>
      </c>
      <c r="C92" s="1165" t="s">
        <v>46</v>
      </c>
      <c r="D92" s="1165">
        <v>571.91</v>
      </c>
      <c r="E92" s="1165" t="s">
        <v>478</v>
      </c>
      <c r="F92" s="1165">
        <v>177.8</v>
      </c>
      <c r="G92" s="1165" t="s">
        <v>618</v>
      </c>
      <c r="H92" s="831"/>
      <c r="I92" s="1161">
        <v>9.5</v>
      </c>
      <c r="J92" s="1161"/>
      <c r="K92" s="1161"/>
      <c r="L92" s="1161"/>
      <c r="M92" s="1161"/>
      <c r="N92" s="1165"/>
      <c r="O92" s="1161"/>
      <c r="P92" s="668"/>
      <c r="Q92" s="448"/>
      <c r="R92" s="466"/>
      <c r="S92" s="466"/>
      <c r="T92" s="512"/>
      <c r="U92" s="466"/>
      <c r="V92" s="466"/>
      <c r="W92" s="1198"/>
      <c r="X92" s="1172">
        <f t="shared" si="41"/>
        <v>0</v>
      </c>
      <c r="Y92" s="432">
        <f t="shared" si="42"/>
        <v>0</v>
      </c>
      <c r="Z92" s="1045">
        <f t="shared" si="43"/>
        <v>0</v>
      </c>
      <c r="AA92" s="670">
        <f t="shared" si="44"/>
        <v>0</v>
      </c>
      <c r="AB92" s="432">
        <f t="shared" si="45"/>
        <v>0</v>
      </c>
      <c r="AC92" s="432">
        <f t="shared" si="46"/>
        <v>0</v>
      </c>
      <c r="AD92" s="1213">
        <f t="shared" si="47"/>
        <v>30</v>
      </c>
      <c r="AE92" s="432">
        <f t="shared" si="48"/>
        <v>0</v>
      </c>
      <c r="AF92" s="1174" t="s">
        <v>661</v>
      </c>
      <c r="AH92" s="1124">
        <f t="shared" si="31"/>
        <v>0.82282010362694302</v>
      </c>
      <c r="AI92" s="666">
        <v>0.89459999999999995</v>
      </c>
      <c r="AJ92" s="666">
        <v>1.018</v>
      </c>
      <c r="AK92" s="666">
        <v>6.1000000000000004E-3</v>
      </c>
    </row>
    <row r="93" spans="1:37" ht="18.75" customHeight="1" x14ac:dyDescent="0.25">
      <c r="A93" s="1179"/>
      <c r="B93" s="673"/>
      <c r="C93" s="673"/>
      <c r="D93" s="673"/>
      <c r="E93" s="673"/>
      <c r="F93" s="461"/>
      <c r="G93" s="1165"/>
      <c r="H93" s="1165"/>
      <c r="I93" s="1165"/>
      <c r="J93" s="1161"/>
      <c r="K93" s="1161"/>
      <c r="L93" s="1161"/>
      <c r="M93" s="1161"/>
      <c r="N93" s="1161"/>
      <c r="O93" s="1161"/>
      <c r="P93" s="448"/>
      <c r="Q93" s="448"/>
      <c r="R93" s="466">
        <f>SUM(R89:R92)</f>
        <v>0</v>
      </c>
      <c r="S93" s="466">
        <f>SUM(S89:S92)</f>
        <v>0</v>
      </c>
      <c r="T93" s="512">
        <f>SUM(T89:T92)</f>
        <v>0</v>
      </c>
      <c r="U93" s="466"/>
      <c r="V93" s="466"/>
      <c r="W93" s="1198"/>
      <c r="X93" s="1178"/>
      <c r="Y93" s="466">
        <f>SUM(Y89:Y92)</f>
        <v>0</v>
      </c>
      <c r="Z93" s="466">
        <f>SUM(Z89:Z92)</f>
        <v>0</v>
      </c>
      <c r="AA93" s="678">
        <f>SUM(AA27:AA92)</f>
        <v>13082.187864999996</v>
      </c>
      <c r="AB93" s="466"/>
      <c r="AC93" s="466"/>
      <c r="AD93" s="1164"/>
      <c r="AE93" s="466">
        <f>SUM(AE89:AE92)</f>
        <v>0</v>
      </c>
      <c r="AF93" s="1173"/>
      <c r="AH93" s="1124"/>
    </row>
    <row r="94" spans="1:37" ht="18.75" customHeight="1" x14ac:dyDescent="0.25">
      <c r="A94" s="1201"/>
      <c r="B94" s="673"/>
      <c r="C94" s="673"/>
      <c r="D94" s="673"/>
      <c r="E94" s="1166" t="s">
        <v>470</v>
      </c>
      <c r="F94" s="461"/>
      <c r="G94" s="1165"/>
      <c r="H94" s="1165"/>
      <c r="I94" s="1165"/>
      <c r="J94" s="1161"/>
      <c r="K94" s="1161"/>
      <c r="L94" s="1161"/>
      <c r="M94" s="1161"/>
      <c r="N94" s="1161"/>
      <c r="O94" s="1161"/>
      <c r="P94" s="448"/>
      <c r="Q94" s="448"/>
      <c r="R94" s="466"/>
      <c r="S94" s="466"/>
      <c r="T94" s="512"/>
      <c r="U94" s="466"/>
      <c r="V94" s="466"/>
      <c r="W94" s="1198"/>
      <c r="X94" s="1178"/>
      <c r="Y94" s="466"/>
      <c r="Z94" s="466"/>
      <c r="AA94" s="678"/>
      <c r="AB94" s="466"/>
      <c r="AC94" s="466"/>
      <c r="AD94" s="1164"/>
      <c r="AE94" s="466"/>
      <c r="AF94" s="1173"/>
      <c r="AH94" s="1124"/>
    </row>
    <row r="95" spans="1:37" ht="18.75" customHeight="1" x14ac:dyDescent="0.2">
      <c r="A95" s="1191">
        <v>75</v>
      </c>
      <c r="B95" s="1165" t="s">
        <v>582</v>
      </c>
      <c r="C95" s="1163" t="s">
        <v>344</v>
      </c>
      <c r="D95" s="1165">
        <v>371.11</v>
      </c>
      <c r="E95" s="679" t="s">
        <v>583</v>
      </c>
      <c r="F95" s="1165">
        <v>177.8</v>
      </c>
      <c r="G95" s="1165" t="s">
        <v>28</v>
      </c>
      <c r="H95" s="550" t="s">
        <v>584</v>
      </c>
      <c r="I95" s="1161">
        <v>183.38</v>
      </c>
      <c r="J95" s="1161">
        <v>0</v>
      </c>
      <c r="K95" s="1165">
        <v>0</v>
      </c>
      <c r="L95" s="1165"/>
      <c r="M95" s="1165">
        <v>0</v>
      </c>
      <c r="N95" s="1165"/>
      <c r="O95" s="1165"/>
      <c r="P95" s="668">
        <v>0</v>
      </c>
      <c r="Q95" s="448">
        <f>(13*J95)/100</f>
        <v>0</v>
      </c>
      <c r="R95" s="432">
        <v>0</v>
      </c>
      <c r="S95" s="432">
        <v>0</v>
      </c>
      <c r="T95" s="432">
        <v>0</v>
      </c>
      <c r="U95" s="432">
        <f t="shared" ref="U95" si="49">IF(R95=0,0,T95/R95)</f>
        <v>0</v>
      </c>
      <c r="V95" s="432">
        <v>0</v>
      </c>
      <c r="W95" s="1199">
        <v>0</v>
      </c>
      <c r="X95" s="1172">
        <f t="shared" ref="X95" si="50">IF(S95=0,0,S95/Q95)</f>
        <v>0</v>
      </c>
      <c r="Y95" s="432">
        <f>R95*0.986</f>
        <v>0</v>
      </c>
      <c r="Z95" s="432">
        <f>S95*0.985</f>
        <v>0</v>
      </c>
      <c r="AA95" s="432">
        <f>T95*0.985</f>
        <v>0</v>
      </c>
      <c r="AB95" s="432">
        <f t="shared" ref="AB95" si="51">U95</f>
        <v>0</v>
      </c>
      <c r="AC95" s="432">
        <f t="shared" ref="AC95" si="52">V95</f>
        <v>0</v>
      </c>
      <c r="AD95" s="1213">
        <f>(DAY(EOMONTH($AG$14,0))-AG95)</f>
        <v>30</v>
      </c>
      <c r="AE95" s="432">
        <f t="shared" ref="AE95" si="53">Y95*AD95</f>
        <v>0</v>
      </c>
      <c r="AF95" s="1174" t="s">
        <v>663</v>
      </c>
      <c r="AH95" s="1124">
        <f t="shared" si="31"/>
        <v>15.883026379274609</v>
      </c>
      <c r="AI95" s="666">
        <v>0.89459999999999995</v>
      </c>
      <c r="AJ95" s="666">
        <v>1.018</v>
      </c>
      <c r="AK95" s="666">
        <v>6.1000000000000004E-3</v>
      </c>
    </row>
    <row r="96" spans="1:37" ht="18.75" customHeight="1" x14ac:dyDescent="0.2">
      <c r="A96" s="1191">
        <v>76</v>
      </c>
      <c r="B96" s="1165" t="s">
        <v>131</v>
      </c>
      <c r="C96" s="1163" t="s">
        <v>313</v>
      </c>
      <c r="D96" s="1165">
        <v>389.74</v>
      </c>
      <c r="E96" s="679" t="s">
        <v>617</v>
      </c>
      <c r="F96" s="1165">
        <v>177.8</v>
      </c>
      <c r="G96" s="1165" t="s">
        <v>28</v>
      </c>
      <c r="H96" s="550" t="s">
        <v>540</v>
      </c>
      <c r="I96" s="1161">
        <v>136.35</v>
      </c>
      <c r="J96" s="1161">
        <v>100</v>
      </c>
      <c r="K96" s="1165"/>
      <c r="L96" s="1165">
        <v>55</v>
      </c>
      <c r="M96" s="1165"/>
      <c r="N96" s="1165">
        <v>0.81</v>
      </c>
      <c r="O96" s="1165"/>
      <c r="P96" s="668">
        <v>12.863322073940665</v>
      </c>
      <c r="Q96" s="448">
        <f>(13*J96)/100</f>
        <v>13</v>
      </c>
      <c r="R96" s="432">
        <v>12.201000000000001</v>
      </c>
      <c r="S96" s="432">
        <v>13.333</v>
      </c>
      <c r="T96" s="432">
        <v>0</v>
      </c>
      <c r="U96" s="432">
        <f>T96/R96</f>
        <v>0</v>
      </c>
      <c r="V96" s="432">
        <v>8.49</v>
      </c>
      <c r="W96" s="1199">
        <v>0.2</v>
      </c>
      <c r="X96" s="1172">
        <f t="shared" ref="X96:X99" si="54">S96/Q96</f>
        <v>1.0256153846153846</v>
      </c>
      <c r="Y96" s="432">
        <f t="shared" ref="Y96:Y99" si="55">R96*0.986</f>
        <v>12.030186</v>
      </c>
      <c r="Z96" s="432">
        <f>S96*0.985</f>
        <v>13.133005000000001</v>
      </c>
      <c r="AA96" s="432">
        <f>T96*0.985</f>
        <v>0</v>
      </c>
      <c r="AB96" s="432">
        <f t="shared" ref="AB96:AC99" si="56">U96</f>
        <v>0</v>
      </c>
      <c r="AC96" s="432">
        <f t="shared" si="56"/>
        <v>8.49</v>
      </c>
      <c r="AD96" s="1213">
        <f t="shared" ref="AD96:AD99" si="57">(DAY(EOMONTH($AG$14,0))-AG96)</f>
        <v>30</v>
      </c>
      <c r="AE96" s="432">
        <f t="shared" ref="AE96:AE99" si="58">Y96*AD96</f>
        <v>360.90557999999999</v>
      </c>
      <c r="AF96" s="1174"/>
      <c r="AH96" s="1124">
        <f t="shared" si="31"/>
        <v>7.9709356083366387</v>
      </c>
      <c r="AI96" s="666">
        <v>0.89459999999999995</v>
      </c>
      <c r="AJ96" s="666">
        <v>1.018</v>
      </c>
      <c r="AK96" s="666">
        <v>6.1000000000000004E-3</v>
      </c>
    </row>
    <row r="97" spans="1:37" ht="18.75" customHeight="1" x14ac:dyDescent="0.2">
      <c r="A97" s="1191">
        <v>77</v>
      </c>
      <c r="B97" s="1165" t="s">
        <v>132</v>
      </c>
      <c r="C97" s="1163" t="s">
        <v>313</v>
      </c>
      <c r="D97" s="1165">
        <v>389.09</v>
      </c>
      <c r="E97" s="679" t="s">
        <v>135</v>
      </c>
      <c r="F97" s="1165">
        <v>177.8</v>
      </c>
      <c r="G97" s="1165" t="s">
        <v>28</v>
      </c>
      <c r="H97" s="1165" t="s">
        <v>485</v>
      </c>
      <c r="I97" s="1161">
        <v>130.11000000000001</v>
      </c>
      <c r="J97" s="1165">
        <v>250</v>
      </c>
      <c r="K97" s="1165"/>
      <c r="L97" s="670">
        <v>87.94</v>
      </c>
      <c r="M97" s="1165"/>
      <c r="N97" s="1165">
        <v>0.88</v>
      </c>
      <c r="O97" s="1165"/>
      <c r="P97" s="668">
        <v>10.150799978120727</v>
      </c>
      <c r="Q97" s="448">
        <f>(15*J97)/100</f>
        <v>37.5</v>
      </c>
      <c r="R97" s="432">
        <v>8.2379999999999995</v>
      </c>
      <c r="S97" s="432">
        <v>8.8989999999999991</v>
      </c>
      <c r="T97" s="432">
        <v>0</v>
      </c>
      <c r="U97" s="432">
        <f>T97/R97</f>
        <v>0</v>
      </c>
      <c r="V97" s="432">
        <v>7.4189999999999996</v>
      </c>
      <c r="W97" s="1199">
        <v>0.2</v>
      </c>
      <c r="X97" s="1172">
        <f t="shared" si="54"/>
        <v>0.23730666666666664</v>
      </c>
      <c r="Y97" s="432">
        <f t="shared" si="55"/>
        <v>8.1226679999999991</v>
      </c>
      <c r="Z97" s="432">
        <f t="shared" ref="Z97:AA99" si="59">S97*0.985</f>
        <v>8.7655149999999988</v>
      </c>
      <c r="AA97" s="432">
        <f t="shared" si="59"/>
        <v>0</v>
      </c>
      <c r="AB97" s="432">
        <v>0</v>
      </c>
      <c r="AC97" s="432">
        <f>V97</f>
        <v>7.4189999999999996</v>
      </c>
      <c r="AD97" s="1213">
        <f t="shared" si="57"/>
        <v>30</v>
      </c>
      <c r="AE97" s="432">
        <f t="shared" si="58"/>
        <v>243.68003999999996</v>
      </c>
      <c r="AF97" s="1174"/>
      <c r="AH97" s="1124">
        <f t="shared" si="31"/>
        <v>4.6217691969714707</v>
      </c>
      <c r="AI97" s="666">
        <v>0.89459999999999995</v>
      </c>
      <c r="AJ97" s="666">
        <v>1.018</v>
      </c>
      <c r="AK97" s="666">
        <v>6.1000000000000004E-3</v>
      </c>
    </row>
    <row r="98" spans="1:37" ht="18.75" customHeight="1" x14ac:dyDescent="0.2">
      <c r="A98" s="1191">
        <v>78</v>
      </c>
      <c r="B98" s="1165" t="s">
        <v>121</v>
      </c>
      <c r="C98" s="1163" t="s">
        <v>313</v>
      </c>
      <c r="D98" s="1165">
        <v>389.57</v>
      </c>
      <c r="E98" s="1165" t="s">
        <v>137</v>
      </c>
      <c r="F98" s="1165">
        <v>177.8</v>
      </c>
      <c r="G98" s="1165" t="s">
        <v>28</v>
      </c>
      <c r="H98" s="831" t="s">
        <v>466</v>
      </c>
      <c r="I98" s="1161">
        <v>134.24</v>
      </c>
      <c r="J98" s="1165">
        <v>115</v>
      </c>
      <c r="K98" s="1165"/>
      <c r="L98" s="670">
        <v>34.549999999999997</v>
      </c>
      <c r="M98" s="1165"/>
      <c r="N98" s="1165">
        <v>0.72</v>
      </c>
      <c r="O98" s="1165"/>
      <c r="P98" s="668">
        <v>12.201132184842152</v>
      </c>
      <c r="Q98" s="448">
        <f>LEFT(H98,(FIND("E",H98,1)-1))*J98/100</f>
        <v>14.95</v>
      </c>
      <c r="R98" s="432">
        <v>7.1959999999999997</v>
      </c>
      <c r="S98" s="432">
        <v>10.993</v>
      </c>
      <c r="T98" s="432">
        <v>0</v>
      </c>
      <c r="U98" s="432">
        <v>0</v>
      </c>
      <c r="V98" s="432">
        <v>34.546999999999997</v>
      </c>
      <c r="W98" s="1199">
        <v>0.3</v>
      </c>
      <c r="X98" s="1172">
        <f>S98/Q98</f>
        <v>0.73531772575250842</v>
      </c>
      <c r="Y98" s="432">
        <f t="shared" si="55"/>
        <v>7.095256</v>
      </c>
      <c r="Z98" s="432">
        <f t="shared" si="59"/>
        <v>10.828105000000001</v>
      </c>
      <c r="AA98" s="432">
        <f t="shared" si="59"/>
        <v>0</v>
      </c>
      <c r="AB98" s="432">
        <v>0</v>
      </c>
      <c r="AC98" s="432">
        <v>47</v>
      </c>
      <c r="AD98" s="1213">
        <f t="shared" si="57"/>
        <v>30</v>
      </c>
      <c r="AE98" s="432">
        <f t="shared" si="58"/>
        <v>212.85767999999999</v>
      </c>
      <c r="AF98" s="1173"/>
      <c r="AH98" s="1124">
        <f t="shared" si="31"/>
        <v>9.7862808033553641</v>
      </c>
      <c r="AI98" s="666">
        <v>0.89459999999999995</v>
      </c>
      <c r="AJ98" s="666">
        <v>1.018</v>
      </c>
      <c r="AK98" s="666">
        <v>6.1000000000000004E-3</v>
      </c>
    </row>
    <row r="99" spans="1:37" ht="18.75" customHeight="1" x14ac:dyDescent="0.2">
      <c r="A99" s="1191">
        <v>79</v>
      </c>
      <c r="B99" s="1165" t="s">
        <v>122</v>
      </c>
      <c r="C99" s="1163" t="s">
        <v>313</v>
      </c>
      <c r="D99" s="1165">
        <v>391.06</v>
      </c>
      <c r="E99" s="1165" t="s">
        <v>138</v>
      </c>
      <c r="F99" s="1165">
        <v>177.8</v>
      </c>
      <c r="G99" s="1165" t="s">
        <v>28</v>
      </c>
      <c r="H99" s="1165" t="s">
        <v>563</v>
      </c>
      <c r="I99" s="432">
        <v>148.37</v>
      </c>
      <c r="J99" s="1165">
        <v>175</v>
      </c>
      <c r="K99" s="1164"/>
      <c r="L99" s="670">
        <v>106.65</v>
      </c>
      <c r="M99" s="1164"/>
      <c r="N99" s="1165">
        <v>0.68</v>
      </c>
      <c r="O99" s="1164"/>
      <c r="P99" s="668">
        <v>10.35950553820205</v>
      </c>
      <c r="Q99" s="448">
        <f>(15*J99)/100</f>
        <v>26.25</v>
      </c>
      <c r="R99" s="432">
        <v>8.2739999999999991</v>
      </c>
      <c r="S99" s="432">
        <v>8.4930000000000003</v>
      </c>
      <c r="T99" s="432">
        <v>0</v>
      </c>
      <c r="U99" s="432">
        <f>T99/R99</f>
        <v>0</v>
      </c>
      <c r="V99" s="432">
        <v>2.5760000000000001</v>
      </c>
      <c r="W99" s="1199">
        <v>0.3</v>
      </c>
      <c r="X99" s="1172">
        <f t="shared" si="54"/>
        <v>0.32354285714285713</v>
      </c>
      <c r="Y99" s="432">
        <f t="shared" si="55"/>
        <v>8.1581639999999993</v>
      </c>
      <c r="Z99" s="432">
        <f t="shared" si="59"/>
        <v>8.3656050000000004</v>
      </c>
      <c r="AA99" s="432">
        <f t="shared" si="59"/>
        <v>0</v>
      </c>
      <c r="AB99" s="432">
        <f t="shared" si="56"/>
        <v>0</v>
      </c>
      <c r="AC99" s="432">
        <f t="shared" si="56"/>
        <v>2.5760000000000001</v>
      </c>
      <c r="AD99" s="1213">
        <f t="shared" si="57"/>
        <v>30</v>
      </c>
      <c r="AE99" s="432">
        <f t="shared" si="58"/>
        <v>244.74491999999998</v>
      </c>
      <c r="AF99" s="1182"/>
      <c r="AH99" s="1124">
        <f t="shared" si="31"/>
        <v>4.3693050922258942</v>
      </c>
      <c r="AI99" s="666">
        <v>0.89459999999999995</v>
      </c>
      <c r="AJ99" s="666">
        <v>1.018</v>
      </c>
      <c r="AK99" s="666">
        <v>6.1000000000000004E-3</v>
      </c>
    </row>
    <row r="100" spans="1:37" ht="18.75" customHeight="1" x14ac:dyDescent="0.2">
      <c r="A100" s="1191">
        <v>80</v>
      </c>
      <c r="B100" s="1165" t="s">
        <v>188</v>
      </c>
      <c r="C100" s="1163" t="s">
        <v>344</v>
      </c>
      <c r="D100" s="1165">
        <v>224.89</v>
      </c>
      <c r="E100" s="1165" t="s">
        <v>385</v>
      </c>
      <c r="F100" s="1165">
        <v>177.8</v>
      </c>
      <c r="G100" s="1165" t="s">
        <v>28</v>
      </c>
      <c r="H100" s="1165" t="s">
        <v>383</v>
      </c>
      <c r="I100" s="432">
        <v>144.54</v>
      </c>
      <c r="J100" s="1165"/>
      <c r="K100" s="1164"/>
      <c r="L100" s="1165"/>
      <c r="M100" s="1164"/>
      <c r="N100" s="1165"/>
      <c r="O100" s="1164"/>
      <c r="P100" s="668"/>
      <c r="Q100" s="448">
        <f>(3*J100)/100</f>
        <v>0</v>
      </c>
      <c r="R100" s="432"/>
      <c r="S100" s="432"/>
      <c r="T100" s="432"/>
      <c r="U100" s="432"/>
      <c r="V100" s="432"/>
      <c r="W100" s="1199"/>
      <c r="X100" s="1172"/>
      <c r="Y100" s="432"/>
      <c r="Z100" s="432"/>
      <c r="AA100" s="432"/>
      <c r="AB100" s="432"/>
      <c r="AC100" s="432"/>
      <c r="AD100" s="1165"/>
      <c r="AE100" s="432"/>
      <c r="AF100" s="1173"/>
    </row>
    <row r="101" spans="1:37" ht="18.75" customHeight="1" x14ac:dyDescent="0.2">
      <c r="A101" s="1191">
        <v>81</v>
      </c>
      <c r="B101" s="1165" t="s">
        <v>186</v>
      </c>
      <c r="C101" s="1163" t="s">
        <v>346</v>
      </c>
      <c r="D101" s="1165">
        <v>349.5</v>
      </c>
      <c r="E101" s="461" t="s">
        <v>347</v>
      </c>
      <c r="F101" s="1165">
        <v>177.8</v>
      </c>
      <c r="G101" s="1165" t="s">
        <v>618</v>
      </c>
      <c r="H101" s="1165"/>
      <c r="I101" s="432">
        <v>9</v>
      </c>
      <c r="J101" s="1165"/>
      <c r="K101" s="1165"/>
      <c r="L101" s="1165"/>
      <c r="M101" s="1164"/>
      <c r="N101" s="1165"/>
      <c r="O101" s="1164"/>
      <c r="P101" s="668"/>
      <c r="Q101" s="448"/>
      <c r="R101" s="432"/>
      <c r="S101" s="432"/>
      <c r="T101" s="432"/>
      <c r="U101" s="432"/>
      <c r="V101" s="432"/>
      <c r="W101" s="1199"/>
      <c r="X101" s="1172"/>
      <c r="Y101" s="432"/>
      <c r="Z101" s="432"/>
      <c r="AA101" s="432"/>
      <c r="AB101" s="432"/>
      <c r="AC101" s="432"/>
      <c r="AD101" s="1165"/>
      <c r="AE101" s="432"/>
      <c r="AF101" s="1173"/>
    </row>
    <row r="102" spans="1:37" ht="18.75" customHeight="1" x14ac:dyDescent="0.2">
      <c r="A102" s="1191">
        <v>82</v>
      </c>
      <c r="B102" s="1165" t="s">
        <v>57</v>
      </c>
      <c r="C102" s="1163" t="s">
        <v>346</v>
      </c>
      <c r="D102" s="1165">
        <v>376.58</v>
      </c>
      <c r="E102" s="461" t="s">
        <v>568</v>
      </c>
      <c r="F102" s="1165">
        <v>177.8</v>
      </c>
      <c r="G102" s="1165" t="s">
        <v>28</v>
      </c>
      <c r="H102" s="550" t="s">
        <v>466</v>
      </c>
      <c r="I102" s="1161">
        <v>131.13</v>
      </c>
      <c r="J102" s="1074">
        <v>65</v>
      </c>
      <c r="K102" s="1165"/>
      <c r="L102" s="1165">
        <v>95</v>
      </c>
      <c r="M102" s="1165"/>
      <c r="N102" s="668">
        <v>0.1</v>
      </c>
      <c r="O102" s="1165"/>
      <c r="P102" s="668">
        <v>15.793855791841201</v>
      </c>
      <c r="Q102" s="668">
        <f>(32/100)*J102</f>
        <v>20.8</v>
      </c>
      <c r="R102" s="432">
        <v>1.5</v>
      </c>
      <c r="S102" s="432">
        <v>1.6</v>
      </c>
      <c r="T102" s="670">
        <v>0</v>
      </c>
      <c r="U102" s="668">
        <f t="shared" ref="U102:U103" si="60">IF(R102=0,0,T102/R102)</f>
        <v>0</v>
      </c>
      <c r="V102" s="668">
        <v>0.5</v>
      </c>
      <c r="W102" s="1192">
        <v>0.3</v>
      </c>
      <c r="X102" s="1172"/>
      <c r="Y102" s="432"/>
      <c r="Z102" s="432"/>
      <c r="AA102" s="432"/>
      <c r="AB102" s="432"/>
      <c r="AC102" s="432"/>
      <c r="AD102" s="1165"/>
      <c r="AE102" s="432"/>
      <c r="AF102" s="1173"/>
    </row>
    <row r="103" spans="1:37" ht="18.75" customHeight="1" x14ac:dyDescent="0.2">
      <c r="A103" s="1191">
        <v>83</v>
      </c>
      <c r="B103" s="1165" t="s">
        <v>184</v>
      </c>
      <c r="C103" s="1163" t="s">
        <v>314</v>
      </c>
      <c r="D103" s="1165">
        <v>422.78</v>
      </c>
      <c r="E103" s="461" t="s">
        <v>573</v>
      </c>
      <c r="F103" s="1165">
        <v>177.8</v>
      </c>
      <c r="G103" s="1165" t="s">
        <v>28</v>
      </c>
      <c r="H103" s="550" t="s">
        <v>466</v>
      </c>
      <c r="I103" s="1161">
        <v>209.37</v>
      </c>
      <c r="J103" s="1074">
        <v>85</v>
      </c>
      <c r="K103" s="1165"/>
      <c r="L103" s="1165">
        <v>104</v>
      </c>
      <c r="M103" s="1165"/>
      <c r="N103" s="668">
        <v>0.2</v>
      </c>
      <c r="O103" s="1165"/>
      <c r="P103" s="668">
        <v>15.793855791841201</v>
      </c>
      <c r="Q103" s="668">
        <f>(32/100)*J103</f>
        <v>27.2</v>
      </c>
      <c r="R103" s="432">
        <v>4.5</v>
      </c>
      <c r="S103" s="432">
        <v>4.8</v>
      </c>
      <c r="T103" s="670">
        <v>0</v>
      </c>
      <c r="U103" s="668">
        <f t="shared" si="60"/>
        <v>0</v>
      </c>
      <c r="V103" s="668">
        <v>0.3</v>
      </c>
      <c r="W103" s="1192">
        <v>0.3</v>
      </c>
      <c r="X103" s="1172"/>
      <c r="Y103" s="432"/>
      <c r="Z103" s="432"/>
      <c r="AA103" s="432"/>
      <c r="AB103" s="432"/>
      <c r="AC103" s="432"/>
      <c r="AD103" s="1165"/>
      <c r="AE103" s="432"/>
      <c r="AF103" s="1173"/>
    </row>
    <row r="104" spans="1:37" ht="18.75" customHeight="1" x14ac:dyDescent="0.25">
      <c r="A104" s="1179"/>
      <c r="B104" s="847"/>
      <c r="C104" s="852"/>
      <c r="D104" s="852"/>
      <c r="E104" s="848"/>
      <c r="F104" s="1161"/>
      <c r="G104" s="1158"/>
      <c r="H104" s="1160"/>
      <c r="I104" s="1160"/>
      <c r="J104" s="1161"/>
      <c r="K104" s="1161"/>
      <c r="L104" s="1161"/>
      <c r="M104" s="1161"/>
      <c r="N104" s="1161"/>
      <c r="O104" s="1161"/>
      <c r="P104" s="448"/>
      <c r="Q104" s="448"/>
      <c r="R104" s="466">
        <f>SUM(R96:R101)</f>
        <v>35.908999999999999</v>
      </c>
      <c r="S104" s="466">
        <f>SUM(S96:S101)</f>
        <v>41.718000000000004</v>
      </c>
      <c r="T104" s="466">
        <f>SUM(T96:T99)</f>
        <v>0</v>
      </c>
      <c r="U104" s="466">
        <f>SUM(U96:U99)</f>
        <v>0</v>
      </c>
      <c r="V104" s="1158"/>
      <c r="W104" s="1202"/>
      <c r="X104" s="1183"/>
      <c r="Y104" s="466">
        <f>SUM(Y96:Y101)</f>
        <v>35.406273999999996</v>
      </c>
      <c r="Z104" s="466">
        <f>SUM(Z96:Z101)</f>
        <v>41.092230000000001</v>
      </c>
      <c r="AA104" s="466">
        <f>SUM(AA96:AA99)</f>
        <v>0</v>
      </c>
      <c r="AB104" s="466">
        <f>AA104/Y104</f>
        <v>0</v>
      </c>
      <c r="AC104" s="1158"/>
      <c r="AD104" s="1161"/>
      <c r="AE104" s="466">
        <f>SUM(AE96:AE101)</f>
        <v>1062.18822</v>
      </c>
      <c r="AF104" s="1184"/>
    </row>
    <row r="105" spans="1:37" ht="18.75" customHeight="1" x14ac:dyDescent="0.25">
      <c r="A105" s="1179"/>
      <c r="B105" s="847"/>
      <c r="C105" s="852"/>
      <c r="D105" s="852"/>
      <c r="E105" s="848"/>
      <c r="F105" s="1164"/>
      <c r="G105" s="1165"/>
      <c r="H105" s="1165"/>
      <c r="I105" s="432"/>
      <c r="J105" s="1165"/>
      <c r="K105" s="1164"/>
      <c r="L105" s="1165"/>
      <c r="M105" s="1164"/>
      <c r="N105" s="668"/>
      <c r="O105" s="1164"/>
      <c r="P105" s="682"/>
      <c r="Q105" s="682"/>
      <c r="R105" s="466"/>
      <c r="S105" s="466"/>
      <c r="T105" s="466"/>
      <c r="U105" s="466"/>
      <c r="V105" s="466"/>
      <c r="W105" s="1198"/>
      <c r="X105" s="1178"/>
      <c r="Y105" s="466"/>
      <c r="Z105" s="678"/>
      <c r="AA105" s="466"/>
      <c r="AB105" s="466"/>
      <c r="AC105" s="466"/>
      <c r="AD105" s="466"/>
      <c r="AE105" s="466"/>
      <c r="AF105" s="1182"/>
    </row>
    <row r="106" spans="1:37" ht="18.75" customHeight="1" x14ac:dyDescent="0.25">
      <c r="A106" s="1179"/>
      <c r="B106" s="849"/>
      <c r="C106" s="850"/>
      <c r="D106" s="850"/>
      <c r="E106" s="851" t="s">
        <v>472</v>
      </c>
      <c r="F106" s="850"/>
      <c r="G106" s="1158"/>
      <c r="H106" s="1160"/>
      <c r="I106" s="1160"/>
      <c r="J106" s="1161"/>
      <c r="K106" s="1161"/>
      <c r="L106" s="1161"/>
      <c r="M106" s="1161"/>
      <c r="N106" s="1161"/>
      <c r="O106" s="1161"/>
      <c r="P106" s="448"/>
      <c r="Q106" s="448"/>
      <c r="R106" s="1161"/>
      <c r="S106" s="1161"/>
      <c r="T106" s="1161"/>
      <c r="U106" s="1158"/>
      <c r="V106" s="1158"/>
      <c r="W106" s="1202"/>
      <c r="X106" s="1183"/>
      <c r="Y106" s="1161"/>
      <c r="Z106" s="1161"/>
      <c r="AA106" s="1161"/>
      <c r="AB106" s="1158"/>
      <c r="AC106" s="1158"/>
      <c r="AD106" s="1161"/>
      <c r="AE106" s="1161"/>
      <c r="AF106" s="1181"/>
    </row>
    <row r="107" spans="1:37" ht="18.75" customHeight="1" x14ac:dyDescent="0.2">
      <c r="A107" s="1191">
        <v>84</v>
      </c>
      <c r="B107" s="1162" t="s">
        <v>107</v>
      </c>
      <c r="C107" s="1161" t="s">
        <v>109</v>
      </c>
      <c r="D107" s="1161"/>
      <c r="E107" s="1161"/>
      <c r="F107" s="1161"/>
      <c r="G107" s="1158"/>
      <c r="H107" s="1160"/>
      <c r="I107" s="1160"/>
      <c r="J107" s="1161"/>
      <c r="K107" s="1161"/>
      <c r="L107" s="1161"/>
      <c r="M107" s="1161"/>
      <c r="N107" s="1161"/>
      <c r="O107" s="1161"/>
      <c r="P107" s="448"/>
      <c r="Q107" s="448"/>
      <c r="R107" s="1161"/>
      <c r="S107" s="1161"/>
      <c r="T107" s="1161"/>
      <c r="U107" s="1158"/>
      <c r="V107" s="1158"/>
      <c r="W107" s="1202"/>
      <c r="X107" s="1183"/>
      <c r="Y107" s="1160"/>
      <c r="Z107" s="1160"/>
      <c r="AA107" s="1161"/>
      <c r="AB107" s="1158"/>
      <c r="AC107" s="1158"/>
      <c r="AD107" s="493"/>
      <c r="AE107" s="1161"/>
      <c r="AF107" s="1181"/>
    </row>
    <row r="108" spans="1:37" ht="18.75" customHeight="1" x14ac:dyDescent="0.2">
      <c r="A108" s="1191">
        <v>85</v>
      </c>
      <c r="B108" s="1162" t="s">
        <v>108</v>
      </c>
      <c r="C108" s="1161" t="s">
        <v>109</v>
      </c>
      <c r="D108" s="1161"/>
      <c r="E108" s="1161"/>
      <c r="F108" s="1161"/>
      <c r="G108" s="1158"/>
      <c r="H108" s="1160"/>
      <c r="I108" s="1160"/>
      <c r="J108" s="1161"/>
      <c r="K108" s="1161"/>
      <c r="L108" s="1161"/>
      <c r="M108" s="1161"/>
      <c r="N108" s="1161"/>
      <c r="O108" s="1161"/>
      <c r="P108" s="448"/>
      <c r="Q108" s="448"/>
      <c r="R108" s="437"/>
      <c r="S108" s="1161"/>
      <c r="T108" s="1161"/>
      <c r="U108" s="1158"/>
      <c r="V108" s="1158"/>
      <c r="W108" s="1202"/>
      <c r="X108" s="1183"/>
      <c r="Y108" s="1160"/>
      <c r="Z108" s="1160"/>
      <c r="AA108" s="1161"/>
      <c r="AB108" s="1158"/>
      <c r="AC108" s="1158"/>
      <c r="AD108" s="493"/>
      <c r="AE108" s="1161"/>
      <c r="AF108" s="1181"/>
    </row>
    <row r="109" spans="1:37" ht="18.75" customHeight="1" x14ac:dyDescent="0.2">
      <c r="A109" s="1191">
        <v>86</v>
      </c>
      <c r="B109" s="1162" t="s">
        <v>195</v>
      </c>
      <c r="C109" s="1163" t="s">
        <v>484</v>
      </c>
      <c r="D109" s="1161"/>
      <c r="E109" s="1161"/>
      <c r="F109" s="1161"/>
      <c r="G109" s="1158"/>
      <c r="H109" s="1160"/>
      <c r="I109" s="1160"/>
      <c r="J109" s="1161"/>
      <c r="K109" s="1161"/>
      <c r="L109" s="1161"/>
      <c r="M109" s="1161"/>
      <c r="N109" s="1161"/>
      <c r="O109" s="1161"/>
      <c r="P109" s="448"/>
      <c r="Q109" s="448"/>
      <c r="R109" s="1161"/>
      <c r="S109" s="1161"/>
      <c r="T109" s="1161"/>
      <c r="U109" s="1158"/>
      <c r="V109" s="1158"/>
      <c r="W109" s="1202"/>
      <c r="X109" s="1183"/>
      <c r="Y109" s="1160"/>
      <c r="Z109" s="1160"/>
      <c r="AA109" s="1161"/>
      <c r="AB109" s="1158"/>
      <c r="AC109" s="1158"/>
      <c r="AD109" s="493"/>
      <c r="AE109" s="1161"/>
      <c r="AF109" s="1174" t="s">
        <v>662</v>
      </c>
    </row>
    <row r="110" spans="1:37" ht="18.75" customHeight="1" x14ac:dyDescent="0.2">
      <c r="A110" s="1191">
        <v>87</v>
      </c>
      <c r="B110" s="1162" t="s">
        <v>192</v>
      </c>
      <c r="C110" s="1163" t="s">
        <v>484</v>
      </c>
      <c r="D110" s="1161"/>
      <c r="E110" s="1161"/>
      <c r="F110" s="1161"/>
      <c r="G110" s="1158"/>
      <c r="H110" s="1160"/>
      <c r="I110" s="1160"/>
      <c r="J110" s="1161"/>
      <c r="K110" s="1161"/>
      <c r="L110" s="1161"/>
      <c r="M110" s="1161"/>
      <c r="N110" s="1161"/>
      <c r="O110" s="1161"/>
      <c r="P110" s="448"/>
      <c r="Q110" s="448"/>
      <c r="R110" s="1161"/>
      <c r="S110" s="1161"/>
      <c r="T110" s="1161"/>
      <c r="U110" s="1158"/>
      <c r="V110" s="1158"/>
      <c r="W110" s="1202"/>
      <c r="X110" s="1183"/>
      <c r="Y110" s="1160"/>
      <c r="Z110" s="1160"/>
      <c r="AA110" s="1161"/>
      <c r="AB110" s="1158"/>
      <c r="AC110" s="1158"/>
      <c r="AD110" s="493"/>
      <c r="AE110" s="1161"/>
      <c r="AF110" s="1174" t="s">
        <v>662</v>
      </c>
    </row>
    <row r="111" spans="1:37" ht="18.75" customHeight="1" x14ac:dyDescent="0.2">
      <c r="A111" s="1191"/>
      <c r="B111" s="851"/>
      <c r="C111" s="850"/>
      <c r="D111" s="850"/>
      <c r="E111" s="1160" t="s">
        <v>278</v>
      </c>
      <c r="F111" s="850"/>
      <c r="G111" s="1158"/>
      <c r="H111" s="1160"/>
      <c r="I111" s="1160"/>
      <c r="J111" s="1161"/>
      <c r="K111" s="1161"/>
      <c r="L111" s="1161"/>
      <c r="M111" s="1161"/>
      <c r="N111" s="1161"/>
      <c r="O111" s="1161"/>
      <c r="P111" s="448"/>
      <c r="Q111" s="448"/>
      <c r="R111" s="1161"/>
      <c r="S111" s="1161"/>
      <c r="T111" s="1161"/>
      <c r="U111" s="1158"/>
      <c r="V111" s="1158"/>
      <c r="W111" s="1202"/>
      <c r="X111" s="1183"/>
      <c r="Y111" s="437"/>
      <c r="Z111" s="1161"/>
      <c r="AA111" s="1161"/>
      <c r="AB111" s="1158"/>
      <c r="AC111" s="1158"/>
      <c r="AD111" s="1161"/>
      <c r="AE111" s="1161"/>
      <c r="AF111" s="1181"/>
    </row>
    <row r="112" spans="1:37" ht="18.75" customHeight="1" x14ac:dyDescent="0.3">
      <c r="A112" s="1191">
        <v>88</v>
      </c>
      <c r="B112" s="461" t="s">
        <v>181</v>
      </c>
      <c r="C112" s="684" t="s">
        <v>344</v>
      </c>
      <c r="D112" s="1165">
        <v>374.5</v>
      </c>
      <c r="E112" s="1165" t="s">
        <v>182</v>
      </c>
      <c r="F112" s="1165">
        <v>177.8</v>
      </c>
      <c r="G112" s="1165"/>
      <c r="H112" s="1165"/>
      <c r="I112" s="1161"/>
      <c r="J112" s="1165"/>
      <c r="K112" s="1165"/>
      <c r="L112" s="1165"/>
      <c r="M112" s="1165"/>
      <c r="N112" s="668"/>
      <c r="O112" s="1165"/>
      <c r="P112" s="432"/>
      <c r="Q112" s="668"/>
      <c r="R112" s="432"/>
      <c r="S112" s="432"/>
      <c r="T112" s="432"/>
      <c r="U112" s="432"/>
      <c r="V112" s="432"/>
      <c r="W112" s="1199"/>
      <c r="X112" s="1185"/>
      <c r="Y112" s="432"/>
      <c r="Z112" s="432"/>
      <c r="AA112" s="432"/>
      <c r="AB112" s="432"/>
      <c r="AC112" s="432"/>
      <c r="AD112" s="1165"/>
      <c r="AE112" s="432"/>
      <c r="AF112" s="1174" t="s">
        <v>662</v>
      </c>
    </row>
    <row r="113" spans="1:32" ht="18.75" customHeight="1" x14ac:dyDescent="0.2">
      <c r="A113" s="1191">
        <v>89</v>
      </c>
      <c r="B113" s="1162" t="s">
        <v>160</v>
      </c>
      <c r="C113" s="1165" t="s">
        <v>46</v>
      </c>
      <c r="D113" s="1161">
        <v>625.1</v>
      </c>
      <c r="E113" s="1161" t="s">
        <v>578</v>
      </c>
      <c r="F113" s="1165">
        <v>177.8</v>
      </c>
      <c r="G113" s="1165"/>
      <c r="H113" s="1165"/>
      <c r="I113" s="432"/>
      <c r="J113" s="1161"/>
      <c r="K113" s="1161"/>
      <c r="L113" s="1161"/>
      <c r="M113" s="1161"/>
      <c r="N113" s="1161"/>
      <c r="O113" s="1161"/>
      <c r="P113" s="448"/>
      <c r="Q113" s="448"/>
      <c r="R113" s="1161"/>
      <c r="S113" s="1161"/>
      <c r="T113" s="1161"/>
      <c r="U113" s="1158"/>
      <c r="V113" s="1158"/>
      <c r="W113" s="1202"/>
      <c r="X113" s="1180"/>
      <c r="Y113" s="492"/>
      <c r="Z113" s="1161"/>
      <c r="AA113" s="1161"/>
      <c r="AB113" s="1158"/>
      <c r="AC113" s="1161"/>
      <c r="AD113" s="493"/>
      <c r="AE113" s="437"/>
      <c r="AF113" s="1174" t="s">
        <v>662</v>
      </c>
    </row>
    <row r="114" spans="1:32" ht="18.75" customHeight="1" x14ac:dyDescent="0.2">
      <c r="A114" s="1191"/>
      <c r="B114" s="677"/>
      <c r="C114" s="677"/>
      <c r="D114" s="677"/>
      <c r="E114" s="677"/>
      <c r="F114" s="677"/>
      <c r="G114" s="1165"/>
      <c r="H114" s="1165"/>
      <c r="I114" s="1161"/>
      <c r="J114" s="1161"/>
      <c r="K114" s="1161"/>
      <c r="L114" s="1161"/>
      <c r="M114" s="1161"/>
      <c r="N114" s="1161"/>
      <c r="O114" s="1161"/>
      <c r="P114" s="448"/>
      <c r="Q114" s="771"/>
      <c r="R114" s="1161"/>
      <c r="S114" s="1161"/>
      <c r="T114" s="1161"/>
      <c r="U114" s="1158"/>
      <c r="V114" s="1158"/>
      <c r="W114" s="1202"/>
      <c r="X114" s="1180"/>
      <c r="Y114" s="492"/>
      <c r="Z114" s="1161"/>
      <c r="AA114" s="1161"/>
      <c r="AB114" s="1158"/>
      <c r="AC114" s="1161"/>
      <c r="AD114" s="493"/>
      <c r="AE114" s="437"/>
      <c r="AF114" s="1174"/>
    </row>
    <row r="115" spans="1:32" ht="18.75" customHeight="1" x14ac:dyDescent="0.2">
      <c r="A115" s="1191"/>
      <c r="B115" s="461"/>
      <c r="C115" s="1165"/>
      <c r="D115" s="1165"/>
      <c r="E115" s="1165"/>
      <c r="F115" s="1165"/>
      <c r="G115" s="1165"/>
      <c r="H115" s="1165"/>
      <c r="I115" s="1161"/>
      <c r="J115" s="1165"/>
      <c r="K115" s="1165"/>
      <c r="L115" s="1165"/>
      <c r="M115" s="1165"/>
      <c r="N115" s="668"/>
      <c r="O115" s="1165"/>
      <c r="P115" s="432"/>
      <c r="Q115" s="772"/>
      <c r="R115" s="432"/>
      <c r="S115" s="432"/>
      <c r="T115" s="432"/>
      <c r="U115" s="432"/>
      <c r="V115" s="432"/>
      <c r="W115" s="1199"/>
      <c r="X115" s="1185"/>
      <c r="Y115" s="432"/>
      <c r="Z115" s="432"/>
      <c r="AA115" s="432"/>
      <c r="AB115" s="432"/>
      <c r="AC115" s="432"/>
      <c r="AD115" s="1165"/>
      <c r="AE115" s="432"/>
      <c r="AF115" s="1174"/>
    </row>
    <row r="116" spans="1:32" ht="18.75" x14ac:dyDescent="0.25">
      <c r="A116" s="1201"/>
      <c r="B116" s="1165"/>
      <c r="C116" s="1165"/>
      <c r="D116" s="1165"/>
      <c r="E116" s="461"/>
      <c r="F116" s="1165"/>
      <c r="G116" s="1165"/>
      <c r="H116" s="1165"/>
      <c r="I116" s="1161"/>
      <c r="J116" s="1165"/>
      <c r="K116" s="1165"/>
      <c r="L116" s="1165"/>
      <c r="M116" s="1165"/>
      <c r="N116" s="668"/>
      <c r="O116" s="1165"/>
      <c r="P116" s="432"/>
      <c r="Q116" s="772"/>
      <c r="R116" s="432"/>
      <c r="S116" s="432"/>
      <c r="T116" s="432"/>
      <c r="U116" s="432"/>
      <c r="V116" s="432"/>
      <c r="W116" s="1199"/>
      <c r="X116" s="1185"/>
      <c r="Y116" s="432"/>
      <c r="Z116" s="432"/>
      <c r="AA116" s="432"/>
      <c r="AB116" s="432"/>
      <c r="AC116" s="432"/>
      <c r="AD116" s="1165"/>
      <c r="AE116" s="432"/>
      <c r="AF116" s="1174"/>
    </row>
    <row r="117" spans="1:32" ht="19.5" thickBot="1" x14ac:dyDescent="0.3">
      <c r="A117" s="1203"/>
      <c r="B117" s="1957"/>
      <c r="C117" s="1957"/>
      <c r="D117" s="1957"/>
      <c r="E117" s="1958"/>
      <c r="F117" s="1204"/>
      <c r="G117" s="1205"/>
      <c r="H117" s="1205"/>
      <c r="I117" s="1206"/>
      <c r="J117" s="1205"/>
      <c r="K117" s="1204"/>
      <c r="L117" s="1205"/>
      <c r="M117" s="1204"/>
      <c r="N117" s="1207"/>
      <c r="O117" s="1204"/>
      <c r="P117" s="1208"/>
      <c r="Q117" s="1209"/>
      <c r="R117" s="1187">
        <f>R86+R93+R104</f>
        <v>418.40699999999998</v>
      </c>
      <c r="S117" s="1187">
        <f>S86+S93+S104</f>
        <v>1014.7860000000002</v>
      </c>
      <c r="T117" s="1188">
        <f>T86+T93+T104</f>
        <v>7038.8280000000004</v>
      </c>
      <c r="U117" s="1187">
        <f>T117/R117</f>
        <v>16.822921222637291</v>
      </c>
      <c r="V117" s="1187"/>
      <c r="W117" s="1210"/>
      <c r="X117" s="1186"/>
      <c r="Y117" s="1187">
        <f>Y86+Y93+Y104</f>
        <v>415.38463999999999</v>
      </c>
      <c r="Z117" s="1187">
        <f>Z86+Z104+Z93</f>
        <v>999.56421</v>
      </c>
      <c r="AA117" s="1188">
        <f>AA86+AA104+AA93</f>
        <v>20015.433444999995</v>
      </c>
      <c r="AB117" s="1187">
        <f>AB86+AB104+AB93</f>
        <v>18.246421902872225</v>
      </c>
      <c r="AC117" s="1187"/>
      <c r="AD117" s="1187"/>
      <c r="AE117" s="1189">
        <f>AE86+AE93+AE104</f>
        <v>12010.514015999997</v>
      </c>
      <c r="AF117" s="119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497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460"/>
      <c r="D119" s="412"/>
      <c r="E119" s="687">
        <v>0.95</v>
      </c>
      <c r="F119" s="412"/>
      <c r="G119" s="412" t="s">
        <v>102</v>
      </c>
      <c r="H119" s="460"/>
      <c r="I119" s="688"/>
      <c r="J119" s="412"/>
      <c r="K119" s="1941">
        <f>AE117*E119</f>
        <v>11409.988315199997</v>
      </c>
      <c r="L119" s="1897"/>
      <c r="M119" s="1897"/>
      <c r="N119" s="460" t="s">
        <v>27</v>
      </c>
      <c r="O119" s="497"/>
      <c r="P119" s="500"/>
      <c r="Q119" s="775"/>
      <c r="R119" s="497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460"/>
      <c r="D120" s="412"/>
      <c r="E120" s="687"/>
      <c r="F120" s="412"/>
      <c r="G120" s="460"/>
      <c r="H120" s="460"/>
      <c r="I120" s="688"/>
      <c r="J120" s="412"/>
      <c r="K120" s="460"/>
      <c r="L120" s="689"/>
      <c r="M120" s="412"/>
      <c r="N120" s="412"/>
      <c r="O120" s="412"/>
      <c r="P120" s="690"/>
      <c r="Q120" s="776"/>
      <c r="R120" s="412"/>
      <c r="S120" s="412"/>
      <c r="T120" s="412"/>
      <c r="U120" s="412"/>
      <c r="V120" s="412"/>
      <c r="W120" s="412"/>
      <c r="X120" s="1156"/>
      <c r="Y120" s="1156"/>
      <c r="Z120" s="1156"/>
      <c r="AA120" s="1156"/>
      <c r="AB120" s="1156"/>
      <c r="AC120" s="1156"/>
      <c r="AD120" s="1156"/>
      <c r="AE120" s="1156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268</v>
      </c>
      <c r="G121" s="1911"/>
      <c r="H121" s="1911"/>
      <c r="I121" s="412"/>
      <c r="J121" s="412"/>
      <c r="K121" s="460"/>
      <c r="L121" s="460"/>
      <c r="M121" s="412"/>
      <c r="N121" s="412"/>
      <c r="O121" s="412"/>
      <c r="P121" s="412"/>
      <c r="Q121" s="776"/>
      <c r="R121" s="412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156" t="s">
        <v>561</v>
      </c>
      <c r="AC121" s="1156"/>
      <c r="AD121" s="1156"/>
      <c r="AE121" s="1156"/>
      <c r="AF121" s="1156"/>
    </row>
    <row r="122" spans="1:32" x14ac:dyDescent="0.2">
      <c r="R122" s="1124"/>
    </row>
    <row r="125" spans="1:32" x14ac:dyDescent="0.2">
      <c r="E125" s="1219"/>
    </row>
  </sheetData>
  <mergeCells count="33">
    <mergeCell ref="AF9:AG9"/>
    <mergeCell ref="U14:U15"/>
    <mergeCell ref="AF14:AF15"/>
    <mergeCell ref="B117:E117"/>
    <mergeCell ref="K119:M119"/>
    <mergeCell ref="AB14:AB15"/>
    <mergeCell ref="AC14:AC15"/>
    <mergeCell ref="B10:E10"/>
    <mergeCell ref="F121:H121"/>
    <mergeCell ref="X121:AA121"/>
    <mergeCell ref="V14:V15"/>
    <mergeCell ref="W14:W15"/>
    <mergeCell ref="X14:X15"/>
    <mergeCell ref="Y14:AA14"/>
    <mergeCell ref="G13:G15"/>
    <mergeCell ref="H13:W13"/>
    <mergeCell ref="X13:AF13"/>
    <mergeCell ref="H14:H15"/>
    <mergeCell ref="F13:F14"/>
    <mergeCell ref="K14:L14"/>
    <mergeCell ref="M14:N14"/>
    <mergeCell ref="O14:P14"/>
    <mergeCell ref="R14:T14"/>
    <mergeCell ref="I1:X1"/>
    <mergeCell ref="J2:W2"/>
    <mergeCell ref="A3:D3"/>
    <mergeCell ref="A8:E8"/>
    <mergeCell ref="A9:E9"/>
    <mergeCell ref="A13:A15"/>
    <mergeCell ref="B13:B15"/>
    <mergeCell ref="C13:C15"/>
    <mergeCell ref="D13:D14"/>
    <mergeCell ref="E13:E14"/>
  </mergeCells>
  <pageMargins left="0.7" right="0.7" top="0.75" bottom="0.75" header="0.3" footer="0.3"/>
  <pageSetup paperSize="9" orientation="portrait" r:id="rId1"/>
  <ignoredErrors>
    <ignoredError sqref="Q50" 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6F-B58A-46F6-991B-A2287D0E6826}">
  <dimension ref="A1:AN125"/>
  <sheetViews>
    <sheetView topLeftCell="A24" zoomScale="80" zoomScaleNormal="80" workbookViewId="0">
      <selection activeCell="A39" sqref="A39:XFD39"/>
    </sheetView>
  </sheetViews>
  <sheetFormatPr defaultColWidth="8.85546875" defaultRowHeight="12.75" x14ac:dyDescent="0.2"/>
  <cols>
    <col min="1" max="1" width="9.28515625" style="666" bestFit="1" customWidth="1"/>
    <col min="2" max="2" width="15.140625" style="666" customWidth="1"/>
    <col min="3" max="3" width="20" style="666" customWidth="1"/>
    <col min="4" max="4" width="8.85546875" style="666" customWidth="1"/>
    <col min="5" max="5" width="101" style="666" customWidth="1"/>
    <col min="6" max="6" width="9.28515625" style="666" bestFit="1" customWidth="1"/>
    <col min="7" max="7" width="8.85546875" style="666"/>
    <col min="8" max="8" width="22" style="666" customWidth="1"/>
    <col min="9" max="9" width="14.7109375" style="666" customWidth="1"/>
    <col min="10" max="11" width="9.28515625" style="666" bestFit="1" customWidth="1"/>
    <col min="12" max="12" width="10.5703125" style="666" customWidth="1"/>
    <col min="13" max="13" width="9.28515625" style="666" bestFit="1" customWidth="1"/>
    <col min="14" max="14" width="9.140625" style="666" bestFit="1" customWidth="1"/>
    <col min="15" max="15" width="8.85546875" style="666"/>
    <col min="16" max="16" width="9.28515625" style="666" bestFit="1" customWidth="1"/>
    <col min="17" max="17" width="11.28515625" style="777" customWidth="1"/>
    <col min="18" max="18" width="11.28515625" style="1447" customWidth="1"/>
    <col min="19" max="19" width="10.7109375" style="666" customWidth="1"/>
    <col min="20" max="20" width="9.85546875" style="666" customWidth="1"/>
    <col min="21" max="21" width="12.85546875" style="666" customWidth="1"/>
    <col min="22" max="22" width="9.7109375" style="666" customWidth="1"/>
    <col min="23" max="23" width="9.28515625" style="666" bestFit="1" customWidth="1"/>
    <col min="24" max="24" width="11.28515625" style="666" customWidth="1"/>
    <col min="25" max="25" width="9.5703125" style="666" customWidth="1"/>
    <col min="26" max="26" width="10.85546875" style="666" customWidth="1"/>
    <col min="27" max="27" width="9.28515625" style="666" customWidth="1"/>
    <col min="28" max="28" width="13" style="666" customWidth="1"/>
    <col min="29" max="29" width="10.140625" style="666" bestFit="1" customWidth="1"/>
    <col min="30" max="30" width="9.28515625" style="666" bestFit="1" customWidth="1"/>
    <col min="31" max="31" width="14.28515625" style="666" customWidth="1"/>
    <col min="32" max="32" width="119.85546875" style="666" customWidth="1"/>
    <col min="33" max="33" width="25.7109375" style="666" customWidth="1"/>
    <col min="34" max="34" width="12.5703125" style="666" bestFit="1" customWidth="1"/>
    <col min="35" max="16384" width="8.85546875" style="666"/>
  </cols>
  <sheetData>
    <row r="1" spans="1:40" ht="18.75" x14ac:dyDescent="0.3">
      <c r="A1" s="656"/>
      <c r="B1" s="656"/>
      <c r="C1" s="656"/>
      <c r="D1" s="656"/>
      <c r="E1" s="656"/>
      <c r="F1" s="656"/>
      <c r="G1" s="656"/>
      <c r="H1" s="656"/>
      <c r="I1" s="1942" t="s">
        <v>65</v>
      </c>
      <c r="J1" s="1943"/>
      <c r="K1" s="1943"/>
      <c r="L1" s="1943"/>
      <c r="M1" s="1943"/>
      <c r="N1" s="1943"/>
      <c r="O1" s="1943"/>
      <c r="P1" s="1943"/>
      <c r="Q1" s="1943"/>
      <c r="R1" s="1943"/>
      <c r="S1" s="1943"/>
      <c r="T1" s="1943"/>
      <c r="U1" s="1943"/>
      <c r="V1" s="1943"/>
      <c r="W1" s="1943"/>
      <c r="X1" s="1943"/>
      <c r="Y1" s="656"/>
      <c r="Z1" s="656"/>
      <c r="AA1" s="656"/>
      <c r="AB1" s="656"/>
      <c r="AC1" s="656"/>
      <c r="AD1" s="656"/>
      <c r="AE1" s="656"/>
      <c r="AF1" s="656"/>
    </row>
    <row r="2" spans="1:40" ht="18.75" x14ac:dyDescent="0.3">
      <c r="A2" s="656"/>
      <c r="B2" s="656"/>
      <c r="C2" s="656"/>
      <c r="D2" s="656"/>
      <c r="E2" s="656"/>
      <c r="F2" s="1238"/>
      <c r="G2" s="1227"/>
      <c r="H2" s="1227"/>
      <c r="I2" s="1238"/>
      <c r="J2" s="1909" t="s">
        <v>701</v>
      </c>
      <c r="K2" s="1937"/>
      <c r="L2" s="1937"/>
      <c r="M2" s="1937"/>
      <c r="N2" s="1937"/>
      <c r="O2" s="1937"/>
      <c r="P2" s="1937"/>
      <c r="Q2" s="1937"/>
      <c r="R2" s="1937"/>
      <c r="S2" s="1937"/>
      <c r="T2" s="1937"/>
      <c r="U2" s="1937"/>
      <c r="V2" s="1937"/>
      <c r="W2" s="1937"/>
      <c r="X2" s="1238"/>
      <c r="Y2" s="1238"/>
      <c r="Z2" s="1238"/>
      <c r="AA2" s="1238"/>
      <c r="AB2" s="1238"/>
      <c r="AC2" s="1238"/>
      <c r="AD2" s="1238"/>
      <c r="AE2" s="1238"/>
      <c r="AF2" s="405"/>
    </row>
    <row r="3" spans="1:40" ht="18.75" x14ac:dyDescent="0.25">
      <c r="A3" s="1910" t="s">
        <v>54</v>
      </c>
      <c r="B3" s="1910"/>
      <c r="C3" s="1910"/>
      <c r="D3" s="1910"/>
      <c r="E3" s="1238"/>
      <c r="F3" s="1238"/>
      <c r="G3" s="1227"/>
      <c r="H3" s="1237"/>
      <c r="I3" s="1237"/>
      <c r="J3" s="1237"/>
      <c r="K3" s="1237"/>
      <c r="L3" s="1237"/>
      <c r="M3" s="1237"/>
      <c r="N3" s="1237"/>
      <c r="O3" s="1237"/>
      <c r="P3" s="1237"/>
      <c r="Q3" s="767"/>
      <c r="R3" s="1433"/>
      <c r="S3" s="1238"/>
      <c r="T3" s="1238"/>
      <c r="U3" s="1238"/>
      <c r="V3" s="1238"/>
      <c r="W3" s="1238"/>
      <c r="X3" s="1238"/>
      <c r="Y3" s="1238"/>
      <c r="Z3" s="1238"/>
      <c r="AA3" s="1238"/>
      <c r="AB3" s="1238"/>
      <c r="AC3" s="1238"/>
      <c r="AD3" s="1238"/>
      <c r="AE3" s="1238"/>
      <c r="AF3" s="1170" t="s">
        <v>574</v>
      </c>
    </row>
    <row r="4" spans="1:40" ht="18.75" x14ac:dyDescent="0.2">
      <c r="A4" s="1228"/>
      <c r="B4" s="1228"/>
      <c r="C4" s="1228"/>
      <c r="D4" s="1228"/>
      <c r="E4" s="1238"/>
      <c r="F4" s="1238"/>
      <c r="G4" s="1227"/>
      <c r="H4" s="1237"/>
      <c r="I4" s="1237"/>
      <c r="J4" s="1237"/>
      <c r="K4" s="1237"/>
      <c r="L4" s="1237"/>
      <c r="M4" s="1237"/>
      <c r="N4" s="1237"/>
      <c r="O4" s="1237"/>
      <c r="P4" s="1237"/>
      <c r="Q4" s="767"/>
      <c r="R4" s="1433"/>
      <c r="S4" s="1238"/>
      <c r="T4" s="1238"/>
      <c r="U4" s="1238"/>
      <c r="V4" s="1238"/>
      <c r="W4" s="1238"/>
      <c r="X4" s="1238"/>
      <c r="Y4" s="1238"/>
      <c r="Z4" s="1238"/>
      <c r="AA4" s="1238"/>
      <c r="AB4" s="1238"/>
      <c r="AC4" s="1238"/>
      <c r="AD4" s="1238"/>
      <c r="AE4" s="1238"/>
      <c r="AF4" s="408"/>
    </row>
    <row r="5" spans="1:40" ht="18.75" x14ac:dyDescent="0.2">
      <c r="A5" s="1243" t="s">
        <v>704</v>
      </c>
      <c r="B5" s="1229"/>
      <c r="C5" s="1229"/>
      <c r="D5" s="1229"/>
      <c r="E5" s="1229"/>
      <c r="F5" s="1238"/>
      <c r="G5" s="1227"/>
      <c r="H5" s="1227"/>
      <c r="I5" s="1237"/>
      <c r="J5" s="1237"/>
      <c r="K5" s="1237"/>
      <c r="L5" s="1237"/>
      <c r="M5" s="1237"/>
      <c r="N5" s="1237"/>
      <c r="O5" s="1237"/>
      <c r="P5" s="1237"/>
      <c r="Q5" s="767"/>
      <c r="R5" s="1434"/>
      <c r="S5" s="1239"/>
      <c r="T5" s="1239"/>
      <c r="U5" s="1239"/>
      <c r="V5" s="1239"/>
      <c r="W5" s="1239"/>
      <c r="X5" s="1238"/>
      <c r="Y5" s="1238"/>
      <c r="Z5" s="1238"/>
      <c r="AA5" s="1238"/>
      <c r="AB5" s="1238"/>
      <c r="AC5" s="1238"/>
      <c r="AD5" s="1238"/>
      <c r="AE5" s="1238"/>
      <c r="AF5" s="408" t="s">
        <v>706</v>
      </c>
    </row>
    <row r="6" spans="1:40" ht="27" customHeight="1" x14ac:dyDescent="0.25">
      <c r="A6" s="412" t="s">
        <v>708</v>
      </c>
      <c r="B6" s="412"/>
      <c r="C6" s="412"/>
      <c r="D6" s="412"/>
      <c r="E6" s="1238"/>
      <c r="F6" s="1238"/>
      <c r="G6" s="1227"/>
      <c r="H6" s="1227"/>
      <c r="I6" s="1238"/>
      <c r="J6" s="1238"/>
      <c r="K6" s="1227"/>
      <c r="L6" s="1227"/>
      <c r="M6" s="1238"/>
      <c r="N6" s="1238"/>
      <c r="O6" s="1238"/>
      <c r="P6" s="413"/>
      <c r="Q6" s="768"/>
      <c r="R6" s="1433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22" t="s">
        <v>705</v>
      </c>
      <c r="AF6" s="1221"/>
    </row>
    <row r="7" spans="1:40" ht="27" customHeight="1" x14ac:dyDescent="0.2">
      <c r="A7" s="1959" t="s">
        <v>700</v>
      </c>
      <c r="B7" s="1959"/>
      <c r="C7" s="1959"/>
      <c r="D7" s="1959"/>
      <c r="E7" s="1238"/>
      <c r="F7" s="1238"/>
      <c r="G7" s="1227"/>
      <c r="H7" s="1227"/>
      <c r="I7" s="1238"/>
      <c r="J7" s="1238"/>
      <c r="K7" s="1227"/>
      <c r="L7" s="1227"/>
      <c r="M7" s="1238"/>
      <c r="N7" s="1238"/>
      <c r="O7" s="1238"/>
      <c r="P7" s="413"/>
      <c r="Q7" s="768"/>
      <c r="R7" s="1433"/>
      <c r="S7" s="1238"/>
      <c r="T7" s="1238"/>
      <c r="U7" s="1238"/>
      <c r="V7" s="1238"/>
      <c r="W7" s="1238"/>
      <c r="X7" s="1238"/>
      <c r="Y7" s="1238"/>
      <c r="Z7" s="1238"/>
      <c r="AA7" s="1238"/>
      <c r="AB7" s="1238"/>
      <c r="AC7" s="1238"/>
      <c r="AD7" s="1238"/>
      <c r="AE7" s="1238"/>
      <c r="AF7" s="415" t="s">
        <v>699</v>
      </c>
    </row>
    <row r="8" spans="1:40" ht="18.75" x14ac:dyDescent="0.2">
      <c r="A8" s="1238"/>
      <c r="B8" s="1229"/>
      <c r="C8" s="1229"/>
      <c r="D8" s="1229"/>
      <c r="E8" s="1238"/>
      <c r="F8" s="1238"/>
      <c r="G8" s="1227"/>
      <c r="H8" s="1227"/>
      <c r="I8" s="405"/>
      <c r="J8" s="1238"/>
      <c r="K8" s="1227"/>
      <c r="L8" s="1227"/>
      <c r="M8" s="1238"/>
      <c r="N8" s="1238"/>
      <c r="O8" s="1238"/>
      <c r="P8" s="413"/>
      <c r="Q8" s="768"/>
      <c r="R8" s="1433"/>
      <c r="S8" s="1238"/>
      <c r="T8" s="1238"/>
      <c r="U8" s="1238"/>
      <c r="V8" s="1238"/>
      <c r="W8" s="411"/>
      <c r="X8" s="1238"/>
      <c r="Y8" s="412"/>
      <c r="Z8" s="412"/>
      <c r="AA8" s="412"/>
      <c r="AB8" s="412"/>
      <c r="AC8" s="412"/>
      <c r="AD8" s="412"/>
      <c r="AE8" s="412"/>
      <c r="AF8" s="417"/>
    </row>
    <row r="9" spans="1:40" ht="18.75" x14ac:dyDescent="0.2">
      <c r="A9" s="1960" t="s">
        <v>703</v>
      </c>
      <c r="B9" s="1960"/>
      <c r="C9" s="1960"/>
      <c r="D9" s="1960"/>
      <c r="E9" s="1960"/>
      <c r="F9" s="1238"/>
      <c r="G9" s="1227"/>
      <c r="H9" s="1227"/>
      <c r="I9" s="405"/>
      <c r="J9" s="1238"/>
      <c r="K9" s="1227"/>
      <c r="L9" s="1227"/>
      <c r="M9" s="1238"/>
      <c r="N9" s="1238"/>
      <c r="O9" s="1238"/>
      <c r="P9" s="413"/>
      <c r="Q9" s="768"/>
      <c r="R9" s="1433"/>
      <c r="S9" s="1238"/>
      <c r="T9" s="1238"/>
      <c r="U9" s="1238"/>
      <c r="V9" s="1238"/>
      <c r="W9" s="411"/>
      <c r="X9" s="1238"/>
      <c r="Y9" s="412"/>
      <c r="Z9" s="412"/>
      <c r="AA9" s="412"/>
      <c r="AB9" s="412"/>
      <c r="AC9" s="1238"/>
      <c r="AD9" s="1238"/>
      <c r="AE9" s="1238"/>
      <c r="AF9" s="408" t="s">
        <v>702</v>
      </c>
    </row>
    <row r="10" spans="1:40" ht="32.25" customHeight="1" x14ac:dyDescent="0.25">
      <c r="A10" s="1911" t="s">
        <v>707</v>
      </c>
      <c r="B10" s="1911"/>
      <c r="C10" s="1911"/>
      <c r="D10" s="1911"/>
      <c r="E10" s="1911"/>
      <c r="F10" s="1238"/>
      <c r="G10" s="1227"/>
      <c r="H10" s="1227"/>
      <c r="I10" s="405"/>
      <c r="J10" s="1238"/>
      <c r="K10" s="1227"/>
      <c r="L10" s="1227"/>
      <c r="M10" s="1238"/>
      <c r="N10" s="1238"/>
      <c r="O10" s="1238"/>
      <c r="P10" s="413"/>
      <c r="Q10" s="768"/>
      <c r="R10" s="1433"/>
      <c r="S10" s="1238"/>
      <c r="T10" s="1238"/>
      <c r="U10" s="1238"/>
      <c r="V10" s="1238"/>
      <c r="W10" s="411"/>
      <c r="X10" s="1238"/>
      <c r="Y10" s="412"/>
      <c r="Z10" s="412"/>
      <c r="AA10" s="412"/>
      <c r="AB10" s="1223"/>
      <c r="AC10" s="1223"/>
      <c r="AD10" s="1955" t="s">
        <v>709</v>
      </c>
      <c r="AE10" s="1955"/>
      <c r="AF10" s="1955"/>
      <c r="AG10" s="1220"/>
      <c r="AK10" s="1223"/>
    </row>
    <row r="11" spans="1:40" ht="26.25" customHeight="1" x14ac:dyDescent="0.2">
      <c r="A11" s="1911" t="s">
        <v>700</v>
      </c>
      <c r="B11" s="1911"/>
      <c r="C11" s="1911"/>
      <c r="D11" s="1911"/>
      <c r="E11" s="1911"/>
      <c r="F11" s="1238"/>
      <c r="G11" s="1227"/>
      <c r="H11" s="1227"/>
      <c r="I11" s="1238"/>
      <c r="J11" s="1238"/>
      <c r="K11" s="1227"/>
      <c r="L11" s="1227"/>
      <c r="M11" s="1227"/>
      <c r="N11" s="1227"/>
      <c r="O11" s="1227"/>
      <c r="P11" s="1227"/>
      <c r="Q11" s="769"/>
      <c r="R11" s="1435"/>
      <c r="S11" s="1227"/>
      <c r="T11" s="1227"/>
      <c r="U11" s="1227"/>
      <c r="V11" s="1227"/>
      <c r="W11" s="1238"/>
      <c r="X11" s="1238"/>
      <c r="Y11" s="412"/>
      <c r="Z11" s="412"/>
      <c r="AA11" s="412"/>
      <c r="AB11" s="412"/>
      <c r="AF11" s="415" t="s">
        <v>699</v>
      </c>
    </row>
    <row r="12" spans="1:40" ht="48" customHeight="1" x14ac:dyDescent="0.25">
      <c r="A12" s="868"/>
      <c r="B12" s="1227"/>
      <c r="C12" s="1227"/>
      <c r="D12" s="1227"/>
      <c r="E12" s="1238"/>
      <c r="F12" s="1238"/>
      <c r="G12" s="1227"/>
      <c r="H12" s="1227"/>
      <c r="I12" s="405"/>
      <c r="J12" s="1238"/>
      <c r="K12" s="1227"/>
      <c r="L12" s="1227"/>
      <c r="M12" s="1238"/>
      <c r="N12" s="1238"/>
      <c r="O12" s="1238"/>
      <c r="P12" s="413"/>
      <c r="Q12" s="768"/>
      <c r="R12" s="1433"/>
      <c r="S12" s="1238"/>
      <c r="T12" s="1238"/>
      <c r="U12" s="1238"/>
      <c r="V12" s="1238"/>
      <c r="W12" s="411"/>
      <c r="X12" s="1238"/>
      <c r="Y12" s="412"/>
      <c r="Z12" s="412"/>
      <c r="AA12" s="412"/>
      <c r="AB12" s="412"/>
    </row>
    <row r="13" spans="1:40" ht="31.5" customHeight="1" thickBot="1" x14ac:dyDescent="0.3">
      <c r="A13" s="868"/>
      <c r="B13" s="1227"/>
      <c r="C13" s="1227"/>
      <c r="D13" s="1227"/>
      <c r="E13" s="1238"/>
      <c r="F13" s="1238"/>
      <c r="G13" s="1227"/>
      <c r="H13" s="1227"/>
      <c r="I13" s="405"/>
      <c r="J13" s="1238"/>
      <c r="K13" s="1227"/>
      <c r="L13" s="1227"/>
      <c r="M13" s="1238"/>
      <c r="N13" s="1238"/>
      <c r="O13" s="1238"/>
      <c r="P13" s="413"/>
      <c r="Q13" s="768"/>
      <c r="R13" s="1433"/>
      <c r="S13" s="1238"/>
      <c r="T13" s="1238"/>
      <c r="U13" s="1238"/>
      <c r="V13" s="1238"/>
      <c r="W13" s="411"/>
      <c r="X13" s="1238"/>
      <c r="Y13" s="412"/>
      <c r="Z13" s="412"/>
      <c r="AA13" s="412"/>
      <c r="AB13" s="412"/>
      <c r="AC13" s="1238"/>
      <c r="AD13" s="1238"/>
      <c r="AE13" s="1238"/>
      <c r="AF13" s="415"/>
    </row>
    <row r="14" spans="1:40" ht="18.75" x14ac:dyDescent="0.2">
      <c r="A14" s="1944" t="s">
        <v>1</v>
      </c>
      <c r="B14" s="1946" t="s">
        <v>664</v>
      </c>
      <c r="C14" s="1947" t="s">
        <v>8</v>
      </c>
      <c r="D14" s="1947" t="s">
        <v>665</v>
      </c>
      <c r="E14" s="1946" t="s">
        <v>666</v>
      </c>
      <c r="F14" s="1947" t="s">
        <v>34</v>
      </c>
      <c r="G14" s="1947" t="s">
        <v>667</v>
      </c>
      <c r="H14" s="1950" t="s">
        <v>669</v>
      </c>
      <c r="I14" s="1950"/>
      <c r="J14" s="1950"/>
      <c r="K14" s="1950"/>
      <c r="L14" s="1950"/>
      <c r="M14" s="1950"/>
      <c r="N14" s="1950"/>
      <c r="O14" s="1950"/>
      <c r="P14" s="1950"/>
      <c r="Q14" s="1950"/>
      <c r="R14" s="1950"/>
      <c r="S14" s="1950"/>
      <c r="T14" s="1950"/>
      <c r="U14" s="1950"/>
      <c r="V14" s="1950"/>
      <c r="W14" s="1951"/>
      <c r="X14" s="1952" t="s">
        <v>22</v>
      </c>
      <c r="Y14" s="1950"/>
      <c r="Z14" s="1950"/>
      <c r="AA14" s="1950"/>
      <c r="AB14" s="1950"/>
      <c r="AC14" s="1950"/>
      <c r="AD14" s="1950"/>
      <c r="AE14" s="1950"/>
      <c r="AF14" s="1951"/>
    </row>
    <row r="15" spans="1:40" ht="196.15" customHeight="1" x14ac:dyDescent="0.2">
      <c r="A15" s="1945"/>
      <c r="B15" s="1891"/>
      <c r="C15" s="1903"/>
      <c r="D15" s="1903"/>
      <c r="E15" s="1891"/>
      <c r="F15" s="1903"/>
      <c r="G15" s="1903"/>
      <c r="H15" s="1953" t="s">
        <v>668</v>
      </c>
      <c r="I15" s="851" t="s">
        <v>670</v>
      </c>
      <c r="J15" s="1226" t="s">
        <v>671</v>
      </c>
      <c r="K15" s="1891" t="s">
        <v>672</v>
      </c>
      <c r="L15" s="1891"/>
      <c r="M15" s="1891" t="s">
        <v>10</v>
      </c>
      <c r="N15" s="1891"/>
      <c r="O15" s="1891" t="s">
        <v>11</v>
      </c>
      <c r="P15" s="1891"/>
      <c r="Q15" s="770" t="s">
        <v>674</v>
      </c>
      <c r="R15" s="1891" t="s">
        <v>15</v>
      </c>
      <c r="S15" s="1912"/>
      <c r="T15" s="1912"/>
      <c r="U15" s="1903" t="s">
        <v>100</v>
      </c>
      <c r="V15" s="1903" t="s">
        <v>16</v>
      </c>
      <c r="W15" s="1948" t="s">
        <v>677</v>
      </c>
      <c r="X15" s="1949" t="s">
        <v>24</v>
      </c>
      <c r="Y15" s="1891" t="s">
        <v>678</v>
      </c>
      <c r="Z15" s="1912"/>
      <c r="AA15" s="1912"/>
      <c r="AB15" s="1903" t="s">
        <v>100</v>
      </c>
      <c r="AC15" s="1903" t="s">
        <v>16</v>
      </c>
      <c r="AD15" s="1226" t="s">
        <v>18</v>
      </c>
      <c r="AE15" s="1226" t="s">
        <v>20</v>
      </c>
      <c r="AF15" s="1956" t="s">
        <v>21</v>
      </c>
      <c r="AG15" s="1219">
        <v>44866</v>
      </c>
      <c r="AM15" s="1961" t="s">
        <v>711</v>
      </c>
      <c r="AN15" s="1961" t="s">
        <v>712</v>
      </c>
    </row>
    <row r="16" spans="1:40" ht="44.25" customHeight="1" x14ac:dyDescent="0.2">
      <c r="A16" s="1945"/>
      <c r="B16" s="1891"/>
      <c r="C16" s="1903"/>
      <c r="D16" s="1231" t="s">
        <v>3</v>
      </c>
      <c r="E16" s="1231" t="s">
        <v>3</v>
      </c>
      <c r="F16" s="1231" t="s">
        <v>4</v>
      </c>
      <c r="G16" s="1903"/>
      <c r="H16" s="1954"/>
      <c r="I16" s="1231" t="s">
        <v>3</v>
      </c>
      <c r="J16" s="1231" t="s">
        <v>7</v>
      </c>
      <c r="K16" s="1231" t="s">
        <v>30</v>
      </c>
      <c r="L16" s="1231" t="s">
        <v>29</v>
      </c>
      <c r="M16" s="1231" t="s">
        <v>31</v>
      </c>
      <c r="N16" s="1231" t="s">
        <v>32</v>
      </c>
      <c r="O16" s="1231" t="s">
        <v>12</v>
      </c>
      <c r="P16" s="448" t="s">
        <v>673</v>
      </c>
      <c r="Q16" s="771" t="s">
        <v>26</v>
      </c>
      <c r="R16" s="1436" t="s">
        <v>675</v>
      </c>
      <c r="S16" s="1231" t="s">
        <v>25</v>
      </c>
      <c r="T16" s="1231" t="s">
        <v>676</v>
      </c>
      <c r="U16" s="1903"/>
      <c r="V16" s="1903"/>
      <c r="W16" s="1948"/>
      <c r="X16" s="1949"/>
      <c r="Y16" s="1231" t="s">
        <v>14</v>
      </c>
      <c r="Z16" s="1231" t="s">
        <v>679</v>
      </c>
      <c r="AA16" s="1231" t="s">
        <v>113</v>
      </c>
      <c r="AB16" s="1903"/>
      <c r="AC16" s="1903"/>
      <c r="AD16" s="1231" t="s">
        <v>19</v>
      </c>
      <c r="AE16" s="1231" t="s">
        <v>680</v>
      </c>
      <c r="AF16" s="1956"/>
      <c r="AG16" s="666" t="s">
        <v>657</v>
      </c>
      <c r="AH16" s="448" t="s">
        <v>636</v>
      </c>
      <c r="AI16" s="448" t="s">
        <v>654</v>
      </c>
      <c r="AJ16" s="448" t="s">
        <v>653</v>
      </c>
      <c r="AK16" s="448" t="s">
        <v>655</v>
      </c>
      <c r="AL16" s="1224" t="s">
        <v>710</v>
      </c>
      <c r="AM16" s="1961"/>
      <c r="AN16" s="1961"/>
    </row>
    <row r="17" spans="1:40" ht="18.75" customHeight="1" x14ac:dyDescent="0.2">
      <c r="A17" s="1191">
        <v>1</v>
      </c>
      <c r="B17" s="461" t="s">
        <v>139</v>
      </c>
      <c r="C17" s="1235" t="s">
        <v>46</v>
      </c>
      <c r="D17" s="1235">
        <v>610.5</v>
      </c>
      <c r="E17" s="1235" t="s">
        <v>571</v>
      </c>
      <c r="F17" s="1235">
        <v>177.8</v>
      </c>
      <c r="G17" s="1235" t="s">
        <v>28</v>
      </c>
      <c r="H17" s="452" t="s">
        <v>556</v>
      </c>
      <c r="I17" s="1231">
        <v>557.80999999999995</v>
      </c>
      <c r="J17" s="1074">
        <v>180</v>
      </c>
      <c r="K17" s="1235"/>
      <c r="L17" s="670">
        <v>437</v>
      </c>
      <c r="M17" s="1235"/>
      <c r="N17" s="668">
        <v>3</v>
      </c>
      <c r="O17" s="1235"/>
      <c r="P17" s="668">
        <f>AH17</f>
        <v>14.536188373325949</v>
      </c>
      <c r="Q17" s="668">
        <f>LEFT(H17,(FIND("Е",H17,1)-1))*J17/100</f>
        <v>23.4</v>
      </c>
      <c r="R17" s="1437">
        <v>5.0999999999999996</v>
      </c>
      <c r="S17" s="432">
        <v>16.3</v>
      </c>
      <c r="T17" s="670">
        <v>24</v>
      </c>
      <c r="U17" s="668">
        <f t="shared" ref="U17:U35" si="0">IF(R17=0,0,T17/R17)</f>
        <v>4.7058823529411766</v>
      </c>
      <c r="V17" s="668">
        <f>(S17-R17)/S17*100</f>
        <v>68.711656441717793</v>
      </c>
      <c r="W17" s="1192">
        <v>0.4</v>
      </c>
      <c r="X17" s="1172">
        <f>IF(S17=0,0,S17/Q17)</f>
        <v>0.69658119658119666</v>
      </c>
      <c r="Y17" s="432">
        <f>R17*0.988</f>
        <v>5.0387999999999993</v>
      </c>
      <c r="Z17" s="432">
        <f>S17*0.988</f>
        <v>16.104400000000002</v>
      </c>
      <c r="AA17" s="670">
        <f>T17*0.988</f>
        <v>23.712</v>
      </c>
      <c r="AB17" s="432">
        <f>U17</f>
        <v>4.7058823529411766</v>
      </c>
      <c r="AC17" s="670">
        <f t="shared" ref="AC17:AC84" si="1">V17</f>
        <v>68.711656441717793</v>
      </c>
      <c r="AD17" s="1235">
        <f>(DAY(EOMONTH($AG$15,0))-AG17)</f>
        <v>30</v>
      </c>
      <c r="AE17" s="432">
        <f t="shared" ref="AE17:AE61" si="2">Y17*AD17</f>
        <v>151.16399999999999</v>
      </c>
      <c r="AF17" s="1173"/>
      <c r="AH17" s="1124">
        <f>(9.81*(AI17*(100%-(V17/100))+AJ17*(V17/100))*(I17-L17)+N17*101.325+9.81*(AK17)*L17)/101.325</f>
        <v>14.536188373325949</v>
      </c>
      <c r="AI17" s="666">
        <v>0.90790000000000004</v>
      </c>
      <c r="AJ17" s="666">
        <v>1.018</v>
      </c>
      <c r="AK17" s="666">
        <v>7.5858300000000007E-4</v>
      </c>
      <c r="AL17" s="666">
        <f>DAY(EOMONTH($AG$15,0))</f>
        <v>30</v>
      </c>
      <c r="AM17" s="666">
        <v>44366</v>
      </c>
      <c r="AN17" s="666">
        <f>COUNTIF(R17:R103, "&lt;200")</f>
        <v>65</v>
      </c>
    </row>
    <row r="18" spans="1:40" ht="18.75" customHeight="1" x14ac:dyDescent="0.2">
      <c r="A18" s="1191">
        <v>2</v>
      </c>
      <c r="B18" s="461" t="s">
        <v>140</v>
      </c>
      <c r="C18" s="1235" t="s">
        <v>46</v>
      </c>
      <c r="D18" s="1235">
        <v>623.5</v>
      </c>
      <c r="E18" s="1235" t="s">
        <v>585</v>
      </c>
      <c r="F18" s="1235">
        <v>177.8</v>
      </c>
      <c r="G18" s="1235" t="s">
        <v>28</v>
      </c>
      <c r="H18" s="1235" t="s">
        <v>683</v>
      </c>
      <c r="I18" s="1231">
        <v>563.55999999999995</v>
      </c>
      <c r="J18" s="1235">
        <v>85</v>
      </c>
      <c r="K18" s="1235"/>
      <c r="L18" s="670">
        <v>52</v>
      </c>
      <c r="M18" s="1235"/>
      <c r="N18" s="668">
        <v>0.2</v>
      </c>
      <c r="O18" s="1235"/>
      <c r="P18" s="668">
        <f t="shared" ref="P18:P81" si="3">AH18</f>
        <v>50.718037809282073</v>
      </c>
      <c r="Q18" s="668">
        <f>14*J18/100</f>
        <v>11.9</v>
      </c>
      <c r="R18" s="1437">
        <v>0.33826923076923077</v>
      </c>
      <c r="S18" s="432">
        <v>9.674269230769232</v>
      </c>
      <c r="T18" s="670">
        <v>29.76923076923077</v>
      </c>
      <c r="U18" s="668">
        <f t="shared" si="0"/>
        <v>88.004548038658328</v>
      </c>
      <c r="V18" s="668">
        <f t="shared" ref="V18:V53" si="4">(S18-R18)/S18*100</f>
        <v>96.503413098186712</v>
      </c>
      <c r="W18" s="1192">
        <v>0.2</v>
      </c>
      <c r="X18" s="1172">
        <f>IF(S18=0,0,S18/Q18)</f>
        <v>0.81296380090497744</v>
      </c>
      <c r="Y18" s="432">
        <f t="shared" ref="Y18:AA81" si="5">R18*0.988</f>
        <v>0.33421000000000001</v>
      </c>
      <c r="Z18" s="432">
        <f t="shared" si="5"/>
        <v>9.5581780000000016</v>
      </c>
      <c r="AA18" s="670">
        <f t="shared" si="5"/>
        <v>29.411999999999999</v>
      </c>
      <c r="AB18" s="432">
        <f t="shared" ref="AB18:AC84" si="6">U18</f>
        <v>88.004548038658328</v>
      </c>
      <c r="AC18" s="670">
        <f t="shared" si="1"/>
        <v>96.503413098186712</v>
      </c>
      <c r="AD18" s="1235">
        <v>0</v>
      </c>
      <c r="AE18" s="432">
        <f t="shared" si="2"/>
        <v>0</v>
      </c>
      <c r="AF18" s="1174"/>
      <c r="AH18" s="1124">
        <f t="shared" ref="AH18:AH81" si="7">(9.81*(AI18*(100%-(V18/100))+AJ18*(V18/100))*(I18-L18)+N18*101.325+9.81*(AK18)*L18)/101.325</f>
        <v>50.718037809282073</v>
      </c>
      <c r="AI18" s="666">
        <v>0.90739999999999998</v>
      </c>
      <c r="AJ18" s="666">
        <v>1.024</v>
      </c>
      <c r="AK18" s="666">
        <v>6.9596980000000001E-4</v>
      </c>
    </row>
    <row r="19" spans="1:40" ht="18.75" customHeight="1" x14ac:dyDescent="0.2">
      <c r="A19" s="1191">
        <v>3</v>
      </c>
      <c r="B19" s="461" t="s">
        <v>141</v>
      </c>
      <c r="C19" s="1235" t="s">
        <v>46</v>
      </c>
      <c r="D19" s="1235">
        <v>670</v>
      </c>
      <c r="E19" s="1235" t="s">
        <v>68</v>
      </c>
      <c r="F19" s="1235">
        <v>177.8</v>
      </c>
      <c r="G19" s="1235" t="s">
        <v>28</v>
      </c>
      <c r="H19" s="1235" t="s">
        <v>684</v>
      </c>
      <c r="I19" s="1231">
        <v>569.63</v>
      </c>
      <c r="J19" s="1235">
        <v>320</v>
      </c>
      <c r="K19" s="1235"/>
      <c r="L19" s="670">
        <v>506</v>
      </c>
      <c r="M19" s="1235"/>
      <c r="N19" s="668">
        <v>5.88</v>
      </c>
      <c r="O19" s="1235"/>
      <c r="P19" s="668">
        <f t="shared" si="3"/>
        <v>11.674869202743865</v>
      </c>
      <c r="Q19" s="668">
        <f>RIGHT(H19,(FIND("T",H19,1)-0))*J19/100</f>
        <v>102.4</v>
      </c>
      <c r="R19" s="1437">
        <v>12.5</v>
      </c>
      <c r="S19" s="432">
        <v>20</v>
      </c>
      <c r="T19" s="670">
        <v>287</v>
      </c>
      <c r="U19" s="668">
        <f t="shared" si="0"/>
        <v>22.96</v>
      </c>
      <c r="V19" s="668">
        <f t="shared" si="4"/>
        <v>37.5</v>
      </c>
      <c r="W19" s="1192">
        <v>0.2</v>
      </c>
      <c r="X19" s="1172">
        <f t="shared" ref="X19:X84" si="8">IF(S19=0,0,S19/Q19)</f>
        <v>0.1953125</v>
      </c>
      <c r="Y19" s="432">
        <f t="shared" si="5"/>
        <v>12.35</v>
      </c>
      <c r="Z19" s="432">
        <f t="shared" si="5"/>
        <v>19.759999999999998</v>
      </c>
      <c r="AA19" s="670">
        <f t="shared" si="5"/>
        <v>283.55599999999998</v>
      </c>
      <c r="AB19" s="432">
        <f t="shared" si="6"/>
        <v>22.96</v>
      </c>
      <c r="AC19" s="670">
        <f t="shared" si="1"/>
        <v>37.5</v>
      </c>
      <c r="AD19" s="1235">
        <f t="shared" ref="AD19:AD40" si="9">(DAY(EOMONTH($AG$15,0))-AG19)</f>
        <v>30</v>
      </c>
      <c r="AE19" s="432">
        <f t="shared" si="2"/>
        <v>370.5</v>
      </c>
      <c r="AF19" s="1173"/>
      <c r="AH19" s="1124">
        <f t="shared" si="7"/>
        <v>11.674869202743865</v>
      </c>
      <c r="AI19" s="666">
        <v>0.87260000000000004</v>
      </c>
      <c r="AJ19" s="666">
        <v>1.0349999999999999</v>
      </c>
      <c r="AK19" s="666">
        <v>8.9946269999999998E-4</v>
      </c>
    </row>
    <row r="20" spans="1:40" ht="18.75" customHeight="1" x14ac:dyDescent="0.2">
      <c r="A20" s="1191">
        <v>4</v>
      </c>
      <c r="B20" s="461" t="s">
        <v>142</v>
      </c>
      <c r="C20" s="1235" t="s">
        <v>46</v>
      </c>
      <c r="D20" s="1235">
        <v>656</v>
      </c>
      <c r="E20" s="1235" t="s">
        <v>481</v>
      </c>
      <c r="F20" s="1235">
        <v>177.8</v>
      </c>
      <c r="G20" s="1235" t="s">
        <v>28</v>
      </c>
      <c r="H20" s="1235" t="s">
        <v>685</v>
      </c>
      <c r="I20" s="1231">
        <v>544.29999999999995</v>
      </c>
      <c r="J20" s="1235">
        <v>150</v>
      </c>
      <c r="K20" s="1235"/>
      <c r="L20" s="670">
        <v>408</v>
      </c>
      <c r="M20" s="1235"/>
      <c r="N20" s="668">
        <v>4</v>
      </c>
      <c r="O20" s="1235"/>
      <c r="P20" s="668">
        <f t="shared" si="3"/>
        <v>16.873396822244345</v>
      </c>
      <c r="Q20" s="668">
        <f>14*J20/100</f>
        <v>21</v>
      </c>
      <c r="R20" s="1437">
        <v>5.32</v>
      </c>
      <c r="S20" s="432">
        <v>14.7</v>
      </c>
      <c r="T20" s="670">
        <v>238</v>
      </c>
      <c r="U20" s="668">
        <f t="shared" si="0"/>
        <v>44.736842105263158</v>
      </c>
      <c r="V20" s="668">
        <f t="shared" si="4"/>
        <v>63.809523809523803</v>
      </c>
      <c r="W20" s="1192">
        <v>0.23</v>
      </c>
      <c r="X20" s="1172">
        <f t="shared" si="8"/>
        <v>0.7</v>
      </c>
      <c r="Y20" s="432">
        <f t="shared" si="5"/>
        <v>5.2561600000000004</v>
      </c>
      <c r="Z20" s="432">
        <f t="shared" si="5"/>
        <v>14.523599999999998</v>
      </c>
      <c r="AA20" s="670">
        <f t="shared" si="5"/>
        <v>235.14400000000001</v>
      </c>
      <c r="AB20" s="432">
        <f t="shared" si="6"/>
        <v>44.736842105263158</v>
      </c>
      <c r="AC20" s="670">
        <f t="shared" si="1"/>
        <v>63.809523809523803</v>
      </c>
      <c r="AD20" s="1235">
        <f t="shared" si="9"/>
        <v>30</v>
      </c>
      <c r="AE20" s="432">
        <f t="shared" si="2"/>
        <v>157.68480000000002</v>
      </c>
      <c r="AF20" s="1173"/>
      <c r="AH20" s="1124">
        <f t="shared" si="7"/>
        <v>16.873396822244345</v>
      </c>
      <c r="AI20" s="666">
        <v>0.89459999999999995</v>
      </c>
      <c r="AJ20" s="666">
        <v>1.018</v>
      </c>
      <c r="AK20" s="666">
        <v>7.3450100000000003E-4</v>
      </c>
    </row>
    <row r="21" spans="1:40" ht="18.75" customHeight="1" x14ac:dyDescent="0.2">
      <c r="A21" s="1191">
        <v>5</v>
      </c>
      <c r="B21" s="461" t="s">
        <v>143</v>
      </c>
      <c r="C21" s="1235" t="s">
        <v>46</v>
      </c>
      <c r="D21" s="1235">
        <v>576.62</v>
      </c>
      <c r="E21" s="1235" t="s">
        <v>70</v>
      </c>
      <c r="F21" s="1235">
        <v>177.8</v>
      </c>
      <c r="G21" s="1235" t="s">
        <v>28</v>
      </c>
      <c r="H21" s="550" t="s">
        <v>587</v>
      </c>
      <c r="I21" s="1231">
        <v>548.32000000000005</v>
      </c>
      <c r="J21" s="1235">
        <v>105</v>
      </c>
      <c r="K21" s="1235"/>
      <c r="L21" s="670">
        <v>430</v>
      </c>
      <c r="M21" s="1235"/>
      <c r="N21" s="668">
        <v>4.3</v>
      </c>
      <c r="O21" s="1235"/>
      <c r="P21" s="668">
        <f t="shared" si="3"/>
        <v>14.83462716156181</v>
      </c>
      <c r="Q21" s="668">
        <f>RIGHT(H21,(FIND("T",H21,1)-0))*J21/100</f>
        <v>14.7</v>
      </c>
      <c r="R21" s="1437">
        <v>4</v>
      </c>
      <c r="S21" s="432">
        <v>4.4400000000000004</v>
      </c>
      <c r="T21" s="670">
        <v>26</v>
      </c>
      <c r="U21" s="668">
        <f t="shared" si="0"/>
        <v>6.5</v>
      </c>
      <c r="V21" s="668">
        <f t="shared" si="4"/>
        <v>9.9099099099099188</v>
      </c>
      <c r="W21" s="1192">
        <v>0.2</v>
      </c>
      <c r="X21" s="1172">
        <f t="shared" si="8"/>
        <v>0.30204081632653068</v>
      </c>
      <c r="Y21" s="432">
        <f t="shared" si="5"/>
        <v>3.952</v>
      </c>
      <c r="Z21" s="432">
        <f t="shared" si="5"/>
        <v>4.3867200000000004</v>
      </c>
      <c r="AA21" s="670">
        <f t="shared" si="5"/>
        <v>25.687999999999999</v>
      </c>
      <c r="AB21" s="432">
        <f t="shared" si="6"/>
        <v>6.5</v>
      </c>
      <c r="AC21" s="670">
        <f t="shared" si="1"/>
        <v>9.9099099099099188</v>
      </c>
      <c r="AD21" s="1235">
        <f t="shared" si="9"/>
        <v>30</v>
      </c>
      <c r="AE21" s="432">
        <f t="shared" si="2"/>
        <v>118.56</v>
      </c>
      <c r="AF21" s="1173"/>
      <c r="AH21" s="1124">
        <f t="shared" si="7"/>
        <v>14.83462716156181</v>
      </c>
      <c r="AI21" s="666">
        <v>0.90529999999999999</v>
      </c>
      <c r="AJ21" s="666">
        <v>1.02</v>
      </c>
      <c r="AK21" s="666">
        <v>8.1276750000000011E-4</v>
      </c>
    </row>
    <row r="22" spans="1:40" ht="18.75" customHeight="1" x14ac:dyDescent="0.2">
      <c r="A22" s="1191">
        <v>6</v>
      </c>
      <c r="B22" s="461" t="s">
        <v>144</v>
      </c>
      <c r="C22" s="1235" t="s">
        <v>46</v>
      </c>
      <c r="D22" s="1235">
        <v>648.48</v>
      </c>
      <c r="E22" s="1235" t="s">
        <v>460</v>
      </c>
      <c r="F22" s="1235">
        <v>177.8</v>
      </c>
      <c r="G22" s="1235" t="s">
        <v>28</v>
      </c>
      <c r="H22" s="550" t="s">
        <v>587</v>
      </c>
      <c r="I22" s="1231">
        <v>563.03</v>
      </c>
      <c r="J22" s="1235">
        <v>135</v>
      </c>
      <c r="K22" s="1235"/>
      <c r="L22" s="670">
        <v>439</v>
      </c>
      <c r="M22" s="1235"/>
      <c r="N22" s="668">
        <v>1</v>
      </c>
      <c r="O22" s="1235"/>
      <c r="P22" s="668">
        <f t="shared" si="3"/>
        <v>12.419350313506177</v>
      </c>
      <c r="Q22" s="668">
        <f>14*J22/100</f>
        <v>18.899999999999999</v>
      </c>
      <c r="R22" s="1437">
        <v>5</v>
      </c>
      <c r="S22" s="432">
        <v>6.3</v>
      </c>
      <c r="T22" s="670">
        <v>9.1</v>
      </c>
      <c r="U22" s="668">
        <f t="shared" si="0"/>
        <v>1.8199999999999998</v>
      </c>
      <c r="V22" s="668">
        <f t="shared" si="4"/>
        <v>20.634920634920633</v>
      </c>
      <c r="W22" s="1192">
        <v>0.2</v>
      </c>
      <c r="X22" s="1172">
        <f t="shared" si="8"/>
        <v>0.33333333333333337</v>
      </c>
      <c r="Y22" s="432">
        <f t="shared" si="5"/>
        <v>4.9399999999999995</v>
      </c>
      <c r="Z22" s="432">
        <f t="shared" si="5"/>
        <v>6.2244000000000002</v>
      </c>
      <c r="AA22" s="670">
        <f t="shared" si="5"/>
        <v>8.9908000000000001</v>
      </c>
      <c r="AB22" s="432">
        <v>14.613</v>
      </c>
      <c r="AC22" s="670">
        <f t="shared" si="1"/>
        <v>20.634920634920633</v>
      </c>
      <c r="AD22" s="1235">
        <f t="shared" si="9"/>
        <v>30</v>
      </c>
      <c r="AE22" s="432">
        <f t="shared" si="2"/>
        <v>148.19999999999999</v>
      </c>
      <c r="AF22" s="1173"/>
      <c r="AH22" s="1124">
        <f t="shared" si="7"/>
        <v>12.419350313506177</v>
      </c>
      <c r="AI22" s="666">
        <v>0.92600000000000005</v>
      </c>
      <c r="AJ22" s="666">
        <v>1.028</v>
      </c>
      <c r="AK22" s="666">
        <v>1.1053638000000001E-3</v>
      </c>
    </row>
    <row r="23" spans="1:40" ht="18.75" customHeight="1" x14ac:dyDescent="0.2">
      <c r="A23" s="1191">
        <v>7</v>
      </c>
      <c r="B23" s="461" t="s">
        <v>145</v>
      </c>
      <c r="C23" s="1235" t="s">
        <v>46</v>
      </c>
      <c r="D23" s="1235">
        <v>676.7</v>
      </c>
      <c r="E23" s="1235" t="s">
        <v>72</v>
      </c>
      <c r="F23" s="1235">
        <v>177.8</v>
      </c>
      <c r="G23" s="1235" t="s">
        <v>28</v>
      </c>
      <c r="H23" s="1235" t="s">
        <v>588</v>
      </c>
      <c r="I23" s="1231">
        <v>557.91999999999996</v>
      </c>
      <c r="J23" s="1235">
        <v>310</v>
      </c>
      <c r="K23" s="1235"/>
      <c r="L23" s="670">
        <v>421</v>
      </c>
      <c r="M23" s="1235"/>
      <c r="N23" s="668">
        <v>1.1000000000000001</v>
      </c>
      <c r="O23" s="1235"/>
      <c r="P23" s="668">
        <f t="shared" si="3"/>
        <v>13.568937157795508</v>
      </c>
      <c r="Q23" s="668">
        <f>RIGHT(H23,(FIND("T",H23,1)-0))*J23/100</f>
        <v>43.4</v>
      </c>
      <c r="R23" s="1437">
        <v>7.08</v>
      </c>
      <c r="S23" s="432">
        <v>10.1</v>
      </c>
      <c r="T23" s="670">
        <v>42</v>
      </c>
      <c r="U23" s="668">
        <f t="shared" si="0"/>
        <v>5.9322033898305087</v>
      </c>
      <c r="V23" s="668">
        <f t="shared" si="4"/>
        <v>29.900990099009899</v>
      </c>
      <c r="W23" s="1192">
        <v>0.2</v>
      </c>
      <c r="X23" s="1172">
        <f t="shared" si="8"/>
        <v>0.23271889400921658</v>
      </c>
      <c r="Y23" s="432">
        <f t="shared" si="5"/>
        <v>6.9950400000000004</v>
      </c>
      <c r="Z23" s="432">
        <f t="shared" si="5"/>
        <v>9.9787999999999997</v>
      </c>
      <c r="AA23" s="670">
        <f t="shared" si="5"/>
        <v>41.496000000000002</v>
      </c>
      <c r="AB23" s="432">
        <f t="shared" si="6"/>
        <v>5.9322033898305087</v>
      </c>
      <c r="AC23" s="670">
        <f t="shared" si="1"/>
        <v>29.900990099009899</v>
      </c>
      <c r="AD23" s="1235">
        <f t="shared" si="9"/>
        <v>30</v>
      </c>
      <c r="AE23" s="432">
        <f t="shared" si="2"/>
        <v>209.85120000000001</v>
      </c>
      <c r="AF23" s="1173"/>
      <c r="AH23" s="1124">
        <f t="shared" si="7"/>
        <v>13.568937157795508</v>
      </c>
      <c r="AI23" s="666">
        <v>0.90329999999999999</v>
      </c>
      <c r="AJ23" s="666">
        <v>1.0209999999999999</v>
      </c>
      <c r="AK23" s="666">
        <v>6.8874520000000001E-4</v>
      </c>
    </row>
    <row r="24" spans="1:40" ht="18.75" customHeight="1" x14ac:dyDescent="0.2">
      <c r="A24" s="1191">
        <v>8</v>
      </c>
      <c r="B24" s="461" t="s">
        <v>146</v>
      </c>
      <c r="C24" s="1235" t="s">
        <v>46</v>
      </c>
      <c r="D24" s="1235">
        <v>567</v>
      </c>
      <c r="E24" s="436" t="s">
        <v>572</v>
      </c>
      <c r="F24" s="1235">
        <v>177.8</v>
      </c>
      <c r="G24" s="1235" t="s">
        <v>28</v>
      </c>
      <c r="H24" s="1235" t="s">
        <v>551</v>
      </c>
      <c r="I24" s="437">
        <v>544.89</v>
      </c>
      <c r="J24" s="1235">
        <v>285</v>
      </c>
      <c r="K24" s="1234"/>
      <c r="L24" s="670">
        <v>464</v>
      </c>
      <c r="M24" s="1234"/>
      <c r="N24" s="668">
        <v>5</v>
      </c>
      <c r="O24" s="1234"/>
      <c r="P24" s="668">
        <f t="shared" si="3"/>
        <v>12.756443223016237</v>
      </c>
      <c r="Q24" s="668">
        <f>LEFT(H24,(FIND("Е",H24,1)-1))*J24/100</f>
        <v>62.7</v>
      </c>
      <c r="R24" s="1437">
        <v>2.9</v>
      </c>
      <c r="S24" s="432">
        <v>9.6</v>
      </c>
      <c r="T24" s="670">
        <v>5.2</v>
      </c>
      <c r="U24" s="668">
        <f t="shared" si="0"/>
        <v>1.7931034482758621</v>
      </c>
      <c r="V24" s="668">
        <f t="shared" si="4"/>
        <v>69.791666666666657</v>
      </c>
      <c r="W24" s="1192">
        <v>0.2</v>
      </c>
      <c r="X24" s="1172">
        <f t="shared" si="8"/>
        <v>0.15311004784688995</v>
      </c>
      <c r="Y24" s="432">
        <f t="shared" si="5"/>
        <v>2.8651999999999997</v>
      </c>
      <c r="Z24" s="432">
        <f t="shared" si="5"/>
        <v>9.4847999999999999</v>
      </c>
      <c r="AA24" s="670">
        <f t="shared" si="5"/>
        <v>5.1375999999999999</v>
      </c>
      <c r="AB24" s="432">
        <f t="shared" si="6"/>
        <v>1.7931034482758621</v>
      </c>
      <c r="AC24" s="670">
        <f t="shared" si="1"/>
        <v>69.791666666666657</v>
      </c>
      <c r="AD24" s="1235">
        <f t="shared" si="9"/>
        <v>30</v>
      </c>
      <c r="AE24" s="432">
        <f t="shared" si="2"/>
        <v>85.955999999999989</v>
      </c>
      <c r="AF24" s="1173"/>
      <c r="AH24" s="1124">
        <f t="shared" si="7"/>
        <v>12.756443223016237</v>
      </c>
      <c r="AI24" s="666">
        <v>0.89549999999999996</v>
      </c>
      <c r="AJ24" s="666">
        <v>1.024</v>
      </c>
      <c r="AK24" s="666">
        <v>9.1150370000000005E-4</v>
      </c>
    </row>
    <row r="25" spans="1:40" ht="18.75" customHeight="1" x14ac:dyDescent="0.2">
      <c r="A25" s="1191">
        <v>9</v>
      </c>
      <c r="B25" s="461" t="s">
        <v>147</v>
      </c>
      <c r="C25" s="1235" t="s">
        <v>46</v>
      </c>
      <c r="D25" s="1235">
        <v>650.1</v>
      </c>
      <c r="E25" s="1235" t="s">
        <v>74</v>
      </c>
      <c r="F25" s="1235">
        <v>177.8</v>
      </c>
      <c r="G25" s="1235" t="s">
        <v>28</v>
      </c>
      <c r="H25" s="1235" t="s">
        <v>686</v>
      </c>
      <c r="I25" s="1231">
        <v>569.48</v>
      </c>
      <c r="J25" s="1235">
        <v>150</v>
      </c>
      <c r="K25" s="1235"/>
      <c r="L25" s="670">
        <v>451</v>
      </c>
      <c r="M25" s="1235"/>
      <c r="N25" s="668">
        <v>3</v>
      </c>
      <c r="O25" s="1235"/>
      <c r="P25" s="668">
        <f t="shared" si="3"/>
        <v>14.25489542042067</v>
      </c>
      <c r="Q25" s="668">
        <f>20*J25/100</f>
        <v>30</v>
      </c>
      <c r="R25" s="1437">
        <v>5.88</v>
      </c>
      <c r="S25" s="432">
        <v>15.63</v>
      </c>
      <c r="T25" s="670">
        <v>48</v>
      </c>
      <c r="U25" s="668">
        <f t="shared" si="0"/>
        <v>8.1632653061224492</v>
      </c>
      <c r="V25" s="668">
        <f t="shared" si="4"/>
        <v>62.380038387715928</v>
      </c>
      <c r="W25" s="1192">
        <v>0.2</v>
      </c>
      <c r="X25" s="1172">
        <f>IF(S25=0,0,S25/Q25)</f>
        <v>0.52100000000000002</v>
      </c>
      <c r="Y25" s="432">
        <f t="shared" si="5"/>
        <v>5.8094399999999995</v>
      </c>
      <c r="Z25" s="432">
        <f t="shared" si="5"/>
        <v>15.442440000000001</v>
      </c>
      <c r="AA25" s="670">
        <f t="shared" si="5"/>
        <v>47.423999999999999</v>
      </c>
      <c r="AB25" s="432">
        <f t="shared" si="6"/>
        <v>8.1632653061224492</v>
      </c>
      <c r="AC25" s="670">
        <f t="shared" si="1"/>
        <v>62.380038387715928</v>
      </c>
      <c r="AD25" s="1235">
        <f t="shared" si="9"/>
        <v>30</v>
      </c>
      <c r="AE25" s="432">
        <f t="shared" si="2"/>
        <v>174.28319999999999</v>
      </c>
      <c r="AF25" s="1173"/>
      <c r="AH25" s="1124">
        <f t="shared" si="7"/>
        <v>14.25489542042067</v>
      </c>
      <c r="AI25" s="666">
        <v>0.90690000000000004</v>
      </c>
      <c r="AJ25" s="666">
        <v>1.0209999999999999</v>
      </c>
      <c r="AK25" s="666">
        <v>8.1276750000000011E-4</v>
      </c>
    </row>
    <row r="26" spans="1:40" ht="18.75" customHeight="1" x14ac:dyDescent="0.2">
      <c r="A26" s="1191">
        <v>10</v>
      </c>
      <c r="B26" s="461" t="s">
        <v>148</v>
      </c>
      <c r="C26" s="1235" t="s">
        <v>46</v>
      </c>
      <c r="D26" s="1235">
        <v>640.20000000000005</v>
      </c>
      <c r="E26" s="1235" t="s">
        <v>398</v>
      </c>
      <c r="F26" s="1235">
        <v>177.8</v>
      </c>
      <c r="G26" s="1235" t="s">
        <v>28</v>
      </c>
      <c r="H26" s="831" t="s">
        <v>564</v>
      </c>
      <c r="I26" s="1231">
        <v>564.11</v>
      </c>
      <c r="J26" s="1074">
        <v>160</v>
      </c>
      <c r="K26" s="1235"/>
      <c r="L26" s="670">
        <v>252</v>
      </c>
      <c r="M26" s="1235"/>
      <c r="N26" s="668">
        <v>0.2</v>
      </c>
      <c r="O26" s="1235"/>
      <c r="P26" s="668">
        <f t="shared" si="3"/>
        <v>30.092579740076587</v>
      </c>
      <c r="Q26" s="668">
        <f>J26*7/100</f>
        <v>11.2</v>
      </c>
      <c r="R26" s="1437">
        <v>1.57</v>
      </c>
      <c r="S26" s="432">
        <v>4.8380000000000001</v>
      </c>
      <c r="T26" s="670">
        <v>12.5</v>
      </c>
      <c r="U26" s="668">
        <v>0</v>
      </c>
      <c r="V26" s="668">
        <f t="shared" si="4"/>
        <v>67.548573790822658</v>
      </c>
      <c r="W26" s="1192">
        <v>0.2</v>
      </c>
      <c r="X26" s="1172">
        <f t="shared" si="8"/>
        <v>0.43196428571428575</v>
      </c>
      <c r="Y26" s="432">
        <f t="shared" si="5"/>
        <v>1.5511600000000001</v>
      </c>
      <c r="Z26" s="432">
        <f t="shared" si="5"/>
        <v>4.7799440000000004</v>
      </c>
      <c r="AA26" s="670">
        <f t="shared" si="5"/>
        <v>12.35</v>
      </c>
      <c r="AB26" s="432">
        <f t="shared" si="6"/>
        <v>0</v>
      </c>
      <c r="AC26" s="670">
        <f t="shared" si="1"/>
        <v>67.548573790822658</v>
      </c>
      <c r="AD26" s="1235">
        <f t="shared" si="9"/>
        <v>30</v>
      </c>
      <c r="AE26" s="432">
        <f t="shared" si="2"/>
        <v>46.534800000000004</v>
      </c>
      <c r="AF26" s="1173"/>
      <c r="AH26" s="1124">
        <f t="shared" si="7"/>
        <v>30.092579740076587</v>
      </c>
      <c r="AI26" s="666">
        <v>0.90039999999999998</v>
      </c>
      <c r="AJ26" s="666">
        <v>1.0309999999999999</v>
      </c>
      <c r="AK26" s="666">
        <v>7.7447712000000004E-4</v>
      </c>
    </row>
    <row r="27" spans="1:40" ht="18.75" customHeight="1" x14ac:dyDescent="0.2">
      <c r="A27" s="1191">
        <v>11</v>
      </c>
      <c r="B27" s="461" t="s">
        <v>149</v>
      </c>
      <c r="C27" s="1235" t="s">
        <v>46</v>
      </c>
      <c r="D27" s="1235">
        <v>606.29999999999995</v>
      </c>
      <c r="E27" s="1235" t="s">
        <v>76</v>
      </c>
      <c r="F27" s="1235">
        <v>177.8</v>
      </c>
      <c r="G27" s="1235" t="s">
        <v>28</v>
      </c>
      <c r="H27" s="1235" t="s">
        <v>487</v>
      </c>
      <c r="I27" s="1231">
        <v>593.29</v>
      </c>
      <c r="J27" s="1235">
        <v>300</v>
      </c>
      <c r="K27" s="1235"/>
      <c r="L27" s="670">
        <v>429</v>
      </c>
      <c r="M27" s="1235"/>
      <c r="N27" s="668">
        <v>1.1599999999999999</v>
      </c>
      <c r="O27" s="1235"/>
      <c r="P27" s="668">
        <f t="shared" si="3"/>
        <v>17.090146576899983</v>
      </c>
      <c r="Q27" s="668">
        <f>(13/100)*J27</f>
        <v>39</v>
      </c>
      <c r="R27" s="1437">
        <v>2</v>
      </c>
      <c r="S27" s="432">
        <v>5.6</v>
      </c>
      <c r="T27" s="670">
        <v>33</v>
      </c>
      <c r="U27" s="668">
        <f t="shared" si="0"/>
        <v>16.5</v>
      </c>
      <c r="V27" s="668">
        <f t="shared" si="4"/>
        <v>64.285714285714278</v>
      </c>
      <c r="W27" s="1192">
        <v>0.27</v>
      </c>
      <c r="X27" s="1172">
        <f t="shared" si="8"/>
        <v>0.14358974358974358</v>
      </c>
      <c r="Y27" s="432">
        <f t="shared" si="5"/>
        <v>1.976</v>
      </c>
      <c r="Z27" s="432">
        <f t="shared" si="5"/>
        <v>5.5327999999999999</v>
      </c>
      <c r="AA27" s="670">
        <f t="shared" si="5"/>
        <v>32.603999999999999</v>
      </c>
      <c r="AB27" s="432">
        <f t="shared" si="6"/>
        <v>16.5</v>
      </c>
      <c r="AC27" s="670">
        <f t="shared" si="1"/>
        <v>64.285714285714278</v>
      </c>
      <c r="AD27" s="1235">
        <f t="shared" si="9"/>
        <v>30</v>
      </c>
      <c r="AE27" s="432">
        <f t="shared" si="2"/>
        <v>59.28</v>
      </c>
      <c r="AF27" s="1174"/>
      <c r="AH27" s="1124">
        <f t="shared" si="7"/>
        <v>17.090146576899983</v>
      </c>
      <c r="AI27" s="666">
        <v>0.91620000000000001</v>
      </c>
      <c r="AJ27" s="666">
        <v>1.0449999999999999</v>
      </c>
      <c r="AK27" s="666">
        <v>9.6207590000000004E-4</v>
      </c>
    </row>
    <row r="28" spans="1:40" ht="18.75" customHeight="1" x14ac:dyDescent="0.2">
      <c r="A28" s="1191">
        <v>12</v>
      </c>
      <c r="B28" s="461" t="s">
        <v>151</v>
      </c>
      <c r="C28" s="1235" t="s">
        <v>46</v>
      </c>
      <c r="D28" s="1235">
        <v>675.42</v>
      </c>
      <c r="E28" s="1231" t="s">
        <v>298</v>
      </c>
      <c r="F28" s="1235">
        <v>177.8</v>
      </c>
      <c r="G28" s="1235" t="s">
        <v>28</v>
      </c>
      <c r="H28" s="550" t="s">
        <v>687</v>
      </c>
      <c r="I28" s="1231">
        <v>558.21</v>
      </c>
      <c r="J28" s="1074">
        <v>85</v>
      </c>
      <c r="K28" s="1235"/>
      <c r="L28" s="670">
        <v>258</v>
      </c>
      <c r="M28" s="1235"/>
      <c r="N28" s="668">
        <v>0.66</v>
      </c>
      <c r="O28" s="1235"/>
      <c r="P28" s="668">
        <f t="shared" si="3"/>
        <v>29.752133769729841</v>
      </c>
      <c r="Q28" s="668">
        <f>20*J28/100</f>
        <v>17</v>
      </c>
      <c r="R28" s="1437">
        <v>2.86</v>
      </c>
      <c r="S28" s="432">
        <v>16.600000000000001</v>
      </c>
      <c r="T28" s="670">
        <v>38</v>
      </c>
      <c r="U28" s="668">
        <f t="shared" si="0"/>
        <v>13.286713286713287</v>
      </c>
      <c r="V28" s="668">
        <f t="shared" si="4"/>
        <v>82.771084337349393</v>
      </c>
      <c r="W28" s="1192">
        <v>0.2</v>
      </c>
      <c r="X28" s="1172">
        <f t="shared" si="8"/>
        <v>0.9764705882352942</v>
      </c>
      <c r="Y28" s="432">
        <f t="shared" si="5"/>
        <v>2.8256799999999997</v>
      </c>
      <c r="Z28" s="432">
        <f t="shared" si="5"/>
        <v>16.4008</v>
      </c>
      <c r="AA28" s="670">
        <f t="shared" si="5"/>
        <v>37.543999999999997</v>
      </c>
      <c r="AB28" s="432">
        <f t="shared" si="6"/>
        <v>13.286713286713287</v>
      </c>
      <c r="AC28" s="670">
        <f t="shared" si="1"/>
        <v>82.771084337349393</v>
      </c>
      <c r="AD28" s="1235">
        <f t="shared" si="9"/>
        <v>30</v>
      </c>
      <c r="AE28" s="432">
        <f>Y28*AD28</f>
        <v>84.770399999999995</v>
      </c>
      <c r="AF28" s="1174"/>
      <c r="AH28" s="1124">
        <f t="shared" si="7"/>
        <v>29.752133769729841</v>
      </c>
      <c r="AI28" s="666">
        <v>0.93420000000000003</v>
      </c>
      <c r="AJ28" s="666">
        <v>1.014</v>
      </c>
      <c r="AK28" s="666">
        <v>7.7447712000000004E-4</v>
      </c>
    </row>
    <row r="29" spans="1:40" ht="18.75" customHeight="1" x14ac:dyDescent="0.2">
      <c r="A29" s="1191">
        <v>13</v>
      </c>
      <c r="B29" s="461" t="s">
        <v>36</v>
      </c>
      <c r="C29" s="1235" t="s">
        <v>46</v>
      </c>
      <c r="D29" s="1235">
        <v>584.42999999999995</v>
      </c>
      <c r="E29" s="1231" t="s">
        <v>79</v>
      </c>
      <c r="F29" s="1235">
        <v>177.8</v>
      </c>
      <c r="G29" s="1235" t="s">
        <v>28</v>
      </c>
      <c r="H29" s="550" t="s">
        <v>565</v>
      </c>
      <c r="I29" s="1231">
        <v>526.29</v>
      </c>
      <c r="J29" s="1074">
        <v>290</v>
      </c>
      <c r="K29" s="1235"/>
      <c r="L29" s="670">
        <v>275</v>
      </c>
      <c r="M29" s="1235"/>
      <c r="N29" s="668">
        <v>3.4</v>
      </c>
      <c r="O29" s="1235"/>
      <c r="P29" s="668">
        <f t="shared" si="3"/>
        <v>27.78661467468941</v>
      </c>
      <c r="Q29" s="668">
        <f>LEFT(H29,(FIND("E",H29,1)-1))*J29/100</f>
        <v>92.8</v>
      </c>
      <c r="R29" s="1437">
        <v>13.8</v>
      </c>
      <c r="S29" s="432">
        <v>82.4</v>
      </c>
      <c r="T29" s="670">
        <v>274.5</v>
      </c>
      <c r="U29" s="668">
        <f t="shared" si="0"/>
        <v>19.891304347826086</v>
      </c>
      <c r="V29" s="668">
        <f t="shared" si="4"/>
        <v>83.252427184466029</v>
      </c>
      <c r="W29" s="1192">
        <v>0.2</v>
      </c>
      <c r="X29" s="1172">
        <f t="shared" si="8"/>
        <v>0.88793103448275867</v>
      </c>
      <c r="Y29" s="432">
        <f t="shared" si="5"/>
        <v>13.634400000000001</v>
      </c>
      <c r="Z29" s="432">
        <f t="shared" si="5"/>
        <v>81.411200000000008</v>
      </c>
      <c r="AA29" s="670">
        <f t="shared" si="5"/>
        <v>271.20600000000002</v>
      </c>
      <c r="AB29" s="432">
        <f t="shared" si="6"/>
        <v>19.891304347826086</v>
      </c>
      <c r="AC29" s="670">
        <f t="shared" si="1"/>
        <v>83.252427184466029</v>
      </c>
      <c r="AD29" s="1235">
        <f t="shared" si="9"/>
        <v>30</v>
      </c>
      <c r="AE29" s="432">
        <f>Y29*AD29</f>
        <v>409.03200000000004</v>
      </c>
      <c r="AF29" s="1173"/>
      <c r="AH29" s="1124">
        <f t="shared" si="7"/>
        <v>27.78661467468941</v>
      </c>
      <c r="AI29" s="666">
        <v>0.88449999999999995</v>
      </c>
      <c r="AJ29" s="666">
        <v>1.0249999999999999</v>
      </c>
      <c r="AK29" s="666">
        <v>8.1397160000000013E-4</v>
      </c>
    </row>
    <row r="30" spans="1:40" ht="18.75" customHeight="1" x14ac:dyDescent="0.2">
      <c r="A30" s="1191">
        <v>14</v>
      </c>
      <c r="B30" s="461" t="s">
        <v>152</v>
      </c>
      <c r="C30" s="1235" t="s">
        <v>46</v>
      </c>
      <c r="D30" s="1235">
        <v>564.97999999999979</v>
      </c>
      <c r="E30" s="1231" t="s">
        <v>80</v>
      </c>
      <c r="F30" s="1235">
        <v>177.8</v>
      </c>
      <c r="G30" s="1235" t="s">
        <v>28</v>
      </c>
      <c r="H30" s="432" t="s">
        <v>589</v>
      </c>
      <c r="I30" s="437">
        <v>519.30999999999995</v>
      </c>
      <c r="J30" s="1235">
        <v>280</v>
      </c>
      <c r="K30" s="1235"/>
      <c r="L30" s="670">
        <v>439</v>
      </c>
      <c r="M30" s="1235"/>
      <c r="N30" s="668">
        <v>4.5</v>
      </c>
      <c r="O30" s="1235"/>
      <c r="P30" s="668">
        <f t="shared" si="3"/>
        <v>12.066579976586876</v>
      </c>
      <c r="Q30" s="668">
        <f>RIGHT(H30,(FIND("T",H30,1)-0))*J30/100</f>
        <v>56</v>
      </c>
      <c r="R30" s="1437">
        <v>10.95</v>
      </c>
      <c r="S30" s="432">
        <v>27.5</v>
      </c>
      <c r="T30" s="670">
        <v>612</v>
      </c>
      <c r="U30" s="668">
        <f t="shared" si="0"/>
        <v>55.890410958904113</v>
      </c>
      <c r="V30" s="668">
        <f t="shared" si="4"/>
        <v>60.18181818181818</v>
      </c>
      <c r="W30" s="1192">
        <v>0.2</v>
      </c>
      <c r="X30" s="1172">
        <f t="shared" si="8"/>
        <v>0.49107142857142855</v>
      </c>
      <c r="Y30" s="432">
        <f t="shared" si="5"/>
        <v>10.8186</v>
      </c>
      <c r="Z30" s="432">
        <f t="shared" si="5"/>
        <v>27.169999999999998</v>
      </c>
      <c r="AA30" s="670">
        <f t="shared" si="5"/>
        <v>604.65599999999995</v>
      </c>
      <c r="AB30" s="432">
        <f t="shared" si="6"/>
        <v>55.890410958904113</v>
      </c>
      <c r="AC30" s="670">
        <f t="shared" si="1"/>
        <v>60.18181818181818</v>
      </c>
      <c r="AD30" s="1235">
        <f t="shared" si="9"/>
        <v>30</v>
      </c>
      <c r="AE30" s="432">
        <f t="shared" si="2"/>
        <v>324.55799999999999</v>
      </c>
      <c r="AF30" s="1173"/>
      <c r="AH30" s="1124">
        <f t="shared" si="7"/>
        <v>12.066579976586876</v>
      </c>
      <c r="AI30" s="666">
        <v>0.87939999999999996</v>
      </c>
      <c r="AJ30" s="666">
        <v>1.0269999999999999</v>
      </c>
      <c r="AK30" s="666">
        <v>8.9946269999999998E-4</v>
      </c>
    </row>
    <row r="31" spans="1:40" ht="18.75" customHeight="1" x14ac:dyDescent="0.2">
      <c r="A31" s="1191">
        <v>15</v>
      </c>
      <c r="B31" s="461" t="s">
        <v>37</v>
      </c>
      <c r="C31" s="1235" t="s">
        <v>46</v>
      </c>
      <c r="D31" s="1235">
        <v>670</v>
      </c>
      <c r="E31" s="1235" t="s">
        <v>81</v>
      </c>
      <c r="F31" s="1235">
        <v>177.8</v>
      </c>
      <c r="G31" s="1235" t="s">
        <v>28</v>
      </c>
      <c r="H31" s="550" t="s">
        <v>48</v>
      </c>
      <c r="I31" s="1231">
        <v>569.99</v>
      </c>
      <c r="J31" s="1074">
        <v>220</v>
      </c>
      <c r="K31" s="1235"/>
      <c r="L31" s="670">
        <v>439</v>
      </c>
      <c r="M31" s="1235"/>
      <c r="N31" s="668">
        <v>3.3</v>
      </c>
      <c r="O31" s="1235"/>
      <c r="P31" s="668">
        <f t="shared" si="3"/>
        <v>15.901904284553666</v>
      </c>
      <c r="Q31" s="668">
        <f>LEFT(H31,(FIND("K",H31,1)-1))*J31/100</f>
        <v>28.6</v>
      </c>
      <c r="R31" s="1437">
        <v>4.7</v>
      </c>
      <c r="S31" s="432">
        <v>15</v>
      </c>
      <c r="T31" s="670">
        <v>57.5</v>
      </c>
      <c r="U31" s="668">
        <f t="shared" si="0"/>
        <v>12.23404255319149</v>
      </c>
      <c r="V31" s="668">
        <f t="shared" si="4"/>
        <v>68.666666666666671</v>
      </c>
      <c r="W31" s="1192">
        <v>0.2</v>
      </c>
      <c r="X31" s="1172">
        <f t="shared" si="8"/>
        <v>0.52447552447552448</v>
      </c>
      <c r="Y31" s="432">
        <f t="shared" si="5"/>
        <v>4.6436000000000002</v>
      </c>
      <c r="Z31" s="432">
        <f t="shared" si="5"/>
        <v>14.82</v>
      </c>
      <c r="AA31" s="670">
        <f t="shared" si="5"/>
        <v>56.81</v>
      </c>
      <c r="AB31" s="432">
        <f t="shared" si="6"/>
        <v>12.23404255319149</v>
      </c>
      <c r="AC31" s="670">
        <f t="shared" si="1"/>
        <v>68.666666666666671</v>
      </c>
      <c r="AD31" s="1235">
        <f t="shared" si="9"/>
        <v>30</v>
      </c>
      <c r="AE31" s="432">
        <f>Y31*AD31</f>
        <v>139.30799999999999</v>
      </c>
      <c r="AF31" s="1174"/>
      <c r="AH31" s="1124">
        <f t="shared" si="7"/>
        <v>15.901904284553666</v>
      </c>
      <c r="AI31" s="666">
        <v>0.91949999999999998</v>
      </c>
      <c r="AJ31" s="666">
        <v>1.024</v>
      </c>
      <c r="AK31" s="666">
        <v>7.2245999999999996E-4</v>
      </c>
    </row>
    <row r="32" spans="1:40" ht="18.75" customHeight="1" x14ac:dyDescent="0.2">
      <c r="A32" s="1191">
        <v>16</v>
      </c>
      <c r="B32" s="461" t="s">
        <v>153</v>
      </c>
      <c r="C32" s="461" t="s">
        <v>46</v>
      </c>
      <c r="D32" s="461">
        <v>574.61</v>
      </c>
      <c r="E32" s="461" t="s">
        <v>688</v>
      </c>
      <c r="F32" s="461">
        <v>177.8</v>
      </c>
      <c r="G32" s="461" t="s">
        <v>28</v>
      </c>
      <c r="H32" s="550" t="s">
        <v>589</v>
      </c>
      <c r="I32" s="461">
        <v>541.78</v>
      </c>
      <c r="J32" s="461">
        <v>95</v>
      </c>
      <c r="K32" s="461"/>
      <c r="L32" s="699">
        <v>56</v>
      </c>
      <c r="M32" s="461"/>
      <c r="N32" s="671">
        <v>1</v>
      </c>
      <c r="O32" s="461"/>
      <c r="P32" s="668">
        <f t="shared" si="3"/>
        <v>48.308104656752668</v>
      </c>
      <c r="Q32" s="668">
        <f>RIGHT(H32,(FIND("T",H32,1)-0))*J32/100</f>
        <v>19</v>
      </c>
      <c r="R32" s="1438">
        <v>2.4</v>
      </c>
      <c r="S32" s="432">
        <v>17.3</v>
      </c>
      <c r="T32" s="699">
        <v>57</v>
      </c>
      <c r="U32" s="668">
        <f t="shared" si="0"/>
        <v>23.75</v>
      </c>
      <c r="V32" s="668">
        <f t="shared" si="4"/>
        <v>86.127167630057798</v>
      </c>
      <c r="W32" s="1193">
        <v>0.24</v>
      </c>
      <c r="X32" s="1172">
        <f t="shared" si="8"/>
        <v>0.91052631578947374</v>
      </c>
      <c r="Y32" s="432">
        <f t="shared" si="5"/>
        <v>2.3712</v>
      </c>
      <c r="Z32" s="432">
        <f t="shared" si="5"/>
        <v>17.092400000000001</v>
      </c>
      <c r="AA32" s="670">
        <f t="shared" si="5"/>
        <v>56.316000000000003</v>
      </c>
      <c r="AB32" s="672">
        <f t="shared" si="6"/>
        <v>23.75</v>
      </c>
      <c r="AC32" s="699">
        <f t="shared" si="1"/>
        <v>86.127167630057798</v>
      </c>
      <c r="AD32" s="1235">
        <f>(DAY(EOMONTH($AG$15,0))-AG32)</f>
        <v>30</v>
      </c>
      <c r="AE32" s="672">
        <f>Y32*AD32</f>
        <v>71.135999999999996</v>
      </c>
      <c r="AF32" s="1218"/>
      <c r="AH32" s="1124">
        <f t="shared" si="7"/>
        <v>48.308104656752668</v>
      </c>
      <c r="AI32" s="666">
        <v>0.90500000000000003</v>
      </c>
      <c r="AJ32" s="666">
        <v>1.022</v>
      </c>
      <c r="AK32" s="666">
        <v>9.1150370000000005E-4</v>
      </c>
    </row>
    <row r="33" spans="1:37" ht="18.600000000000001" customHeight="1" x14ac:dyDescent="0.2">
      <c r="A33" s="1191">
        <v>17</v>
      </c>
      <c r="B33" s="461" t="s">
        <v>154</v>
      </c>
      <c r="C33" s="461" t="s">
        <v>46</v>
      </c>
      <c r="D33" s="443">
        <v>644.79999999999995</v>
      </c>
      <c r="E33" s="436" t="s">
        <v>421</v>
      </c>
      <c r="F33" s="1235">
        <v>177.8</v>
      </c>
      <c r="G33" s="1235" t="s">
        <v>28</v>
      </c>
      <c r="H33" s="550" t="s">
        <v>687</v>
      </c>
      <c r="I33" s="437">
        <v>562.54999999999995</v>
      </c>
      <c r="J33" s="1235">
        <v>95</v>
      </c>
      <c r="K33" s="1235"/>
      <c r="L33" s="670">
        <v>378</v>
      </c>
      <c r="M33" s="1235"/>
      <c r="N33" s="668">
        <v>1.94</v>
      </c>
      <c r="O33" s="1235"/>
      <c r="P33" s="668">
        <f t="shared" si="3"/>
        <v>19.427638060394255</v>
      </c>
      <c r="Q33" s="668">
        <f>20*J33/100</f>
        <v>19</v>
      </c>
      <c r="R33" s="1437">
        <v>3.242</v>
      </c>
      <c r="S33" s="432">
        <v>8.98</v>
      </c>
      <c r="T33" s="670">
        <v>26</v>
      </c>
      <c r="U33" s="668">
        <f t="shared" si="0"/>
        <v>8.0197409006785936</v>
      </c>
      <c r="V33" s="668">
        <f t="shared" si="4"/>
        <v>63.897550111358584</v>
      </c>
      <c r="W33" s="1192">
        <v>0.2</v>
      </c>
      <c r="X33" s="1172">
        <f t="shared" si="8"/>
        <v>0.47263157894736846</v>
      </c>
      <c r="Y33" s="432">
        <f t="shared" si="5"/>
        <v>3.2030959999999999</v>
      </c>
      <c r="Z33" s="432">
        <f t="shared" si="5"/>
        <v>8.8722399999999997</v>
      </c>
      <c r="AA33" s="670">
        <f t="shared" si="5"/>
        <v>25.687999999999999</v>
      </c>
      <c r="AB33" s="672">
        <f t="shared" si="6"/>
        <v>8.0197409006785936</v>
      </c>
      <c r="AC33" s="699">
        <f t="shared" si="1"/>
        <v>63.897550111358584</v>
      </c>
      <c r="AD33" s="1235">
        <f t="shared" si="9"/>
        <v>30</v>
      </c>
      <c r="AE33" s="672">
        <f>Y33*AD33</f>
        <v>96.092879999999994</v>
      </c>
      <c r="AF33" s="1173"/>
      <c r="AH33" s="1124">
        <f t="shared" si="7"/>
        <v>19.427638060394255</v>
      </c>
      <c r="AI33" s="666">
        <v>0.88390000000000002</v>
      </c>
      <c r="AJ33" s="666">
        <v>1.03</v>
      </c>
      <c r="AK33" s="666">
        <v>7.2245999999999996E-4</v>
      </c>
    </row>
    <row r="34" spans="1:37" ht="18.75" customHeight="1" x14ac:dyDescent="0.2">
      <c r="A34" s="1191">
        <v>18</v>
      </c>
      <c r="B34" s="461" t="s">
        <v>38</v>
      </c>
      <c r="C34" s="1235" t="s">
        <v>46</v>
      </c>
      <c r="D34" s="668">
        <v>580</v>
      </c>
      <c r="E34" s="1235" t="s">
        <v>84</v>
      </c>
      <c r="F34" s="1235">
        <v>177.8</v>
      </c>
      <c r="G34" s="1235" t="s">
        <v>28</v>
      </c>
      <c r="H34" s="550" t="s">
        <v>466</v>
      </c>
      <c r="I34" s="1231">
        <v>564.05999999999995</v>
      </c>
      <c r="J34" s="1235">
        <v>260</v>
      </c>
      <c r="K34" s="1235"/>
      <c r="L34" s="670">
        <v>503</v>
      </c>
      <c r="M34" s="1235"/>
      <c r="N34" s="668">
        <v>0.1</v>
      </c>
      <c r="O34" s="1235"/>
      <c r="P34" s="668">
        <f t="shared" si="3"/>
        <v>5.9381943610891526</v>
      </c>
      <c r="Q34" s="668">
        <f>LEFT(H34,(FIND("E",H34,1)-1))*J34/100</f>
        <v>33.799999999999997</v>
      </c>
      <c r="R34" s="1437">
        <v>4</v>
      </c>
      <c r="S34" s="432">
        <v>11.14</v>
      </c>
      <c r="T34" s="670">
        <v>29.3</v>
      </c>
      <c r="U34" s="668">
        <f t="shared" si="0"/>
        <v>7.3250000000000002</v>
      </c>
      <c r="V34" s="668">
        <f t="shared" si="4"/>
        <v>64.093357271095158</v>
      </c>
      <c r="W34" s="1192">
        <v>0.2</v>
      </c>
      <c r="X34" s="1172">
        <f t="shared" si="8"/>
        <v>0.32958579881656808</v>
      </c>
      <c r="Y34" s="432">
        <f t="shared" si="5"/>
        <v>3.952</v>
      </c>
      <c r="Z34" s="432">
        <f t="shared" si="5"/>
        <v>11.006320000000001</v>
      </c>
      <c r="AA34" s="670">
        <f t="shared" si="5"/>
        <v>28.948399999999999</v>
      </c>
      <c r="AB34" s="432">
        <f>U34</f>
        <v>7.3250000000000002</v>
      </c>
      <c r="AC34" s="699">
        <f t="shared" si="1"/>
        <v>64.093357271095158</v>
      </c>
      <c r="AD34" s="1235">
        <f t="shared" si="9"/>
        <v>30</v>
      </c>
      <c r="AE34" s="432">
        <f t="shared" si="2"/>
        <v>118.56</v>
      </c>
      <c r="AF34" s="1173"/>
      <c r="AH34" s="1124">
        <f t="shared" si="7"/>
        <v>5.9381943610891526</v>
      </c>
      <c r="AI34" s="666">
        <v>0.91639999999999999</v>
      </c>
      <c r="AJ34" s="666">
        <v>1.0169999999999999</v>
      </c>
      <c r="AK34" s="666">
        <v>8.1276750000000011E-4</v>
      </c>
    </row>
    <row r="35" spans="1:37" ht="18.75" customHeight="1" x14ac:dyDescent="0.2">
      <c r="A35" s="1191">
        <v>19</v>
      </c>
      <c r="B35" s="461" t="s">
        <v>39</v>
      </c>
      <c r="C35" s="1235" t="s">
        <v>46</v>
      </c>
      <c r="D35" s="1235">
        <v>575.26</v>
      </c>
      <c r="E35" s="1235" t="s">
        <v>411</v>
      </c>
      <c r="F35" s="1235">
        <v>177.8</v>
      </c>
      <c r="G35" s="1235" t="s">
        <v>28</v>
      </c>
      <c r="H35" s="550" t="s">
        <v>588</v>
      </c>
      <c r="I35" s="1231">
        <v>551</v>
      </c>
      <c r="J35" s="1074">
        <v>200</v>
      </c>
      <c r="K35" s="1235"/>
      <c r="L35" s="670">
        <v>469</v>
      </c>
      <c r="M35" s="1235"/>
      <c r="N35" s="668">
        <v>2.92</v>
      </c>
      <c r="O35" s="1235"/>
      <c r="P35" s="668">
        <f t="shared" si="3"/>
        <v>10.511992121491325</v>
      </c>
      <c r="Q35" s="668">
        <f>14*J35/100</f>
        <v>28</v>
      </c>
      <c r="R35" s="1437">
        <v>5.3150000000000004</v>
      </c>
      <c r="S35" s="432">
        <v>10.4</v>
      </c>
      <c r="T35" s="670">
        <v>60.5</v>
      </c>
      <c r="U35" s="668">
        <f t="shared" si="0"/>
        <v>11.382878645343366</v>
      </c>
      <c r="V35" s="668">
        <f t="shared" si="4"/>
        <v>48.894230769230766</v>
      </c>
      <c r="W35" s="1192">
        <v>0.2</v>
      </c>
      <c r="X35" s="1172">
        <f t="shared" si="8"/>
        <v>0.37142857142857144</v>
      </c>
      <c r="Y35" s="432">
        <f t="shared" si="5"/>
        <v>5.25122</v>
      </c>
      <c r="Z35" s="432">
        <f t="shared" si="5"/>
        <v>10.2752</v>
      </c>
      <c r="AA35" s="670">
        <f t="shared" si="5"/>
        <v>59.774000000000001</v>
      </c>
      <c r="AB35" s="432">
        <f t="shared" si="6"/>
        <v>11.382878645343366</v>
      </c>
      <c r="AC35" s="699">
        <f t="shared" si="1"/>
        <v>48.894230769230766</v>
      </c>
      <c r="AD35" s="1235">
        <f t="shared" si="9"/>
        <v>30</v>
      </c>
      <c r="AE35" s="432">
        <f t="shared" si="2"/>
        <v>157.53659999999999</v>
      </c>
      <c r="AF35" s="1173"/>
      <c r="AH35" s="1124">
        <f t="shared" si="7"/>
        <v>10.511992121491325</v>
      </c>
      <c r="AI35" s="666">
        <v>0.88239999999999996</v>
      </c>
      <c r="AJ35" s="666">
        <v>1.024</v>
      </c>
      <c r="AK35" s="666">
        <v>8.1397160000000013E-4</v>
      </c>
    </row>
    <row r="36" spans="1:37" ht="18.75" customHeight="1" x14ac:dyDescent="0.2">
      <c r="A36" s="1191">
        <v>20</v>
      </c>
      <c r="B36" s="461" t="s">
        <v>40</v>
      </c>
      <c r="C36" s="1235" t="s">
        <v>46</v>
      </c>
      <c r="D36" s="1235">
        <v>604.16999999999996</v>
      </c>
      <c r="E36" s="1235" t="s">
        <v>689</v>
      </c>
      <c r="F36" s="1235">
        <v>177.8</v>
      </c>
      <c r="G36" s="1235" t="s">
        <v>28</v>
      </c>
      <c r="H36" s="1235" t="s">
        <v>592</v>
      </c>
      <c r="I36" s="1231">
        <v>565.36</v>
      </c>
      <c r="J36" s="1235">
        <v>100</v>
      </c>
      <c r="K36" s="1235"/>
      <c r="L36" s="670">
        <v>346</v>
      </c>
      <c r="M36" s="1235"/>
      <c r="N36" s="668">
        <v>2.4</v>
      </c>
      <c r="O36" s="1235"/>
      <c r="P36" s="668">
        <f t="shared" si="3"/>
        <v>23.506169160340232</v>
      </c>
      <c r="Q36" s="668">
        <f>RIGHT(H36,(FIND("T",H36,1)-0))*J36/100</f>
        <v>14</v>
      </c>
      <c r="R36" s="1437">
        <v>2.4500000000000002</v>
      </c>
      <c r="S36" s="432">
        <v>11.4</v>
      </c>
      <c r="T36" s="670">
        <v>15</v>
      </c>
      <c r="U36" s="668">
        <f>IF(R36=0,0,T36/R36)</f>
        <v>6.1224489795918364</v>
      </c>
      <c r="V36" s="668">
        <f t="shared" si="4"/>
        <v>78.508771929824547</v>
      </c>
      <c r="W36" s="1192">
        <v>0.2</v>
      </c>
      <c r="X36" s="1172">
        <f t="shared" si="8"/>
        <v>0.81428571428571428</v>
      </c>
      <c r="Y36" s="432">
        <f t="shared" si="5"/>
        <v>2.4206000000000003</v>
      </c>
      <c r="Z36" s="432">
        <f t="shared" si="5"/>
        <v>11.263199999999999</v>
      </c>
      <c r="AA36" s="670">
        <f t="shared" si="5"/>
        <v>14.82</v>
      </c>
      <c r="AB36" s="432">
        <f t="shared" si="6"/>
        <v>6.1224489795918364</v>
      </c>
      <c r="AC36" s="699">
        <v>70</v>
      </c>
      <c r="AD36" s="1235">
        <f t="shared" si="9"/>
        <v>30</v>
      </c>
      <c r="AE36" s="432">
        <f>Y36*AD36</f>
        <v>72.618000000000009</v>
      </c>
      <c r="AF36" s="1174"/>
      <c r="AH36" s="1124">
        <f t="shared" si="7"/>
        <v>23.506169160340232</v>
      </c>
      <c r="AI36" s="666">
        <v>0.91810000000000003</v>
      </c>
      <c r="AJ36" s="666">
        <v>1.0129999999999999</v>
      </c>
      <c r="AK36" s="666">
        <v>7.5858300000000007E-4</v>
      </c>
    </row>
    <row r="37" spans="1:37" ht="18.75" customHeight="1" x14ac:dyDescent="0.2">
      <c r="A37" s="1191">
        <v>21</v>
      </c>
      <c r="B37" s="461" t="s">
        <v>41</v>
      </c>
      <c r="C37" s="1235" t="s">
        <v>46</v>
      </c>
      <c r="D37" s="1235">
        <v>573.37</v>
      </c>
      <c r="E37" s="1235" t="s">
        <v>87</v>
      </c>
      <c r="F37" s="1235">
        <v>177.8</v>
      </c>
      <c r="G37" s="1235" t="s">
        <v>28</v>
      </c>
      <c r="H37" s="1235" t="s">
        <v>461</v>
      </c>
      <c r="I37" s="1231">
        <v>535.91</v>
      </c>
      <c r="J37" s="1074">
        <v>300</v>
      </c>
      <c r="K37" s="1235"/>
      <c r="L37" s="670">
        <v>446</v>
      </c>
      <c r="M37" s="1235"/>
      <c r="N37" s="668">
        <v>3.7</v>
      </c>
      <c r="O37" s="1235"/>
      <c r="P37" s="668">
        <f t="shared" si="3"/>
        <v>12.007713482902787</v>
      </c>
      <c r="Q37" s="668">
        <f>(20/100)*J37</f>
        <v>60</v>
      </c>
      <c r="R37" s="1437">
        <v>8.2899999999999991</v>
      </c>
      <c r="S37" s="432">
        <v>13.6</v>
      </c>
      <c r="T37" s="670">
        <v>171</v>
      </c>
      <c r="U37" s="668">
        <f t="shared" ref="U37:U84" si="10">IF(R37=0,0,T37/R37)</f>
        <v>20.627261761158024</v>
      </c>
      <c r="V37" s="668">
        <f t="shared" si="4"/>
        <v>39.044117647058826</v>
      </c>
      <c r="W37" s="1192">
        <v>0.2</v>
      </c>
      <c r="X37" s="1172">
        <f t="shared" si="8"/>
        <v>0.22666666666666666</v>
      </c>
      <c r="Y37" s="432">
        <f t="shared" si="5"/>
        <v>8.1905199999999994</v>
      </c>
      <c r="Z37" s="432">
        <f t="shared" si="5"/>
        <v>13.4368</v>
      </c>
      <c r="AA37" s="670">
        <f t="shared" si="5"/>
        <v>168.94800000000001</v>
      </c>
      <c r="AB37" s="432">
        <v>89.536086956521729</v>
      </c>
      <c r="AC37" s="699">
        <f t="shared" si="1"/>
        <v>39.044117647058826</v>
      </c>
      <c r="AD37" s="1235">
        <f t="shared" si="9"/>
        <v>30</v>
      </c>
      <c r="AE37" s="432">
        <f t="shared" si="2"/>
        <v>245.71559999999999</v>
      </c>
      <c r="AF37" s="1175"/>
      <c r="AH37" s="1124">
        <f t="shared" si="7"/>
        <v>12.007713482902787</v>
      </c>
      <c r="AI37" s="666">
        <v>0.90390000000000004</v>
      </c>
      <c r="AJ37" s="666">
        <v>1.0229999999999999</v>
      </c>
      <c r="AK37" s="666">
        <v>8.0193060000000006E-4</v>
      </c>
    </row>
    <row r="38" spans="1:37" ht="18.75" customHeight="1" x14ac:dyDescent="0.2">
      <c r="A38" s="1191">
        <v>22</v>
      </c>
      <c r="B38" s="461" t="s">
        <v>42</v>
      </c>
      <c r="C38" s="1235" t="s">
        <v>46</v>
      </c>
      <c r="D38" s="1235">
        <v>583.20000000000005</v>
      </c>
      <c r="E38" s="1235" t="s">
        <v>88</v>
      </c>
      <c r="F38" s="1235">
        <v>177.8</v>
      </c>
      <c r="G38" s="1235" t="s">
        <v>28</v>
      </c>
      <c r="H38" s="1235" t="s">
        <v>491</v>
      </c>
      <c r="I38" s="1231">
        <v>565.11</v>
      </c>
      <c r="J38" s="1074">
        <v>280</v>
      </c>
      <c r="K38" s="1235"/>
      <c r="L38" s="670">
        <v>143</v>
      </c>
      <c r="M38" s="1235"/>
      <c r="N38" s="668">
        <v>2</v>
      </c>
      <c r="O38" s="1235"/>
      <c r="P38" s="668">
        <f t="shared" si="3"/>
        <v>42.928638068497079</v>
      </c>
      <c r="Q38" s="668">
        <f>LEFT(H38,(FIND("K",H38,1)-1))*J38/100</f>
        <v>64.400000000000006</v>
      </c>
      <c r="R38" s="1437">
        <v>4.8600000000000003</v>
      </c>
      <c r="S38" s="432">
        <v>22.85</v>
      </c>
      <c r="T38" s="670">
        <v>17.5</v>
      </c>
      <c r="U38" s="668">
        <f t="shared" si="10"/>
        <v>3.6008230452674894</v>
      </c>
      <c r="V38" s="668">
        <f t="shared" si="4"/>
        <v>78.730853391684903</v>
      </c>
      <c r="W38" s="1192">
        <v>0.3</v>
      </c>
      <c r="X38" s="1172">
        <f t="shared" si="8"/>
        <v>0.35481366459627328</v>
      </c>
      <c r="Y38" s="432">
        <f t="shared" si="5"/>
        <v>4.8016800000000002</v>
      </c>
      <c r="Z38" s="432">
        <f t="shared" si="5"/>
        <v>22.575800000000001</v>
      </c>
      <c r="AA38" s="670">
        <f t="shared" si="5"/>
        <v>17.29</v>
      </c>
      <c r="AB38" s="432">
        <f t="shared" si="6"/>
        <v>3.6008230452674894</v>
      </c>
      <c r="AC38" s="670">
        <f t="shared" si="1"/>
        <v>78.730853391684903</v>
      </c>
      <c r="AD38" s="1235">
        <f t="shared" si="9"/>
        <v>30</v>
      </c>
      <c r="AE38" s="432">
        <f t="shared" si="2"/>
        <v>144.0504</v>
      </c>
      <c r="AF38" s="1174"/>
      <c r="AH38" s="1124">
        <f t="shared" si="7"/>
        <v>42.928638068497079</v>
      </c>
      <c r="AI38" s="666">
        <v>0.91690000000000005</v>
      </c>
      <c r="AJ38" s="666">
        <v>1.024</v>
      </c>
      <c r="AK38" s="666">
        <v>8.1276750000000011E-4</v>
      </c>
    </row>
    <row r="39" spans="1:37" ht="18.75" customHeight="1" x14ac:dyDescent="0.2">
      <c r="A39" s="1191">
        <v>23</v>
      </c>
      <c r="B39" s="461" t="s">
        <v>43</v>
      </c>
      <c r="C39" s="1235" t="s">
        <v>46</v>
      </c>
      <c r="D39" s="1235">
        <v>682.7</v>
      </c>
      <c r="E39" s="1235" t="s">
        <v>690</v>
      </c>
      <c r="F39" s="1235">
        <v>177.8</v>
      </c>
      <c r="G39" s="1235" t="s">
        <v>28</v>
      </c>
      <c r="H39" s="550" t="s">
        <v>685</v>
      </c>
      <c r="I39" s="446">
        <v>563.63</v>
      </c>
      <c r="J39" s="1235">
        <v>85</v>
      </c>
      <c r="K39" s="1235"/>
      <c r="L39" s="670">
        <v>323</v>
      </c>
      <c r="M39" s="1235"/>
      <c r="N39" s="668">
        <v>1.45</v>
      </c>
      <c r="O39" s="1235"/>
      <c r="P39" s="668">
        <f t="shared" si="3"/>
        <v>24.849533220480051</v>
      </c>
      <c r="Q39" s="668">
        <f>14*J39/100</f>
        <v>11.9</v>
      </c>
      <c r="R39" s="1437">
        <v>1.45</v>
      </c>
      <c r="S39" s="432">
        <v>12.33</v>
      </c>
      <c r="T39" s="670">
        <v>5</v>
      </c>
      <c r="U39" s="668">
        <f t="shared" si="10"/>
        <v>3.4482758620689657</v>
      </c>
      <c r="V39" s="668">
        <f t="shared" si="4"/>
        <v>88.240064882400659</v>
      </c>
      <c r="W39" s="1192">
        <v>0.2</v>
      </c>
      <c r="X39" s="1172">
        <f t="shared" si="8"/>
        <v>1.0361344537815125</v>
      </c>
      <c r="Y39" s="432">
        <v>8</v>
      </c>
      <c r="Z39" s="432">
        <f>S39</f>
        <v>12.33</v>
      </c>
      <c r="AA39" s="670">
        <f t="shared" si="5"/>
        <v>4.9399999999999995</v>
      </c>
      <c r="AB39" s="432">
        <f t="shared" si="6"/>
        <v>3.4482758620689657</v>
      </c>
      <c r="AC39" s="668">
        <f>(Z39-Y39)/Z39*100</f>
        <v>35.11759935117599</v>
      </c>
      <c r="AD39" s="1235">
        <f t="shared" si="9"/>
        <v>28</v>
      </c>
      <c r="AE39" s="432">
        <f t="shared" si="2"/>
        <v>224</v>
      </c>
      <c r="AF39" s="1173" t="s">
        <v>714</v>
      </c>
      <c r="AG39" s="666">
        <v>2</v>
      </c>
      <c r="AH39" s="1124">
        <f t="shared" si="7"/>
        <v>24.849533220480051</v>
      </c>
      <c r="AI39" s="666">
        <v>0.90100000000000002</v>
      </c>
      <c r="AJ39" s="666">
        <v>1.0169999999999999</v>
      </c>
      <c r="AK39" s="666">
        <v>7.7303220000000006E-4</v>
      </c>
    </row>
    <row r="40" spans="1:37" ht="18.75" customHeight="1" x14ac:dyDescent="0.2">
      <c r="A40" s="1191">
        <v>24</v>
      </c>
      <c r="B40" s="461" t="s">
        <v>44</v>
      </c>
      <c r="C40" s="1235" t="s">
        <v>46</v>
      </c>
      <c r="D40" s="1235">
        <v>614.27</v>
      </c>
      <c r="E40" s="1235" t="s">
        <v>593</v>
      </c>
      <c r="F40" s="1235">
        <v>177.8</v>
      </c>
      <c r="G40" s="1235" t="s">
        <v>28</v>
      </c>
      <c r="H40" s="550" t="s">
        <v>565</v>
      </c>
      <c r="I40" s="446">
        <v>580.03</v>
      </c>
      <c r="J40" s="1235">
        <v>130</v>
      </c>
      <c r="K40" s="1235"/>
      <c r="L40" s="670">
        <v>108</v>
      </c>
      <c r="M40" s="1235"/>
      <c r="N40" s="668">
        <v>1.8</v>
      </c>
      <c r="O40" s="1235"/>
      <c r="P40" s="668">
        <f t="shared" si="3"/>
        <v>47.955315348351306</v>
      </c>
      <c r="Q40" s="668">
        <f>(32/100)*J40</f>
        <v>41.6</v>
      </c>
      <c r="R40" s="1437">
        <v>4.55</v>
      </c>
      <c r="S40" s="432">
        <v>48.6</v>
      </c>
      <c r="T40" s="670">
        <v>113</v>
      </c>
      <c r="U40" s="668">
        <f t="shared" si="10"/>
        <v>24.835164835164836</v>
      </c>
      <c r="V40" s="668">
        <f t="shared" si="4"/>
        <v>90.637860082304528</v>
      </c>
      <c r="W40" s="1192">
        <v>0.2</v>
      </c>
      <c r="X40" s="1172">
        <f t="shared" si="8"/>
        <v>1.1682692307692308</v>
      </c>
      <c r="Y40" s="432">
        <f t="shared" si="5"/>
        <v>4.4954000000000001</v>
      </c>
      <c r="Z40" s="432">
        <f t="shared" si="5"/>
        <v>48.016800000000003</v>
      </c>
      <c r="AA40" s="670">
        <f t="shared" si="5"/>
        <v>111.64400000000001</v>
      </c>
      <c r="AB40" s="432">
        <f t="shared" si="6"/>
        <v>24.835164835164836</v>
      </c>
      <c r="AC40" s="670">
        <f t="shared" si="1"/>
        <v>90.637860082304528</v>
      </c>
      <c r="AD40" s="1235">
        <f t="shared" si="9"/>
        <v>30</v>
      </c>
      <c r="AE40" s="432">
        <f t="shared" si="2"/>
        <v>134.86199999999999</v>
      </c>
      <c r="AF40" s="1173"/>
      <c r="AH40" s="1124">
        <f t="shared" si="7"/>
        <v>47.955315348351306</v>
      </c>
      <c r="AI40" s="666">
        <v>0.89100000000000001</v>
      </c>
      <c r="AJ40" s="666">
        <v>1.022</v>
      </c>
      <c r="AK40" s="666">
        <v>9.3558570000000008E-4</v>
      </c>
    </row>
    <row r="41" spans="1:37" ht="18.75" customHeight="1" x14ac:dyDescent="0.2">
      <c r="A41" s="1191">
        <v>25</v>
      </c>
      <c r="B41" s="461" t="s">
        <v>45</v>
      </c>
      <c r="C41" s="1235" t="s">
        <v>46</v>
      </c>
      <c r="D41" s="1235">
        <v>636.4</v>
      </c>
      <c r="E41" s="1235" t="s">
        <v>595</v>
      </c>
      <c r="F41" s="1235">
        <v>177.8</v>
      </c>
      <c r="G41" s="1235" t="s">
        <v>28</v>
      </c>
      <c r="H41" s="1235" t="s">
        <v>684</v>
      </c>
      <c r="I41" s="1231">
        <v>554.16999999999996</v>
      </c>
      <c r="J41" s="1074">
        <v>110</v>
      </c>
      <c r="K41" s="1235"/>
      <c r="L41" s="670">
        <v>296</v>
      </c>
      <c r="M41" s="1235"/>
      <c r="N41" s="668">
        <v>4.5999999999999996</v>
      </c>
      <c r="O41" s="1235"/>
      <c r="P41" s="668">
        <f t="shared" si="3"/>
        <v>29.35641658106745</v>
      </c>
      <c r="Q41" s="668">
        <f>(32/100)*J41</f>
        <v>35.200000000000003</v>
      </c>
      <c r="R41" s="1437">
        <v>7.76</v>
      </c>
      <c r="S41" s="432">
        <v>29.45</v>
      </c>
      <c r="T41" s="670">
        <v>67</v>
      </c>
      <c r="U41" s="668">
        <f t="shared" si="10"/>
        <v>8.6340206185567006</v>
      </c>
      <c r="V41" s="668">
        <f t="shared" si="4"/>
        <v>73.650254668930387</v>
      </c>
      <c r="W41" s="1192">
        <v>0.2</v>
      </c>
      <c r="X41" s="1172">
        <f t="shared" si="8"/>
        <v>0.83664772727272718</v>
      </c>
      <c r="Y41" s="432">
        <f t="shared" si="5"/>
        <v>7.6668799999999999</v>
      </c>
      <c r="Z41" s="432">
        <f t="shared" si="5"/>
        <v>29.096599999999999</v>
      </c>
      <c r="AA41" s="670">
        <f t="shared" si="5"/>
        <v>66.195999999999998</v>
      </c>
      <c r="AB41" s="432">
        <f t="shared" si="6"/>
        <v>8.6340206185567006</v>
      </c>
      <c r="AC41" s="670">
        <f t="shared" si="1"/>
        <v>73.650254668930387</v>
      </c>
      <c r="AD41" s="1235">
        <f>(DAY(EOMONTH($AG$15,0))-AG41)</f>
        <v>30</v>
      </c>
      <c r="AE41" s="432">
        <f t="shared" si="2"/>
        <v>230.00639999999999</v>
      </c>
      <c r="AF41" s="1173"/>
      <c r="AH41" s="1124">
        <f t="shared" si="7"/>
        <v>29.35641658106745</v>
      </c>
      <c r="AI41" s="666">
        <v>0.89349999999999996</v>
      </c>
      <c r="AJ41" s="666">
        <v>1.024</v>
      </c>
      <c r="AK41" s="666">
        <v>7.2366409999999998E-4</v>
      </c>
    </row>
    <row r="42" spans="1:37" ht="18.75" customHeight="1" x14ac:dyDescent="0.2">
      <c r="A42" s="1191">
        <v>26</v>
      </c>
      <c r="B42" s="461" t="s">
        <v>56</v>
      </c>
      <c r="C42" s="1233" t="s">
        <v>46</v>
      </c>
      <c r="D42" s="1235">
        <v>680.52</v>
      </c>
      <c r="E42" s="461" t="s">
        <v>596</v>
      </c>
      <c r="F42" s="1235">
        <v>177.8</v>
      </c>
      <c r="G42" s="1235" t="s">
        <v>28</v>
      </c>
      <c r="H42" s="550" t="s">
        <v>349</v>
      </c>
      <c r="I42" s="1231">
        <v>583.46</v>
      </c>
      <c r="J42" s="1074"/>
      <c r="K42" s="1235"/>
      <c r="L42" s="670"/>
      <c r="M42" s="1235"/>
      <c r="N42" s="668"/>
      <c r="O42" s="1235"/>
      <c r="P42" s="668"/>
      <c r="Q42" s="668"/>
      <c r="R42" s="1437"/>
      <c r="S42" s="432"/>
      <c r="T42" s="670"/>
      <c r="U42" s="668"/>
      <c r="V42" s="668"/>
      <c r="W42" s="1192"/>
      <c r="X42" s="1172"/>
      <c r="Y42" s="432"/>
      <c r="Z42" s="432"/>
      <c r="AA42" s="670"/>
      <c r="AB42" s="432"/>
      <c r="AC42" s="670"/>
      <c r="AD42" s="1235"/>
      <c r="AE42" s="432"/>
      <c r="AF42" s="1173" t="s">
        <v>681</v>
      </c>
      <c r="AH42" s="1124">
        <f t="shared" si="7"/>
        <v>51.69303580814212</v>
      </c>
      <c r="AI42" s="666">
        <v>0.91510000000000002</v>
      </c>
      <c r="AJ42" s="666">
        <v>1.022</v>
      </c>
      <c r="AK42" s="666">
        <v>6.1000000000000004E-3</v>
      </c>
    </row>
    <row r="43" spans="1:37" ht="18.75" customHeight="1" x14ac:dyDescent="0.2">
      <c r="A43" s="1191">
        <v>27</v>
      </c>
      <c r="B43" s="461" t="s">
        <v>206</v>
      </c>
      <c r="C43" s="1235" t="s">
        <v>46</v>
      </c>
      <c r="D43" s="1235">
        <v>660.74</v>
      </c>
      <c r="E43" s="1235" t="s">
        <v>436</v>
      </c>
      <c r="F43" s="1235">
        <v>177.8</v>
      </c>
      <c r="G43" s="1235" t="s">
        <v>28</v>
      </c>
      <c r="H43" s="1235" t="s">
        <v>551</v>
      </c>
      <c r="I43" s="1231">
        <v>544.70000000000005</v>
      </c>
      <c r="J43" s="1235">
        <v>115</v>
      </c>
      <c r="K43" s="1235"/>
      <c r="L43" s="670">
        <v>123</v>
      </c>
      <c r="M43" s="1235"/>
      <c r="N43" s="668">
        <v>4</v>
      </c>
      <c r="O43" s="1235"/>
      <c r="P43" s="668">
        <f t="shared" si="3"/>
        <v>44.529948200404505</v>
      </c>
      <c r="Q43" s="668">
        <f>J43*22/100</f>
        <v>25.3</v>
      </c>
      <c r="R43" s="1437">
        <v>5</v>
      </c>
      <c r="S43" s="432">
        <v>24</v>
      </c>
      <c r="T43" s="670">
        <v>39</v>
      </c>
      <c r="U43" s="668">
        <f t="shared" si="10"/>
        <v>7.8</v>
      </c>
      <c r="V43" s="668">
        <f t="shared" si="4"/>
        <v>79.166666666666657</v>
      </c>
      <c r="W43" s="1192">
        <v>0.2</v>
      </c>
      <c r="X43" s="1172">
        <f t="shared" si="8"/>
        <v>0.9486166007905138</v>
      </c>
      <c r="Y43" s="432">
        <f t="shared" si="5"/>
        <v>4.9399999999999995</v>
      </c>
      <c r="Z43" s="432">
        <f t="shared" si="5"/>
        <v>23.712</v>
      </c>
      <c r="AA43" s="670">
        <f t="shared" si="5"/>
        <v>38.531999999999996</v>
      </c>
      <c r="AB43" s="432">
        <f t="shared" si="6"/>
        <v>7.8</v>
      </c>
      <c r="AC43" s="670">
        <f t="shared" si="1"/>
        <v>79.166666666666657</v>
      </c>
      <c r="AD43" s="1235">
        <f t="shared" ref="AD43:AD84" si="11">(DAY(EOMONTH($AG$15,0))-AG43)</f>
        <v>30</v>
      </c>
      <c r="AE43" s="432">
        <f t="shared" si="2"/>
        <v>148.19999999999999</v>
      </c>
      <c r="AF43" s="1173"/>
      <c r="AH43" s="1124">
        <f t="shared" si="7"/>
        <v>44.529948200404505</v>
      </c>
      <c r="AI43" s="666">
        <v>0.89929999999999999</v>
      </c>
      <c r="AJ43" s="666">
        <v>1.0169999999999999</v>
      </c>
      <c r="AK43" s="666">
        <v>7.7303220000000006E-4</v>
      </c>
    </row>
    <row r="44" spans="1:37" ht="18.75" customHeight="1" x14ac:dyDescent="0.2">
      <c r="A44" s="1191">
        <v>28</v>
      </c>
      <c r="B44" s="1232" t="s">
        <v>161</v>
      </c>
      <c r="C44" s="1235" t="s">
        <v>46</v>
      </c>
      <c r="D44" s="1231">
        <v>677</v>
      </c>
      <c r="E44" s="679" t="s">
        <v>178</v>
      </c>
      <c r="F44" s="1235">
        <v>177.8</v>
      </c>
      <c r="G44" s="1235" t="s">
        <v>28</v>
      </c>
      <c r="H44" s="550" t="s">
        <v>565</v>
      </c>
      <c r="I44" s="1231">
        <v>553.30999999999995</v>
      </c>
      <c r="J44" s="1231">
        <v>220</v>
      </c>
      <c r="K44" s="1231"/>
      <c r="L44" s="492">
        <v>413</v>
      </c>
      <c r="M44" s="1231"/>
      <c r="N44" s="668">
        <v>2.2000000000000002</v>
      </c>
      <c r="O44" s="1231"/>
      <c r="P44" s="668">
        <f t="shared" si="3"/>
        <v>15.537629408291387</v>
      </c>
      <c r="Q44" s="668">
        <f>J44*33/100</f>
        <v>72.599999999999994</v>
      </c>
      <c r="R44" s="1437">
        <v>8.1</v>
      </c>
      <c r="S44" s="432">
        <v>25.24</v>
      </c>
      <c r="T44" s="492">
        <v>150</v>
      </c>
      <c r="U44" s="668">
        <f t="shared" si="10"/>
        <v>18.518518518518519</v>
      </c>
      <c r="V44" s="668">
        <f t="shared" si="4"/>
        <v>67.908082408874805</v>
      </c>
      <c r="W44" s="1192">
        <v>0.2</v>
      </c>
      <c r="X44" s="1172">
        <f t="shared" si="8"/>
        <v>0.34765840220385674</v>
      </c>
      <c r="Y44" s="432">
        <f t="shared" si="5"/>
        <v>8.0027999999999988</v>
      </c>
      <c r="Z44" s="432">
        <f t="shared" si="5"/>
        <v>24.937119999999997</v>
      </c>
      <c r="AA44" s="670">
        <f t="shared" si="5"/>
        <v>148.19999999999999</v>
      </c>
      <c r="AB44" s="432">
        <f t="shared" si="6"/>
        <v>18.518518518518519</v>
      </c>
      <c r="AC44" s="670">
        <f t="shared" si="1"/>
        <v>67.908082408874805</v>
      </c>
      <c r="AD44" s="1235">
        <f t="shared" si="11"/>
        <v>30</v>
      </c>
      <c r="AE44" s="432">
        <f t="shared" si="2"/>
        <v>240.08399999999997</v>
      </c>
      <c r="AF44" s="1174"/>
      <c r="AH44" s="1124">
        <f t="shared" si="7"/>
        <v>15.537629408291387</v>
      </c>
      <c r="AI44" s="666">
        <v>0.88949999999999996</v>
      </c>
      <c r="AJ44" s="666">
        <v>1.0209999999999999</v>
      </c>
      <c r="AK44" s="666">
        <v>1.0307096000000001E-3</v>
      </c>
    </row>
    <row r="45" spans="1:37" ht="18.75" customHeight="1" x14ac:dyDescent="0.2">
      <c r="A45" s="1191">
        <v>29</v>
      </c>
      <c r="B45" s="1232" t="s">
        <v>162</v>
      </c>
      <c r="C45" s="1235" t="s">
        <v>46</v>
      </c>
      <c r="D45" s="1231">
        <v>676.97</v>
      </c>
      <c r="E45" s="679" t="s">
        <v>437</v>
      </c>
      <c r="F45" s="1235">
        <v>177.8</v>
      </c>
      <c r="G45" s="1235" t="s">
        <v>28</v>
      </c>
      <c r="H45" s="550" t="s">
        <v>588</v>
      </c>
      <c r="I45" s="1231">
        <v>550.59</v>
      </c>
      <c r="J45" s="493">
        <v>85</v>
      </c>
      <c r="K45" s="1231"/>
      <c r="L45" s="670">
        <v>423</v>
      </c>
      <c r="M45" s="1231"/>
      <c r="N45" s="668">
        <v>0.3</v>
      </c>
      <c r="O45" s="1231"/>
      <c r="P45" s="668">
        <f t="shared" si="3"/>
        <v>11.850052132734428</v>
      </c>
      <c r="Q45" s="668">
        <f>RIGHT(H45,(FIND("T",H45,1)-0))*J45/100</f>
        <v>11.9</v>
      </c>
      <c r="R45" s="1437">
        <v>1.5</v>
      </c>
      <c r="S45" s="432">
        <v>1.9</v>
      </c>
      <c r="T45" s="492">
        <v>3.8</v>
      </c>
      <c r="U45" s="668">
        <f t="shared" si="10"/>
        <v>2.5333333333333332</v>
      </c>
      <c r="V45" s="668">
        <f t="shared" si="4"/>
        <v>21.052631578947363</v>
      </c>
      <c r="W45" s="1192">
        <v>0.2</v>
      </c>
      <c r="X45" s="1172">
        <f t="shared" si="8"/>
        <v>0.15966386554621848</v>
      </c>
      <c r="Y45" s="432">
        <f t="shared" si="5"/>
        <v>1.482</v>
      </c>
      <c r="Z45" s="432">
        <f t="shared" si="5"/>
        <v>1.8772</v>
      </c>
      <c r="AA45" s="670">
        <f t="shared" si="5"/>
        <v>3.7544</v>
      </c>
      <c r="AB45" s="432">
        <f t="shared" si="6"/>
        <v>2.5333333333333332</v>
      </c>
      <c r="AC45" s="670">
        <f t="shared" si="1"/>
        <v>21.052631578947363</v>
      </c>
      <c r="AD45" s="1235">
        <f t="shared" si="11"/>
        <v>30</v>
      </c>
      <c r="AE45" s="432">
        <f t="shared" si="2"/>
        <v>44.46</v>
      </c>
      <c r="AF45" s="1174"/>
      <c r="AH45" s="1124">
        <f t="shared" si="7"/>
        <v>11.850052132734428</v>
      </c>
      <c r="AI45" s="666">
        <v>0.90820000000000001</v>
      </c>
      <c r="AJ45" s="666">
        <v>1.0229999999999999</v>
      </c>
      <c r="AK45" s="666">
        <v>7.9591010000000008E-4</v>
      </c>
    </row>
    <row r="46" spans="1:37" ht="18.75" customHeight="1" x14ac:dyDescent="0.2">
      <c r="A46" s="1191">
        <v>30</v>
      </c>
      <c r="B46" s="1232" t="s">
        <v>163</v>
      </c>
      <c r="C46" s="1235" t="s">
        <v>46</v>
      </c>
      <c r="D46" s="1231">
        <v>579</v>
      </c>
      <c r="E46" s="1235" t="s">
        <v>597</v>
      </c>
      <c r="F46" s="1235">
        <v>177.8</v>
      </c>
      <c r="G46" s="1235" t="s">
        <v>28</v>
      </c>
      <c r="H46" s="550" t="s">
        <v>685</v>
      </c>
      <c r="I46" s="1231">
        <v>551.54999999999995</v>
      </c>
      <c r="J46" s="1231">
        <v>110</v>
      </c>
      <c r="K46" s="1231"/>
      <c r="L46" s="492">
        <v>440</v>
      </c>
      <c r="M46" s="1231"/>
      <c r="N46" s="668">
        <v>0.11</v>
      </c>
      <c r="O46" s="1231"/>
      <c r="P46" s="668">
        <f t="shared" si="3"/>
        <v>10.089015619121346</v>
      </c>
      <c r="Q46" s="668">
        <f>14*J46/100</f>
        <v>15.4</v>
      </c>
      <c r="R46" s="1437">
        <v>2.78</v>
      </c>
      <c r="S46" s="432">
        <v>3.55</v>
      </c>
      <c r="T46" s="492">
        <v>48</v>
      </c>
      <c r="U46" s="668">
        <f t="shared" si="10"/>
        <v>17.266187050359715</v>
      </c>
      <c r="V46" s="668">
        <f t="shared" si="4"/>
        <v>21.690140845070424</v>
      </c>
      <c r="W46" s="1192">
        <v>0.2</v>
      </c>
      <c r="X46" s="1172">
        <f t="shared" si="8"/>
        <v>0.23051948051948051</v>
      </c>
      <c r="Y46" s="432">
        <f t="shared" si="5"/>
        <v>2.7466399999999997</v>
      </c>
      <c r="Z46" s="432">
        <f t="shared" si="5"/>
        <v>3.5073999999999996</v>
      </c>
      <c r="AA46" s="670">
        <f t="shared" si="5"/>
        <v>47.423999999999999</v>
      </c>
      <c r="AB46" s="432">
        <f t="shared" si="6"/>
        <v>17.266187050359715</v>
      </c>
      <c r="AC46" s="670">
        <f t="shared" si="1"/>
        <v>21.690140845070424</v>
      </c>
      <c r="AD46" s="1235">
        <f t="shared" si="11"/>
        <v>30</v>
      </c>
      <c r="AE46" s="432">
        <f t="shared" si="2"/>
        <v>82.399199999999993</v>
      </c>
      <c r="AF46" s="1174"/>
      <c r="AH46" s="1124">
        <f t="shared" si="7"/>
        <v>10.089015619121346</v>
      </c>
      <c r="AI46" s="666">
        <v>0.89559999999999995</v>
      </c>
      <c r="AJ46" s="666">
        <v>1.012</v>
      </c>
      <c r="AK46" s="666">
        <v>7.9591010000000008E-4</v>
      </c>
    </row>
    <row r="47" spans="1:37" ht="18.75" customHeight="1" x14ac:dyDescent="0.2">
      <c r="A47" s="1191">
        <v>31</v>
      </c>
      <c r="B47" s="461" t="s">
        <v>59</v>
      </c>
      <c r="C47" s="1235" t="s">
        <v>46</v>
      </c>
      <c r="D47" s="1235">
        <v>615</v>
      </c>
      <c r="E47" s="1235" t="s">
        <v>454</v>
      </c>
      <c r="F47" s="1235">
        <v>177.8</v>
      </c>
      <c r="G47" s="1235" t="s">
        <v>28</v>
      </c>
      <c r="H47" s="550" t="s">
        <v>686</v>
      </c>
      <c r="I47" s="1231">
        <v>539.24</v>
      </c>
      <c r="J47" s="1235">
        <v>310</v>
      </c>
      <c r="K47" s="1235"/>
      <c r="L47" s="670">
        <v>425</v>
      </c>
      <c r="M47" s="1235"/>
      <c r="N47" s="668">
        <v>3</v>
      </c>
      <c r="O47" s="1235"/>
      <c r="P47" s="668">
        <f t="shared" si="3"/>
        <v>13.641550376832571</v>
      </c>
      <c r="Q47" s="668">
        <f>20*J47/100</f>
        <v>62</v>
      </c>
      <c r="R47" s="1437">
        <v>3</v>
      </c>
      <c r="S47" s="432">
        <v>6</v>
      </c>
      <c r="T47" s="670">
        <v>10</v>
      </c>
      <c r="U47" s="668">
        <f t="shared" si="10"/>
        <v>3.3333333333333335</v>
      </c>
      <c r="V47" s="668">
        <f t="shared" si="4"/>
        <v>50</v>
      </c>
      <c r="W47" s="1192">
        <v>0.2</v>
      </c>
      <c r="X47" s="1172">
        <f t="shared" si="8"/>
        <v>9.6774193548387094E-2</v>
      </c>
      <c r="Y47" s="432">
        <f t="shared" si="5"/>
        <v>2.964</v>
      </c>
      <c r="Z47" s="432">
        <f t="shared" si="5"/>
        <v>5.9279999999999999</v>
      </c>
      <c r="AA47" s="670">
        <f t="shared" si="5"/>
        <v>9.879999999999999</v>
      </c>
      <c r="AB47" s="432">
        <f>U47</f>
        <v>3.3333333333333335</v>
      </c>
      <c r="AC47" s="670">
        <f t="shared" si="1"/>
        <v>50</v>
      </c>
      <c r="AD47" s="1235">
        <f t="shared" si="11"/>
        <v>30</v>
      </c>
      <c r="AE47" s="432">
        <f t="shared" si="2"/>
        <v>88.92</v>
      </c>
      <c r="AF47" s="1174"/>
      <c r="AH47" s="1124">
        <f t="shared" si="7"/>
        <v>13.641550376832571</v>
      </c>
      <c r="AI47" s="666">
        <v>0.90149999999999997</v>
      </c>
      <c r="AJ47" s="666">
        <v>1.0169999999999999</v>
      </c>
      <c r="AK47" s="666">
        <v>7.7447712000000004E-4</v>
      </c>
    </row>
    <row r="48" spans="1:37" ht="18.600000000000001" customHeight="1" x14ac:dyDescent="0.2">
      <c r="A48" s="1191">
        <v>32</v>
      </c>
      <c r="B48" s="461" t="s">
        <v>207</v>
      </c>
      <c r="C48" s="1235" t="s">
        <v>46</v>
      </c>
      <c r="D48" s="1235">
        <v>674.39</v>
      </c>
      <c r="E48" s="1235" t="s">
        <v>598</v>
      </c>
      <c r="F48" s="1235">
        <v>177.8</v>
      </c>
      <c r="G48" s="1235" t="s">
        <v>28</v>
      </c>
      <c r="H48" s="550" t="s">
        <v>466</v>
      </c>
      <c r="I48" s="1231">
        <v>571.19000000000005</v>
      </c>
      <c r="J48" s="1235">
        <v>310</v>
      </c>
      <c r="K48" s="1235"/>
      <c r="L48" s="670">
        <v>368</v>
      </c>
      <c r="M48" s="1235"/>
      <c r="N48" s="668">
        <v>3.5</v>
      </c>
      <c r="O48" s="1235"/>
      <c r="P48" s="668">
        <f t="shared" si="3"/>
        <v>22.918742844846118</v>
      </c>
      <c r="Q48" s="668">
        <f t="shared" ref="Q48:Q49" si="12">LEFT(H48,(FIND("E",H48,1)-1))*J48/100</f>
        <v>40.299999999999997</v>
      </c>
      <c r="R48" s="1437">
        <v>6.8</v>
      </c>
      <c r="S48" s="432">
        <v>21.36</v>
      </c>
      <c r="T48" s="670">
        <v>11</v>
      </c>
      <c r="U48" s="668">
        <f t="shared" si="10"/>
        <v>1.6176470588235294</v>
      </c>
      <c r="V48" s="668">
        <f t="shared" si="4"/>
        <v>68.164794007490642</v>
      </c>
      <c r="W48" s="1192">
        <v>0.3</v>
      </c>
      <c r="X48" s="1172">
        <f t="shared" si="8"/>
        <v>0.53002481389578171</v>
      </c>
      <c r="Y48" s="432">
        <f t="shared" si="5"/>
        <v>6.7183999999999999</v>
      </c>
      <c r="Z48" s="432">
        <f t="shared" si="5"/>
        <v>21.103680000000001</v>
      </c>
      <c r="AA48" s="670">
        <f t="shared" si="5"/>
        <v>10.868</v>
      </c>
      <c r="AB48" s="432">
        <f>U48</f>
        <v>1.6176470588235294</v>
      </c>
      <c r="AC48" s="670">
        <f t="shared" si="1"/>
        <v>68.164794007490642</v>
      </c>
      <c r="AD48" s="1235">
        <f t="shared" si="11"/>
        <v>30</v>
      </c>
      <c r="AE48" s="432">
        <f t="shared" si="2"/>
        <v>201.55199999999999</v>
      </c>
      <c r="AF48" s="1174"/>
      <c r="AH48" s="1124">
        <f t="shared" si="7"/>
        <v>22.918742844846118</v>
      </c>
      <c r="AI48" s="666">
        <v>0.90359999999999996</v>
      </c>
      <c r="AJ48" s="666">
        <v>1.024</v>
      </c>
      <c r="AK48" s="666">
        <v>7.9591010000000008E-4</v>
      </c>
    </row>
    <row r="49" spans="1:37" ht="18.600000000000001" customHeight="1" x14ac:dyDescent="0.2">
      <c r="A49" s="1191">
        <v>33</v>
      </c>
      <c r="B49" s="461" t="s">
        <v>599</v>
      </c>
      <c r="C49" s="1235" t="s">
        <v>46</v>
      </c>
      <c r="D49" s="668">
        <v>684.01</v>
      </c>
      <c r="E49" s="1235" t="s">
        <v>600</v>
      </c>
      <c r="F49" s="1235">
        <v>177.8</v>
      </c>
      <c r="G49" s="1235" t="s">
        <v>28</v>
      </c>
      <c r="H49" s="550" t="s">
        <v>466</v>
      </c>
      <c r="I49" s="1231">
        <v>556.66</v>
      </c>
      <c r="J49" s="1235">
        <v>215</v>
      </c>
      <c r="K49" s="1235"/>
      <c r="L49" s="1214">
        <v>470</v>
      </c>
      <c r="M49" s="1235"/>
      <c r="N49" s="671">
        <v>21.25</v>
      </c>
      <c r="O49" s="1235"/>
      <c r="P49" s="668">
        <f t="shared" si="3"/>
        <v>29.667720041072627</v>
      </c>
      <c r="Q49" s="668">
        <f t="shared" si="12"/>
        <v>27.95</v>
      </c>
      <c r="R49" s="1437">
        <v>4.3</v>
      </c>
      <c r="S49" s="432">
        <v>16</v>
      </c>
      <c r="T49" s="670">
        <v>43.5</v>
      </c>
      <c r="U49" s="668">
        <f t="shared" si="10"/>
        <v>10.116279069767442</v>
      </c>
      <c r="V49" s="668">
        <f t="shared" si="4"/>
        <v>73.125</v>
      </c>
      <c r="W49" s="1192">
        <v>0.2</v>
      </c>
      <c r="X49" s="1172">
        <f t="shared" si="8"/>
        <v>0.57245080500894452</v>
      </c>
      <c r="Y49" s="432">
        <f t="shared" si="5"/>
        <v>4.2484000000000002</v>
      </c>
      <c r="Z49" s="432">
        <f t="shared" si="5"/>
        <v>15.808</v>
      </c>
      <c r="AA49" s="670">
        <f t="shared" si="5"/>
        <v>42.978000000000002</v>
      </c>
      <c r="AB49" s="432">
        <f>U49</f>
        <v>10.116279069767442</v>
      </c>
      <c r="AC49" s="670">
        <f t="shared" si="1"/>
        <v>73.125</v>
      </c>
      <c r="AD49" s="1235">
        <f t="shared" si="11"/>
        <v>30</v>
      </c>
      <c r="AE49" s="432">
        <f t="shared" si="2"/>
        <v>127.452</v>
      </c>
      <c r="AF49" s="1174"/>
      <c r="AH49" s="1124">
        <f t="shared" si="7"/>
        <v>29.667720041072627</v>
      </c>
      <c r="AI49" s="666">
        <v>0.9204</v>
      </c>
      <c r="AJ49" s="666">
        <v>1.028</v>
      </c>
      <c r="AK49" s="666">
        <v>7.7447712000000004E-4</v>
      </c>
    </row>
    <row r="50" spans="1:37" ht="18.75" customHeight="1" x14ac:dyDescent="0.25">
      <c r="A50" s="1191">
        <v>34</v>
      </c>
      <c r="B50" s="461" t="s">
        <v>196</v>
      </c>
      <c r="C50" s="1235" t="s">
        <v>46</v>
      </c>
      <c r="D50" s="1235">
        <v>641</v>
      </c>
      <c r="E50" s="1235" t="s">
        <v>619</v>
      </c>
      <c r="F50" s="1235">
        <v>177.8</v>
      </c>
      <c r="G50" s="1235" t="s">
        <v>28</v>
      </c>
      <c r="H50" s="1235" t="s">
        <v>50</v>
      </c>
      <c r="I50" s="1231">
        <v>607.85</v>
      </c>
      <c r="J50" s="1235"/>
      <c r="K50" s="700">
        <v>58.46</v>
      </c>
      <c r="L50" s="1215"/>
      <c r="M50" s="675">
        <v>0.3</v>
      </c>
      <c r="N50" s="1194"/>
      <c r="O50" s="1235"/>
      <c r="P50" s="668">
        <f t="shared" si="3"/>
        <v>52.724000149518879</v>
      </c>
      <c r="Q50" s="668"/>
      <c r="R50" s="1437"/>
      <c r="S50" s="432"/>
      <c r="T50" s="670"/>
      <c r="U50" s="668"/>
      <c r="V50" s="668"/>
      <c r="W50" s="1192"/>
      <c r="X50" s="1172"/>
      <c r="Y50" s="432"/>
      <c r="Z50" s="432"/>
      <c r="AA50" s="670"/>
      <c r="AB50" s="432"/>
      <c r="AC50" s="670"/>
      <c r="AD50" s="1235"/>
      <c r="AE50" s="432"/>
      <c r="AF50" s="1173" t="s">
        <v>682</v>
      </c>
      <c r="AH50" s="1124">
        <f t="shared" si="7"/>
        <v>52.724000149518879</v>
      </c>
      <c r="AI50" s="666">
        <v>0.89590000000000003</v>
      </c>
      <c r="AJ50" s="666">
        <v>1.0169999999999999</v>
      </c>
      <c r="AK50" s="666">
        <v>1.1667729E-3</v>
      </c>
    </row>
    <row r="51" spans="1:37" ht="18.75" customHeight="1" x14ac:dyDescent="0.2">
      <c r="A51" s="1191">
        <v>35</v>
      </c>
      <c r="B51" s="461" t="s">
        <v>60</v>
      </c>
      <c r="C51" s="1235" t="s">
        <v>46</v>
      </c>
      <c r="D51" s="1235">
        <v>641.04999999999995</v>
      </c>
      <c r="E51" s="1235" t="s">
        <v>462</v>
      </c>
      <c r="F51" s="1235">
        <v>177.8</v>
      </c>
      <c r="G51" s="1235" t="s">
        <v>28</v>
      </c>
      <c r="H51" s="550" t="s">
        <v>592</v>
      </c>
      <c r="I51" s="1231">
        <v>532.98</v>
      </c>
      <c r="J51" s="1074">
        <v>320</v>
      </c>
      <c r="K51" s="1235"/>
      <c r="L51" s="670">
        <v>443</v>
      </c>
      <c r="M51" s="1235"/>
      <c r="N51" s="668">
        <v>3.9</v>
      </c>
      <c r="O51" s="1235"/>
      <c r="P51" s="668">
        <f t="shared" si="3"/>
        <v>12.42351259221671</v>
      </c>
      <c r="Q51" s="668">
        <f>RIGHT(H51,(FIND("T",H51,1)-0))*J51/100</f>
        <v>44.8</v>
      </c>
      <c r="R51" s="1437">
        <v>4.5</v>
      </c>
      <c r="S51" s="432">
        <v>13.1</v>
      </c>
      <c r="T51" s="670">
        <v>157</v>
      </c>
      <c r="U51" s="668">
        <f t="shared" si="10"/>
        <v>34.888888888888886</v>
      </c>
      <c r="V51" s="668">
        <f t="shared" si="4"/>
        <v>65.648854961832058</v>
      </c>
      <c r="W51" s="1192">
        <v>0.2</v>
      </c>
      <c r="X51" s="1172">
        <f t="shared" si="8"/>
        <v>0.2924107142857143</v>
      </c>
      <c r="Y51" s="432">
        <f t="shared" si="5"/>
        <v>4.4459999999999997</v>
      </c>
      <c r="Z51" s="432">
        <f t="shared" si="5"/>
        <v>12.9428</v>
      </c>
      <c r="AA51" s="670">
        <f t="shared" si="5"/>
        <v>155.11599999999999</v>
      </c>
      <c r="AB51" s="432">
        <f t="shared" si="6"/>
        <v>34.888888888888886</v>
      </c>
      <c r="AC51" s="670">
        <f t="shared" si="1"/>
        <v>65.648854961832058</v>
      </c>
      <c r="AD51" s="1235">
        <f t="shared" si="11"/>
        <v>30</v>
      </c>
      <c r="AE51" s="432">
        <f t="shared" si="2"/>
        <v>133.38</v>
      </c>
      <c r="AF51" s="1174"/>
      <c r="AH51" s="1124">
        <f t="shared" si="7"/>
        <v>12.42351259221671</v>
      </c>
      <c r="AI51" s="666">
        <v>0.88219999999999998</v>
      </c>
      <c r="AJ51" s="666">
        <v>1.02</v>
      </c>
      <c r="AK51" s="666">
        <v>1.1667729E-3</v>
      </c>
    </row>
    <row r="52" spans="1:37" ht="18.75" customHeight="1" x14ac:dyDescent="0.2">
      <c r="A52" s="1191">
        <v>36</v>
      </c>
      <c r="B52" s="461" t="s">
        <v>119</v>
      </c>
      <c r="C52" s="1235" t="s">
        <v>404</v>
      </c>
      <c r="D52" s="1235">
        <v>654.07000000000005</v>
      </c>
      <c r="E52" s="1235" t="s">
        <v>410</v>
      </c>
      <c r="F52" s="1235">
        <v>177.8</v>
      </c>
      <c r="G52" s="1235" t="s">
        <v>28</v>
      </c>
      <c r="H52" s="1235" t="s">
        <v>566</v>
      </c>
      <c r="I52" s="1231">
        <v>500.38</v>
      </c>
      <c r="J52" s="1235"/>
      <c r="K52" s="1235">
        <v>478</v>
      </c>
      <c r="L52" s="670"/>
      <c r="M52" s="1235">
        <v>0</v>
      </c>
      <c r="N52" s="668"/>
      <c r="O52" s="1235"/>
      <c r="P52" s="668">
        <f t="shared" si="3"/>
        <v>42.733666838193933</v>
      </c>
      <c r="Q52" s="668"/>
      <c r="R52" s="1437"/>
      <c r="S52" s="432"/>
      <c r="T52" s="670"/>
      <c r="U52" s="668"/>
      <c r="V52" s="668"/>
      <c r="W52" s="1192"/>
      <c r="X52" s="1172"/>
      <c r="Y52" s="432"/>
      <c r="Z52" s="432"/>
      <c r="AA52" s="670"/>
      <c r="AB52" s="432"/>
      <c r="AC52" s="670"/>
      <c r="AD52" s="1235"/>
      <c r="AE52" s="432"/>
      <c r="AF52" s="1173" t="s">
        <v>682</v>
      </c>
      <c r="AH52" s="1124">
        <f t="shared" si="7"/>
        <v>42.733666838193933</v>
      </c>
      <c r="AI52" s="666">
        <v>0.8821</v>
      </c>
      <c r="AJ52" s="666">
        <v>1.018</v>
      </c>
      <c r="AK52" s="666">
        <v>1.0764654000000001E-3</v>
      </c>
    </row>
    <row r="53" spans="1:37" ht="18.75" customHeight="1" x14ac:dyDescent="0.2">
      <c r="A53" s="1191">
        <v>37</v>
      </c>
      <c r="B53" s="461" t="s">
        <v>118</v>
      </c>
      <c r="C53" s="1235" t="s">
        <v>408</v>
      </c>
      <c r="D53" s="1235">
        <v>728.77</v>
      </c>
      <c r="E53" s="1235" t="s">
        <v>442</v>
      </c>
      <c r="F53" s="1235">
        <v>177.8</v>
      </c>
      <c r="G53" s="1235" t="s">
        <v>28</v>
      </c>
      <c r="H53" s="550" t="s">
        <v>52</v>
      </c>
      <c r="I53" s="1231">
        <v>517.84</v>
      </c>
      <c r="J53" s="1235">
        <v>310</v>
      </c>
      <c r="K53" s="1235"/>
      <c r="L53" s="670">
        <v>375</v>
      </c>
      <c r="M53" s="1235"/>
      <c r="N53" s="668">
        <v>3.7999999999999999E-2</v>
      </c>
      <c r="O53" s="1235"/>
      <c r="P53" s="668">
        <f t="shared" si="3"/>
        <v>13.733014014975375</v>
      </c>
      <c r="Q53" s="668">
        <f>LEFT(H53,(FIND("K",H53,1)-1))*J53/100</f>
        <v>68.2</v>
      </c>
      <c r="R53" s="1437">
        <v>5.4480000000000004</v>
      </c>
      <c r="S53" s="432">
        <v>17</v>
      </c>
      <c r="T53" s="670">
        <v>19</v>
      </c>
      <c r="U53" s="668">
        <f t="shared" si="10"/>
        <v>3.4875183553597648</v>
      </c>
      <c r="V53" s="668">
        <f t="shared" si="4"/>
        <v>67.952941176470588</v>
      </c>
      <c r="W53" s="1192">
        <v>0.2</v>
      </c>
      <c r="X53" s="1172">
        <f t="shared" si="8"/>
        <v>0.24926686217008798</v>
      </c>
      <c r="Y53" s="432">
        <f t="shared" si="5"/>
        <v>5.3826240000000007</v>
      </c>
      <c r="Z53" s="432">
        <f t="shared" si="5"/>
        <v>16.795999999999999</v>
      </c>
      <c r="AA53" s="670">
        <f t="shared" si="5"/>
        <v>18.771999999999998</v>
      </c>
      <c r="AB53" s="432">
        <f t="shared" si="6"/>
        <v>3.4875183553597648</v>
      </c>
      <c r="AC53" s="670">
        <f t="shared" si="1"/>
        <v>67.952941176470588</v>
      </c>
      <c r="AD53" s="1235">
        <f t="shared" si="11"/>
        <v>30</v>
      </c>
      <c r="AE53" s="432">
        <f t="shared" si="2"/>
        <v>161.47872000000001</v>
      </c>
      <c r="AF53" s="1174"/>
      <c r="AH53" s="1124">
        <f t="shared" si="7"/>
        <v>13.733014014975375</v>
      </c>
      <c r="AI53" s="666">
        <v>0.91839999999999999</v>
      </c>
      <c r="AJ53" s="666">
        <v>1.0209999999999999</v>
      </c>
      <c r="AK53" s="666">
        <v>8.2480850000000007E-4</v>
      </c>
    </row>
    <row r="54" spans="1:37" ht="18.75" customHeight="1" x14ac:dyDescent="0.2">
      <c r="A54" s="1191">
        <v>38</v>
      </c>
      <c r="B54" s="461" t="s">
        <v>117</v>
      </c>
      <c r="C54" s="1235" t="s">
        <v>46</v>
      </c>
      <c r="D54" s="1235">
        <v>671.45</v>
      </c>
      <c r="E54" s="1235" t="s">
        <v>554</v>
      </c>
      <c r="F54" s="1235">
        <v>177.8</v>
      </c>
      <c r="G54" s="1235" t="s">
        <v>28</v>
      </c>
      <c r="H54" s="550" t="s">
        <v>588</v>
      </c>
      <c r="I54" s="1231">
        <v>564.6500000000002</v>
      </c>
      <c r="J54" s="1074"/>
      <c r="K54" s="1235"/>
      <c r="L54" s="670"/>
      <c r="M54" s="1235">
        <v>3.2</v>
      </c>
      <c r="N54" s="668"/>
      <c r="O54" s="1235"/>
      <c r="P54" s="668">
        <f t="shared" si="3"/>
        <v>49.906249621021495</v>
      </c>
      <c r="Q54" s="668"/>
      <c r="R54" s="1437"/>
      <c r="S54" s="432"/>
      <c r="T54" s="670"/>
      <c r="U54" s="668"/>
      <c r="V54" s="668"/>
      <c r="W54" s="1192"/>
      <c r="X54" s="1172"/>
      <c r="Y54" s="432"/>
      <c r="Z54" s="432"/>
      <c r="AA54" s="670"/>
      <c r="AB54" s="432"/>
      <c r="AC54" s="670"/>
      <c r="AD54" s="1235"/>
      <c r="AE54" s="432"/>
      <c r="AF54" s="1173" t="s">
        <v>682</v>
      </c>
      <c r="AH54" s="1124">
        <f t="shared" si="7"/>
        <v>49.906249621021495</v>
      </c>
      <c r="AI54" s="666">
        <v>0.91290000000000004</v>
      </c>
      <c r="AJ54" s="666">
        <v>1.0189999999999999</v>
      </c>
      <c r="AK54" s="666">
        <v>8.1276750000000011E-4</v>
      </c>
    </row>
    <row r="55" spans="1:37" ht="18.75" customHeight="1" x14ac:dyDescent="0.2">
      <c r="A55" s="1191">
        <v>39</v>
      </c>
      <c r="B55" s="674" t="s">
        <v>115</v>
      </c>
      <c r="C55" s="452" t="s">
        <v>46</v>
      </c>
      <c r="D55" s="452">
        <v>580.71</v>
      </c>
      <c r="E55" s="452" t="s">
        <v>286</v>
      </c>
      <c r="F55" s="1235">
        <v>177.8</v>
      </c>
      <c r="G55" s="452" t="s">
        <v>28</v>
      </c>
      <c r="H55" s="1168" t="s">
        <v>685</v>
      </c>
      <c r="I55" s="453">
        <v>566.44000000000005</v>
      </c>
      <c r="J55" s="452">
        <v>100</v>
      </c>
      <c r="K55" s="452"/>
      <c r="L55" s="700">
        <v>443</v>
      </c>
      <c r="M55" s="452"/>
      <c r="N55" s="668">
        <v>3.7</v>
      </c>
      <c r="O55" s="452"/>
      <c r="P55" s="668">
        <f t="shared" si="3"/>
        <v>15.356662613663087</v>
      </c>
      <c r="Q55" s="668">
        <f>J55*14/100</f>
        <v>14</v>
      </c>
      <c r="R55" s="1439">
        <v>7.2</v>
      </c>
      <c r="S55" s="432">
        <v>12.24</v>
      </c>
      <c r="T55" s="700">
        <v>11.3</v>
      </c>
      <c r="U55" s="668">
        <f t="shared" si="10"/>
        <v>1.5694444444444444</v>
      </c>
      <c r="V55" s="668">
        <f t="shared" ref="V55:V84" si="13">(S55-R55)/S55*100</f>
        <v>41.17647058823529</v>
      </c>
      <c r="W55" s="1195">
        <v>0.2</v>
      </c>
      <c r="X55" s="1172">
        <f t="shared" si="8"/>
        <v>0.87428571428571433</v>
      </c>
      <c r="Y55" s="432">
        <f t="shared" si="5"/>
        <v>7.1135999999999999</v>
      </c>
      <c r="Z55" s="432">
        <f t="shared" si="5"/>
        <v>12.093120000000001</v>
      </c>
      <c r="AA55" s="670">
        <f t="shared" si="5"/>
        <v>11.164400000000001</v>
      </c>
      <c r="AB55" s="456">
        <f t="shared" si="6"/>
        <v>1.5694444444444444</v>
      </c>
      <c r="AC55" s="670">
        <f t="shared" si="1"/>
        <v>41.17647058823529</v>
      </c>
      <c r="AD55" s="1235">
        <f t="shared" si="11"/>
        <v>30</v>
      </c>
      <c r="AE55" s="456">
        <f t="shared" si="2"/>
        <v>213.40799999999999</v>
      </c>
      <c r="AF55" s="1174"/>
      <c r="AH55" s="1124">
        <f t="shared" si="7"/>
        <v>15.356662613663087</v>
      </c>
      <c r="AI55" s="666">
        <v>0.9083</v>
      </c>
      <c r="AJ55" s="666">
        <v>1.018</v>
      </c>
      <c r="AK55" s="666">
        <v>6.1000000000000004E-3</v>
      </c>
    </row>
    <row r="56" spans="1:37" ht="18.75" customHeight="1" x14ac:dyDescent="0.2">
      <c r="A56" s="1191">
        <v>40</v>
      </c>
      <c r="B56" s="461" t="s">
        <v>116</v>
      </c>
      <c r="C56" s="1235" t="s">
        <v>46</v>
      </c>
      <c r="D56" s="1235">
        <v>681.27</v>
      </c>
      <c r="E56" s="1235" t="s">
        <v>601</v>
      </c>
      <c r="F56" s="1235">
        <v>177.8</v>
      </c>
      <c r="G56" s="1235" t="s">
        <v>28</v>
      </c>
      <c r="H56" s="1235" t="s">
        <v>687</v>
      </c>
      <c r="I56" s="1231">
        <v>589.64</v>
      </c>
      <c r="J56" s="1074">
        <v>85</v>
      </c>
      <c r="K56" s="1235"/>
      <c r="L56" s="670">
        <v>248</v>
      </c>
      <c r="M56" s="1235"/>
      <c r="N56" s="668">
        <v>0.27</v>
      </c>
      <c r="O56" s="1235"/>
      <c r="P56" s="668">
        <f t="shared" si="3"/>
        <v>33.374117235588457</v>
      </c>
      <c r="Q56" s="675">
        <f>J56*20/100</f>
        <v>17</v>
      </c>
      <c r="R56" s="1437">
        <v>4.68</v>
      </c>
      <c r="S56" s="432">
        <v>21.8</v>
      </c>
      <c r="T56" s="670">
        <v>17</v>
      </c>
      <c r="U56" s="668">
        <f t="shared" si="10"/>
        <v>3.6324786324786329</v>
      </c>
      <c r="V56" s="668">
        <f t="shared" si="13"/>
        <v>78.532110091743121</v>
      </c>
      <c r="W56" s="1192">
        <v>0.2</v>
      </c>
      <c r="X56" s="1172">
        <f t="shared" si="8"/>
        <v>1.2823529411764707</v>
      </c>
      <c r="Y56" s="432">
        <f t="shared" si="5"/>
        <v>4.6238399999999995</v>
      </c>
      <c r="Z56" s="432">
        <f t="shared" si="5"/>
        <v>21.538399999999999</v>
      </c>
      <c r="AA56" s="670">
        <f t="shared" si="5"/>
        <v>16.795999999999999</v>
      </c>
      <c r="AB56" s="432">
        <f t="shared" si="6"/>
        <v>3.6324786324786329</v>
      </c>
      <c r="AC56" s="670">
        <f t="shared" si="1"/>
        <v>78.532110091743121</v>
      </c>
      <c r="AD56" s="1235">
        <f t="shared" si="11"/>
        <v>30</v>
      </c>
      <c r="AE56" s="432">
        <f t="shared" si="2"/>
        <v>138.71519999999998</v>
      </c>
      <c r="AF56" s="1174"/>
      <c r="AH56" s="1124">
        <f t="shared" si="7"/>
        <v>33.374117235588457</v>
      </c>
      <c r="AI56" s="666">
        <v>0.91739999999999999</v>
      </c>
      <c r="AJ56" s="666">
        <v>1.018</v>
      </c>
      <c r="AK56" s="666">
        <v>6.1000000000000004E-3</v>
      </c>
    </row>
    <row r="57" spans="1:37" ht="18.75" customHeight="1" x14ac:dyDescent="0.2">
      <c r="A57" s="1191">
        <v>41</v>
      </c>
      <c r="B57" s="461" t="s">
        <v>120</v>
      </c>
      <c r="C57" s="1235" t="s">
        <v>46</v>
      </c>
      <c r="D57" s="1235">
        <v>669.48</v>
      </c>
      <c r="E57" s="1235" t="s">
        <v>285</v>
      </c>
      <c r="F57" s="1235">
        <v>177.8</v>
      </c>
      <c r="G57" s="1235" t="s">
        <v>28</v>
      </c>
      <c r="H57" s="452" t="s">
        <v>464</v>
      </c>
      <c r="I57" s="1231">
        <v>560.83000000000004</v>
      </c>
      <c r="J57" s="1235">
        <v>320</v>
      </c>
      <c r="K57" s="1235"/>
      <c r="L57" s="670">
        <v>420</v>
      </c>
      <c r="M57" s="1235"/>
      <c r="N57" s="668">
        <v>0.02</v>
      </c>
      <c r="O57" s="1235"/>
      <c r="P57" s="668">
        <f t="shared" si="3"/>
        <v>13.69712760330126</v>
      </c>
      <c r="Q57" s="668">
        <f>RIGHT(H57,(FIND("T",H57,1)-0))*J57/100</f>
        <v>44.8</v>
      </c>
      <c r="R57" s="1437">
        <v>3.25</v>
      </c>
      <c r="S57" s="432">
        <v>10</v>
      </c>
      <c r="T57" s="670">
        <v>7.8</v>
      </c>
      <c r="U57" s="668">
        <f t="shared" si="10"/>
        <v>2.4</v>
      </c>
      <c r="V57" s="668">
        <f t="shared" si="13"/>
        <v>67.5</v>
      </c>
      <c r="W57" s="1192">
        <v>0.2</v>
      </c>
      <c r="X57" s="1172">
        <f t="shared" si="8"/>
        <v>0.22321428571428573</v>
      </c>
      <c r="Y57" s="432">
        <f t="shared" si="5"/>
        <v>3.2109999999999999</v>
      </c>
      <c r="Z57" s="432">
        <f t="shared" si="5"/>
        <v>9.879999999999999</v>
      </c>
      <c r="AA57" s="670">
        <f t="shared" si="5"/>
        <v>7.7063999999999995</v>
      </c>
      <c r="AB57" s="432">
        <f t="shared" si="6"/>
        <v>2.4</v>
      </c>
      <c r="AC57" s="670">
        <f t="shared" si="1"/>
        <v>67.5</v>
      </c>
      <c r="AD57" s="1235">
        <f t="shared" si="11"/>
        <v>30</v>
      </c>
      <c r="AE57" s="432">
        <f t="shared" si="2"/>
        <v>96.33</v>
      </c>
      <c r="AF57" s="1173"/>
      <c r="AH57" s="1124">
        <f t="shared" si="7"/>
        <v>13.69712760330126</v>
      </c>
      <c r="AI57" s="666">
        <v>0.91620000000000001</v>
      </c>
      <c r="AJ57" s="666">
        <v>1.018</v>
      </c>
      <c r="AK57" s="666">
        <v>6.1000000000000004E-3</v>
      </c>
    </row>
    <row r="58" spans="1:37" ht="18.75" customHeight="1" x14ac:dyDescent="0.2">
      <c r="A58" s="1191">
        <v>42</v>
      </c>
      <c r="B58" s="461" t="s">
        <v>114</v>
      </c>
      <c r="C58" s="1235" t="s">
        <v>46</v>
      </c>
      <c r="D58" s="1235">
        <v>584.25</v>
      </c>
      <c r="E58" s="1235" t="s">
        <v>602</v>
      </c>
      <c r="F58" s="1235">
        <v>177.8</v>
      </c>
      <c r="G58" s="1235" t="s">
        <v>28</v>
      </c>
      <c r="H58" s="550" t="s">
        <v>540</v>
      </c>
      <c r="I58" s="1231">
        <v>556.55999999999995</v>
      </c>
      <c r="J58" s="1235">
        <v>195</v>
      </c>
      <c r="K58" s="1235"/>
      <c r="L58" s="670">
        <v>244.5</v>
      </c>
      <c r="M58" s="1235"/>
      <c r="N58" s="668">
        <v>2.4300000000000002</v>
      </c>
      <c r="O58" s="1235"/>
      <c r="P58" s="668">
        <f t="shared" si="3"/>
        <v>32.917153115638499</v>
      </c>
      <c r="Q58" s="668">
        <f>J58*7/100</f>
        <v>13.65</v>
      </c>
      <c r="R58" s="1437">
        <v>5.79</v>
      </c>
      <c r="S58" s="432">
        <v>39.1</v>
      </c>
      <c r="T58" s="670">
        <v>31.6</v>
      </c>
      <c r="U58" s="668">
        <f t="shared" si="10"/>
        <v>5.4576856649395511</v>
      </c>
      <c r="V58" s="668">
        <f t="shared" si="13"/>
        <v>85.191815856777495</v>
      </c>
      <c r="W58" s="1192">
        <v>0.2</v>
      </c>
      <c r="X58" s="1172">
        <f t="shared" si="8"/>
        <v>2.8644688644688645</v>
      </c>
      <c r="Y58" s="432">
        <f t="shared" si="5"/>
        <v>5.7205199999999996</v>
      </c>
      <c r="Z58" s="432">
        <f t="shared" si="5"/>
        <v>38.630800000000001</v>
      </c>
      <c r="AA58" s="670">
        <f t="shared" si="5"/>
        <v>31.220800000000001</v>
      </c>
      <c r="AB58" s="432">
        <f t="shared" si="6"/>
        <v>5.4576856649395511</v>
      </c>
      <c r="AC58" s="670">
        <v>0</v>
      </c>
      <c r="AD58" s="1235">
        <f t="shared" si="11"/>
        <v>30</v>
      </c>
      <c r="AE58" s="432">
        <f t="shared" si="2"/>
        <v>171.6156</v>
      </c>
      <c r="AF58" s="1173"/>
      <c r="AH58" s="1124">
        <f t="shared" si="7"/>
        <v>32.917153115638499</v>
      </c>
      <c r="AI58" s="666">
        <v>0.92549999999999999</v>
      </c>
      <c r="AJ58" s="666">
        <v>1.018</v>
      </c>
      <c r="AK58" s="666">
        <v>6.1000000000000004E-3</v>
      </c>
    </row>
    <row r="59" spans="1:37" ht="18.75" customHeight="1" x14ac:dyDescent="0.3">
      <c r="A59" s="1191">
        <v>43</v>
      </c>
      <c r="B59" s="461" t="s">
        <v>106</v>
      </c>
      <c r="C59" s="1235" t="s">
        <v>46</v>
      </c>
      <c r="D59" s="1235">
        <v>582.16</v>
      </c>
      <c r="E59" s="1235" t="s">
        <v>691</v>
      </c>
      <c r="F59" s="1235">
        <v>177.8</v>
      </c>
      <c r="G59" s="1235" t="s">
        <v>28</v>
      </c>
      <c r="H59" s="550" t="s">
        <v>685</v>
      </c>
      <c r="I59" s="1231">
        <v>549.65</v>
      </c>
      <c r="J59" s="1235">
        <v>125</v>
      </c>
      <c r="K59" s="1235"/>
      <c r="L59" s="1216">
        <v>421</v>
      </c>
      <c r="M59" s="668"/>
      <c r="N59" s="1169">
        <v>0.95</v>
      </c>
      <c r="O59" s="1235"/>
      <c r="P59" s="668">
        <f t="shared" si="3"/>
        <v>13.372792970841269</v>
      </c>
      <c r="Q59" s="668">
        <f>14*J59/100</f>
        <v>17.5</v>
      </c>
      <c r="R59" s="1437">
        <v>2</v>
      </c>
      <c r="S59" s="432">
        <v>6.1</v>
      </c>
      <c r="T59" s="670">
        <v>13.9</v>
      </c>
      <c r="U59" s="668">
        <f t="shared" si="10"/>
        <v>6.95</v>
      </c>
      <c r="V59" s="668">
        <f t="shared" si="13"/>
        <v>67.213114754098356</v>
      </c>
      <c r="W59" s="1192">
        <v>0.2</v>
      </c>
      <c r="X59" s="1172">
        <f t="shared" si="8"/>
        <v>0.34857142857142853</v>
      </c>
      <c r="Y59" s="432">
        <f t="shared" si="5"/>
        <v>1.976</v>
      </c>
      <c r="Z59" s="432">
        <f t="shared" si="5"/>
        <v>6.0267999999999997</v>
      </c>
      <c r="AA59" s="670">
        <f t="shared" si="5"/>
        <v>13.7332</v>
      </c>
      <c r="AB59" s="432">
        <f t="shared" si="6"/>
        <v>6.95</v>
      </c>
      <c r="AC59" s="670">
        <f t="shared" si="1"/>
        <v>67.213114754098356</v>
      </c>
      <c r="AD59" s="1235">
        <f t="shared" si="11"/>
        <v>30</v>
      </c>
      <c r="AE59" s="432">
        <f t="shared" si="2"/>
        <v>59.28</v>
      </c>
      <c r="AF59" s="1173"/>
      <c r="AH59" s="1124">
        <f t="shared" si="7"/>
        <v>13.372792970841269</v>
      </c>
      <c r="AI59" s="666">
        <v>0.89419999999999999</v>
      </c>
      <c r="AJ59" s="666">
        <v>1.018</v>
      </c>
      <c r="AK59" s="666">
        <v>6.1000000000000004E-3</v>
      </c>
    </row>
    <row r="60" spans="1:37" ht="18.75" customHeight="1" x14ac:dyDescent="0.2">
      <c r="A60" s="1191">
        <v>44</v>
      </c>
      <c r="B60" s="461" t="s">
        <v>105</v>
      </c>
      <c r="C60" s="1235" t="s">
        <v>46</v>
      </c>
      <c r="D60" s="1235">
        <v>565</v>
      </c>
      <c r="E60" s="1235" t="s">
        <v>604</v>
      </c>
      <c r="F60" s="1235">
        <v>177.8</v>
      </c>
      <c r="G60" s="1235" t="s">
        <v>28</v>
      </c>
      <c r="H60" s="1235" t="s">
        <v>48</v>
      </c>
      <c r="I60" s="1231">
        <v>506.61000000000013</v>
      </c>
      <c r="J60" s="1235"/>
      <c r="K60" s="1235"/>
      <c r="L60" s="492"/>
      <c r="M60" s="668"/>
      <c r="N60" s="668"/>
      <c r="O60" s="1235"/>
      <c r="P60" s="668">
        <f t="shared" si="3"/>
        <v>44.055405582235394</v>
      </c>
      <c r="Q60" s="668"/>
      <c r="R60" s="1437"/>
      <c r="S60" s="432"/>
      <c r="T60" s="670"/>
      <c r="U60" s="668"/>
      <c r="V60" s="668"/>
      <c r="W60" s="1192"/>
      <c r="X60" s="1172"/>
      <c r="Y60" s="432"/>
      <c r="Z60" s="432"/>
      <c r="AA60" s="670"/>
      <c r="AB60" s="432"/>
      <c r="AC60" s="670"/>
      <c r="AD60" s="1235"/>
      <c r="AE60" s="432"/>
      <c r="AF60" s="1173" t="s">
        <v>682</v>
      </c>
      <c r="AH60" s="1124">
        <f t="shared" si="7"/>
        <v>44.055405582235394</v>
      </c>
      <c r="AI60" s="666">
        <v>0.8982</v>
      </c>
      <c r="AJ60" s="666">
        <v>1.018</v>
      </c>
      <c r="AK60" s="666">
        <v>6.1000000000000004E-3</v>
      </c>
    </row>
    <row r="61" spans="1:37" ht="18.75" customHeight="1" x14ac:dyDescent="0.3">
      <c r="A61" s="1191">
        <v>45</v>
      </c>
      <c r="B61" s="461" t="s">
        <v>104</v>
      </c>
      <c r="C61" s="1235" t="s">
        <v>580</v>
      </c>
      <c r="D61" s="1235">
        <v>705.7</v>
      </c>
      <c r="E61" s="1231" t="s">
        <v>692</v>
      </c>
      <c r="F61" s="1235">
        <v>177.8</v>
      </c>
      <c r="G61" s="1235" t="s">
        <v>28</v>
      </c>
      <c r="H61" s="550" t="s">
        <v>466</v>
      </c>
      <c r="I61" s="1231">
        <v>534.71</v>
      </c>
      <c r="J61" s="1235">
        <v>260</v>
      </c>
      <c r="K61" s="1235"/>
      <c r="L61" s="1217">
        <v>30</v>
      </c>
      <c r="M61" s="1235">
        <v>0</v>
      </c>
      <c r="N61" s="1196">
        <v>4</v>
      </c>
      <c r="O61" s="1235"/>
      <c r="P61" s="668">
        <f t="shared" si="3"/>
        <v>50.259912719467067</v>
      </c>
      <c r="Q61" s="668">
        <f>J61*13/100</f>
        <v>33.799999999999997</v>
      </c>
      <c r="R61" s="1437">
        <v>2</v>
      </c>
      <c r="S61" s="432">
        <v>3</v>
      </c>
      <c r="T61" s="670">
        <v>26</v>
      </c>
      <c r="U61" s="668">
        <f>IF(R61=0,0,T61/R61)</f>
        <v>13</v>
      </c>
      <c r="V61" s="668">
        <f t="shared" si="13"/>
        <v>33.333333333333329</v>
      </c>
      <c r="W61" s="1192">
        <v>0.2</v>
      </c>
      <c r="X61" s="1172">
        <f>IF(S61=0,0,S61/Q61)</f>
        <v>8.8757396449704151E-2</v>
      </c>
      <c r="Y61" s="432">
        <f t="shared" si="5"/>
        <v>1.976</v>
      </c>
      <c r="Z61" s="432">
        <f t="shared" si="5"/>
        <v>2.964</v>
      </c>
      <c r="AA61" s="670">
        <f t="shared" si="5"/>
        <v>25.687999999999999</v>
      </c>
      <c r="AB61" s="432">
        <f>U61</f>
        <v>13</v>
      </c>
      <c r="AC61" s="670">
        <f>V61</f>
        <v>33.333333333333329</v>
      </c>
      <c r="AD61" s="1235">
        <f t="shared" si="11"/>
        <v>30</v>
      </c>
      <c r="AE61" s="432">
        <f t="shared" si="2"/>
        <v>59.28</v>
      </c>
      <c r="AF61" s="1173"/>
      <c r="AH61" s="1124">
        <f t="shared" si="7"/>
        <v>50.259912719467067</v>
      </c>
      <c r="AI61" s="666">
        <v>0.91049999999999998</v>
      </c>
      <c r="AJ61" s="666">
        <v>1.018</v>
      </c>
      <c r="AK61" s="666">
        <v>6.1000000000000004E-3</v>
      </c>
    </row>
    <row r="62" spans="1:37" ht="18.600000000000001" customHeight="1" x14ac:dyDescent="0.3">
      <c r="A62" s="1191">
        <v>46</v>
      </c>
      <c r="B62" s="1232" t="s">
        <v>158</v>
      </c>
      <c r="C62" s="1235" t="s">
        <v>46</v>
      </c>
      <c r="D62" s="1231">
        <v>674.45</v>
      </c>
      <c r="E62" s="1231" t="s">
        <v>232</v>
      </c>
      <c r="F62" s="1235">
        <v>177.8</v>
      </c>
      <c r="G62" s="1235" t="s">
        <v>28</v>
      </c>
      <c r="H62" s="550" t="s">
        <v>464</v>
      </c>
      <c r="I62" s="1231">
        <v>542.6</v>
      </c>
      <c r="J62" s="1231">
        <v>130</v>
      </c>
      <c r="K62" s="1231"/>
      <c r="L62" s="492">
        <v>475.42</v>
      </c>
      <c r="M62" s="1231"/>
      <c r="N62" s="668">
        <v>3.27</v>
      </c>
      <c r="O62" s="1231"/>
      <c r="P62" s="668">
        <f t="shared" si="3"/>
        <v>9.5665920206788151</v>
      </c>
      <c r="Q62" s="668">
        <f>RIGHT(H62,(FIND("T",H62,1)-0))*J62/100</f>
        <v>18.2</v>
      </c>
      <c r="R62" s="1437">
        <v>6.3</v>
      </c>
      <c r="S62" s="432">
        <v>8.9</v>
      </c>
      <c r="T62" s="492">
        <v>45</v>
      </c>
      <c r="U62" s="668">
        <f t="shared" si="10"/>
        <v>7.1428571428571432</v>
      </c>
      <c r="V62" s="668">
        <f t="shared" si="13"/>
        <v>29.213483146067421</v>
      </c>
      <c r="W62" s="1192">
        <v>0.2</v>
      </c>
      <c r="X62" s="1172">
        <f t="shared" si="8"/>
        <v>0.48901098901098905</v>
      </c>
      <c r="Y62" s="432">
        <f t="shared" si="5"/>
        <v>6.2244000000000002</v>
      </c>
      <c r="Z62" s="432">
        <f t="shared" si="5"/>
        <v>8.7932000000000006</v>
      </c>
      <c r="AA62" s="670">
        <f t="shared" si="5"/>
        <v>44.46</v>
      </c>
      <c r="AB62" s="432">
        <f t="shared" si="6"/>
        <v>7.1428571428571432</v>
      </c>
      <c r="AC62" s="670">
        <f t="shared" si="1"/>
        <v>29.213483146067421</v>
      </c>
      <c r="AD62" s="1235">
        <f t="shared" si="11"/>
        <v>30</v>
      </c>
      <c r="AE62" s="432">
        <f>Y62*AD62</f>
        <v>186.732</v>
      </c>
      <c r="AF62" s="1176"/>
      <c r="AH62" s="1124">
        <f t="shared" si="7"/>
        <v>9.5665920206788151</v>
      </c>
      <c r="AI62" s="666">
        <v>0.88649999999999995</v>
      </c>
      <c r="AJ62" s="666">
        <v>1.018</v>
      </c>
      <c r="AK62" s="666">
        <v>6.1000000000000004E-3</v>
      </c>
    </row>
    <row r="63" spans="1:37" ht="18.75" customHeight="1" x14ac:dyDescent="0.2">
      <c r="A63" s="1191">
        <v>47</v>
      </c>
      <c r="B63" s="461" t="s">
        <v>164</v>
      </c>
      <c r="C63" s="1235" t="s">
        <v>46</v>
      </c>
      <c r="D63" s="1231">
        <v>678.47</v>
      </c>
      <c r="E63" s="1231" t="s">
        <v>606</v>
      </c>
      <c r="F63" s="1235">
        <v>177.8</v>
      </c>
      <c r="G63" s="1235" t="s">
        <v>28</v>
      </c>
      <c r="H63" s="550" t="s">
        <v>466</v>
      </c>
      <c r="I63" s="1231">
        <v>574.4</v>
      </c>
      <c r="J63" s="493">
        <v>170</v>
      </c>
      <c r="K63" s="1231"/>
      <c r="L63" s="492">
        <v>163</v>
      </c>
      <c r="M63" s="1231"/>
      <c r="N63" s="668">
        <v>1.4999999999999999E-2</v>
      </c>
      <c r="O63" s="1231"/>
      <c r="P63" s="668">
        <f t="shared" si="3"/>
        <v>40.090275392905355</v>
      </c>
      <c r="Q63" s="668">
        <f>LEFT(H63,(FIND("E",H63,1)-1))*J63/100</f>
        <v>22.1</v>
      </c>
      <c r="R63" s="1437">
        <v>3.33</v>
      </c>
      <c r="S63" s="432">
        <v>22.07</v>
      </c>
      <c r="T63" s="670">
        <v>17.600000000000001</v>
      </c>
      <c r="U63" s="668">
        <f t="shared" si="10"/>
        <v>5.2852852852852852</v>
      </c>
      <c r="V63" s="668">
        <f t="shared" si="13"/>
        <v>84.911644766651577</v>
      </c>
      <c r="W63" s="1192">
        <v>0.2</v>
      </c>
      <c r="X63" s="1172">
        <f t="shared" si="8"/>
        <v>0.99864253393665148</v>
      </c>
      <c r="Y63" s="432">
        <f t="shared" si="5"/>
        <v>3.2900399999999999</v>
      </c>
      <c r="Z63" s="432">
        <f t="shared" si="5"/>
        <v>21.805160000000001</v>
      </c>
      <c r="AA63" s="670">
        <f t="shared" si="5"/>
        <v>17.3888</v>
      </c>
      <c r="AB63" s="432">
        <f t="shared" si="6"/>
        <v>5.2852852852852852</v>
      </c>
      <c r="AC63" s="670">
        <f t="shared" si="1"/>
        <v>84.911644766651577</v>
      </c>
      <c r="AD63" s="1235">
        <f t="shared" si="11"/>
        <v>30</v>
      </c>
      <c r="AE63" s="432">
        <f t="shared" ref="AE63:AE73" si="14">Y63*AD63</f>
        <v>98.7012</v>
      </c>
      <c r="AF63" s="1173"/>
      <c r="AH63" s="1124">
        <f t="shared" si="7"/>
        <v>40.090275392905355</v>
      </c>
      <c r="AI63" s="666">
        <v>0.9234</v>
      </c>
      <c r="AJ63" s="666">
        <v>1.018</v>
      </c>
      <c r="AK63" s="666">
        <v>6.1000000000000004E-3</v>
      </c>
    </row>
    <row r="64" spans="1:37" ht="18.75" customHeight="1" x14ac:dyDescent="0.2">
      <c r="A64" s="1191">
        <v>48</v>
      </c>
      <c r="B64" s="461" t="s">
        <v>61</v>
      </c>
      <c r="C64" s="1235" t="s">
        <v>46</v>
      </c>
      <c r="D64" s="1235">
        <v>667.18</v>
      </c>
      <c r="E64" s="1235" t="s">
        <v>96</v>
      </c>
      <c r="F64" s="1235">
        <v>177.8</v>
      </c>
      <c r="G64" s="1235" t="s">
        <v>28</v>
      </c>
      <c r="H64" s="550" t="s">
        <v>693</v>
      </c>
      <c r="I64" s="1231">
        <v>541.12</v>
      </c>
      <c r="J64" s="1235">
        <v>175</v>
      </c>
      <c r="K64" s="1235"/>
      <c r="L64" s="670">
        <v>447</v>
      </c>
      <c r="M64" s="1235"/>
      <c r="N64" s="668">
        <v>5</v>
      </c>
      <c r="O64" s="1235"/>
      <c r="P64" s="668">
        <f t="shared" si="3"/>
        <v>14.183517427271266</v>
      </c>
      <c r="Q64" s="668">
        <f>20*J64/100</f>
        <v>35</v>
      </c>
      <c r="R64" s="1437">
        <v>7</v>
      </c>
      <c r="S64" s="432">
        <v>23</v>
      </c>
      <c r="T64" s="670">
        <v>43</v>
      </c>
      <c r="U64" s="668">
        <f t="shared" si="10"/>
        <v>6.1428571428571432</v>
      </c>
      <c r="V64" s="668">
        <f t="shared" si="13"/>
        <v>69.565217391304344</v>
      </c>
      <c r="W64" s="1192">
        <v>0.2</v>
      </c>
      <c r="X64" s="1172">
        <f t="shared" si="8"/>
        <v>0.65714285714285714</v>
      </c>
      <c r="Y64" s="432">
        <f t="shared" si="5"/>
        <v>6.9160000000000004</v>
      </c>
      <c r="Z64" s="432">
        <f t="shared" si="5"/>
        <v>22.724</v>
      </c>
      <c r="AA64" s="670">
        <f t="shared" si="5"/>
        <v>42.484000000000002</v>
      </c>
      <c r="AB64" s="432">
        <f t="shared" si="6"/>
        <v>6.1428571428571432</v>
      </c>
      <c r="AC64" s="670">
        <f t="shared" si="1"/>
        <v>69.565217391304344</v>
      </c>
      <c r="AD64" s="1235">
        <f t="shared" si="11"/>
        <v>30</v>
      </c>
      <c r="AE64" s="432">
        <f t="shared" si="14"/>
        <v>207.48000000000002</v>
      </c>
      <c r="AF64" s="1174"/>
      <c r="AH64" s="1124">
        <f t="shared" si="7"/>
        <v>14.183517427271266</v>
      </c>
      <c r="AI64" s="666">
        <v>0.88929999999999998</v>
      </c>
      <c r="AJ64" s="666">
        <v>1.018</v>
      </c>
      <c r="AK64" s="666">
        <v>6.1000000000000004E-3</v>
      </c>
    </row>
    <row r="65" spans="1:37" ht="18.75" customHeight="1" x14ac:dyDescent="0.2">
      <c r="A65" s="1191">
        <v>49</v>
      </c>
      <c r="B65" s="461" t="s">
        <v>64</v>
      </c>
      <c r="C65" s="1235" t="s">
        <v>46</v>
      </c>
      <c r="D65" s="1235">
        <v>674.52</v>
      </c>
      <c r="E65" s="1235" t="s">
        <v>444</v>
      </c>
      <c r="F65" s="1235">
        <v>177.8</v>
      </c>
      <c r="G65" s="1235" t="s">
        <v>28</v>
      </c>
      <c r="H65" s="550" t="s">
        <v>464</v>
      </c>
      <c r="I65" s="1231">
        <v>521.42999999999995</v>
      </c>
      <c r="J65" s="1235">
        <v>300</v>
      </c>
      <c r="K65" s="1235"/>
      <c r="L65" s="670">
        <v>463</v>
      </c>
      <c r="M65" s="1235"/>
      <c r="N65" s="668">
        <v>5.4</v>
      </c>
      <c r="O65" s="1235"/>
      <c r="P65" s="668">
        <f t="shared" si="3"/>
        <v>10.868651039538117</v>
      </c>
      <c r="Q65" s="668">
        <f>J65*13/100</f>
        <v>39</v>
      </c>
      <c r="R65" s="1437">
        <v>6.9</v>
      </c>
      <c r="S65" s="432">
        <v>10</v>
      </c>
      <c r="T65" s="670">
        <v>331.5</v>
      </c>
      <c r="U65" s="668">
        <f t="shared" si="10"/>
        <v>48.043478260869563</v>
      </c>
      <c r="V65" s="668">
        <f t="shared" si="13"/>
        <v>30.999999999999993</v>
      </c>
      <c r="W65" s="1192">
        <v>0.2</v>
      </c>
      <c r="X65" s="1172">
        <f t="shared" si="8"/>
        <v>0.25641025641025639</v>
      </c>
      <c r="Y65" s="432">
        <f t="shared" si="5"/>
        <v>6.8172000000000006</v>
      </c>
      <c r="Z65" s="432">
        <f t="shared" si="5"/>
        <v>9.879999999999999</v>
      </c>
      <c r="AA65" s="670">
        <f t="shared" si="5"/>
        <v>327.52199999999999</v>
      </c>
      <c r="AB65" s="432">
        <f t="shared" si="6"/>
        <v>48.043478260869563</v>
      </c>
      <c r="AC65" s="670">
        <f t="shared" si="1"/>
        <v>30.999999999999993</v>
      </c>
      <c r="AD65" s="1235">
        <f t="shared" si="11"/>
        <v>30</v>
      </c>
      <c r="AE65" s="432">
        <f t="shared" si="14"/>
        <v>204.51600000000002</v>
      </c>
      <c r="AF65" s="1174"/>
      <c r="AH65" s="1124">
        <f t="shared" si="7"/>
        <v>10.868651039538117</v>
      </c>
      <c r="AI65" s="666">
        <v>0.87360000000000004</v>
      </c>
      <c r="AJ65" s="666">
        <v>1.018</v>
      </c>
      <c r="AK65" s="666">
        <v>6.1000000000000004E-3</v>
      </c>
    </row>
    <row r="66" spans="1:37" ht="18.75" customHeight="1" x14ac:dyDescent="0.2">
      <c r="A66" s="1191">
        <v>50</v>
      </c>
      <c r="B66" s="461" t="s">
        <v>156</v>
      </c>
      <c r="C66" s="1235" t="s">
        <v>408</v>
      </c>
      <c r="D66" s="1235">
        <v>679.54</v>
      </c>
      <c r="E66" s="1235" t="s">
        <v>607</v>
      </c>
      <c r="F66" s="1235">
        <v>177.8</v>
      </c>
      <c r="G66" s="1235" t="s">
        <v>28</v>
      </c>
      <c r="H66" s="1235" t="s">
        <v>464</v>
      </c>
      <c r="I66" s="1231">
        <v>512.28</v>
      </c>
      <c r="J66" s="1235">
        <v>175</v>
      </c>
      <c r="K66" s="1235"/>
      <c r="L66" s="670">
        <v>432</v>
      </c>
      <c r="M66" s="1235"/>
      <c r="N66" s="668">
        <v>4</v>
      </c>
      <c r="O66" s="1235"/>
      <c r="P66" s="668">
        <f t="shared" si="3"/>
        <v>11.732021726037692</v>
      </c>
      <c r="Q66" s="668">
        <f>RIGHT(H66,(FIND("T",H66,1)-0))*J66/100</f>
        <v>24.5</v>
      </c>
      <c r="R66" s="1437">
        <v>6</v>
      </c>
      <c r="S66" s="432">
        <v>13</v>
      </c>
      <c r="T66" s="670">
        <v>50</v>
      </c>
      <c r="U66" s="668">
        <f t="shared" si="10"/>
        <v>8.3333333333333339</v>
      </c>
      <c r="V66" s="668">
        <f t="shared" si="13"/>
        <v>53.846153846153847</v>
      </c>
      <c r="W66" s="1192">
        <v>0.2</v>
      </c>
      <c r="X66" s="1172">
        <f t="shared" si="8"/>
        <v>0.53061224489795922</v>
      </c>
      <c r="Y66" s="432">
        <f t="shared" si="5"/>
        <v>5.9279999999999999</v>
      </c>
      <c r="Z66" s="432">
        <f t="shared" si="5"/>
        <v>12.843999999999999</v>
      </c>
      <c r="AA66" s="670">
        <f t="shared" si="5"/>
        <v>49.4</v>
      </c>
      <c r="AB66" s="432">
        <f t="shared" si="6"/>
        <v>8.3333333333333339</v>
      </c>
      <c r="AC66" s="670">
        <f t="shared" si="1"/>
        <v>53.846153846153847</v>
      </c>
      <c r="AD66" s="1235">
        <f t="shared" si="11"/>
        <v>30</v>
      </c>
      <c r="AE66" s="432">
        <f t="shared" si="14"/>
        <v>177.84</v>
      </c>
      <c r="AF66" s="1174"/>
      <c r="AH66" s="1124">
        <f t="shared" si="7"/>
        <v>11.732021726037692</v>
      </c>
      <c r="AI66" s="666">
        <v>0.89659999999999995</v>
      </c>
      <c r="AJ66" s="666">
        <v>1.018</v>
      </c>
      <c r="AK66" s="666">
        <v>6.1000000000000004E-3</v>
      </c>
    </row>
    <row r="67" spans="1:37" ht="18.75" customHeight="1" x14ac:dyDescent="0.2">
      <c r="A67" s="1191">
        <v>51</v>
      </c>
      <c r="B67" s="461" t="s">
        <v>169</v>
      </c>
      <c r="C67" s="1235" t="s">
        <v>46</v>
      </c>
      <c r="D67" s="1235">
        <v>578.64</v>
      </c>
      <c r="E67" s="1235" t="s">
        <v>694</v>
      </c>
      <c r="F67" s="1235">
        <v>177.8</v>
      </c>
      <c r="G67" s="1235" t="s">
        <v>28</v>
      </c>
      <c r="H67" s="1235" t="s">
        <v>466</v>
      </c>
      <c r="I67" s="1231">
        <v>539.28</v>
      </c>
      <c r="J67" s="1235">
        <v>120</v>
      </c>
      <c r="K67" s="1235"/>
      <c r="L67" s="670">
        <v>260</v>
      </c>
      <c r="M67" s="1235"/>
      <c r="N67" s="668">
        <v>4.4000000000000004</v>
      </c>
      <c r="O67" s="1235"/>
      <c r="P67" s="668">
        <f t="shared" si="3"/>
        <v>31.483204142108114</v>
      </c>
      <c r="Q67" s="668">
        <f>J67*13/100</f>
        <v>15.6</v>
      </c>
      <c r="R67" s="1437">
        <v>2.4</v>
      </c>
      <c r="S67" s="432">
        <v>13.4</v>
      </c>
      <c r="T67" s="670">
        <v>81</v>
      </c>
      <c r="U67" s="668">
        <f t="shared" si="10"/>
        <v>33.75</v>
      </c>
      <c r="V67" s="668">
        <f t="shared" si="13"/>
        <v>82.089552238805965</v>
      </c>
      <c r="W67" s="1192">
        <v>0.2</v>
      </c>
      <c r="X67" s="1172">
        <f t="shared" si="8"/>
        <v>0.85897435897435903</v>
      </c>
      <c r="Y67" s="432">
        <f t="shared" si="5"/>
        <v>2.3712</v>
      </c>
      <c r="Z67" s="432">
        <f t="shared" si="5"/>
        <v>13.2392</v>
      </c>
      <c r="AA67" s="670">
        <f t="shared" si="5"/>
        <v>80.028000000000006</v>
      </c>
      <c r="AB67" s="432">
        <f t="shared" si="6"/>
        <v>33.75</v>
      </c>
      <c r="AC67" s="670">
        <f t="shared" si="1"/>
        <v>82.089552238805965</v>
      </c>
      <c r="AD67" s="1235">
        <f t="shared" si="11"/>
        <v>30</v>
      </c>
      <c r="AE67" s="432">
        <f>Y67*AD67</f>
        <v>71.135999999999996</v>
      </c>
      <c r="AF67" s="1174"/>
      <c r="AH67" s="1124">
        <f t="shared" si="7"/>
        <v>31.483204142108114</v>
      </c>
      <c r="AI67" s="666">
        <v>0.89490000000000003</v>
      </c>
      <c r="AJ67" s="666">
        <v>1.018</v>
      </c>
      <c r="AK67" s="666">
        <v>6.1000000000000004E-3</v>
      </c>
    </row>
    <row r="68" spans="1:37" ht="18.75" customHeight="1" x14ac:dyDescent="0.2">
      <c r="A68" s="1191">
        <v>52</v>
      </c>
      <c r="B68" s="461" t="s">
        <v>62</v>
      </c>
      <c r="C68" s="1235" t="s">
        <v>46</v>
      </c>
      <c r="D68" s="1235">
        <v>673.73</v>
      </c>
      <c r="E68" s="1235" t="s">
        <v>97</v>
      </c>
      <c r="F68" s="1235">
        <v>177.8</v>
      </c>
      <c r="G68" s="1235" t="s">
        <v>28</v>
      </c>
      <c r="H68" s="550" t="s">
        <v>565</v>
      </c>
      <c r="I68" s="1231">
        <v>541.46</v>
      </c>
      <c r="J68" s="1235">
        <v>185</v>
      </c>
      <c r="K68" s="1235"/>
      <c r="L68" s="670">
        <v>261</v>
      </c>
      <c r="M68" s="1235"/>
      <c r="N68" s="668">
        <v>5.54</v>
      </c>
      <c r="O68" s="1235"/>
      <c r="P68" s="668">
        <f t="shared" si="3"/>
        <v>33.031196318817997</v>
      </c>
      <c r="Q68" s="668">
        <f>(22/100)*J68</f>
        <v>40.700000000000003</v>
      </c>
      <c r="R68" s="1437">
        <v>2.82</v>
      </c>
      <c r="S68" s="432">
        <v>30.9</v>
      </c>
      <c r="T68" s="670">
        <v>29.5</v>
      </c>
      <c r="U68" s="668">
        <f t="shared" si="10"/>
        <v>10.460992907801419</v>
      </c>
      <c r="V68" s="668">
        <f t="shared" si="13"/>
        <v>90.873786407766985</v>
      </c>
      <c r="W68" s="1192">
        <v>0.2</v>
      </c>
      <c r="X68" s="1172">
        <f t="shared" si="8"/>
        <v>0.75921375921375911</v>
      </c>
      <c r="Y68" s="432">
        <v>6</v>
      </c>
      <c r="Z68" s="432">
        <f>S68</f>
        <v>30.9</v>
      </c>
      <c r="AA68" s="670">
        <f t="shared" si="5"/>
        <v>29.146000000000001</v>
      </c>
      <c r="AB68" s="432">
        <f t="shared" si="6"/>
        <v>10.460992907801419</v>
      </c>
      <c r="AC68" s="668">
        <f>(Z68-Y68)/Z68*100</f>
        <v>80.582524271844662</v>
      </c>
      <c r="AD68" s="1235">
        <f t="shared" si="11"/>
        <v>28</v>
      </c>
      <c r="AE68" s="432">
        <f t="shared" si="14"/>
        <v>168</v>
      </c>
      <c r="AF68" s="1173" t="s">
        <v>715</v>
      </c>
      <c r="AG68" s="666">
        <v>2</v>
      </c>
      <c r="AH68" s="1124">
        <f t="shared" si="7"/>
        <v>33.031196318817997</v>
      </c>
      <c r="AI68" s="666">
        <v>0.89490000000000003</v>
      </c>
      <c r="AJ68" s="666">
        <v>1.018</v>
      </c>
      <c r="AK68" s="666">
        <v>6.1000000000000004E-3</v>
      </c>
    </row>
    <row r="69" spans="1:37" ht="18.75" customHeight="1" x14ac:dyDescent="0.2">
      <c r="A69" s="1191">
        <v>53</v>
      </c>
      <c r="B69" s="461" t="s">
        <v>157</v>
      </c>
      <c r="C69" s="1235" t="s">
        <v>46</v>
      </c>
      <c r="D69" s="1235">
        <v>602</v>
      </c>
      <c r="E69" s="1235" t="s">
        <v>608</v>
      </c>
      <c r="F69" s="1235">
        <v>177.8</v>
      </c>
      <c r="G69" s="1235" t="s">
        <v>28</v>
      </c>
      <c r="H69" s="1235" t="s">
        <v>695</v>
      </c>
      <c r="I69" s="1231">
        <v>539.83000000000004</v>
      </c>
      <c r="J69" s="1074">
        <v>95</v>
      </c>
      <c r="K69" s="1235"/>
      <c r="L69" s="670">
        <v>104</v>
      </c>
      <c r="M69" s="668"/>
      <c r="N69" s="668">
        <v>4</v>
      </c>
      <c r="O69" s="1235"/>
      <c r="P69" s="668">
        <f t="shared" si="3"/>
        <v>46.565351387401414</v>
      </c>
      <c r="Q69" s="668">
        <f>(32/100)*J69</f>
        <v>30.400000000000002</v>
      </c>
      <c r="R69" s="1437">
        <v>3</v>
      </c>
      <c r="S69" s="432">
        <v>34.799999999999997</v>
      </c>
      <c r="T69" s="670">
        <v>42.3</v>
      </c>
      <c r="U69" s="668">
        <f t="shared" si="10"/>
        <v>14.1</v>
      </c>
      <c r="V69" s="668">
        <f t="shared" si="13"/>
        <v>91.379310344827587</v>
      </c>
      <c r="W69" s="1192">
        <v>0.4</v>
      </c>
      <c r="X69" s="1172">
        <f t="shared" si="8"/>
        <v>1.1447368421052631</v>
      </c>
      <c r="Y69" s="432">
        <f t="shared" si="5"/>
        <v>2.964</v>
      </c>
      <c r="Z69" s="432">
        <f t="shared" si="5"/>
        <v>34.382399999999997</v>
      </c>
      <c r="AA69" s="670">
        <f t="shared" si="5"/>
        <v>41.792399999999994</v>
      </c>
      <c r="AB69" s="432">
        <f t="shared" si="6"/>
        <v>14.1</v>
      </c>
      <c r="AC69" s="670">
        <f t="shared" si="1"/>
        <v>91.379310344827587</v>
      </c>
      <c r="AD69" s="1235">
        <f t="shared" si="11"/>
        <v>30</v>
      </c>
      <c r="AE69" s="432">
        <f t="shared" si="14"/>
        <v>88.92</v>
      </c>
      <c r="AF69" s="1177"/>
      <c r="AH69" s="1124">
        <f t="shared" si="7"/>
        <v>46.565351387401414</v>
      </c>
      <c r="AI69" s="666">
        <v>0.89390000000000003</v>
      </c>
      <c r="AJ69" s="666">
        <v>1.018</v>
      </c>
      <c r="AK69" s="666">
        <v>6.1000000000000004E-3</v>
      </c>
    </row>
    <row r="70" spans="1:37" ht="18.75" customHeight="1" x14ac:dyDescent="0.2">
      <c r="A70" s="1191">
        <v>54</v>
      </c>
      <c r="B70" s="461" t="s">
        <v>159</v>
      </c>
      <c r="C70" s="1235" t="s">
        <v>46</v>
      </c>
      <c r="D70" s="1235">
        <v>676.1</v>
      </c>
      <c r="E70" s="1235" t="s">
        <v>167</v>
      </c>
      <c r="F70" s="1235">
        <v>177.8</v>
      </c>
      <c r="G70" s="1235" t="s">
        <v>28</v>
      </c>
      <c r="H70" s="550" t="s">
        <v>565</v>
      </c>
      <c r="I70" s="1231">
        <v>512.47</v>
      </c>
      <c r="J70" s="670">
        <v>245</v>
      </c>
      <c r="K70" s="1235"/>
      <c r="L70" s="670">
        <v>464.5</v>
      </c>
      <c r="M70" s="1235"/>
      <c r="N70" s="668">
        <v>5.9</v>
      </c>
      <c r="O70" s="1235"/>
      <c r="P70" s="668">
        <f t="shared" si="3"/>
        <v>10.35692447759992</v>
      </c>
      <c r="Q70" s="668">
        <f>(20*J70)/100</f>
        <v>49</v>
      </c>
      <c r="R70" s="1437">
        <v>11.8</v>
      </c>
      <c r="S70" s="432">
        <v>14.9238</v>
      </c>
      <c r="T70" s="670">
        <v>323</v>
      </c>
      <c r="U70" s="668">
        <f t="shared" si="10"/>
        <v>27.372881355932201</v>
      </c>
      <c r="V70" s="668">
        <f t="shared" si="13"/>
        <v>20.931666197617226</v>
      </c>
      <c r="W70" s="1192">
        <v>0.2</v>
      </c>
      <c r="X70" s="1172">
        <f t="shared" si="8"/>
        <v>0.30456734693877552</v>
      </c>
      <c r="Y70" s="432">
        <f t="shared" si="5"/>
        <v>11.6584</v>
      </c>
      <c r="Z70" s="432">
        <f t="shared" si="5"/>
        <v>14.744714399999999</v>
      </c>
      <c r="AA70" s="670">
        <f t="shared" si="5"/>
        <v>319.12400000000002</v>
      </c>
      <c r="AB70" s="432">
        <f t="shared" si="6"/>
        <v>27.372881355932201</v>
      </c>
      <c r="AC70" s="670">
        <f t="shared" si="1"/>
        <v>20.931666197617226</v>
      </c>
      <c r="AD70" s="1235">
        <f t="shared" si="11"/>
        <v>30</v>
      </c>
      <c r="AE70" s="432">
        <f t="shared" si="14"/>
        <v>349.75200000000001</v>
      </c>
      <c r="AF70" s="1173"/>
      <c r="AH70" s="1124">
        <f t="shared" si="7"/>
        <v>10.35692447759992</v>
      </c>
      <c r="AI70" s="666">
        <v>0.86950000000000005</v>
      </c>
      <c r="AJ70" s="666">
        <v>1.018</v>
      </c>
      <c r="AK70" s="666">
        <v>6.1000000000000004E-3</v>
      </c>
    </row>
    <row r="71" spans="1:37" ht="18.75" customHeight="1" x14ac:dyDescent="0.2">
      <c r="A71" s="1191">
        <v>55</v>
      </c>
      <c r="B71" s="461" t="s">
        <v>330</v>
      </c>
      <c r="C71" s="1235" t="s">
        <v>46</v>
      </c>
      <c r="D71" s="1235">
        <v>594.58000000000004</v>
      </c>
      <c r="E71" s="1235" t="s">
        <v>609</v>
      </c>
      <c r="F71" s="1235">
        <v>178.8</v>
      </c>
      <c r="G71" s="1235" t="s">
        <v>28</v>
      </c>
      <c r="H71" s="550" t="s">
        <v>565</v>
      </c>
      <c r="I71" s="1231">
        <v>500.41</v>
      </c>
      <c r="J71" s="1074">
        <v>235</v>
      </c>
      <c r="K71" s="1235"/>
      <c r="L71" s="670">
        <v>465</v>
      </c>
      <c r="M71" s="1235"/>
      <c r="N71" s="668">
        <v>5.7</v>
      </c>
      <c r="O71" s="1235"/>
      <c r="P71" s="668">
        <f t="shared" si="3"/>
        <v>8.9674387345983515</v>
      </c>
      <c r="Q71" s="668">
        <f>J71*32/100</f>
        <v>75.2</v>
      </c>
      <c r="R71" s="1437">
        <v>12.25</v>
      </c>
      <c r="S71" s="432">
        <v>15.01</v>
      </c>
      <c r="T71" s="670">
        <v>159</v>
      </c>
      <c r="U71" s="668">
        <f t="shared" si="10"/>
        <v>12.979591836734693</v>
      </c>
      <c r="V71" s="668">
        <f t="shared" si="13"/>
        <v>18.387741505662891</v>
      </c>
      <c r="W71" s="1192">
        <v>0.2</v>
      </c>
      <c r="X71" s="1172">
        <f t="shared" si="8"/>
        <v>0.19960106382978723</v>
      </c>
      <c r="Y71" s="432">
        <f t="shared" si="5"/>
        <v>12.103</v>
      </c>
      <c r="Z71" s="432">
        <f t="shared" si="5"/>
        <v>14.829879999999999</v>
      </c>
      <c r="AA71" s="670">
        <f t="shared" si="5"/>
        <v>157.09199999999998</v>
      </c>
      <c r="AB71" s="432">
        <v>20</v>
      </c>
      <c r="AC71" s="670">
        <v>17</v>
      </c>
      <c r="AD71" s="1235">
        <f t="shared" si="11"/>
        <v>30</v>
      </c>
      <c r="AE71" s="432">
        <f t="shared" si="14"/>
        <v>363.09</v>
      </c>
      <c r="AF71" s="1173"/>
      <c r="AH71" s="1124">
        <f t="shared" si="7"/>
        <v>8.9674387345983515</v>
      </c>
      <c r="AI71" s="666">
        <v>0.84030000000000005</v>
      </c>
      <c r="AJ71" s="666">
        <v>1.018</v>
      </c>
      <c r="AK71" s="666">
        <v>6.1000000000000004E-3</v>
      </c>
    </row>
    <row r="72" spans="1:37" ht="18.75" customHeight="1" x14ac:dyDescent="0.2">
      <c r="A72" s="1191">
        <v>56</v>
      </c>
      <c r="B72" s="461" t="s">
        <v>210</v>
      </c>
      <c r="C72" s="1235" t="s">
        <v>46</v>
      </c>
      <c r="D72" s="1235">
        <v>728.8</v>
      </c>
      <c r="E72" s="1235" t="s">
        <v>610</v>
      </c>
      <c r="F72" s="1235">
        <v>177.8</v>
      </c>
      <c r="G72" s="1235" t="s">
        <v>28</v>
      </c>
      <c r="H72" s="550" t="s">
        <v>540</v>
      </c>
      <c r="I72" s="1231">
        <v>549.1</v>
      </c>
      <c r="J72" s="1074">
        <v>170</v>
      </c>
      <c r="K72" s="1235"/>
      <c r="L72" s="670">
        <v>427</v>
      </c>
      <c r="M72" s="1235"/>
      <c r="N72" s="668">
        <v>7.4</v>
      </c>
      <c r="O72" s="1235"/>
      <c r="P72" s="668">
        <f t="shared" si="3"/>
        <v>18.829000059646887</v>
      </c>
      <c r="Q72" s="668">
        <f>LEFT(H72,(FIND("E",H72,1)-1))*J72/100</f>
        <v>37.4</v>
      </c>
      <c r="R72" s="1437">
        <v>12</v>
      </c>
      <c r="S72" s="432">
        <v>23.33</v>
      </c>
      <c r="T72" s="670">
        <v>280</v>
      </c>
      <c r="U72" s="668">
        <f t="shared" si="10"/>
        <v>23.333333333333332</v>
      </c>
      <c r="V72" s="668">
        <f t="shared" si="13"/>
        <v>48.56408058294042</v>
      </c>
      <c r="W72" s="1192">
        <v>0.2</v>
      </c>
      <c r="X72" s="1172">
        <f t="shared" si="8"/>
        <v>0.62379679144385025</v>
      </c>
      <c r="Y72" s="432">
        <f t="shared" si="5"/>
        <v>11.856</v>
      </c>
      <c r="Z72" s="432">
        <f t="shared" si="5"/>
        <v>23.050039999999999</v>
      </c>
      <c r="AA72" s="670">
        <f t="shared" si="5"/>
        <v>276.64</v>
      </c>
      <c r="AB72" s="432">
        <f t="shared" si="6"/>
        <v>23.333333333333332</v>
      </c>
      <c r="AC72" s="670">
        <f t="shared" si="1"/>
        <v>48.56408058294042</v>
      </c>
      <c r="AD72" s="1235">
        <f t="shared" si="11"/>
        <v>30</v>
      </c>
      <c r="AE72" s="432">
        <f t="shared" si="14"/>
        <v>355.68</v>
      </c>
      <c r="AF72" s="1174"/>
      <c r="AH72" s="1124">
        <f t="shared" si="7"/>
        <v>18.829000059646887</v>
      </c>
      <c r="AI72" s="666">
        <v>0.877</v>
      </c>
      <c r="AJ72" s="666">
        <v>1.018</v>
      </c>
      <c r="AK72" s="666">
        <v>6.1000000000000004E-3</v>
      </c>
    </row>
    <row r="73" spans="1:37" ht="18.75" customHeight="1" x14ac:dyDescent="0.2">
      <c r="A73" s="1191">
        <v>57</v>
      </c>
      <c r="B73" s="461" t="s">
        <v>63</v>
      </c>
      <c r="C73" s="1235" t="s">
        <v>46</v>
      </c>
      <c r="D73" s="1235">
        <v>672.99</v>
      </c>
      <c r="E73" s="1235" t="s">
        <v>98</v>
      </c>
      <c r="F73" s="1235">
        <v>177.8</v>
      </c>
      <c r="G73" s="1235" t="s">
        <v>28</v>
      </c>
      <c r="H73" s="1235" t="s">
        <v>310</v>
      </c>
      <c r="I73" s="1231">
        <v>537.29</v>
      </c>
      <c r="J73" s="1074">
        <v>350</v>
      </c>
      <c r="K73" s="1235"/>
      <c r="L73" s="670">
        <v>456</v>
      </c>
      <c r="M73" s="1235"/>
      <c r="N73" s="668">
        <v>3.4</v>
      </c>
      <c r="O73" s="1235"/>
      <c r="P73" s="668">
        <f t="shared" si="3"/>
        <v>11.183957152052393</v>
      </c>
      <c r="Q73" s="668">
        <f t="shared" ref="Q73" si="15">LEFT(H73,(FIND("K",H73,1)-1))*J73/100</f>
        <v>77</v>
      </c>
      <c r="R73" s="1437">
        <v>13.11</v>
      </c>
      <c r="S73" s="432">
        <v>26.33</v>
      </c>
      <c r="T73" s="670">
        <v>147</v>
      </c>
      <c r="U73" s="668">
        <f t="shared" si="10"/>
        <v>11.212814645308924</v>
      </c>
      <c r="V73" s="668">
        <f t="shared" si="13"/>
        <v>50.208887200911512</v>
      </c>
      <c r="W73" s="1192">
        <v>0.2</v>
      </c>
      <c r="X73" s="1172">
        <f t="shared" si="8"/>
        <v>0.34194805194805195</v>
      </c>
      <c r="Y73" s="432">
        <f t="shared" si="5"/>
        <v>12.952679999999999</v>
      </c>
      <c r="Z73" s="432">
        <f t="shared" si="5"/>
        <v>26.014039999999998</v>
      </c>
      <c r="AA73" s="670">
        <f t="shared" si="5"/>
        <v>145.23599999999999</v>
      </c>
      <c r="AB73" s="432">
        <f t="shared" si="6"/>
        <v>11.212814645308924</v>
      </c>
      <c r="AC73" s="670">
        <f t="shared" si="1"/>
        <v>50.208887200911512</v>
      </c>
      <c r="AD73" s="1235">
        <f t="shared" si="11"/>
        <v>30</v>
      </c>
      <c r="AE73" s="432">
        <f t="shared" si="14"/>
        <v>388.5804</v>
      </c>
      <c r="AF73" s="1174"/>
      <c r="AH73" s="1124">
        <f t="shared" si="7"/>
        <v>11.183957152052393</v>
      </c>
      <c r="AI73" s="666">
        <v>0.8911</v>
      </c>
      <c r="AJ73" s="666">
        <v>1.018</v>
      </c>
      <c r="AK73" s="666">
        <v>6.1000000000000004E-3</v>
      </c>
    </row>
    <row r="74" spans="1:37" ht="18.75" customHeight="1" x14ac:dyDescent="0.2">
      <c r="A74" s="1191">
        <v>58</v>
      </c>
      <c r="B74" s="461" t="s">
        <v>217</v>
      </c>
      <c r="C74" s="1235" t="s">
        <v>408</v>
      </c>
      <c r="D74" s="1235">
        <v>587.72</v>
      </c>
      <c r="E74" s="1235" t="s">
        <v>611</v>
      </c>
      <c r="F74" s="1235">
        <v>177.8</v>
      </c>
      <c r="G74" s="1235" t="s">
        <v>28</v>
      </c>
      <c r="H74" s="550" t="s">
        <v>466</v>
      </c>
      <c r="I74" s="1231">
        <v>555.54999999999995</v>
      </c>
      <c r="J74" s="1074">
        <v>0</v>
      </c>
      <c r="K74" s="1235">
        <v>51.36</v>
      </c>
      <c r="L74" s="670"/>
      <c r="M74" s="1235">
        <v>4.8</v>
      </c>
      <c r="N74" s="668"/>
      <c r="O74" s="1235"/>
      <c r="P74" s="668">
        <f t="shared" si="3"/>
        <v>47.870234344929671</v>
      </c>
      <c r="Q74" s="668"/>
      <c r="R74" s="1437"/>
      <c r="S74" s="432"/>
      <c r="T74" s="670"/>
      <c r="U74" s="668"/>
      <c r="V74" s="668"/>
      <c r="W74" s="1192"/>
      <c r="X74" s="1172"/>
      <c r="Y74" s="432"/>
      <c r="Z74" s="432"/>
      <c r="AA74" s="670"/>
      <c r="AB74" s="432"/>
      <c r="AC74" s="670"/>
      <c r="AD74" s="1235"/>
      <c r="AE74" s="432"/>
      <c r="AF74" s="1173" t="s">
        <v>682</v>
      </c>
      <c r="AH74" s="1124">
        <f t="shared" si="7"/>
        <v>47.870234344929671</v>
      </c>
      <c r="AI74" s="666">
        <v>0.89</v>
      </c>
      <c r="AJ74" s="666">
        <v>1.018</v>
      </c>
      <c r="AK74" s="666">
        <v>6.1000000000000004E-3</v>
      </c>
    </row>
    <row r="75" spans="1:37" ht="20.25" customHeight="1" x14ac:dyDescent="0.2">
      <c r="A75" s="1191">
        <v>59</v>
      </c>
      <c r="B75" s="461" t="s">
        <v>211</v>
      </c>
      <c r="C75" s="1235" t="s">
        <v>46</v>
      </c>
      <c r="D75" s="1235">
        <v>684.03</v>
      </c>
      <c r="E75" s="1235" t="s">
        <v>696</v>
      </c>
      <c r="F75" s="1235">
        <v>177.8</v>
      </c>
      <c r="G75" s="1235" t="s">
        <v>28</v>
      </c>
      <c r="H75" s="1235" t="s">
        <v>464</v>
      </c>
      <c r="I75" s="1231">
        <v>582.6</v>
      </c>
      <c r="J75" s="1074">
        <v>175</v>
      </c>
      <c r="K75" s="1235"/>
      <c r="L75" s="670">
        <v>358</v>
      </c>
      <c r="M75" s="1235"/>
      <c r="N75" s="668">
        <v>3.2</v>
      </c>
      <c r="O75" s="1235"/>
      <c r="P75" s="668">
        <f t="shared" si="3"/>
        <v>25.053965662138964</v>
      </c>
      <c r="Q75" s="668">
        <f>(22*J75)/100</f>
        <v>38.5</v>
      </c>
      <c r="R75" s="1437">
        <v>4.5199999999999996</v>
      </c>
      <c r="S75" s="432">
        <v>19.100000000000001</v>
      </c>
      <c r="T75" s="670">
        <v>60</v>
      </c>
      <c r="U75" s="668">
        <f t="shared" si="10"/>
        <v>13.274336283185843</v>
      </c>
      <c r="V75" s="668">
        <f t="shared" si="13"/>
        <v>76.335078534031425</v>
      </c>
      <c r="W75" s="1192">
        <v>0.2</v>
      </c>
      <c r="X75" s="1172">
        <f t="shared" si="8"/>
        <v>0.49610389610389616</v>
      </c>
      <c r="Y75" s="432">
        <f t="shared" si="5"/>
        <v>4.4657599999999995</v>
      </c>
      <c r="Z75" s="432">
        <f t="shared" si="5"/>
        <v>18.870800000000003</v>
      </c>
      <c r="AA75" s="670">
        <f t="shared" si="5"/>
        <v>59.28</v>
      </c>
      <c r="AB75" s="432">
        <f t="shared" si="6"/>
        <v>13.274336283185843</v>
      </c>
      <c r="AC75" s="670">
        <f t="shared" si="1"/>
        <v>76.335078534031425</v>
      </c>
      <c r="AD75" s="1235">
        <f t="shared" si="11"/>
        <v>30</v>
      </c>
      <c r="AE75" s="432">
        <f t="shared" ref="AE75:AE81" si="16">Y75*AD75</f>
        <v>133.97279999999998</v>
      </c>
      <c r="AF75" s="1174"/>
      <c r="AH75" s="1124">
        <f t="shared" si="7"/>
        <v>25.053965662138964</v>
      </c>
      <c r="AI75" s="666">
        <v>0.92200000000000004</v>
      </c>
      <c r="AJ75" s="666">
        <v>1.018</v>
      </c>
      <c r="AK75" s="666">
        <v>6.1000000000000004E-3</v>
      </c>
    </row>
    <row r="76" spans="1:37" ht="18.600000000000001" customHeight="1" x14ac:dyDescent="0.2">
      <c r="A76" s="1191">
        <v>60</v>
      </c>
      <c r="B76" s="461" t="s">
        <v>341</v>
      </c>
      <c r="C76" s="1235" t="s">
        <v>46</v>
      </c>
      <c r="D76" s="1235">
        <v>675.29</v>
      </c>
      <c r="E76" s="1235" t="s">
        <v>343</v>
      </c>
      <c r="F76" s="1235">
        <v>177.8</v>
      </c>
      <c r="G76" s="1235" t="s">
        <v>28</v>
      </c>
      <c r="H76" s="550" t="s">
        <v>565</v>
      </c>
      <c r="I76" s="1231">
        <v>531.94000000000005</v>
      </c>
      <c r="J76" s="1074">
        <v>355</v>
      </c>
      <c r="K76" s="1235"/>
      <c r="L76" s="670">
        <v>367</v>
      </c>
      <c r="M76" s="1235"/>
      <c r="N76" s="668">
        <v>7.55</v>
      </c>
      <c r="O76" s="1235"/>
      <c r="P76" s="668">
        <f t="shared" si="3"/>
        <v>23.211399498267955</v>
      </c>
      <c r="Q76" s="668">
        <f>(20*J76)/100</f>
        <v>71</v>
      </c>
      <c r="R76" s="1437">
        <v>16.16</v>
      </c>
      <c r="S76" s="432">
        <v>43.2</v>
      </c>
      <c r="T76" s="670">
        <v>163</v>
      </c>
      <c r="U76" s="668">
        <f t="shared" si="10"/>
        <v>10.086633663366337</v>
      </c>
      <c r="V76" s="668">
        <f t="shared" si="13"/>
        <v>62.592592592592602</v>
      </c>
      <c r="W76" s="1192">
        <v>0.2</v>
      </c>
      <c r="X76" s="1172">
        <f t="shared" si="8"/>
        <v>0.60845070422535219</v>
      </c>
      <c r="Y76" s="432">
        <f t="shared" si="5"/>
        <v>15.96608</v>
      </c>
      <c r="Z76" s="432">
        <f t="shared" si="5"/>
        <v>42.681600000000003</v>
      </c>
      <c r="AA76" s="670">
        <f t="shared" si="5"/>
        <v>161.04400000000001</v>
      </c>
      <c r="AB76" s="432">
        <f t="shared" si="6"/>
        <v>10.086633663366337</v>
      </c>
      <c r="AC76" s="670">
        <f t="shared" si="1"/>
        <v>62.592592592592602</v>
      </c>
      <c r="AD76" s="1235">
        <f t="shared" si="11"/>
        <v>30</v>
      </c>
      <c r="AE76" s="432">
        <f t="shared" si="16"/>
        <v>478.98239999999998</v>
      </c>
      <c r="AF76" s="1174"/>
      <c r="AH76" s="1124">
        <f t="shared" si="7"/>
        <v>23.211399498267955</v>
      </c>
      <c r="AI76" s="666">
        <v>0.8821</v>
      </c>
      <c r="AJ76" s="666">
        <v>1.018</v>
      </c>
      <c r="AK76" s="666">
        <v>6.1000000000000004E-3</v>
      </c>
    </row>
    <row r="77" spans="1:37" ht="18.75" customHeight="1" x14ac:dyDescent="0.2">
      <c r="A77" s="1191">
        <v>61</v>
      </c>
      <c r="B77" s="461" t="s">
        <v>354</v>
      </c>
      <c r="C77" s="1235" t="s">
        <v>46</v>
      </c>
      <c r="D77" s="1235">
        <v>563.85</v>
      </c>
      <c r="E77" s="1197" t="s">
        <v>545</v>
      </c>
      <c r="F77" s="1235">
        <v>178.8</v>
      </c>
      <c r="G77" s="1235" t="s">
        <v>28</v>
      </c>
      <c r="H77" s="550" t="s">
        <v>687</v>
      </c>
      <c r="I77" s="1231">
        <v>533.89</v>
      </c>
      <c r="J77" s="1074">
        <v>85</v>
      </c>
      <c r="K77" s="1235"/>
      <c r="L77" s="670">
        <v>75</v>
      </c>
      <c r="M77" s="1235"/>
      <c r="N77" s="668">
        <v>1.18</v>
      </c>
      <c r="O77" s="1235"/>
      <c r="P77" s="668">
        <f t="shared" si="3"/>
        <v>45.847033609695636</v>
      </c>
      <c r="Q77" s="668">
        <f>(22/100)*J77</f>
        <v>18.7</v>
      </c>
      <c r="R77" s="1437">
        <v>2.9</v>
      </c>
      <c r="S77" s="432">
        <v>24.9</v>
      </c>
      <c r="T77" s="670">
        <v>79.3</v>
      </c>
      <c r="U77" s="668">
        <f t="shared" si="10"/>
        <v>27.344827586206897</v>
      </c>
      <c r="V77" s="668">
        <f t="shared" si="13"/>
        <v>88.353413654618478</v>
      </c>
      <c r="W77" s="1192">
        <v>0.2</v>
      </c>
      <c r="X77" s="1172">
        <f t="shared" si="8"/>
        <v>1.3315508021390374</v>
      </c>
      <c r="Y77" s="432">
        <f t="shared" si="5"/>
        <v>2.8651999999999997</v>
      </c>
      <c r="Z77" s="432">
        <f t="shared" si="5"/>
        <v>24.601199999999999</v>
      </c>
      <c r="AA77" s="670">
        <f t="shared" si="5"/>
        <v>78.348399999999998</v>
      </c>
      <c r="AB77" s="432">
        <f t="shared" si="6"/>
        <v>27.344827586206897</v>
      </c>
      <c r="AC77" s="670">
        <f t="shared" si="1"/>
        <v>88.353413654618478</v>
      </c>
      <c r="AD77" s="1235">
        <f t="shared" si="11"/>
        <v>30</v>
      </c>
      <c r="AE77" s="432">
        <f t="shared" si="16"/>
        <v>85.955999999999989</v>
      </c>
      <c r="AF77" s="1174"/>
      <c r="AH77" s="1124">
        <f t="shared" si="7"/>
        <v>45.847033609695636</v>
      </c>
      <c r="AI77" s="666">
        <v>0.90100000000000002</v>
      </c>
      <c r="AJ77" s="666">
        <v>1.018</v>
      </c>
      <c r="AK77" s="666">
        <v>6.1000000000000004E-3</v>
      </c>
    </row>
    <row r="78" spans="1:37" ht="18.75" customHeight="1" x14ac:dyDescent="0.2">
      <c r="A78" s="1191">
        <v>62</v>
      </c>
      <c r="B78" s="461" t="s">
        <v>423</v>
      </c>
      <c r="C78" s="1235" t="s">
        <v>46</v>
      </c>
      <c r="D78" s="1235">
        <v>687.52</v>
      </c>
      <c r="E78" s="1106" t="s">
        <v>546</v>
      </c>
      <c r="F78" s="1235">
        <v>179.8</v>
      </c>
      <c r="G78" s="1235" t="s">
        <v>28</v>
      </c>
      <c r="H78" s="550" t="s">
        <v>565</v>
      </c>
      <c r="I78" s="1231">
        <v>571.08000000000004</v>
      </c>
      <c r="J78" s="1074">
        <v>150</v>
      </c>
      <c r="K78" s="1235"/>
      <c r="L78" s="670">
        <v>482</v>
      </c>
      <c r="M78" s="1235"/>
      <c r="N78" s="668">
        <v>17</v>
      </c>
      <c r="O78" s="1235"/>
      <c r="P78" s="668">
        <f t="shared" si="3"/>
        <v>24.488108171458514</v>
      </c>
      <c r="Q78" s="668">
        <f>(13/100)*J78</f>
        <v>19.5</v>
      </c>
      <c r="R78" s="1437">
        <v>14</v>
      </c>
      <c r="S78" s="432">
        <v>14.24</v>
      </c>
      <c r="T78" s="670">
        <v>773.7</v>
      </c>
      <c r="U78" s="668">
        <f t="shared" si="10"/>
        <v>55.26428571428572</v>
      </c>
      <c r="V78" s="668">
        <f t="shared" si="13"/>
        <v>1.6853932584269677</v>
      </c>
      <c r="W78" s="1192">
        <v>0.2</v>
      </c>
      <c r="X78" s="1172">
        <f t="shared" si="8"/>
        <v>0.7302564102564103</v>
      </c>
      <c r="Y78" s="432">
        <f t="shared" si="5"/>
        <v>13.832000000000001</v>
      </c>
      <c r="Z78" s="432">
        <f t="shared" si="5"/>
        <v>14.06912</v>
      </c>
      <c r="AA78" s="670">
        <f t="shared" si="5"/>
        <v>764.41560000000004</v>
      </c>
      <c r="AB78" s="432">
        <f t="shared" si="6"/>
        <v>55.26428571428572</v>
      </c>
      <c r="AC78" s="670">
        <f t="shared" si="1"/>
        <v>1.6853932584269677</v>
      </c>
      <c r="AD78" s="1235">
        <f t="shared" si="11"/>
        <v>30</v>
      </c>
      <c r="AE78" s="432">
        <f t="shared" si="16"/>
        <v>414.96000000000004</v>
      </c>
      <c r="AF78" s="1174"/>
      <c r="AH78" s="1124">
        <f t="shared" si="7"/>
        <v>24.488108171458514</v>
      </c>
      <c r="AI78" s="666">
        <v>0.83209999999999995</v>
      </c>
      <c r="AJ78" s="666">
        <v>1.018</v>
      </c>
      <c r="AK78" s="666">
        <v>6.1000000000000004E-3</v>
      </c>
    </row>
    <row r="79" spans="1:37" ht="18.75" customHeight="1" x14ac:dyDescent="0.2">
      <c r="A79" s="1191">
        <v>63</v>
      </c>
      <c r="B79" s="461" t="s">
        <v>213</v>
      </c>
      <c r="C79" s="1235" t="s">
        <v>46</v>
      </c>
      <c r="D79" s="1235">
        <v>694.35</v>
      </c>
      <c r="E79" s="1235" t="s">
        <v>497</v>
      </c>
      <c r="F79" s="1235">
        <v>177.8</v>
      </c>
      <c r="G79" s="1235" t="s">
        <v>28</v>
      </c>
      <c r="H79" s="1235" t="s">
        <v>464</v>
      </c>
      <c r="I79" s="1231">
        <v>664.19</v>
      </c>
      <c r="J79" s="1074">
        <v>165</v>
      </c>
      <c r="K79" s="1235"/>
      <c r="L79" s="670">
        <v>146.6</v>
      </c>
      <c r="M79" s="1235"/>
      <c r="N79" s="668">
        <v>14.4</v>
      </c>
      <c r="O79" s="1235"/>
      <c r="P79" s="668">
        <f t="shared" si="3"/>
        <v>60.296160247014853</v>
      </c>
      <c r="Q79" s="668">
        <f>14*J79/100</f>
        <v>23.1</v>
      </c>
      <c r="R79" s="1437">
        <v>6.1</v>
      </c>
      <c r="S79" s="432">
        <v>6.15</v>
      </c>
      <c r="T79" s="670">
        <v>132.5</v>
      </c>
      <c r="U79" s="668">
        <f t="shared" si="10"/>
        <v>21.721311475409838</v>
      </c>
      <c r="V79" s="668">
        <f t="shared" si="13"/>
        <v>0.81300813008131234</v>
      </c>
      <c r="W79" s="1192">
        <v>0.2</v>
      </c>
      <c r="X79" s="1172">
        <f t="shared" si="8"/>
        <v>0.26623376623376621</v>
      </c>
      <c r="Y79" s="432">
        <f t="shared" si="5"/>
        <v>6.0267999999999997</v>
      </c>
      <c r="Z79" s="432">
        <f t="shared" si="5"/>
        <v>6.0762</v>
      </c>
      <c r="AA79" s="670">
        <f t="shared" si="5"/>
        <v>130.91</v>
      </c>
      <c r="AB79" s="432">
        <f t="shared" si="6"/>
        <v>21.721311475409838</v>
      </c>
      <c r="AC79" s="670">
        <f>V79</f>
        <v>0.81300813008131234</v>
      </c>
      <c r="AD79" s="1235">
        <f t="shared" si="11"/>
        <v>30</v>
      </c>
      <c r="AE79" s="432">
        <f t="shared" si="16"/>
        <v>180.804</v>
      </c>
      <c r="AF79" s="1173"/>
      <c r="AH79" s="1124">
        <f t="shared" si="7"/>
        <v>60.296160247014853</v>
      </c>
      <c r="AI79" s="666">
        <v>0.9133</v>
      </c>
      <c r="AJ79" s="666">
        <v>1.018</v>
      </c>
      <c r="AK79" s="666">
        <v>6.1000000000000004E-3</v>
      </c>
    </row>
    <row r="80" spans="1:37" ht="18.75" customHeight="1" x14ac:dyDescent="0.2">
      <c r="A80" s="1191">
        <v>64</v>
      </c>
      <c r="B80" s="461" t="s">
        <v>506</v>
      </c>
      <c r="C80" s="1235" t="s">
        <v>46</v>
      </c>
      <c r="D80" s="1231">
        <v>700</v>
      </c>
      <c r="E80" s="1231" t="s">
        <v>547</v>
      </c>
      <c r="F80" s="1235">
        <v>177.8</v>
      </c>
      <c r="G80" s="1235" t="s">
        <v>28</v>
      </c>
      <c r="H80" s="1235" t="s">
        <v>464</v>
      </c>
      <c r="I80" s="1231">
        <v>608.22</v>
      </c>
      <c r="J80" s="1231">
        <v>0</v>
      </c>
      <c r="K80" s="1231"/>
      <c r="L80" s="492">
        <v>0</v>
      </c>
      <c r="M80" s="1231"/>
      <c r="N80" s="668">
        <v>0</v>
      </c>
      <c r="O80" s="1231"/>
      <c r="P80" s="668">
        <f t="shared" si="3"/>
        <v>48.239526409474465</v>
      </c>
      <c r="Q80" s="668"/>
      <c r="R80" s="1437"/>
      <c r="S80" s="432"/>
      <c r="T80" s="492"/>
      <c r="U80" s="432"/>
      <c r="V80" s="668"/>
      <c r="W80" s="1192"/>
      <c r="X80" s="1172"/>
      <c r="Y80" s="432"/>
      <c r="Z80" s="432"/>
      <c r="AA80" s="670"/>
      <c r="AB80" s="432"/>
      <c r="AC80" s="432"/>
      <c r="AD80" s="1235"/>
      <c r="AE80" s="432"/>
      <c r="AF80" s="1173" t="s">
        <v>682</v>
      </c>
      <c r="AH80" s="1124">
        <f t="shared" si="7"/>
        <v>48.239526409474465</v>
      </c>
      <c r="AI80" s="666">
        <v>0.81920000000000004</v>
      </c>
      <c r="AJ80" s="666">
        <v>1.018</v>
      </c>
      <c r="AK80" s="666">
        <v>6.1000000000000004E-3</v>
      </c>
    </row>
    <row r="81" spans="1:37" ht="18.75" customHeight="1" x14ac:dyDescent="0.2">
      <c r="A81" s="1191">
        <v>65</v>
      </c>
      <c r="B81" s="461" t="s">
        <v>451</v>
      </c>
      <c r="C81" s="1235" t="s">
        <v>46</v>
      </c>
      <c r="D81" s="1231">
        <v>619.66</v>
      </c>
      <c r="E81" s="1231" t="s">
        <v>613</v>
      </c>
      <c r="F81" s="1235">
        <v>177.8</v>
      </c>
      <c r="G81" s="1235" t="s">
        <v>28</v>
      </c>
      <c r="H81" s="550" t="s">
        <v>540</v>
      </c>
      <c r="I81" s="1231">
        <v>597.15</v>
      </c>
      <c r="J81" s="1231">
        <v>135</v>
      </c>
      <c r="K81" s="1231"/>
      <c r="L81" s="492">
        <v>600.5</v>
      </c>
      <c r="M81" s="1231"/>
      <c r="N81" s="668">
        <v>6.9</v>
      </c>
      <c r="O81" s="1231"/>
      <c r="P81" s="668">
        <f t="shared" si="3"/>
        <v>6.9609168796454295</v>
      </c>
      <c r="Q81" s="668">
        <f>LEFT(H81,(FIND("E",H81,1)-1))*J81/100</f>
        <v>29.7</v>
      </c>
      <c r="R81" s="1437">
        <v>4</v>
      </c>
      <c r="S81" s="432">
        <v>4.09</v>
      </c>
      <c r="T81" s="492">
        <v>101</v>
      </c>
      <c r="U81" s="432">
        <f t="shared" si="10"/>
        <v>25.25</v>
      </c>
      <c r="V81" s="668">
        <f t="shared" si="13"/>
        <v>2.2004889975550088</v>
      </c>
      <c r="W81" s="1192">
        <v>0.2</v>
      </c>
      <c r="X81" s="1172">
        <f t="shared" si="8"/>
        <v>0.1377104377104377</v>
      </c>
      <c r="Y81" s="432">
        <f t="shared" si="5"/>
        <v>3.952</v>
      </c>
      <c r="Z81" s="432">
        <f t="shared" si="5"/>
        <v>4.0409199999999998</v>
      </c>
      <c r="AA81" s="670">
        <f t="shared" si="5"/>
        <v>99.787999999999997</v>
      </c>
      <c r="AB81" s="432">
        <f t="shared" si="6"/>
        <v>25.25</v>
      </c>
      <c r="AC81" s="432">
        <f t="shared" si="6"/>
        <v>2.2004889975550088</v>
      </c>
      <c r="AD81" s="1235">
        <f t="shared" si="11"/>
        <v>30</v>
      </c>
      <c r="AE81" s="432">
        <f t="shared" si="16"/>
        <v>118.56</v>
      </c>
      <c r="AF81" s="1173"/>
      <c r="AH81" s="1124">
        <f t="shared" si="7"/>
        <v>6.9609168796454295</v>
      </c>
      <c r="AI81" s="666">
        <v>0.90310000000000001</v>
      </c>
      <c r="AJ81" s="666">
        <v>1.018</v>
      </c>
      <c r="AK81" s="666">
        <v>6.1000000000000004E-3</v>
      </c>
    </row>
    <row r="82" spans="1:37" ht="18.75" customHeight="1" x14ac:dyDescent="0.2">
      <c r="A82" s="1191">
        <v>66</v>
      </c>
      <c r="B82" s="461" t="s">
        <v>424</v>
      </c>
      <c r="C82" s="1235" t="s">
        <v>46</v>
      </c>
      <c r="D82" s="1231">
        <v>689.4</v>
      </c>
      <c r="E82" s="1231" t="s">
        <v>616</v>
      </c>
      <c r="F82" s="1235">
        <v>177.8</v>
      </c>
      <c r="G82" s="1235" t="s">
        <v>28</v>
      </c>
      <c r="H82" s="550" t="s">
        <v>466</v>
      </c>
      <c r="I82" s="1231">
        <v>604.96</v>
      </c>
      <c r="J82" s="1231">
        <v>0</v>
      </c>
      <c r="K82" s="1231"/>
      <c r="L82" s="492"/>
      <c r="M82" s="1231"/>
      <c r="N82" s="668"/>
      <c r="O82" s="1231"/>
      <c r="P82" s="668">
        <f t="shared" ref="P82:P84" si="17">AH82</f>
        <v>47.576830678312362</v>
      </c>
      <c r="Q82" s="668"/>
      <c r="R82" s="1437"/>
      <c r="S82" s="432"/>
      <c r="T82" s="492"/>
      <c r="U82" s="432"/>
      <c r="V82" s="668"/>
      <c r="W82" s="1192"/>
      <c r="X82" s="1172"/>
      <c r="Y82" s="432"/>
      <c r="Z82" s="432"/>
      <c r="AA82" s="670"/>
      <c r="AB82" s="432"/>
      <c r="AC82" s="432"/>
      <c r="AD82" s="1235"/>
      <c r="AE82" s="432"/>
      <c r="AF82" s="1173" t="s">
        <v>682</v>
      </c>
      <c r="AH82" s="1124">
        <f t="shared" ref="AH82:AH99" si="18">(9.81*(AI82*(100%-(V82/100))+AJ82*(V82/100))*(I82-L82)+N82*101.325+9.81*(AK82)*L82)/101.325</f>
        <v>47.576830678312362</v>
      </c>
      <c r="AI82" s="666">
        <v>0.81230000000000002</v>
      </c>
      <c r="AJ82" s="666">
        <v>1.018</v>
      </c>
      <c r="AK82" s="666">
        <v>6.1000000000000004E-3</v>
      </c>
    </row>
    <row r="83" spans="1:37" ht="18.75" customHeight="1" x14ac:dyDescent="0.2">
      <c r="A83" s="1191">
        <v>67</v>
      </c>
      <c r="B83" s="461" t="s">
        <v>567</v>
      </c>
      <c r="C83" s="1235" t="s">
        <v>46</v>
      </c>
      <c r="D83" s="1231">
        <v>577.12</v>
      </c>
      <c r="E83" s="1231" t="s">
        <v>614</v>
      </c>
      <c r="F83" s="1235">
        <v>177.8</v>
      </c>
      <c r="G83" s="1235" t="s">
        <v>28</v>
      </c>
      <c r="H83" s="1235" t="s">
        <v>464</v>
      </c>
      <c r="I83" s="1231">
        <v>537.30999999999995</v>
      </c>
      <c r="J83" s="1231">
        <v>255</v>
      </c>
      <c r="K83" s="1231"/>
      <c r="L83" s="492">
        <v>426</v>
      </c>
      <c r="M83" s="1231"/>
      <c r="N83" s="668">
        <v>8.7999999999999995E-2</v>
      </c>
      <c r="O83" s="1231"/>
      <c r="P83" s="668">
        <f t="shared" si="17"/>
        <v>10.396227072384274</v>
      </c>
      <c r="Q83" s="668">
        <f>RIGHT(H83,(FIND("T",H83,1)-0))*J83/100</f>
        <v>35.700000000000003</v>
      </c>
      <c r="R83" s="1437">
        <v>5</v>
      </c>
      <c r="S83" s="432">
        <v>7.0149999999999997</v>
      </c>
      <c r="T83" s="492">
        <v>4.5</v>
      </c>
      <c r="U83" s="432">
        <f t="shared" ref="U83" si="19">IF(R83=0,0,T83/R83)</f>
        <v>0.9</v>
      </c>
      <c r="V83" s="668">
        <f t="shared" si="13"/>
        <v>28.72416250890948</v>
      </c>
      <c r="W83" s="1192">
        <v>0.2</v>
      </c>
      <c r="X83" s="1172">
        <f t="shared" ref="X83" si="20">IF(S83=0,0,S83/Q83)</f>
        <v>0.19649859943977588</v>
      </c>
      <c r="Y83" s="432">
        <f t="shared" ref="Y83:AA84" si="21">R83*0.988</f>
        <v>4.9399999999999995</v>
      </c>
      <c r="Z83" s="432">
        <f t="shared" si="21"/>
        <v>6.9308199999999998</v>
      </c>
      <c r="AA83" s="670">
        <f t="shared" si="21"/>
        <v>4.4459999999999997</v>
      </c>
      <c r="AB83" s="432">
        <f t="shared" ref="AB83" si="22">U83</f>
        <v>0.9</v>
      </c>
      <c r="AC83" s="432">
        <v>24.363</v>
      </c>
      <c r="AD83" s="1235">
        <f t="shared" si="11"/>
        <v>30</v>
      </c>
      <c r="AE83" s="432">
        <f>Y83*AD83</f>
        <v>148.19999999999999</v>
      </c>
      <c r="AF83" s="1173"/>
      <c r="AH83" s="1124">
        <f t="shared" si="18"/>
        <v>10.396227072384274</v>
      </c>
      <c r="AI83" s="666">
        <v>0.89900000000000002</v>
      </c>
      <c r="AJ83" s="666">
        <v>1.018</v>
      </c>
      <c r="AK83" s="666">
        <v>6.1000000000000004E-3</v>
      </c>
    </row>
    <row r="84" spans="1:37" ht="18.75" customHeight="1" x14ac:dyDescent="0.2">
      <c r="A84" s="1191">
        <v>68</v>
      </c>
      <c r="B84" s="461" t="s">
        <v>172</v>
      </c>
      <c r="C84" s="1235" t="s">
        <v>46</v>
      </c>
      <c r="D84" s="1235">
        <v>673.05</v>
      </c>
      <c r="E84" s="1235" t="s">
        <v>615</v>
      </c>
      <c r="F84" s="1235">
        <v>177.8</v>
      </c>
      <c r="G84" s="1235" t="s">
        <v>28</v>
      </c>
      <c r="H84" s="1235" t="s">
        <v>464</v>
      </c>
      <c r="I84" s="1231">
        <v>576.27</v>
      </c>
      <c r="J84" s="1074">
        <v>180</v>
      </c>
      <c r="K84" s="1235"/>
      <c r="L84" s="670">
        <v>0</v>
      </c>
      <c r="M84" s="1235"/>
      <c r="N84" s="668">
        <v>5.4</v>
      </c>
      <c r="O84" s="1235"/>
      <c r="P84" s="668">
        <f t="shared" si="17"/>
        <v>61.737661109439067</v>
      </c>
      <c r="Q84" s="668">
        <f>14*J84/100</f>
        <v>25.2</v>
      </c>
      <c r="R84" s="1437">
        <v>2.6</v>
      </c>
      <c r="S84" s="432">
        <v>29.9</v>
      </c>
      <c r="T84" s="670">
        <v>26.65</v>
      </c>
      <c r="U84" s="668">
        <f t="shared" si="10"/>
        <v>10.249999999999998</v>
      </c>
      <c r="V84" s="668">
        <f t="shared" si="13"/>
        <v>91.304347826086953</v>
      </c>
      <c r="W84" s="1192">
        <v>0.5</v>
      </c>
      <c r="X84" s="1172">
        <f t="shared" si="8"/>
        <v>1.1865079365079365</v>
      </c>
      <c r="Y84" s="432">
        <f t="shared" si="21"/>
        <v>2.5688</v>
      </c>
      <c r="Z84" s="432">
        <f t="shared" si="21"/>
        <v>29.5412</v>
      </c>
      <c r="AA84" s="670">
        <f t="shared" si="21"/>
        <v>26.330199999999998</v>
      </c>
      <c r="AB84" s="432">
        <f t="shared" si="6"/>
        <v>10.249999999999998</v>
      </c>
      <c r="AC84" s="670">
        <f t="shared" si="1"/>
        <v>91.304347826086953</v>
      </c>
      <c r="AD84" s="1235">
        <f t="shared" si="11"/>
        <v>30</v>
      </c>
      <c r="AE84" s="432">
        <f>Y84*AD84</f>
        <v>77.063999999999993</v>
      </c>
      <c r="AF84" s="1174"/>
      <c r="AH84" s="1124">
        <f t="shared" si="18"/>
        <v>61.737661109439067</v>
      </c>
      <c r="AI84" s="666">
        <v>0.92330000000000001</v>
      </c>
      <c r="AJ84" s="666">
        <v>1.018</v>
      </c>
      <c r="AK84" s="666">
        <v>6.1000000000000004E-3</v>
      </c>
    </row>
    <row r="85" spans="1:37" ht="18.75" customHeight="1" x14ac:dyDescent="0.25">
      <c r="A85" s="1179"/>
      <c r="B85" s="1235"/>
      <c r="C85" s="1235"/>
      <c r="D85" s="1231"/>
      <c r="E85" s="1231"/>
      <c r="F85" s="461"/>
      <c r="G85" s="1235"/>
      <c r="H85" s="1235"/>
      <c r="I85" s="1231"/>
      <c r="J85" s="1231"/>
      <c r="K85" s="1231"/>
      <c r="L85" s="1231"/>
      <c r="M85" s="1231"/>
      <c r="N85" s="1235"/>
      <c r="O85" s="1231"/>
      <c r="P85" s="668"/>
      <c r="Q85" s="448"/>
      <c r="R85" s="1440">
        <f>SUM(R17:R84)</f>
        <v>336.85326923076934</v>
      </c>
      <c r="S85" s="466">
        <f>SUM(S17:S84)</f>
        <v>1049.3810692307693</v>
      </c>
      <c r="T85" s="512">
        <f>SUM(T17:T84)</f>
        <v>5776.3192307692316</v>
      </c>
      <c r="U85" s="466">
        <f>T85/R85</f>
        <v>17.147879383685087</v>
      </c>
      <c r="V85" s="466"/>
      <c r="W85" s="1198"/>
      <c r="X85" s="1178"/>
      <c r="Y85" s="466">
        <f>SUM(Y17:Y84)</f>
        <v>342.59226999999998</v>
      </c>
      <c r="Z85" s="466">
        <f>SUM(Z17:Z84)</f>
        <v>1037.3072564000001</v>
      </c>
      <c r="AA85" s="678">
        <f>SUM(AA17:AA84)</f>
        <v>5707.0033999999987</v>
      </c>
      <c r="AB85" s="466">
        <f>AA85/Y85</f>
        <v>16.658295880406172</v>
      </c>
      <c r="AC85" s="466"/>
      <c r="AD85" s="1234"/>
      <c r="AE85" s="466">
        <f>SUM(AE17:AE84)</f>
        <v>10239.741800000003</v>
      </c>
      <c r="AF85" s="1173"/>
      <c r="AH85" s="1124"/>
    </row>
    <row r="86" spans="1:37" ht="18.75" customHeight="1" x14ac:dyDescent="0.25">
      <c r="A86" s="1179"/>
      <c r="B86" s="1235"/>
      <c r="C86" s="1235"/>
      <c r="D86" s="1231"/>
      <c r="E86" s="1231"/>
      <c r="F86" s="461"/>
      <c r="G86" s="1235"/>
      <c r="H86" s="1235"/>
      <c r="I86" s="1231"/>
      <c r="J86" s="1231"/>
      <c r="K86" s="1231"/>
      <c r="L86" s="1231"/>
      <c r="M86" s="1231"/>
      <c r="N86" s="1235"/>
      <c r="O86" s="1231"/>
      <c r="P86" s="668"/>
      <c r="Q86" s="448"/>
      <c r="R86" s="1440"/>
      <c r="S86" s="466"/>
      <c r="T86" s="512"/>
      <c r="U86" s="466"/>
      <c r="V86" s="466"/>
      <c r="W86" s="1198"/>
      <c r="X86" s="1178"/>
      <c r="Y86" s="466"/>
      <c r="Z86" s="708"/>
      <c r="AA86" s="678"/>
      <c r="AB86" s="466"/>
      <c r="AC86" s="466"/>
      <c r="AD86" s="1234"/>
      <c r="AE86" s="466"/>
      <c r="AF86" s="1173"/>
      <c r="AH86" s="1124"/>
    </row>
    <row r="87" spans="1:37" ht="18.75" customHeight="1" x14ac:dyDescent="0.25">
      <c r="A87" s="1179"/>
      <c r="B87" s="1235"/>
      <c r="C87" s="1235"/>
      <c r="D87" s="1231"/>
      <c r="E87" s="1230" t="s">
        <v>388</v>
      </c>
      <c r="F87" s="461"/>
      <c r="G87" s="1235"/>
      <c r="H87" s="1235"/>
      <c r="I87" s="1231"/>
      <c r="J87" s="1231"/>
      <c r="K87" s="1231"/>
      <c r="L87" s="1231"/>
      <c r="M87" s="1231"/>
      <c r="N87" s="1235"/>
      <c r="O87" s="1231"/>
      <c r="P87" s="668"/>
      <c r="Q87" s="448"/>
      <c r="R87" s="1440"/>
      <c r="S87" s="466"/>
      <c r="T87" s="512"/>
      <c r="U87" s="466"/>
      <c r="V87" s="466"/>
      <c r="W87" s="1198"/>
      <c r="X87" s="1178"/>
      <c r="Y87" s="466"/>
      <c r="Z87" s="708"/>
      <c r="AA87" s="678"/>
      <c r="AB87" s="466"/>
      <c r="AC87" s="466"/>
      <c r="AD87" s="1234"/>
      <c r="AE87" s="466"/>
      <c r="AF87" s="1173"/>
      <c r="AH87" s="1124"/>
    </row>
    <row r="88" spans="1:37" ht="18.75" customHeight="1" x14ac:dyDescent="0.2">
      <c r="A88" s="1191">
        <v>69</v>
      </c>
      <c r="B88" s="461" t="s">
        <v>505</v>
      </c>
      <c r="C88" s="1235" t="s">
        <v>445</v>
      </c>
      <c r="D88" s="1231">
        <v>737.21</v>
      </c>
      <c r="E88" s="1231" t="s">
        <v>507</v>
      </c>
      <c r="F88" s="1235">
        <v>177.8</v>
      </c>
      <c r="G88" s="1235" t="s">
        <v>28</v>
      </c>
      <c r="H88" s="1171" t="s">
        <v>466</v>
      </c>
      <c r="I88" s="1231">
        <v>680.94</v>
      </c>
      <c r="J88" s="1231"/>
      <c r="K88" s="1231"/>
      <c r="L88" s="1231"/>
      <c r="M88" s="1231"/>
      <c r="N88" s="1235"/>
      <c r="O88" s="1231"/>
      <c r="P88" s="668"/>
      <c r="Q88" s="448"/>
      <c r="R88" s="1437"/>
      <c r="S88" s="432"/>
      <c r="T88" s="492"/>
      <c r="U88" s="432"/>
      <c r="V88" s="432"/>
      <c r="W88" s="1199"/>
      <c r="X88" s="1172">
        <f>IF(S88=0,0,S88/Q88)</f>
        <v>0</v>
      </c>
      <c r="Y88" s="432">
        <f>R88*0.988</f>
        <v>0</v>
      </c>
      <c r="Z88" s="432">
        <f>S88*0.988</f>
        <v>0</v>
      </c>
      <c r="AA88" s="670">
        <f>T88*0.988</f>
        <v>0</v>
      </c>
      <c r="AB88" s="432">
        <f t="shared" ref="AB88:AC91" si="23">U88</f>
        <v>0</v>
      </c>
      <c r="AC88" s="432">
        <f t="shared" si="23"/>
        <v>0</v>
      </c>
      <c r="AD88" s="1235">
        <f>(DAY(EOMONTH($AG$15,0))-AG88)</f>
        <v>30</v>
      </c>
      <c r="AE88" s="432">
        <f>Y88*AD88</f>
        <v>0</v>
      </c>
      <c r="AF88" s="1173" t="s">
        <v>682</v>
      </c>
      <c r="AH88" s="1124">
        <f t="shared" si="18"/>
        <v>58.978012775129535</v>
      </c>
      <c r="AI88" s="666">
        <v>0.89459999999999995</v>
      </c>
      <c r="AJ88" s="666">
        <v>1.018</v>
      </c>
      <c r="AK88" s="666">
        <v>6.1000000000000004E-3</v>
      </c>
    </row>
    <row r="89" spans="1:37" ht="18.75" customHeight="1" x14ac:dyDescent="0.2">
      <c r="A89" s="1191">
        <v>70</v>
      </c>
      <c r="B89" s="461" t="s">
        <v>504</v>
      </c>
      <c r="C89" s="1235" t="s">
        <v>445</v>
      </c>
      <c r="D89" s="1231">
        <v>695.15</v>
      </c>
      <c r="E89" s="1231" t="s">
        <v>508</v>
      </c>
      <c r="F89" s="461">
        <v>177.8</v>
      </c>
      <c r="G89" s="1235" t="s">
        <v>28</v>
      </c>
      <c r="H89" s="1235" t="s">
        <v>491</v>
      </c>
      <c r="I89" s="1231">
        <v>658.9</v>
      </c>
      <c r="J89" s="1231"/>
      <c r="K89" s="1231"/>
      <c r="L89" s="1231"/>
      <c r="M89" s="1231"/>
      <c r="N89" s="1235"/>
      <c r="O89" s="1231"/>
      <c r="P89" s="668"/>
      <c r="Q89" s="448"/>
      <c r="R89" s="1437"/>
      <c r="S89" s="432"/>
      <c r="T89" s="492"/>
      <c r="U89" s="432"/>
      <c r="V89" s="432"/>
      <c r="W89" s="1199"/>
      <c r="X89" s="1172">
        <f t="shared" ref="X89:X91" si="24">IF(S89=0,0,S89/Q89)</f>
        <v>0</v>
      </c>
      <c r="Y89" s="432">
        <f t="shared" ref="Y89:AA91" si="25">R89*0.988</f>
        <v>0</v>
      </c>
      <c r="Z89" s="432">
        <f t="shared" si="25"/>
        <v>0</v>
      </c>
      <c r="AA89" s="670">
        <f t="shared" si="25"/>
        <v>0</v>
      </c>
      <c r="AB89" s="432">
        <f t="shared" si="23"/>
        <v>0</v>
      </c>
      <c r="AC89" s="432">
        <f t="shared" si="23"/>
        <v>0</v>
      </c>
      <c r="AD89" s="1235">
        <f>(DAY(EOMONTH($AG$15,0))-AG89)</f>
        <v>30</v>
      </c>
      <c r="AE89" s="432">
        <f>Y89*AD89</f>
        <v>0</v>
      </c>
      <c r="AF89" s="1173" t="s">
        <v>682</v>
      </c>
      <c r="AH89" s="1124">
        <f t="shared" si="18"/>
        <v>57.069070134715027</v>
      </c>
      <c r="AI89" s="666">
        <v>0.89459999999999995</v>
      </c>
      <c r="AJ89" s="666">
        <v>1.018</v>
      </c>
      <c r="AK89" s="666">
        <v>6.1000000000000004E-3</v>
      </c>
    </row>
    <row r="90" spans="1:37" ht="18.75" customHeight="1" x14ac:dyDescent="0.25">
      <c r="A90" s="1191">
        <v>71</v>
      </c>
      <c r="B90" s="1232" t="s">
        <v>220</v>
      </c>
      <c r="C90" s="1235" t="s">
        <v>445</v>
      </c>
      <c r="D90" s="1231">
        <v>685.69</v>
      </c>
      <c r="E90" s="1231" t="s">
        <v>579</v>
      </c>
      <c r="F90" s="1235">
        <v>177.8</v>
      </c>
      <c r="G90" s="1235" t="s">
        <v>28</v>
      </c>
      <c r="H90" s="550" t="s">
        <v>466</v>
      </c>
      <c r="I90" s="1231">
        <v>639.97</v>
      </c>
      <c r="J90" s="1231"/>
      <c r="K90" s="1231"/>
      <c r="L90" s="1231"/>
      <c r="M90" s="1231"/>
      <c r="N90" s="1235"/>
      <c r="O90" s="1231"/>
      <c r="P90" s="668"/>
      <c r="Q90" s="448"/>
      <c r="R90" s="1441"/>
      <c r="S90" s="869"/>
      <c r="T90" s="869"/>
      <c r="U90" s="869"/>
      <c r="V90" s="869"/>
      <c r="W90" s="1200"/>
      <c r="X90" s="1172">
        <f t="shared" si="24"/>
        <v>0</v>
      </c>
      <c r="Y90" s="432">
        <f t="shared" si="25"/>
        <v>0</v>
      </c>
      <c r="Z90" s="432">
        <f t="shared" si="25"/>
        <v>0</v>
      </c>
      <c r="AA90" s="670">
        <f t="shared" si="25"/>
        <v>0</v>
      </c>
      <c r="AB90" s="432">
        <f t="shared" si="23"/>
        <v>0</v>
      </c>
      <c r="AC90" s="432">
        <f t="shared" si="23"/>
        <v>0</v>
      </c>
      <c r="AD90" s="1235">
        <f t="shared" ref="AD90:AD91" si="26">(DAY(EOMONTH($AG$15,0))-AG90)</f>
        <v>30</v>
      </c>
      <c r="AE90" s="432">
        <f t="shared" ref="AE90:AE91" si="27">Y90*AD90</f>
        <v>0</v>
      </c>
      <c r="AF90" s="1173" t="s">
        <v>682</v>
      </c>
      <c r="AH90" s="1124">
        <f t="shared" si="18"/>
        <v>55.429492812435235</v>
      </c>
      <c r="AI90" s="666">
        <v>0.89459999999999995</v>
      </c>
      <c r="AJ90" s="666">
        <v>1.018</v>
      </c>
      <c r="AK90" s="666">
        <v>6.1000000000000004E-3</v>
      </c>
    </row>
    <row r="91" spans="1:37" ht="18.75" customHeight="1" x14ac:dyDescent="0.2">
      <c r="A91" s="1191">
        <v>72</v>
      </c>
      <c r="B91" s="461" t="s">
        <v>465</v>
      </c>
      <c r="C91" s="1235" t="s">
        <v>46</v>
      </c>
      <c r="D91" s="1235">
        <v>571.91</v>
      </c>
      <c r="E91" s="1235" t="s">
        <v>478</v>
      </c>
      <c r="F91" s="1235">
        <v>177.8</v>
      </c>
      <c r="G91" s="1235" t="s">
        <v>618</v>
      </c>
      <c r="H91" s="831"/>
      <c r="I91" s="1231">
        <v>9.5</v>
      </c>
      <c r="J91" s="1231"/>
      <c r="K91" s="1231"/>
      <c r="L91" s="1231"/>
      <c r="M91" s="1231"/>
      <c r="N91" s="1235"/>
      <c r="O91" s="1231"/>
      <c r="P91" s="668"/>
      <c r="Q91" s="448"/>
      <c r="R91" s="1440"/>
      <c r="S91" s="466"/>
      <c r="T91" s="512"/>
      <c r="U91" s="466"/>
      <c r="V91" s="466"/>
      <c r="W91" s="1198"/>
      <c r="X91" s="1172">
        <f t="shared" si="24"/>
        <v>0</v>
      </c>
      <c r="Y91" s="432">
        <f t="shared" si="25"/>
        <v>0</v>
      </c>
      <c r="Z91" s="432">
        <f t="shared" si="25"/>
        <v>0</v>
      </c>
      <c r="AA91" s="670">
        <f t="shared" si="25"/>
        <v>0</v>
      </c>
      <c r="AB91" s="432">
        <f t="shared" si="23"/>
        <v>0</v>
      </c>
      <c r="AC91" s="432">
        <f t="shared" si="23"/>
        <v>0</v>
      </c>
      <c r="AD91" s="1235">
        <f t="shared" si="26"/>
        <v>30</v>
      </c>
      <c r="AE91" s="432">
        <f t="shared" si="27"/>
        <v>0</v>
      </c>
      <c r="AF91" s="1173" t="s">
        <v>682</v>
      </c>
      <c r="AH91" s="1124">
        <f t="shared" si="18"/>
        <v>0.82282010362694302</v>
      </c>
      <c r="AI91" s="666">
        <v>0.89459999999999995</v>
      </c>
      <c r="AJ91" s="666">
        <v>1.018</v>
      </c>
      <c r="AK91" s="666">
        <v>6.1000000000000004E-3</v>
      </c>
    </row>
    <row r="92" spans="1:37" ht="18.75" customHeight="1" x14ac:dyDescent="0.25">
      <c r="A92" s="1179"/>
      <c r="B92" s="673"/>
      <c r="C92" s="673"/>
      <c r="D92" s="673"/>
      <c r="E92" s="673"/>
      <c r="F92" s="461"/>
      <c r="G92" s="1235"/>
      <c r="H92" s="1235"/>
      <c r="I92" s="1235"/>
      <c r="J92" s="1231"/>
      <c r="K92" s="1231"/>
      <c r="L92" s="1231"/>
      <c r="M92" s="1231"/>
      <c r="N92" s="1231"/>
      <c r="O92" s="1231"/>
      <c r="P92" s="448"/>
      <c r="Q92" s="448"/>
      <c r="R92" s="1440"/>
      <c r="S92" s="466"/>
      <c r="T92" s="512"/>
      <c r="U92" s="466"/>
      <c r="V92" s="466"/>
      <c r="W92" s="1198"/>
      <c r="X92" s="1178"/>
      <c r="Y92" s="466"/>
      <c r="Z92" s="466"/>
      <c r="AA92" s="678"/>
      <c r="AB92" s="466"/>
      <c r="AC92" s="466"/>
      <c r="AD92" s="1234"/>
      <c r="AE92" s="466"/>
      <c r="AF92" s="1173"/>
      <c r="AH92" s="1124"/>
    </row>
    <row r="93" spans="1:37" ht="18.75" customHeight="1" x14ac:dyDescent="0.25">
      <c r="A93" s="1201"/>
      <c r="B93" s="673"/>
      <c r="C93" s="673"/>
      <c r="D93" s="673"/>
      <c r="E93" s="1236" t="s">
        <v>470</v>
      </c>
      <c r="F93" s="461"/>
      <c r="G93" s="1235"/>
      <c r="H93" s="1235"/>
      <c r="I93" s="1235"/>
      <c r="J93" s="1231"/>
      <c r="K93" s="1231"/>
      <c r="L93" s="1231"/>
      <c r="M93" s="1231"/>
      <c r="N93" s="1231"/>
      <c r="O93" s="1231"/>
      <c r="P93" s="448"/>
      <c r="Q93" s="448"/>
      <c r="R93" s="1440"/>
      <c r="S93" s="466"/>
      <c r="T93" s="512"/>
      <c r="U93" s="466"/>
      <c r="V93" s="466"/>
      <c r="W93" s="1198"/>
      <c r="X93" s="1178"/>
      <c r="Y93" s="466"/>
      <c r="Z93" s="466"/>
      <c r="AA93" s="678"/>
      <c r="AB93" s="466"/>
      <c r="AC93" s="466"/>
      <c r="AD93" s="1234"/>
      <c r="AE93" s="466"/>
      <c r="AF93" s="1173"/>
      <c r="AH93" s="1124"/>
    </row>
    <row r="94" spans="1:37" ht="18.75" customHeight="1" x14ac:dyDescent="0.2">
      <c r="A94" s="1191">
        <v>73</v>
      </c>
      <c r="B94" s="1235" t="s">
        <v>582</v>
      </c>
      <c r="C94" s="1233" t="s">
        <v>344</v>
      </c>
      <c r="D94" s="1235">
        <v>371.11</v>
      </c>
      <c r="E94" s="679" t="s">
        <v>583</v>
      </c>
      <c r="F94" s="1235">
        <v>177.8</v>
      </c>
      <c r="G94" s="1235" t="s">
        <v>28</v>
      </c>
      <c r="H94" s="550" t="s">
        <v>584</v>
      </c>
      <c r="I94" s="1231">
        <v>183.38</v>
      </c>
      <c r="J94" s="1231">
        <v>0</v>
      </c>
      <c r="K94" s="1235">
        <v>0</v>
      </c>
      <c r="L94" s="1235"/>
      <c r="M94" s="1235">
        <v>0</v>
      </c>
      <c r="N94" s="1235"/>
      <c r="O94" s="1235"/>
      <c r="P94" s="668">
        <f t="shared" ref="P94:P99" si="28">AH94</f>
        <v>16.420982671798672</v>
      </c>
      <c r="Q94" s="448">
        <f>(13*J94)/100</f>
        <v>0</v>
      </c>
      <c r="R94" s="1437"/>
      <c r="S94" s="432">
        <v>0</v>
      </c>
      <c r="T94" s="432">
        <v>0</v>
      </c>
      <c r="U94" s="432">
        <f t="shared" ref="U94" si="29">IF(R94=0,0,T94/R94)</f>
        <v>0</v>
      </c>
      <c r="V94" s="668">
        <v>0</v>
      </c>
      <c r="W94" s="1199">
        <v>0</v>
      </c>
      <c r="X94" s="1172">
        <f t="shared" ref="X94" si="30">IF(S94=0,0,S94/Q94)</f>
        <v>0</v>
      </c>
      <c r="Y94" s="432">
        <f>R94*0.988</f>
        <v>0</v>
      </c>
      <c r="Z94" s="432">
        <f>S94*0.988</f>
        <v>0</v>
      </c>
      <c r="AA94" s="432">
        <f>T94*0.988</f>
        <v>0</v>
      </c>
      <c r="AB94" s="432">
        <f t="shared" ref="AB94:AC99" si="31">U94</f>
        <v>0</v>
      </c>
      <c r="AC94" s="432">
        <f t="shared" si="31"/>
        <v>0</v>
      </c>
      <c r="AD94" s="1235">
        <f>(DAY(EOMONTH($AG$15,0))-AG94)</f>
        <v>30</v>
      </c>
      <c r="AE94" s="432">
        <f t="shared" ref="AE94:AE99" si="32">Y94*AD94</f>
        <v>0</v>
      </c>
      <c r="AF94" s="1174"/>
      <c r="AH94" s="1124">
        <f t="shared" si="18"/>
        <v>16.420982671798672</v>
      </c>
      <c r="AI94" s="666">
        <v>0.92490000000000006</v>
      </c>
      <c r="AJ94" s="666">
        <v>1</v>
      </c>
      <c r="AK94" s="666">
        <v>6.1000000000000004E-3</v>
      </c>
    </row>
    <row r="95" spans="1:37" ht="18.75" customHeight="1" x14ac:dyDescent="0.2">
      <c r="A95" s="1191">
        <v>74</v>
      </c>
      <c r="B95" s="1235" t="s">
        <v>131</v>
      </c>
      <c r="C95" s="1233" t="s">
        <v>344</v>
      </c>
      <c r="D95" s="1235">
        <v>389.74</v>
      </c>
      <c r="E95" s="679" t="s">
        <v>713</v>
      </c>
      <c r="F95" s="1235">
        <v>177.8</v>
      </c>
      <c r="G95" s="1235" t="s">
        <v>28</v>
      </c>
      <c r="H95" s="550" t="s">
        <v>540</v>
      </c>
      <c r="I95" s="1231">
        <v>136.35</v>
      </c>
      <c r="J95" s="492">
        <v>205</v>
      </c>
      <c r="K95" s="1235"/>
      <c r="L95" s="1235">
        <v>68</v>
      </c>
      <c r="M95" s="1235"/>
      <c r="N95" s="1235">
        <v>0.06</v>
      </c>
      <c r="O95" s="1235"/>
      <c r="P95" s="668">
        <f t="shared" si="28"/>
        <v>6.3812479450974022</v>
      </c>
      <c r="Q95" s="448">
        <f>(22*J95)/100</f>
        <v>45.1</v>
      </c>
      <c r="R95" s="1437">
        <v>12.8</v>
      </c>
      <c r="S95" s="432">
        <v>17.3</v>
      </c>
      <c r="T95" s="432">
        <v>0</v>
      </c>
      <c r="U95" s="432">
        <f>T95/R95</f>
        <v>0</v>
      </c>
      <c r="V95" s="668">
        <f t="shared" ref="V95:V98" si="33">(S95-R95)/S95*100</f>
        <v>26.011560693641616</v>
      </c>
      <c r="W95" s="1199">
        <v>0.2</v>
      </c>
      <c r="X95" s="1172">
        <f t="shared" ref="X95:X99" si="34">S95/Q95</f>
        <v>0.38359201773835921</v>
      </c>
      <c r="Y95" s="432">
        <f t="shared" ref="Y95:AA99" si="35">R95*0.988</f>
        <v>12.6464</v>
      </c>
      <c r="Z95" s="432">
        <f t="shared" si="35"/>
        <v>17.092400000000001</v>
      </c>
      <c r="AA95" s="432">
        <f t="shared" si="35"/>
        <v>0</v>
      </c>
      <c r="AB95" s="432">
        <f t="shared" si="31"/>
        <v>0</v>
      </c>
      <c r="AC95" s="432">
        <f t="shared" si="31"/>
        <v>26.011560693641616</v>
      </c>
      <c r="AD95" s="1235">
        <f t="shared" ref="AD95:AD99" si="36">(DAY(EOMONTH($AG$15,0))-AG95)</f>
        <v>30</v>
      </c>
      <c r="AE95" s="432">
        <f>Y95*AD95</f>
        <v>379.392</v>
      </c>
      <c r="AF95" s="1174"/>
      <c r="AH95" s="1124">
        <f t="shared" si="18"/>
        <v>6.3812479450974022</v>
      </c>
      <c r="AI95" s="666">
        <v>0.93130000000000002</v>
      </c>
      <c r="AJ95" s="666">
        <v>1</v>
      </c>
      <c r="AK95" s="666">
        <v>6.1000000000000004E-3</v>
      </c>
    </row>
    <row r="96" spans="1:37" ht="18.75" customHeight="1" x14ac:dyDescent="0.2">
      <c r="A96" s="1191">
        <v>75</v>
      </c>
      <c r="B96" s="1235" t="s">
        <v>132</v>
      </c>
      <c r="C96" s="1233" t="s">
        <v>313</v>
      </c>
      <c r="D96" s="1235">
        <v>389.09</v>
      </c>
      <c r="E96" s="679" t="s">
        <v>135</v>
      </c>
      <c r="F96" s="1235">
        <v>177.8</v>
      </c>
      <c r="G96" s="1235" t="s">
        <v>28</v>
      </c>
      <c r="H96" s="1235" t="s">
        <v>485</v>
      </c>
      <c r="I96" s="1231">
        <v>130.11000000000001</v>
      </c>
      <c r="J96" s="1235">
        <v>250</v>
      </c>
      <c r="K96" s="1235"/>
      <c r="L96" s="670">
        <v>81</v>
      </c>
      <c r="M96" s="1235"/>
      <c r="N96" s="1235">
        <v>0.12</v>
      </c>
      <c r="O96" s="1235"/>
      <c r="P96" s="668">
        <f t="shared" si="28"/>
        <v>4.6104259704754043</v>
      </c>
      <c r="Q96" s="448">
        <f>(15*J96)/100</f>
        <v>37.5</v>
      </c>
      <c r="R96" s="1437">
        <v>11.42</v>
      </c>
      <c r="S96" s="432">
        <v>11.9</v>
      </c>
      <c r="T96" s="432">
        <v>0</v>
      </c>
      <c r="U96" s="432">
        <f>T96/R96</f>
        <v>0</v>
      </c>
      <c r="V96" s="668">
        <f t="shared" si="33"/>
        <v>4.0336134453781547</v>
      </c>
      <c r="W96" s="1199">
        <v>0.2</v>
      </c>
      <c r="X96" s="1172">
        <f t="shared" si="34"/>
        <v>0.31733333333333336</v>
      </c>
      <c r="Y96" s="432">
        <f t="shared" si="35"/>
        <v>11.282959999999999</v>
      </c>
      <c r="Z96" s="432">
        <f t="shared" si="35"/>
        <v>11.757200000000001</v>
      </c>
      <c r="AA96" s="432">
        <f t="shared" si="35"/>
        <v>0</v>
      </c>
      <c r="AB96" s="432">
        <v>0</v>
      </c>
      <c r="AC96" s="432">
        <f>V96</f>
        <v>4.0336134453781547</v>
      </c>
      <c r="AD96" s="1235">
        <f t="shared" si="36"/>
        <v>30</v>
      </c>
      <c r="AE96" s="432">
        <f t="shared" si="32"/>
        <v>338.48879999999997</v>
      </c>
      <c r="AF96" s="1174"/>
      <c r="AH96" s="1124">
        <f t="shared" si="18"/>
        <v>4.6104259704754043</v>
      </c>
      <c r="AI96" s="666">
        <v>0.93159999999999998</v>
      </c>
      <c r="AJ96" s="666">
        <v>1</v>
      </c>
      <c r="AK96" s="666">
        <v>6.1000000000000004E-3</v>
      </c>
    </row>
    <row r="97" spans="1:37" ht="18.75" customHeight="1" x14ac:dyDescent="0.2">
      <c r="A97" s="1191">
        <v>76</v>
      </c>
      <c r="B97" s="1235" t="s">
        <v>121</v>
      </c>
      <c r="C97" s="1233" t="s">
        <v>313</v>
      </c>
      <c r="D97" s="1235">
        <v>389.57</v>
      </c>
      <c r="E97" s="1235" t="s">
        <v>137</v>
      </c>
      <c r="F97" s="1235">
        <v>177.8</v>
      </c>
      <c r="G97" s="1235" t="s">
        <v>28</v>
      </c>
      <c r="H97" s="831" t="s">
        <v>466</v>
      </c>
      <c r="I97" s="1231">
        <v>134.24</v>
      </c>
      <c r="J97" s="1235">
        <v>165</v>
      </c>
      <c r="K97" s="1235"/>
      <c r="L97" s="670">
        <v>42.3</v>
      </c>
      <c r="M97" s="1235"/>
      <c r="N97" s="1235">
        <v>0.1</v>
      </c>
      <c r="O97" s="1235"/>
      <c r="P97" s="668">
        <f t="shared" si="28"/>
        <v>8.4941089281924249</v>
      </c>
      <c r="Q97" s="448">
        <f>LEFT(H97,(FIND("E",H97,1)-1))*J97/100</f>
        <v>21.45</v>
      </c>
      <c r="R97" s="1437">
        <v>11.8</v>
      </c>
      <c r="S97" s="432">
        <v>13.459</v>
      </c>
      <c r="T97" s="432">
        <v>0</v>
      </c>
      <c r="U97" s="432">
        <v>0</v>
      </c>
      <c r="V97" s="668">
        <f t="shared" si="33"/>
        <v>12.326324392599739</v>
      </c>
      <c r="W97" s="1199">
        <v>0.2</v>
      </c>
      <c r="X97" s="1172">
        <f>S97/Q97</f>
        <v>0.62745920745920747</v>
      </c>
      <c r="Y97" s="432">
        <f t="shared" si="35"/>
        <v>11.6584</v>
      </c>
      <c r="Z97" s="432">
        <f t="shared" si="35"/>
        <v>13.297492</v>
      </c>
      <c r="AA97" s="432">
        <f t="shared" si="35"/>
        <v>0</v>
      </c>
      <c r="AB97" s="432">
        <v>0</v>
      </c>
      <c r="AC97" s="432">
        <v>47</v>
      </c>
      <c r="AD97" s="1235">
        <f t="shared" si="36"/>
        <v>30</v>
      </c>
      <c r="AE97" s="432">
        <f t="shared" si="32"/>
        <v>349.75200000000001</v>
      </c>
      <c r="AF97" s="1173"/>
      <c r="AH97" s="1124">
        <f t="shared" si="18"/>
        <v>8.4941089281924249</v>
      </c>
      <c r="AI97" s="666">
        <v>0.93179999999999996</v>
      </c>
      <c r="AJ97" s="666">
        <v>1</v>
      </c>
      <c r="AK97" s="666">
        <v>6.1000000000000004E-3</v>
      </c>
    </row>
    <row r="98" spans="1:37" ht="18.75" customHeight="1" x14ac:dyDescent="0.2">
      <c r="A98" s="1191">
        <v>77</v>
      </c>
      <c r="B98" s="1235" t="s">
        <v>122</v>
      </c>
      <c r="C98" s="1233" t="s">
        <v>313</v>
      </c>
      <c r="D98" s="1235">
        <v>391.06</v>
      </c>
      <c r="E98" s="1235" t="s">
        <v>138</v>
      </c>
      <c r="F98" s="1235">
        <v>177.8</v>
      </c>
      <c r="G98" s="1235" t="s">
        <v>28</v>
      </c>
      <c r="H98" s="1235" t="s">
        <v>588</v>
      </c>
      <c r="I98" s="432">
        <v>149.84</v>
      </c>
      <c r="J98" s="1235">
        <v>140</v>
      </c>
      <c r="K98" s="1234"/>
      <c r="L98" s="670">
        <v>92.5</v>
      </c>
      <c r="M98" s="1234"/>
      <c r="N98" s="1235">
        <v>0.65</v>
      </c>
      <c r="O98" s="1234"/>
      <c r="P98" s="668">
        <f t="shared" si="28"/>
        <v>5.9069343146831459</v>
      </c>
      <c r="Q98" s="448">
        <f>(15*J98)/100</f>
        <v>21</v>
      </c>
      <c r="R98" s="1437">
        <v>9</v>
      </c>
      <c r="S98" s="432">
        <v>9.64</v>
      </c>
      <c r="T98" s="432">
        <v>0</v>
      </c>
      <c r="U98" s="432">
        <f>T98/R98</f>
        <v>0</v>
      </c>
      <c r="V98" s="668">
        <f t="shared" si="33"/>
        <v>6.6390041493775991</v>
      </c>
      <c r="W98" s="1199">
        <v>0.2</v>
      </c>
      <c r="X98" s="1172">
        <f t="shared" si="34"/>
        <v>0.45904761904761909</v>
      </c>
      <c r="Y98" s="432">
        <f t="shared" si="35"/>
        <v>8.8919999999999995</v>
      </c>
      <c r="Z98" s="432">
        <f t="shared" si="35"/>
        <v>9.5243200000000012</v>
      </c>
      <c r="AA98" s="432">
        <f t="shared" si="35"/>
        <v>0</v>
      </c>
      <c r="AB98" s="432">
        <f t="shared" si="31"/>
        <v>0</v>
      </c>
      <c r="AC98" s="432">
        <f t="shared" si="31"/>
        <v>6.6390041493775991</v>
      </c>
      <c r="AD98" s="1235">
        <f t="shared" si="36"/>
        <v>30</v>
      </c>
      <c r="AE98" s="432">
        <f t="shared" si="32"/>
        <v>266.76</v>
      </c>
      <c r="AF98" s="1182"/>
      <c r="AH98" s="1124">
        <f t="shared" si="18"/>
        <v>5.9069343146831459</v>
      </c>
      <c r="AI98" s="666">
        <v>0.93220000000000003</v>
      </c>
      <c r="AJ98" s="666">
        <v>1.006</v>
      </c>
      <c r="AK98" s="666">
        <v>6.1000000000000004E-3</v>
      </c>
    </row>
    <row r="99" spans="1:37" ht="18.75" customHeight="1" x14ac:dyDescent="0.2">
      <c r="A99" s="1191">
        <v>78</v>
      </c>
      <c r="B99" s="1235" t="s">
        <v>697</v>
      </c>
      <c r="C99" s="1233" t="s">
        <v>344</v>
      </c>
      <c r="D99" s="1235">
        <v>383.1</v>
      </c>
      <c r="E99" s="1235" t="s">
        <v>698</v>
      </c>
      <c r="F99" s="1235">
        <v>177.8</v>
      </c>
      <c r="G99" s="1235" t="s">
        <v>28</v>
      </c>
      <c r="H99" s="550" t="s">
        <v>466</v>
      </c>
      <c r="I99" s="432">
        <v>206.52</v>
      </c>
      <c r="J99" s="1235">
        <v>110</v>
      </c>
      <c r="K99" s="1234"/>
      <c r="L99" s="670">
        <v>44</v>
      </c>
      <c r="M99" s="1234"/>
      <c r="N99" s="1235">
        <v>0.6</v>
      </c>
      <c r="O99" s="1234"/>
      <c r="P99" s="668">
        <f t="shared" si="28"/>
        <v>15.224665318134717</v>
      </c>
      <c r="Q99" s="448">
        <f>(13*J99)/100</f>
        <v>14.3</v>
      </c>
      <c r="R99" s="1437">
        <v>7.9</v>
      </c>
      <c r="S99" s="432">
        <v>7.9</v>
      </c>
      <c r="T99" s="432">
        <v>1</v>
      </c>
      <c r="U99" s="432">
        <f>T99/R99</f>
        <v>0.12658227848101264</v>
      </c>
      <c r="V99" s="668">
        <f>(S99-R99)/S99*100</f>
        <v>0</v>
      </c>
      <c r="W99" s="1199">
        <v>0.2</v>
      </c>
      <c r="X99" s="1172">
        <f t="shared" si="34"/>
        <v>0.55244755244755239</v>
      </c>
      <c r="Y99" s="432">
        <f t="shared" si="35"/>
        <v>7.8052000000000001</v>
      </c>
      <c r="Z99" s="432">
        <f t="shared" si="35"/>
        <v>7.8052000000000001</v>
      </c>
      <c r="AA99" s="432">
        <f t="shared" si="35"/>
        <v>0.98799999999999999</v>
      </c>
      <c r="AB99" s="432">
        <f t="shared" si="31"/>
        <v>0.12658227848101264</v>
      </c>
      <c r="AC99" s="432">
        <f t="shared" si="31"/>
        <v>0</v>
      </c>
      <c r="AD99" s="1235">
        <f t="shared" si="36"/>
        <v>30</v>
      </c>
      <c r="AE99" s="432">
        <f t="shared" si="32"/>
        <v>234.15600000000001</v>
      </c>
      <c r="AF99" s="1182"/>
      <c r="AH99" s="1124">
        <f t="shared" si="18"/>
        <v>15.224665318134717</v>
      </c>
      <c r="AI99" s="666">
        <v>0.92779999999999996</v>
      </c>
      <c r="AJ99" s="666">
        <v>1</v>
      </c>
      <c r="AK99" s="666">
        <v>6.1000000000000004E-3</v>
      </c>
    </row>
    <row r="100" spans="1:37" ht="18.75" customHeight="1" x14ac:dyDescent="0.2">
      <c r="A100" s="1191">
        <v>79</v>
      </c>
      <c r="B100" s="1235" t="s">
        <v>188</v>
      </c>
      <c r="C100" s="1233" t="s">
        <v>344</v>
      </c>
      <c r="D100" s="1235">
        <v>224.89</v>
      </c>
      <c r="E100" s="1235" t="s">
        <v>385</v>
      </c>
      <c r="F100" s="1235">
        <v>177.8</v>
      </c>
      <c r="G100" s="1235" t="s">
        <v>28</v>
      </c>
      <c r="H100" s="1235" t="s">
        <v>383</v>
      </c>
      <c r="I100" s="432">
        <v>144.54</v>
      </c>
      <c r="J100" s="1235"/>
      <c r="K100" s="1234"/>
      <c r="L100" s="1235"/>
      <c r="M100" s="1234"/>
      <c r="N100" s="1235"/>
      <c r="O100" s="1234"/>
      <c r="P100" s="668"/>
      <c r="Q100" s="448"/>
      <c r="R100" s="1437"/>
      <c r="S100" s="432"/>
      <c r="T100" s="432"/>
      <c r="U100" s="432"/>
      <c r="V100" s="432"/>
      <c r="W100" s="1199"/>
      <c r="X100" s="1172"/>
      <c r="Y100" s="432"/>
      <c r="Z100" s="432"/>
      <c r="AA100" s="432"/>
      <c r="AB100" s="432"/>
      <c r="AC100" s="432"/>
      <c r="AD100" s="1235"/>
      <c r="AE100" s="432"/>
      <c r="AF100" s="1173" t="s">
        <v>682</v>
      </c>
    </row>
    <row r="101" spans="1:37" ht="18.75" customHeight="1" x14ac:dyDescent="0.2">
      <c r="A101" s="1191">
        <v>80</v>
      </c>
      <c r="B101" s="1235" t="s">
        <v>186</v>
      </c>
      <c r="C101" s="1233" t="s">
        <v>346</v>
      </c>
      <c r="D101" s="1235">
        <v>349.5</v>
      </c>
      <c r="E101" s="461" t="s">
        <v>347</v>
      </c>
      <c r="F101" s="1235">
        <v>177.8</v>
      </c>
      <c r="G101" s="1235" t="s">
        <v>618</v>
      </c>
      <c r="H101" s="550" t="s">
        <v>466</v>
      </c>
      <c r="I101" s="432">
        <v>9</v>
      </c>
      <c r="J101" s="1235"/>
      <c r="K101" s="1235"/>
      <c r="L101" s="1235"/>
      <c r="M101" s="1234"/>
      <c r="N101" s="1235"/>
      <c r="O101" s="1234"/>
      <c r="P101" s="668"/>
      <c r="Q101" s="448"/>
      <c r="R101" s="1437"/>
      <c r="S101" s="432"/>
      <c r="T101" s="432"/>
      <c r="U101" s="432"/>
      <c r="V101" s="432"/>
      <c r="W101" s="1199"/>
      <c r="X101" s="1172"/>
      <c r="Y101" s="432"/>
      <c r="Z101" s="432"/>
      <c r="AA101" s="432"/>
      <c r="AB101" s="432"/>
      <c r="AC101" s="432"/>
      <c r="AD101" s="1235"/>
      <c r="AE101" s="432"/>
      <c r="AF101" s="1173" t="s">
        <v>682</v>
      </c>
    </row>
    <row r="102" spans="1:37" ht="18.75" customHeight="1" x14ac:dyDescent="0.2">
      <c r="A102" s="1191">
        <v>81</v>
      </c>
      <c r="B102" s="1235" t="s">
        <v>57</v>
      </c>
      <c r="C102" s="1233" t="s">
        <v>346</v>
      </c>
      <c r="D102" s="1235">
        <v>376.58</v>
      </c>
      <c r="E102" s="461" t="s">
        <v>568</v>
      </c>
      <c r="F102" s="1235">
        <v>177.8</v>
      </c>
      <c r="G102" s="1235" t="s">
        <v>28</v>
      </c>
      <c r="H102" s="550" t="s">
        <v>466</v>
      </c>
      <c r="I102" s="1231">
        <v>131.13</v>
      </c>
      <c r="J102" s="1074">
        <v>0</v>
      </c>
      <c r="K102" s="1235"/>
      <c r="L102" s="1235">
        <v>0</v>
      </c>
      <c r="M102" s="1235"/>
      <c r="N102" s="668">
        <v>0</v>
      </c>
      <c r="O102" s="1235"/>
      <c r="P102" s="668">
        <v>15.793855791841201</v>
      </c>
      <c r="Q102" s="668">
        <f>(32/100)*J102</f>
        <v>0</v>
      </c>
      <c r="R102" s="1437"/>
      <c r="S102" s="432">
        <v>0</v>
      </c>
      <c r="T102" s="670">
        <v>0</v>
      </c>
      <c r="U102" s="668">
        <f t="shared" ref="U102:U103" si="37">IF(R102=0,0,T102/R102)</f>
        <v>0</v>
      </c>
      <c r="V102" s="668">
        <v>0.5</v>
      </c>
      <c r="W102" s="1192">
        <v>0.3</v>
      </c>
      <c r="X102" s="1172"/>
      <c r="Y102" s="432"/>
      <c r="Z102" s="432"/>
      <c r="AA102" s="432"/>
      <c r="AB102" s="432"/>
      <c r="AC102" s="432"/>
      <c r="AD102" s="1235"/>
      <c r="AE102" s="432"/>
      <c r="AF102" s="1173" t="s">
        <v>682</v>
      </c>
    </row>
    <row r="103" spans="1:37" ht="18.75" customHeight="1" x14ac:dyDescent="0.2">
      <c r="A103" s="1191">
        <v>82</v>
      </c>
      <c r="B103" s="1235" t="s">
        <v>184</v>
      </c>
      <c r="C103" s="1233" t="s">
        <v>314</v>
      </c>
      <c r="D103" s="1235">
        <v>422.78</v>
      </c>
      <c r="E103" s="461" t="s">
        <v>573</v>
      </c>
      <c r="F103" s="1235">
        <v>177.8</v>
      </c>
      <c r="G103" s="1235" t="s">
        <v>28</v>
      </c>
      <c r="H103" s="550" t="s">
        <v>466</v>
      </c>
      <c r="I103" s="1231">
        <v>209.37</v>
      </c>
      <c r="J103" s="1074">
        <v>0</v>
      </c>
      <c r="K103" s="1235"/>
      <c r="L103" s="1235">
        <v>0</v>
      </c>
      <c r="M103" s="1235"/>
      <c r="N103" s="668">
        <v>0</v>
      </c>
      <c r="O103" s="1235"/>
      <c r="P103" s="668">
        <v>15.793855791841201</v>
      </c>
      <c r="Q103" s="668">
        <f>(32/100)*J103</f>
        <v>0</v>
      </c>
      <c r="R103" s="1437"/>
      <c r="S103" s="432">
        <v>0</v>
      </c>
      <c r="T103" s="670">
        <v>0</v>
      </c>
      <c r="U103" s="668">
        <f t="shared" si="37"/>
        <v>0</v>
      </c>
      <c r="V103" s="668">
        <v>0.3</v>
      </c>
      <c r="W103" s="1192">
        <v>0.3</v>
      </c>
      <c r="X103" s="1172"/>
      <c r="Y103" s="432"/>
      <c r="Z103" s="432"/>
      <c r="AA103" s="432"/>
      <c r="AB103" s="432"/>
      <c r="AC103" s="432"/>
      <c r="AD103" s="1235"/>
      <c r="AE103" s="432"/>
      <c r="AF103" s="1173" t="s">
        <v>682</v>
      </c>
    </row>
    <row r="104" spans="1:37" ht="18.75" customHeight="1" x14ac:dyDescent="0.25">
      <c r="A104" s="1179"/>
      <c r="B104" s="847"/>
      <c r="C104" s="852"/>
      <c r="D104" s="852"/>
      <c r="E104" s="848"/>
      <c r="F104" s="1231"/>
      <c r="G104" s="1226"/>
      <c r="H104" s="1230"/>
      <c r="I104" s="1230"/>
      <c r="J104" s="1231"/>
      <c r="K104" s="1231"/>
      <c r="L104" s="1231"/>
      <c r="M104" s="1231"/>
      <c r="N104" s="1231"/>
      <c r="O104" s="1231"/>
      <c r="P104" s="448"/>
      <c r="Q104" s="448"/>
      <c r="R104" s="1440">
        <f>SUM(R95:R101)</f>
        <v>52.919999999999995</v>
      </c>
      <c r="S104" s="466">
        <f>SUM(S95:S101)</f>
        <v>60.199000000000005</v>
      </c>
      <c r="T104" s="466">
        <f>SUM(T95:T98)</f>
        <v>0</v>
      </c>
      <c r="U104" s="466">
        <f>SUM(U95:U98)</f>
        <v>0</v>
      </c>
      <c r="V104" s="1226"/>
      <c r="W104" s="1241"/>
      <c r="X104" s="1242"/>
      <c r="Y104" s="466">
        <f>SUM(Y95:Y101)</f>
        <v>52.284959999999998</v>
      </c>
      <c r="Z104" s="466">
        <f>SUM(Z95:Z101)</f>
        <v>59.476612000000003</v>
      </c>
      <c r="AA104" s="466">
        <f>SUM(AA95:AA98)</f>
        <v>0</v>
      </c>
      <c r="AB104" s="466">
        <f>AA104/Y104</f>
        <v>0</v>
      </c>
      <c r="AC104" s="1226"/>
      <c r="AD104" s="1231"/>
      <c r="AE104" s="466">
        <f>SUM(AE95:AE101)</f>
        <v>1568.5487999999998</v>
      </c>
      <c r="AF104" s="1184"/>
    </row>
    <row r="105" spans="1:37" ht="18.75" customHeight="1" x14ac:dyDescent="0.25">
      <c r="A105" s="1179"/>
      <c r="B105" s="847"/>
      <c r="C105" s="852"/>
      <c r="D105" s="852"/>
      <c r="E105" s="848"/>
      <c r="F105" s="1234"/>
      <c r="G105" s="1235"/>
      <c r="H105" s="1235"/>
      <c r="I105" s="432"/>
      <c r="J105" s="1235"/>
      <c r="K105" s="1234"/>
      <c r="L105" s="1235"/>
      <c r="M105" s="1234"/>
      <c r="N105" s="668"/>
      <c r="O105" s="1234"/>
      <c r="P105" s="682"/>
      <c r="Q105" s="682"/>
      <c r="R105" s="1440"/>
      <c r="S105" s="466"/>
      <c r="T105" s="466"/>
      <c r="U105" s="466"/>
      <c r="V105" s="466"/>
      <c r="W105" s="1198"/>
      <c r="X105" s="1178"/>
      <c r="Y105" s="466"/>
      <c r="Z105" s="678"/>
      <c r="AA105" s="466"/>
      <c r="AB105" s="466"/>
      <c r="AC105" s="466"/>
      <c r="AD105" s="466"/>
      <c r="AE105" s="466"/>
      <c r="AF105" s="1182"/>
    </row>
    <row r="106" spans="1:37" ht="18.75" customHeight="1" x14ac:dyDescent="0.25">
      <c r="A106" s="1179"/>
      <c r="B106" s="849"/>
      <c r="C106" s="850"/>
      <c r="D106" s="850"/>
      <c r="E106" s="851" t="s">
        <v>472</v>
      </c>
      <c r="F106" s="850"/>
      <c r="G106" s="1226"/>
      <c r="H106" s="1230"/>
      <c r="I106" s="1230"/>
      <c r="J106" s="1231"/>
      <c r="K106" s="1231"/>
      <c r="L106" s="1231"/>
      <c r="M106" s="1231"/>
      <c r="N106" s="1231"/>
      <c r="O106" s="1231"/>
      <c r="P106" s="448"/>
      <c r="Q106" s="448"/>
      <c r="R106" s="1436"/>
      <c r="S106" s="1231"/>
      <c r="T106" s="1231"/>
      <c r="U106" s="1226"/>
      <c r="V106" s="1226"/>
      <c r="W106" s="1241"/>
      <c r="X106" s="1242"/>
      <c r="Y106" s="1231"/>
      <c r="Z106" s="1231"/>
      <c r="AA106" s="1231"/>
      <c r="AB106" s="1226"/>
      <c r="AC106" s="1226"/>
      <c r="AD106" s="1231"/>
      <c r="AE106" s="1231"/>
      <c r="AF106" s="1240"/>
    </row>
    <row r="107" spans="1:37" ht="18.75" customHeight="1" x14ac:dyDescent="0.2">
      <c r="A107" s="1191">
        <v>83</v>
      </c>
      <c r="B107" s="1232" t="s">
        <v>107</v>
      </c>
      <c r="C107" s="1231" t="s">
        <v>109</v>
      </c>
      <c r="D107" s="1231"/>
      <c r="E107" s="1231"/>
      <c r="F107" s="1231"/>
      <c r="G107" s="1226"/>
      <c r="H107" s="1230"/>
      <c r="I107" s="1230"/>
      <c r="J107" s="1231"/>
      <c r="K107" s="1231"/>
      <c r="L107" s="1231"/>
      <c r="M107" s="1231"/>
      <c r="N107" s="1231"/>
      <c r="O107" s="1231"/>
      <c r="P107" s="448"/>
      <c r="Q107" s="448"/>
      <c r="R107" s="1436"/>
      <c r="S107" s="1231"/>
      <c r="T107" s="1231"/>
      <c r="U107" s="1226"/>
      <c r="V107" s="1226"/>
      <c r="W107" s="1241"/>
      <c r="X107" s="1242"/>
      <c r="Y107" s="1230"/>
      <c r="Z107" s="1230"/>
      <c r="AA107" s="1231"/>
      <c r="AB107" s="1226"/>
      <c r="AC107" s="1226"/>
      <c r="AD107" s="493"/>
      <c r="AE107" s="1231"/>
      <c r="AF107" s="1240"/>
    </row>
    <row r="108" spans="1:37" ht="18.75" customHeight="1" x14ac:dyDescent="0.2">
      <c r="A108" s="1191">
        <v>84</v>
      </c>
      <c r="B108" s="1232" t="s">
        <v>108</v>
      </c>
      <c r="C108" s="1231" t="s">
        <v>109</v>
      </c>
      <c r="D108" s="1231"/>
      <c r="E108" s="1231"/>
      <c r="F108" s="1231"/>
      <c r="G108" s="1226"/>
      <c r="H108" s="1230"/>
      <c r="I108" s="1230"/>
      <c r="J108" s="1231"/>
      <c r="K108" s="1231"/>
      <c r="L108" s="1231"/>
      <c r="M108" s="1231"/>
      <c r="N108" s="1231"/>
      <c r="O108" s="1231"/>
      <c r="P108" s="448"/>
      <c r="Q108" s="448"/>
      <c r="R108" s="1442"/>
      <c r="S108" s="1231"/>
      <c r="T108" s="1231"/>
      <c r="U108" s="1226"/>
      <c r="V108" s="1226"/>
      <c r="W108" s="1241"/>
      <c r="X108" s="1242"/>
      <c r="Y108" s="1230"/>
      <c r="Z108" s="1230"/>
      <c r="AA108" s="1231"/>
      <c r="AB108" s="1226"/>
      <c r="AC108" s="1226"/>
      <c r="AD108" s="493"/>
      <c r="AE108" s="1231"/>
      <c r="AF108" s="1240"/>
    </row>
    <row r="109" spans="1:37" ht="18.75" customHeight="1" x14ac:dyDescent="0.2">
      <c r="A109" s="1191">
        <v>85</v>
      </c>
      <c r="B109" s="1232" t="s">
        <v>195</v>
      </c>
      <c r="C109" s="1233" t="s">
        <v>484</v>
      </c>
      <c r="D109" s="1231"/>
      <c r="E109" s="1231"/>
      <c r="F109" s="1231"/>
      <c r="G109" s="1226"/>
      <c r="H109" s="1230"/>
      <c r="I109" s="1230"/>
      <c r="J109" s="1231"/>
      <c r="K109" s="1231"/>
      <c r="L109" s="1231"/>
      <c r="M109" s="1231"/>
      <c r="N109" s="1231"/>
      <c r="O109" s="1231"/>
      <c r="P109" s="448"/>
      <c r="Q109" s="448"/>
      <c r="R109" s="1436"/>
      <c r="S109" s="1231"/>
      <c r="T109" s="1231"/>
      <c r="U109" s="1226"/>
      <c r="V109" s="1226"/>
      <c r="W109" s="1241"/>
      <c r="X109" s="1242"/>
      <c r="Y109" s="1230"/>
      <c r="Z109" s="1230"/>
      <c r="AA109" s="1231"/>
      <c r="AB109" s="1226"/>
      <c r="AC109" s="1226"/>
      <c r="AD109" s="493"/>
      <c r="AE109" s="1231"/>
      <c r="AF109" s="1174"/>
    </row>
    <row r="110" spans="1:37" ht="18.75" customHeight="1" x14ac:dyDescent="0.2">
      <c r="A110" s="1191">
        <v>86</v>
      </c>
      <c r="B110" s="1232" t="s">
        <v>192</v>
      </c>
      <c r="C110" s="1233" t="s">
        <v>484</v>
      </c>
      <c r="D110" s="1231"/>
      <c r="E110" s="1231"/>
      <c r="F110" s="1231"/>
      <c r="G110" s="1226"/>
      <c r="H110" s="1230"/>
      <c r="I110" s="1230"/>
      <c r="J110" s="1231"/>
      <c r="K110" s="1231"/>
      <c r="L110" s="1231"/>
      <c r="M110" s="1231"/>
      <c r="N110" s="1231"/>
      <c r="O110" s="1231"/>
      <c r="P110" s="448"/>
      <c r="Q110" s="448"/>
      <c r="R110" s="1436"/>
      <c r="S110" s="1231"/>
      <c r="T110" s="1231"/>
      <c r="U110" s="1226"/>
      <c r="V110" s="1226"/>
      <c r="W110" s="1241"/>
      <c r="X110" s="1242"/>
      <c r="Y110" s="1230"/>
      <c r="Z110" s="1230"/>
      <c r="AA110" s="1231"/>
      <c r="AB110" s="1226"/>
      <c r="AC110" s="1226"/>
      <c r="AD110" s="493"/>
      <c r="AE110" s="1231"/>
      <c r="AF110" s="1174"/>
    </row>
    <row r="111" spans="1:37" ht="18.75" customHeight="1" x14ac:dyDescent="0.2">
      <c r="A111" s="1191"/>
      <c r="B111" s="851"/>
      <c r="C111" s="850"/>
      <c r="D111" s="850"/>
      <c r="E111" s="1230" t="s">
        <v>278</v>
      </c>
      <c r="F111" s="850"/>
      <c r="G111" s="1226"/>
      <c r="H111" s="1230"/>
      <c r="I111" s="1230"/>
      <c r="J111" s="1231"/>
      <c r="K111" s="1231"/>
      <c r="L111" s="1231"/>
      <c r="M111" s="1231"/>
      <c r="N111" s="1231"/>
      <c r="O111" s="1231"/>
      <c r="P111" s="448"/>
      <c r="Q111" s="448"/>
      <c r="R111" s="1436"/>
      <c r="S111" s="1231"/>
      <c r="T111" s="1231"/>
      <c r="U111" s="1226"/>
      <c r="V111" s="1226"/>
      <c r="W111" s="1241"/>
      <c r="X111" s="1242"/>
      <c r="Y111" s="437"/>
      <c r="Z111" s="1231"/>
      <c r="AA111" s="1231"/>
      <c r="AB111" s="1226"/>
      <c r="AC111" s="1226"/>
      <c r="AD111" s="1231"/>
      <c r="AE111" s="1231"/>
      <c r="AF111" s="1240"/>
    </row>
    <row r="112" spans="1:37" ht="18.75" customHeight="1" x14ac:dyDescent="0.3">
      <c r="A112" s="1191">
        <v>87</v>
      </c>
      <c r="B112" s="461" t="s">
        <v>181</v>
      </c>
      <c r="C112" s="684" t="s">
        <v>344</v>
      </c>
      <c r="D112" s="1235">
        <v>374.5</v>
      </c>
      <c r="E112" s="1235" t="s">
        <v>182</v>
      </c>
      <c r="F112" s="1235">
        <v>177.8</v>
      </c>
      <c r="G112" s="1235"/>
      <c r="H112" s="1235"/>
      <c r="I112" s="1231"/>
      <c r="J112" s="1235"/>
      <c r="K112" s="1235"/>
      <c r="L112" s="1235"/>
      <c r="M112" s="1235"/>
      <c r="N112" s="668"/>
      <c r="O112" s="1235"/>
      <c r="P112" s="432"/>
      <c r="Q112" s="668"/>
      <c r="R112" s="1437"/>
      <c r="S112" s="432"/>
      <c r="T112" s="432"/>
      <c r="U112" s="432"/>
      <c r="V112" s="432"/>
      <c r="W112" s="1199"/>
      <c r="X112" s="1185"/>
      <c r="Y112" s="432"/>
      <c r="Z112" s="432"/>
      <c r="AA112" s="432"/>
      <c r="AB112" s="432"/>
      <c r="AC112" s="432"/>
      <c r="AD112" s="1235"/>
      <c r="AE112" s="432"/>
      <c r="AF112" s="1174"/>
    </row>
    <row r="113" spans="1:32" ht="18.75" customHeight="1" x14ac:dyDescent="0.2">
      <c r="A113" s="1191">
        <v>88</v>
      </c>
      <c r="B113" s="1232" t="s">
        <v>160</v>
      </c>
      <c r="C113" s="1235" t="s">
        <v>46</v>
      </c>
      <c r="D113" s="1231">
        <v>625.1</v>
      </c>
      <c r="E113" s="1231" t="s">
        <v>578</v>
      </c>
      <c r="F113" s="1235">
        <v>177.8</v>
      </c>
      <c r="G113" s="1235"/>
      <c r="H113" s="1235"/>
      <c r="I113" s="432"/>
      <c r="J113" s="1231"/>
      <c r="K113" s="1231"/>
      <c r="L113" s="1231"/>
      <c r="M113" s="1231"/>
      <c r="N113" s="1231"/>
      <c r="O113" s="1231"/>
      <c r="P113" s="448"/>
      <c r="Q113" s="448"/>
      <c r="R113" s="1436"/>
      <c r="S113" s="1231"/>
      <c r="T113" s="1231"/>
      <c r="U113" s="1226"/>
      <c r="V113" s="1226"/>
      <c r="W113" s="1241"/>
      <c r="X113" s="1180"/>
      <c r="Y113" s="492"/>
      <c r="Z113" s="1231"/>
      <c r="AA113" s="1231"/>
      <c r="AB113" s="1226"/>
      <c r="AC113" s="1231"/>
      <c r="AD113" s="493"/>
      <c r="AE113" s="437"/>
      <c r="AF113" s="1174"/>
    </row>
    <row r="114" spans="1:32" ht="18.75" customHeight="1" x14ac:dyDescent="0.2">
      <c r="A114" s="1191"/>
      <c r="B114" s="677"/>
      <c r="C114" s="677"/>
      <c r="D114" s="677"/>
      <c r="E114" s="677"/>
      <c r="F114" s="677"/>
      <c r="G114" s="1235"/>
      <c r="H114" s="1235"/>
      <c r="I114" s="1231"/>
      <c r="J114" s="1231"/>
      <c r="K114" s="1231"/>
      <c r="L114" s="1231"/>
      <c r="M114" s="1231"/>
      <c r="N114" s="1231"/>
      <c r="O114" s="1231"/>
      <c r="P114" s="448"/>
      <c r="Q114" s="771"/>
      <c r="R114" s="1436"/>
      <c r="S114" s="1231"/>
      <c r="T114" s="1231"/>
      <c r="U114" s="1226"/>
      <c r="V114" s="1226"/>
      <c r="W114" s="1241"/>
      <c r="X114" s="1180"/>
      <c r="Y114" s="492"/>
      <c r="Z114" s="1231"/>
      <c r="AA114" s="1231"/>
      <c r="AB114" s="1226"/>
      <c r="AC114" s="1231"/>
      <c r="AD114" s="493"/>
      <c r="AE114" s="437"/>
      <c r="AF114" s="1174"/>
    </row>
    <row r="115" spans="1:32" ht="18.75" customHeight="1" x14ac:dyDescent="0.2">
      <c r="A115" s="1191"/>
      <c r="B115" s="461"/>
      <c r="C115" s="1235"/>
      <c r="D115" s="1235"/>
      <c r="E115" s="1235"/>
      <c r="F115" s="1235"/>
      <c r="G115" s="1235"/>
      <c r="H115" s="1235"/>
      <c r="I115" s="1231"/>
      <c r="J115" s="1235"/>
      <c r="K115" s="1235"/>
      <c r="L115" s="1235"/>
      <c r="M115" s="1235"/>
      <c r="N115" s="668"/>
      <c r="O115" s="1235"/>
      <c r="P115" s="432"/>
      <c r="Q115" s="772"/>
      <c r="R115" s="1437"/>
      <c r="S115" s="432"/>
      <c r="T115" s="432"/>
      <c r="U115" s="432"/>
      <c r="V115" s="432"/>
      <c r="W115" s="1199"/>
      <c r="X115" s="1185"/>
      <c r="Y115" s="432"/>
      <c r="Z115" s="432"/>
      <c r="AA115" s="432"/>
      <c r="AB115" s="432"/>
      <c r="AC115" s="432"/>
      <c r="AD115" s="1235"/>
      <c r="AE115" s="432"/>
      <c r="AF115" s="1174"/>
    </row>
    <row r="116" spans="1:32" ht="18.75" x14ac:dyDescent="0.25">
      <c r="A116" s="1201"/>
      <c r="B116" s="1235"/>
      <c r="C116" s="1235"/>
      <c r="D116" s="1235"/>
      <c r="E116" s="461"/>
      <c r="F116" s="1235"/>
      <c r="G116" s="1235"/>
      <c r="H116" s="1235"/>
      <c r="I116" s="1231"/>
      <c r="J116" s="1235"/>
      <c r="K116" s="1235"/>
      <c r="L116" s="1235"/>
      <c r="M116" s="1235"/>
      <c r="N116" s="668"/>
      <c r="O116" s="1235"/>
      <c r="P116" s="432"/>
      <c r="Q116" s="772"/>
      <c r="R116" s="1437"/>
      <c r="S116" s="432"/>
      <c r="T116" s="432"/>
      <c r="U116" s="432"/>
      <c r="V116" s="432"/>
      <c r="W116" s="1199"/>
      <c r="X116" s="1185"/>
      <c r="Y116" s="432"/>
      <c r="Z116" s="432"/>
      <c r="AA116" s="432"/>
      <c r="AB116" s="432"/>
      <c r="AC116" s="432"/>
      <c r="AD116" s="1235"/>
      <c r="AE116" s="432"/>
      <c r="AF116" s="1174"/>
    </row>
    <row r="117" spans="1:32" ht="19.5" thickBot="1" x14ac:dyDescent="0.3">
      <c r="A117" s="1203"/>
      <c r="B117" s="1957"/>
      <c r="C117" s="1957"/>
      <c r="D117" s="1957"/>
      <c r="E117" s="1958"/>
      <c r="F117" s="1204"/>
      <c r="G117" s="1205"/>
      <c r="H117" s="1205"/>
      <c r="I117" s="1206"/>
      <c r="J117" s="1205"/>
      <c r="K117" s="1204"/>
      <c r="L117" s="1205"/>
      <c r="M117" s="1204"/>
      <c r="N117" s="1207"/>
      <c r="O117" s="1204"/>
      <c r="P117" s="1208"/>
      <c r="Q117" s="1209"/>
      <c r="R117" s="1443">
        <f>R85+R92+R104</f>
        <v>389.77326923076936</v>
      </c>
      <c r="S117" s="1187">
        <f>S85+S92+S104</f>
        <v>1109.5800692307694</v>
      </c>
      <c r="T117" s="1188">
        <f>T85+T92+T104</f>
        <v>5776.3192307692316</v>
      </c>
      <c r="U117" s="1187">
        <f>T117/R117</f>
        <v>14.81969054001315</v>
      </c>
      <c r="V117" s="1187"/>
      <c r="W117" s="1210"/>
      <c r="X117" s="1186"/>
      <c r="Y117" s="1187">
        <f>Y85+Y92+Y104</f>
        <v>394.87723</v>
      </c>
      <c r="Z117" s="1187">
        <f>Z85+Z104+Z92</f>
        <v>1096.7838684000001</v>
      </c>
      <c r="AA117" s="1188">
        <f>AA85+AA104+AA92</f>
        <v>5707.0033999999987</v>
      </c>
      <c r="AB117" s="1187">
        <f>AB85+AB104+AB92</f>
        <v>16.658295880406172</v>
      </c>
      <c r="AC117" s="1187"/>
      <c r="AD117" s="1187"/>
      <c r="AE117" s="1189">
        <f>AE85+AE92+AE104</f>
        <v>11808.290600000004</v>
      </c>
      <c r="AF117" s="1190"/>
    </row>
    <row r="118" spans="1:32" ht="18.75" x14ac:dyDescent="0.25">
      <c r="A118" s="868"/>
      <c r="B118" s="497"/>
      <c r="C118" s="497"/>
      <c r="D118" s="497"/>
      <c r="E118" s="497"/>
      <c r="F118" s="497"/>
      <c r="G118" s="498"/>
      <c r="H118" s="499"/>
      <c r="I118" s="499"/>
      <c r="J118" s="497"/>
      <c r="K118" s="497"/>
      <c r="L118" s="497"/>
      <c r="M118" s="497"/>
      <c r="N118" s="497"/>
      <c r="O118" s="497"/>
      <c r="P118" s="500"/>
      <c r="Q118" s="775"/>
      <c r="R118" s="1444"/>
      <c r="S118" s="497"/>
      <c r="T118" s="497"/>
      <c r="U118" s="498"/>
      <c r="V118" s="498"/>
      <c r="W118" s="498"/>
      <c r="X118" s="498"/>
      <c r="Y118" s="497"/>
      <c r="Z118" s="497"/>
      <c r="AA118" s="497"/>
      <c r="AB118" s="498"/>
      <c r="AC118" s="498"/>
      <c r="AD118" s="497"/>
      <c r="AE118" s="497"/>
      <c r="AF118" s="499"/>
    </row>
    <row r="119" spans="1:32" ht="18.75" x14ac:dyDescent="0.25">
      <c r="A119" s="868"/>
      <c r="B119" s="412"/>
      <c r="C119" s="1244"/>
      <c r="D119" s="412"/>
      <c r="E119" s="1225">
        <f>AM17/(AN17*AL17*24)</f>
        <v>0.94799145299145304</v>
      </c>
      <c r="F119" s="412"/>
      <c r="G119" s="412" t="s">
        <v>102</v>
      </c>
      <c r="H119" s="1244"/>
      <c r="I119" s="688"/>
      <c r="J119" s="412"/>
      <c r="K119" s="1941">
        <f>AE117*E119</f>
        <v>11194.15856323932</v>
      </c>
      <c r="L119" s="1897"/>
      <c r="M119" s="1897"/>
      <c r="N119" s="1244" t="s">
        <v>27</v>
      </c>
      <c r="O119" s="497"/>
      <c r="P119" s="500"/>
      <c r="Q119" s="775"/>
      <c r="R119" s="1444"/>
      <c r="S119" s="497"/>
      <c r="T119" s="497"/>
      <c r="U119" s="498"/>
      <c r="V119" s="498"/>
      <c r="W119" s="498"/>
      <c r="X119" s="498"/>
      <c r="Y119" s="497"/>
      <c r="Z119" s="497"/>
      <c r="AA119" s="497"/>
      <c r="AB119" s="498"/>
      <c r="AC119" s="498"/>
      <c r="AD119" s="497"/>
      <c r="AE119" s="497"/>
      <c r="AF119" s="499"/>
    </row>
    <row r="120" spans="1:32" ht="18.75" x14ac:dyDescent="0.25">
      <c r="A120" s="868"/>
      <c r="B120" s="412"/>
      <c r="C120" s="1244"/>
      <c r="D120" s="412"/>
      <c r="E120" s="1243"/>
      <c r="F120" s="412"/>
      <c r="G120" s="1244"/>
      <c r="H120" s="1244"/>
      <c r="I120" s="688"/>
      <c r="J120" s="412"/>
      <c r="K120" s="1244"/>
      <c r="L120" s="689"/>
      <c r="M120" s="412"/>
      <c r="N120" s="412"/>
      <c r="O120" s="412"/>
      <c r="P120" s="690"/>
      <c r="Q120" s="776"/>
      <c r="R120" s="1445"/>
      <c r="S120" s="412"/>
      <c r="T120" s="412"/>
      <c r="U120" s="412"/>
      <c r="V120" s="412"/>
      <c r="W120" s="412"/>
      <c r="X120" s="1238"/>
      <c r="Y120" s="1238"/>
      <c r="Z120" s="1238"/>
      <c r="AA120" s="1238"/>
      <c r="AB120" s="1238"/>
      <c r="AC120" s="1238"/>
      <c r="AD120" s="1238"/>
      <c r="AE120" s="1238"/>
      <c r="AF120" s="692"/>
    </row>
    <row r="121" spans="1:32" ht="18.75" x14ac:dyDescent="0.25">
      <c r="A121" s="868"/>
      <c r="B121" s="412"/>
      <c r="C121" s="412"/>
      <c r="D121" s="412"/>
      <c r="E121" s="693" t="s">
        <v>214</v>
      </c>
      <c r="F121" s="1911" t="s">
        <v>268</v>
      </c>
      <c r="G121" s="1911"/>
      <c r="H121" s="1911"/>
      <c r="I121" s="412"/>
      <c r="J121" s="412"/>
      <c r="K121" s="1244"/>
      <c r="L121" s="1244"/>
      <c r="M121" s="412"/>
      <c r="N121" s="412"/>
      <c r="O121" s="412"/>
      <c r="P121" s="412"/>
      <c r="Q121" s="776"/>
      <c r="R121" s="1445"/>
      <c r="S121" s="412"/>
      <c r="T121" s="412"/>
      <c r="U121" s="412"/>
      <c r="V121" s="412"/>
      <c r="W121" s="412"/>
      <c r="X121" s="1938" t="s">
        <v>352</v>
      </c>
      <c r="Y121" s="1937"/>
      <c r="Z121" s="1937"/>
      <c r="AA121" s="1937"/>
      <c r="AB121" s="1238" t="s">
        <v>561</v>
      </c>
      <c r="AC121" s="1238"/>
      <c r="AD121" s="1238"/>
      <c r="AE121" s="1238"/>
      <c r="AF121" s="1238"/>
    </row>
    <row r="122" spans="1:32" x14ac:dyDescent="0.2">
      <c r="R122" s="1446"/>
    </row>
    <row r="125" spans="1:32" x14ac:dyDescent="0.2">
      <c r="E125" s="1219"/>
    </row>
  </sheetData>
  <mergeCells count="36">
    <mergeCell ref="B117:E117"/>
    <mergeCell ref="K119:M119"/>
    <mergeCell ref="F121:H121"/>
    <mergeCell ref="X121:AA121"/>
    <mergeCell ref="Y15:AA15"/>
    <mergeCell ref="R15:T15"/>
    <mergeCell ref="U15:U16"/>
    <mergeCell ref="V15:V16"/>
    <mergeCell ref="W15:W16"/>
    <mergeCell ref="X15:X16"/>
    <mergeCell ref="AB15:AB16"/>
    <mergeCell ref="AC15:AC16"/>
    <mergeCell ref="AF15:AF16"/>
    <mergeCell ref="AM15:AM16"/>
    <mergeCell ref="AN15:AN16"/>
    <mergeCell ref="AD10:AF10"/>
    <mergeCell ref="A11:E11"/>
    <mergeCell ref="A14:A16"/>
    <mergeCell ref="B14:B16"/>
    <mergeCell ref="C14:C16"/>
    <mergeCell ref="D14:D15"/>
    <mergeCell ref="E14:E15"/>
    <mergeCell ref="F14:F15"/>
    <mergeCell ref="G14:G16"/>
    <mergeCell ref="H14:W14"/>
    <mergeCell ref="A10:E10"/>
    <mergeCell ref="X14:AF14"/>
    <mergeCell ref="H15:H16"/>
    <mergeCell ref="K15:L15"/>
    <mergeCell ref="M15:N15"/>
    <mergeCell ref="O15:P15"/>
    <mergeCell ref="I1:X1"/>
    <mergeCell ref="J2:W2"/>
    <mergeCell ref="A3:D3"/>
    <mergeCell ref="A7:D7"/>
    <mergeCell ref="A9:E9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O124"/>
  <sheetViews>
    <sheetView topLeftCell="K89" zoomScale="60" zoomScaleNormal="60" workbookViewId="0">
      <selection activeCell="AA103" sqref="AA103"/>
    </sheetView>
  </sheetViews>
  <sheetFormatPr defaultColWidth="8.85546875" defaultRowHeight="14.25" x14ac:dyDescent="0.2"/>
  <cols>
    <col min="1" max="1" width="5.7109375" style="1252" customWidth="1"/>
    <col min="2" max="2" width="10.42578125" style="1252" customWidth="1"/>
    <col min="3" max="3" width="14" style="1252" customWidth="1"/>
    <col min="4" max="4" width="8.85546875" style="1252" customWidth="1"/>
    <col min="5" max="5" width="54.42578125" style="1252" customWidth="1"/>
    <col min="6" max="6" width="9.28515625" style="1252" bestFit="1" customWidth="1"/>
    <col min="7" max="7" width="8.85546875" style="1252"/>
    <col min="8" max="8" width="22" style="1252" customWidth="1"/>
    <col min="9" max="9" width="8.42578125" style="1252" customWidth="1"/>
    <col min="10" max="10" width="7.5703125" style="140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8.85546875" style="1252"/>
    <col min="16" max="16" width="9.28515625" style="1252" bestFit="1" customWidth="1"/>
    <col min="17" max="17" width="9.140625" style="1403" customWidth="1"/>
    <col min="18" max="18" width="11.28515625" style="1252" customWidth="1"/>
    <col min="19" max="19" width="10.7109375" style="1252" customWidth="1"/>
    <col min="20" max="20" width="9.8554687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9.28515625" style="1402" bestFit="1" customWidth="1"/>
    <col min="25" max="25" width="9" style="1252" customWidth="1"/>
    <col min="26" max="26" width="9.5703125" style="1252" customWidth="1"/>
    <col min="27" max="27" width="10.8554687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11.7109375" style="1252" customWidth="1"/>
    <col min="33" max="33" width="34.28515625" style="1252" customWidth="1"/>
    <col min="34" max="34" width="25.7109375" style="1252" customWidth="1"/>
    <col min="35" max="35" width="12.5703125" style="1252" bestFit="1" customWidth="1"/>
    <col min="36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251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574</v>
      </c>
      <c r="AG1" s="1251"/>
    </row>
    <row r="2" spans="1:41" ht="81" customHeight="1" x14ac:dyDescent="0.2">
      <c r="A2" s="1977" t="s">
        <v>704</v>
      </c>
      <c r="B2" s="1977"/>
      <c r="C2" s="1977"/>
      <c r="D2" s="1977"/>
      <c r="E2" s="1407"/>
      <c r="F2" s="138"/>
      <c r="G2" s="1246"/>
      <c r="H2" s="141"/>
      <c r="I2" s="141"/>
      <c r="J2" s="1255"/>
      <c r="K2" s="141"/>
      <c r="L2" s="141"/>
      <c r="M2" s="141"/>
      <c r="N2" s="141"/>
      <c r="O2" s="141"/>
      <c r="P2" s="141"/>
      <c r="Q2" s="1256"/>
      <c r="R2" s="138"/>
      <c r="S2" s="138"/>
      <c r="T2" s="138"/>
      <c r="U2" s="138"/>
      <c r="V2" s="138"/>
      <c r="W2" s="138"/>
      <c r="X2" s="1255"/>
      <c r="Y2" s="138"/>
      <c r="Z2" s="138"/>
      <c r="AA2" s="138"/>
      <c r="AC2" s="138"/>
      <c r="AD2" s="138"/>
      <c r="AE2" s="138"/>
      <c r="AF2" s="138"/>
      <c r="AG2" s="1406" t="s">
        <v>728</v>
      </c>
    </row>
    <row r="3" spans="1:41" ht="15.75" x14ac:dyDescent="0.25">
      <c r="A3" s="1408" t="s">
        <v>724</v>
      </c>
      <c r="B3" s="1247"/>
      <c r="C3" s="1247"/>
      <c r="D3" s="1247"/>
      <c r="E3" s="138"/>
      <c r="F3" s="138"/>
      <c r="G3" s="1246"/>
      <c r="H3" s="141"/>
      <c r="I3" s="141"/>
      <c r="J3" s="1255"/>
      <c r="K3" s="141"/>
      <c r="L3" s="141"/>
      <c r="M3" s="141"/>
      <c r="N3" s="141"/>
      <c r="O3" s="141"/>
      <c r="P3" s="141"/>
      <c r="Q3" s="1256"/>
      <c r="R3" s="138"/>
      <c r="S3" s="138"/>
      <c r="T3" s="138"/>
      <c r="U3" s="138"/>
      <c r="V3" s="138"/>
      <c r="W3" s="138"/>
      <c r="X3" s="1255"/>
      <c r="Y3" s="138"/>
      <c r="Z3" s="138"/>
      <c r="AA3" s="138"/>
      <c r="AB3" s="138"/>
      <c r="AC3" s="138"/>
      <c r="AD3" s="1260" t="s">
        <v>709</v>
      </c>
      <c r="AE3" s="1222"/>
      <c r="AF3" s="138"/>
      <c r="AG3" s="707"/>
    </row>
    <row r="4" spans="1:41" ht="15" x14ac:dyDescent="0.25">
      <c r="A4" s="1976" t="s">
        <v>700</v>
      </c>
      <c r="B4" s="1976"/>
      <c r="C4" s="1976"/>
      <c r="D4" s="1976"/>
      <c r="E4" s="1248"/>
      <c r="F4" s="138"/>
      <c r="G4" s="1246"/>
      <c r="H4" s="1246"/>
      <c r="I4" s="141"/>
      <c r="J4" s="1255"/>
      <c r="K4" s="141"/>
      <c r="L4" s="141"/>
      <c r="M4" s="141"/>
      <c r="N4" s="141"/>
      <c r="O4" s="141"/>
      <c r="P4" s="141"/>
      <c r="Q4" s="1256"/>
      <c r="R4" s="1245"/>
      <c r="S4" s="1245"/>
      <c r="T4" s="1245"/>
      <c r="U4" s="1245"/>
      <c r="V4" s="1245"/>
      <c r="W4" s="1245"/>
      <c r="X4" s="1255"/>
      <c r="Y4" s="138"/>
      <c r="Z4" s="138"/>
      <c r="AB4" s="138"/>
      <c r="AC4" s="138"/>
      <c r="AD4" s="138"/>
      <c r="AE4" s="1258"/>
      <c r="AF4" s="138"/>
      <c r="AG4" s="151" t="s">
        <v>723</v>
      </c>
    </row>
    <row r="5" spans="1:41" ht="27" customHeight="1" x14ac:dyDescent="0.2">
      <c r="B5" s="148"/>
      <c r="C5" s="148"/>
      <c r="D5" s="148"/>
      <c r="E5" s="138"/>
      <c r="F5" s="138"/>
      <c r="G5" s="1246"/>
      <c r="H5" s="1246"/>
      <c r="I5" s="138"/>
      <c r="J5" s="1254"/>
      <c r="K5" s="1246"/>
      <c r="L5" s="1246"/>
      <c r="M5" s="138"/>
      <c r="N5" s="138"/>
      <c r="O5" s="138"/>
      <c r="P5" s="149"/>
      <c r="Q5" s="1257"/>
      <c r="R5" s="138"/>
      <c r="S5" s="138"/>
      <c r="T5" s="138"/>
      <c r="U5" s="138"/>
      <c r="V5" s="138"/>
      <c r="W5" s="138"/>
      <c r="X5" s="1254"/>
      <c r="Y5" s="138"/>
      <c r="Z5" s="138"/>
      <c r="AA5" s="138"/>
      <c r="AB5" s="138"/>
      <c r="AC5" s="138"/>
      <c r="AD5" s="138"/>
      <c r="AG5" s="151"/>
    </row>
    <row r="6" spans="1:41" ht="27" customHeight="1" x14ac:dyDescent="0.2">
      <c r="A6" s="1942" t="s">
        <v>54</v>
      </c>
      <c r="B6" s="1942"/>
      <c r="C6" s="1942"/>
      <c r="D6" s="1942"/>
      <c r="E6" s="138"/>
      <c r="F6" s="138"/>
      <c r="G6" s="1246"/>
      <c r="H6" s="1246"/>
      <c r="I6" s="138"/>
      <c r="J6" s="1254"/>
      <c r="K6" s="1246"/>
      <c r="L6" s="1246"/>
      <c r="M6" s="138"/>
      <c r="N6" s="138"/>
      <c r="O6" s="138"/>
      <c r="P6" s="149"/>
      <c r="Q6" s="1257"/>
      <c r="R6" s="138"/>
      <c r="S6" s="138"/>
      <c r="T6" s="138"/>
      <c r="U6" s="138"/>
      <c r="V6" s="138"/>
      <c r="W6" s="138"/>
      <c r="X6" s="1254"/>
      <c r="Y6" s="138"/>
      <c r="Z6" s="138"/>
      <c r="AA6" s="138"/>
      <c r="AB6" s="138"/>
      <c r="AC6" s="138"/>
      <c r="AD6" s="138"/>
      <c r="AE6" s="138"/>
      <c r="AF6" s="138"/>
    </row>
    <row r="7" spans="1:41" ht="18.75" x14ac:dyDescent="0.2">
      <c r="A7" s="1977" t="s">
        <v>725</v>
      </c>
      <c r="B7" s="1977"/>
      <c r="C7" s="1977"/>
      <c r="D7" s="1977"/>
      <c r="E7" s="138"/>
      <c r="F7" s="138"/>
      <c r="G7" s="1246"/>
      <c r="H7" s="1246"/>
      <c r="I7" s="140"/>
      <c r="J7" s="1254"/>
      <c r="K7" s="1246"/>
      <c r="L7" s="1246"/>
      <c r="M7" s="138"/>
      <c r="N7" s="138"/>
      <c r="O7" s="138"/>
      <c r="P7" s="149"/>
      <c r="Q7" s="1257"/>
      <c r="R7" s="138"/>
      <c r="S7" s="138"/>
      <c r="T7" s="138"/>
      <c r="U7" s="138"/>
      <c r="V7" s="138"/>
      <c r="W7" s="147"/>
      <c r="X7" s="1254"/>
      <c r="Y7" s="138"/>
      <c r="Z7" s="148"/>
      <c r="AA7" s="148"/>
      <c r="AB7" s="148"/>
      <c r="AC7" s="148"/>
      <c r="AD7" s="148"/>
      <c r="AE7" s="148"/>
      <c r="AF7" s="148"/>
      <c r="AG7" s="1406"/>
    </row>
    <row r="8" spans="1:41" ht="15.75" x14ac:dyDescent="0.25">
      <c r="A8" s="1408" t="s">
        <v>726</v>
      </c>
      <c r="B8" s="1249"/>
      <c r="C8" s="1249"/>
      <c r="D8" s="1249"/>
      <c r="E8" s="1253"/>
      <c r="F8" s="138"/>
      <c r="G8" s="1246"/>
      <c r="H8" s="1246"/>
      <c r="I8" s="140"/>
      <c r="J8" s="1254"/>
      <c r="K8" s="1246"/>
      <c r="L8" s="1246"/>
      <c r="M8" s="138"/>
      <c r="N8" s="138"/>
      <c r="O8" s="138"/>
      <c r="P8" s="149"/>
      <c r="Q8" s="1257"/>
      <c r="R8" s="138"/>
      <c r="S8" s="138"/>
      <c r="T8" s="138"/>
      <c r="U8" s="138"/>
      <c r="V8" s="138"/>
      <c r="W8" s="147"/>
      <c r="X8" s="1254"/>
      <c r="Y8" s="138"/>
      <c r="Z8" s="148"/>
      <c r="AA8" s="148"/>
      <c r="AB8" s="148"/>
      <c r="AC8" s="148"/>
      <c r="AD8" s="1260"/>
      <c r="AE8" s="138"/>
      <c r="AF8" s="138"/>
      <c r="AG8" s="707"/>
    </row>
    <row r="9" spans="1:41" ht="32.25" customHeight="1" x14ac:dyDescent="0.25">
      <c r="A9" s="1976" t="s">
        <v>700</v>
      </c>
      <c r="B9" s="1976"/>
      <c r="C9" s="1976"/>
      <c r="D9" s="1976"/>
      <c r="E9" s="1250"/>
      <c r="F9" s="138"/>
      <c r="G9" s="1246"/>
      <c r="H9" s="1246"/>
      <c r="I9" s="140"/>
      <c r="J9" s="1254"/>
      <c r="K9" s="1246"/>
      <c r="L9" s="1246"/>
      <c r="M9" s="138"/>
      <c r="N9" s="138"/>
      <c r="O9" s="138"/>
      <c r="P9" s="149"/>
      <c r="Q9" s="1257"/>
      <c r="R9" s="138"/>
      <c r="S9" s="138"/>
      <c r="T9" s="138"/>
      <c r="U9" s="138"/>
      <c r="V9" s="138"/>
      <c r="W9" s="147"/>
      <c r="X9" s="1254"/>
      <c r="Y9" s="138"/>
      <c r="Z9" s="148"/>
      <c r="AA9" s="148"/>
      <c r="AB9" s="148"/>
      <c r="AC9" s="1259"/>
      <c r="AF9" s="1260"/>
      <c r="AG9" s="151"/>
      <c r="AH9" s="1260"/>
      <c r="AL9" s="1259"/>
    </row>
    <row r="10" spans="1:41" ht="26.25" customHeight="1" x14ac:dyDescent="0.2">
      <c r="F10" s="138"/>
      <c r="G10" s="1246"/>
      <c r="H10" s="1246"/>
      <c r="I10" s="138"/>
      <c r="J10" s="1254"/>
      <c r="K10" s="1246"/>
      <c r="L10" s="1246"/>
      <c r="M10" s="1246"/>
      <c r="N10" s="1246"/>
      <c r="O10" s="1246"/>
      <c r="P10" s="1246"/>
      <c r="Q10" s="1261"/>
      <c r="R10" s="1246"/>
      <c r="S10" s="1246"/>
      <c r="T10" s="1246"/>
      <c r="U10" s="1246"/>
      <c r="V10" s="1246"/>
      <c r="W10" s="138"/>
      <c r="X10" s="1254"/>
      <c r="Y10" s="138"/>
      <c r="Z10" s="148"/>
      <c r="AA10" s="148"/>
      <c r="AB10" s="148"/>
      <c r="AC10" s="148"/>
    </row>
    <row r="11" spans="1:41" ht="28.5" customHeight="1" x14ac:dyDescent="0.2">
      <c r="B11" s="1246"/>
      <c r="C11" s="1246"/>
      <c r="D11" s="1246"/>
      <c r="E11" s="138"/>
      <c r="F11" s="138"/>
      <c r="G11" s="1246"/>
      <c r="H11" s="1962" t="s">
        <v>65</v>
      </c>
      <c r="I11" s="1963"/>
      <c r="J11" s="1963"/>
      <c r="K11" s="1963"/>
      <c r="L11" s="1963"/>
      <c r="M11" s="1963"/>
      <c r="N11" s="1963"/>
      <c r="O11" s="1963"/>
      <c r="P11" s="1963"/>
      <c r="Q11" s="1963"/>
      <c r="R11" s="1963"/>
      <c r="S11" s="1963"/>
      <c r="T11" s="1963"/>
      <c r="U11" s="1963"/>
      <c r="V11" s="1963"/>
      <c r="W11" s="1963"/>
      <c r="X11" s="1963"/>
      <c r="Y11" s="138"/>
      <c r="Z11" s="148"/>
      <c r="AA11" s="148"/>
      <c r="AB11" s="148"/>
      <c r="AC11" s="148"/>
    </row>
    <row r="12" spans="1:41" ht="31.5" customHeight="1" thickBot="1" x14ac:dyDescent="0.25">
      <c r="B12" s="1246"/>
      <c r="C12" s="1246"/>
      <c r="D12" s="1246"/>
      <c r="E12" s="138"/>
      <c r="F12" s="138"/>
      <c r="G12" s="1246"/>
      <c r="H12" s="1246"/>
      <c r="I12" s="140"/>
      <c r="J12" s="1964" t="s">
        <v>722</v>
      </c>
      <c r="K12" s="1965"/>
      <c r="L12" s="1965"/>
      <c r="M12" s="1965"/>
      <c r="N12" s="1965"/>
      <c r="O12" s="1965"/>
      <c r="P12" s="1965"/>
      <c r="Q12" s="1965"/>
      <c r="R12" s="1965"/>
      <c r="S12" s="1965"/>
      <c r="T12" s="1965"/>
      <c r="U12" s="1965"/>
      <c r="V12" s="1965"/>
      <c r="W12" s="1965"/>
      <c r="X12" s="1254"/>
      <c r="Y12" s="138"/>
      <c r="Z12" s="148"/>
      <c r="AA12" s="148"/>
      <c r="AB12" s="148"/>
      <c r="AC12" s="148"/>
      <c r="AD12" s="138"/>
      <c r="AE12" s="138"/>
      <c r="AF12" s="138"/>
      <c r="AG12" s="151"/>
    </row>
    <row r="13" spans="1:41" ht="18.75" customHeight="1" x14ac:dyDescent="0.2">
      <c r="A13" s="1969" t="s">
        <v>1</v>
      </c>
      <c r="B13" s="1971" t="s">
        <v>664</v>
      </c>
      <c r="C13" s="1973" t="s">
        <v>8</v>
      </c>
      <c r="D13" s="1992" t="s">
        <v>719</v>
      </c>
      <c r="E13" s="1994" t="s">
        <v>720</v>
      </c>
      <c r="F13" s="1992" t="s">
        <v>721</v>
      </c>
      <c r="G13" s="1973" t="s">
        <v>667</v>
      </c>
      <c r="H13" s="1988" t="s">
        <v>669</v>
      </c>
      <c r="I13" s="1988"/>
      <c r="J13" s="1988"/>
      <c r="K13" s="1988"/>
      <c r="L13" s="1988"/>
      <c r="M13" s="1988"/>
      <c r="N13" s="1988"/>
      <c r="O13" s="1988"/>
      <c r="P13" s="1988"/>
      <c r="Q13" s="1988"/>
      <c r="R13" s="1988"/>
      <c r="S13" s="1988"/>
      <c r="T13" s="1988"/>
      <c r="U13" s="1988"/>
      <c r="V13" s="1988"/>
      <c r="W13" s="1989"/>
      <c r="X13" s="1978" t="s">
        <v>22</v>
      </c>
      <c r="Y13" s="1979"/>
      <c r="Z13" s="1979"/>
      <c r="AA13" s="1979"/>
      <c r="AB13" s="1979"/>
      <c r="AC13" s="1979"/>
      <c r="AD13" s="1979"/>
      <c r="AE13" s="1979"/>
      <c r="AF13" s="1979"/>
      <c r="AG13" s="1980"/>
    </row>
    <row r="14" spans="1:41" ht="168" customHeight="1" x14ac:dyDescent="0.2">
      <c r="A14" s="1970"/>
      <c r="B14" s="1972"/>
      <c r="C14" s="1968"/>
      <c r="D14" s="1993"/>
      <c r="E14" s="1995"/>
      <c r="F14" s="1993"/>
      <c r="G14" s="1968"/>
      <c r="H14" s="1990" t="s">
        <v>668</v>
      </c>
      <c r="I14" s="1262" t="s">
        <v>670</v>
      </c>
      <c r="J14" s="1263" t="s">
        <v>671</v>
      </c>
      <c r="K14" s="1972" t="s">
        <v>672</v>
      </c>
      <c r="L14" s="1972"/>
      <c r="M14" s="1972" t="s">
        <v>10</v>
      </c>
      <c r="N14" s="1972"/>
      <c r="O14" s="1974" t="s">
        <v>11</v>
      </c>
      <c r="P14" s="1974"/>
      <c r="Q14" s="1264" t="s">
        <v>674</v>
      </c>
      <c r="R14" s="1972" t="s">
        <v>15</v>
      </c>
      <c r="S14" s="1975"/>
      <c r="T14" s="1975"/>
      <c r="U14" s="1968" t="s">
        <v>100</v>
      </c>
      <c r="V14" s="1968" t="s">
        <v>16</v>
      </c>
      <c r="W14" s="1987" t="s">
        <v>677</v>
      </c>
      <c r="X14" s="1265" t="s">
        <v>671</v>
      </c>
      <c r="Y14" s="1968" t="s">
        <v>24</v>
      </c>
      <c r="Z14" s="1972" t="s">
        <v>678</v>
      </c>
      <c r="AA14" s="1975"/>
      <c r="AB14" s="1975"/>
      <c r="AC14" s="1968" t="s">
        <v>100</v>
      </c>
      <c r="AD14" s="1968" t="s">
        <v>16</v>
      </c>
      <c r="AE14" s="1266" t="s">
        <v>18</v>
      </c>
      <c r="AF14" s="1266" t="s">
        <v>20</v>
      </c>
      <c r="AG14" s="1967" t="s">
        <v>21</v>
      </c>
      <c r="AH14" s="1267">
        <v>44896</v>
      </c>
      <c r="AN14" s="1966" t="s">
        <v>711</v>
      </c>
      <c r="AO14" s="1966" t="s">
        <v>712</v>
      </c>
    </row>
    <row r="15" spans="1:41" ht="25.5" customHeight="1" x14ac:dyDescent="0.2">
      <c r="A15" s="1970"/>
      <c r="B15" s="1972"/>
      <c r="C15" s="1968"/>
      <c r="D15" s="1991"/>
      <c r="E15" s="1996"/>
      <c r="F15" s="1991"/>
      <c r="G15" s="1968"/>
      <c r="H15" s="1991"/>
      <c r="I15" s="242" t="s">
        <v>3</v>
      </c>
      <c r="J15" s="1268" t="s">
        <v>7</v>
      </c>
      <c r="K15" s="242" t="s">
        <v>30</v>
      </c>
      <c r="L15" s="242" t="s">
        <v>29</v>
      </c>
      <c r="M15" s="242" t="s">
        <v>31</v>
      </c>
      <c r="N15" s="242" t="s">
        <v>32</v>
      </c>
      <c r="O15" s="242" t="s">
        <v>12</v>
      </c>
      <c r="P15" s="1269" t="s">
        <v>673</v>
      </c>
      <c r="Q15" s="1270" t="s">
        <v>26</v>
      </c>
      <c r="R15" s="242" t="s">
        <v>675</v>
      </c>
      <c r="S15" s="242" t="s">
        <v>25</v>
      </c>
      <c r="T15" s="242" t="s">
        <v>676</v>
      </c>
      <c r="U15" s="1968"/>
      <c r="V15" s="1968"/>
      <c r="W15" s="1987"/>
      <c r="X15" s="1271" t="s">
        <v>7</v>
      </c>
      <c r="Y15" s="1968"/>
      <c r="Z15" s="242" t="s">
        <v>14</v>
      </c>
      <c r="AA15" s="242" t="s">
        <v>679</v>
      </c>
      <c r="AB15" s="242" t="s">
        <v>113</v>
      </c>
      <c r="AC15" s="1968"/>
      <c r="AD15" s="1968"/>
      <c r="AE15" s="242" t="s">
        <v>19</v>
      </c>
      <c r="AF15" s="242" t="s">
        <v>680</v>
      </c>
      <c r="AG15" s="1967"/>
      <c r="AH15" s="1252" t="s">
        <v>657</v>
      </c>
      <c r="AI15" s="1269" t="s">
        <v>636</v>
      </c>
      <c r="AJ15" s="1269" t="s">
        <v>654</v>
      </c>
      <c r="AK15" s="1269" t="s">
        <v>653</v>
      </c>
      <c r="AL15" s="1269" t="s">
        <v>655</v>
      </c>
      <c r="AM15" s="1272" t="s">
        <v>710</v>
      </c>
      <c r="AN15" s="1966"/>
      <c r="AO15" s="1966"/>
    </row>
    <row r="16" spans="1:41" ht="18.75" customHeight="1" x14ac:dyDescent="0.2">
      <c r="A16" s="1273">
        <v>1</v>
      </c>
      <c r="B16" s="1274" t="s">
        <v>139</v>
      </c>
      <c r="C16" s="241" t="s">
        <v>46</v>
      </c>
      <c r="D16" s="241">
        <v>610.5</v>
      </c>
      <c r="E16" s="241" t="s">
        <v>571</v>
      </c>
      <c r="F16" s="241">
        <v>177.8</v>
      </c>
      <c r="G16" s="241" t="s">
        <v>28</v>
      </c>
      <c r="H16" s="1275" t="s">
        <v>556</v>
      </c>
      <c r="I16" s="242">
        <v>557.80999999999995</v>
      </c>
      <c r="J16" s="1276">
        <v>180</v>
      </c>
      <c r="K16" s="241"/>
      <c r="L16" s="1277">
        <v>437</v>
      </c>
      <c r="M16" s="241"/>
      <c r="N16" s="1278">
        <v>2.4</v>
      </c>
      <c r="O16" s="241"/>
      <c r="P16" s="1278">
        <f>AI16</f>
        <v>13.944513346598992</v>
      </c>
      <c r="Q16" s="1278">
        <f>LEFT(H16,(FIND("Е",H16,1)-1))*J16/100</f>
        <v>23.4</v>
      </c>
      <c r="R16" s="244">
        <v>4.9790000000000001</v>
      </c>
      <c r="S16" s="244">
        <v>16.248999999999999</v>
      </c>
      <c r="T16" s="1277">
        <v>44.185000000000002</v>
      </c>
      <c r="U16" s="1278">
        <f t="shared" ref="U16:U34" si="0">IF(R16=0,0,T16/R16)</f>
        <v>8.8742719421570602</v>
      </c>
      <c r="V16" s="1278">
        <f>(S16-R16)/S16*100</f>
        <v>69.358114345498194</v>
      </c>
      <c r="W16" s="1279">
        <v>0.4</v>
      </c>
      <c r="X16" s="1280">
        <v>180</v>
      </c>
      <c r="Y16" s="244">
        <f>IF(S16=0,0,S16/Q16)</f>
        <v>0.69440170940170942</v>
      </c>
      <c r="Z16" s="244">
        <f>R16*0.988</f>
        <v>4.9192520000000002</v>
      </c>
      <c r="AA16" s="244">
        <f>S16*0.988</f>
        <v>16.054012</v>
      </c>
      <c r="AB16" s="1277">
        <f>T16*0.988</f>
        <v>43.654780000000002</v>
      </c>
      <c r="AC16" s="244">
        <f>U16</f>
        <v>8.8742719421570602</v>
      </c>
      <c r="AD16" s="1277">
        <f>V16</f>
        <v>69.358114345498194</v>
      </c>
      <c r="AE16" s="241">
        <f>(DAY(EOMONTH($AH$14,0))-AH16)</f>
        <v>31</v>
      </c>
      <c r="AF16" s="244">
        <f t="shared" ref="AF16:AF25" si="1">Z16*AE16</f>
        <v>152.49681200000001</v>
      </c>
      <c r="AG16" s="1281"/>
      <c r="AI16" s="1282">
        <f t="shared" ref="AI16:AI47" si="2">(9.81*(AJ16*(100%-(V16/100))+AK16*(V16/100))*(I16-L16)+N16*101.325+9.81*(AL16)*L16)/101.325</f>
        <v>13.944513346598992</v>
      </c>
      <c r="AJ16" s="1252">
        <v>0.90790000000000004</v>
      </c>
      <c r="AK16" s="1252">
        <v>1.018</v>
      </c>
      <c r="AL16" s="1252">
        <v>7.5858300000000007E-4</v>
      </c>
      <c r="AM16" s="1252">
        <f>DAY(EOMONTH($AH$14,0))</f>
        <v>31</v>
      </c>
      <c r="AN16" s="1252">
        <v>44366</v>
      </c>
      <c r="AO16" s="1252">
        <f>COUNTIF(R16:R102, "&lt;200")</f>
        <v>64</v>
      </c>
    </row>
    <row r="17" spans="1:38" ht="18.75" customHeight="1" x14ac:dyDescent="0.2">
      <c r="A17" s="1273">
        <v>2</v>
      </c>
      <c r="B17" s="1274" t="s">
        <v>140</v>
      </c>
      <c r="C17" s="241" t="s">
        <v>46</v>
      </c>
      <c r="D17" s="241">
        <v>623.5</v>
      </c>
      <c r="E17" s="241" t="s">
        <v>585</v>
      </c>
      <c r="F17" s="241">
        <v>177.8</v>
      </c>
      <c r="G17" s="241" t="s">
        <v>28</v>
      </c>
      <c r="H17" s="241" t="s">
        <v>683</v>
      </c>
      <c r="I17" s="242">
        <v>563.55999999999995</v>
      </c>
      <c r="J17" s="1283"/>
      <c r="K17" s="241"/>
      <c r="L17" s="1277"/>
      <c r="M17" s="241"/>
      <c r="N17" s="1278"/>
      <c r="O17" s="241"/>
      <c r="P17" s="1278"/>
      <c r="Q17" s="1278"/>
      <c r="R17" s="244"/>
      <c r="S17" s="244"/>
      <c r="T17" s="1277"/>
      <c r="U17" s="1278"/>
      <c r="V17" s="1278"/>
      <c r="W17" s="1279"/>
      <c r="X17" s="1284"/>
      <c r="Y17" s="244"/>
      <c r="Z17" s="244"/>
      <c r="AA17" s="244"/>
      <c r="AB17" s="1277"/>
      <c r="AC17" s="244"/>
      <c r="AD17" s="1277"/>
      <c r="AE17" s="241"/>
      <c r="AF17" s="244"/>
      <c r="AG17" s="1285" t="s">
        <v>716</v>
      </c>
      <c r="AI17" s="1282">
        <f t="shared" si="2"/>
        <v>49.509818057142851</v>
      </c>
      <c r="AJ17" s="1252">
        <v>0.90739999999999998</v>
      </c>
      <c r="AK17" s="1252">
        <v>1.024</v>
      </c>
      <c r="AL17" s="1252">
        <v>6.9596980000000001E-4</v>
      </c>
    </row>
    <row r="18" spans="1:38" ht="18.75" customHeight="1" x14ac:dyDescent="0.2">
      <c r="A18" s="1273">
        <v>3</v>
      </c>
      <c r="B18" s="1274" t="s">
        <v>141</v>
      </c>
      <c r="C18" s="241" t="s">
        <v>46</v>
      </c>
      <c r="D18" s="241">
        <v>670</v>
      </c>
      <c r="E18" s="241" t="s">
        <v>68</v>
      </c>
      <c r="F18" s="241">
        <v>177.8</v>
      </c>
      <c r="G18" s="241" t="s">
        <v>28</v>
      </c>
      <c r="H18" s="241" t="s">
        <v>684</v>
      </c>
      <c r="I18" s="242">
        <v>569.63</v>
      </c>
      <c r="J18" s="1283">
        <v>320</v>
      </c>
      <c r="K18" s="241"/>
      <c r="L18" s="1277">
        <v>504</v>
      </c>
      <c r="M18" s="241"/>
      <c r="N18" s="1278">
        <v>6</v>
      </c>
      <c r="O18" s="241"/>
      <c r="P18" s="1278">
        <f t="shared" ref="P18:P78" si="3">AI18</f>
        <v>11.973023183824571</v>
      </c>
      <c r="Q18" s="1278">
        <f>RIGHT(H18,(FIND("T",H18,1)-0))*J18/100</f>
        <v>102.4</v>
      </c>
      <c r="R18" s="244">
        <v>12.99</v>
      </c>
      <c r="S18" s="244">
        <v>20.706</v>
      </c>
      <c r="T18" s="1277">
        <v>230.48</v>
      </c>
      <c r="U18" s="1278">
        <f t="shared" si="0"/>
        <v>17.742879137798305</v>
      </c>
      <c r="V18" s="1278">
        <f t="shared" ref="V18:V52" si="4">(S18-R18)/S18*100</f>
        <v>37.26456099681252</v>
      </c>
      <c r="W18" s="1279">
        <v>0.2</v>
      </c>
      <c r="X18" s="1284">
        <v>320</v>
      </c>
      <c r="Y18" s="244">
        <f t="shared" ref="Y18:Y40" si="5">IF(S18=0,0,S18/Q18)</f>
        <v>0.20220703124999997</v>
      </c>
      <c r="Z18" s="244">
        <f t="shared" ref="Z18:Z38" si="6">R18*0.988</f>
        <v>12.83412</v>
      </c>
      <c r="AA18" s="244">
        <f t="shared" ref="AA18:AA38" si="7">S18*0.988</f>
        <v>20.457528</v>
      </c>
      <c r="AB18" s="1277">
        <f t="shared" ref="AB18:AB37" si="8">T18*0.988</f>
        <v>227.71423999999999</v>
      </c>
      <c r="AC18" s="244">
        <f t="shared" ref="AC18:AD20" si="9">U18</f>
        <v>17.742879137798305</v>
      </c>
      <c r="AD18" s="1277">
        <f t="shared" si="9"/>
        <v>37.26456099681252</v>
      </c>
      <c r="AE18" s="241">
        <f t="shared" ref="AE18:AE39" si="10">(DAY(EOMONTH($AH$14,0))-AH18)</f>
        <v>31</v>
      </c>
      <c r="AF18" s="244">
        <f t="shared" si="1"/>
        <v>397.85772000000003</v>
      </c>
      <c r="AG18" s="1281"/>
      <c r="AI18" s="1282">
        <f t="shared" si="2"/>
        <v>11.973023183824571</v>
      </c>
      <c r="AJ18" s="1252">
        <v>0.87260000000000004</v>
      </c>
      <c r="AK18" s="1252">
        <v>1.0349999999999999</v>
      </c>
      <c r="AL18" s="1252">
        <v>8.9946269999999998E-4</v>
      </c>
    </row>
    <row r="19" spans="1:38" ht="18.75" customHeight="1" x14ac:dyDescent="0.2">
      <c r="A19" s="1273">
        <v>4</v>
      </c>
      <c r="B19" s="1274" t="s">
        <v>142</v>
      </c>
      <c r="C19" s="241" t="s">
        <v>46</v>
      </c>
      <c r="D19" s="241">
        <v>656</v>
      </c>
      <c r="E19" s="241" t="s">
        <v>481</v>
      </c>
      <c r="F19" s="241">
        <v>177.8</v>
      </c>
      <c r="G19" s="241" t="s">
        <v>28</v>
      </c>
      <c r="H19" s="241" t="s">
        <v>685</v>
      </c>
      <c r="I19" s="242">
        <v>544.29999999999995</v>
      </c>
      <c r="J19" s="1283">
        <v>150</v>
      </c>
      <c r="K19" s="241"/>
      <c r="L19" s="1277">
        <v>422</v>
      </c>
      <c r="M19" s="241"/>
      <c r="N19" s="1278">
        <v>3.7</v>
      </c>
      <c r="O19" s="241"/>
      <c r="P19" s="1278">
        <f t="shared" si="3"/>
        <v>15.147864771481853</v>
      </c>
      <c r="Q19" s="1278">
        <f>14*J19/100</f>
        <v>21</v>
      </c>
      <c r="R19" s="244">
        <v>5.593</v>
      </c>
      <c r="S19" s="244">
        <v>12.849</v>
      </c>
      <c r="T19" s="1277">
        <v>113.29600000000001</v>
      </c>
      <c r="U19" s="1278">
        <f t="shared" si="0"/>
        <v>20.256749508313966</v>
      </c>
      <c r="V19" s="1278">
        <f t="shared" si="4"/>
        <v>56.471320725348271</v>
      </c>
      <c r="W19" s="1279">
        <v>0.23</v>
      </c>
      <c r="X19" s="1284">
        <v>150</v>
      </c>
      <c r="Y19" s="244">
        <f t="shared" si="5"/>
        <v>0.61185714285714288</v>
      </c>
      <c r="Z19" s="244">
        <f t="shared" si="6"/>
        <v>5.5258839999999996</v>
      </c>
      <c r="AA19" s="244">
        <f t="shared" si="7"/>
        <v>12.694812000000001</v>
      </c>
      <c r="AB19" s="1277">
        <f t="shared" si="8"/>
        <v>111.936448</v>
      </c>
      <c r="AC19" s="244">
        <f t="shared" si="9"/>
        <v>20.256749508313966</v>
      </c>
      <c r="AD19" s="1277">
        <f t="shared" si="9"/>
        <v>56.471320725348271</v>
      </c>
      <c r="AE19" s="241">
        <f t="shared" si="10"/>
        <v>31</v>
      </c>
      <c r="AF19" s="244">
        <f t="shared" si="1"/>
        <v>171.302404</v>
      </c>
      <c r="AG19" s="1281"/>
      <c r="AI19" s="1282">
        <f t="shared" si="2"/>
        <v>15.147864771481853</v>
      </c>
      <c r="AJ19" s="1252">
        <v>0.89459999999999995</v>
      </c>
      <c r="AK19" s="1252">
        <v>1.018</v>
      </c>
      <c r="AL19" s="1252">
        <v>7.3450100000000003E-4</v>
      </c>
    </row>
    <row r="20" spans="1:38" s="1297" customFormat="1" ht="18.75" customHeight="1" x14ac:dyDescent="0.2">
      <c r="A20" s="1286">
        <v>5</v>
      </c>
      <c r="B20" s="1287" t="s">
        <v>143</v>
      </c>
      <c r="C20" s="1288" t="s">
        <v>46</v>
      </c>
      <c r="D20" s="1288">
        <v>576.62</v>
      </c>
      <c r="E20" s="1288" t="s">
        <v>70</v>
      </c>
      <c r="F20" s="1288">
        <v>177.8</v>
      </c>
      <c r="G20" s="1288" t="s">
        <v>28</v>
      </c>
      <c r="H20" s="1289" t="s">
        <v>587</v>
      </c>
      <c r="I20" s="1290">
        <v>548.32000000000005</v>
      </c>
      <c r="J20" s="1283">
        <v>120</v>
      </c>
      <c r="K20" s="1288"/>
      <c r="L20" s="1291">
        <v>432</v>
      </c>
      <c r="M20" s="1288"/>
      <c r="N20" s="1292">
        <v>3.5</v>
      </c>
      <c r="O20" s="1288"/>
      <c r="P20" s="1292">
        <f t="shared" si="3"/>
        <v>13.853414079261013</v>
      </c>
      <c r="Q20" s="1292">
        <f>RIGHT(H20,(FIND("T",H20,1)-0))*J20/100</f>
        <v>16.8</v>
      </c>
      <c r="R20" s="1293">
        <v>3.64</v>
      </c>
      <c r="S20" s="1293">
        <v>4.0270000000000001</v>
      </c>
      <c r="T20" s="1291">
        <v>48.555999999999997</v>
      </c>
      <c r="U20" s="1292">
        <f t="shared" si="0"/>
        <v>13.339560439560438</v>
      </c>
      <c r="V20" s="1292">
        <f t="shared" si="4"/>
        <v>9.6101316116215543</v>
      </c>
      <c r="W20" s="1294">
        <v>0.2</v>
      </c>
      <c r="X20" s="1295">
        <v>120</v>
      </c>
      <c r="Y20" s="1293">
        <f t="shared" si="5"/>
        <v>0.23970238095238094</v>
      </c>
      <c r="Z20" s="1293">
        <f t="shared" si="6"/>
        <v>3.59632</v>
      </c>
      <c r="AA20" s="1293">
        <f t="shared" si="7"/>
        <v>3.9786760000000001</v>
      </c>
      <c r="AB20" s="1291">
        <f t="shared" si="8"/>
        <v>47.973327999999995</v>
      </c>
      <c r="AC20" s="1293">
        <f t="shared" si="9"/>
        <v>13.339560439560438</v>
      </c>
      <c r="AD20" s="1291">
        <f t="shared" si="9"/>
        <v>9.6101316116215543</v>
      </c>
      <c r="AE20" s="1288">
        <f t="shared" si="10"/>
        <v>31</v>
      </c>
      <c r="AF20" s="1293">
        <f t="shared" si="1"/>
        <v>111.48591999999999</v>
      </c>
      <c r="AG20" s="1296"/>
      <c r="AI20" s="1298">
        <f t="shared" si="2"/>
        <v>13.853414079261013</v>
      </c>
      <c r="AJ20" s="1297">
        <v>0.90529999999999999</v>
      </c>
      <c r="AK20" s="1297">
        <v>1.02</v>
      </c>
      <c r="AL20" s="1297">
        <v>8.1276750000000011E-4</v>
      </c>
    </row>
    <row r="21" spans="1:38" ht="18.75" customHeight="1" x14ac:dyDescent="0.2">
      <c r="A21" s="1273">
        <v>6</v>
      </c>
      <c r="B21" s="1274" t="s">
        <v>144</v>
      </c>
      <c r="C21" s="241" t="s">
        <v>46</v>
      </c>
      <c r="D21" s="241">
        <v>648.48</v>
      </c>
      <c r="E21" s="241" t="s">
        <v>460</v>
      </c>
      <c r="F21" s="241">
        <v>177.8</v>
      </c>
      <c r="G21" s="241" t="s">
        <v>28</v>
      </c>
      <c r="H21" s="1299" t="s">
        <v>587</v>
      </c>
      <c r="I21" s="242">
        <v>563.03</v>
      </c>
      <c r="J21" s="1283">
        <v>135</v>
      </c>
      <c r="K21" s="241"/>
      <c r="L21" s="1277">
        <v>414</v>
      </c>
      <c r="M21" s="241"/>
      <c r="N21" s="1278">
        <v>0.7</v>
      </c>
      <c r="O21" s="241"/>
      <c r="P21" s="1278">
        <f t="shared" si="3"/>
        <v>14.510514247536685</v>
      </c>
      <c r="Q21" s="1278">
        <f>14*J21/100</f>
        <v>18.899999999999999</v>
      </c>
      <c r="R21" s="244">
        <v>4.9630000000000001</v>
      </c>
      <c r="S21" s="244">
        <v>6.8490000000000002</v>
      </c>
      <c r="T21" s="1277">
        <v>6.556</v>
      </c>
      <c r="U21" s="1278">
        <f t="shared" si="0"/>
        <v>1.3209752166028612</v>
      </c>
      <c r="V21" s="1278">
        <f t="shared" si="4"/>
        <v>27.536866695868014</v>
      </c>
      <c r="W21" s="1279">
        <v>0.2</v>
      </c>
      <c r="X21" s="1284">
        <v>135</v>
      </c>
      <c r="Y21" s="244">
        <f t="shared" si="5"/>
        <v>0.36238095238095241</v>
      </c>
      <c r="Z21" s="244">
        <f t="shared" si="6"/>
        <v>4.9034440000000004</v>
      </c>
      <c r="AA21" s="244">
        <f t="shared" si="7"/>
        <v>6.7668119999999998</v>
      </c>
      <c r="AB21" s="1277">
        <f t="shared" si="8"/>
        <v>6.477328</v>
      </c>
      <c r="AC21" s="244">
        <v>14.613</v>
      </c>
      <c r="AD21" s="1277">
        <f t="shared" ref="AD21:AD34" si="11">V21</f>
        <v>27.536866695868014</v>
      </c>
      <c r="AE21" s="241">
        <f t="shared" si="10"/>
        <v>31</v>
      </c>
      <c r="AF21" s="244">
        <f t="shared" si="1"/>
        <v>152.006764</v>
      </c>
      <c r="AG21" s="1281"/>
      <c r="AI21" s="1282">
        <f t="shared" si="2"/>
        <v>14.510514247536685</v>
      </c>
      <c r="AJ21" s="1252">
        <v>0.92600000000000005</v>
      </c>
      <c r="AK21" s="1252">
        <v>1.028</v>
      </c>
      <c r="AL21" s="1252">
        <v>1.1053638000000001E-3</v>
      </c>
    </row>
    <row r="22" spans="1:38" ht="18.75" customHeight="1" x14ac:dyDescent="0.2">
      <c r="A22" s="1273">
        <v>7</v>
      </c>
      <c r="B22" s="1274" t="s">
        <v>145</v>
      </c>
      <c r="C22" s="241" t="s">
        <v>46</v>
      </c>
      <c r="D22" s="241">
        <v>676.7</v>
      </c>
      <c r="E22" s="241" t="s">
        <v>72</v>
      </c>
      <c r="F22" s="241">
        <v>177.8</v>
      </c>
      <c r="G22" s="241" t="s">
        <v>28</v>
      </c>
      <c r="H22" s="241" t="s">
        <v>588</v>
      </c>
      <c r="I22" s="242">
        <v>557.91999999999996</v>
      </c>
      <c r="J22" s="1283">
        <v>310</v>
      </c>
      <c r="K22" s="241"/>
      <c r="L22" s="1277">
        <v>428</v>
      </c>
      <c r="M22" s="241"/>
      <c r="N22" s="1278">
        <v>1</v>
      </c>
      <c r="O22" s="241"/>
      <c r="P22" s="1278">
        <f t="shared" si="3"/>
        <v>12.696362107594023</v>
      </c>
      <c r="Q22" s="1278">
        <f>RIGHT(H22,(FIND("T",H22,1)-0))*J22/100</f>
        <v>43.4</v>
      </c>
      <c r="R22" s="244">
        <v>7.9980000000000002</v>
      </c>
      <c r="S22" s="244">
        <v>10.079000000000001</v>
      </c>
      <c r="T22" s="1277">
        <v>51.148000000000003</v>
      </c>
      <c r="U22" s="1278">
        <f t="shared" si="0"/>
        <v>6.3950987746936736</v>
      </c>
      <c r="V22" s="1278">
        <f t="shared" si="4"/>
        <v>20.646889572378218</v>
      </c>
      <c r="W22" s="1279">
        <v>0.2</v>
      </c>
      <c r="X22" s="1284">
        <v>310</v>
      </c>
      <c r="Y22" s="244">
        <f t="shared" si="5"/>
        <v>0.23223502304147467</v>
      </c>
      <c r="Z22" s="244">
        <f t="shared" si="6"/>
        <v>7.9020239999999999</v>
      </c>
      <c r="AA22" s="244">
        <f t="shared" si="7"/>
        <v>9.9580520000000003</v>
      </c>
      <c r="AB22" s="1277">
        <f t="shared" si="8"/>
        <v>50.534224000000002</v>
      </c>
      <c r="AC22" s="244">
        <f t="shared" ref="AC22:AC35" si="12">U22</f>
        <v>6.3950987746936736</v>
      </c>
      <c r="AD22" s="1277">
        <f t="shared" si="11"/>
        <v>20.646889572378218</v>
      </c>
      <c r="AE22" s="241">
        <f t="shared" si="10"/>
        <v>31</v>
      </c>
      <c r="AF22" s="244">
        <f t="shared" si="1"/>
        <v>244.96274399999999</v>
      </c>
      <c r="AG22" s="1281"/>
      <c r="AI22" s="1282">
        <f t="shared" si="2"/>
        <v>12.696362107594023</v>
      </c>
      <c r="AJ22" s="1252">
        <v>0.90329999999999999</v>
      </c>
      <c r="AK22" s="1252">
        <v>1.0209999999999999</v>
      </c>
      <c r="AL22" s="1252">
        <v>6.8874520000000001E-4</v>
      </c>
    </row>
    <row r="23" spans="1:38" ht="18.75" customHeight="1" x14ac:dyDescent="0.2">
      <c r="A23" s="1273">
        <v>8</v>
      </c>
      <c r="B23" s="1274" t="s">
        <v>146</v>
      </c>
      <c r="C23" s="241" t="s">
        <v>46</v>
      </c>
      <c r="D23" s="241">
        <v>567</v>
      </c>
      <c r="E23" s="1300" t="s">
        <v>572</v>
      </c>
      <c r="F23" s="241">
        <v>177.8</v>
      </c>
      <c r="G23" s="241" t="s">
        <v>28</v>
      </c>
      <c r="H23" s="241" t="s">
        <v>717</v>
      </c>
      <c r="I23" s="1301">
        <v>552.25</v>
      </c>
      <c r="J23" s="1283">
        <v>85</v>
      </c>
      <c r="K23" s="1302"/>
      <c r="L23" s="1277">
        <v>443</v>
      </c>
      <c r="M23" s="1302"/>
      <c r="N23" s="1278">
        <v>4.4000000000000004</v>
      </c>
      <c r="O23" s="1302"/>
      <c r="P23" s="1278">
        <f t="shared" si="3"/>
        <v>14.943707662489404</v>
      </c>
      <c r="Q23" s="1278">
        <f>RIGHT(H23,(FIND("T",H23,1)-0))*J23/100</f>
        <v>17</v>
      </c>
      <c r="R23" s="244">
        <v>3.117</v>
      </c>
      <c r="S23" s="244">
        <v>12.975</v>
      </c>
      <c r="T23" s="1277">
        <v>45.527999999999999</v>
      </c>
      <c r="U23" s="1278">
        <f t="shared" si="0"/>
        <v>14.606352261790182</v>
      </c>
      <c r="V23" s="1278">
        <f t="shared" si="4"/>
        <v>75.976878612716774</v>
      </c>
      <c r="W23" s="1279">
        <v>0.2</v>
      </c>
      <c r="X23" s="1284">
        <v>85</v>
      </c>
      <c r="Y23" s="244">
        <f t="shared" si="5"/>
        <v>0.76323529411764701</v>
      </c>
      <c r="Z23" s="244">
        <f t="shared" si="6"/>
        <v>3.079596</v>
      </c>
      <c r="AA23" s="244">
        <f t="shared" si="7"/>
        <v>12.8193</v>
      </c>
      <c r="AB23" s="1277">
        <f t="shared" si="8"/>
        <v>44.981663999999995</v>
      </c>
      <c r="AC23" s="244">
        <f t="shared" si="12"/>
        <v>14.606352261790182</v>
      </c>
      <c r="AD23" s="1277">
        <f t="shared" si="11"/>
        <v>75.976878612716774</v>
      </c>
      <c r="AE23" s="241">
        <f t="shared" si="10"/>
        <v>31</v>
      </c>
      <c r="AF23" s="244">
        <f t="shared" si="1"/>
        <v>95.467476000000005</v>
      </c>
      <c r="AG23" s="1281"/>
      <c r="AI23" s="1282">
        <f t="shared" si="2"/>
        <v>14.943707662489404</v>
      </c>
      <c r="AJ23" s="1252">
        <v>0.89549999999999996</v>
      </c>
      <c r="AK23" s="1252">
        <v>1.024</v>
      </c>
      <c r="AL23" s="1252">
        <v>9.1150370000000005E-4</v>
      </c>
    </row>
    <row r="24" spans="1:38" ht="18.75" customHeight="1" x14ac:dyDescent="0.2">
      <c r="A24" s="1273">
        <v>9</v>
      </c>
      <c r="B24" s="1274" t="s">
        <v>147</v>
      </c>
      <c r="C24" s="241" t="s">
        <v>46</v>
      </c>
      <c r="D24" s="241">
        <v>650.1</v>
      </c>
      <c r="E24" s="241" t="s">
        <v>74</v>
      </c>
      <c r="F24" s="241">
        <v>177.8</v>
      </c>
      <c r="G24" s="241" t="s">
        <v>28</v>
      </c>
      <c r="H24" s="241" t="s">
        <v>686</v>
      </c>
      <c r="I24" s="242">
        <v>569.48</v>
      </c>
      <c r="J24" s="1283">
        <v>150</v>
      </c>
      <c r="K24" s="241"/>
      <c r="L24" s="1277">
        <v>461</v>
      </c>
      <c r="M24" s="241"/>
      <c r="N24" s="1278">
        <v>3.2</v>
      </c>
      <c r="O24" s="241"/>
      <c r="P24" s="1278">
        <f t="shared" si="3"/>
        <v>13.531788337972184</v>
      </c>
      <c r="Q24" s="1278">
        <f>20*J24/100</f>
        <v>30</v>
      </c>
      <c r="R24" s="244">
        <v>5.4180000000000001</v>
      </c>
      <c r="S24" s="244">
        <v>15.178000000000001</v>
      </c>
      <c r="T24" s="1277">
        <v>89.444000000000003</v>
      </c>
      <c r="U24" s="1278">
        <f t="shared" si="0"/>
        <v>16.508674787744557</v>
      </c>
      <c r="V24" s="1278">
        <f t="shared" si="4"/>
        <v>64.303597311898812</v>
      </c>
      <c r="W24" s="1279">
        <v>0.2</v>
      </c>
      <c r="X24" s="1284">
        <v>150</v>
      </c>
      <c r="Y24" s="244">
        <f t="shared" si="5"/>
        <v>0.50593333333333335</v>
      </c>
      <c r="Z24" s="244">
        <f t="shared" si="6"/>
        <v>5.3529840000000002</v>
      </c>
      <c r="AA24" s="244">
        <f t="shared" si="7"/>
        <v>14.995864000000001</v>
      </c>
      <c r="AB24" s="1277">
        <f t="shared" si="8"/>
        <v>88.370671999999999</v>
      </c>
      <c r="AC24" s="244">
        <f t="shared" si="12"/>
        <v>16.508674787744557</v>
      </c>
      <c r="AD24" s="1277">
        <f t="shared" si="11"/>
        <v>64.303597311898812</v>
      </c>
      <c r="AE24" s="241">
        <f t="shared" si="10"/>
        <v>31</v>
      </c>
      <c r="AF24" s="244">
        <f t="shared" si="1"/>
        <v>165.94250400000001</v>
      </c>
      <c r="AG24" s="1281"/>
      <c r="AI24" s="1282">
        <f t="shared" si="2"/>
        <v>13.531788337972184</v>
      </c>
      <c r="AJ24" s="1252">
        <v>0.90690000000000004</v>
      </c>
      <c r="AK24" s="1252">
        <v>1.0209999999999999</v>
      </c>
      <c r="AL24" s="1252">
        <v>8.1276750000000011E-4</v>
      </c>
    </row>
    <row r="25" spans="1:38" ht="27" customHeight="1" x14ac:dyDescent="0.2">
      <c r="A25" s="1273">
        <v>10</v>
      </c>
      <c r="B25" s="1274" t="s">
        <v>148</v>
      </c>
      <c r="C25" s="241" t="s">
        <v>46</v>
      </c>
      <c r="D25" s="241">
        <v>640.20000000000005</v>
      </c>
      <c r="E25" s="241" t="s">
        <v>398</v>
      </c>
      <c r="F25" s="241">
        <v>177.8</v>
      </c>
      <c r="G25" s="241" t="s">
        <v>28</v>
      </c>
      <c r="H25" s="1404" t="s">
        <v>564</v>
      </c>
      <c r="I25" s="242">
        <v>564.11</v>
      </c>
      <c r="J25" s="1276">
        <v>160</v>
      </c>
      <c r="K25" s="241"/>
      <c r="L25" s="1277">
        <v>257</v>
      </c>
      <c r="M25" s="241"/>
      <c r="N25" s="1278">
        <v>0.2</v>
      </c>
      <c r="O25" s="241"/>
      <c r="P25" s="1278">
        <f t="shared" si="3"/>
        <v>29.496695440153239</v>
      </c>
      <c r="Q25" s="1278">
        <f>J25*7/100</f>
        <v>11.2</v>
      </c>
      <c r="R25" s="244">
        <v>1.8918999999999999</v>
      </c>
      <c r="S25" s="244">
        <v>5.3319999999999999</v>
      </c>
      <c r="T25" s="1277">
        <v>41.645000000000003</v>
      </c>
      <c r="U25" s="1278">
        <v>0</v>
      </c>
      <c r="V25" s="1278">
        <f t="shared" si="4"/>
        <v>64.518004501125276</v>
      </c>
      <c r="W25" s="1279">
        <v>0.2</v>
      </c>
      <c r="X25" s="1280">
        <v>160</v>
      </c>
      <c r="Y25" s="244">
        <f t="shared" si="5"/>
        <v>0.47607142857142859</v>
      </c>
      <c r="Z25" s="244">
        <f t="shared" si="6"/>
        <v>1.8691971999999999</v>
      </c>
      <c r="AA25" s="244">
        <f t="shared" si="7"/>
        <v>5.2680159999999994</v>
      </c>
      <c r="AB25" s="1277">
        <f t="shared" si="8"/>
        <v>41.14526</v>
      </c>
      <c r="AC25" s="244">
        <f t="shared" si="12"/>
        <v>0</v>
      </c>
      <c r="AD25" s="1277">
        <f t="shared" si="11"/>
        <v>64.518004501125276</v>
      </c>
      <c r="AE25" s="241">
        <f t="shared" si="10"/>
        <v>31</v>
      </c>
      <c r="AF25" s="244">
        <f t="shared" si="1"/>
        <v>57.945113199999994</v>
      </c>
      <c r="AG25" s="1281"/>
      <c r="AI25" s="1282">
        <f t="shared" si="2"/>
        <v>29.496695440153239</v>
      </c>
      <c r="AJ25" s="1252">
        <v>0.90039999999999998</v>
      </c>
      <c r="AK25" s="1252">
        <v>1.0309999999999999</v>
      </c>
      <c r="AL25" s="1252">
        <v>7.7447712000000004E-4</v>
      </c>
    </row>
    <row r="26" spans="1:38" ht="18.75" customHeight="1" x14ac:dyDescent="0.2">
      <c r="A26" s="1273">
        <v>11</v>
      </c>
      <c r="B26" s="1274" t="s">
        <v>149</v>
      </c>
      <c r="C26" s="241" t="s">
        <v>46</v>
      </c>
      <c r="D26" s="241">
        <v>606.29999999999995</v>
      </c>
      <c r="E26" s="241" t="s">
        <v>76</v>
      </c>
      <c r="F26" s="241">
        <v>177.8</v>
      </c>
      <c r="G26" s="241" t="s">
        <v>28</v>
      </c>
      <c r="H26" s="241" t="s">
        <v>487</v>
      </c>
      <c r="I26" s="242">
        <v>593.29</v>
      </c>
      <c r="J26" s="1283">
        <v>300</v>
      </c>
      <c r="K26" s="241"/>
      <c r="L26" s="1277">
        <v>439</v>
      </c>
      <c r="M26" s="241"/>
      <c r="N26" s="1278">
        <v>1.4</v>
      </c>
      <c r="O26" s="241"/>
      <c r="P26" s="1278">
        <f t="shared" si="3"/>
        <v>16.640097422519649</v>
      </c>
      <c r="Q26" s="1278">
        <f>(13/100)*J26</f>
        <v>39</v>
      </c>
      <c r="R26" s="244">
        <v>1.29</v>
      </c>
      <c r="S26" s="244">
        <v>6.04</v>
      </c>
      <c r="T26" s="1277">
        <v>37.704000000000001</v>
      </c>
      <c r="U26" s="1278">
        <f t="shared" si="0"/>
        <v>29.227906976744187</v>
      </c>
      <c r="V26" s="1278">
        <f t="shared" si="4"/>
        <v>78.642384105960261</v>
      </c>
      <c r="W26" s="1279">
        <v>0.27</v>
      </c>
      <c r="X26" s="1284">
        <v>300</v>
      </c>
      <c r="Y26" s="244">
        <f t="shared" si="5"/>
        <v>0.15487179487179487</v>
      </c>
      <c r="Z26" s="244">
        <f t="shared" si="6"/>
        <v>1.2745200000000001</v>
      </c>
      <c r="AA26" s="244">
        <f t="shared" si="7"/>
        <v>5.9675200000000004</v>
      </c>
      <c r="AB26" s="1277">
        <f t="shared" si="8"/>
        <v>37.251551999999997</v>
      </c>
      <c r="AC26" s="244">
        <f t="shared" si="12"/>
        <v>29.227906976744187</v>
      </c>
      <c r="AD26" s="1277">
        <f t="shared" si="11"/>
        <v>78.642384105960261</v>
      </c>
      <c r="AE26" s="241">
        <f t="shared" si="10"/>
        <v>31</v>
      </c>
      <c r="AF26" s="244">
        <f t="shared" ref="AF26:AF60" si="13">Z26*AE26</f>
        <v>39.510120000000001</v>
      </c>
      <c r="AG26" s="1285"/>
      <c r="AI26" s="1282">
        <f t="shared" si="2"/>
        <v>16.640097422519649</v>
      </c>
      <c r="AJ26" s="1252">
        <v>0.91620000000000001</v>
      </c>
      <c r="AK26" s="1252">
        <v>1.0449999999999999</v>
      </c>
      <c r="AL26" s="1252">
        <v>9.6207590000000004E-4</v>
      </c>
    </row>
    <row r="27" spans="1:38" ht="18.75" customHeight="1" x14ac:dyDescent="0.2">
      <c r="A27" s="1273">
        <v>12</v>
      </c>
      <c r="B27" s="1274" t="s">
        <v>151</v>
      </c>
      <c r="C27" s="241" t="s">
        <v>46</v>
      </c>
      <c r="D27" s="241">
        <v>675.42</v>
      </c>
      <c r="E27" s="242" t="s">
        <v>298</v>
      </c>
      <c r="F27" s="241">
        <v>177.8</v>
      </c>
      <c r="G27" s="241" t="s">
        <v>28</v>
      </c>
      <c r="H27" s="1299" t="s">
        <v>687</v>
      </c>
      <c r="I27" s="242">
        <v>558.21</v>
      </c>
      <c r="J27" s="1276">
        <v>85</v>
      </c>
      <c r="K27" s="241"/>
      <c r="L27" s="1277">
        <v>274</v>
      </c>
      <c r="M27" s="241"/>
      <c r="N27" s="1278">
        <v>1.9</v>
      </c>
      <c r="O27" s="241"/>
      <c r="P27" s="1278">
        <f t="shared" si="3"/>
        <v>29.512514731183465</v>
      </c>
      <c r="Q27" s="1278">
        <f>20*J27/100</f>
        <v>17</v>
      </c>
      <c r="R27" s="244">
        <v>2.3340000000000001</v>
      </c>
      <c r="S27" s="244">
        <v>16.55</v>
      </c>
      <c r="T27" s="1277">
        <v>14.185</v>
      </c>
      <c r="U27" s="1278">
        <f t="shared" si="0"/>
        <v>6.0775492716366752</v>
      </c>
      <c r="V27" s="1278">
        <f t="shared" si="4"/>
        <v>85.897280966767369</v>
      </c>
      <c r="W27" s="1279">
        <v>0.2</v>
      </c>
      <c r="X27" s="1280">
        <v>85</v>
      </c>
      <c r="Y27" s="244">
        <f t="shared" si="5"/>
        <v>0.97352941176470598</v>
      </c>
      <c r="Z27" s="244">
        <f t="shared" si="6"/>
        <v>2.3059920000000003</v>
      </c>
      <c r="AA27" s="244">
        <f t="shared" si="7"/>
        <v>16.351400000000002</v>
      </c>
      <c r="AB27" s="1277">
        <f t="shared" si="8"/>
        <v>14.01478</v>
      </c>
      <c r="AC27" s="244">
        <f t="shared" si="12"/>
        <v>6.0775492716366752</v>
      </c>
      <c r="AD27" s="1277">
        <f t="shared" si="11"/>
        <v>85.897280966767369</v>
      </c>
      <c r="AE27" s="241">
        <f t="shared" si="10"/>
        <v>31</v>
      </c>
      <c r="AF27" s="244">
        <f>Z27*AE27</f>
        <v>71.485752000000005</v>
      </c>
      <c r="AG27" s="1285"/>
      <c r="AI27" s="1282">
        <f t="shared" si="2"/>
        <v>29.512514731183465</v>
      </c>
      <c r="AJ27" s="1252">
        <v>0.93420000000000003</v>
      </c>
      <c r="AK27" s="1252">
        <v>1.014</v>
      </c>
      <c r="AL27" s="1252">
        <v>7.7447712000000004E-4</v>
      </c>
    </row>
    <row r="28" spans="1:38" ht="18.75" customHeight="1" x14ac:dyDescent="0.2">
      <c r="A28" s="1273">
        <v>13</v>
      </c>
      <c r="B28" s="1274" t="s">
        <v>36</v>
      </c>
      <c r="C28" s="241" t="s">
        <v>46</v>
      </c>
      <c r="D28" s="241">
        <v>584.42999999999995</v>
      </c>
      <c r="E28" s="242" t="s">
        <v>79</v>
      </c>
      <c r="F28" s="241">
        <v>177.8</v>
      </c>
      <c r="G28" s="241" t="s">
        <v>28</v>
      </c>
      <c r="H28" s="1299" t="s">
        <v>565</v>
      </c>
      <c r="I28" s="242">
        <v>526.29</v>
      </c>
      <c r="J28" s="1276">
        <v>290</v>
      </c>
      <c r="K28" s="241"/>
      <c r="L28" s="1277">
        <v>275</v>
      </c>
      <c r="M28" s="241"/>
      <c r="N28" s="1278">
        <v>3.7</v>
      </c>
      <c r="O28" s="241"/>
      <c r="P28" s="1278">
        <f t="shared" si="3"/>
        <v>28.036028501736759</v>
      </c>
      <c r="Q28" s="1278">
        <f>LEFT(H28,(FIND("E",H28,1)-1))*J28/100</f>
        <v>92.8</v>
      </c>
      <c r="R28" s="244">
        <v>12.997999999999999</v>
      </c>
      <c r="S28" s="244">
        <v>71.31</v>
      </c>
      <c r="T28" s="1277">
        <v>205.11099999999999</v>
      </c>
      <c r="U28" s="1278">
        <f t="shared" si="0"/>
        <v>15.780196953377443</v>
      </c>
      <c r="V28" s="1278">
        <f t="shared" si="4"/>
        <v>81.772542420417892</v>
      </c>
      <c r="W28" s="1279">
        <v>0.2</v>
      </c>
      <c r="X28" s="1280">
        <v>290</v>
      </c>
      <c r="Y28" s="244">
        <f t="shared" si="5"/>
        <v>0.76842672413793112</v>
      </c>
      <c r="Z28" s="244">
        <f t="shared" si="6"/>
        <v>12.842023999999999</v>
      </c>
      <c r="AA28" s="244">
        <f t="shared" si="7"/>
        <v>70.454279999999997</v>
      </c>
      <c r="AB28" s="1277">
        <f t="shared" si="8"/>
        <v>202.64966799999999</v>
      </c>
      <c r="AC28" s="244">
        <f t="shared" si="12"/>
        <v>15.780196953377443</v>
      </c>
      <c r="AD28" s="1277">
        <f t="shared" si="11"/>
        <v>81.772542420417892</v>
      </c>
      <c r="AE28" s="241">
        <f t="shared" si="10"/>
        <v>31</v>
      </c>
      <c r="AF28" s="244">
        <f>Z28*AE28</f>
        <v>398.10274399999997</v>
      </c>
      <c r="AG28" s="1281"/>
      <c r="AI28" s="1282">
        <f t="shared" si="2"/>
        <v>28.036028501736759</v>
      </c>
      <c r="AJ28" s="1252">
        <v>0.88449999999999995</v>
      </c>
      <c r="AK28" s="1252">
        <v>1.0249999999999999</v>
      </c>
      <c r="AL28" s="1252">
        <v>8.1397160000000013E-4</v>
      </c>
    </row>
    <row r="29" spans="1:38" ht="18.75" customHeight="1" x14ac:dyDescent="0.2">
      <c r="A29" s="1273">
        <v>14</v>
      </c>
      <c r="B29" s="1274" t="s">
        <v>152</v>
      </c>
      <c r="C29" s="241" t="s">
        <v>46</v>
      </c>
      <c r="D29" s="241">
        <v>564.97999999999979</v>
      </c>
      <c r="E29" s="242" t="s">
        <v>80</v>
      </c>
      <c r="F29" s="241">
        <v>177.8</v>
      </c>
      <c r="G29" s="241" t="s">
        <v>28</v>
      </c>
      <c r="H29" s="244" t="s">
        <v>589</v>
      </c>
      <c r="I29" s="1301">
        <v>519.30999999999995</v>
      </c>
      <c r="J29" s="1283">
        <v>280</v>
      </c>
      <c r="K29" s="241"/>
      <c r="L29" s="1277">
        <v>448</v>
      </c>
      <c r="M29" s="241"/>
      <c r="N29" s="1278">
        <v>5</v>
      </c>
      <c r="O29" s="241"/>
      <c r="P29" s="1278">
        <f t="shared" si="3"/>
        <v>11.682202372602029</v>
      </c>
      <c r="Q29" s="1278">
        <f>RIGHT(H29,(FIND("T",H29,1)-0))*J29/100</f>
        <v>56</v>
      </c>
      <c r="R29" s="244">
        <v>11.852</v>
      </c>
      <c r="S29" s="244">
        <v>27.004000000000001</v>
      </c>
      <c r="T29" s="1277">
        <v>471.07400000000001</v>
      </c>
      <c r="U29" s="1278">
        <f t="shared" si="0"/>
        <v>39.746371920350995</v>
      </c>
      <c r="V29" s="1278">
        <f t="shared" si="4"/>
        <v>56.110205895422908</v>
      </c>
      <c r="W29" s="1279">
        <v>0.2</v>
      </c>
      <c r="X29" s="1284">
        <v>280</v>
      </c>
      <c r="Y29" s="244">
        <f t="shared" si="5"/>
        <v>0.48221428571428576</v>
      </c>
      <c r="Z29" s="244">
        <f t="shared" si="6"/>
        <v>11.709776</v>
      </c>
      <c r="AA29" s="244">
        <f t="shared" si="7"/>
        <v>26.679952</v>
      </c>
      <c r="AB29" s="1277">
        <f t="shared" si="8"/>
        <v>465.42111199999999</v>
      </c>
      <c r="AC29" s="244">
        <f t="shared" si="12"/>
        <v>39.746371920350995</v>
      </c>
      <c r="AD29" s="1277">
        <f t="shared" si="11"/>
        <v>56.110205895422908</v>
      </c>
      <c r="AE29" s="241">
        <f t="shared" si="10"/>
        <v>31</v>
      </c>
      <c r="AF29" s="244">
        <f t="shared" si="13"/>
        <v>363.00305600000002</v>
      </c>
      <c r="AG29" s="1281"/>
      <c r="AI29" s="1282">
        <f t="shared" si="2"/>
        <v>11.682202372602029</v>
      </c>
      <c r="AJ29" s="1252">
        <v>0.87939999999999996</v>
      </c>
      <c r="AK29" s="1252">
        <v>1.0269999999999999</v>
      </c>
      <c r="AL29" s="1252">
        <v>8.9946269999999998E-4</v>
      </c>
    </row>
    <row r="30" spans="1:38" ht="18.75" customHeight="1" x14ac:dyDescent="0.2">
      <c r="A30" s="1273">
        <v>15</v>
      </c>
      <c r="B30" s="1274" t="s">
        <v>37</v>
      </c>
      <c r="C30" s="241" t="s">
        <v>46</v>
      </c>
      <c r="D30" s="241">
        <v>670</v>
      </c>
      <c r="E30" s="241" t="s">
        <v>81</v>
      </c>
      <c r="F30" s="241">
        <v>177.8</v>
      </c>
      <c r="G30" s="241" t="s">
        <v>28</v>
      </c>
      <c r="H30" s="1299" t="s">
        <v>48</v>
      </c>
      <c r="I30" s="242">
        <v>569.99</v>
      </c>
      <c r="J30" s="1276">
        <v>220</v>
      </c>
      <c r="K30" s="241"/>
      <c r="L30" s="1277">
        <v>436</v>
      </c>
      <c r="M30" s="241"/>
      <c r="N30" s="1278">
        <v>4.4000000000000004</v>
      </c>
      <c r="O30" s="241"/>
      <c r="P30" s="1278">
        <f t="shared" si="3"/>
        <v>17.307169167542114</v>
      </c>
      <c r="Q30" s="1278">
        <f>LEFT(H30,(FIND("K",H30,1)-1))*J30/100</f>
        <v>28.6</v>
      </c>
      <c r="R30" s="244">
        <v>5.484</v>
      </c>
      <c r="S30" s="244">
        <v>18.257000000000001</v>
      </c>
      <c r="T30" s="1277">
        <v>121.444</v>
      </c>
      <c r="U30" s="1278">
        <f t="shared" si="0"/>
        <v>22.145149525893508</v>
      </c>
      <c r="V30" s="1278">
        <f t="shared" si="4"/>
        <v>69.96220627704443</v>
      </c>
      <c r="W30" s="1279">
        <v>0.2</v>
      </c>
      <c r="X30" s="1280">
        <v>220</v>
      </c>
      <c r="Y30" s="244">
        <f t="shared" si="5"/>
        <v>0.63835664335664333</v>
      </c>
      <c r="Z30" s="244">
        <f t="shared" si="6"/>
        <v>5.4181920000000003</v>
      </c>
      <c r="AA30" s="244">
        <f t="shared" si="7"/>
        <v>18.037916000000003</v>
      </c>
      <c r="AB30" s="1277">
        <f t="shared" si="8"/>
        <v>119.986672</v>
      </c>
      <c r="AC30" s="244">
        <f t="shared" si="12"/>
        <v>22.145149525893508</v>
      </c>
      <c r="AD30" s="1277">
        <f t="shared" si="11"/>
        <v>69.96220627704443</v>
      </c>
      <c r="AE30" s="241">
        <f t="shared" si="10"/>
        <v>31</v>
      </c>
      <c r="AF30" s="244">
        <f>Z30*AE30</f>
        <v>167.96395200000001</v>
      </c>
      <c r="AG30" s="1285"/>
      <c r="AI30" s="1282">
        <f t="shared" si="2"/>
        <v>17.307169167542114</v>
      </c>
      <c r="AJ30" s="1252">
        <v>0.91949999999999998</v>
      </c>
      <c r="AK30" s="1252">
        <v>1.024</v>
      </c>
      <c r="AL30" s="1252">
        <v>7.2245999999999996E-4</v>
      </c>
    </row>
    <row r="31" spans="1:38" ht="18.75" customHeight="1" x14ac:dyDescent="0.2">
      <c r="A31" s="1273">
        <v>16</v>
      </c>
      <c r="B31" s="1274" t="s">
        <v>153</v>
      </c>
      <c r="C31" s="1274" t="s">
        <v>46</v>
      </c>
      <c r="D31" s="1274">
        <v>574.61</v>
      </c>
      <c r="E31" s="1274" t="s">
        <v>688</v>
      </c>
      <c r="F31" s="1274">
        <v>177.8</v>
      </c>
      <c r="G31" s="1274" t="s">
        <v>28</v>
      </c>
      <c r="H31" s="1299" t="s">
        <v>589</v>
      </c>
      <c r="I31" s="1274">
        <v>541.78</v>
      </c>
      <c r="J31" s="1304">
        <v>145</v>
      </c>
      <c r="K31" s="1274"/>
      <c r="L31" s="1305">
        <v>42</v>
      </c>
      <c r="M31" s="1274"/>
      <c r="N31" s="1306">
        <v>0.1</v>
      </c>
      <c r="O31" s="1274"/>
      <c r="P31" s="1278">
        <f t="shared" si="3"/>
        <v>48.838786501692596</v>
      </c>
      <c r="Q31" s="1278">
        <f>RIGHT(H31,(FIND("T",H31,1)-0))*J31/100</f>
        <v>29</v>
      </c>
      <c r="R31" s="1307">
        <v>1.3839999999999999</v>
      </c>
      <c r="S31" s="244">
        <v>10.932</v>
      </c>
      <c r="T31" s="1305">
        <v>148</v>
      </c>
      <c r="U31" s="1278">
        <f t="shared" si="0"/>
        <v>106.93641618497111</v>
      </c>
      <c r="V31" s="1278">
        <f t="shared" si="4"/>
        <v>87.339919502378336</v>
      </c>
      <c r="W31" s="1308">
        <v>0.24</v>
      </c>
      <c r="X31" s="1309">
        <v>145</v>
      </c>
      <c r="Y31" s="244">
        <f t="shared" si="5"/>
        <v>0.37696551724137933</v>
      </c>
      <c r="Z31" s="244">
        <f t="shared" si="6"/>
        <v>1.3673919999999999</v>
      </c>
      <c r="AA31" s="244">
        <f t="shared" si="7"/>
        <v>10.800816000000001</v>
      </c>
      <c r="AB31" s="1277">
        <f t="shared" si="8"/>
        <v>146.22399999999999</v>
      </c>
      <c r="AC31" s="1307">
        <f t="shared" si="12"/>
        <v>106.93641618497111</v>
      </c>
      <c r="AD31" s="1305">
        <f t="shared" si="11"/>
        <v>87.339919502378336</v>
      </c>
      <c r="AE31" s="241">
        <f>(DAY(EOMONTH($AH$14,0))-AH31)</f>
        <v>31</v>
      </c>
      <c r="AF31" s="1307">
        <f>Z31*AE31</f>
        <v>42.389151999999996</v>
      </c>
      <c r="AG31" s="1310"/>
      <c r="AI31" s="1282">
        <f t="shared" si="2"/>
        <v>48.838786501692596</v>
      </c>
      <c r="AJ31" s="1252">
        <v>0.90500000000000003</v>
      </c>
      <c r="AK31" s="1252">
        <v>1.022</v>
      </c>
      <c r="AL31" s="1252">
        <v>9.1150370000000005E-4</v>
      </c>
    </row>
    <row r="32" spans="1:38" ht="18.600000000000001" customHeight="1" x14ac:dyDescent="0.2">
      <c r="A32" s="1273">
        <v>17</v>
      </c>
      <c r="B32" s="1274" t="s">
        <v>154</v>
      </c>
      <c r="C32" s="1274" t="s">
        <v>46</v>
      </c>
      <c r="D32" s="1311">
        <v>644.79999999999995</v>
      </c>
      <c r="E32" s="1300" t="s">
        <v>421</v>
      </c>
      <c r="F32" s="241">
        <v>177.8</v>
      </c>
      <c r="G32" s="241" t="s">
        <v>28</v>
      </c>
      <c r="H32" s="1299" t="s">
        <v>687</v>
      </c>
      <c r="I32" s="1301">
        <v>562.54999999999995</v>
      </c>
      <c r="J32" s="1283">
        <v>95</v>
      </c>
      <c r="K32" s="241"/>
      <c r="L32" s="1277">
        <v>434</v>
      </c>
      <c r="M32" s="241"/>
      <c r="N32" s="1278">
        <v>1.9</v>
      </c>
      <c r="O32" s="241"/>
      <c r="P32" s="1278">
        <f t="shared" si="3"/>
        <v>14.150515467968397</v>
      </c>
      <c r="Q32" s="1278">
        <f>20*J32/100</f>
        <v>19</v>
      </c>
      <c r="R32" s="244">
        <v>3.4279999999999999</v>
      </c>
      <c r="S32" s="244">
        <v>10.404999999999999</v>
      </c>
      <c r="T32" s="1277">
        <v>45.814999999999998</v>
      </c>
      <c r="U32" s="1278">
        <f t="shared" si="0"/>
        <v>13.364935822637106</v>
      </c>
      <c r="V32" s="1278">
        <f t="shared" si="4"/>
        <v>67.054300816914946</v>
      </c>
      <c r="W32" s="1279">
        <v>0.2</v>
      </c>
      <c r="X32" s="1284">
        <v>95</v>
      </c>
      <c r="Y32" s="244">
        <f t="shared" si="5"/>
        <v>0.54763157894736836</v>
      </c>
      <c r="Z32" s="244">
        <f t="shared" si="6"/>
        <v>3.3868640000000001</v>
      </c>
      <c r="AA32" s="244">
        <f t="shared" si="7"/>
        <v>10.280139999999999</v>
      </c>
      <c r="AB32" s="1277">
        <f t="shared" si="8"/>
        <v>45.265219999999999</v>
      </c>
      <c r="AC32" s="1307">
        <f t="shared" si="12"/>
        <v>13.364935822637106</v>
      </c>
      <c r="AD32" s="1305">
        <f t="shared" si="11"/>
        <v>67.054300816914946</v>
      </c>
      <c r="AE32" s="241">
        <f t="shared" si="10"/>
        <v>31</v>
      </c>
      <c r="AF32" s="1307">
        <f>Z32*AE32</f>
        <v>104.992784</v>
      </c>
      <c r="AG32" s="1281"/>
      <c r="AI32" s="1282">
        <f t="shared" si="2"/>
        <v>14.150515467968397</v>
      </c>
      <c r="AJ32" s="1252">
        <v>0.88390000000000002</v>
      </c>
      <c r="AK32" s="1252">
        <v>1.03</v>
      </c>
      <c r="AL32" s="1252">
        <v>7.2245999999999996E-4</v>
      </c>
    </row>
    <row r="33" spans="1:38" ht="18.75" customHeight="1" x14ac:dyDescent="0.2">
      <c r="A33" s="1273">
        <v>18</v>
      </c>
      <c r="B33" s="1274" t="s">
        <v>38</v>
      </c>
      <c r="C33" s="241" t="s">
        <v>46</v>
      </c>
      <c r="D33" s="1278">
        <v>580</v>
      </c>
      <c r="E33" s="241" t="s">
        <v>84</v>
      </c>
      <c r="F33" s="241">
        <v>177.8</v>
      </c>
      <c r="G33" s="241" t="s">
        <v>28</v>
      </c>
      <c r="H33" s="1299" t="s">
        <v>466</v>
      </c>
      <c r="I33" s="242">
        <v>564.05999999999995</v>
      </c>
      <c r="J33" s="1283">
        <v>260</v>
      </c>
      <c r="K33" s="241"/>
      <c r="L33" s="1277">
        <v>510</v>
      </c>
      <c r="M33" s="241"/>
      <c r="N33" s="1278">
        <v>0.3</v>
      </c>
      <c r="O33" s="241"/>
      <c r="P33" s="1278">
        <f t="shared" si="3"/>
        <v>5.4853681620508183</v>
      </c>
      <c r="Q33" s="1278">
        <f>LEFT(H33,(FIND("E",H33,1)-1))*J33/100</f>
        <v>33.799999999999997</v>
      </c>
      <c r="R33" s="244">
        <v>3.61</v>
      </c>
      <c r="S33" s="244">
        <v>10.698</v>
      </c>
      <c r="T33" s="1277">
        <v>6.7039999999999997</v>
      </c>
      <c r="U33" s="1278">
        <f t="shared" si="0"/>
        <v>1.8570637119113573</v>
      </c>
      <c r="V33" s="1278">
        <f t="shared" si="4"/>
        <v>66.255374836418028</v>
      </c>
      <c r="W33" s="1279">
        <v>0.2</v>
      </c>
      <c r="X33" s="1284">
        <v>260</v>
      </c>
      <c r="Y33" s="244">
        <f t="shared" si="5"/>
        <v>0.31650887573964503</v>
      </c>
      <c r="Z33" s="244">
        <f t="shared" si="6"/>
        <v>3.5666799999999999</v>
      </c>
      <c r="AA33" s="244">
        <f t="shared" si="7"/>
        <v>10.569624000000001</v>
      </c>
      <c r="AB33" s="1277">
        <f t="shared" si="8"/>
        <v>6.6235520000000001</v>
      </c>
      <c r="AC33" s="244">
        <f t="shared" si="12"/>
        <v>1.8570637119113573</v>
      </c>
      <c r="AD33" s="1305">
        <f t="shared" si="11"/>
        <v>66.255374836418028</v>
      </c>
      <c r="AE33" s="241">
        <f t="shared" si="10"/>
        <v>31</v>
      </c>
      <c r="AF33" s="244">
        <f t="shared" si="13"/>
        <v>110.56707999999999</v>
      </c>
      <c r="AG33" s="1281"/>
      <c r="AI33" s="1282">
        <f t="shared" si="2"/>
        <v>5.4853681620508183</v>
      </c>
      <c r="AJ33" s="1252">
        <v>0.91639999999999999</v>
      </c>
      <c r="AK33" s="1252">
        <v>1.0169999999999999</v>
      </c>
      <c r="AL33" s="1252">
        <v>8.1276750000000011E-4</v>
      </c>
    </row>
    <row r="34" spans="1:38" s="1297" customFormat="1" ht="18.75" customHeight="1" x14ac:dyDescent="0.2">
      <c r="A34" s="1286">
        <v>19</v>
      </c>
      <c r="B34" s="1287" t="s">
        <v>39</v>
      </c>
      <c r="C34" s="1288" t="s">
        <v>46</v>
      </c>
      <c r="D34" s="1288">
        <v>575.26</v>
      </c>
      <c r="E34" s="1288" t="s">
        <v>411</v>
      </c>
      <c r="F34" s="1288">
        <v>177.8</v>
      </c>
      <c r="G34" s="1288" t="s">
        <v>28</v>
      </c>
      <c r="H34" s="1289" t="s">
        <v>588</v>
      </c>
      <c r="I34" s="1290">
        <v>551</v>
      </c>
      <c r="J34" s="1276">
        <v>180</v>
      </c>
      <c r="K34" s="1288"/>
      <c r="L34" s="1291">
        <v>471</v>
      </c>
      <c r="M34" s="1288"/>
      <c r="N34" s="1292">
        <v>3</v>
      </c>
      <c r="O34" s="1288"/>
      <c r="P34" s="1292">
        <f t="shared" si="3"/>
        <v>10.378787058577995</v>
      </c>
      <c r="Q34" s="1292">
        <f>14*J34/100</f>
        <v>25.2</v>
      </c>
      <c r="R34" s="1293">
        <v>4.9059999999999997</v>
      </c>
      <c r="S34" s="1293">
        <v>9.1259999999999994</v>
      </c>
      <c r="T34" s="1291">
        <v>32.593000000000004</v>
      </c>
      <c r="U34" s="1292">
        <f t="shared" si="0"/>
        <v>6.6434977578475349</v>
      </c>
      <c r="V34" s="1292">
        <f t="shared" si="4"/>
        <v>46.241507779969318</v>
      </c>
      <c r="W34" s="1294">
        <v>0.2</v>
      </c>
      <c r="X34" s="1312">
        <v>160</v>
      </c>
      <c r="Y34" s="1293">
        <f t="shared" si="5"/>
        <v>0.36214285714285716</v>
      </c>
      <c r="Z34" s="1293">
        <f t="shared" si="6"/>
        <v>4.8471279999999997</v>
      </c>
      <c r="AA34" s="1293">
        <f t="shared" si="7"/>
        <v>9.0164879999999989</v>
      </c>
      <c r="AB34" s="1291">
        <f t="shared" si="8"/>
        <v>32.201884</v>
      </c>
      <c r="AC34" s="1293">
        <f t="shared" si="12"/>
        <v>6.6434977578475349</v>
      </c>
      <c r="AD34" s="1313">
        <f t="shared" si="11"/>
        <v>46.241507779969318</v>
      </c>
      <c r="AE34" s="1288">
        <f t="shared" si="10"/>
        <v>31</v>
      </c>
      <c r="AF34" s="1293">
        <f t="shared" si="13"/>
        <v>150.26096799999999</v>
      </c>
      <c r="AG34" s="1411" t="s">
        <v>718</v>
      </c>
      <c r="AI34" s="1298">
        <f t="shared" si="2"/>
        <v>10.378787058577995</v>
      </c>
      <c r="AJ34" s="1297">
        <v>0.88239999999999996</v>
      </c>
      <c r="AK34" s="1297">
        <v>1.024</v>
      </c>
      <c r="AL34" s="1297">
        <v>8.1397160000000013E-4</v>
      </c>
    </row>
    <row r="35" spans="1:38" ht="18.75" customHeight="1" x14ac:dyDescent="0.2">
      <c r="A35" s="1273">
        <v>20</v>
      </c>
      <c r="B35" s="1274" t="s">
        <v>40</v>
      </c>
      <c r="C35" s="241" t="s">
        <v>46</v>
      </c>
      <c r="D35" s="241">
        <v>604.16999999999996</v>
      </c>
      <c r="E35" s="241" t="s">
        <v>689</v>
      </c>
      <c r="F35" s="241">
        <v>177.8</v>
      </c>
      <c r="G35" s="241" t="s">
        <v>28</v>
      </c>
      <c r="H35" s="241" t="s">
        <v>592</v>
      </c>
      <c r="I35" s="242">
        <v>565.36</v>
      </c>
      <c r="J35" s="1283">
        <v>100</v>
      </c>
      <c r="K35" s="241"/>
      <c r="L35" s="1277">
        <v>408</v>
      </c>
      <c r="M35" s="241"/>
      <c r="N35" s="1278">
        <v>5.0999999999999996</v>
      </c>
      <c r="O35" s="241"/>
      <c r="P35" s="1278">
        <f t="shared" si="3"/>
        <v>20.25926760246854</v>
      </c>
      <c r="Q35" s="1278">
        <f>RIGHT(H35,(FIND("T",H35,1)-0))*J35/100</f>
        <v>14</v>
      </c>
      <c r="R35" s="244">
        <v>2.4449999999999998</v>
      </c>
      <c r="S35" s="244">
        <v>11.632</v>
      </c>
      <c r="T35" s="1277">
        <v>54.148000000000003</v>
      </c>
      <c r="U35" s="1278">
        <f>IF(R35=0,0,T35/R35)</f>
        <v>22.146421267893665</v>
      </c>
      <c r="V35" s="1278">
        <f t="shared" si="4"/>
        <v>78.980398899587342</v>
      </c>
      <c r="W35" s="1279">
        <v>0.2</v>
      </c>
      <c r="X35" s="1284">
        <v>100</v>
      </c>
      <c r="Y35" s="244">
        <f t="shared" si="5"/>
        <v>0.83085714285714285</v>
      </c>
      <c r="Z35" s="244">
        <f t="shared" si="6"/>
        <v>2.4156599999999999</v>
      </c>
      <c r="AA35" s="244">
        <f t="shared" si="7"/>
        <v>11.492416</v>
      </c>
      <c r="AB35" s="1277">
        <f t="shared" si="8"/>
        <v>53.498224</v>
      </c>
      <c r="AC35" s="244">
        <f t="shared" si="12"/>
        <v>22.146421267893665</v>
      </c>
      <c r="AD35" s="1305">
        <v>70</v>
      </c>
      <c r="AE35" s="241">
        <f t="shared" si="10"/>
        <v>31</v>
      </c>
      <c r="AF35" s="244">
        <f>Z35*AE35</f>
        <v>74.885459999999995</v>
      </c>
      <c r="AG35" s="1285"/>
      <c r="AI35" s="1282">
        <f t="shared" si="2"/>
        <v>20.25926760246854</v>
      </c>
      <c r="AJ35" s="1252">
        <v>0.91810000000000003</v>
      </c>
      <c r="AK35" s="1252">
        <v>1.0129999999999999</v>
      </c>
      <c r="AL35" s="1252">
        <v>7.5858300000000007E-4</v>
      </c>
    </row>
    <row r="36" spans="1:38" ht="18.75" customHeight="1" x14ac:dyDescent="0.2">
      <c r="A36" s="1273">
        <v>21</v>
      </c>
      <c r="B36" s="1274" t="s">
        <v>41</v>
      </c>
      <c r="C36" s="241" t="s">
        <v>46</v>
      </c>
      <c r="D36" s="241">
        <v>573.37</v>
      </c>
      <c r="E36" s="241" t="s">
        <v>87</v>
      </c>
      <c r="F36" s="241">
        <v>177.8</v>
      </c>
      <c r="G36" s="241" t="s">
        <v>28</v>
      </c>
      <c r="H36" s="241" t="s">
        <v>461</v>
      </c>
      <c r="I36" s="242">
        <v>535.91</v>
      </c>
      <c r="J36" s="1276">
        <v>300</v>
      </c>
      <c r="K36" s="241"/>
      <c r="L36" s="1277">
        <v>451</v>
      </c>
      <c r="M36" s="241"/>
      <c r="N36" s="1278">
        <v>3.4</v>
      </c>
      <c r="O36" s="241"/>
      <c r="P36" s="1278">
        <f t="shared" si="3"/>
        <v>11.256080956629612</v>
      </c>
      <c r="Q36" s="1278">
        <f>(20/100)*J36</f>
        <v>60</v>
      </c>
      <c r="R36" s="244">
        <v>8.2189999999999994</v>
      </c>
      <c r="S36" s="244">
        <v>13.667999999999999</v>
      </c>
      <c r="T36" s="1277">
        <v>173.63</v>
      </c>
      <c r="U36" s="1278">
        <f t="shared" ref="U36:U83" si="14">IF(R36=0,0,T36/R36)</f>
        <v>21.125441051222776</v>
      </c>
      <c r="V36" s="1278">
        <f t="shared" si="4"/>
        <v>39.866842259291779</v>
      </c>
      <c r="W36" s="1279">
        <v>0.2</v>
      </c>
      <c r="X36" s="1280">
        <v>300</v>
      </c>
      <c r="Y36" s="244">
        <f t="shared" si="5"/>
        <v>0.22779999999999997</v>
      </c>
      <c r="Z36" s="244">
        <f t="shared" si="6"/>
        <v>8.1203719999999997</v>
      </c>
      <c r="AA36" s="244">
        <f t="shared" si="7"/>
        <v>13.503983999999999</v>
      </c>
      <c r="AB36" s="1277">
        <f t="shared" si="8"/>
        <v>171.54643999999999</v>
      </c>
      <c r="AC36" s="244">
        <v>89.536086956521729</v>
      </c>
      <c r="AD36" s="1305">
        <f>V36</f>
        <v>39.866842259291779</v>
      </c>
      <c r="AE36" s="241">
        <f t="shared" si="10"/>
        <v>31</v>
      </c>
      <c r="AF36" s="244">
        <f t="shared" si="13"/>
        <v>251.73153199999999</v>
      </c>
      <c r="AG36" s="1314"/>
      <c r="AI36" s="1282">
        <f t="shared" si="2"/>
        <v>11.256080956629612</v>
      </c>
      <c r="AJ36" s="1252">
        <v>0.90390000000000004</v>
      </c>
      <c r="AK36" s="1252">
        <v>1.0229999999999999</v>
      </c>
      <c r="AL36" s="1252">
        <v>8.0193060000000006E-4</v>
      </c>
    </row>
    <row r="37" spans="1:38" ht="18.75" customHeight="1" x14ac:dyDescent="0.2">
      <c r="A37" s="1273">
        <v>22</v>
      </c>
      <c r="B37" s="1274" t="s">
        <v>42</v>
      </c>
      <c r="C37" s="241" t="s">
        <v>46</v>
      </c>
      <c r="D37" s="241">
        <v>583.20000000000005</v>
      </c>
      <c r="E37" s="241" t="s">
        <v>88</v>
      </c>
      <c r="F37" s="241">
        <v>177.8</v>
      </c>
      <c r="G37" s="241" t="s">
        <v>28</v>
      </c>
      <c r="H37" s="241" t="s">
        <v>491</v>
      </c>
      <c r="I37" s="242">
        <v>565.11</v>
      </c>
      <c r="J37" s="1276">
        <v>280</v>
      </c>
      <c r="K37" s="241"/>
      <c r="L37" s="1277">
        <v>139</v>
      </c>
      <c r="M37" s="241"/>
      <c r="N37" s="1278">
        <v>1.9</v>
      </c>
      <c r="O37" s="241"/>
      <c r="P37" s="1278">
        <f t="shared" si="3"/>
        <v>43.251505226651084</v>
      </c>
      <c r="Q37" s="1278">
        <f>LEFT(H37,(FIND("K",H37,1)-1))*J37/100</f>
        <v>64.400000000000006</v>
      </c>
      <c r="R37" s="244">
        <v>4.3209999999999997</v>
      </c>
      <c r="S37" s="244">
        <v>21.111999999999998</v>
      </c>
      <c r="T37" s="1277">
        <v>43.851999999999997</v>
      </c>
      <c r="U37" s="1278">
        <f t="shared" si="14"/>
        <v>10.148576718352233</v>
      </c>
      <c r="V37" s="1278">
        <f t="shared" si="4"/>
        <v>79.532967032967022</v>
      </c>
      <c r="W37" s="1279">
        <v>0.3</v>
      </c>
      <c r="X37" s="1280">
        <v>280</v>
      </c>
      <c r="Y37" s="244">
        <f t="shared" si="5"/>
        <v>0.32782608695652171</v>
      </c>
      <c r="Z37" s="244">
        <f t="shared" si="6"/>
        <v>4.2691479999999995</v>
      </c>
      <c r="AA37" s="244">
        <f t="shared" si="7"/>
        <v>20.858656</v>
      </c>
      <c r="AB37" s="1277">
        <f t="shared" si="8"/>
        <v>43.325775999999998</v>
      </c>
      <c r="AC37" s="244">
        <f>U37</f>
        <v>10.148576718352233</v>
      </c>
      <c r="AD37" s="1277">
        <f>V37</f>
        <v>79.532967032967022</v>
      </c>
      <c r="AE37" s="241">
        <f t="shared" si="10"/>
        <v>31</v>
      </c>
      <c r="AF37" s="244">
        <f t="shared" si="13"/>
        <v>132.34358799999998</v>
      </c>
      <c r="AG37" s="1285"/>
      <c r="AI37" s="1282">
        <f t="shared" si="2"/>
        <v>43.251505226651084</v>
      </c>
      <c r="AJ37" s="1252">
        <v>0.91690000000000005</v>
      </c>
      <c r="AK37" s="1252">
        <v>1.024</v>
      </c>
      <c r="AL37" s="1252">
        <v>8.1276750000000011E-4</v>
      </c>
    </row>
    <row r="38" spans="1:38" ht="29.25" customHeight="1" x14ac:dyDescent="0.2">
      <c r="A38" s="1273">
        <v>23</v>
      </c>
      <c r="B38" s="1274" t="s">
        <v>43</v>
      </c>
      <c r="C38" s="241" t="s">
        <v>46</v>
      </c>
      <c r="D38" s="241">
        <v>682.7</v>
      </c>
      <c r="E38" s="241" t="s">
        <v>690</v>
      </c>
      <c r="F38" s="241">
        <v>177.8</v>
      </c>
      <c r="G38" s="241" t="s">
        <v>28</v>
      </c>
      <c r="H38" s="1299" t="s">
        <v>685</v>
      </c>
      <c r="I38" s="1315">
        <v>563.63</v>
      </c>
      <c r="J38" s="1283">
        <v>85</v>
      </c>
      <c r="K38" s="241"/>
      <c r="L38" s="1277">
        <v>378</v>
      </c>
      <c r="M38" s="241"/>
      <c r="N38" s="1278">
        <v>1.8</v>
      </c>
      <c r="O38" s="241"/>
      <c r="P38" s="1278">
        <f t="shared" si="3"/>
        <v>19.88010837991181</v>
      </c>
      <c r="Q38" s="1278">
        <f>14*J38/100</f>
        <v>11.9</v>
      </c>
      <c r="R38" s="244">
        <v>1.294</v>
      </c>
      <c r="S38" s="244">
        <v>11.943</v>
      </c>
      <c r="T38" s="1277">
        <v>0</v>
      </c>
      <c r="U38" s="1278">
        <f t="shared" si="14"/>
        <v>0</v>
      </c>
      <c r="V38" s="1278">
        <f t="shared" si="4"/>
        <v>89.165201373189305</v>
      </c>
      <c r="W38" s="1279">
        <v>0.2</v>
      </c>
      <c r="X38" s="1284">
        <v>85</v>
      </c>
      <c r="Y38" s="244">
        <f t="shared" si="5"/>
        <v>1.0036134453781511</v>
      </c>
      <c r="Z38" s="244">
        <f t="shared" si="6"/>
        <v>1.2784720000000001</v>
      </c>
      <c r="AA38" s="244">
        <f t="shared" si="7"/>
        <v>11.799683999999999</v>
      </c>
      <c r="AB38" s="1277">
        <f>T38*0.988</f>
        <v>0</v>
      </c>
      <c r="AC38" s="244">
        <f>U38</f>
        <v>0</v>
      </c>
      <c r="AD38" s="1278">
        <f>(AA38-Z38)/AA38*100</f>
        <v>89.165201373189305</v>
      </c>
      <c r="AE38" s="241">
        <v>31</v>
      </c>
      <c r="AF38" s="244">
        <f t="shared" si="13"/>
        <v>39.632632000000001</v>
      </c>
      <c r="AG38" s="1285"/>
      <c r="AH38" s="1252">
        <v>2</v>
      </c>
      <c r="AI38" s="1282">
        <f t="shared" si="2"/>
        <v>19.88010837991181</v>
      </c>
      <c r="AJ38" s="1252">
        <v>0.90100000000000002</v>
      </c>
      <c r="AK38" s="1252">
        <v>1.0169999999999999</v>
      </c>
      <c r="AL38" s="1252">
        <v>7.7303220000000006E-4</v>
      </c>
    </row>
    <row r="39" spans="1:38" ht="18.75" customHeight="1" x14ac:dyDescent="0.2">
      <c r="A39" s="1273">
        <v>24</v>
      </c>
      <c r="B39" s="1274" t="s">
        <v>44</v>
      </c>
      <c r="C39" s="241" t="s">
        <v>46</v>
      </c>
      <c r="D39" s="241">
        <v>614.27</v>
      </c>
      <c r="E39" s="241" t="s">
        <v>593</v>
      </c>
      <c r="F39" s="241">
        <v>177.8</v>
      </c>
      <c r="G39" s="241" t="s">
        <v>28</v>
      </c>
      <c r="H39" s="1299" t="s">
        <v>565</v>
      </c>
      <c r="I39" s="1315">
        <v>580.03</v>
      </c>
      <c r="J39" s="1283">
        <v>100</v>
      </c>
      <c r="K39" s="241"/>
      <c r="L39" s="1277">
        <v>91</v>
      </c>
      <c r="M39" s="241"/>
      <c r="N39" s="1278">
        <v>1.1000000000000001</v>
      </c>
      <c r="O39" s="241"/>
      <c r="P39" s="1278">
        <f t="shared" si="3"/>
        <v>48.846487935055563</v>
      </c>
      <c r="Q39" s="1278">
        <f>(32/100)*J39</f>
        <v>32</v>
      </c>
      <c r="R39" s="244">
        <v>4.1680000000000001</v>
      </c>
      <c r="S39" s="244">
        <v>39.779000000000003</v>
      </c>
      <c r="T39" s="1277">
        <v>92.444000000000003</v>
      </c>
      <c r="U39" s="1278">
        <f t="shared" si="14"/>
        <v>22.179462571976966</v>
      </c>
      <c r="V39" s="1278">
        <f t="shared" si="4"/>
        <v>89.522109655848567</v>
      </c>
      <c r="W39" s="1279">
        <v>0.2</v>
      </c>
      <c r="X39" s="1284">
        <v>100</v>
      </c>
      <c r="Y39" s="244">
        <f t="shared" si="5"/>
        <v>1.2430937500000001</v>
      </c>
      <c r="Z39" s="244">
        <f>R39*0.988</f>
        <v>4.1179839999999999</v>
      </c>
      <c r="AA39" s="244">
        <f>S39*0.988</f>
        <v>39.301652000000004</v>
      </c>
      <c r="AB39" s="1277">
        <f>T39*0.988</f>
        <v>91.334671999999998</v>
      </c>
      <c r="AC39" s="244">
        <f>U39</f>
        <v>22.179462571976966</v>
      </c>
      <c r="AD39" s="1277">
        <f>V39</f>
        <v>89.522109655848567</v>
      </c>
      <c r="AE39" s="241">
        <f t="shared" si="10"/>
        <v>31</v>
      </c>
      <c r="AF39" s="244">
        <f t="shared" si="13"/>
        <v>127.65750399999999</v>
      </c>
      <c r="AG39" s="1281"/>
      <c r="AI39" s="1282">
        <f t="shared" si="2"/>
        <v>48.846487935055563</v>
      </c>
      <c r="AJ39" s="1252">
        <v>0.89100000000000001</v>
      </c>
      <c r="AK39" s="1252">
        <v>1.022</v>
      </c>
      <c r="AL39" s="1252">
        <v>9.3558570000000008E-4</v>
      </c>
    </row>
    <row r="40" spans="1:38" ht="18.75" customHeight="1" x14ac:dyDescent="0.2">
      <c r="A40" s="1273">
        <v>25</v>
      </c>
      <c r="B40" s="1274" t="s">
        <v>45</v>
      </c>
      <c r="C40" s="241" t="s">
        <v>46</v>
      </c>
      <c r="D40" s="241">
        <v>636.4</v>
      </c>
      <c r="E40" s="241" t="s">
        <v>595</v>
      </c>
      <c r="F40" s="241">
        <v>177.8</v>
      </c>
      <c r="G40" s="241" t="s">
        <v>28</v>
      </c>
      <c r="H40" s="241" t="s">
        <v>684</v>
      </c>
      <c r="I40" s="242">
        <v>554.16999999999996</v>
      </c>
      <c r="J40" s="1276">
        <v>110</v>
      </c>
      <c r="K40" s="241"/>
      <c r="L40" s="1277">
        <v>287</v>
      </c>
      <c r="M40" s="241"/>
      <c r="N40" s="1278">
        <v>4.8</v>
      </c>
      <c r="O40" s="241"/>
      <c r="P40" s="1278">
        <f t="shared" si="3"/>
        <v>30.178307227454823</v>
      </c>
      <c r="Q40" s="1278">
        <f>(32/100)*J40</f>
        <v>35.200000000000003</v>
      </c>
      <c r="R40" s="244">
        <v>11.166</v>
      </c>
      <c r="S40" s="244">
        <v>33.378</v>
      </c>
      <c r="T40" s="1277">
        <v>75.593000000000004</v>
      </c>
      <c r="U40" s="1278">
        <f t="shared" si="14"/>
        <v>6.7699265627798679</v>
      </c>
      <c r="V40" s="1278">
        <f t="shared" si="4"/>
        <v>66.546827251483009</v>
      </c>
      <c r="W40" s="1279">
        <v>0.2</v>
      </c>
      <c r="X40" s="1280">
        <v>110</v>
      </c>
      <c r="Y40" s="244">
        <f t="shared" si="5"/>
        <v>0.94823863636363626</v>
      </c>
      <c r="Z40" s="244">
        <f>R40*0.988</f>
        <v>11.032007999999999</v>
      </c>
      <c r="AA40" s="244">
        <f>S40*0.988</f>
        <v>32.977463999999998</v>
      </c>
      <c r="AB40" s="1277">
        <f>T40*0.988</f>
        <v>74.685884000000001</v>
      </c>
      <c r="AC40" s="244">
        <f>U40</f>
        <v>6.7699265627798679</v>
      </c>
      <c r="AD40" s="1277">
        <f>V40</f>
        <v>66.546827251483009</v>
      </c>
      <c r="AE40" s="241">
        <f>(DAY(EOMONTH($AH$14,0))-AH40)</f>
        <v>31</v>
      </c>
      <c r="AF40" s="244">
        <f t="shared" si="13"/>
        <v>341.99224799999996</v>
      </c>
      <c r="AG40" s="1281"/>
      <c r="AI40" s="1282">
        <f t="shared" si="2"/>
        <v>30.178307227454823</v>
      </c>
      <c r="AJ40" s="1252">
        <v>0.89349999999999996</v>
      </c>
      <c r="AK40" s="1252">
        <v>1.024</v>
      </c>
      <c r="AL40" s="1252">
        <v>7.2366409999999998E-4</v>
      </c>
    </row>
    <row r="41" spans="1:38" ht="18.75" customHeight="1" x14ac:dyDescent="0.2">
      <c r="A41" s="1273">
        <v>26</v>
      </c>
      <c r="B41" s="1274" t="s">
        <v>56</v>
      </c>
      <c r="C41" s="1316" t="s">
        <v>46</v>
      </c>
      <c r="D41" s="241">
        <v>680.52</v>
      </c>
      <c r="E41" s="1274" t="s">
        <v>596</v>
      </c>
      <c r="F41" s="241">
        <v>177.8</v>
      </c>
      <c r="G41" s="241" t="s">
        <v>28</v>
      </c>
      <c r="H41" s="1299" t="s">
        <v>349</v>
      </c>
      <c r="I41" s="242">
        <v>583.46</v>
      </c>
      <c r="J41" s="1276"/>
      <c r="K41" s="241"/>
      <c r="L41" s="1277"/>
      <c r="M41" s="241"/>
      <c r="N41" s="1278"/>
      <c r="O41" s="241"/>
      <c r="P41" s="1278"/>
      <c r="Q41" s="1278"/>
      <c r="R41" s="244"/>
      <c r="S41" s="244"/>
      <c r="T41" s="1277"/>
      <c r="U41" s="1278"/>
      <c r="V41" s="1278"/>
      <c r="W41" s="1279"/>
      <c r="X41" s="1280"/>
      <c r="Y41" s="244"/>
      <c r="Z41" s="244"/>
      <c r="AA41" s="244"/>
      <c r="AB41" s="1277"/>
      <c r="AC41" s="244"/>
      <c r="AD41" s="1277"/>
      <c r="AE41" s="241"/>
      <c r="AF41" s="244"/>
      <c r="AG41" s="1281" t="s">
        <v>681</v>
      </c>
      <c r="AI41" s="1282">
        <f t="shared" si="2"/>
        <v>51.69303580814212</v>
      </c>
      <c r="AJ41" s="1252">
        <v>0.91510000000000002</v>
      </c>
      <c r="AK41" s="1252">
        <v>1.022</v>
      </c>
      <c r="AL41" s="1252">
        <v>6.1000000000000004E-3</v>
      </c>
    </row>
    <row r="42" spans="1:38" s="1297" customFormat="1" ht="18.75" customHeight="1" x14ac:dyDescent="0.2">
      <c r="A42" s="1286">
        <v>27</v>
      </c>
      <c r="B42" s="1287" t="s">
        <v>206</v>
      </c>
      <c r="C42" s="1288" t="s">
        <v>46</v>
      </c>
      <c r="D42" s="1288">
        <v>660.74</v>
      </c>
      <c r="E42" s="1288" t="s">
        <v>436</v>
      </c>
      <c r="F42" s="1288">
        <v>177.8</v>
      </c>
      <c r="G42" s="1288" t="s">
        <v>28</v>
      </c>
      <c r="H42" s="1288" t="s">
        <v>551</v>
      </c>
      <c r="I42" s="1290">
        <v>544.70000000000005</v>
      </c>
      <c r="J42" s="1283">
        <v>125</v>
      </c>
      <c r="K42" s="1288"/>
      <c r="L42" s="1291">
        <v>122</v>
      </c>
      <c r="M42" s="1288"/>
      <c r="N42" s="1292">
        <v>4.5</v>
      </c>
      <c r="O42" s="1288"/>
      <c r="P42" s="1292">
        <f t="shared" si="3"/>
        <v>45.31659757379169</v>
      </c>
      <c r="Q42" s="1292">
        <f>J42*22/100</f>
        <v>27.5</v>
      </c>
      <c r="R42" s="1293">
        <v>4.6029999999999998</v>
      </c>
      <c r="S42" s="1293">
        <v>27.276</v>
      </c>
      <c r="T42" s="1291">
        <v>25.295999999999999</v>
      </c>
      <c r="U42" s="1292">
        <f t="shared" si="14"/>
        <v>5.4955463827938305</v>
      </c>
      <c r="V42" s="1292">
        <f t="shared" si="4"/>
        <v>83.124358410324106</v>
      </c>
      <c r="W42" s="1294">
        <v>0.2</v>
      </c>
      <c r="X42" s="1295">
        <v>125</v>
      </c>
      <c r="Y42" s="1293">
        <f t="shared" ref="Y42:Y48" si="15">IF(S42=0,0,S42/Q42)</f>
        <v>0.99185454545454543</v>
      </c>
      <c r="Z42" s="1293">
        <f t="shared" ref="Z42:AB48" si="16">R42*0.988</f>
        <v>4.5477639999999999</v>
      </c>
      <c r="AA42" s="1293">
        <f t="shared" si="16"/>
        <v>26.948688000000001</v>
      </c>
      <c r="AB42" s="1291">
        <f t="shared" si="16"/>
        <v>24.992448</v>
      </c>
      <c r="AC42" s="1293">
        <f t="shared" ref="AC42:AD48" si="17">U42</f>
        <v>5.4955463827938305</v>
      </c>
      <c r="AD42" s="1291">
        <f t="shared" si="17"/>
        <v>83.124358410324106</v>
      </c>
      <c r="AE42" s="1288">
        <v>26</v>
      </c>
      <c r="AF42" s="1293">
        <f t="shared" si="13"/>
        <v>118.24186399999999</v>
      </c>
      <c r="AG42" s="1296" t="s">
        <v>727</v>
      </c>
      <c r="AI42" s="1298">
        <f t="shared" si="2"/>
        <v>45.31659757379169</v>
      </c>
      <c r="AJ42" s="1297">
        <v>0.89929999999999999</v>
      </c>
      <c r="AK42" s="1297">
        <v>1.0169999999999999</v>
      </c>
      <c r="AL42" s="1297">
        <v>7.7303220000000006E-4</v>
      </c>
    </row>
    <row r="43" spans="1:38" ht="28.5" customHeight="1" x14ac:dyDescent="0.2">
      <c r="A43" s="1273">
        <v>28</v>
      </c>
      <c r="B43" s="1317" t="s">
        <v>161</v>
      </c>
      <c r="C43" s="241" t="s">
        <v>46</v>
      </c>
      <c r="D43" s="242">
        <v>677</v>
      </c>
      <c r="E43" s="1318" t="s">
        <v>178</v>
      </c>
      <c r="F43" s="241">
        <v>177.8</v>
      </c>
      <c r="G43" s="241" t="s">
        <v>28</v>
      </c>
      <c r="H43" s="1299" t="s">
        <v>565</v>
      </c>
      <c r="I43" s="242">
        <v>553.30999999999995</v>
      </c>
      <c r="J43" s="1268">
        <v>220</v>
      </c>
      <c r="K43" s="242"/>
      <c r="L43" s="1319">
        <v>416</v>
      </c>
      <c r="M43" s="242"/>
      <c r="N43" s="1278">
        <v>1.9</v>
      </c>
      <c r="O43" s="242"/>
      <c r="P43" s="1278">
        <f t="shared" si="3"/>
        <v>14.945489966501793</v>
      </c>
      <c r="Q43" s="1278">
        <f>J43*33/100</f>
        <v>72.599999999999994</v>
      </c>
      <c r="R43" s="244">
        <v>7.6829999999999998</v>
      </c>
      <c r="S43" s="244">
        <v>23.597999999999999</v>
      </c>
      <c r="T43" s="1319">
        <v>161.29599999999999</v>
      </c>
      <c r="U43" s="1278">
        <f t="shared" si="14"/>
        <v>20.993882597943511</v>
      </c>
      <c r="V43" s="1278">
        <f t="shared" si="4"/>
        <v>67.442156114924984</v>
      </c>
      <c r="W43" s="1279">
        <v>0.2</v>
      </c>
      <c r="X43" s="1271">
        <v>220</v>
      </c>
      <c r="Y43" s="244">
        <f t="shared" si="15"/>
        <v>0.32504132231404959</v>
      </c>
      <c r="Z43" s="244">
        <f t="shared" si="16"/>
        <v>7.5908039999999994</v>
      </c>
      <c r="AA43" s="244">
        <f t="shared" si="16"/>
        <v>23.314823999999998</v>
      </c>
      <c r="AB43" s="1277">
        <f t="shared" si="16"/>
        <v>159.36044799999999</v>
      </c>
      <c r="AC43" s="244">
        <f t="shared" si="17"/>
        <v>20.993882597943511</v>
      </c>
      <c r="AD43" s="1277">
        <f t="shared" si="17"/>
        <v>67.442156114924984</v>
      </c>
      <c r="AE43" s="241">
        <f t="shared" ref="AE43:AE83" si="18">(DAY(EOMONTH($AH$14,0))-AH43)</f>
        <v>31</v>
      </c>
      <c r="AF43" s="244">
        <f t="shared" si="13"/>
        <v>235.31492399999999</v>
      </c>
      <c r="AG43" s="1285"/>
      <c r="AI43" s="1282">
        <f t="shared" si="2"/>
        <v>14.945489966501793</v>
      </c>
      <c r="AJ43" s="1252">
        <v>0.88949999999999996</v>
      </c>
      <c r="AK43" s="1252">
        <v>1.0209999999999999</v>
      </c>
      <c r="AL43" s="1252">
        <v>1.0307096000000001E-3</v>
      </c>
    </row>
    <row r="44" spans="1:38" ht="29.25" customHeight="1" x14ac:dyDescent="0.2">
      <c r="A44" s="1273">
        <v>29</v>
      </c>
      <c r="B44" s="1317" t="s">
        <v>162</v>
      </c>
      <c r="C44" s="241" t="s">
        <v>46</v>
      </c>
      <c r="D44" s="242">
        <v>676.97</v>
      </c>
      <c r="E44" s="1318" t="s">
        <v>437</v>
      </c>
      <c r="F44" s="241">
        <v>177.8</v>
      </c>
      <c r="G44" s="241" t="s">
        <v>28</v>
      </c>
      <c r="H44" s="1299" t="s">
        <v>588</v>
      </c>
      <c r="I44" s="242">
        <v>550.59</v>
      </c>
      <c r="J44" s="1320">
        <v>105</v>
      </c>
      <c r="K44" s="242"/>
      <c r="L44" s="1277">
        <v>429</v>
      </c>
      <c r="M44" s="242"/>
      <c r="N44" s="1278">
        <v>0.5</v>
      </c>
      <c r="O44" s="242"/>
      <c r="P44" s="1278">
        <f t="shared" si="3"/>
        <v>11.742105504120154</v>
      </c>
      <c r="Q44" s="1278">
        <f>RIGHT(H44,(FIND("T",H44,1)-0))*J44/100</f>
        <v>14.7</v>
      </c>
      <c r="R44" s="244">
        <v>0.59099999999999997</v>
      </c>
      <c r="S44" s="244">
        <v>0.95799999999999996</v>
      </c>
      <c r="T44" s="1319">
        <v>0</v>
      </c>
      <c r="U44" s="1278">
        <f t="shared" si="14"/>
        <v>0</v>
      </c>
      <c r="V44" s="1278">
        <f t="shared" si="4"/>
        <v>38.308977035490607</v>
      </c>
      <c r="W44" s="1279">
        <v>0.2</v>
      </c>
      <c r="X44" s="1321">
        <v>105</v>
      </c>
      <c r="Y44" s="244">
        <f t="shared" si="15"/>
        <v>6.5170068027210884E-2</v>
      </c>
      <c r="Z44" s="244">
        <f t="shared" si="16"/>
        <v>0.58390799999999998</v>
      </c>
      <c r="AA44" s="244">
        <f t="shared" si="16"/>
        <v>0.9465039999999999</v>
      </c>
      <c r="AB44" s="1277">
        <f t="shared" si="16"/>
        <v>0</v>
      </c>
      <c r="AC44" s="244">
        <f t="shared" si="17"/>
        <v>0</v>
      </c>
      <c r="AD44" s="1277">
        <f t="shared" si="17"/>
        <v>38.308977035490607</v>
      </c>
      <c r="AE44" s="241">
        <f t="shared" si="18"/>
        <v>31</v>
      </c>
      <c r="AF44" s="244">
        <f t="shared" si="13"/>
        <v>18.101147999999998</v>
      </c>
      <c r="AG44" s="1285"/>
      <c r="AI44" s="1282">
        <f t="shared" si="2"/>
        <v>11.742105504120154</v>
      </c>
      <c r="AJ44" s="1252">
        <v>0.90820000000000001</v>
      </c>
      <c r="AK44" s="1252">
        <v>1.0229999999999999</v>
      </c>
      <c r="AL44" s="1252">
        <v>7.9591010000000008E-4</v>
      </c>
    </row>
    <row r="45" spans="1:38" ht="18.75" customHeight="1" x14ac:dyDescent="0.2">
      <c r="A45" s="1273">
        <v>30</v>
      </c>
      <c r="B45" s="1317" t="s">
        <v>163</v>
      </c>
      <c r="C45" s="241" t="s">
        <v>46</v>
      </c>
      <c r="D45" s="242">
        <v>579</v>
      </c>
      <c r="E45" s="241" t="s">
        <v>597</v>
      </c>
      <c r="F45" s="241">
        <v>177.8</v>
      </c>
      <c r="G45" s="241" t="s">
        <v>28</v>
      </c>
      <c r="H45" s="1299" t="s">
        <v>685</v>
      </c>
      <c r="I45" s="242">
        <v>551.54999999999995</v>
      </c>
      <c r="J45" s="1268">
        <v>110</v>
      </c>
      <c r="K45" s="242"/>
      <c r="L45" s="1319">
        <v>449</v>
      </c>
      <c r="M45" s="242"/>
      <c r="N45" s="1278">
        <v>0.5</v>
      </c>
      <c r="O45" s="242"/>
      <c r="P45" s="1278">
        <f t="shared" si="3"/>
        <v>9.6781116662975499</v>
      </c>
      <c r="Q45" s="1278">
        <f>14*J45/100</f>
        <v>15.4</v>
      </c>
      <c r="R45" s="244">
        <v>2.492</v>
      </c>
      <c r="S45" s="244">
        <v>3.1850000000000001</v>
      </c>
      <c r="T45" s="1319">
        <v>10.888999999999999</v>
      </c>
      <c r="U45" s="1278">
        <f t="shared" si="14"/>
        <v>4.3695826645264848</v>
      </c>
      <c r="V45" s="1278">
        <f t="shared" si="4"/>
        <v>21.758241758241759</v>
      </c>
      <c r="W45" s="1279">
        <v>0.2</v>
      </c>
      <c r="X45" s="1271">
        <v>110</v>
      </c>
      <c r="Y45" s="244">
        <f t="shared" si="15"/>
        <v>0.20681818181818182</v>
      </c>
      <c r="Z45" s="244">
        <f t="shared" si="16"/>
        <v>2.4620959999999998</v>
      </c>
      <c r="AA45" s="244">
        <f t="shared" si="16"/>
        <v>3.1467800000000001</v>
      </c>
      <c r="AB45" s="1277">
        <f t="shared" si="16"/>
        <v>10.758331999999999</v>
      </c>
      <c r="AC45" s="244">
        <f t="shared" si="17"/>
        <v>4.3695826645264848</v>
      </c>
      <c r="AD45" s="1277">
        <f t="shared" si="17"/>
        <v>21.758241758241759</v>
      </c>
      <c r="AE45" s="241">
        <f t="shared" si="18"/>
        <v>31</v>
      </c>
      <c r="AF45" s="244">
        <f t="shared" si="13"/>
        <v>76.324975999999992</v>
      </c>
      <c r="AG45" s="1285"/>
      <c r="AI45" s="1282">
        <f t="shared" si="2"/>
        <v>9.6781116662975499</v>
      </c>
      <c r="AJ45" s="1252">
        <v>0.89559999999999995</v>
      </c>
      <c r="AK45" s="1252">
        <v>1.012</v>
      </c>
      <c r="AL45" s="1252">
        <v>7.9591010000000008E-4</v>
      </c>
    </row>
    <row r="46" spans="1:38" ht="18.75" customHeight="1" x14ac:dyDescent="0.2">
      <c r="A46" s="1273">
        <v>31</v>
      </c>
      <c r="B46" s="1274" t="s">
        <v>59</v>
      </c>
      <c r="C46" s="241" t="s">
        <v>46</v>
      </c>
      <c r="D46" s="241">
        <v>615</v>
      </c>
      <c r="E46" s="241" t="s">
        <v>454</v>
      </c>
      <c r="F46" s="241">
        <v>177.8</v>
      </c>
      <c r="G46" s="241" t="s">
        <v>28</v>
      </c>
      <c r="H46" s="1299" t="s">
        <v>686</v>
      </c>
      <c r="I46" s="242">
        <v>539.24</v>
      </c>
      <c r="J46" s="1283">
        <v>310</v>
      </c>
      <c r="K46" s="241"/>
      <c r="L46" s="1277">
        <v>440</v>
      </c>
      <c r="M46" s="241"/>
      <c r="N46" s="1278">
        <v>3.7</v>
      </c>
      <c r="O46" s="241"/>
      <c r="P46" s="1278">
        <f t="shared" si="3"/>
        <v>12.854528713804791</v>
      </c>
      <c r="Q46" s="1278">
        <f>20*J46/100</f>
        <v>62</v>
      </c>
      <c r="R46" s="244">
        <v>2.8439999999999999</v>
      </c>
      <c r="S46" s="244">
        <v>4.8559999999999999</v>
      </c>
      <c r="T46" s="1277">
        <v>9.1479999999999997</v>
      </c>
      <c r="U46" s="1278">
        <f t="shared" si="14"/>
        <v>3.2165963431786215</v>
      </c>
      <c r="V46" s="1278">
        <f t="shared" si="4"/>
        <v>41.433278418451401</v>
      </c>
      <c r="W46" s="1279">
        <v>0.2</v>
      </c>
      <c r="X46" s="1284">
        <v>310</v>
      </c>
      <c r="Y46" s="244">
        <f t="shared" si="15"/>
        <v>7.8322580645161288E-2</v>
      </c>
      <c r="Z46" s="244">
        <f t="shared" si="16"/>
        <v>2.8098719999999999</v>
      </c>
      <c r="AA46" s="244">
        <f t="shared" si="16"/>
        <v>4.7977280000000002</v>
      </c>
      <c r="AB46" s="1277">
        <f t="shared" si="16"/>
        <v>9.0382239999999996</v>
      </c>
      <c r="AC46" s="244">
        <f t="shared" si="17"/>
        <v>3.2165963431786215</v>
      </c>
      <c r="AD46" s="1277">
        <f t="shared" si="17"/>
        <v>41.433278418451401</v>
      </c>
      <c r="AE46" s="241">
        <f t="shared" si="18"/>
        <v>31</v>
      </c>
      <c r="AF46" s="244">
        <f t="shared" si="13"/>
        <v>87.106031999999999</v>
      </c>
      <c r="AG46" s="1285"/>
      <c r="AI46" s="1282">
        <f t="shared" si="2"/>
        <v>12.854528713804791</v>
      </c>
      <c r="AJ46" s="1252">
        <v>0.90149999999999997</v>
      </c>
      <c r="AK46" s="1252">
        <v>1.0169999999999999</v>
      </c>
      <c r="AL46" s="1252">
        <v>7.7447712000000004E-4</v>
      </c>
    </row>
    <row r="47" spans="1:38" ht="18.600000000000001" customHeight="1" x14ac:dyDescent="0.2">
      <c r="A47" s="1273">
        <v>32</v>
      </c>
      <c r="B47" s="1274" t="s">
        <v>207</v>
      </c>
      <c r="C47" s="241" t="s">
        <v>46</v>
      </c>
      <c r="D47" s="241">
        <v>674.39</v>
      </c>
      <c r="E47" s="241" t="s">
        <v>598</v>
      </c>
      <c r="F47" s="241">
        <v>177.8</v>
      </c>
      <c r="G47" s="241" t="s">
        <v>28</v>
      </c>
      <c r="H47" s="1299" t="s">
        <v>466</v>
      </c>
      <c r="I47" s="242">
        <v>571.19000000000005</v>
      </c>
      <c r="J47" s="1283">
        <v>310</v>
      </c>
      <c r="K47" s="241"/>
      <c r="L47" s="1277">
        <v>357</v>
      </c>
      <c r="M47" s="241"/>
      <c r="N47" s="1278">
        <v>3.4</v>
      </c>
      <c r="O47" s="241"/>
      <c r="P47" s="1278">
        <f t="shared" si="3"/>
        <v>23.929312416280492</v>
      </c>
      <c r="Q47" s="1278">
        <f t="shared" ref="Q47" si="19">LEFT(H47,(FIND("E",H47,1)-1))*J47/100</f>
        <v>40.299999999999997</v>
      </c>
      <c r="R47" s="244">
        <v>6.242</v>
      </c>
      <c r="S47" s="244">
        <v>21.257000000000001</v>
      </c>
      <c r="T47" s="1277">
        <v>8.6300000000000008</v>
      </c>
      <c r="U47" s="1278">
        <f t="shared" si="14"/>
        <v>1.3825696892021788</v>
      </c>
      <c r="V47" s="1278">
        <f t="shared" si="4"/>
        <v>70.635555346474092</v>
      </c>
      <c r="W47" s="1279">
        <v>0.3</v>
      </c>
      <c r="X47" s="1284">
        <v>310</v>
      </c>
      <c r="Y47" s="244">
        <f t="shared" si="15"/>
        <v>0.52746898263027298</v>
      </c>
      <c r="Z47" s="244">
        <f t="shared" si="16"/>
        <v>6.1670959999999999</v>
      </c>
      <c r="AA47" s="244">
        <f t="shared" si="16"/>
        <v>21.001916000000001</v>
      </c>
      <c r="AB47" s="1277">
        <f t="shared" si="16"/>
        <v>8.5264400000000009</v>
      </c>
      <c r="AC47" s="244">
        <f t="shared" si="17"/>
        <v>1.3825696892021788</v>
      </c>
      <c r="AD47" s="1277">
        <f t="shared" si="17"/>
        <v>70.635555346474092</v>
      </c>
      <c r="AE47" s="241">
        <f t="shared" si="18"/>
        <v>31</v>
      </c>
      <c r="AF47" s="244">
        <f t="shared" si="13"/>
        <v>191.17997600000001</v>
      </c>
      <c r="AG47" s="1285"/>
      <c r="AI47" s="1282">
        <f t="shared" si="2"/>
        <v>23.929312416280492</v>
      </c>
      <c r="AJ47" s="1252">
        <v>0.90359999999999996</v>
      </c>
      <c r="AK47" s="1252">
        <v>1.024</v>
      </c>
      <c r="AL47" s="1252">
        <v>7.9591010000000008E-4</v>
      </c>
    </row>
    <row r="48" spans="1:38" ht="30" customHeight="1" x14ac:dyDescent="0.2">
      <c r="A48" s="1273">
        <v>33</v>
      </c>
      <c r="B48" s="1274" t="s">
        <v>599</v>
      </c>
      <c r="C48" s="241" t="s">
        <v>46</v>
      </c>
      <c r="D48" s="1278">
        <v>684.01</v>
      </c>
      <c r="E48" s="242" t="s">
        <v>600</v>
      </c>
      <c r="F48" s="241">
        <v>177.8</v>
      </c>
      <c r="G48" s="241" t="s">
        <v>28</v>
      </c>
      <c r="H48" s="1299" t="s">
        <v>687</v>
      </c>
      <c r="I48" s="242">
        <v>546.08000000000004</v>
      </c>
      <c r="J48" s="1283">
        <v>85</v>
      </c>
      <c r="K48" s="241"/>
      <c r="L48" s="1322">
        <v>92</v>
      </c>
      <c r="M48" s="241"/>
      <c r="N48" s="1306">
        <v>0.7</v>
      </c>
      <c r="O48" s="241"/>
      <c r="P48" s="1278">
        <f t="shared" si="3"/>
        <v>44.579923957199938</v>
      </c>
      <c r="Q48" s="1278">
        <v>62</v>
      </c>
      <c r="R48" s="244">
        <v>2.5059999999999998</v>
      </c>
      <c r="S48" s="244">
        <v>8.9760000000000009</v>
      </c>
      <c r="T48" s="1277">
        <v>6.05</v>
      </c>
      <c r="U48" s="1278">
        <f t="shared" si="14"/>
        <v>2.4142059058260177</v>
      </c>
      <c r="V48" s="1278">
        <f t="shared" si="4"/>
        <v>72.081105169340461</v>
      </c>
      <c r="W48" s="1279">
        <v>0.2</v>
      </c>
      <c r="X48" s="1284">
        <v>85</v>
      </c>
      <c r="Y48" s="244">
        <f t="shared" si="15"/>
        <v>0.14477419354838711</v>
      </c>
      <c r="Z48" s="244">
        <f t="shared" si="16"/>
        <v>2.4759279999999997</v>
      </c>
      <c r="AA48" s="244">
        <f t="shared" si="16"/>
        <v>8.8682880000000015</v>
      </c>
      <c r="AB48" s="1277">
        <f t="shared" si="16"/>
        <v>5.9773999999999994</v>
      </c>
      <c r="AC48" s="244">
        <f t="shared" si="17"/>
        <v>2.4142059058260177</v>
      </c>
      <c r="AD48" s="1277">
        <f t="shared" si="17"/>
        <v>72.081105169340461</v>
      </c>
      <c r="AE48" s="241">
        <f t="shared" si="18"/>
        <v>31</v>
      </c>
      <c r="AF48" s="244">
        <f t="shared" si="13"/>
        <v>76.753767999999994</v>
      </c>
      <c r="AG48" s="1285"/>
      <c r="AI48" s="1282">
        <f t="shared" ref="AI48:AI79" si="20">(9.81*(AJ48*(100%-(V48/100))+AK48*(V48/100))*(I48-L48)+N48*101.325+9.81*(AL48)*L48)/101.325</f>
        <v>44.579923957199938</v>
      </c>
      <c r="AJ48" s="1252">
        <v>0.9204</v>
      </c>
      <c r="AK48" s="1252">
        <v>1.028</v>
      </c>
      <c r="AL48" s="1252">
        <v>7.7447712000000004E-4</v>
      </c>
    </row>
    <row r="49" spans="1:38" ht="18.75" customHeight="1" x14ac:dyDescent="0.2">
      <c r="A49" s="1273">
        <v>34</v>
      </c>
      <c r="B49" s="1274" t="s">
        <v>196</v>
      </c>
      <c r="C49" s="241" t="s">
        <v>46</v>
      </c>
      <c r="D49" s="241">
        <v>641</v>
      </c>
      <c r="E49" s="241" t="s">
        <v>619</v>
      </c>
      <c r="F49" s="241">
        <v>177.8</v>
      </c>
      <c r="G49" s="241" t="s">
        <v>28</v>
      </c>
      <c r="H49" s="241" t="s">
        <v>50</v>
      </c>
      <c r="I49" s="242">
        <v>607.85</v>
      </c>
      <c r="J49" s="1283"/>
      <c r="K49" s="1323">
        <v>58.46</v>
      </c>
      <c r="L49" s="1324"/>
      <c r="M49" s="1325">
        <v>0.3</v>
      </c>
      <c r="N49" s="1326"/>
      <c r="O49" s="241"/>
      <c r="P49" s="1278">
        <f t="shared" si="3"/>
        <v>52.724000149518879</v>
      </c>
      <c r="Q49" s="1278"/>
      <c r="R49" s="244"/>
      <c r="S49" s="244"/>
      <c r="T49" s="1277"/>
      <c r="U49" s="1278"/>
      <c r="V49" s="1278"/>
      <c r="W49" s="1279"/>
      <c r="X49" s="1284"/>
      <c r="Y49" s="244"/>
      <c r="Z49" s="244"/>
      <c r="AA49" s="244"/>
      <c r="AB49" s="1277"/>
      <c r="AC49" s="244"/>
      <c r="AD49" s="1277"/>
      <c r="AE49" s="241"/>
      <c r="AF49" s="244"/>
      <c r="AG49" s="1281" t="s">
        <v>682</v>
      </c>
      <c r="AI49" s="1282">
        <f t="shared" si="20"/>
        <v>52.724000149518879</v>
      </c>
      <c r="AJ49" s="1252">
        <v>0.89590000000000003</v>
      </c>
      <c r="AK49" s="1252">
        <v>1.0169999999999999</v>
      </c>
      <c r="AL49" s="1252">
        <v>1.1667729E-3</v>
      </c>
    </row>
    <row r="50" spans="1:38" ht="18.75" customHeight="1" x14ac:dyDescent="0.2">
      <c r="A50" s="1273">
        <v>35</v>
      </c>
      <c r="B50" s="1274" t="s">
        <v>60</v>
      </c>
      <c r="C50" s="241" t="s">
        <v>46</v>
      </c>
      <c r="D50" s="241">
        <v>641.04999999999995</v>
      </c>
      <c r="E50" s="241" t="s">
        <v>462</v>
      </c>
      <c r="F50" s="241">
        <v>177.8</v>
      </c>
      <c r="G50" s="241" t="s">
        <v>28</v>
      </c>
      <c r="H50" s="1299" t="s">
        <v>592</v>
      </c>
      <c r="I50" s="242">
        <v>532.98</v>
      </c>
      <c r="J50" s="1276">
        <v>320</v>
      </c>
      <c r="K50" s="241"/>
      <c r="L50" s="1277">
        <v>448</v>
      </c>
      <c r="M50" s="241"/>
      <c r="N50" s="1278">
        <v>3.9</v>
      </c>
      <c r="O50" s="241"/>
      <c r="P50" s="1278">
        <f t="shared" si="3"/>
        <v>11.939925330751262</v>
      </c>
      <c r="Q50" s="1278">
        <f>RIGHT(H50,(FIND("T",H50,1)-0))*J50/100</f>
        <v>44.8</v>
      </c>
      <c r="R50" s="244">
        <v>4.7779999999999996</v>
      </c>
      <c r="S50" s="244">
        <v>13.45</v>
      </c>
      <c r="T50" s="1277">
        <v>98.518000000000001</v>
      </c>
      <c r="U50" s="1278">
        <f t="shared" si="14"/>
        <v>20.619087484303058</v>
      </c>
      <c r="V50" s="1278">
        <f t="shared" si="4"/>
        <v>64.475836431226767</v>
      </c>
      <c r="W50" s="1279">
        <v>0.2</v>
      </c>
      <c r="X50" s="1280">
        <v>320</v>
      </c>
      <c r="Y50" s="244">
        <f>IF(S50=0,0,S50/Q50)</f>
        <v>0.3002232142857143</v>
      </c>
      <c r="Z50" s="244">
        <f>R50*0.988</f>
        <v>4.7206639999999993</v>
      </c>
      <c r="AA50" s="244">
        <f>S50*0.988</f>
        <v>13.288599999999999</v>
      </c>
      <c r="AB50" s="1277">
        <f>T50*0.988</f>
        <v>97.335784000000004</v>
      </c>
      <c r="AC50" s="244">
        <f>U50</f>
        <v>20.619087484303058</v>
      </c>
      <c r="AD50" s="1277">
        <f>V50</f>
        <v>64.475836431226767</v>
      </c>
      <c r="AE50" s="241">
        <f t="shared" si="18"/>
        <v>31</v>
      </c>
      <c r="AF50" s="244">
        <f t="shared" si="13"/>
        <v>146.34058399999998</v>
      </c>
      <c r="AG50" s="1285"/>
      <c r="AI50" s="1282">
        <f t="shared" si="20"/>
        <v>11.939925330751262</v>
      </c>
      <c r="AJ50" s="1252">
        <v>0.88219999999999998</v>
      </c>
      <c r="AK50" s="1252">
        <v>1.02</v>
      </c>
      <c r="AL50" s="1252">
        <v>1.1667729E-3</v>
      </c>
    </row>
    <row r="51" spans="1:38" ht="18.75" customHeight="1" x14ac:dyDescent="0.2">
      <c r="A51" s="1273">
        <v>36</v>
      </c>
      <c r="B51" s="1274" t="s">
        <v>119</v>
      </c>
      <c r="C51" s="241" t="s">
        <v>404</v>
      </c>
      <c r="D51" s="241">
        <v>654.07000000000005</v>
      </c>
      <c r="E51" s="241" t="s">
        <v>410</v>
      </c>
      <c r="F51" s="241">
        <v>177.8</v>
      </c>
      <c r="G51" s="241" t="s">
        <v>28</v>
      </c>
      <c r="H51" s="241" t="s">
        <v>566</v>
      </c>
      <c r="I51" s="242">
        <v>500.38</v>
      </c>
      <c r="J51" s="1283"/>
      <c r="K51" s="241">
        <v>478</v>
      </c>
      <c r="L51" s="1277"/>
      <c r="M51" s="241">
        <v>0</v>
      </c>
      <c r="N51" s="1278"/>
      <c r="O51" s="241"/>
      <c r="P51" s="1278">
        <f t="shared" si="3"/>
        <v>42.733666838193933</v>
      </c>
      <c r="Q51" s="1278"/>
      <c r="R51" s="244"/>
      <c r="S51" s="244"/>
      <c r="T51" s="1277"/>
      <c r="U51" s="1278"/>
      <c r="V51" s="1278"/>
      <c r="W51" s="1279"/>
      <c r="X51" s="1284"/>
      <c r="Y51" s="244"/>
      <c r="Z51" s="244"/>
      <c r="AA51" s="244"/>
      <c r="AB51" s="1277"/>
      <c r="AC51" s="244"/>
      <c r="AD51" s="1277"/>
      <c r="AE51" s="241"/>
      <c r="AF51" s="244"/>
      <c r="AG51" s="1281" t="s">
        <v>682</v>
      </c>
      <c r="AI51" s="1282">
        <f t="shared" si="20"/>
        <v>42.733666838193933</v>
      </c>
      <c r="AJ51" s="1252">
        <v>0.8821</v>
      </c>
      <c r="AK51" s="1252">
        <v>1.018</v>
      </c>
      <c r="AL51" s="1252">
        <v>1.0764654000000001E-3</v>
      </c>
    </row>
    <row r="52" spans="1:38" ht="29.25" customHeight="1" x14ac:dyDescent="0.2">
      <c r="A52" s="1273">
        <v>37</v>
      </c>
      <c r="B52" s="1274" t="s">
        <v>118</v>
      </c>
      <c r="C52" s="241" t="s">
        <v>408</v>
      </c>
      <c r="D52" s="241">
        <v>728.77</v>
      </c>
      <c r="E52" s="242" t="s">
        <v>442</v>
      </c>
      <c r="F52" s="241">
        <v>177.8</v>
      </c>
      <c r="G52" s="241" t="s">
        <v>28</v>
      </c>
      <c r="H52" s="1299" t="s">
        <v>52</v>
      </c>
      <c r="I52" s="242">
        <v>517.84</v>
      </c>
      <c r="J52" s="1283">
        <v>310</v>
      </c>
      <c r="K52" s="241"/>
      <c r="L52" s="1277">
        <v>388</v>
      </c>
      <c r="M52" s="241"/>
      <c r="N52" s="1278">
        <v>0.1</v>
      </c>
      <c r="O52" s="241"/>
      <c r="P52" s="1278">
        <f t="shared" si="3"/>
        <v>12.57037903843108</v>
      </c>
      <c r="Q52" s="1278">
        <f>LEFT(H52,(FIND("K",H52,1)-1))*J52/100</f>
        <v>68.2</v>
      </c>
      <c r="R52" s="244">
        <v>4.8730000000000002</v>
      </c>
      <c r="S52" s="244">
        <v>15.898</v>
      </c>
      <c r="T52" s="1277">
        <v>15.815</v>
      </c>
      <c r="U52" s="1278">
        <f t="shared" si="14"/>
        <v>3.2454340242150623</v>
      </c>
      <c r="V52" s="1278">
        <f t="shared" si="4"/>
        <v>69.348345703862108</v>
      </c>
      <c r="W52" s="1279">
        <v>0.2</v>
      </c>
      <c r="X52" s="1284">
        <v>310</v>
      </c>
      <c r="Y52" s="244">
        <f>IF(S52=0,0,S52/Q52)</f>
        <v>0.23310850439882697</v>
      </c>
      <c r="Z52" s="244">
        <f>R52*0.988</f>
        <v>4.8145240000000005</v>
      </c>
      <c r="AA52" s="244">
        <f>S52*0.988</f>
        <v>15.707224</v>
      </c>
      <c r="AB52" s="1277">
        <f>T52*0.988</f>
        <v>15.625219999999999</v>
      </c>
      <c r="AC52" s="244">
        <f>U52</f>
        <v>3.2454340242150623</v>
      </c>
      <c r="AD52" s="1277">
        <f>V52</f>
        <v>69.348345703862108</v>
      </c>
      <c r="AE52" s="241">
        <f t="shared" si="18"/>
        <v>31</v>
      </c>
      <c r="AF52" s="244">
        <f t="shared" si="13"/>
        <v>149.25024400000001</v>
      </c>
      <c r="AG52" s="1285"/>
      <c r="AI52" s="1282">
        <f t="shared" si="20"/>
        <v>12.57037903843108</v>
      </c>
      <c r="AJ52" s="1252">
        <v>0.91839999999999999</v>
      </c>
      <c r="AK52" s="1252">
        <v>1.0209999999999999</v>
      </c>
      <c r="AL52" s="1252">
        <v>8.2480850000000007E-4</v>
      </c>
    </row>
    <row r="53" spans="1:38" ht="18.75" customHeight="1" x14ac:dyDescent="0.2">
      <c r="A53" s="1273">
        <v>38</v>
      </c>
      <c r="B53" s="1274" t="s">
        <v>117</v>
      </c>
      <c r="C53" s="241" t="s">
        <v>46</v>
      </c>
      <c r="D53" s="241">
        <v>671.45</v>
      </c>
      <c r="E53" s="241" t="s">
        <v>554</v>
      </c>
      <c r="F53" s="241">
        <v>177.8</v>
      </c>
      <c r="G53" s="241" t="s">
        <v>28</v>
      </c>
      <c r="H53" s="1299" t="s">
        <v>588</v>
      </c>
      <c r="I53" s="242">
        <v>564.6500000000002</v>
      </c>
      <c r="J53" s="1276"/>
      <c r="K53" s="241"/>
      <c r="L53" s="1277"/>
      <c r="M53" s="241">
        <v>3.2</v>
      </c>
      <c r="N53" s="1278"/>
      <c r="O53" s="241"/>
      <c r="P53" s="1278">
        <f t="shared" si="3"/>
        <v>49.906249621021495</v>
      </c>
      <c r="Q53" s="1278"/>
      <c r="R53" s="244"/>
      <c r="S53" s="244"/>
      <c r="T53" s="1277"/>
      <c r="U53" s="1278"/>
      <c r="V53" s="1278"/>
      <c r="W53" s="1279"/>
      <c r="X53" s="1280"/>
      <c r="Y53" s="244"/>
      <c r="Z53" s="244"/>
      <c r="AA53" s="244"/>
      <c r="AB53" s="1277"/>
      <c r="AC53" s="244"/>
      <c r="AD53" s="1277"/>
      <c r="AE53" s="241"/>
      <c r="AF53" s="244"/>
      <c r="AG53" s="1281" t="s">
        <v>682</v>
      </c>
      <c r="AI53" s="1282">
        <f t="shared" si="20"/>
        <v>49.906249621021495</v>
      </c>
      <c r="AJ53" s="1252">
        <v>0.91290000000000004</v>
      </c>
      <c r="AK53" s="1252">
        <v>1.0189999999999999</v>
      </c>
      <c r="AL53" s="1252">
        <v>8.1276750000000011E-4</v>
      </c>
    </row>
    <row r="54" spans="1:38" s="1297" customFormat="1" ht="18.75" customHeight="1" x14ac:dyDescent="0.2">
      <c r="A54" s="1286">
        <v>39</v>
      </c>
      <c r="B54" s="1327" t="s">
        <v>115</v>
      </c>
      <c r="C54" s="1328" t="s">
        <v>46</v>
      </c>
      <c r="D54" s="1328">
        <v>580.71</v>
      </c>
      <c r="E54" s="1328" t="s">
        <v>286</v>
      </c>
      <c r="F54" s="1288">
        <v>177.8</v>
      </c>
      <c r="G54" s="1328" t="s">
        <v>28</v>
      </c>
      <c r="H54" s="1329" t="s">
        <v>685</v>
      </c>
      <c r="I54" s="1330">
        <v>566.44000000000005</v>
      </c>
      <c r="J54" s="1331">
        <v>110</v>
      </c>
      <c r="K54" s="1328"/>
      <c r="L54" s="1332">
        <v>440</v>
      </c>
      <c r="M54" s="1328"/>
      <c r="N54" s="1292">
        <v>3</v>
      </c>
      <c r="O54" s="1328"/>
      <c r="P54" s="1292">
        <f t="shared" si="3"/>
        <v>14.91455429275195</v>
      </c>
      <c r="Q54" s="1292">
        <f>J54*14/100</f>
        <v>15.4</v>
      </c>
      <c r="R54" s="1333">
        <v>8.1010000000000009</v>
      </c>
      <c r="S54" s="1293">
        <v>13.477</v>
      </c>
      <c r="T54" s="1332">
        <v>14.11</v>
      </c>
      <c r="U54" s="1292">
        <f t="shared" si="14"/>
        <v>1.7417602765090727</v>
      </c>
      <c r="V54" s="1292">
        <f t="shared" ref="V54:V83" si="21">(S54-R54)/S54*100</f>
        <v>39.890183275209608</v>
      </c>
      <c r="W54" s="1334">
        <v>0.2</v>
      </c>
      <c r="X54" s="1335">
        <v>110</v>
      </c>
      <c r="Y54" s="1293">
        <f>IF(S54=0,0,S54/Q54)</f>
        <v>0.87512987012987009</v>
      </c>
      <c r="Z54" s="1293">
        <f t="shared" ref="Z54:AB58" si="22">R54*0.988</f>
        <v>8.0037880000000001</v>
      </c>
      <c r="AA54" s="1293">
        <f t="shared" si="22"/>
        <v>13.315276000000001</v>
      </c>
      <c r="AB54" s="1291">
        <f t="shared" si="22"/>
        <v>13.940679999999999</v>
      </c>
      <c r="AC54" s="1333">
        <f t="shared" ref="AC54:AD56" si="23">U54</f>
        <v>1.7417602765090727</v>
      </c>
      <c r="AD54" s="1291">
        <f t="shared" si="23"/>
        <v>39.890183275209608</v>
      </c>
      <c r="AE54" s="1288">
        <f t="shared" si="18"/>
        <v>31</v>
      </c>
      <c r="AF54" s="1333">
        <f t="shared" si="13"/>
        <v>248.11742800000002</v>
      </c>
      <c r="AG54" s="1336"/>
      <c r="AI54" s="1298">
        <f t="shared" si="20"/>
        <v>14.91455429275195</v>
      </c>
      <c r="AJ54" s="1297">
        <v>0.9083</v>
      </c>
      <c r="AK54" s="1297">
        <v>1.018</v>
      </c>
      <c r="AL54" s="1297">
        <v>6.1000000000000004E-3</v>
      </c>
    </row>
    <row r="55" spans="1:38" s="1297" customFormat="1" ht="18.75" customHeight="1" x14ac:dyDescent="0.2">
      <c r="A55" s="1286">
        <v>40</v>
      </c>
      <c r="B55" s="1287" t="s">
        <v>116</v>
      </c>
      <c r="C55" s="1288" t="s">
        <v>46</v>
      </c>
      <c r="D55" s="1288">
        <v>681.27</v>
      </c>
      <c r="E55" s="1288" t="s">
        <v>601</v>
      </c>
      <c r="F55" s="1288">
        <v>177.8</v>
      </c>
      <c r="G55" s="1288" t="s">
        <v>28</v>
      </c>
      <c r="H55" s="1288" t="s">
        <v>687</v>
      </c>
      <c r="I55" s="1290">
        <v>589.64</v>
      </c>
      <c r="J55" s="1276">
        <v>100</v>
      </c>
      <c r="K55" s="1288"/>
      <c r="L55" s="1291">
        <v>327</v>
      </c>
      <c r="M55" s="1288"/>
      <c r="N55" s="1292">
        <v>5.9</v>
      </c>
      <c r="O55" s="1288"/>
      <c r="P55" s="1292">
        <f t="shared" si="3"/>
        <v>31.634196738099238</v>
      </c>
      <c r="Q55" s="1337">
        <f>J55*20/100</f>
        <v>20</v>
      </c>
      <c r="R55" s="1293">
        <v>2.91</v>
      </c>
      <c r="S55" s="1293">
        <v>21.596</v>
      </c>
      <c r="T55" s="1291">
        <v>2.5659999999999998</v>
      </c>
      <c r="U55" s="1292">
        <f t="shared" si="14"/>
        <v>0.88178694158075588</v>
      </c>
      <c r="V55" s="1292">
        <f t="shared" si="21"/>
        <v>86.525282459714759</v>
      </c>
      <c r="W55" s="1294">
        <v>0.2</v>
      </c>
      <c r="X55" s="1312">
        <v>100</v>
      </c>
      <c r="Y55" s="1293">
        <f>IF(S55=0,0,S55/Q55)</f>
        <v>1.0798000000000001</v>
      </c>
      <c r="Z55" s="1293">
        <f t="shared" si="22"/>
        <v>2.8750800000000001</v>
      </c>
      <c r="AA55" s="1293">
        <f t="shared" si="22"/>
        <v>21.336848</v>
      </c>
      <c r="AB55" s="1291">
        <f t="shared" si="22"/>
        <v>2.5352079999999999</v>
      </c>
      <c r="AC55" s="1293">
        <f t="shared" si="23"/>
        <v>0.88178694158075588</v>
      </c>
      <c r="AD55" s="1291">
        <f t="shared" si="23"/>
        <v>86.525282459714759</v>
      </c>
      <c r="AE55" s="1288">
        <f t="shared" si="18"/>
        <v>31</v>
      </c>
      <c r="AF55" s="1293">
        <f t="shared" si="13"/>
        <v>89.127480000000006</v>
      </c>
      <c r="AG55" s="1336"/>
      <c r="AI55" s="1298">
        <f t="shared" si="20"/>
        <v>31.634196738099238</v>
      </c>
      <c r="AJ55" s="1297">
        <v>0.91739999999999999</v>
      </c>
      <c r="AK55" s="1297">
        <v>1.018</v>
      </c>
      <c r="AL55" s="1297">
        <v>6.1000000000000004E-3</v>
      </c>
    </row>
    <row r="56" spans="1:38" ht="18.75" customHeight="1" x14ac:dyDescent="0.2">
      <c r="A56" s="1273">
        <v>41</v>
      </c>
      <c r="B56" s="1274" t="s">
        <v>120</v>
      </c>
      <c r="C56" s="241" t="s">
        <v>46</v>
      </c>
      <c r="D56" s="241">
        <v>669.48</v>
      </c>
      <c r="E56" s="241" t="s">
        <v>285</v>
      </c>
      <c r="F56" s="241">
        <v>177.8</v>
      </c>
      <c r="G56" s="241" t="s">
        <v>28</v>
      </c>
      <c r="H56" s="1275" t="s">
        <v>464</v>
      </c>
      <c r="I56" s="242">
        <v>560.83000000000004</v>
      </c>
      <c r="J56" s="1283">
        <v>320</v>
      </c>
      <c r="K56" s="241"/>
      <c r="L56" s="1277">
        <v>432</v>
      </c>
      <c r="M56" s="241"/>
      <c r="N56" s="1278">
        <v>0</v>
      </c>
      <c r="O56" s="241"/>
      <c r="P56" s="1278">
        <f t="shared" si="3"/>
        <v>12.557293371981638</v>
      </c>
      <c r="Q56" s="1278">
        <f>RIGHT(H56,(FIND("T",H56,1)-0))*J56/100</f>
        <v>44.8</v>
      </c>
      <c r="R56" s="244">
        <v>2.9239999999999999</v>
      </c>
      <c r="S56" s="244">
        <v>9.3919999999999995</v>
      </c>
      <c r="T56" s="1277">
        <v>1.407</v>
      </c>
      <c r="U56" s="1278">
        <f t="shared" si="14"/>
        <v>0.48119015047879621</v>
      </c>
      <c r="V56" s="1278">
        <f t="shared" si="21"/>
        <v>68.867120954003411</v>
      </c>
      <c r="W56" s="1279">
        <v>0.2</v>
      </c>
      <c r="X56" s="1284">
        <v>320</v>
      </c>
      <c r="Y56" s="244">
        <f>IF(S56=0,0,S56/Q56)</f>
        <v>0.20964285714285713</v>
      </c>
      <c r="Z56" s="244">
        <f t="shared" si="22"/>
        <v>2.8889119999999999</v>
      </c>
      <c r="AA56" s="244">
        <f t="shared" si="22"/>
        <v>9.2792959999999987</v>
      </c>
      <c r="AB56" s="1277">
        <f t="shared" si="22"/>
        <v>1.3901159999999999</v>
      </c>
      <c r="AC56" s="244">
        <f t="shared" si="23"/>
        <v>0.48119015047879621</v>
      </c>
      <c r="AD56" s="1277">
        <f t="shared" si="23"/>
        <v>68.867120954003411</v>
      </c>
      <c r="AE56" s="241">
        <f t="shared" si="18"/>
        <v>31</v>
      </c>
      <c r="AF56" s="244">
        <f t="shared" si="13"/>
        <v>89.556271999999993</v>
      </c>
      <c r="AG56" s="1281"/>
      <c r="AI56" s="1282">
        <f t="shared" si="20"/>
        <v>12.557293371981638</v>
      </c>
      <c r="AJ56" s="1252">
        <v>0.91620000000000001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42</v>
      </c>
      <c r="B57" s="1274" t="s">
        <v>114</v>
      </c>
      <c r="C57" s="241" t="s">
        <v>46</v>
      </c>
      <c r="D57" s="241">
        <v>584.25</v>
      </c>
      <c r="E57" s="241" t="s">
        <v>602</v>
      </c>
      <c r="F57" s="241">
        <v>177.8</v>
      </c>
      <c r="G57" s="241" t="s">
        <v>28</v>
      </c>
      <c r="H57" s="1299" t="s">
        <v>540</v>
      </c>
      <c r="I57" s="242">
        <v>556.55999999999995</v>
      </c>
      <c r="J57" s="1283">
        <v>155</v>
      </c>
      <c r="K57" s="241"/>
      <c r="L57" s="1277">
        <v>193</v>
      </c>
      <c r="M57" s="241"/>
      <c r="N57" s="1278">
        <v>3.1</v>
      </c>
      <c r="O57" s="241"/>
      <c r="P57" s="1278">
        <f t="shared" si="3"/>
        <v>38.588750927694917</v>
      </c>
      <c r="Q57" s="1278">
        <f>J57*7/100</f>
        <v>10.85</v>
      </c>
      <c r="R57" s="244">
        <v>5.4649999999999999</v>
      </c>
      <c r="S57" s="244">
        <v>38.878999999999998</v>
      </c>
      <c r="T57" s="1277">
        <v>10.741</v>
      </c>
      <c r="U57" s="1278">
        <f t="shared" si="14"/>
        <v>1.9654162854528821</v>
      </c>
      <c r="V57" s="1278">
        <f t="shared" si="21"/>
        <v>85.943568507420466</v>
      </c>
      <c r="W57" s="1279">
        <v>0.2</v>
      </c>
      <c r="X57" s="1284">
        <v>155</v>
      </c>
      <c r="Y57" s="244">
        <f>IF(S57=0,0,S57/Q57)</f>
        <v>3.5833179723502302</v>
      </c>
      <c r="Z57" s="244">
        <f t="shared" si="22"/>
        <v>5.3994200000000001</v>
      </c>
      <c r="AA57" s="244">
        <f t="shared" si="22"/>
        <v>38.412451999999995</v>
      </c>
      <c r="AB57" s="1277">
        <f t="shared" si="22"/>
        <v>10.612107999999999</v>
      </c>
      <c r="AC57" s="244">
        <f>U57</f>
        <v>1.9654162854528821</v>
      </c>
      <c r="AD57" s="1277">
        <v>0</v>
      </c>
      <c r="AE57" s="241">
        <f t="shared" si="18"/>
        <v>31</v>
      </c>
      <c r="AF57" s="244">
        <f t="shared" si="13"/>
        <v>167.38202000000001</v>
      </c>
      <c r="AG57" s="1281"/>
      <c r="AI57" s="1282">
        <f t="shared" si="20"/>
        <v>38.588750927694917</v>
      </c>
      <c r="AJ57" s="1252">
        <v>0.92549999999999999</v>
      </c>
      <c r="AK57" s="1252">
        <v>1.018</v>
      </c>
      <c r="AL57" s="1252">
        <v>6.1000000000000004E-3</v>
      </c>
    </row>
    <row r="58" spans="1:38" ht="18.75" customHeight="1" x14ac:dyDescent="0.25">
      <c r="A58" s="1273">
        <v>43</v>
      </c>
      <c r="B58" s="1274" t="s">
        <v>106</v>
      </c>
      <c r="C58" s="241" t="s">
        <v>46</v>
      </c>
      <c r="D58" s="241">
        <v>582.16</v>
      </c>
      <c r="E58" s="241" t="s">
        <v>691</v>
      </c>
      <c r="F58" s="241">
        <v>177.8</v>
      </c>
      <c r="G58" s="241" t="s">
        <v>28</v>
      </c>
      <c r="H58" s="1299" t="s">
        <v>685</v>
      </c>
      <c r="I58" s="242">
        <v>549.65</v>
      </c>
      <c r="J58" s="1283">
        <v>125</v>
      </c>
      <c r="K58" s="241"/>
      <c r="L58" s="1338">
        <v>435</v>
      </c>
      <c r="M58" s="1278"/>
      <c r="N58" s="1339">
        <v>1.1000000000000001</v>
      </c>
      <c r="O58" s="241"/>
      <c r="P58" s="1278">
        <f t="shared" si="3"/>
        <v>12.275105520162196</v>
      </c>
      <c r="Q58" s="1278">
        <f>14*J58/100</f>
        <v>17.5</v>
      </c>
      <c r="R58" s="244">
        <v>2.089</v>
      </c>
      <c r="S58" s="244">
        <v>7.5209999999999999</v>
      </c>
      <c r="T58" s="1277">
        <v>23.222000000000001</v>
      </c>
      <c r="U58" s="1278">
        <f t="shared" si="14"/>
        <v>11.116323599808522</v>
      </c>
      <c r="V58" s="1278">
        <f t="shared" si="21"/>
        <v>72.224438239595798</v>
      </c>
      <c r="W58" s="1279">
        <v>0.2</v>
      </c>
      <c r="X58" s="1284">
        <v>125</v>
      </c>
      <c r="Y58" s="244">
        <f>IF(S58=0,0,S58/Q58)</f>
        <v>0.42977142857142858</v>
      </c>
      <c r="Z58" s="244">
        <f t="shared" si="22"/>
        <v>2.0639319999999999</v>
      </c>
      <c r="AA58" s="244">
        <f t="shared" si="22"/>
        <v>7.4307479999999995</v>
      </c>
      <c r="AB58" s="1277">
        <f t="shared" si="22"/>
        <v>22.943336000000002</v>
      </c>
      <c r="AC58" s="244">
        <f>U58</f>
        <v>11.116323599808522</v>
      </c>
      <c r="AD58" s="1277">
        <f>V58</f>
        <v>72.224438239595798</v>
      </c>
      <c r="AE58" s="241">
        <f t="shared" si="18"/>
        <v>31</v>
      </c>
      <c r="AF58" s="244">
        <f t="shared" si="13"/>
        <v>63.981891999999995</v>
      </c>
      <c r="AG58" s="1281"/>
      <c r="AI58" s="1282">
        <f t="shared" si="20"/>
        <v>12.275105520162196</v>
      </c>
      <c r="AJ58" s="1252">
        <v>0.89419999999999999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44</v>
      </c>
      <c r="B59" s="1274" t="s">
        <v>105</v>
      </c>
      <c r="C59" s="241" t="s">
        <v>46</v>
      </c>
      <c r="D59" s="241">
        <v>565</v>
      </c>
      <c r="E59" s="241" t="s">
        <v>604</v>
      </c>
      <c r="F59" s="241">
        <v>177.8</v>
      </c>
      <c r="G59" s="241" t="s">
        <v>28</v>
      </c>
      <c r="H59" s="241" t="s">
        <v>48</v>
      </c>
      <c r="I59" s="242">
        <v>506.61000000000013</v>
      </c>
      <c r="J59" s="1283"/>
      <c r="K59" s="241"/>
      <c r="L59" s="1319"/>
      <c r="M59" s="1278"/>
      <c r="N59" s="1278"/>
      <c r="O59" s="241"/>
      <c r="P59" s="1278">
        <f t="shared" si="3"/>
        <v>44.055405582235394</v>
      </c>
      <c r="Q59" s="1278"/>
      <c r="R59" s="244"/>
      <c r="S59" s="244"/>
      <c r="T59" s="1277"/>
      <c r="U59" s="1278"/>
      <c r="V59" s="1278"/>
      <c r="W59" s="1279"/>
      <c r="X59" s="1284"/>
      <c r="Y59" s="244"/>
      <c r="Z59" s="244"/>
      <c r="AA59" s="244"/>
      <c r="AB59" s="1277"/>
      <c r="AC59" s="244"/>
      <c r="AD59" s="1277"/>
      <c r="AE59" s="241"/>
      <c r="AF59" s="244"/>
      <c r="AG59" s="1281" t="s">
        <v>682</v>
      </c>
      <c r="AI59" s="1282">
        <f t="shared" si="20"/>
        <v>44.055405582235394</v>
      </c>
      <c r="AJ59" s="1252">
        <v>0.8982</v>
      </c>
      <c r="AK59" s="1252">
        <v>1.018</v>
      </c>
      <c r="AL59" s="1252">
        <v>6.1000000000000004E-3</v>
      </c>
    </row>
    <row r="60" spans="1:38" ht="18.75" customHeight="1" x14ac:dyDescent="0.25">
      <c r="A60" s="1273">
        <v>45</v>
      </c>
      <c r="B60" s="1274" t="s">
        <v>104</v>
      </c>
      <c r="C60" s="241" t="s">
        <v>580</v>
      </c>
      <c r="D60" s="241">
        <v>705.7</v>
      </c>
      <c r="E60" s="242" t="s">
        <v>692</v>
      </c>
      <c r="F60" s="241">
        <v>177.8</v>
      </c>
      <c r="G60" s="241" t="s">
        <v>28</v>
      </c>
      <c r="H60" s="1299" t="s">
        <v>466</v>
      </c>
      <c r="I60" s="242">
        <v>534.71</v>
      </c>
      <c r="J60" s="1283">
        <v>260</v>
      </c>
      <c r="K60" s="241"/>
      <c r="L60" s="1340">
        <v>1</v>
      </c>
      <c r="M60" s="241">
        <v>0</v>
      </c>
      <c r="N60" s="1341">
        <v>5.0999999999999996</v>
      </c>
      <c r="O60" s="241"/>
      <c r="P60" s="1278">
        <f t="shared" si="3"/>
        <v>54.653889464878503</v>
      </c>
      <c r="Q60" s="1278">
        <f>J60*13/100</f>
        <v>33.799999999999997</v>
      </c>
      <c r="R60" s="244">
        <v>1.8460000000000001</v>
      </c>
      <c r="S60" s="244">
        <v>3.363</v>
      </c>
      <c r="T60" s="1277">
        <v>34.704000000000001</v>
      </c>
      <c r="U60" s="1278">
        <f>IF(R60=0,0,T60/R60)</f>
        <v>18.799566630552544</v>
      </c>
      <c r="V60" s="1278">
        <f t="shared" si="21"/>
        <v>45.108534046981859</v>
      </c>
      <c r="W60" s="1279">
        <v>0.2</v>
      </c>
      <c r="X60" s="1284">
        <v>260</v>
      </c>
      <c r="Y60" s="244">
        <f t="shared" ref="Y60:Y72" si="24">IF(S60=0,0,S60/Q60)</f>
        <v>9.9497041420118351E-2</v>
      </c>
      <c r="Z60" s="244">
        <f t="shared" ref="Z60:AB66" si="25">R60*0.988</f>
        <v>1.8238480000000001</v>
      </c>
      <c r="AA60" s="244">
        <f t="shared" si="25"/>
        <v>3.3226439999999999</v>
      </c>
      <c r="AB60" s="1277">
        <f t="shared" si="25"/>
        <v>34.287551999999998</v>
      </c>
      <c r="AC60" s="244">
        <f t="shared" ref="AC60:AD66" si="26">U60</f>
        <v>18.799566630552544</v>
      </c>
      <c r="AD60" s="1277">
        <f t="shared" si="26"/>
        <v>45.108534046981859</v>
      </c>
      <c r="AE60" s="241">
        <f t="shared" si="18"/>
        <v>31</v>
      </c>
      <c r="AF60" s="244">
        <f t="shared" si="13"/>
        <v>56.539288000000006</v>
      </c>
      <c r="AG60" s="1281"/>
      <c r="AI60" s="1282">
        <f t="shared" si="20"/>
        <v>54.653889464878503</v>
      </c>
      <c r="AJ60" s="1252">
        <v>0.91049999999999998</v>
      </c>
      <c r="AK60" s="1252">
        <v>1.018</v>
      </c>
      <c r="AL60" s="1252">
        <v>6.1000000000000004E-3</v>
      </c>
    </row>
    <row r="61" spans="1:38" ht="18.600000000000001" customHeight="1" x14ac:dyDescent="0.25">
      <c r="A61" s="1273">
        <v>46</v>
      </c>
      <c r="B61" s="1317" t="s">
        <v>158</v>
      </c>
      <c r="C61" s="241" t="s">
        <v>46</v>
      </c>
      <c r="D61" s="242">
        <v>674.45</v>
      </c>
      <c r="E61" s="242" t="s">
        <v>232</v>
      </c>
      <c r="F61" s="241">
        <v>177.8</v>
      </c>
      <c r="G61" s="241" t="s">
        <v>28</v>
      </c>
      <c r="H61" s="1299" t="s">
        <v>464</v>
      </c>
      <c r="I61" s="242">
        <v>542.6</v>
      </c>
      <c r="J61" s="1268">
        <v>130</v>
      </c>
      <c r="K61" s="242"/>
      <c r="L61" s="1319">
        <v>475.42</v>
      </c>
      <c r="M61" s="242"/>
      <c r="N61" s="1278">
        <v>3.2</v>
      </c>
      <c r="O61" s="242"/>
      <c r="P61" s="1278">
        <f t="shared" si="3"/>
        <v>9.55789229976358</v>
      </c>
      <c r="Q61" s="1278">
        <f>RIGHT(H61,(FIND("T",H61,1)-0))*J61/100</f>
        <v>18.2</v>
      </c>
      <c r="R61" s="244">
        <v>5.7969999999999997</v>
      </c>
      <c r="S61" s="244">
        <v>9.1120000000000001</v>
      </c>
      <c r="T61" s="1319">
        <v>22.295999999999999</v>
      </c>
      <c r="U61" s="1278">
        <f t="shared" si="14"/>
        <v>3.8461273072278765</v>
      </c>
      <c r="V61" s="1278">
        <f t="shared" si="21"/>
        <v>36.380597014925378</v>
      </c>
      <c r="W61" s="1279">
        <v>0.2</v>
      </c>
      <c r="X61" s="1271">
        <v>130</v>
      </c>
      <c r="Y61" s="244">
        <f t="shared" si="24"/>
        <v>0.5006593406593407</v>
      </c>
      <c r="Z61" s="244">
        <f t="shared" si="25"/>
        <v>5.727436</v>
      </c>
      <c r="AA61" s="244">
        <f t="shared" si="25"/>
        <v>9.002656</v>
      </c>
      <c r="AB61" s="1277">
        <f t="shared" si="25"/>
        <v>22.028448000000001</v>
      </c>
      <c r="AC61" s="244">
        <f t="shared" si="26"/>
        <v>3.8461273072278765</v>
      </c>
      <c r="AD61" s="1277">
        <f t="shared" si="26"/>
        <v>36.380597014925378</v>
      </c>
      <c r="AE61" s="241">
        <f t="shared" si="18"/>
        <v>31</v>
      </c>
      <c r="AF61" s="244">
        <f>Z61*AE61</f>
        <v>177.55051599999999</v>
      </c>
      <c r="AG61" s="1342"/>
      <c r="AI61" s="1282">
        <f t="shared" si="20"/>
        <v>9.55789229976358</v>
      </c>
      <c r="AJ61" s="1252">
        <v>0.88649999999999995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47</v>
      </c>
      <c r="B62" s="1274" t="s">
        <v>164</v>
      </c>
      <c r="C62" s="241" t="s">
        <v>46</v>
      </c>
      <c r="D62" s="242">
        <v>678.47</v>
      </c>
      <c r="E62" s="242" t="s">
        <v>606</v>
      </c>
      <c r="F62" s="241">
        <v>177.8</v>
      </c>
      <c r="G62" s="241" t="s">
        <v>28</v>
      </c>
      <c r="H62" s="1299" t="s">
        <v>466</v>
      </c>
      <c r="I62" s="242">
        <v>574.4</v>
      </c>
      <c r="J62" s="1320">
        <v>145</v>
      </c>
      <c r="K62" s="242"/>
      <c r="L62" s="1319">
        <v>144</v>
      </c>
      <c r="M62" s="242"/>
      <c r="N62" s="1278">
        <v>0</v>
      </c>
      <c r="O62" s="242"/>
      <c r="P62" s="1278">
        <f t="shared" si="3"/>
        <v>41.886550010120473</v>
      </c>
      <c r="Q62" s="1278">
        <f>LEFT(H62,(FIND("E",H62,1)-1))*J62/100</f>
        <v>18.850000000000001</v>
      </c>
      <c r="R62" s="244">
        <v>3.3839999999999999</v>
      </c>
      <c r="S62" s="244">
        <v>21.562000000000001</v>
      </c>
      <c r="T62" s="1277">
        <v>18.148</v>
      </c>
      <c r="U62" s="1278">
        <f t="shared" si="14"/>
        <v>5.3628841607565017</v>
      </c>
      <c r="V62" s="1278">
        <f t="shared" si="21"/>
        <v>84.305723031258694</v>
      </c>
      <c r="W62" s="1279">
        <v>0.2</v>
      </c>
      <c r="X62" s="1321">
        <v>145</v>
      </c>
      <c r="Y62" s="244">
        <f t="shared" si="24"/>
        <v>1.1438726790450928</v>
      </c>
      <c r="Z62" s="244">
        <f t="shared" si="25"/>
        <v>3.3433919999999997</v>
      </c>
      <c r="AA62" s="244">
        <f t="shared" si="25"/>
        <v>21.303256000000001</v>
      </c>
      <c r="AB62" s="1277">
        <f t="shared" si="25"/>
        <v>17.930223999999999</v>
      </c>
      <c r="AC62" s="244">
        <f t="shared" si="26"/>
        <v>5.3628841607565017</v>
      </c>
      <c r="AD62" s="1277">
        <f t="shared" si="26"/>
        <v>84.305723031258694</v>
      </c>
      <c r="AE62" s="241">
        <f t="shared" si="18"/>
        <v>31</v>
      </c>
      <c r="AF62" s="244">
        <f t="shared" ref="AF62:AF72" si="27">Z62*AE62</f>
        <v>103.645152</v>
      </c>
      <c r="AG62" s="1281"/>
      <c r="AI62" s="1282">
        <f t="shared" si="20"/>
        <v>41.886550010120473</v>
      </c>
      <c r="AJ62" s="1252">
        <v>0.9234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48</v>
      </c>
      <c r="B63" s="1274" t="s">
        <v>61</v>
      </c>
      <c r="C63" s="241" t="s">
        <v>46</v>
      </c>
      <c r="D63" s="241">
        <v>667.18</v>
      </c>
      <c r="E63" s="241" t="s">
        <v>96</v>
      </c>
      <c r="F63" s="241">
        <v>177.8</v>
      </c>
      <c r="G63" s="241" t="s">
        <v>28</v>
      </c>
      <c r="H63" s="1299" t="s">
        <v>693</v>
      </c>
      <c r="I63" s="242">
        <v>541.12</v>
      </c>
      <c r="J63" s="1283">
        <v>175</v>
      </c>
      <c r="K63" s="241"/>
      <c r="L63" s="1277">
        <v>439</v>
      </c>
      <c r="M63" s="241"/>
      <c r="N63" s="1278">
        <v>4.2</v>
      </c>
      <c r="O63" s="241"/>
      <c r="P63" s="1278">
        <f t="shared" si="3"/>
        <v>14.077422186190722</v>
      </c>
      <c r="Q63" s="1278">
        <f>20*J63/100</f>
        <v>35</v>
      </c>
      <c r="R63" s="244">
        <v>7.4039999999999999</v>
      </c>
      <c r="S63" s="244">
        <v>21.087</v>
      </c>
      <c r="T63" s="1277">
        <v>68.966999999999999</v>
      </c>
      <c r="U63" s="1278">
        <f t="shared" si="14"/>
        <v>9.314829821717991</v>
      </c>
      <c r="V63" s="1278">
        <f t="shared" si="21"/>
        <v>64.888319817897283</v>
      </c>
      <c r="W63" s="1279">
        <v>0.2</v>
      </c>
      <c r="X63" s="1284">
        <v>175</v>
      </c>
      <c r="Y63" s="244">
        <f t="shared" si="24"/>
        <v>0.60248571428571429</v>
      </c>
      <c r="Z63" s="244">
        <f t="shared" si="25"/>
        <v>7.3151519999999994</v>
      </c>
      <c r="AA63" s="244">
        <f t="shared" si="25"/>
        <v>20.833956000000001</v>
      </c>
      <c r="AB63" s="1277">
        <f t="shared" si="25"/>
        <v>68.139396000000005</v>
      </c>
      <c r="AC63" s="244">
        <f t="shared" si="26"/>
        <v>9.314829821717991</v>
      </c>
      <c r="AD63" s="1277">
        <f t="shared" si="26"/>
        <v>64.888319817897283</v>
      </c>
      <c r="AE63" s="241">
        <f t="shared" si="18"/>
        <v>31</v>
      </c>
      <c r="AF63" s="244">
        <f t="shared" si="27"/>
        <v>226.76971199999997</v>
      </c>
      <c r="AG63" s="1285"/>
      <c r="AI63" s="1282">
        <f t="shared" si="20"/>
        <v>14.077422186190722</v>
      </c>
      <c r="AJ63" s="1252">
        <v>0.88929999999999998</v>
      </c>
      <c r="AK63" s="1252">
        <v>1.018</v>
      </c>
      <c r="AL63" s="1252">
        <v>6.1000000000000004E-3</v>
      </c>
    </row>
    <row r="64" spans="1:38" ht="18.75" customHeight="1" x14ac:dyDescent="0.2">
      <c r="A64" s="1273">
        <v>49</v>
      </c>
      <c r="B64" s="1274" t="s">
        <v>64</v>
      </c>
      <c r="C64" s="241" t="s">
        <v>46</v>
      </c>
      <c r="D64" s="241">
        <v>674.52</v>
      </c>
      <c r="E64" s="241" t="s">
        <v>444</v>
      </c>
      <c r="F64" s="241">
        <v>177.8</v>
      </c>
      <c r="G64" s="241" t="s">
        <v>28</v>
      </c>
      <c r="H64" s="1299" t="s">
        <v>464</v>
      </c>
      <c r="I64" s="242">
        <v>521.42999999999995</v>
      </c>
      <c r="J64" s="1283">
        <v>300</v>
      </c>
      <c r="K64" s="241"/>
      <c r="L64" s="1277">
        <v>457</v>
      </c>
      <c r="M64" s="241"/>
      <c r="N64" s="1278">
        <v>5.4</v>
      </c>
      <c r="O64" s="241"/>
      <c r="P64" s="1278">
        <f t="shared" si="3"/>
        <v>11.414737819007081</v>
      </c>
      <c r="Q64" s="1278">
        <f>J64*13/100</f>
        <v>39</v>
      </c>
      <c r="R64" s="244">
        <v>8.5809999999999995</v>
      </c>
      <c r="S64" s="244">
        <v>12.768000000000001</v>
      </c>
      <c r="T64" s="1277">
        <v>233.63300000000001</v>
      </c>
      <c r="U64" s="1278">
        <f t="shared" si="14"/>
        <v>27.22678009555996</v>
      </c>
      <c r="V64" s="1278">
        <f t="shared" si="21"/>
        <v>32.792919799498755</v>
      </c>
      <c r="W64" s="1279">
        <v>0.2</v>
      </c>
      <c r="X64" s="1284">
        <v>300</v>
      </c>
      <c r="Y64" s="244">
        <f t="shared" si="24"/>
        <v>0.32738461538461539</v>
      </c>
      <c r="Z64" s="244">
        <f t="shared" si="25"/>
        <v>8.4780280000000001</v>
      </c>
      <c r="AA64" s="244">
        <f t="shared" si="25"/>
        <v>12.614784</v>
      </c>
      <c r="AB64" s="1277">
        <f t="shared" si="25"/>
        <v>230.82940400000001</v>
      </c>
      <c r="AC64" s="244">
        <f t="shared" si="26"/>
        <v>27.22678009555996</v>
      </c>
      <c r="AD64" s="1277">
        <f t="shared" si="26"/>
        <v>32.792919799498755</v>
      </c>
      <c r="AE64" s="241">
        <f t="shared" si="18"/>
        <v>31</v>
      </c>
      <c r="AF64" s="244">
        <f t="shared" si="27"/>
        <v>262.81886800000001</v>
      </c>
      <c r="AG64" s="1285"/>
      <c r="AI64" s="1282">
        <f t="shared" si="20"/>
        <v>11.414737819007081</v>
      </c>
      <c r="AJ64" s="1252">
        <v>0.87360000000000004</v>
      </c>
      <c r="AK64" s="1252">
        <v>1.018</v>
      </c>
      <c r="AL64" s="1252">
        <v>6.1000000000000004E-3</v>
      </c>
    </row>
    <row r="65" spans="1:38" ht="29.25" customHeight="1" x14ac:dyDescent="0.2">
      <c r="A65" s="1273">
        <v>50</v>
      </c>
      <c r="B65" s="1274" t="s">
        <v>156</v>
      </c>
      <c r="C65" s="241" t="s">
        <v>408</v>
      </c>
      <c r="D65" s="241">
        <v>679.54</v>
      </c>
      <c r="E65" s="242" t="s">
        <v>607</v>
      </c>
      <c r="F65" s="241">
        <v>177.8</v>
      </c>
      <c r="G65" s="241" t="s">
        <v>28</v>
      </c>
      <c r="H65" s="241" t="s">
        <v>464</v>
      </c>
      <c r="I65" s="242">
        <v>512.28</v>
      </c>
      <c r="J65" s="1283">
        <v>175</v>
      </c>
      <c r="K65" s="241"/>
      <c r="L65" s="1277">
        <v>422</v>
      </c>
      <c r="M65" s="241"/>
      <c r="N65" s="1278">
        <v>3.4</v>
      </c>
      <c r="O65" s="241"/>
      <c r="P65" s="1278">
        <f t="shared" si="3"/>
        <v>12.066251481189868</v>
      </c>
      <c r="Q65" s="1278">
        <f>RIGHT(H65,(FIND("T",H65,1)-0))*J65/100</f>
        <v>24.5</v>
      </c>
      <c r="R65" s="244">
        <v>5.867</v>
      </c>
      <c r="S65" s="244">
        <v>12.944000000000001</v>
      </c>
      <c r="T65" s="1277">
        <v>38.667999999999999</v>
      </c>
      <c r="U65" s="1278">
        <f t="shared" si="14"/>
        <v>6.5907618885290606</v>
      </c>
      <c r="V65" s="1278">
        <f t="shared" si="21"/>
        <v>54.673980222496908</v>
      </c>
      <c r="W65" s="1279">
        <v>0.2</v>
      </c>
      <c r="X65" s="1284">
        <v>175</v>
      </c>
      <c r="Y65" s="244">
        <f t="shared" si="24"/>
        <v>0.52832653061224488</v>
      </c>
      <c r="Z65" s="244">
        <f t="shared" si="25"/>
        <v>5.7965960000000001</v>
      </c>
      <c r="AA65" s="244">
        <f t="shared" si="25"/>
        <v>12.788672</v>
      </c>
      <c r="AB65" s="1277">
        <f t="shared" si="25"/>
        <v>38.203983999999998</v>
      </c>
      <c r="AC65" s="244">
        <f t="shared" si="26"/>
        <v>6.5907618885290606</v>
      </c>
      <c r="AD65" s="1277">
        <f t="shared" si="26"/>
        <v>54.673980222496908</v>
      </c>
      <c r="AE65" s="241">
        <f t="shared" si="18"/>
        <v>31</v>
      </c>
      <c r="AF65" s="244">
        <f t="shared" si="27"/>
        <v>179.69447600000001</v>
      </c>
      <c r="AG65" s="1285"/>
      <c r="AI65" s="1282">
        <f t="shared" si="20"/>
        <v>12.066251481189868</v>
      </c>
      <c r="AJ65" s="1252">
        <v>0.89659999999999995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51</v>
      </c>
      <c r="B66" s="1274" t="s">
        <v>169</v>
      </c>
      <c r="C66" s="241" t="s">
        <v>46</v>
      </c>
      <c r="D66" s="241">
        <v>578.64</v>
      </c>
      <c r="E66" s="241" t="s">
        <v>694</v>
      </c>
      <c r="F66" s="241">
        <v>177.8</v>
      </c>
      <c r="G66" s="241" t="s">
        <v>28</v>
      </c>
      <c r="H66" s="241" t="s">
        <v>466</v>
      </c>
      <c r="I66" s="242">
        <v>539.28</v>
      </c>
      <c r="J66" s="1283">
        <v>120</v>
      </c>
      <c r="K66" s="241"/>
      <c r="L66" s="1277">
        <v>247</v>
      </c>
      <c r="M66" s="241"/>
      <c r="N66" s="1278">
        <v>4.5999999999999996</v>
      </c>
      <c r="O66" s="241"/>
      <c r="P66" s="1278">
        <f t="shared" si="3"/>
        <v>33.017426273610859</v>
      </c>
      <c r="Q66" s="1278">
        <f>J66*13/100</f>
        <v>15.6</v>
      </c>
      <c r="R66" s="244">
        <v>2.0329999999999999</v>
      </c>
      <c r="S66" s="244">
        <v>13.224</v>
      </c>
      <c r="T66" s="1277">
        <v>26.888999999999999</v>
      </c>
      <c r="U66" s="1278">
        <f t="shared" si="14"/>
        <v>13.226266601082145</v>
      </c>
      <c r="V66" s="1278">
        <f t="shared" si="21"/>
        <v>84.6264367816092</v>
      </c>
      <c r="W66" s="1279">
        <v>0.2</v>
      </c>
      <c r="X66" s="1284">
        <v>120</v>
      </c>
      <c r="Y66" s="244">
        <f t="shared" si="24"/>
        <v>0.84769230769230774</v>
      </c>
      <c r="Z66" s="244">
        <f t="shared" si="25"/>
        <v>2.0086040000000001</v>
      </c>
      <c r="AA66" s="244">
        <f t="shared" si="25"/>
        <v>13.065312</v>
      </c>
      <c r="AB66" s="1277">
        <f t="shared" si="25"/>
        <v>26.566331999999999</v>
      </c>
      <c r="AC66" s="244">
        <f t="shared" si="26"/>
        <v>13.226266601082145</v>
      </c>
      <c r="AD66" s="1277">
        <f t="shared" si="26"/>
        <v>84.6264367816092</v>
      </c>
      <c r="AE66" s="241">
        <f t="shared" si="18"/>
        <v>31</v>
      </c>
      <c r="AF66" s="244">
        <f>Z66*AE66</f>
        <v>62.266724000000004</v>
      </c>
      <c r="AG66" s="1285"/>
      <c r="AI66" s="1282">
        <f t="shared" si="20"/>
        <v>33.017426273610859</v>
      </c>
      <c r="AJ66" s="1252">
        <v>0.89490000000000003</v>
      </c>
      <c r="AK66" s="1252">
        <v>1.018</v>
      </c>
      <c r="AL66" s="1252">
        <v>6.1000000000000004E-3</v>
      </c>
    </row>
    <row r="67" spans="1:38" ht="30" customHeight="1" x14ac:dyDescent="0.2">
      <c r="A67" s="1273">
        <v>52</v>
      </c>
      <c r="B67" s="1274" t="s">
        <v>62</v>
      </c>
      <c r="C67" s="241" t="s">
        <v>46</v>
      </c>
      <c r="D67" s="241">
        <v>673.73</v>
      </c>
      <c r="E67" s="241" t="s">
        <v>97</v>
      </c>
      <c r="F67" s="241">
        <v>177.8</v>
      </c>
      <c r="G67" s="241" t="s">
        <v>28</v>
      </c>
      <c r="H67" s="1299" t="s">
        <v>565</v>
      </c>
      <c r="I67" s="242">
        <v>541.46</v>
      </c>
      <c r="J67" s="1283">
        <v>100</v>
      </c>
      <c r="K67" s="241"/>
      <c r="L67" s="1277">
        <v>226</v>
      </c>
      <c r="M67" s="241"/>
      <c r="N67" s="1278">
        <v>5.9</v>
      </c>
      <c r="O67" s="241"/>
      <c r="P67" s="1278">
        <f t="shared" si="3"/>
        <v>36.468393313323467</v>
      </c>
      <c r="Q67" s="1278">
        <f>(22/100)*J67</f>
        <v>22</v>
      </c>
      <c r="R67" s="244">
        <v>5.1609999999999996</v>
      </c>
      <c r="S67" s="244">
        <v>29.544</v>
      </c>
      <c r="T67" s="1277">
        <v>23.687999999999999</v>
      </c>
      <c r="U67" s="1278">
        <f t="shared" si="14"/>
        <v>4.5898081767099397</v>
      </c>
      <c r="V67" s="1278">
        <f t="shared" si="21"/>
        <v>82.53113999458435</v>
      </c>
      <c r="W67" s="1279">
        <v>0.2</v>
      </c>
      <c r="X67" s="1284">
        <v>100</v>
      </c>
      <c r="Y67" s="244">
        <f t="shared" si="24"/>
        <v>1.3429090909090908</v>
      </c>
      <c r="Z67" s="244">
        <v>6</v>
      </c>
      <c r="AA67" s="244">
        <f>S67</f>
        <v>29.544</v>
      </c>
      <c r="AB67" s="1277">
        <f t="shared" ref="AB67:AB72" si="28">T67*0.988</f>
        <v>23.403744</v>
      </c>
      <c r="AC67" s="244">
        <f>U67</f>
        <v>4.5898081767099397</v>
      </c>
      <c r="AD67" s="1278">
        <f>(AA67-Z67)/AA67*100</f>
        <v>79.691307879772538</v>
      </c>
      <c r="AE67" s="241">
        <f t="shared" si="18"/>
        <v>31</v>
      </c>
      <c r="AF67" s="244">
        <f t="shared" si="27"/>
        <v>186</v>
      </c>
      <c r="AG67" s="1285"/>
      <c r="AI67" s="1282">
        <f t="shared" si="20"/>
        <v>36.468393313323467</v>
      </c>
      <c r="AJ67" s="1252">
        <v>0.89490000000000003</v>
      </c>
      <c r="AK67" s="1252">
        <v>1.018</v>
      </c>
      <c r="AL67" s="1252">
        <v>6.1000000000000004E-3</v>
      </c>
    </row>
    <row r="68" spans="1:38" ht="18.75" customHeight="1" x14ac:dyDescent="0.2">
      <c r="A68" s="1273">
        <v>53</v>
      </c>
      <c r="B68" s="1274" t="s">
        <v>157</v>
      </c>
      <c r="C68" s="241" t="s">
        <v>46</v>
      </c>
      <c r="D68" s="241">
        <v>602</v>
      </c>
      <c r="E68" s="241" t="s">
        <v>608</v>
      </c>
      <c r="F68" s="241">
        <v>177.8</v>
      </c>
      <c r="G68" s="241" t="s">
        <v>28</v>
      </c>
      <c r="H68" s="241" t="s">
        <v>695</v>
      </c>
      <c r="I68" s="242">
        <v>539.83000000000004</v>
      </c>
      <c r="J68" s="1276">
        <v>95</v>
      </c>
      <c r="K68" s="241"/>
      <c r="L68" s="1277">
        <v>92</v>
      </c>
      <c r="M68" s="1278"/>
      <c r="N68" s="1278">
        <v>4.8</v>
      </c>
      <c r="O68" s="241"/>
      <c r="P68" s="1278">
        <f t="shared" si="3"/>
        <v>48.416218900477077</v>
      </c>
      <c r="Q68" s="1278">
        <f>(32/100)*J68</f>
        <v>30.400000000000002</v>
      </c>
      <c r="R68" s="244">
        <v>3.6579999999999999</v>
      </c>
      <c r="S68" s="244">
        <v>34.159999999999997</v>
      </c>
      <c r="T68" s="1277">
        <v>70.296000000000006</v>
      </c>
      <c r="U68" s="1278">
        <f t="shared" si="14"/>
        <v>19.217058501913616</v>
      </c>
      <c r="V68" s="1278">
        <f t="shared" si="21"/>
        <v>89.291569086651052</v>
      </c>
      <c r="W68" s="1279">
        <v>0.4</v>
      </c>
      <c r="X68" s="1280">
        <v>95</v>
      </c>
      <c r="Y68" s="244">
        <f t="shared" si="24"/>
        <v>1.1236842105263156</v>
      </c>
      <c r="Z68" s="244">
        <f t="shared" ref="Z68:AA72" si="29">R68*0.988</f>
        <v>3.6141039999999998</v>
      </c>
      <c r="AA68" s="244">
        <f t="shared" si="29"/>
        <v>33.750079999999997</v>
      </c>
      <c r="AB68" s="1277">
        <f t="shared" si="28"/>
        <v>69.452448000000004</v>
      </c>
      <c r="AC68" s="244">
        <f>U68</f>
        <v>19.217058501913616</v>
      </c>
      <c r="AD68" s="1277">
        <f>V68</f>
        <v>89.291569086651052</v>
      </c>
      <c r="AE68" s="241">
        <f t="shared" si="18"/>
        <v>31</v>
      </c>
      <c r="AF68" s="244">
        <f t="shared" si="27"/>
        <v>112.03722399999999</v>
      </c>
      <c r="AG68" s="1343"/>
      <c r="AI68" s="1282">
        <f t="shared" si="20"/>
        <v>48.416218900477077</v>
      </c>
      <c r="AJ68" s="1252">
        <v>0.89390000000000003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54</v>
      </c>
      <c r="B69" s="1274" t="s">
        <v>159</v>
      </c>
      <c r="C69" s="241" t="s">
        <v>46</v>
      </c>
      <c r="D69" s="241">
        <v>676.1</v>
      </c>
      <c r="E69" s="241" t="s">
        <v>167</v>
      </c>
      <c r="F69" s="241">
        <v>177.8</v>
      </c>
      <c r="G69" s="241" t="s">
        <v>28</v>
      </c>
      <c r="H69" s="1299" t="s">
        <v>565</v>
      </c>
      <c r="I69" s="242">
        <v>512.47</v>
      </c>
      <c r="J69" s="1344">
        <v>245</v>
      </c>
      <c r="K69" s="241"/>
      <c r="L69" s="1277">
        <v>461</v>
      </c>
      <c r="M69" s="241"/>
      <c r="N69" s="1278">
        <v>5.6</v>
      </c>
      <c r="O69" s="241"/>
      <c r="P69" s="1278">
        <f t="shared" si="3"/>
        <v>10.410086057375802</v>
      </c>
      <c r="Q69" s="1278">
        <f>(20*J69)/100</f>
        <v>49</v>
      </c>
      <c r="R69" s="244">
        <v>11.8</v>
      </c>
      <c r="S69" s="244">
        <v>16.32</v>
      </c>
      <c r="T69" s="1277">
        <v>365.44400000000002</v>
      </c>
      <c r="U69" s="1278">
        <f t="shared" si="14"/>
        <v>30.969830508474576</v>
      </c>
      <c r="V69" s="1278">
        <f t="shared" si="21"/>
        <v>27.696078431372545</v>
      </c>
      <c r="W69" s="1279">
        <v>0.2</v>
      </c>
      <c r="X69" s="1345">
        <v>245</v>
      </c>
      <c r="Y69" s="244">
        <f t="shared" si="24"/>
        <v>0.33306122448979592</v>
      </c>
      <c r="Z69" s="244">
        <f t="shared" si="29"/>
        <v>11.6584</v>
      </c>
      <c r="AA69" s="244">
        <f t="shared" si="29"/>
        <v>16.12416</v>
      </c>
      <c r="AB69" s="1277">
        <f t="shared" si="28"/>
        <v>361.058672</v>
      </c>
      <c r="AC69" s="244">
        <f>U69</f>
        <v>30.969830508474576</v>
      </c>
      <c r="AD69" s="1277">
        <f>V69</f>
        <v>27.696078431372545</v>
      </c>
      <c r="AE69" s="241">
        <f t="shared" si="18"/>
        <v>31</v>
      </c>
      <c r="AF69" s="244">
        <f t="shared" si="27"/>
        <v>361.41039999999998</v>
      </c>
      <c r="AG69" s="1281"/>
      <c r="AI69" s="1282">
        <f t="shared" si="20"/>
        <v>10.410086057375802</v>
      </c>
      <c r="AJ69" s="1252">
        <v>0.86950000000000005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55</v>
      </c>
      <c r="B70" s="1274" t="s">
        <v>330</v>
      </c>
      <c r="C70" s="241" t="s">
        <v>46</v>
      </c>
      <c r="D70" s="241">
        <v>594.58000000000004</v>
      </c>
      <c r="E70" s="241" t="s">
        <v>609</v>
      </c>
      <c r="F70" s="241">
        <v>178.8</v>
      </c>
      <c r="G70" s="241" t="s">
        <v>28</v>
      </c>
      <c r="H70" s="1299" t="s">
        <v>565</v>
      </c>
      <c r="I70" s="242">
        <v>500.41</v>
      </c>
      <c r="J70" s="1276">
        <v>235</v>
      </c>
      <c r="K70" s="241"/>
      <c r="L70" s="1277">
        <v>462</v>
      </c>
      <c r="M70" s="241"/>
      <c r="N70" s="1278">
        <v>5.2</v>
      </c>
      <c r="O70" s="241"/>
      <c r="P70" s="1278">
        <f t="shared" si="3"/>
        <v>8.813688006148567</v>
      </c>
      <c r="Q70" s="1278">
        <f>J70*32/100</f>
        <v>75.2</v>
      </c>
      <c r="R70" s="244">
        <v>12.657</v>
      </c>
      <c r="S70" s="244">
        <v>18.802</v>
      </c>
      <c r="T70" s="1277">
        <v>278.21300000000002</v>
      </c>
      <c r="U70" s="1278">
        <f t="shared" si="14"/>
        <v>21.980959153037848</v>
      </c>
      <c r="V70" s="1278">
        <f t="shared" si="21"/>
        <v>32.682693330496754</v>
      </c>
      <c r="W70" s="1279">
        <v>0.2</v>
      </c>
      <c r="X70" s="1280">
        <v>235</v>
      </c>
      <c r="Y70" s="244">
        <f t="shared" si="24"/>
        <v>0.25002659574468084</v>
      </c>
      <c r="Z70" s="244">
        <f t="shared" si="29"/>
        <v>12.505115999999999</v>
      </c>
      <c r="AA70" s="244">
        <f t="shared" si="29"/>
        <v>18.576376</v>
      </c>
      <c r="AB70" s="1277">
        <f t="shared" si="28"/>
        <v>274.87444400000004</v>
      </c>
      <c r="AC70" s="244">
        <v>20</v>
      </c>
      <c r="AD70" s="1277">
        <v>17</v>
      </c>
      <c r="AE70" s="241">
        <f t="shared" si="18"/>
        <v>31</v>
      </c>
      <c r="AF70" s="244">
        <f t="shared" si="27"/>
        <v>387.65859599999999</v>
      </c>
      <c r="AG70" s="1281"/>
      <c r="AI70" s="1282">
        <f t="shared" si="20"/>
        <v>8.813688006148567</v>
      </c>
      <c r="AJ70" s="1252">
        <v>0.84030000000000005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56</v>
      </c>
      <c r="B71" s="1274" t="s">
        <v>210</v>
      </c>
      <c r="C71" s="241" t="s">
        <v>46</v>
      </c>
      <c r="D71" s="241">
        <v>728.8</v>
      </c>
      <c r="E71" s="241" t="s">
        <v>610</v>
      </c>
      <c r="F71" s="241">
        <v>177.8</v>
      </c>
      <c r="G71" s="241" t="s">
        <v>28</v>
      </c>
      <c r="H71" s="1299" t="s">
        <v>540</v>
      </c>
      <c r="I71" s="242">
        <v>549.1</v>
      </c>
      <c r="J71" s="1276">
        <v>170</v>
      </c>
      <c r="K71" s="241"/>
      <c r="L71" s="1277">
        <v>430</v>
      </c>
      <c r="M71" s="241"/>
      <c r="N71" s="1278">
        <v>8.1</v>
      </c>
      <c r="O71" s="241"/>
      <c r="P71" s="1278">
        <f t="shared" si="3"/>
        <v>19.399241765084881</v>
      </c>
      <c r="Q71" s="1278">
        <f>LEFT(H71,(FIND("E",H71,1)-1))*J71/100</f>
        <v>37.4</v>
      </c>
      <c r="R71" s="244">
        <v>10.189</v>
      </c>
      <c r="S71" s="244">
        <v>23.898</v>
      </c>
      <c r="T71" s="1277">
        <v>181.40700000000001</v>
      </c>
      <c r="U71" s="1278">
        <f t="shared" si="14"/>
        <v>17.804200608499364</v>
      </c>
      <c r="V71" s="1278">
        <f t="shared" si="21"/>
        <v>57.364633023683986</v>
      </c>
      <c r="W71" s="1279">
        <v>0.2</v>
      </c>
      <c r="X71" s="1280">
        <v>170</v>
      </c>
      <c r="Y71" s="244">
        <f t="shared" si="24"/>
        <v>0.63898395721925139</v>
      </c>
      <c r="Z71" s="244">
        <f t="shared" si="29"/>
        <v>10.066732</v>
      </c>
      <c r="AA71" s="244">
        <f t="shared" si="29"/>
        <v>23.611224</v>
      </c>
      <c r="AB71" s="1277">
        <f t="shared" si="28"/>
        <v>179.23011600000001</v>
      </c>
      <c r="AC71" s="244">
        <f>U71</f>
        <v>17.804200608499364</v>
      </c>
      <c r="AD71" s="1277">
        <f>V71</f>
        <v>57.364633023683986</v>
      </c>
      <c r="AE71" s="241">
        <f t="shared" si="18"/>
        <v>31</v>
      </c>
      <c r="AF71" s="244">
        <f t="shared" si="27"/>
        <v>312.068692</v>
      </c>
      <c r="AG71" s="1285"/>
      <c r="AI71" s="1282">
        <f t="shared" si="20"/>
        <v>19.399241765084881</v>
      </c>
      <c r="AJ71" s="1252">
        <v>0.877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57</v>
      </c>
      <c r="B72" s="1274" t="s">
        <v>63</v>
      </c>
      <c r="C72" s="241" t="s">
        <v>46</v>
      </c>
      <c r="D72" s="241">
        <v>672.99</v>
      </c>
      <c r="E72" s="241" t="s">
        <v>98</v>
      </c>
      <c r="F72" s="241">
        <v>177.8</v>
      </c>
      <c r="G72" s="241" t="s">
        <v>28</v>
      </c>
      <c r="H72" s="241" t="s">
        <v>310</v>
      </c>
      <c r="I72" s="242">
        <v>537.29</v>
      </c>
      <c r="J72" s="1276">
        <v>350</v>
      </c>
      <c r="K72" s="241"/>
      <c r="L72" s="1277">
        <v>451</v>
      </c>
      <c r="M72" s="241"/>
      <c r="N72" s="1278">
        <v>4.7</v>
      </c>
      <c r="O72" s="241"/>
      <c r="P72" s="1278">
        <f t="shared" si="3"/>
        <v>12.93682888371052</v>
      </c>
      <c r="Q72" s="1278">
        <f t="shared" ref="Q72" si="30">LEFT(H72,(FIND("K",H72,1)-1))*J72/100</f>
        <v>77</v>
      </c>
      <c r="R72" s="244">
        <v>13.634</v>
      </c>
      <c r="S72" s="244">
        <v>27.055</v>
      </c>
      <c r="T72" s="1277">
        <v>162</v>
      </c>
      <c r="U72" s="1278">
        <f t="shared" si="14"/>
        <v>11.882059556989878</v>
      </c>
      <c r="V72" s="1278">
        <f t="shared" si="21"/>
        <v>49.606357420070225</v>
      </c>
      <c r="W72" s="1279">
        <v>0.2</v>
      </c>
      <c r="X72" s="1280">
        <v>350</v>
      </c>
      <c r="Y72" s="244">
        <f t="shared" si="24"/>
        <v>0.35136363636363638</v>
      </c>
      <c r="Z72" s="244">
        <f t="shared" si="29"/>
        <v>13.470392</v>
      </c>
      <c r="AA72" s="244">
        <f t="shared" si="29"/>
        <v>26.730339999999998</v>
      </c>
      <c r="AB72" s="1277">
        <f t="shared" si="28"/>
        <v>160.05600000000001</v>
      </c>
      <c r="AC72" s="244">
        <f>U72</f>
        <v>11.882059556989878</v>
      </c>
      <c r="AD72" s="1277">
        <f>V72</f>
        <v>49.606357420070225</v>
      </c>
      <c r="AE72" s="241">
        <f t="shared" si="18"/>
        <v>31</v>
      </c>
      <c r="AF72" s="244">
        <f t="shared" si="27"/>
        <v>417.58215200000001</v>
      </c>
      <c r="AG72" s="1285"/>
      <c r="AI72" s="1282">
        <f t="shared" si="20"/>
        <v>12.93682888371052</v>
      </c>
      <c r="AJ72" s="1252">
        <v>0.8911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58</v>
      </c>
      <c r="B73" s="1274" t="s">
        <v>217</v>
      </c>
      <c r="C73" s="241" t="s">
        <v>408</v>
      </c>
      <c r="D73" s="241">
        <v>587.72</v>
      </c>
      <c r="E73" s="241" t="s">
        <v>611</v>
      </c>
      <c r="F73" s="241">
        <v>177.8</v>
      </c>
      <c r="G73" s="241" t="s">
        <v>28</v>
      </c>
      <c r="H73" s="1299" t="s">
        <v>466</v>
      </c>
      <c r="I73" s="242">
        <v>555.54999999999995</v>
      </c>
      <c r="J73" s="1276">
        <v>0</v>
      </c>
      <c r="K73" s="241">
        <v>51</v>
      </c>
      <c r="L73" s="1277"/>
      <c r="M73" s="241">
        <v>4.8</v>
      </c>
      <c r="N73" s="1278"/>
      <c r="O73" s="241"/>
      <c r="P73" s="1278">
        <f t="shared" si="3"/>
        <v>47.870234344929671</v>
      </c>
      <c r="Q73" s="1278"/>
      <c r="R73" s="244"/>
      <c r="S73" s="244"/>
      <c r="T73" s="1277"/>
      <c r="U73" s="1278"/>
      <c r="V73" s="1278"/>
      <c r="W73" s="1279"/>
      <c r="X73" s="1280">
        <v>0</v>
      </c>
      <c r="Y73" s="244"/>
      <c r="Z73" s="244"/>
      <c r="AA73" s="244"/>
      <c r="AB73" s="1277"/>
      <c r="AC73" s="244"/>
      <c r="AD73" s="1277"/>
      <c r="AE73" s="241"/>
      <c r="AF73" s="244"/>
      <c r="AG73" s="1281" t="s">
        <v>682</v>
      </c>
      <c r="AI73" s="1282">
        <f t="shared" si="20"/>
        <v>47.870234344929671</v>
      </c>
      <c r="AJ73" s="1252">
        <v>0.89</v>
      </c>
      <c r="AK73" s="1252">
        <v>1.018</v>
      </c>
      <c r="AL73" s="1252">
        <v>6.1000000000000004E-3</v>
      </c>
    </row>
    <row r="74" spans="1:38" ht="20.25" customHeight="1" x14ac:dyDescent="0.2">
      <c r="A74" s="1273">
        <v>59</v>
      </c>
      <c r="B74" s="1274" t="s">
        <v>211</v>
      </c>
      <c r="C74" s="241" t="s">
        <v>46</v>
      </c>
      <c r="D74" s="241">
        <v>684.03</v>
      </c>
      <c r="E74" s="241" t="s">
        <v>696</v>
      </c>
      <c r="F74" s="241">
        <v>177.8</v>
      </c>
      <c r="G74" s="241" t="s">
        <v>28</v>
      </c>
      <c r="H74" s="241" t="s">
        <v>464</v>
      </c>
      <c r="I74" s="242">
        <v>582.6</v>
      </c>
      <c r="J74" s="1276">
        <v>175</v>
      </c>
      <c r="K74" s="241"/>
      <c r="L74" s="1277">
        <v>394</v>
      </c>
      <c r="M74" s="241"/>
      <c r="N74" s="1278">
        <v>5.6</v>
      </c>
      <c r="O74" s="241"/>
      <c r="P74" s="1278">
        <f t="shared" si="3"/>
        <v>23.918327796286086</v>
      </c>
      <c r="Q74" s="1278">
        <f>(22*J74)/100</f>
        <v>38.5</v>
      </c>
      <c r="R74" s="244">
        <v>5.4290000000000003</v>
      </c>
      <c r="S74" s="244">
        <v>18.928999999999998</v>
      </c>
      <c r="T74" s="1277">
        <v>77.727999999999994</v>
      </c>
      <c r="U74" s="1278">
        <f t="shared" si="14"/>
        <v>14.317185485356417</v>
      </c>
      <c r="V74" s="1278">
        <f t="shared" si="21"/>
        <v>71.319139944001265</v>
      </c>
      <c r="W74" s="1279">
        <v>0.2</v>
      </c>
      <c r="X74" s="1280">
        <v>175</v>
      </c>
      <c r="Y74" s="244">
        <f>IF(S74=0,0,S74/Q74)</f>
        <v>0.49166233766233763</v>
      </c>
      <c r="Z74" s="244">
        <f t="shared" ref="Z74:AB78" si="31">R74*0.988</f>
        <v>5.3638520000000005</v>
      </c>
      <c r="AA74" s="244">
        <f t="shared" si="31"/>
        <v>18.701851999999999</v>
      </c>
      <c r="AB74" s="1277">
        <f t="shared" si="31"/>
        <v>76.795263999999989</v>
      </c>
      <c r="AC74" s="244">
        <f t="shared" ref="AC74:AD78" si="32">U74</f>
        <v>14.317185485356417</v>
      </c>
      <c r="AD74" s="1277">
        <f t="shared" si="32"/>
        <v>71.319139944001265</v>
      </c>
      <c r="AE74" s="241">
        <f t="shared" si="18"/>
        <v>31</v>
      </c>
      <c r="AF74" s="244">
        <f t="shared" ref="AF74:AF80" si="33">Z74*AE74</f>
        <v>166.27941200000001</v>
      </c>
      <c r="AG74" s="1285"/>
      <c r="AI74" s="1282">
        <f t="shared" si="20"/>
        <v>23.918327796286086</v>
      </c>
      <c r="AJ74" s="1252">
        <v>0.92200000000000004</v>
      </c>
      <c r="AK74" s="1252">
        <v>1.018</v>
      </c>
      <c r="AL74" s="1252">
        <v>6.1000000000000004E-3</v>
      </c>
    </row>
    <row r="75" spans="1:38" ht="18.600000000000001" customHeight="1" x14ac:dyDescent="0.2">
      <c r="A75" s="1273">
        <v>60</v>
      </c>
      <c r="B75" s="1274" t="s">
        <v>341</v>
      </c>
      <c r="C75" s="241" t="s">
        <v>46</v>
      </c>
      <c r="D75" s="241">
        <v>675.29</v>
      </c>
      <c r="E75" s="241" t="s">
        <v>343</v>
      </c>
      <c r="F75" s="241">
        <v>177.8</v>
      </c>
      <c r="G75" s="241" t="s">
        <v>28</v>
      </c>
      <c r="H75" s="1299" t="s">
        <v>565</v>
      </c>
      <c r="I75" s="242">
        <v>531.94000000000005</v>
      </c>
      <c r="J75" s="1276">
        <v>355</v>
      </c>
      <c r="K75" s="241"/>
      <c r="L75" s="1277">
        <v>370</v>
      </c>
      <c r="M75" s="241"/>
      <c r="N75" s="1278">
        <v>7.3</v>
      </c>
      <c r="O75" s="241"/>
      <c r="P75" s="1278">
        <f t="shared" si="3"/>
        <v>22.649918097298691</v>
      </c>
      <c r="Q75" s="1278">
        <f>(20*J75)/100</f>
        <v>71</v>
      </c>
      <c r="R75" s="244">
        <v>17.05</v>
      </c>
      <c r="S75" s="244">
        <v>43.802</v>
      </c>
      <c r="T75" s="1277">
        <v>205.87299999999999</v>
      </c>
      <c r="U75" s="1278">
        <f t="shared" si="14"/>
        <v>12.07466275659824</v>
      </c>
      <c r="V75" s="1278">
        <f t="shared" si="21"/>
        <v>61.074836765444495</v>
      </c>
      <c r="W75" s="1279">
        <v>0.2</v>
      </c>
      <c r="X75" s="1280">
        <v>355</v>
      </c>
      <c r="Y75" s="244">
        <f>IF(S75=0,0,S75/Q75)</f>
        <v>0.61692957746478871</v>
      </c>
      <c r="Z75" s="244">
        <f t="shared" si="31"/>
        <v>16.845400000000001</v>
      </c>
      <c r="AA75" s="244">
        <f t="shared" si="31"/>
        <v>43.276375999999999</v>
      </c>
      <c r="AB75" s="1277">
        <f t="shared" si="31"/>
        <v>203.402524</v>
      </c>
      <c r="AC75" s="244">
        <f t="shared" si="32"/>
        <v>12.07466275659824</v>
      </c>
      <c r="AD75" s="1277">
        <f t="shared" si="32"/>
        <v>61.074836765444495</v>
      </c>
      <c r="AE75" s="241">
        <f t="shared" si="18"/>
        <v>31</v>
      </c>
      <c r="AF75" s="244">
        <f t="shared" si="33"/>
        <v>522.20740000000001</v>
      </c>
      <c r="AG75" s="1285"/>
      <c r="AI75" s="1282">
        <f t="shared" si="20"/>
        <v>22.649918097298691</v>
      </c>
      <c r="AJ75" s="1252">
        <v>0.8821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61</v>
      </c>
      <c r="B76" s="1274" t="s">
        <v>354</v>
      </c>
      <c r="C76" s="241" t="s">
        <v>46</v>
      </c>
      <c r="D76" s="241">
        <v>563.85</v>
      </c>
      <c r="E76" s="1346" t="s">
        <v>545</v>
      </c>
      <c r="F76" s="241">
        <v>178.8</v>
      </c>
      <c r="G76" s="241" t="s">
        <v>28</v>
      </c>
      <c r="H76" s="1299" t="s">
        <v>687</v>
      </c>
      <c r="I76" s="242">
        <v>533.89</v>
      </c>
      <c r="J76" s="1276">
        <v>85</v>
      </c>
      <c r="K76" s="241"/>
      <c r="L76" s="1277">
        <v>121</v>
      </c>
      <c r="M76" s="241"/>
      <c r="N76" s="1278">
        <v>6.9</v>
      </c>
      <c r="O76" s="241"/>
      <c r="P76" s="1278">
        <f t="shared" si="3"/>
        <v>47.141297747479705</v>
      </c>
      <c r="Q76" s="1278">
        <f>(22/100)*J76</f>
        <v>18.7</v>
      </c>
      <c r="R76" s="244">
        <v>2.15</v>
      </c>
      <c r="S76" s="244">
        <v>19.170000000000002</v>
      </c>
      <c r="T76" s="1277">
        <v>54.122999999999998</v>
      </c>
      <c r="U76" s="1278">
        <f t="shared" si="14"/>
        <v>25.173488372093022</v>
      </c>
      <c r="V76" s="1278">
        <f t="shared" si="21"/>
        <v>88.784559207094432</v>
      </c>
      <c r="W76" s="1279">
        <v>0.2</v>
      </c>
      <c r="X76" s="1280">
        <v>85</v>
      </c>
      <c r="Y76" s="244">
        <f>IF(S76=0,0,S76/Q76)</f>
        <v>1.0251336898395724</v>
      </c>
      <c r="Z76" s="244">
        <f t="shared" si="31"/>
        <v>2.1242000000000001</v>
      </c>
      <c r="AA76" s="244">
        <f t="shared" si="31"/>
        <v>18.939960000000003</v>
      </c>
      <c r="AB76" s="1277">
        <f t="shared" si="31"/>
        <v>53.473523999999998</v>
      </c>
      <c r="AC76" s="244">
        <f t="shared" si="32"/>
        <v>25.173488372093022</v>
      </c>
      <c r="AD76" s="1277">
        <f t="shared" si="32"/>
        <v>88.784559207094432</v>
      </c>
      <c r="AE76" s="241">
        <f t="shared" si="18"/>
        <v>31</v>
      </c>
      <c r="AF76" s="244">
        <f t="shared" si="33"/>
        <v>65.850200000000001</v>
      </c>
      <c r="AG76" s="1285"/>
      <c r="AI76" s="1282">
        <f t="shared" si="20"/>
        <v>47.141297747479705</v>
      </c>
      <c r="AJ76" s="1252">
        <v>0.90100000000000002</v>
      </c>
      <c r="AK76" s="1252">
        <v>1.018</v>
      </c>
      <c r="AL76" s="1252">
        <v>6.1000000000000004E-3</v>
      </c>
    </row>
    <row r="77" spans="1:38" ht="18.75" customHeight="1" x14ac:dyDescent="0.2">
      <c r="A77" s="1273">
        <v>62</v>
      </c>
      <c r="B77" s="1274" t="s">
        <v>423</v>
      </c>
      <c r="C77" s="241" t="s">
        <v>46</v>
      </c>
      <c r="D77" s="241">
        <v>687.52</v>
      </c>
      <c r="E77" s="26" t="s">
        <v>546</v>
      </c>
      <c r="F77" s="241">
        <v>179.8</v>
      </c>
      <c r="G77" s="241" t="s">
        <v>28</v>
      </c>
      <c r="H77" s="1299" t="s">
        <v>565</v>
      </c>
      <c r="I77" s="242">
        <v>571.08000000000004</v>
      </c>
      <c r="J77" s="1276">
        <v>150</v>
      </c>
      <c r="K77" s="241"/>
      <c r="L77" s="1277">
        <v>523</v>
      </c>
      <c r="M77" s="241"/>
      <c r="N77" s="1278">
        <v>19.899999999999999</v>
      </c>
      <c r="O77" s="241"/>
      <c r="P77" s="1278">
        <f t="shared" si="3"/>
        <v>24.140611693531635</v>
      </c>
      <c r="Q77" s="1278">
        <f>(13/100)*J77</f>
        <v>19.5</v>
      </c>
      <c r="R77" s="244">
        <v>14.263</v>
      </c>
      <c r="S77" s="244">
        <v>15.294</v>
      </c>
      <c r="T77" s="1277">
        <v>533.86500000000001</v>
      </c>
      <c r="U77" s="1278">
        <f t="shared" si="14"/>
        <v>37.430063801444298</v>
      </c>
      <c r="V77" s="1278">
        <f t="shared" si="21"/>
        <v>6.7412057015823228</v>
      </c>
      <c r="W77" s="1279">
        <v>0.2</v>
      </c>
      <c r="X77" s="1280">
        <v>150</v>
      </c>
      <c r="Y77" s="244">
        <f>IF(S77=0,0,S77/Q77)</f>
        <v>0.78430769230769237</v>
      </c>
      <c r="Z77" s="244">
        <f t="shared" si="31"/>
        <v>14.091844</v>
      </c>
      <c r="AA77" s="244">
        <f t="shared" si="31"/>
        <v>15.110472</v>
      </c>
      <c r="AB77" s="1277">
        <f t="shared" si="31"/>
        <v>527.45862</v>
      </c>
      <c r="AC77" s="244">
        <f t="shared" si="32"/>
        <v>37.430063801444298</v>
      </c>
      <c r="AD77" s="1277">
        <f t="shared" si="32"/>
        <v>6.7412057015823228</v>
      </c>
      <c r="AE77" s="241">
        <f t="shared" si="18"/>
        <v>31</v>
      </c>
      <c r="AF77" s="244">
        <f t="shared" si="33"/>
        <v>436.84716400000002</v>
      </c>
      <c r="AG77" s="1285"/>
      <c r="AI77" s="1282">
        <f t="shared" si="20"/>
        <v>24.140611693531635</v>
      </c>
      <c r="AJ77" s="1252">
        <v>0.83209999999999995</v>
      </c>
      <c r="AK77" s="1252">
        <v>1.018</v>
      </c>
      <c r="AL77" s="1252">
        <v>6.1000000000000004E-3</v>
      </c>
    </row>
    <row r="78" spans="1:38" ht="18.75" customHeight="1" x14ac:dyDescent="0.2">
      <c r="A78" s="1273">
        <v>63</v>
      </c>
      <c r="B78" s="1274" t="s">
        <v>213</v>
      </c>
      <c r="C78" s="241" t="s">
        <v>46</v>
      </c>
      <c r="D78" s="241">
        <v>694.35</v>
      </c>
      <c r="E78" s="241" t="s">
        <v>497</v>
      </c>
      <c r="F78" s="241">
        <v>177.8</v>
      </c>
      <c r="G78" s="241" t="s">
        <v>28</v>
      </c>
      <c r="H78" s="241" t="s">
        <v>464</v>
      </c>
      <c r="I78" s="242">
        <v>664.19</v>
      </c>
      <c r="J78" s="1276">
        <v>165</v>
      </c>
      <c r="K78" s="241"/>
      <c r="L78" s="1277">
        <v>105</v>
      </c>
      <c r="M78" s="241"/>
      <c r="N78" s="1278">
        <v>0</v>
      </c>
      <c r="O78" s="241"/>
      <c r="P78" s="1278">
        <f t="shared" si="3"/>
        <v>49.583773780786473</v>
      </c>
      <c r="Q78" s="1278">
        <f>14*J78/100</f>
        <v>23.1</v>
      </c>
      <c r="R78" s="244">
        <v>5.9989999999999997</v>
      </c>
      <c r="S78" s="244">
        <v>6.0810000000000004</v>
      </c>
      <c r="T78" s="1277">
        <v>110</v>
      </c>
      <c r="U78" s="1278">
        <f t="shared" si="14"/>
        <v>18.336389398233038</v>
      </c>
      <c r="V78" s="1278">
        <f t="shared" si="21"/>
        <v>1.3484624239434424</v>
      </c>
      <c r="W78" s="1279">
        <v>0.2</v>
      </c>
      <c r="X78" s="1280">
        <v>165</v>
      </c>
      <c r="Y78" s="244">
        <f>IF(S78=0,0,S78/Q78)</f>
        <v>0.26324675324675323</v>
      </c>
      <c r="Z78" s="244">
        <f t="shared" si="31"/>
        <v>5.9270119999999995</v>
      </c>
      <c r="AA78" s="244">
        <f t="shared" si="31"/>
        <v>6.0080280000000004</v>
      </c>
      <c r="AB78" s="1277">
        <f t="shared" si="31"/>
        <v>108.67999999999999</v>
      </c>
      <c r="AC78" s="244">
        <f t="shared" si="32"/>
        <v>18.336389398233038</v>
      </c>
      <c r="AD78" s="1277">
        <f t="shared" si="32"/>
        <v>1.3484624239434424</v>
      </c>
      <c r="AE78" s="241">
        <f t="shared" si="18"/>
        <v>31</v>
      </c>
      <c r="AF78" s="244">
        <f t="shared" si="33"/>
        <v>183.73737199999999</v>
      </c>
      <c r="AG78" s="1281"/>
      <c r="AI78" s="1282">
        <f t="shared" si="20"/>
        <v>49.583773780786473</v>
      </c>
      <c r="AJ78" s="1252">
        <v>0.9133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64</v>
      </c>
      <c r="B79" s="1274" t="s">
        <v>506</v>
      </c>
      <c r="C79" s="241" t="s">
        <v>46</v>
      </c>
      <c r="D79" s="242">
        <v>700</v>
      </c>
      <c r="E79" s="242" t="s">
        <v>547</v>
      </c>
      <c r="F79" s="241">
        <v>177.8</v>
      </c>
      <c r="G79" s="241" t="s">
        <v>28</v>
      </c>
      <c r="H79" s="241" t="s">
        <v>464</v>
      </c>
      <c r="I79" s="242">
        <v>608.22</v>
      </c>
      <c r="J79" s="1268">
        <v>0</v>
      </c>
      <c r="K79" s="242"/>
      <c r="L79" s="1319">
        <v>0</v>
      </c>
      <c r="M79" s="242"/>
      <c r="N79" s="1278">
        <v>0</v>
      </c>
      <c r="O79" s="242"/>
      <c r="P79" s="1278">
        <f t="shared" ref="P79:P83" si="34">AI79</f>
        <v>48.239526409474465</v>
      </c>
      <c r="Q79" s="1278"/>
      <c r="R79" s="244"/>
      <c r="S79" s="244"/>
      <c r="T79" s="1319"/>
      <c r="U79" s="244"/>
      <c r="V79" s="1278"/>
      <c r="W79" s="1279"/>
      <c r="X79" s="1271">
        <v>0</v>
      </c>
      <c r="Y79" s="244"/>
      <c r="Z79" s="244"/>
      <c r="AA79" s="244"/>
      <c r="AB79" s="1277"/>
      <c r="AC79" s="244"/>
      <c r="AD79" s="244"/>
      <c r="AE79" s="241"/>
      <c r="AF79" s="244"/>
      <c r="AG79" s="1281" t="s">
        <v>682</v>
      </c>
      <c r="AI79" s="1282">
        <f t="shared" si="20"/>
        <v>48.239526409474465</v>
      </c>
      <c r="AJ79" s="1252">
        <v>0.81920000000000004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65</v>
      </c>
      <c r="B80" s="1274" t="s">
        <v>451</v>
      </c>
      <c r="C80" s="241" t="s">
        <v>46</v>
      </c>
      <c r="D80" s="1409">
        <v>619.66</v>
      </c>
      <c r="E80" s="1409" t="s">
        <v>613</v>
      </c>
      <c r="F80" s="241">
        <v>177.8</v>
      </c>
      <c r="G80" s="241" t="s">
        <v>28</v>
      </c>
      <c r="H80" s="1299" t="s">
        <v>687</v>
      </c>
      <c r="I80" s="1409">
        <v>595.26</v>
      </c>
      <c r="J80" s="1409">
        <v>60</v>
      </c>
      <c r="K80" s="1409"/>
      <c r="L80" s="1319">
        <v>238</v>
      </c>
      <c r="M80" s="1409"/>
      <c r="N80" s="1278">
        <v>6.8</v>
      </c>
      <c r="O80" s="1409"/>
      <c r="P80" s="1278">
        <f t="shared" si="34"/>
        <v>41.363987373922946</v>
      </c>
      <c r="Q80" s="1278">
        <f>(22/100)*J80</f>
        <v>13.2</v>
      </c>
      <c r="R80" s="244">
        <v>2.7440000000000002</v>
      </c>
      <c r="S80" s="244">
        <v>13.837999999999999</v>
      </c>
      <c r="T80" s="1319">
        <v>0</v>
      </c>
      <c r="U80" s="244">
        <f t="shared" si="14"/>
        <v>0</v>
      </c>
      <c r="V80" s="1278">
        <f t="shared" si="21"/>
        <v>80.170544876427229</v>
      </c>
      <c r="W80" s="1279">
        <v>0.2</v>
      </c>
      <c r="X80" s="1410">
        <v>60</v>
      </c>
      <c r="Y80" s="244">
        <f>IF(S80=0,0,S80/Q80)</f>
        <v>1.0483333333333333</v>
      </c>
      <c r="Z80" s="244">
        <f>R80*0.988</f>
        <v>2.7110720000000001</v>
      </c>
      <c r="AA80" s="244">
        <f>S80*0.988</f>
        <v>13.671944</v>
      </c>
      <c r="AB80" s="1277">
        <f>T80*0.988</f>
        <v>0</v>
      </c>
      <c r="AC80" s="244">
        <f>U80</f>
        <v>0</v>
      </c>
      <c r="AD80" s="244">
        <f>V80</f>
        <v>80.170544876427229</v>
      </c>
      <c r="AE80" s="241">
        <f t="shared" si="18"/>
        <v>31</v>
      </c>
      <c r="AF80" s="244">
        <f t="shared" si="33"/>
        <v>84.043232000000003</v>
      </c>
      <c r="AG80" s="1281"/>
      <c r="AI80" s="1282">
        <f t="shared" ref="AI80:AI83" si="35">(9.81*(AJ80*(100%-(V80/100))+AK80*(V80/100))*(I80-L80)+N80*101.325+9.81*(AL80)*L80)/101.325</f>
        <v>41.363987373922946</v>
      </c>
      <c r="AJ80" s="1252">
        <v>0.90310000000000001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66</v>
      </c>
      <c r="B81" s="1274" t="s">
        <v>424</v>
      </c>
      <c r="C81" s="241" t="s">
        <v>46</v>
      </c>
      <c r="D81" s="242">
        <v>689.4</v>
      </c>
      <c r="E81" s="242" t="s">
        <v>616</v>
      </c>
      <c r="F81" s="241">
        <v>177.8</v>
      </c>
      <c r="G81" s="241" t="s">
        <v>28</v>
      </c>
      <c r="H81" s="1299" t="s">
        <v>466</v>
      </c>
      <c r="I81" s="242">
        <v>604.96</v>
      </c>
      <c r="J81" s="1268">
        <v>0</v>
      </c>
      <c r="K81" s="242"/>
      <c r="L81" s="1319"/>
      <c r="M81" s="242"/>
      <c r="N81" s="1278"/>
      <c r="O81" s="242"/>
      <c r="P81" s="1278">
        <f t="shared" si="34"/>
        <v>47.576830678312362</v>
      </c>
      <c r="Q81" s="1278"/>
      <c r="R81" s="244"/>
      <c r="S81" s="244"/>
      <c r="T81" s="1319"/>
      <c r="U81" s="244"/>
      <c r="V81" s="1278"/>
      <c r="W81" s="1279"/>
      <c r="X81" s="1271">
        <v>0</v>
      </c>
      <c r="Y81" s="244"/>
      <c r="Z81" s="244"/>
      <c r="AA81" s="244"/>
      <c r="AB81" s="1277"/>
      <c r="AC81" s="244"/>
      <c r="AD81" s="244"/>
      <c r="AE81" s="241"/>
      <c r="AF81" s="244"/>
      <c r="AG81" s="1281" t="s">
        <v>682</v>
      </c>
      <c r="AI81" s="1282">
        <f t="shared" si="35"/>
        <v>47.576830678312362</v>
      </c>
      <c r="AJ81" s="1252">
        <v>0.81230000000000002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67</v>
      </c>
      <c r="B82" s="1274" t="s">
        <v>567</v>
      </c>
      <c r="C82" s="241" t="s">
        <v>46</v>
      </c>
      <c r="D82" s="242">
        <v>577.12</v>
      </c>
      <c r="E82" s="242" t="s">
        <v>614</v>
      </c>
      <c r="F82" s="241">
        <v>177.8</v>
      </c>
      <c r="G82" s="241" t="s">
        <v>28</v>
      </c>
      <c r="H82" s="241" t="s">
        <v>464</v>
      </c>
      <c r="I82" s="242">
        <v>537.30999999999995</v>
      </c>
      <c r="J82" s="1268">
        <v>255</v>
      </c>
      <c r="K82" s="242"/>
      <c r="L82" s="1319">
        <v>436</v>
      </c>
      <c r="M82" s="242"/>
      <c r="N82" s="1278">
        <v>8.7999999999999995E-2</v>
      </c>
      <c r="O82" s="242"/>
      <c r="P82" s="1278">
        <f t="shared" si="34"/>
        <v>9.5576685672268855</v>
      </c>
      <c r="Q82" s="1278">
        <f>RIGHT(H82,(FIND("T",H82,1)-0))*J82/100</f>
        <v>35.700000000000003</v>
      </c>
      <c r="R82" s="244">
        <v>4.593</v>
      </c>
      <c r="S82" s="244">
        <v>6.9359999999999999</v>
      </c>
      <c r="T82" s="1319">
        <v>5.444</v>
      </c>
      <c r="U82" s="244">
        <f t="shared" ref="U82" si="36">IF(R82=0,0,T82/R82)</f>
        <v>1.1852819507946875</v>
      </c>
      <c r="V82" s="1278">
        <f t="shared" si="21"/>
        <v>33.780276816608996</v>
      </c>
      <c r="W82" s="1279">
        <v>0.2</v>
      </c>
      <c r="X82" s="1271">
        <v>255</v>
      </c>
      <c r="Y82" s="244">
        <f>IF(S82=0,0,S82/Q82)</f>
        <v>0.19428571428571426</v>
      </c>
      <c r="Z82" s="244">
        <f t="shared" ref="Z82:AB83" si="37">R82*0.988</f>
        <v>4.537884</v>
      </c>
      <c r="AA82" s="244">
        <f t="shared" si="37"/>
        <v>6.8527680000000002</v>
      </c>
      <c r="AB82" s="1277">
        <f t="shared" si="37"/>
        <v>5.3786719999999999</v>
      </c>
      <c r="AC82" s="244">
        <f>U82</f>
        <v>1.1852819507946875</v>
      </c>
      <c r="AD82" s="244">
        <v>24.363</v>
      </c>
      <c r="AE82" s="241">
        <f t="shared" si="18"/>
        <v>31</v>
      </c>
      <c r="AF82" s="244">
        <f>Z82*AE82</f>
        <v>140.67440400000001</v>
      </c>
      <c r="AG82" s="1281"/>
      <c r="AI82" s="1282">
        <f t="shared" si="35"/>
        <v>9.5576685672268855</v>
      </c>
      <c r="AJ82" s="1252">
        <v>0.89900000000000002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68</v>
      </c>
      <c r="B83" s="1274" t="s">
        <v>172</v>
      </c>
      <c r="C83" s="241" t="s">
        <v>46</v>
      </c>
      <c r="D83" s="241">
        <v>673.05</v>
      </c>
      <c r="E83" s="241" t="s">
        <v>615</v>
      </c>
      <c r="F83" s="241">
        <v>177.8</v>
      </c>
      <c r="G83" s="241" t="s">
        <v>28</v>
      </c>
      <c r="H83" s="241" t="s">
        <v>464</v>
      </c>
      <c r="I83" s="242">
        <v>576.27</v>
      </c>
      <c r="J83" s="1276">
        <v>130</v>
      </c>
      <c r="K83" s="241"/>
      <c r="L83" s="1277">
        <v>0</v>
      </c>
      <c r="M83" s="241"/>
      <c r="N83" s="1278">
        <v>5.4</v>
      </c>
      <c r="O83" s="241"/>
      <c r="P83" s="1278">
        <f t="shared" si="34"/>
        <v>61.528863620460776</v>
      </c>
      <c r="Q83" s="1278">
        <f>14*J83/100</f>
        <v>18.2</v>
      </c>
      <c r="R83" s="244">
        <v>3.2589999999999999</v>
      </c>
      <c r="S83" s="244">
        <v>25.768000000000001</v>
      </c>
      <c r="T83" s="1277">
        <v>14.704000000000001</v>
      </c>
      <c r="U83" s="1278">
        <f t="shared" si="14"/>
        <v>4.5118134397054313</v>
      </c>
      <c r="V83" s="1278">
        <f t="shared" si="21"/>
        <v>87.352530270102449</v>
      </c>
      <c r="W83" s="1279">
        <v>0.5</v>
      </c>
      <c r="X83" s="1280">
        <v>130</v>
      </c>
      <c r="Y83" s="244">
        <f>IF(S83=0,0,S83/Q83)</f>
        <v>1.4158241758241759</v>
      </c>
      <c r="Z83" s="244">
        <f t="shared" si="37"/>
        <v>3.2198919999999998</v>
      </c>
      <c r="AA83" s="244">
        <f t="shared" si="37"/>
        <v>25.458784000000001</v>
      </c>
      <c r="AB83" s="1277">
        <f t="shared" si="37"/>
        <v>14.527552</v>
      </c>
      <c r="AC83" s="244">
        <f>U83</f>
        <v>4.5118134397054313</v>
      </c>
      <c r="AD83" s="1277">
        <f>V83</f>
        <v>87.352530270102449</v>
      </c>
      <c r="AE83" s="241">
        <f t="shared" si="18"/>
        <v>31</v>
      </c>
      <c r="AF83" s="244">
        <f>Z83*AE83</f>
        <v>99.816651999999991</v>
      </c>
      <c r="AG83" s="1285"/>
      <c r="AI83" s="1282">
        <f t="shared" si="35"/>
        <v>61.528863620460776</v>
      </c>
      <c r="AJ83" s="1252">
        <v>0.92330000000000001</v>
      </c>
      <c r="AK83" s="1252">
        <v>1.018</v>
      </c>
      <c r="AL83" s="1252">
        <v>6.1000000000000004E-3</v>
      </c>
    </row>
    <row r="84" spans="1:38" ht="18.75" customHeight="1" x14ac:dyDescent="0.2">
      <c r="A84" s="1347"/>
      <c r="B84" s="241"/>
      <c r="C84" s="241"/>
      <c r="D84" s="242"/>
      <c r="E84" s="242"/>
      <c r="F84" s="1274"/>
      <c r="G84" s="241"/>
      <c r="H84" s="241"/>
      <c r="I84" s="242"/>
      <c r="J84" s="1268"/>
      <c r="K84" s="242"/>
      <c r="L84" s="242"/>
      <c r="M84" s="242"/>
      <c r="N84" s="241"/>
      <c r="O84" s="242"/>
      <c r="P84" s="1278"/>
      <c r="Q84" s="1269"/>
      <c r="R84" s="1348">
        <f>SUM(R16:R83)</f>
        <v>335.08789999999999</v>
      </c>
      <c r="S84" s="1348">
        <f>SUM(S16:S83)</f>
        <v>1020.0540000000001</v>
      </c>
      <c r="T84" s="1349">
        <f>SUM(T16:T83)</f>
        <v>5106.9130000000005</v>
      </c>
      <c r="U84" s="1348">
        <f>T84/R84</f>
        <v>15.2405174880979</v>
      </c>
      <c r="V84" s="1348"/>
      <c r="W84" s="1350"/>
      <c r="X84" s="1271"/>
      <c r="Y84" s="1348"/>
      <c r="Z84" s="1348">
        <f>SUM(Z16:Z83)</f>
        <v>331.96777719999994</v>
      </c>
      <c r="AA84" s="1348">
        <f>SUM(AA16:AA83)</f>
        <v>1008.16788</v>
      </c>
      <c r="AB84" s="1351">
        <f>SUM(AB16:AB83)</f>
        <v>5045.6300440000005</v>
      </c>
      <c r="AC84" s="1348">
        <f>AB84/Z84</f>
        <v>15.199156034232113</v>
      </c>
      <c r="AD84" s="1348"/>
      <c r="AE84" s="1302"/>
      <c r="AF84" s="1348">
        <f>SUM(AF16:AF83)</f>
        <v>10268.262273199998</v>
      </c>
      <c r="AG84" s="1281"/>
      <c r="AI84" s="1282"/>
    </row>
    <row r="85" spans="1:38" ht="18.75" customHeight="1" x14ac:dyDescent="0.2">
      <c r="A85" s="1347"/>
      <c r="B85" s="241"/>
      <c r="C85" s="241"/>
      <c r="D85" s="242"/>
      <c r="E85" s="242"/>
      <c r="F85" s="1274"/>
      <c r="G85" s="241"/>
      <c r="H85" s="241"/>
      <c r="I85" s="242"/>
      <c r="J85" s="1268"/>
      <c r="K85" s="242"/>
      <c r="L85" s="242"/>
      <c r="M85" s="242"/>
      <c r="N85" s="241"/>
      <c r="O85" s="242"/>
      <c r="P85" s="1278"/>
      <c r="Q85" s="1269"/>
      <c r="R85" s="1348"/>
      <c r="S85" s="1348"/>
      <c r="T85" s="1349"/>
      <c r="U85" s="1348"/>
      <c r="V85" s="1348"/>
      <c r="W85" s="1350"/>
      <c r="X85" s="1271"/>
      <c r="Y85" s="1348"/>
      <c r="Z85" s="1348"/>
      <c r="AA85" s="1352"/>
      <c r="AB85" s="1351"/>
      <c r="AC85" s="1348"/>
      <c r="AD85" s="1348"/>
      <c r="AE85" s="1302"/>
      <c r="AF85" s="1348"/>
      <c r="AG85" s="1281"/>
      <c r="AI85" s="1282"/>
    </row>
    <row r="86" spans="1:38" ht="18.75" customHeight="1" x14ac:dyDescent="0.2">
      <c r="A86" s="1347"/>
      <c r="B86" s="241"/>
      <c r="C86" s="241"/>
      <c r="D86" s="242"/>
      <c r="E86" s="1353" t="s">
        <v>388</v>
      </c>
      <c r="F86" s="1274"/>
      <c r="G86" s="241"/>
      <c r="H86" s="241"/>
      <c r="I86" s="242"/>
      <c r="J86" s="1268"/>
      <c r="K86" s="242"/>
      <c r="L86" s="242"/>
      <c r="M86" s="242"/>
      <c r="N86" s="241"/>
      <c r="O86" s="242"/>
      <c r="P86" s="1278"/>
      <c r="Q86" s="1269"/>
      <c r="R86" s="1348"/>
      <c r="S86" s="1348"/>
      <c r="T86" s="1349"/>
      <c r="U86" s="1348"/>
      <c r="V86" s="1348"/>
      <c r="W86" s="1350"/>
      <c r="X86" s="1271"/>
      <c r="Y86" s="1348"/>
      <c r="Z86" s="1348"/>
      <c r="AA86" s="1352"/>
      <c r="AB86" s="1351"/>
      <c r="AC86" s="1348"/>
      <c r="AD86" s="1348"/>
      <c r="AE86" s="1302"/>
      <c r="AF86" s="1348"/>
      <c r="AG86" s="1281"/>
      <c r="AI86" s="1282"/>
    </row>
    <row r="87" spans="1:38" ht="18.75" customHeight="1" x14ac:dyDescent="0.2">
      <c r="A87" s="1273">
        <v>69</v>
      </c>
      <c r="B87" s="1274" t="s">
        <v>505</v>
      </c>
      <c r="C87" s="241" t="s">
        <v>445</v>
      </c>
      <c r="D87" s="242">
        <v>737.21</v>
      </c>
      <c r="E87" s="242" t="s">
        <v>507</v>
      </c>
      <c r="F87" s="241">
        <v>177.8</v>
      </c>
      <c r="G87" s="241" t="s">
        <v>28</v>
      </c>
      <c r="H87" s="1354" t="s">
        <v>466</v>
      </c>
      <c r="I87" s="242">
        <v>680.94</v>
      </c>
      <c r="J87" s="1268"/>
      <c r="K87" s="242"/>
      <c r="L87" s="242"/>
      <c r="M87" s="242"/>
      <c r="N87" s="241"/>
      <c r="O87" s="242"/>
      <c r="P87" s="1278"/>
      <c r="Q87" s="1269"/>
      <c r="R87" s="244"/>
      <c r="S87" s="244"/>
      <c r="T87" s="1319"/>
      <c r="U87" s="244"/>
      <c r="V87" s="244"/>
      <c r="W87" s="1355"/>
      <c r="X87" s="1271"/>
      <c r="Y87" s="244">
        <f>IF(S87=0,0,S87/Q87)</f>
        <v>0</v>
      </c>
      <c r="Z87" s="244">
        <f t="shared" ref="Z87:AB90" si="38">R87*0.988</f>
        <v>0</v>
      </c>
      <c r="AA87" s="244">
        <f t="shared" si="38"/>
        <v>0</v>
      </c>
      <c r="AB87" s="1277">
        <f t="shared" si="38"/>
        <v>0</v>
      </c>
      <c r="AC87" s="244">
        <f t="shared" ref="AC87:AD90" si="39">U87</f>
        <v>0</v>
      </c>
      <c r="AD87" s="244">
        <f t="shared" si="39"/>
        <v>0</v>
      </c>
      <c r="AE87" s="241">
        <f>(DAY(EOMONTH($AH$14,0))-AH87)</f>
        <v>31</v>
      </c>
      <c r="AF87" s="244">
        <f>Z87*AE87</f>
        <v>0</v>
      </c>
      <c r="AG87" s="1281" t="s">
        <v>682</v>
      </c>
      <c r="AI87" s="1282">
        <f>(9.81*(AJ87*(100%-(V87/100))+AK87*(V87/100))*(I87-L87)+N87*101.325+9.81*(AL87)*L87)/101.325</f>
        <v>58.978012775129535</v>
      </c>
      <c r="AJ87" s="1252">
        <v>0.89459999999999995</v>
      </c>
      <c r="AK87" s="1252">
        <v>1.018</v>
      </c>
      <c r="AL87" s="1252">
        <v>6.1000000000000004E-3</v>
      </c>
    </row>
    <row r="88" spans="1:38" ht="18.75" customHeight="1" x14ac:dyDescent="0.2">
      <c r="A88" s="1273">
        <v>70</v>
      </c>
      <c r="B88" s="1274" t="s">
        <v>504</v>
      </c>
      <c r="C88" s="241" t="s">
        <v>445</v>
      </c>
      <c r="D88" s="242">
        <v>695.15</v>
      </c>
      <c r="E88" s="242" t="s">
        <v>508</v>
      </c>
      <c r="F88" s="1274">
        <v>177.8</v>
      </c>
      <c r="G88" s="241" t="s">
        <v>28</v>
      </c>
      <c r="H88" s="241" t="s">
        <v>491</v>
      </c>
      <c r="I88" s="242">
        <v>658.9</v>
      </c>
      <c r="J88" s="1268"/>
      <c r="K88" s="242"/>
      <c r="L88" s="242"/>
      <c r="M88" s="242"/>
      <c r="N88" s="241"/>
      <c r="O88" s="242"/>
      <c r="P88" s="1278"/>
      <c r="Q88" s="1269"/>
      <c r="R88" s="244"/>
      <c r="S88" s="244"/>
      <c r="T88" s="1319"/>
      <c r="U88" s="244"/>
      <c r="V88" s="244"/>
      <c r="W88" s="1355"/>
      <c r="X88" s="1271"/>
      <c r="Y88" s="244">
        <f>IF(S88=0,0,S88/Q88)</f>
        <v>0</v>
      </c>
      <c r="Z88" s="244">
        <f t="shared" si="38"/>
        <v>0</v>
      </c>
      <c r="AA88" s="244">
        <f t="shared" si="38"/>
        <v>0</v>
      </c>
      <c r="AB88" s="1277">
        <f t="shared" si="38"/>
        <v>0</v>
      </c>
      <c r="AC88" s="244">
        <f t="shared" si="39"/>
        <v>0</v>
      </c>
      <c r="AD88" s="244">
        <f t="shared" si="39"/>
        <v>0</v>
      </c>
      <c r="AE88" s="241">
        <f>(DAY(EOMONTH($AH$14,0))-AH88)</f>
        <v>31</v>
      </c>
      <c r="AF88" s="244">
        <f>Z88*AE88</f>
        <v>0</v>
      </c>
      <c r="AG88" s="1281" t="s">
        <v>682</v>
      </c>
      <c r="AI88" s="1282">
        <f>(9.81*(AJ88*(100%-(V88/100))+AK88*(V88/100))*(I88-L88)+N88*101.325+9.81*(AL88)*L88)/101.325</f>
        <v>57.069070134715027</v>
      </c>
      <c r="AJ88" s="1252">
        <v>0.89459999999999995</v>
      </c>
      <c r="AK88" s="1252">
        <v>1.018</v>
      </c>
      <c r="AL88" s="1252">
        <v>6.1000000000000004E-3</v>
      </c>
    </row>
    <row r="89" spans="1:38" ht="18.75" customHeight="1" x14ac:dyDescent="0.2">
      <c r="A89" s="1273">
        <v>71</v>
      </c>
      <c r="B89" s="1317" t="s">
        <v>220</v>
      </c>
      <c r="C89" s="241" t="s">
        <v>445</v>
      </c>
      <c r="D89" s="242">
        <v>685.69</v>
      </c>
      <c r="E89" s="242" t="s">
        <v>579</v>
      </c>
      <c r="F89" s="241">
        <v>177.8</v>
      </c>
      <c r="G89" s="241" t="s">
        <v>28</v>
      </c>
      <c r="H89" s="1299" t="s">
        <v>466</v>
      </c>
      <c r="I89" s="242">
        <v>639.97</v>
      </c>
      <c r="J89" s="1268"/>
      <c r="K89" s="242"/>
      <c r="L89" s="242"/>
      <c r="M89" s="242"/>
      <c r="N89" s="241"/>
      <c r="O89" s="242"/>
      <c r="P89" s="1278"/>
      <c r="Q89" s="1269"/>
      <c r="R89" s="1356"/>
      <c r="S89" s="1356"/>
      <c r="T89" s="1356"/>
      <c r="U89" s="1356"/>
      <c r="V89" s="1356"/>
      <c r="W89" s="1357"/>
      <c r="X89" s="1271"/>
      <c r="Y89" s="244">
        <f>IF(S89=0,0,S89/Q89)</f>
        <v>0</v>
      </c>
      <c r="Z89" s="244">
        <f t="shared" si="38"/>
        <v>0</v>
      </c>
      <c r="AA89" s="244">
        <f t="shared" si="38"/>
        <v>0</v>
      </c>
      <c r="AB89" s="1277">
        <f t="shared" si="38"/>
        <v>0</v>
      </c>
      <c r="AC89" s="244">
        <f t="shared" si="39"/>
        <v>0</v>
      </c>
      <c r="AD89" s="244">
        <f t="shared" si="39"/>
        <v>0</v>
      </c>
      <c r="AE89" s="241">
        <f t="shared" ref="AE89:AE90" si="40">(DAY(EOMONTH($AH$14,0))-AH89)</f>
        <v>31</v>
      </c>
      <c r="AF89" s="244">
        <f t="shared" ref="AF89:AF90" si="41">Z89*AE89</f>
        <v>0</v>
      </c>
      <c r="AG89" s="1281" t="s">
        <v>682</v>
      </c>
      <c r="AI89" s="1282">
        <f>(9.81*(AJ89*(100%-(V89/100))+AK89*(V89/100))*(I89-L89)+N89*101.325+9.81*(AL89)*L89)/101.325</f>
        <v>55.429492812435235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273">
        <v>72</v>
      </c>
      <c r="B90" s="1274" t="s">
        <v>465</v>
      </c>
      <c r="C90" s="241" t="s">
        <v>46</v>
      </c>
      <c r="D90" s="241">
        <v>571.91</v>
      </c>
      <c r="E90" s="241" t="s">
        <v>478</v>
      </c>
      <c r="F90" s="241">
        <v>177.8</v>
      </c>
      <c r="G90" s="241" t="s">
        <v>618</v>
      </c>
      <c r="H90" s="1303"/>
      <c r="I90" s="242">
        <v>9.5</v>
      </c>
      <c r="J90" s="1268"/>
      <c r="K90" s="242"/>
      <c r="L90" s="242"/>
      <c r="M90" s="242"/>
      <c r="N90" s="241"/>
      <c r="O90" s="242"/>
      <c r="P90" s="1278"/>
      <c r="Q90" s="1269"/>
      <c r="R90" s="1348"/>
      <c r="S90" s="1348"/>
      <c r="T90" s="1349"/>
      <c r="U90" s="1348"/>
      <c r="V90" s="1348"/>
      <c r="W90" s="1350"/>
      <c r="X90" s="1271"/>
      <c r="Y90" s="244">
        <f>IF(S90=0,0,S90/Q90)</f>
        <v>0</v>
      </c>
      <c r="Z90" s="244">
        <f t="shared" si="38"/>
        <v>0</v>
      </c>
      <c r="AA90" s="244">
        <f t="shared" si="38"/>
        <v>0</v>
      </c>
      <c r="AB90" s="1277">
        <f t="shared" si="38"/>
        <v>0</v>
      </c>
      <c r="AC90" s="244">
        <f t="shared" si="39"/>
        <v>0</v>
      </c>
      <c r="AD90" s="244">
        <f t="shared" si="39"/>
        <v>0</v>
      </c>
      <c r="AE90" s="241">
        <f t="shared" si="40"/>
        <v>31</v>
      </c>
      <c r="AF90" s="244">
        <f t="shared" si="41"/>
        <v>0</v>
      </c>
      <c r="AG90" s="1281" t="s">
        <v>682</v>
      </c>
      <c r="AI90" s="1282">
        <f>(9.81*(AJ90*(100%-(V90/100))+AK90*(V90/100))*(I90-L90)+N90*101.325+9.81*(AL90)*L90)/101.325</f>
        <v>0.82282010362694302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347"/>
      <c r="B91" s="1358"/>
      <c r="C91" s="1358"/>
      <c r="D91" s="1358"/>
      <c r="E91" s="1358"/>
      <c r="F91" s="1274"/>
      <c r="G91" s="241"/>
      <c r="H91" s="241"/>
      <c r="I91" s="241"/>
      <c r="J91" s="1268"/>
      <c r="K91" s="242"/>
      <c r="L91" s="242"/>
      <c r="M91" s="242"/>
      <c r="N91" s="242"/>
      <c r="O91" s="242"/>
      <c r="P91" s="1269"/>
      <c r="Q91" s="1269"/>
      <c r="R91" s="1348"/>
      <c r="S91" s="1348"/>
      <c r="T91" s="1349"/>
      <c r="U91" s="1348"/>
      <c r="V91" s="1348"/>
      <c r="W91" s="1350"/>
      <c r="X91" s="1271"/>
      <c r="Y91" s="1348"/>
      <c r="Z91" s="1348"/>
      <c r="AA91" s="1348"/>
      <c r="AB91" s="1351"/>
      <c r="AC91" s="1348"/>
      <c r="AD91" s="1348"/>
      <c r="AE91" s="1302"/>
      <c r="AF91" s="1348"/>
      <c r="AG91" s="1281"/>
      <c r="AI91" s="1282"/>
    </row>
    <row r="92" spans="1:38" ht="18.75" customHeight="1" x14ac:dyDescent="0.2">
      <c r="A92" s="1359"/>
      <c r="B92" s="1358"/>
      <c r="C92" s="1358"/>
      <c r="D92" s="1358"/>
      <c r="E92" s="1360" t="s">
        <v>470</v>
      </c>
      <c r="F92" s="1274"/>
      <c r="G92" s="241"/>
      <c r="H92" s="241"/>
      <c r="I92" s="241"/>
      <c r="J92" s="1268"/>
      <c r="K92" s="242"/>
      <c r="L92" s="242"/>
      <c r="M92" s="242"/>
      <c r="N92" s="242"/>
      <c r="O92" s="242"/>
      <c r="P92" s="1269"/>
      <c r="Q92" s="1269"/>
      <c r="R92" s="1348"/>
      <c r="S92" s="1348"/>
      <c r="T92" s="1349"/>
      <c r="U92" s="1348"/>
      <c r="V92" s="1348"/>
      <c r="W92" s="1350"/>
      <c r="X92" s="1271"/>
      <c r="Y92" s="1348"/>
      <c r="Z92" s="1348"/>
      <c r="AA92" s="1348"/>
      <c r="AB92" s="1351"/>
      <c r="AC92" s="1348"/>
      <c r="AD92" s="1348"/>
      <c r="AE92" s="1302"/>
      <c r="AF92" s="1348"/>
      <c r="AG92" s="1281"/>
      <c r="AI92" s="1282"/>
    </row>
    <row r="93" spans="1:38" ht="18.75" customHeight="1" x14ac:dyDescent="0.2">
      <c r="A93" s="1273">
        <v>73</v>
      </c>
      <c r="B93" s="241" t="s">
        <v>582</v>
      </c>
      <c r="C93" s="1316" t="s">
        <v>344</v>
      </c>
      <c r="D93" s="241">
        <v>371.11</v>
      </c>
      <c r="E93" s="1318" t="s">
        <v>583</v>
      </c>
      <c r="F93" s="241">
        <v>177.8</v>
      </c>
      <c r="G93" s="241" t="s">
        <v>28</v>
      </c>
      <c r="H93" s="1299" t="s">
        <v>584</v>
      </c>
      <c r="I93" s="242">
        <v>183.38</v>
      </c>
      <c r="J93" s="1268">
        <v>0</v>
      </c>
      <c r="K93" s="241">
        <v>0</v>
      </c>
      <c r="L93" s="241"/>
      <c r="M93" s="241">
        <v>0</v>
      </c>
      <c r="N93" s="241"/>
      <c r="O93" s="241"/>
      <c r="P93" s="1278">
        <f t="shared" ref="P93:P98" si="42">AI93</f>
        <v>16.420982671798672</v>
      </c>
      <c r="Q93" s="1269">
        <f>(13*J93)/100</f>
        <v>0</v>
      </c>
      <c r="R93" s="244"/>
      <c r="S93" s="244">
        <v>0</v>
      </c>
      <c r="T93" s="244">
        <v>0</v>
      </c>
      <c r="U93" s="244">
        <f t="shared" ref="U93" si="43">IF(R93=0,0,T93/R93)</f>
        <v>0</v>
      </c>
      <c r="V93" s="1278">
        <v>0</v>
      </c>
      <c r="W93" s="1355">
        <v>0</v>
      </c>
      <c r="X93" s="1271">
        <v>0</v>
      </c>
      <c r="Y93" s="244">
        <f>IF(S93=0,0,S93/Q93)</f>
        <v>0</v>
      </c>
      <c r="Z93" s="244">
        <f t="shared" ref="Z93:AB98" si="44">R93*0.988</f>
        <v>0</v>
      </c>
      <c r="AA93" s="244">
        <f t="shared" si="44"/>
        <v>0</v>
      </c>
      <c r="AB93" s="244">
        <f t="shared" si="44"/>
        <v>0</v>
      </c>
      <c r="AC93" s="244">
        <f>U93</f>
        <v>0</v>
      </c>
      <c r="AD93" s="244">
        <f>V93</f>
        <v>0</v>
      </c>
      <c r="AE93" s="241">
        <f>(DAY(EOMONTH($AH$14,0))-AH93)</f>
        <v>31</v>
      </c>
      <c r="AF93" s="244">
        <f t="shared" ref="AF93:AF98" si="45">Z93*AE93</f>
        <v>0</v>
      </c>
      <c r="AG93" s="1285"/>
      <c r="AI93" s="1282">
        <f t="shared" ref="AI93:AI98" si="46">(9.81*(AJ93*(100%-(V93/100))+AK93*(V93/100))*(I93-L93)+N93*101.325+9.81*(AL93)*L93)/101.325</f>
        <v>16.420982671798672</v>
      </c>
      <c r="AJ93" s="1252">
        <v>0.92490000000000006</v>
      </c>
      <c r="AK93" s="1252">
        <v>1</v>
      </c>
      <c r="AL93" s="1252">
        <v>6.1000000000000004E-3</v>
      </c>
    </row>
    <row r="94" spans="1:38" ht="18.75" customHeight="1" x14ac:dyDescent="0.2">
      <c r="A94" s="1273">
        <v>74</v>
      </c>
      <c r="B94" s="241" t="s">
        <v>131</v>
      </c>
      <c r="C94" s="1316" t="s">
        <v>344</v>
      </c>
      <c r="D94" s="241">
        <v>389.74</v>
      </c>
      <c r="E94" s="1318" t="s">
        <v>713</v>
      </c>
      <c r="F94" s="241">
        <v>177.8</v>
      </c>
      <c r="G94" s="241" t="s">
        <v>28</v>
      </c>
      <c r="H94" s="1299" t="s">
        <v>540</v>
      </c>
      <c r="I94" s="242">
        <v>136.35</v>
      </c>
      <c r="J94" s="1361">
        <v>205</v>
      </c>
      <c r="K94" s="241"/>
      <c r="L94" s="241">
        <v>52</v>
      </c>
      <c r="M94" s="241"/>
      <c r="N94" s="241">
        <v>0.4</v>
      </c>
      <c r="O94" s="241"/>
      <c r="P94" s="1278">
        <f t="shared" si="42"/>
        <v>8.2059852914199496</v>
      </c>
      <c r="Q94" s="1269">
        <f>(22*J94)/100</f>
        <v>45.1</v>
      </c>
      <c r="R94" s="244">
        <v>12.257</v>
      </c>
      <c r="S94" s="244">
        <v>17.576000000000001</v>
      </c>
      <c r="T94" s="244">
        <v>0</v>
      </c>
      <c r="U94" s="244">
        <f>T94/R94</f>
        <v>0</v>
      </c>
      <c r="V94" s="1278">
        <f t="shared" ref="V94:V97" si="47">(S94-R94)/S94*100</f>
        <v>30.262858443331819</v>
      </c>
      <c r="W94" s="1355">
        <v>0.2</v>
      </c>
      <c r="X94" s="1362">
        <v>205</v>
      </c>
      <c r="Y94" s="244">
        <f>S94/Q94</f>
        <v>0.38971175166297117</v>
      </c>
      <c r="Z94" s="244">
        <f t="shared" si="44"/>
        <v>12.109916</v>
      </c>
      <c r="AA94" s="244">
        <f t="shared" si="44"/>
        <v>17.365088</v>
      </c>
      <c r="AB94" s="244">
        <f t="shared" si="44"/>
        <v>0</v>
      </c>
      <c r="AC94" s="244">
        <f>U94</f>
        <v>0</v>
      </c>
      <c r="AD94" s="244">
        <f>V94</f>
        <v>30.262858443331819</v>
      </c>
      <c r="AE94" s="241">
        <f t="shared" ref="AE94:AE97" si="48">(DAY(EOMONTH($AH$14,0))-AH94)</f>
        <v>31</v>
      </c>
      <c r="AF94" s="244">
        <f>Z94*AE94</f>
        <v>375.40739600000001</v>
      </c>
      <c r="AG94" s="1285"/>
      <c r="AI94" s="1282">
        <f t="shared" si="46"/>
        <v>8.2059852914199496</v>
      </c>
      <c r="AJ94" s="1252">
        <v>0.93130000000000002</v>
      </c>
      <c r="AK94" s="1252">
        <v>1</v>
      </c>
      <c r="AL94" s="1252">
        <v>6.1000000000000004E-3</v>
      </c>
    </row>
    <row r="95" spans="1:38" ht="32.25" customHeight="1" x14ac:dyDescent="0.2">
      <c r="A95" s="1273">
        <v>75</v>
      </c>
      <c r="B95" s="241" t="s">
        <v>132</v>
      </c>
      <c r="C95" s="1316" t="s">
        <v>313</v>
      </c>
      <c r="D95" s="241">
        <v>389.09</v>
      </c>
      <c r="E95" s="1318" t="s">
        <v>135</v>
      </c>
      <c r="F95" s="241">
        <v>177.8</v>
      </c>
      <c r="G95" s="241" t="s">
        <v>28</v>
      </c>
      <c r="H95" s="241" t="s">
        <v>485</v>
      </c>
      <c r="I95" s="242">
        <v>130.11000000000001</v>
      </c>
      <c r="J95" s="1283">
        <v>250</v>
      </c>
      <c r="K95" s="241"/>
      <c r="L95" s="1277">
        <v>86</v>
      </c>
      <c r="M95" s="241"/>
      <c r="N95" s="241">
        <v>0.3</v>
      </c>
      <c r="O95" s="241"/>
      <c r="P95" s="1278">
        <f t="shared" si="42"/>
        <v>4.3365799393333209</v>
      </c>
      <c r="Q95" s="1269">
        <f>(15*J95)/100</f>
        <v>37.5</v>
      </c>
      <c r="R95" s="244">
        <v>11.676</v>
      </c>
      <c r="S95" s="244">
        <v>11.975</v>
      </c>
      <c r="T95" s="244">
        <v>0</v>
      </c>
      <c r="U95" s="244">
        <f>T95/R95</f>
        <v>0</v>
      </c>
      <c r="V95" s="1278">
        <f t="shared" si="47"/>
        <v>2.4968684759916449</v>
      </c>
      <c r="W95" s="1355">
        <v>0.2</v>
      </c>
      <c r="X95" s="1284">
        <v>250</v>
      </c>
      <c r="Y95" s="244">
        <f>S95/Q95</f>
        <v>0.3193333333333333</v>
      </c>
      <c r="Z95" s="244">
        <f t="shared" si="44"/>
        <v>11.535888</v>
      </c>
      <c r="AA95" s="244">
        <f t="shared" si="44"/>
        <v>11.831299999999999</v>
      </c>
      <c r="AB95" s="244">
        <f t="shared" si="44"/>
        <v>0</v>
      </c>
      <c r="AC95" s="244">
        <v>0</v>
      </c>
      <c r="AD95" s="244">
        <f>V95</f>
        <v>2.4968684759916449</v>
      </c>
      <c r="AE95" s="241">
        <f t="shared" si="48"/>
        <v>31</v>
      </c>
      <c r="AF95" s="244">
        <f t="shared" si="45"/>
        <v>357.612528</v>
      </c>
      <c r="AG95" s="1285"/>
      <c r="AI95" s="1282">
        <f t="shared" si="46"/>
        <v>4.3365799393333209</v>
      </c>
      <c r="AJ95" s="1252">
        <v>0.93159999999999998</v>
      </c>
      <c r="AK95" s="1252">
        <v>1</v>
      </c>
      <c r="AL95" s="1252">
        <v>6.1000000000000004E-3</v>
      </c>
    </row>
    <row r="96" spans="1:38" ht="18.75" customHeight="1" x14ac:dyDescent="0.2">
      <c r="A96" s="1273">
        <v>76</v>
      </c>
      <c r="B96" s="241" t="s">
        <v>121</v>
      </c>
      <c r="C96" s="1316" t="s">
        <v>313</v>
      </c>
      <c r="D96" s="241">
        <v>389.57</v>
      </c>
      <c r="E96" s="241" t="s">
        <v>137</v>
      </c>
      <c r="F96" s="241">
        <v>177.8</v>
      </c>
      <c r="G96" s="241" t="s">
        <v>28</v>
      </c>
      <c r="H96" s="1303" t="s">
        <v>466</v>
      </c>
      <c r="I96" s="242">
        <v>134.24</v>
      </c>
      <c r="J96" s="1283">
        <v>165</v>
      </c>
      <c r="K96" s="241"/>
      <c r="L96" s="1277">
        <v>39</v>
      </c>
      <c r="M96" s="241"/>
      <c r="N96" s="241">
        <v>0.3</v>
      </c>
      <c r="O96" s="241"/>
      <c r="P96" s="1278">
        <f t="shared" si="42"/>
        <v>8.9901744056922208</v>
      </c>
      <c r="Q96" s="1269">
        <f>LEFT(H96,(FIND("E",H96,1)-1))*J96/100</f>
        <v>21.45</v>
      </c>
      <c r="R96" s="244">
        <v>11.946</v>
      </c>
      <c r="S96" s="244">
        <v>13.567</v>
      </c>
      <c r="T96" s="244">
        <v>0</v>
      </c>
      <c r="U96" s="244">
        <v>0</v>
      </c>
      <c r="V96" s="1278">
        <f t="shared" si="47"/>
        <v>11.948109383061844</v>
      </c>
      <c r="W96" s="1355">
        <v>0.2</v>
      </c>
      <c r="X96" s="1284">
        <v>165</v>
      </c>
      <c r="Y96" s="244">
        <f>S96/Q96</f>
        <v>0.6324941724941725</v>
      </c>
      <c r="Z96" s="244">
        <f t="shared" si="44"/>
        <v>11.802648</v>
      </c>
      <c r="AA96" s="244">
        <f t="shared" si="44"/>
        <v>13.404196000000001</v>
      </c>
      <c r="AB96" s="244">
        <f t="shared" si="44"/>
        <v>0</v>
      </c>
      <c r="AC96" s="244">
        <v>0</v>
      </c>
      <c r="AD96" s="244">
        <v>47</v>
      </c>
      <c r="AE96" s="241">
        <f t="shared" si="48"/>
        <v>31</v>
      </c>
      <c r="AF96" s="244">
        <f t="shared" si="45"/>
        <v>365.88208800000001</v>
      </c>
      <c r="AG96" s="1281"/>
      <c r="AI96" s="1282">
        <f t="shared" si="46"/>
        <v>8.9901744056922208</v>
      </c>
      <c r="AJ96" s="1252">
        <v>0.93179999999999996</v>
      </c>
      <c r="AK96" s="1252">
        <v>1</v>
      </c>
      <c r="AL96" s="1252">
        <v>6.1000000000000004E-3</v>
      </c>
    </row>
    <row r="97" spans="1:38" ht="18.75" customHeight="1" x14ac:dyDescent="0.2">
      <c r="A97" s="1273">
        <v>77</v>
      </c>
      <c r="B97" s="241" t="s">
        <v>122</v>
      </c>
      <c r="C97" s="1316" t="s">
        <v>313</v>
      </c>
      <c r="D97" s="241">
        <v>391.06</v>
      </c>
      <c r="E97" s="241" t="s">
        <v>138</v>
      </c>
      <c r="F97" s="241">
        <v>177.8</v>
      </c>
      <c r="G97" s="241" t="s">
        <v>28</v>
      </c>
      <c r="H97" s="241" t="s">
        <v>588</v>
      </c>
      <c r="I97" s="244">
        <v>149.84</v>
      </c>
      <c r="J97" s="1283">
        <v>140</v>
      </c>
      <c r="K97" s="1302"/>
      <c r="L97" s="1277">
        <v>92.5</v>
      </c>
      <c r="M97" s="1302"/>
      <c r="N97" s="241">
        <v>1</v>
      </c>
      <c r="O97" s="1302"/>
      <c r="P97" s="1278">
        <f t="shared" si="42"/>
        <v>6.26151451240331</v>
      </c>
      <c r="Q97" s="1269">
        <f>(15*J97)/100</f>
        <v>21</v>
      </c>
      <c r="R97" s="244">
        <v>9.0020000000000007</v>
      </c>
      <c r="S97" s="244">
        <v>9.7590000000000003</v>
      </c>
      <c r="T97" s="244">
        <v>0</v>
      </c>
      <c r="U97" s="244">
        <f>T97/R97</f>
        <v>0</v>
      </c>
      <c r="V97" s="1278">
        <f t="shared" si="47"/>
        <v>7.7569423096628718</v>
      </c>
      <c r="W97" s="1355">
        <v>0.2</v>
      </c>
      <c r="X97" s="1284">
        <v>140</v>
      </c>
      <c r="Y97" s="244">
        <f>S97/Q97</f>
        <v>0.46471428571428575</v>
      </c>
      <c r="Z97" s="244">
        <f t="shared" si="44"/>
        <v>8.8939760000000003</v>
      </c>
      <c r="AA97" s="244">
        <f t="shared" si="44"/>
        <v>9.6418920000000004</v>
      </c>
      <c r="AB97" s="244">
        <f t="shared" si="44"/>
        <v>0</v>
      </c>
      <c r="AC97" s="244">
        <f>U97</f>
        <v>0</v>
      </c>
      <c r="AD97" s="244">
        <f>V97</f>
        <v>7.7569423096628718</v>
      </c>
      <c r="AE97" s="241">
        <f t="shared" si="48"/>
        <v>31</v>
      </c>
      <c r="AF97" s="244">
        <f t="shared" si="45"/>
        <v>275.713256</v>
      </c>
      <c r="AG97" s="1363"/>
      <c r="AI97" s="1282">
        <f t="shared" si="46"/>
        <v>6.26151451240331</v>
      </c>
      <c r="AJ97" s="1252">
        <v>0.93220000000000003</v>
      </c>
      <c r="AK97" s="1252">
        <v>1.006</v>
      </c>
      <c r="AL97" s="1252">
        <v>6.1000000000000004E-3</v>
      </c>
    </row>
    <row r="98" spans="1:38" ht="18.75" customHeight="1" x14ac:dyDescent="0.2">
      <c r="A98" s="1273">
        <v>78</v>
      </c>
      <c r="B98" s="241" t="s">
        <v>697</v>
      </c>
      <c r="C98" s="1316" t="s">
        <v>344</v>
      </c>
      <c r="D98" s="241">
        <v>383.1</v>
      </c>
      <c r="E98" s="241" t="s">
        <v>698</v>
      </c>
      <c r="F98" s="241">
        <v>177.8</v>
      </c>
      <c r="G98" s="241" t="s">
        <v>28</v>
      </c>
      <c r="H98" s="1299" t="s">
        <v>466</v>
      </c>
      <c r="I98" s="244">
        <v>206.52</v>
      </c>
      <c r="J98" s="1283">
        <v>110</v>
      </c>
      <c r="K98" s="1302"/>
      <c r="L98" s="1277">
        <v>46</v>
      </c>
      <c r="M98" s="1302"/>
      <c r="N98" s="241">
        <v>1.1000000000000001</v>
      </c>
      <c r="O98" s="1302"/>
      <c r="P98" s="1278">
        <f t="shared" si="42"/>
        <v>15.769896647360378</v>
      </c>
      <c r="Q98" s="1269">
        <f>(13*J98)/100</f>
        <v>14.3</v>
      </c>
      <c r="R98" s="244">
        <v>6.3330000000000002</v>
      </c>
      <c r="S98" s="244">
        <v>7.91</v>
      </c>
      <c r="T98" s="244">
        <v>1</v>
      </c>
      <c r="U98" s="244">
        <f>T98/R98</f>
        <v>0.15790304752881731</v>
      </c>
      <c r="V98" s="1278">
        <f>(S98-R98)/S98*100</f>
        <v>19.936788874841969</v>
      </c>
      <c r="W98" s="1355">
        <v>0.2</v>
      </c>
      <c r="X98" s="1284">
        <v>110</v>
      </c>
      <c r="Y98" s="244">
        <f>S98/Q98</f>
        <v>0.55314685314685308</v>
      </c>
      <c r="Z98" s="244">
        <f t="shared" si="44"/>
        <v>6.2570040000000002</v>
      </c>
      <c r="AA98" s="244">
        <f t="shared" si="44"/>
        <v>7.81508</v>
      </c>
      <c r="AB98" s="244">
        <f t="shared" si="44"/>
        <v>0.98799999999999999</v>
      </c>
      <c r="AC98" s="244">
        <f>U98</f>
        <v>0.15790304752881731</v>
      </c>
      <c r="AD98" s="244">
        <f>V98</f>
        <v>19.936788874841969</v>
      </c>
      <c r="AE98" s="241">
        <f t="shared" ref="AE98" si="49">(DAY(EOMONTH($AH$14,0))-AH98)</f>
        <v>31</v>
      </c>
      <c r="AF98" s="244">
        <f t="shared" si="45"/>
        <v>193.96712400000001</v>
      </c>
      <c r="AG98" s="1363"/>
      <c r="AI98" s="1282">
        <f t="shared" si="46"/>
        <v>15.769896647360378</v>
      </c>
      <c r="AJ98" s="1252">
        <v>0.92779999999999996</v>
      </c>
      <c r="AK98" s="1252">
        <v>1</v>
      </c>
      <c r="AL98" s="1252">
        <v>6.1000000000000004E-3</v>
      </c>
    </row>
    <row r="99" spans="1:38" ht="18.75" customHeight="1" x14ac:dyDescent="0.2">
      <c r="A99" s="1273">
        <v>79</v>
      </c>
      <c r="B99" s="241" t="s">
        <v>188</v>
      </c>
      <c r="C99" s="1316" t="s">
        <v>344</v>
      </c>
      <c r="D99" s="241">
        <v>224.89</v>
      </c>
      <c r="E99" s="241" t="s">
        <v>385</v>
      </c>
      <c r="F99" s="241">
        <v>177.8</v>
      </c>
      <c r="G99" s="241" t="s">
        <v>28</v>
      </c>
      <c r="H99" s="241" t="s">
        <v>383</v>
      </c>
      <c r="I99" s="244">
        <v>144.54</v>
      </c>
      <c r="J99" s="1283"/>
      <c r="K99" s="1302"/>
      <c r="L99" s="241"/>
      <c r="M99" s="1302"/>
      <c r="N99" s="241"/>
      <c r="O99" s="1302"/>
      <c r="P99" s="1278"/>
      <c r="Q99" s="1269"/>
      <c r="R99" s="244"/>
      <c r="S99" s="244"/>
      <c r="T99" s="244"/>
      <c r="U99" s="244"/>
      <c r="V99" s="244"/>
      <c r="W99" s="1355"/>
      <c r="X99" s="1284"/>
      <c r="Y99" s="244"/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8" ht="18.75" customHeight="1" x14ac:dyDescent="0.2">
      <c r="A100" s="1273">
        <v>80</v>
      </c>
      <c r="B100" s="241" t="s">
        <v>186</v>
      </c>
      <c r="C100" s="1316" t="s">
        <v>346</v>
      </c>
      <c r="D100" s="241">
        <v>349.5</v>
      </c>
      <c r="E100" s="1274" t="s">
        <v>347</v>
      </c>
      <c r="F100" s="241">
        <v>177.8</v>
      </c>
      <c r="G100" s="241" t="s">
        <v>618</v>
      </c>
      <c r="H100" s="1299" t="s">
        <v>466</v>
      </c>
      <c r="I100" s="244">
        <v>9</v>
      </c>
      <c r="J100" s="1283"/>
      <c r="K100" s="241"/>
      <c r="L100" s="241"/>
      <c r="M100" s="1302"/>
      <c r="N100" s="241"/>
      <c r="O100" s="1302"/>
      <c r="P100" s="1278"/>
      <c r="Q100" s="1269"/>
      <c r="R100" s="244"/>
      <c r="S100" s="244"/>
      <c r="T100" s="244"/>
      <c r="U100" s="244"/>
      <c r="V100" s="244"/>
      <c r="W100" s="1355"/>
      <c r="X100" s="1284"/>
      <c r="Y100" s="244"/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81</v>
      </c>
      <c r="B101" s="241" t="s">
        <v>57</v>
      </c>
      <c r="C101" s="1316" t="s">
        <v>346</v>
      </c>
      <c r="D101" s="241">
        <v>376.58</v>
      </c>
      <c r="E101" s="1274" t="s">
        <v>568</v>
      </c>
      <c r="F101" s="241">
        <v>177.8</v>
      </c>
      <c r="G101" s="241" t="s">
        <v>28</v>
      </c>
      <c r="H101" s="1299" t="s">
        <v>466</v>
      </c>
      <c r="I101" s="242">
        <v>131.13</v>
      </c>
      <c r="J101" s="1276">
        <v>0</v>
      </c>
      <c r="K101" s="241"/>
      <c r="L101" s="241">
        <v>0</v>
      </c>
      <c r="M101" s="241"/>
      <c r="N101" s="1278">
        <v>0</v>
      </c>
      <c r="O101" s="241"/>
      <c r="P101" s="1278">
        <v>15.793855791841201</v>
      </c>
      <c r="Q101" s="1278">
        <f>(32/100)*J101</f>
        <v>0</v>
      </c>
      <c r="R101" s="244"/>
      <c r="S101" s="244">
        <v>0</v>
      </c>
      <c r="T101" s="1277">
        <v>0</v>
      </c>
      <c r="U101" s="1278">
        <f t="shared" ref="U101:U102" si="50">IF(R101=0,0,T101/R101)</f>
        <v>0</v>
      </c>
      <c r="V101" s="1278">
        <v>0.5</v>
      </c>
      <c r="W101" s="1279">
        <v>0.3</v>
      </c>
      <c r="X101" s="1280">
        <v>0</v>
      </c>
      <c r="Y101" s="244"/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273">
        <v>82</v>
      </c>
      <c r="B102" s="241" t="s">
        <v>184</v>
      </c>
      <c r="C102" s="1316" t="s">
        <v>314</v>
      </c>
      <c r="D102" s="241">
        <v>422.78</v>
      </c>
      <c r="E102" s="1274" t="s">
        <v>573</v>
      </c>
      <c r="F102" s="241">
        <v>177.8</v>
      </c>
      <c r="G102" s="241" t="s">
        <v>28</v>
      </c>
      <c r="H102" s="1299" t="s">
        <v>466</v>
      </c>
      <c r="I102" s="242">
        <v>209.37</v>
      </c>
      <c r="J102" s="1276">
        <v>0</v>
      </c>
      <c r="K102" s="241"/>
      <c r="L102" s="241">
        <v>0</v>
      </c>
      <c r="M102" s="241"/>
      <c r="N102" s="1278">
        <v>0</v>
      </c>
      <c r="O102" s="241"/>
      <c r="P102" s="1278">
        <v>15.793855791841201</v>
      </c>
      <c r="Q102" s="1278">
        <f>(32/100)*J102</f>
        <v>0</v>
      </c>
      <c r="R102" s="244"/>
      <c r="S102" s="244">
        <v>0</v>
      </c>
      <c r="T102" s="1277">
        <v>0</v>
      </c>
      <c r="U102" s="1278">
        <f t="shared" si="50"/>
        <v>0</v>
      </c>
      <c r="V102" s="1278">
        <v>0.3</v>
      </c>
      <c r="W102" s="1279">
        <v>0.3</v>
      </c>
      <c r="X102" s="1280">
        <v>0</v>
      </c>
      <c r="Y102" s="244"/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347"/>
      <c r="B103" s="1364"/>
      <c r="C103" s="1365"/>
      <c r="D103" s="1365"/>
      <c r="E103" s="1366"/>
      <c r="F103" s="242"/>
      <c r="G103" s="1266"/>
      <c r="H103" s="1353"/>
      <c r="I103" s="1353"/>
      <c r="J103" s="1268"/>
      <c r="K103" s="242"/>
      <c r="L103" s="242"/>
      <c r="M103" s="242"/>
      <c r="N103" s="242"/>
      <c r="O103" s="242"/>
      <c r="P103" s="1269"/>
      <c r="Q103" s="1269"/>
      <c r="R103" s="1348">
        <f>SUM(R94:R100)</f>
        <v>51.213999999999999</v>
      </c>
      <c r="S103" s="1348">
        <f>SUM(S94:S100)</f>
        <v>60.787000000000006</v>
      </c>
      <c r="T103" s="1348">
        <f>SUM(T94:T97)</f>
        <v>0</v>
      </c>
      <c r="U103" s="1348">
        <f>SUM(U94:U97)</f>
        <v>0</v>
      </c>
      <c r="V103" s="1266"/>
      <c r="W103" s="1367"/>
      <c r="X103" s="1271"/>
      <c r="Y103" s="1266"/>
      <c r="Z103" s="1348">
        <f>SUM(Z94:Z100)</f>
        <v>50.599432</v>
      </c>
      <c r="AA103" s="1348">
        <f>SUM(AA94:AA100)</f>
        <v>60.057555999999998</v>
      </c>
      <c r="AB103" s="1348">
        <f>SUM(AB94:AB97)</f>
        <v>0</v>
      </c>
      <c r="AC103" s="1348">
        <f>AB103/Z103</f>
        <v>0</v>
      </c>
      <c r="AD103" s="1266"/>
      <c r="AE103" s="242"/>
      <c r="AF103" s="1348">
        <f>SUM(AF94:AF100)</f>
        <v>1568.582392</v>
      </c>
      <c r="AG103" s="1368"/>
    </row>
    <row r="104" spans="1:38" ht="18.75" customHeight="1" x14ac:dyDescent="0.2">
      <c r="A104" s="1347"/>
      <c r="B104" s="1364"/>
      <c r="C104" s="1365"/>
      <c r="D104" s="1365"/>
      <c r="E104" s="1366"/>
      <c r="F104" s="1302"/>
      <c r="G104" s="241"/>
      <c r="H104" s="241"/>
      <c r="I104" s="244"/>
      <c r="J104" s="1283"/>
      <c r="K104" s="1302"/>
      <c r="L104" s="241"/>
      <c r="M104" s="1302"/>
      <c r="N104" s="1278"/>
      <c r="O104" s="1302"/>
      <c r="P104" s="1369"/>
      <c r="Q104" s="1369"/>
      <c r="R104" s="1348"/>
      <c r="S104" s="1348"/>
      <c r="T104" s="1348"/>
      <c r="U104" s="1348"/>
      <c r="V104" s="1348"/>
      <c r="W104" s="1350"/>
      <c r="X104" s="1284"/>
      <c r="Y104" s="1348"/>
      <c r="Z104" s="1348"/>
      <c r="AA104" s="1351"/>
      <c r="AB104" s="1348"/>
      <c r="AC104" s="1348"/>
      <c r="AD104" s="1348"/>
      <c r="AE104" s="1348"/>
      <c r="AF104" s="1348"/>
      <c r="AG104" s="1363"/>
    </row>
    <row r="105" spans="1:38" ht="18.75" customHeight="1" x14ac:dyDescent="0.2">
      <c r="A105" s="1347"/>
      <c r="B105" s="1370"/>
      <c r="C105" s="1371"/>
      <c r="D105" s="1371"/>
      <c r="E105" s="1262" t="s">
        <v>472</v>
      </c>
      <c r="F105" s="1371"/>
      <c r="G105" s="1266"/>
      <c r="H105" s="1353"/>
      <c r="I105" s="1353"/>
      <c r="J105" s="1268"/>
      <c r="K105" s="242"/>
      <c r="L105" s="242"/>
      <c r="M105" s="242"/>
      <c r="N105" s="242"/>
      <c r="O105" s="242"/>
      <c r="P105" s="1269"/>
      <c r="Q105" s="1269"/>
      <c r="R105" s="242"/>
      <c r="S105" s="242"/>
      <c r="T105" s="242"/>
      <c r="U105" s="1266"/>
      <c r="V105" s="1266"/>
      <c r="W105" s="1367"/>
      <c r="X105" s="1271"/>
      <c r="Y105" s="1266"/>
      <c r="Z105" s="242"/>
      <c r="AA105" s="242"/>
      <c r="AB105" s="242"/>
      <c r="AC105" s="1266"/>
      <c r="AD105" s="1266"/>
      <c r="AE105" s="242"/>
      <c r="AF105" s="242"/>
      <c r="AG105" s="1372"/>
    </row>
    <row r="106" spans="1:38" ht="18.75" customHeight="1" x14ac:dyDescent="0.2">
      <c r="A106" s="1273">
        <v>83</v>
      </c>
      <c r="B106" s="1317" t="s">
        <v>107</v>
      </c>
      <c r="C106" s="242" t="s">
        <v>109</v>
      </c>
      <c r="D106" s="242"/>
      <c r="E106" s="242"/>
      <c r="F106" s="242"/>
      <c r="G106" s="1266"/>
      <c r="H106" s="1353"/>
      <c r="I106" s="1353"/>
      <c r="J106" s="1268"/>
      <c r="K106" s="242"/>
      <c r="L106" s="242"/>
      <c r="M106" s="242"/>
      <c r="N106" s="242"/>
      <c r="O106" s="242"/>
      <c r="P106" s="1269"/>
      <c r="Q106" s="1269"/>
      <c r="R106" s="242"/>
      <c r="S106" s="242"/>
      <c r="T106" s="242"/>
      <c r="U106" s="1266"/>
      <c r="V106" s="1266"/>
      <c r="W106" s="1367"/>
      <c r="X106" s="1271"/>
      <c r="Y106" s="1266"/>
      <c r="Z106" s="1353"/>
      <c r="AA106" s="1353"/>
      <c r="AB106" s="242"/>
      <c r="AC106" s="1266"/>
      <c r="AD106" s="1266"/>
      <c r="AE106" s="1373"/>
      <c r="AF106" s="242"/>
      <c r="AG106" s="1372"/>
    </row>
    <row r="107" spans="1:38" ht="18.75" customHeight="1" x14ac:dyDescent="0.2">
      <c r="A107" s="1273">
        <v>84</v>
      </c>
      <c r="B107" s="1317" t="s">
        <v>108</v>
      </c>
      <c r="C107" s="242" t="s">
        <v>109</v>
      </c>
      <c r="D107" s="242"/>
      <c r="E107" s="242"/>
      <c r="F107" s="242"/>
      <c r="G107" s="1266"/>
      <c r="H107" s="1353"/>
      <c r="I107" s="1353"/>
      <c r="J107" s="1268"/>
      <c r="K107" s="242"/>
      <c r="L107" s="242"/>
      <c r="M107" s="242"/>
      <c r="N107" s="242"/>
      <c r="O107" s="242"/>
      <c r="P107" s="1269"/>
      <c r="Q107" s="1269"/>
      <c r="R107" s="1301"/>
      <c r="S107" s="242"/>
      <c r="T107" s="242"/>
      <c r="U107" s="1266"/>
      <c r="V107" s="1266"/>
      <c r="W107" s="1367"/>
      <c r="X107" s="1271"/>
      <c r="Y107" s="1266"/>
      <c r="Z107" s="1353"/>
      <c r="AA107" s="1353"/>
      <c r="AB107" s="242"/>
      <c r="AC107" s="1266"/>
      <c r="AD107" s="1266"/>
      <c r="AE107" s="1373"/>
      <c r="AF107" s="242"/>
      <c r="AG107" s="1372"/>
    </row>
    <row r="108" spans="1:38" ht="18.75" customHeight="1" x14ac:dyDescent="0.2">
      <c r="A108" s="1273">
        <v>85</v>
      </c>
      <c r="B108" s="1317" t="s">
        <v>195</v>
      </c>
      <c r="C108" s="1316" t="s">
        <v>484</v>
      </c>
      <c r="D108" s="242"/>
      <c r="E108" s="242"/>
      <c r="F108" s="242"/>
      <c r="G108" s="1266"/>
      <c r="H108" s="1353"/>
      <c r="I108" s="1353"/>
      <c r="J108" s="1268"/>
      <c r="K108" s="242"/>
      <c r="L108" s="242"/>
      <c r="M108" s="242"/>
      <c r="N108" s="242"/>
      <c r="O108" s="242"/>
      <c r="P108" s="1269"/>
      <c r="Q108" s="1269"/>
      <c r="R108" s="242"/>
      <c r="S108" s="242"/>
      <c r="T108" s="242"/>
      <c r="U108" s="1266"/>
      <c r="V108" s="1266"/>
      <c r="W108" s="1367"/>
      <c r="X108" s="1271"/>
      <c r="Y108" s="1266"/>
      <c r="Z108" s="1353"/>
      <c r="AA108" s="1353"/>
      <c r="AB108" s="242"/>
      <c r="AC108" s="1266"/>
      <c r="AD108" s="1266"/>
      <c r="AE108" s="1373"/>
      <c r="AF108" s="242"/>
      <c r="AG108" s="1285"/>
    </row>
    <row r="109" spans="1:38" ht="18.75" customHeight="1" x14ac:dyDescent="0.2">
      <c r="A109" s="1273">
        <v>86</v>
      </c>
      <c r="B109" s="1317" t="s">
        <v>192</v>
      </c>
      <c r="C109" s="1316" t="s">
        <v>484</v>
      </c>
      <c r="D109" s="242"/>
      <c r="E109" s="242"/>
      <c r="F109" s="242"/>
      <c r="G109" s="1266"/>
      <c r="H109" s="1353"/>
      <c r="I109" s="1353"/>
      <c r="J109" s="1268"/>
      <c r="K109" s="242"/>
      <c r="L109" s="242"/>
      <c r="M109" s="242"/>
      <c r="N109" s="242"/>
      <c r="O109" s="242"/>
      <c r="P109" s="1269"/>
      <c r="Q109" s="1269"/>
      <c r="R109" s="242"/>
      <c r="S109" s="242"/>
      <c r="T109" s="242"/>
      <c r="U109" s="1266"/>
      <c r="V109" s="1266"/>
      <c r="W109" s="1367"/>
      <c r="X109" s="1271"/>
      <c r="Y109" s="1266"/>
      <c r="Z109" s="1353"/>
      <c r="AA109" s="1353"/>
      <c r="AB109" s="242"/>
      <c r="AC109" s="1266"/>
      <c r="AD109" s="1266"/>
      <c r="AE109" s="1373"/>
      <c r="AF109" s="242"/>
      <c r="AG109" s="1285"/>
    </row>
    <row r="110" spans="1:38" ht="18.75" customHeight="1" x14ac:dyDescent="0.2">
      <c r="A110" s="1273"/>
      <c r="B110" s="1262"/>
      <c r="C110" s="1371"/>
      <c r="D110" s="1371"/>
      <c r="E110" s="1353" t="s">
        <v>278</v>
      </c>
      <c r="F110" s="1371"/>
      <c r="G110" s="1266"/>
      <c r="H110" s="1353"/>
      <c r="I110" s="1353"/>
      <c r="J110" s="1268"/>
      <c r="K110" s="242"/>
      <c r="L110" s="242"/>
      <c r="M110" s="242"/>
      <c r="N110" s="242"/>
      <c r="O110" s="242"/>
      <c r="P110" s="1269"/>
      <c r="Q110" s="1269"/>
      <c r="R110" s="242"/>
      <c r="S110" s="242"/>
      <c r="T110" s="242"/>
      <c r="U110" s="1266"/>
      <c r="V110" s="1266"/>
      <c r="W110" s="1367"/>
      <c r="X110" s="1271"/>
      <c r="Y110" s="1266"/>
      <c r="Z110" s="1301"/>
      <c r="AA110" s="242"/>
      <c r="AB110" s="242"/>
      <c r="AC110" s="1266"/>
      <c r="AD110" s="1266"/>
      <c r="AE110" s="242"/>
      <c r="AF110" s="242"/>
      <c r="AG110" s="1372"/>
    </row>
    <row r="111" spans="1:38" ht="18.75" customHeight="1" x14ac:dyDescent="0.25">
      <c r="A111" s="1273">
        <v>87</v>
      </c>
      <c r="B111" s="1274" t="s">
        <v>181</v>
      </c>
      <c r="C111" s="1374" t="s">
        <v>344</v>
      </c>
      <c r="D111" s="241">
        <v>374.5</v>
      </c>
      <c r="E111" s="241" t="s">
        <v>182</v>
      </c>
      <c r="F111" s="241">
        <v>177.8</v>
      </c>
      <c r="G111" s="241"/>
      <c r="H111" s="241"/>
      <c r="I111" s="242"/>
      <c r="J111" s="1283"/>
      <c r="K111" s="241"/>
      <c r="L111" s="241"/>
      <c r="M111" s="241"/>
      <c r="N111" s="1278"/>
      <c r="O111" s="241"/>
      <c r="P111" s="244"/>
      <c r="Q111" s="1278"/>
      <c r="R111" s="244"/>
      <c r="S111" s="244"/>
      <c r="T111" s="244"/>
      <c r="U111" s="244"/>
      <c r="V111" s="244"/>
      <c r="W111" s="1355"/>
      <c r="X111" s="1284"/>
      <c r="Y111" s="1375"/>
      <c r="Z111" s="244"/>
      <c r="AA111" s="244"/>
      <c r="AB111" s="244"/>
      <c r="AC111" s="244"/>
      <c r="AD111" s="244"/>
      <c r="AE111" s="241"/>
      <c r="AF111" s="244"/>
      <c r="AG111" s="1285"/>
    </row>
    <row r="112" spans="1:38" ht="18.75" customHeight="1" x14ac:dyDescent="0.2">
      <c r="A112" s="1273">
        <v>88</v>
      </c>
      <c r="B112" s="1317" t="s">
        <v>160</v>
      </c>
      <c r="C112" s="241" t="s">
        <v>46</v>
      </c>
      <c r="D112" s="242">
        <v>625.1</v>
      </c>
      <c r="E112" s="242" t="s">
        <v>578</v>
      </c>
      <c r="F112" s="241">
        <v>177.8</v>
      </c>
      <c r="G112" s="241"/>
      <c r="H112" s="241"/>
      <c r="I112" s="244"/>
      <c r="J112" s="1268"/>
      <c r="K112" s="242"/>
      <c r="L112" s="242"/>
      <c r="M112" s="242"/>
      <c r="N112" s="242"/>
      <c r="O112" s="242"/>
      <c r="P112" s="1269"/>
      <c r="Q112" s="1269"/>
      <c r="R112" s="242"/>
      <c r="S112" s="242"/>
      <c r="T112" s="242"/>
      <c r="U112" s="1266"/>
      <c r="V112" s="1266"/>
      <c r="W112" s="1367"/>
      <c r="X112" s="1271"/>
      <c r="Y112" s="1376"/>
      <c r="Z112" s="1319"/>
      <c r="AA112" s="242"/>
      <c r="AB112" s="242"/>
      <c r="AC112" s="1266"/>
      <c r="AD112" s="242"/>
      <c r="AE112" s="1373"/>
      <c r="AF112" s="1301"/>
      <c r="AG112" s="1285"/>
    </row>
    <row r="113" spans="1:33" ht="18.75" customHeight="1" x14ac:dyDescent="0.2">
      <c r="A113" s="1273"/>
      <c r="B113" s="1356"/>
      <c r="C113" s="1356"/>
      <c r="D113" s="1356"/>
      <c r="E113" s="1356"/>
      <c r="F113" s="1356"/>
      <c r="G113" s="241"/>
      <c r="H113" s="241"/>
      <c r="I113" s="242"/>
      <c r="J113" s="1268"/>
      <c r="K113" s="242"/>
      <c r="L113" s="242"/>
      <c r="M113" s="242"/>
      <c r="N113" s="242"/>
      <c r="O113" s="242"/>
      <c r="P113" s="1269"/>
      <c r="Q113" s="1270"/>
      <c r="R113" s="242"/>
      <c r="S113" s="242"/>
      <c r="T113" s="242"/>
      <c r="U113" s="1266"/>
      <c r="V113" s="1266"/>
      <c r="W113" s="1367"/>
      <c r="X113" s="1271"/>
      <c r="Y113" s="1376"/>
      <c r="Z113" s="1319"/>
      <c r="AA113" s="242"/>
      <c r="AB113" s="242"/>
      <c r="AC113" s="1266"/>
      <c r="AD113" s="242"/>
      <c r="AE113" s="1373"/>
      <c r="AF113" s="1301"/>
      <c r="AG113" s="1285"/>
    </row>
    <row r="114" spans="1:33" ht="18.75" customHeight="1" x14ac:dyDescent="0.2">
      <c r="A114" s="1273"/>
      <c r="B114" s="1274"/>
      <c r="C114" s="241"/>
      <c r="D114" s="241"/>
      <c r="E114" s="241"/>
      <c r="F114" s="241"/>
      <c r="G114" s="241"/>
      <c r="H114" s="241"/>
      <c r="I114" s="242"/>
      <c r="J114" s="1283"/>
      <c r="K114" s="241"/>
      <c r="L114" s="241"/>
      <c r="M114" s="241"/>
      <c r="N114" s="1278"/>
      <c r="O114" s="241"/>
      <c r="P114" s="244"/>
      <c r="Q114" s="1377"/>
      <c r="R114" s="244"/>
      <c r="S114" s="244"/>
      <c r="T114" s="244"/>
      <c r="U114" s="244"/>
      <c r="V114" s="244"/>
      <c r="W114" s="1355"/>
      <c r="X114" s="1284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5" x14ac:dyDescent="0.2">
      <c r="A115" s="1359"/>
      <c r="B115" s="241"/>
      <c r="C115" s="241"/>
      <c r="D115" s="241"/>
      <c r="E115" s="1274"/>
      <c r="F115" s="241"/>
      <c r="G115" s="241"/>
      <c r="H115" s="241"/>
      <c r="I115" s="242"/>
      <c r="J115" s="1283"/>
      <c r="K115" s="241"/>
      <c r="L115" s="241"/>
      <c r="M115" s="241"/>
      <c r="N115" s="1278"/>
      <c r="O115" s="241"/>
      <c r="P115" s="244"/>
      <c r="Q115" s="1377"/>
      <c r="R115" s="244"/>
      <c r="S115" s="244"/>
      <c r="T115" s="244"/>
      <c r="U115" s="244"/>
      <c r="V115" s="244"/>
      <c r="W115" s="1355"/>
      <c r="X115" s="1284"/>
      <c r="Y115" s="1375"/>
      <c r="Z115" s="244"/>
      <c r="AA115" s="244"/>
      <c r="AB115" s="244"/>
      <c r="AC115" s="244"/>
      <c r="AD115" s="244"/>
      <c r="AE115" s="241"/>
      <c r="AF115" s="244"/>
      <c r="AG115" s="1285"/>
    </row>
    <row r="116" spans="1:33" ht="15.75" thickBot="1" x14ac:dyDescent="0.25">
      <c r="A116" s="1378"/>
      <c r="B116" s="1981"/>
      <c r="C116" s="1981"/>
      <c r="D116" s="1981"/>
      <c r="E116" s="1982"/>
      <c r="F116" s="1379"/>
      <c r="G116" s="1380"/>
      <c r="H116" s="1380"/>
      <c r="I116" s="1381"/>
      <c r="J116" s="1382"/>
      <c r="K116" s="1379"/>
      <c r="L116" s="1380"/>
      <c r="M116" s="1379"/>
      <c r="N116" s="1383"/>
      <c r="O116" s="1379"/>
      <c r="P116" s="1384"/>
      <c r="Q116" s="1385"/>
      <c r="R116" s="1386">
        <f>R84+R91+R103</f>
        <v>386.30189999999999</v>
      </c>
      <c r="S116" s="1386">
        <f>S84+S91+S103</f>
        <v>1080.8410000000001</v>
      </c>
      <c r="T116" s="1387">
        <f>T84+T91+T103</f>
        <v>5106.9130000000005</v>
      </c>
      <c r="U116" s="1386">
        <f>T116/R116</f>
        <v>13.220004871837288</v>
      </c>
      <c r="V116" s="1386"/>
      <c r="W116" s="1388"/>
      <c r="X116" s="1389"/>
      <c r="Y116" s="1386"/>
      <c r="Z116" s="1386">
        <f>Z84+Z91+Z103</f>
        <v>382.56720919999992</v>
      </c>
      <c r="AA116" s="1386">
        <f>AA84+AA103+AA91</f>
        <v>1068.2254359999999</v>
      </c>
      <c r="AB116" s="1387">
        <f>AB84+AB103+AB91</f>
        <v>5045.6300440000005</v>
      </c>
      <c r="AC116" s="1386">
        <f>AC84+AC103+AC91</f>
        <v>15.199156034232113</v>
      </c>
      <c r="AD116" s="1386"/>
      <c r="AE116" s="1386"/>
      <c r="AF116" s="1390">
        <f>AF84+AF91+AF103</f>
        <v>11836.844665199998</v>
      </c>
      <c r="AG116" s="1391"/>
    </row>
    <row r="117" spans="1:33" ht="15" x14ac:dyDescent="0.2">
      <c r="B117" s="254"/>
      <c r="C117" s="254"/>
      <c r="D117" s="254"/>
      <c r="E117" s="254"/>
      <c r="F117" s="254"/>
      <c r="G117" s="255"/>
      <c r="H117" s="256"/>
      <c r="I117" s="256"/>
      <c r="J117" s="1392"/>
      <c r="K117" s="254"/>
      <c r="L117" s="254"/>
      <c r="M117" s="254"/>
      <c r="N117" s="254"/>
      <c r="O117" s="254"/>
      <c r="P117" s="257"/>
      <c r="Q117" s="1393"/>
      <c r="R117" s="254"/>
      <c r="S117" s="254"/>
      <c r="T117" s="254"/>
      <c r="U117" s="255"/>
      <c r="V117" s="255"/>
      <c r="W117" s="255"/>
      <c r="X117" s="1392"/>
      <c r="Y117" s="255"/>
      <c r="Z117" s="254"/>
      <c r="AA117" s="254"/>
      <c r="AB117" s="254"/>
      <c r="AC117" s="255"/>
      <c r="AD117" s="255"/>
      <c r="AE117" s="254"/>
      <c r="AF117" s="254"/>
      <c r="AG117" s="256"/>
    </row>
    <row r="118" spans="1:33" ht="15" x14ac:dyDescent="0.2">
      <c r="B118" s="148"/>
      <c r="C118" s="290"/>
      <c r="D118" s="148"/>
      <c r="E118" s="1394">
        <f>AN16/(AO16*AM16*24)</f>
        <v>0.93174563172043012</v>
      </c>
      <c r="F118" s="148"/>
      <c r="G118" s="148" t="s">
        <v>102</v>
      </c>
      <c r="H118" s="290"/>
      <c r="I118" s="1395"/>
      <c r="J118" s="1396"/>
      <c r="K118" s="1983">
        <f>AF116*E118</f>
        <v>11028.928310153377</v>
      </c>
      <c r="L118" s="1984"/>
      <c r="M118" s="1984"/>
      <c r="N118" s="290" t="s">
        <v>27</v>
      </c>
      <c r="O118" s="254"/>
      <c r="P118" s="257"/>
      <c r="Q118" s="1393"/>
      <c r="R118" s="254"/>
      <c r="S118" s="254"/>
      <c r="T118" s="254"/>
      <c r="U118" s="255"/>
      <c r="V118" s="255"/>
      <c r="W118" s="255"/>
      <c r="X118" s="1396"/>
      <c r="Y118" s="255"/>
      <c r="Z118" s="254"/>
      <c r="AA118" s="254"/>
      <c r="AB118" s="254"/>
      <c r="AC118" s="255"/>
      <c r="AD118" s="255"/>
      <c r="AE118" s="254"/>
      <c r="AF118" s="254"/>
      <c r="AG118" s="256"/>
    </row>
    <row r="119" spans="1:33" ht="15" x14ac:dyDescent="0.2">
      <c r="B119" s="148"/>
      <c r="C119" s="290"/>
      <c r="D119" s="148"/>
      <c r="E119" s="154"/>
      <c r="F119" s="148"/>
      <c r="G119" s="290"/>
      <c r="H119" s="290"/>
      <c r="I119" s="1395"/>
      <c r="J119" s="1396"/>
      <c r="K119" s="290"/>
      <c r="L119" s="1397"/>
      <c r="M119" s="148"/>
      <c r="N119" s="148"/>
      <c r="O119" s="148"/>
      <c r="P119" s="1398"/>
      <c r="Q119" s="1399"/>
      <c r="R119" s="148"/>
      <c r="S119" s="148"/>
      <c r="T119" s="148"/>
      <c r="U119" s="148"/>
      <c r="V119" s="148"/>
      <c r="W119" s="148"/>
      <c r="X119" s="1396"/>
      <c r="Y119" s="138"/>
      <c r="Z119" s="138"/>
      <c r="AA119" s="138"/>
      <c r="AB119" s="138"/>
      <c r="AC119" s="138"/>
      <c r="AD119" s="138"/>
      <c r="AE119" s="138"/>
      <c r="AF119" s="138"/>
      <c r="AG119" s="1400"/>
    </row>
    <row r="120" spans="1:33" ht="15" x14ac:dyDescent="0.2">
      <c r="B120" s="148"/>
      <c r="C120" s="148"/>
      <c r="D120" s="148"/>
      <c r="E120" s="1401" t="s">
        <v>214</v>
      </c>
      <c r="F120" s="1826" t="s">
        <v>268</v>
      </c>
      <c r="G120" s="1826"/>
      <c r="H120" s="1826"/>
      <c r="I120" s="148"/>
      <c r="J120" s="1396"/>
      <c r="K120" s="290"/>
      <c r="L120" s="290"/>
      <c r="M120" s="148"/>
      <c r="N120" s="148"/>
      <c r="O120" s="148"/>
      <c r="P120" s="148"/>
      <c r="Q120" s="1399"/>
      <c r="R120" s="148"/>
      <c r="S120" s="148"/>
      <c r="T120" s="148"/>
      <c r="U120" s="148"/>
      <c r="V120" s="148"/>
      <c r="W120" s="148"/>
      <c r="X120" s="1396"/>
      <c r="Y120" s="1985" t="s">
        <v>352</v>
      </c>
      <c r="Z120" s="1986"/>
      <c r="AA120" s="1986"/>
      <c r="AB120" s="1986"/>
      <c r="AC120" s="138" t="s">
        <v>561</v>
      </c>
      <c r="AD120" s="138"/>
      <c r="AE120" s="138"/>
      <c r="AF120" s="138"/>
      <c r="AG120" s="138"/>
    </row>
    <row r="121" spans="1:33" x14ac:dyDescent="0.2">
      <c r="R121" s="1282"/>
    </row>
    <row r="122" spans="1:33" x14ac:dyDescent="0.2">
      <c r="AA122" s="1282"/>
    </row>
    <row r="124" spans="1:33" x14ac:dyDescent="0.2">
      <c r="E124" s="1267"/>
    </row>
  </sheetData>
  <mergeCells count="37">
    <mergeCell ref="B116:E116"/>
    <mergeCell ref="K118:M118"/>
    <mergeCell ref="F120:H120"/>
    <mergeCell ref="Y120:AB120"/>
    <mergeCell ref="V14:V15"/>
    <mergeCell ref="W14:W15"/>
    <mergeCell ref="Y14:Y15"/>
    <mergeCell ref="Z14:AB14"/>
    <mergeCell ref="G13:G15"/>
    <mergeCell ref="H13:W13"/>
    <mergeCell ref="H14:H15"/>
    <mergeCell ref="D13:D15"/>
    <mergeCell ref="E13:E15"/>
    <mergeCell ref="F13:F15"/>
    <mergeCell ref="I1:Y1"/>
    <mergeCell ref="A1:D1"/>
    <mergeCell ref="A13:A15"/>
    <mergeCell ref="B13:B15"/>
    <mergeCell ref="C13:C15"/>
    <mergeCell ref="K14:L14"/>
    <mergeCell ref="M14:N14"/>
    <mergeCell ref="O14:P14"/>
    <mergeCell ref="R14:T14"/>
    <mergeCell ref="U14:U15"/>
    <mergeCell ref="A6:D6"/>
    <mergeCell ref="A9:D9"/>
    <mergeCell ref="A2:D2"/>
    <mergeCell ref="A7:D7"/>
    <mergeCell ref="A4:D4"/>
    <mergeCell ref="X13:AG13"/>
    <mergeCell ref="H11:X11"/>
    <mergeCell ref="J12:W12"/>
    <mergeCell ref="AN14:AN15"/>
    <mergeCell ref="AO14:AO15"/>
    <mergeCell ref="AG14:AG15"/>
    <mergeCell ref="AC14:AC15"/>
    <mergeCell ref="AD14:AD15"/>
  </mergeCells>
  <pageMargins left="0.11811023622047245" right="0.11811023622047245" top="0.15748031496062992" bottom="0.15748031496062992" header="0" footer="0"/>
  <pageSetup paperSize="8" scale="54" fitToWidth="2" fitToHeight="2" orientation="landscape" r:id="rId1"/>
  <ignoredErrors>
    <ignoredError sqref="Q30 Q21 Q19 Q65 Q72 Q96 AD38 AD67" formula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D9B6D-1328-4E11-BE4B-F9F8250539B0}">
  <dimension ref="A1:AO125"/>
  <sheetViews>
    <sheetView zoomScale="70" zoomScaleNormal="70" workbookViewId="0">
      <selection activeCell="A2" sqref="A2:D2"/>
    </sheetView>
  </sheetViews>
  <sheetFormatPr defaultColWidth="8.85546875" defaultRowHeight="14.25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285156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7.28515625" style="1252" customWidth="1"/>
    <col min="17" max="17" width="10.5703125" style="1403" customWidth="1"/>
    <col min="18" max="18" width="9" style="1252" customWidth="1"/>
    <col min="19" max="19" width="8.28515625" style="1252" customWidth="1"/>
    <col min="20" max="20" width="9.8554687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9.28515625" style="1252" bestFit="1" customWidth="1"/>
    <col min="25" max="25" width="9" style="1252" customWidth="1"/>
    <col min="26" max="26" width="9.5703125" style="1252" customWidth="1"/>
    <col min="27" max="27" width="10.8554687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11.7109375" style="1252" customWidth="1"/>
    <col min="33" max="33" width="23.5703125" style="1252" customWidth="1"/>
    <col min="34" max="34" width="25.7109375" style="1252" customWidth="1"/>
    <col min="35" max="35" width="12.5703125" style="1252" bestFit="1" customWidth="1"/>
    <col min="36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251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574</v>
      </c>
      <c r="AG1" s="1251"/>
    </row>
    <row r="2" spans="1:41" ht="81" customHeight="1" x14ac:dyDescent="0.2">
      <c r="A2" s="1977" t="s">
        <v>704</v>
      </c>
      <c r="B2" s="1977"/>
      <c r="C2" s="1977"/>
      <c r="D2" s="1977"/>
      <c r="E2" s="1407"/>
      <c r="F2" s="1420"/>
      <c r="G2" s="1412"/>
      <c r="H2" s="1419"/>
      <c r="I2" s="1419"/>
      <c r="J2" s="1430"/>
      <c r="K2" s="1430"/>
      <c r="L2" s="1430"/>
      <c r="M2" s="1430"/>
      <c r="N2" s="1430"/>
      <c r="O2" s="1430"/>
      <c r="P2" s="1430"/>
      <c r="Q2" s="1256"/>
      <c r="R2" s="1431"/>
      <c r="S2" s="1431"/>
      <c r="T2" s="1431"/>
      <c r="U2" s="1431"/>
      <c r="V2" s="1431"/>
      <c r="W2" s="1431"/>
      <c r="X2" s="1430"/>
      <c r="Y2" s="1431"/>
      <c r="Z2" s="1511"/>
      <c r="AA2" s="1431"/>
      <c r="AC2" s="1431"/>
      <c r="AD2" s="1431"/>
      <c r="AE2" s="1431"/>
      <c r="AF2" s="1997" t="s">
        <v>728</v>
      </c>
      <c r="AG2" s="1997"/>
    </row>
    <row r="3" spans="1:41" ht="15.75" x14ac:dyDescent="0.25">
      <c r="A3" s="1408" t="s">
        <v>724</v>
      </c>
      <c r="B3" s="1413"/>
      <c r="C3" s="1413"/>
      <c r="D3" s="1413"/>
      <c r="E3" s="1420"/>
      <c r="F3" s="1420"/>
      <c r="G3" s="1412"/>
      <c r="H3" s="1419"/>
      <c r="I3" s="1419"/>
      <c r="J3" s="1430"/>
      <c r="K3" s="1430"/>
      <c r="L3" s="1430"/>
      <c r="M3" s="1430"/>
      <c r="N3" s="1430"/>
      <c r="O3" s="1430"/>
      <c r="P3" s="1430"/>
      <c r="Q3" s="1256"/>
      <c r="R3" s="1431"/>
      <c r="S3" s="1431"/>
      <c r="T3" s="1431"/>
      <c r="U3" s="1431"/>
      <c r="V3" s="1431"/>
      <c r="W3" s="1431"/>
      <c r="X3" s="1430"/>
      <c r="Y3" s="1431"/>
      <c r="Z3" s="1511"/>
      <c r="AA3" s="1431"/>
      <c r="AB3" s="1431"/>
      <c r="AC3" s="1260" t="s">
        <v>731</v>
      </c>
      <c r="AE3" s="1222"/>
      <c r="AF3" s="1431"/>
      <c r="AG3" s="707"/>
    </row>
    <row r="4" spans="1:41" ht="15" x14ac:dyDescent="0.25">
      <c r="A4" s="1976" t="s">
        <v>700</v>
      </c>
      <c r="B4" s="1976"/>
      <c r="C4" s="1976"/>
      <c r="D4" s="1976"/>
      <c r="E4" s="1414"/>
      <c r="F4" s="1420"/>
      <c r="G4" s="1412"/>
      <c r="H4" s="1412"/>
      <c r="I4" s="1419"/>
      <c r="J4" s="1430"/>
      <c r="K4" s="1430"/>
      <c r="L4" s="1430"/>
      <c r="M4" s="1430"/>
      <c r="N4" s="1430"/>
      <c r="O4" s="1430"/>
      <c r="P4" s="1430"/>
      <c r="Q4" s="1256"/>
      <c r="R4" s="1423"/>
      <c r="S4" s="1423"/>
      <c r="T4" s="1423"/>
      <c r="U4" s="1423"/>
      <c r="V4" s="1423"/>
      <c r="W4" s="1423"/>
      <c r="X4" s="1430"/>
      <c r="Y4" s="1431"/>
      <c r="Z4" s="1511"/>
      <c r="AB4" s="1431"/>
      <c r="AD4" s="1431"/>
      <c r="AE4" s="1258"/>
      <c r="AF4" s="151" t="s">
        <v>723</v>
      </c>
    </row>
    <row r="5" spans="1:41" ht="27" customHeight="1" x14ac:dyDescent="0.2">
      <c r="B5" s="148"/>
      <c r="C5" s="148"/>
      <c r="D5" s="148"/>
      <c r="E5" s="1420"/>
      <c r="F5" s="1420"/>
      <c r="G5" s="1412"/>
      <c r="H5" s="1412"/>
      <c r="I5" s="1420"/>
      <c r="J5" s="1431"/>
      <c r="K5" s="1424"/>
      <c r="L5" s="1424"/>
      <c r="M5" s="1431"/>
      <c r="N5" s="1431"/>
      <c r="O5" s="1431"/>
      <c r="P5" s="149"/>
      <c r="Q5" s="1257"/>
      <c r="R5" s="1431"/>
      <c r="S5" s="1431"/>
      <c r="T5" s="1431"/>
      <c r="U5" s="1431"/>
      <c r="V5" s="1431"/>
      <c r="W5" s="1431"/>
      <c r="X5" s="1431"/>
      <c r="Y5" s="1431"/>
      <c r="Z5" s="1511"/>
      <c r="AA5" s="1431"/>
      <c r="AB5" s="1431"/>
      <c r="AC5" s="1431"/>
      <c r="AD5" s="1431"/>
      <c r="AG5" s="151"/>
    </row>
    <row r="6" spans="1:41" ht="27" customHeight="1" x14ac:dyDescent="0.2">
      <c r="A6" s="1942" t="s">
        <v>54</v>
      </c>
      <c r="B6" s="1942"/>
      <c r="C6" s="1942"/>
      <c r="D6" s="1942"/>
      <c r="E6" s="1420"/>
      <c r="F6" s="1420"/>
      <c r="G6" s="1412"/>
      <c r="H6" s="1412"/>
      <c r="I6" s="1420"/>
      <c r="J6" s="1431"/>
      <c r="K6" s="1424"/>
      <c r="L6" s="1424"/>
      <c r="M6" s="1431"/>
      <c r="N6" s="1431"/>
      <c r="O6" s="1431"/>
      <c r="P6" s="149"/>
      <c r="Q6" s="1257"/>
      <c r="R6" s="1431"/>
      <c r="S6" s="1431"/>
      <c r="T6" s="1431"/>
      <c r="U6" s="1431"/>
      <c r="V6" s="1431"/>
      <c r="W6" s="1431"/>
      <c r="X6" s="1431"/>
      <c r="Y6" s="1431"/>
      <c r="Z6" s="1511"/>
      <c r="AA6" s="1431"/>
      <c r="AB6" s="1431"/>
      <c r="AC6" s="1431"/>
      <c r="AD6" s="1431"/>
      <c r="AE6" s="1431"/>
      <c r="AF6" s="1431"/>
    </row>
    <row r="7" spans="1:41" ht="70.5" customHeight="1" x14ac:dyDescent="0.2">
      <c r="A7" s="1977" t="s">
        <v>725</v>
      </c>
      <c r="B7" s="1977"/>
      <c r="C7" s="1977"/>
      <c r="D7" s="1977"/>
      <c r="E7" s="1420"/>
      <c r="F7" s="1420"/>
      <c r="G7" s="1412"/>
      <c r="H7" s="1412"/>
      <c r="I7" s="140"/>
      <c r="J7" s="1431"/>
      <c r="K7" s="1424"/>
      <c r="L7" s="1424"/>
      <c r="M7" s="1431"/>
      <c r="N7" s="1431"/>
      <c r="O7" s="1431"/>
      <c r="P7" s="149"/>
      <c r="Q7" s="1257"/>
      <c r="R7" s="1431"/>
      <c r="S7" s="1431"/>
      <c r="T7" s="1431"/>
      <c r="U7" s="1431"/>
      <c r="V7" s="1431"/>
      <c r="W7" s="147"/>
      <c r="X7" s="1431"/>
      <c r="Y7" s="1431"/>
      <c r="Z7" s="148"/>
      <c r="AA7" s="148"/>
      <c r="AB7" s="148"/>
      <c r="AC7" s="148"/>
      <c r="AD7" s="148"/>
      <c r="AE7" s="148"/>
      <c r="AF7" s="148"/>
      <c r="AG7" s="1406"/>
    </row>
    <row r="8" spans="1:41" ht="15.75" x14ac:dyDescent="0.25">
      <c r="A8" s="1408" t="s">
        <v>726</v>
      </c>
      <c r="B8" s="1413"/>
      <c r="C8" s="1413"/>
      <c r="D8" s="1413"/>
      <c r="E8" s="1420"/>
      <c r="F8" s="1420"/>
      <c r="G8" s="1412"/>
      <c r="H8" s="1412"/>
      <c r="I8" s="140"/>
      <c r="J8" s="1431"/>
      <c r="K8" s="1424"/>
      <c r="L8" s="1424"/>
      <c r="M8" s="1431"/>
      <c r="N8" s="1431"/>
      <c r="O8" s="1431"/>
      <c r="P8" s="149"/>
      <c r="Q8" s="1257"/>
      <c r="R8" s="1431"/>
      <c r="S8" s="1431"/>
      <c r="T8" s="1431"/>
      <c r="U8" s="1431"/>
      <c r="V8" s="1431"/>
      <c r="W8" s="147"/>
      <c r="X8" s="1431"/>
      <c r="Y8" s="1431"/>
      <c r="Z8" s="148"/>
      <c r="AA8" s="148"/>
      <c r="AB8" s="148"/>
      <c r="AC8" s="148"/>
      <c r="AD8" s="1260"/>
      <c r="AE8" s="1431"/>
      <c r="AF8" s="1431"/>
      <c r="AG8" s="707"/>
    </row>
    <row r="9" spans="1:41" ht="32.25" customHeight="1" x14ac:dyDescent="0.25">
      <c r="A9" s="1976" t="s">
        <v>700</v>
      </c>
      <c r="B9" s="1976"/>
      <c r="C9" s="1976"/>
      <c r="D9" s="1976"/>
      <c r="E9" s="1414"/>
      <c r="F9" s="1420"/>
      <c r="G9" s="1412"/>
      <c r="H9" s="1412"/>
      <c r="I9" s="140"/>
      <c r="J9" s="1431"/>
      <c r="K9" s="1424"/>
      <c r="L9" s="1424"/>
      <c r="M9" s="1431"/>
      <c r="N9" s="1431"/>
      <c r="O9" s="1431"/>
      <c r="P9" s="149"/>
      <c r="Q9" s="1257"/>
      <c r="R9" s="1431"/>
      <c r="S9" s="1431"/>
      <c r="T9" s="1431"/>
      <c r="U9" s="1431"/>
      <c r="V9" s="1431"/>
      <c r="W9" s="147"/>
      <c r="X9" s="1431"/>
      <c r="Y9" s="1431"/>
      <c r="Z9" s="148"/>
      <c r="AA9" s="148"/>
      <c r="AB9" s="148"/>
      <c r="AC9" s="1259"/>
      <c r="AF9" s="1260"/>
      <c r="AG9" s="151"/>
      <c r="AH9" s="1260"/>
      <c r="AL9" s="1259"/>
    </row>
    <row r="10" spans="1:41" ht="28.5" customHeight="1" x14ac:dyDescent="0.2">
      <c r="B10" s="1412"/>
      <c r="C10" s="1412"/>
      <c r="D10" s="1412"/>
      <c r="E10" s="1420"/>
      <c r="F10" s="1420"/>
      <c r="G10" s="1412"/>
      <c r="H10" s="1962" t="s">
        <v>65</v>
      </c>
      <c r="I10" s="1963"/>
      <c r="J10" s="1963"/>
      <c r="K10" s="1963"/>
      <c r="L10" s="1963"/>
      <c r="M10" s="1963"/>
      <c r="N10" s="1963"/>
      <c r="O10" s="1963"/>
      <c r="P10" s="1963"/>
      <c r="Q10" s="1963"/>
      <c r="R10" s="1963"/>
      <c r="S10" s="1963"/>
      <c r="T10" s="1963"/>
      <c r="U10" s="1963"/>
      <c r="V10" s="1963"/>
      <c r="W10" s="1963"/>
      <c r="X10" s="1963"/>
      <c r="Y10" s="1431"/>
      <c r="Z10" s="148"/>
      <c r="AA10" s="148"/>
      <c r="AB10" s="148"/>
      <c r="AC10" s="148"/>
    </row>
    <row r="11" spans="1:41" ht="31.5" customHeight="1" thickBot="1" x14ac:dyDescent="0.25">
      <c r="B11" s="1412"/>
      <c r="C11" s="1412"/>
      <c r="D11" s="1412"/>
      <c r="E11" s="1420"/>
      <c r="F11" s="1420"/>
      <c r="G11" s="1412"/>
      <c r="H11" s="1412"/>
      <c r="I11" s="140"/>
      <c r="J11" s="1964" t="s">
        <v>729</v>
      </c>
      <c r="K11" s="1965"/>
      <c r="L11" s="1965"/>
      <c r="M11" s="1965"/>
      <c r="N11" s="1965"/>
      <c r="O11" s="1965"/>
      <c r="P11" s="1965"/>
      <c r="Q11" s="1965"/>
      <c r="R11" s="1965"/>
      <c r="S11" s="1965"/>
      <c r="T11" s="1965"/>
      <c r="U11" s="1965"/>
      <c r="V11" s="1965"/>
      <c r="W11" s="1965"/>
      <c r="X11" s="1431"/>
      <c r="Y11" s="1431"/>
      <c r="Z11" s="148"/>
      <c r="AA11" s="148"/>
      <c r="AB11" s="148"/>
      <c r="AC11" s="148"/>
      <c r="AD11" s="1431"/>
      <c r="AE11" s="1431"/>
      <c r="AF11" s="1431"/>
      <c r="AG11" s="151"/>
    </row>
    <row r="12" spans="1:41" ht="18.75" customHeight="1" x14ac:dyDescent="0.2">
      <c r="A12" s="1969" t="s">
        <v>1</v>
      </c>
      <c r="B12" s="1971" t="s">
        <v>664</v>
      </c>
      <c r="C12" s="1973" t="s">
        <v>8</v>
      </c>
      <c r="D12" s="1992" t="s">
        <v>719</v>
      </c>
      <c r="E12" s="1994" t="s">
        <v>720</v>
      </c>
      <c r="F12" s="1992" t="s">
        <v>721</v>
      </c>
      <c r="G12" s="1973" t="s">
        <v>667</v>
      </c>
      <c r="H12" s="1988" t="s">
        <v>669</v>
      </c>
      <c r="I12" s="1988"/>
      <c r="J12" s="1988"/>
      <c r="K12" s="1988"/>
      <c r="L12" s="1988"/>
      <c r="M12" s="1988"/>
      <c r="N12" s="1988"/>
      <c r="O12" s="1988"/>
      <c r="P12" s="1988"/>
      <c r="Q12" s="1988"/>
      <c r="R12" s="1988"/>
      <c r="S12" s="1988"/>
      <c r="T12" s="1988"/>
      <c r="U12" s="1988"/>
      <c r="V12" s="1988"/>
      <c r="W12" s="1989"/>
      <c r="X12" s="1978" t="s">
        <v>22</v>
      </c>
      <c r="Y12" s="1979"/>
      <c r="Z12" s="1979"/>
      <c r="AA12" s="1979"/>
      <c r="AB12" s="1979"/>
      <c r="AC12" s="1979"/>
      <c r="AD12" s="1979"/>
      <c r="AE12" s="1979"/>
      <c r="AF12" s="1979"/>
      <c r="AG12" s="1980"/>
    </row>
    <row r="13" spans="1:41" ht="168" customHeight="1" x14ac:dyDescent="0.2">
      <c r="A13" s="1970"/>
      <c r="B13" s="1972"/>
      <c r="C13" s="1968"/>
      <c r="D13" s="1993"/>
      <c r="E13" s="1995"/>
      <c r="F13" s="1993"/>
      <c r="G13" s="1968"/>
      <c r="H13" s="1990" t="s">
        <v>668</v>
      </c>
      <c r="I13" s="1262" t="s">
        <v>670</v>
      </c>
      <c r="J13" s="1426" t="s">
        <v>671</v>
      </c>
      <c r="K13" s="1972" t="s">
        <v>672</v>
      </c>
      <c r="L13" s="1972"/>
      <c r="M13" s="1972" t="s">
        <v>10</v>
      </c>
      <c r="N13" s="1972"/>
      <c r="O13" s="1968" t="s">
        <v>11</v>
      </c>
      <c r="P13" s="1968"/>
      <c r="Q13" s="1264" t="s">
        <v>674</v>
      </c>
      <c r="R13" s="1972" t="s">
        <v>15</v>
      </c>
      <c r="S13" s="1975"/>
      <c r="T13" s="1975"/>
      <c r="U13" s="1968" t="s">
        <v>100</v>
      </c>
      <c r="V13" s="1968" t="s">
        <v>16</v>
      </c>
      <c r="W13" s="1987" t="s">
        <v>677</v>
      </c>
      <c r="X13" s="1451" t="s">
        <v>671</v>
      </c>
      <c r="Y13" s="1968" t="s">
        <v>24</v>
      </c>
      <c r="Z13" s="1972" t="s">
        <v>678</v>
      </c>
      <c r="AA13" s="1975"/>
      <c r="AB13" s="1975"/>
      <c r="AC13" s="1968" t="s">
        <v>100</v>
      </c>
      <c r="AD13" s="1968" t="s">
        <v>16</v>
      </c>
      <c r="AE13" s="1426" t="s">
        <v>18</v>
      </c>
      <c r="AF13" s="1426" t="s">
        <v>20</v>
      </c>
      <c r="AG13" s="1967" t="s">
        <v>21</v>
      </c>
      <c r="AH13" s="1267">
        <v>45261</v>
      </c>
      <c r="AN13" s="1966" t="s">
        <v>711</v>
      </c>
      <c r="AO13" s="1966" t="s">
        <v>712</v>
      </c>
    </row>
    <row r="14" spans="1:41" ht="25.5" customHeight="1" x14ac:dyDescent="0.2">
      <c r="A14" s="1970"/>
      <c r="B14" s="1972"/>
      <c r="C14" s="1968"/>
      <c r="D14" s="1991"/>
      <c r="E14" s="1996"/>
      <c r="F14" s="1991"/>
      <c r="G14" s="1968"/>
      <c r="H14" s="1991"/>
      <c r="I14" s="1417" t="s">
        <v>3</v>
      </c>
      <c r="J14" s="1428" t="s">
        <v>7</v>
      </c>
      <c r="K14" s="1428" t="s">
        <v>30</v>
      </c>
      <c r="L14" s="1428" t="s">
        <v>29</v>
      </c>
      <c r="M14" s="1428" t="s">
        <v>31</v>
      </c>
      <c r="N14" s="1428" t="s">
        <v>32</v>
      </c>
      <c r="O14" s="1428" t="s">
        <v>12</v>
      </c>
      <c r="P14" s="1269" t="s">
        <v>673</v>
      </c>
      <c r="Q14" s="1270" t="s">
        <v>26</v>
      </c>
      <c r="R14" s="1428" t="s">
        <v>675</v>
      </c>
      <c r="S14" s="1428" t="s">
        <v>25</v>
      </c>
      <c r="T14" s="1428" t="s">
        <v>676</v>
      </c>
      <c r="U14" s="1968"/>
      <c r="V14" s="1968"/>
      <c r="W14" s="1987"/>
      <c r="X14" s="1410" t="s">
        <v>7</v>
      </c>
      <c r="Y14" s="1968"/>
      <c r="Z14" s="1506" t="s">
        <v>14</v>
      </c>
      <c r="AA14" s="1428" t="s">
        <v>679</v>
      </c>
      <c r="AB14" s="1428" t="s">
        <v>113</v>
      </c>
      <c r="AC14" s="1968"/>
      <c r="AD14" s="1968"/>
      <c r="AE14" s="1428" t="s">
        <v>19</v>
      </c>
      <c r="AF14" s="1428" t="s">
        <v>680</v>
      </c>
      <c r="AG14" s="1967"/>
      <c r="AH14" s="1252" t="s">
        <v>657</v>
      </c>
      <c r="AI14" s="1269" t="s">
        <v>636</v>
      </c>
      <c r="AJ14" s="1269" t="s">
        <v>654</v>
      </c>
      <c r="AK14" s="1269" t="s">
        <v>653</v>
      </c>
      <c r="AL14" s="1269" t="s">
        <v>655</v>
      </c>
      <c r="AM14" s="1272" t="s">
        <v>710</v>
      </c>
      <c r="AN14" s="1966"/>
      <c r="AO14" s="1966"/>
    </row>
    <row r="15" spans="1:41" ht="18.75" customHeight="1" x14ac:dyDescent="0.2">
      <c r="A15" s="1273">
        <v>1</v>
      </c>
      <c r="B15" s="1274" t="s">
        <v>139</v>
      </c>
      <c r="C15" s="241" t="s">
        <v>46</v>
      </c>
      <c r="D15" s="241">
        <v>610.5</v>
      </c>
      <c r="E15" s="241" t="s">
        <v>571</v>
      </c>
      <c r="F15" s="241">
        <v>177.8</v>
      </c>
      <c r="G15" s="241" t="s">
        <v>28</v>
      </c>
      <c r="H15" s="1275" t="s">
        <v>556</v>
      </c>
      <c r="I15" s="1417">
        <v>557.80999999999995</v>
      </c>
      <c r="J15" s="1448">
        <v>180</v>
      </c>
      <c r="K15" s="241"/>
      <c r="L15" s="1277">
        <v>428</v>
      </c>
      <c r="M15" s="241"/>
      <c r="N15" s="1278">
        <v>2.1</v>
      </c>
      <c r="O15" s="241"/>
      <c r="P15" s="1278">
        <f>AI15</f>
        <v>14.527662104904687</v>
      </c>
      <c r="Q15" s="1278">
        <f>LEFT(H15,(FIND("Е",H15,1)-1))*J15/100</f>
        <v>23.4</v>
      </c>
      <c r="R15" s="244">
        <v>4.0990000000000002</v>
      </c>
      <c r="S15" s="244">
        <v>14.257</v>
      </c>
      <c r="T15" s="1277">
        <v>29.51</v>
      </c>
      <c r="U15" s="1278">
        <f t="shared" ref="U15:U33" si="0">IF(R15=0,0,T15/R15)</f>
        <v>7.1993169065625766</v>
      </c>
      <c r="V15" s="1278">
        <f>(S15-R15)/S15*100</f>
        <v>71.249210913937006</v>
      </c>
      <c r="W15" s="1279">
        <v>0.4</v>
      </c>
      <c r="X15" s="1449">
        <v>180</v>
      </c>
      <c r="Y15" s="244">
        <f>IF(S15=0,0,S15/Q15)</f>
        <v>0.60927350427350435</v>
      </c>
      <c r="Z15" s="244">
        <f>R15*0.988</f>
        <v>4.0498120000000002</v>
      </c>
      <c r="AA15" s="244">
        <f>S15*0.988</f>
        <v>14.085915999999999</v>
      </c>
      <c r="AB15" s="1277">
        <f>T15*0.988</f>
        <v>29.15588</v>
      </c>
      <c r="AC15" s="244">
        <f>U15</f>
        <v>7.1993169065625766</v>
      </c>
      <c r="AD15" s="1277">
        <f>V15</f>
        <v>71.249210913937006</v>
      </c>
      <c r="AE15" s="241">
        <f>(DAY(EOMONTH($AH$13,0))-AH15)</f>
        <v>31</v>
      </c>
      <c r="AF15" s="244">
        <f t="shared" ref="AF15:AF59" si="1">Z15*AE15</f>
        <v>125.544172</v>
      </c>
      <c r="AG15" s="1281"/>
      <c r="AI15" s="1282">
        <f t="shared" ref="AI15:AI78" si="2">(9.81*(AJ15*(100%-(V15/100))+AK15*(V15/100))*(I15-L15)+N15*101.325+9.81*(AL15)*L15)/101.325</f>
        <v>14.527662104904687</v>
      </c>
      <c r="AJ15" s="1252">
        <v>0.90790000000000004</v>
      </c>
      <c r="AK15" s="1252">
        <v>1.018</v>
      </c>
      <c r="AL15" s="1252">
        <v>7.5858300000000007E-4</v>
      </c>
      <c r="AM15" s="1252">
        <f>DAY(EOMONTH($AH$13,0))</f>
        <v>31</v>
      </c>
      <c r="AN15" s="1252">
        <v>45050</v>
      </c>
      <c r="AO15" s="1252">
        <f>COUNTIF(R15:R101, "&lt;200")</f>
        <v>64</v>
      </c>
    </row>
    <row r="16" spans="1:41" ht="18.75" customHeight="1" x14ac:dyDescent="0.2">
      <c r="A16" s="1273">
        <v>2</v>
      </c>
      <c r="B16" s="1274" t="s">
        <v>140</v>
      </c>
      <c r="C16" s="241" t="s">
        <v>46</v>
      </c>
      <c r="D16" s="241">
        <v>623.5</v>
      </c>
      <c r="E16" s="241" t="s">
        <v>585</v>
      </c>
      <c r="F16" s="241">
        <v>177.8</v>
      </c>
      <c r="G16" s="241" t="s">
        <v>28</v>
      </c>
      <c r="H16" s="241" t="s">
        <v>683</v>
      </c>
      <c r="I16" s="1417">
        <v>563.55999999999995</v>
      </c>
      <c r="J16" s="241"/>
      <c r="K16" s="241"/>
      <c r="L16" s="1277"/>
      <c r="M16" s="241"/>
      <c r="N16" s="1278"/>
      <c r="O16" s="241"/>
      <c r="P16" s="1278"/>
      <c r="Q16" s="1278"/>
      <c r="R16" s="244"/>
      <c r="S16" s="244"/>
      <c r="T16" s="1277"/>
      <c r="U16" s="1278"/>
      <c r="V16" s="1278"/>
      <c r="W16" s="1279"/>
      <c r="X16" s="1316"/>
      <c r="Y16" s="244"/>
      <c r="Z16" s="244"/>
      <c r="AA16" s="244"/>
      <c r="AB16" s="1277"/>
      <c r="AC16" s="244"/>
      <c r="AD16" s="1277"/>
      <c r="AE16" s="241"/>
      <c r="AF16" s="244"/>
      <c r="AG16" s="1285" t="s">
        <v>716</v>
      </c>
      <c r="AI16" s="1282">
        <f t="shared" si="2"/>
        <v>49.509818057142851</v>
      </c>
      <c r="AJ16" s="1252">
        <v>0.90739999999999998</v>
      </c>
      <c r="AK16" s="1252">
        <v>1.024</v>
      </c>
      <c r="AL16" s="1252">
        <v>6.9596980000000001E-4</v>
      </c>
    </row>
    <row r="17" spans="1:38" ht="18.75" customHeight="1" x14ac:dyDescent="0.2">
      <c r="A17" s="1273">
        <v>3</v>
      </c>
      <c r="B17" s="1274" t="s">
        <v>141</v>
      </c>
      <c r="C17" s="241" t="s">
        <v>46</v>
      </c>
      <c r="D17" s="241">
        <v>670</v>
      </c>
      <c r="E17" s="241" t="s">
        <v>68</v>
      </c>
      <c r="F17" s="241">
        <v>177.8</v>
      </c>
      <c r="G17" s="241" t="s">
        <v>28</v>
      </c>
      <c r="H17" s="241" t="s">
        <v>684</v>
      </c>
      <c r="I17" s="1417">
        <v>569.63</v>
      </c>
      <c r="J17" s="241">
        <v>320</v>
      </c>
      <c r="K17" s="241"/>
      <c r="L17" s="1277">
        <v>505</v>
      </c>
      <c r="M17" s="241"/>
      <c r="N17" s="1278">
        <v>6.6</v>
      </c>
      <c r="O17" s="241"/>
      <c r="P17" s="1278">
        <f t="shared" ref="P17:P45" si="3">AI17</f>
        <v>12.493315963099644</v>
      </c>
      <c r="Q17" s="1278">
        <f>RIGHT(H17,(FIND("T",H17,1)-0))*J17/100</f>
        <v>102.4</v>
      </c>
      <c r="R17" s="244">
        <v>13.012</v>
      </c>
      <c r="S17" s="244">
        <v>21.09</v>
      </c>
      <c r="T17" s="1277">
        <v>164</v>
      </c>
      <c r="U17" s="1278">
        <f t="shared" si="0"/>
        <v>12.603750384260682</v>
      </c>
      <c r="V17" s="1278">
        <f t="shared" ref="V17:V45" si="4">(S17-R17)/S17*100</f>
        <v>38.302513039355141</v>
      </c>
      <c r="W17" s="1279">
        <v>0.2</v>
      </c>
      <c r="X17" s="1316">
        <v>320</v>
      </c>
      <c r="Y17" s="244">
        <f t="shared" ref="Y17:Y39" si="5">IF(S17=0,0,S17/Q17)</f>
        <v>0.20595703124999998</v>
      </c>
      <c r="Z17" s="244">
        <f t="shared" ref="Z17:AB37" si="6">R17*0.988</f>
        <v>12.855856000000001</v>
      </c>
      <c r="AA17" s="244">
        <f t="shared" si="6"/>
        <v>20.836919999999999</v>
      </c>
      <c r="AB17" s="1277">
        <f t="shared" si="6"/>
        <v>162.03200000000001</v>
      </c>
      <c r="AC17" s="244">
        <f t="shared" ref="AC17:AD32" si="7">U17</f>
        <v>12.603750384260682</v>
      </c>
      <c r="AD17" s="1277">
        <f t="shared" si="7"/>
        <v>38.302513039355141</v>
      </c>
      <c r="AE17" s="241">
        <f t="shared" ref="AE17:AE38" si="8">(DAY(EOMONTH($AH$13,0))-AH17)</f>
        <v>31</v>
      </c>
      <c r="AF17" s="244">
        <f t="shared" si="1"/>
        <v>398.53153600000002</v>
      </c>
      <c r="AG17" s="1281"/>
      <c r="AI17" s="1282">
        <f t="shared" si="2"/>
        <v>12.493315963099644</v>
      </c>
      <c r="AJ17" s="1252">
        <v>0.87260000000000004</v>
      </c>
      <c r="AK17" s="1252">
        <v>1.0349999999999999</v>
      </c>
      <c r="AL17" s="1252">
        <v>8.9946269999999998E-4</v>
      </c>
    </row>
    <row r="18" spans="1:38" ht="18.75" customHeight="1" x14ac:dyDescent="0.2">
      <c r="A18" s="1273">
        <v>4</v>
      </c>
      <c r="B18" s="1274" t="s">
        <v>142</v>
      </c>
      <c r="C18" s="241" t="s">
        <v>46</v>
      </c>
      <c r="D18" s="241">
        <v>656</v>
      </c>
      <c r="E18" s="241" t="s">
        <v>481</v>
      </c>
      <c r="F18" s="241">
        <v>177.8</v>
      </c>
      <c r="G18" s="241" t="s">
        <v>28</v>
      </c>
      <c r="H18" s="241" t="s">
        <v>685</v>
      </c>
      <c r="I18" s="1417">
        <v>544.29999999999995</v>
      </c>
      <c r="J18" s="241">
        <v>180</v>
      </c>
      <c r="K18" s="241"/>
      <c r="L18" s="1277">
        <v>436</v>
      </c>
      <c r="M18" s="241"/>
      <c r="N18" s="1278">
        <v>3.9</v>
      </c>
      <c r="O18" s="241"/>
      <c r="P18" s="1278">
        <f t="shared" si="3"/>
        <v>14.029629053336835</v>
      </c>
      <c r="Q18" s="1278">
        <f>14*J18/100</f>
        <v>25.2</v>
      </c>
      <c r="R18" s="244">
        <v>5.47</v>
      </c>
      <c r="S18" s="244">
        <v>12.3</v>
      </c>
      <c r="T18" s="1277">
        <v>114</v>
      </c>
      <c r="U18" s="1278">
        <f t="shared" si="0"/>
        <v>20.840950639853748</v>
      </c>
      <c r="V18" s="1278">
        <f t="shared" si="4"/>
        <v>55.528455284552848</v>
      </c>
      <c r="W18" s="1279">
        <v>0.23</v>
      </c>
      <c r="X18" s="1457">
        <v>180</v>
      </c>
      <c r="Y18" s="244">
        <f t="shared" si="5"/>
        <v>0.48809523809523814</v>
      </c>
      <c r="Z18" s="244">
        <f t="shared" si="6"/>
        <v>5.4043599999999996</v>
      </c>
      <c r="AA18" s="244">
        <f t="shared" si="6"/>
        <v>12.1524</v>
      </c>
      <c r="AB18" s="1277">
        <f t="shared" si="6"/>
        <v>112.63200000000001</v>
      </c>
      <c r="AC18" s="244">
        <f t="shared" si="7"/>
        <v>20.840950639853748</v>
      </c>
      <c r="AD18" s="1277">
        <f t="shared" si="7"/>
        <v>55.528455284552848</v>
      </c>
      <c r="AE18" s="241">
        <f t="shared" si="8"/>
        <v>31</v>
      </c>
      <c r="AF18" s="244">
        <f t="shared" si="1"/>
        <v>167.53515999999999</v>
      </c>
      <c r="AG18" s="1281"/>
      <c r="AI18" s="1282">
        <f t="shared" si="2"/>
        <v>14.029629053336835</v>
      </c>
      <c r="AJ18" s="1252">
        <v>0.89459999999999995</v>
      </c>
      <c r="AK18" s="1252">
        <v>1.018</v>
      </c>
      <c r="AL18" s="1252">
        <v>7.3450100000000003E-4</v>
      </c>
    </row>
    <row r="19" spans="1:38" ht="18.75" customHeight="1" x14ac:dyDescent="0.2">
      <c r="A19" s="1273">
        <v>5</v>
      </c>
      <c r="B19" s="1274" t="s">
        <v>143</v>
      </c>
      <c r="C19" s="241" t="s">
        <v>46</v>
      </c>
      <c r="D19" s="241">
        <v>576.62</v>
      </c>
      <c r="E19" s="241" t="s">
        <v>70</v>
      </c>
      <c r="F19" s="241">
        <v>177.8</v>
      </c>
      <c r="G19" s="241" t="s">
        <v>28</v>
      </c>
      <c r="H19" s="1299" t="s">
        <v>587</v>
      </c>
      <c r="I19" s="1428">
        <v>548.32000000000005</v>
      </c>
      <c r="J19" s="241">
        <v>135</v>
      </c>
      <c r="K19" s="241"/>
      <c r="L19" s="1277">
        <v>426.4</v>
      </c>
      <c r="M19" s="241"/>
      <c r="N19" s="1278">
        <v>2.6280000000000001</v>
      </c>
      <c r="O19" s="241"/>
      <c r="P19" s="1278">
        <f t="shared" si="3"/>
        <v>13.503224950798172</v>
      </c>
      <c r="Q19" s="1278">
        <f>RIGHT(H19,(FIND("T",H19,1)-0))*J19/100</f>
        <v>18.899999999999999</v>
      </c>
      <c r="R19" s="244">
        <v>4.16</v>
      </c>
      <c r="S19" s="244">
        <v>4.7</v>
      </c>
      <c r="T19" s="1277">
        <v>28.1</v>
      </c>
      <c r="U19" s="1278">
        <f t="shared" si="0"/>
        <v>6.7548076923076925</v>
      </c>
      <c r="V19" s="1278">
        <f t="shared" si="4"/>
        <v>11.48936170212766</v>
      </c>
      <c r="W19" s="1279">
        <v>0.2</v>
      </c>
      <c r="X19" s="1457">
        <v>135</v>
      </c>
      <c r="Y19" s="244">
        <f t="shared" si="5"/>
        <v>0.24867724867724872</v>
      </c>
      <c r="Z19" s="244">
        <f t="shared" si="6"/>
        <v>4.11008</v>
      </c>
      <c r="AA19" s="244">
        <f t="shared" si="6"/>
        <v>4.6436000000000002</v>
      </c>
      <c r="AB19" s="1277">
        <f t="shared" si="6"/>
        <v>27.762800000000002</v>
      </c>
      <c r="AC19" s="244">
        <f t="shared" si="7"/>
        <v>6.7548076923076925</v>
      </c>
      <c r="AD19" s="1277">
        <f t="shared" si="7"/>
        <v>11.48936170212766</v>
      </c>
      <c r="AE19" s="241">
        <f t="shared" si="8"/>
        <v>31</v>
      </c>
      <c r="AF19" s="244">
        <f t="shared" si="1"/>
        <v>127.41248</v>
      </c>
      <c r="AG19" s="1281"/>
      <c r="AI19" s="1282">
        <f t="shared" si="2"/>
        <v>13.503224950798172</v>
      </c>
      <c r="AJ19" s="1252">
        <v>0.90529999999999999</v>
      </c>
      <c r="AK19" s="1252">
        <v>1.02</v>
      </c>
      <c r="AL19" s="1252">
        <v>8.1276750000000011E-4</v>
      </c>
    </row>
    <row r="20" spans="1:38" ht="18.75" customHeight="1" x14ac:dyDescent="0.2">
      <c r="A20" s="1273">
        <v>6</v>
      </c>
      <c r="B20" s="1274" t="s">
        <v>144</v>
      </c>
      <c r="C20" s="241" t="s">
        <v>46</v>
      </c>
      <c r="D20" s="241">
        <v>648.48</v>
      </c>
      <c r="E20" s="241" t="s">
        <v>460</v>
      </c>
      <c r="F20" s="241">
        <v>177.8</v>
      </c>
      <c r="G20" s="241" t="s">
        <v>28</v>
      </c>
      <c r="H20" s="1299" t="s">
        <v>587</v>
      </c>
      <c r="I20" s="1417">
        <v>563.03</v>
      </c>
      <c r="J20" s="241">
        <v>135</v>
      </c>
      <c r="K20" s="241"/>
      <c r="L20" s="1277">
        <v>421.3</v>
      </c>
      <c r="M20" s="241"/>
      <c r="N20" s="1278">
        <v>0.7</v>
      </c>
      <c r="O20" s="241"/>
      <c r="P20" s="1278">
        <f t="shared" si="3"/>
        <v>13.810976259034145</v>
      </c>
      <c r="Q20" s="1278">
        <f>14*J20/100</f>
        <v>18.899999999999999</v>
      </c>
      <c r="R20" s="244">
        <v>5.4180000000000001</v>
      </c>
      <c r="S20" s="244">
        <v>7.29</v>
      </c>
      <c r="T20" s="1277">
        <v>8.7799999999999994</v>
      </c>
      <c r="U20" s="1278">
        <f t="shared" si="0"/>
        <v>1.6205241786637135</v>
      </c>
      <c r="V20" s="1278">
        <f t="shared" si="4"/>
        <v>25.679012345679009</v>
      </c>
      <c r="W20" s="1279">
        <v>0.2</v>
      </c>
      <c r="X20" s="1316">
        <v>135</v>
      </c>
      <c r="Y20" s="244">
        <f t="shared" si="5"/>
        <v>0.38571428571428573</v>
      </c>
      <c r="Z20" s="244">
        <f t="shared" si="6"/>
        <v>5.3529840000000002</v>
      </c>
      <c r="AA20" s="244">
        <f t="shared" si="6"/>
        <v>7.2025199999999998</v>
      </c>
      <c r="AB20" s="1277">
        <f t="shared" si="6"/>
        <v>8.6746400000000001</v>
      </c>
      <c r="AC20" s="244">
        <v>14.613</v>
      </c>
      <c r="AD20" s="1277">
        <f t="shared" si="7"/>
        <v>25.679012345679009</v>
      </c>
      <c r="AE20" s="241">
        <f t="shared" si="8"/>
        <v>31</v>
      </c>
      <c r="AF20" s="244">
        <f t="shared" si="1"/>
        <v>165.94250400000001</v>
      </c>
      <c r="AG20" s="1281"/>
      <c r="AI20" s="1282">
        <f t="shared" si="2"/>
        <v>13.810976259034145</v>
      </c>
      <c r="AJ20" s="1252">
        <v>0.92600000000000005</v>
      </c>
      <c r="AK20" s="1252">
        <v>1.028</v>
      </c>
      <c r="AL20" s="1252">
        <v>1.1053638000000001E-3</v>
      </c>
    </row>
    <row r="21" spans="1:38" ht="18.75" customHeight="1" x14ac:dyDescent="0.2">
      <c r="A21" s="1273">
        <v>7</v>
      </c>
      <c r="B21" s="1274" t="s">
        <v>145</v>
      </c>
      <c r="C21" s="241" t="s">
        <v>46</v>
      </c>
      <c r="D21" s="241">
        <v>676.7</v>
      </c>
      <c r="E21" s="241" t="s">
        <v>72</v>
      </c>
      <c r="F21" s="241">
        <v>177.8</v>
      </c>
      <c r="G21" s="241" t="s">
        <v>28</v>
      </c>
      <c r="H21" s="241" t="s">
        <v>588</v>
      </c>
      <c r="I21" s="1417">
        <v>557.91999999999996</v>
      </c>
      <c r="J21" s="241">
        <v>310</v>
      </c>
      <c r="K21" s="241"/>
      <c r="L21" s="1277">
        <v>424.4</v>
      </c>
      <c r="M21" s="241"/>
      <c r="N21" s="1278">
        <v>0.7</v>
      </c>
      <c r="O21" s="241"/>
      <c r="P21" s="1278">
        <f t="shared" si="3"/>
        <v>12.797003085521148</v>
      </c>
      <c r="Q21" s="1278">
        <f>RIGHT(H21,(FIND("T",H21,1)-0))*J21/100</f>
        <v>43.4</v>
      </c>
      <c r="R21" s="244">
        <v>6.7</v>
      </c>
      <c r="S21" s="244">
        <v>9.0229999999999997</v>
      </c>
      <c r="T21" s="1277">
        <v>31.3</v>
      </c>
      <c r="U21" s="1278">
        <f t="shared" si="0"/>
        <v>4.6716417910447765</v>
      </c>
      <c r="V21" s="1278">
        <f t="shared" si="4"/>
        <v>25.745317521888499</v>
      </c>
      <c r="W21" s="1279">
        <v>0.2</v>
      </c>
      <c r="X21" s="1316">
        <v>310</v>
      </c>
      <c r="Y21" s="244">
        <f t="shared" si="5"/>
        <v>0.20790322580645162</v>
      </c>
      <c r="Z21" s="244">
        <f t="shared" si="6"/>
        <v>6.6196000000000002</v>
      </c>
      <c r="AA21" s="244">
        <f t="shared" si="6"/>
        <v>8.9147239999999996</v>
      </c>
      <c r="AB21" s="1277">
        <f t="shared" si="6"/>
        <v>30.924400000000002</v>
      </c>
      <c r="AC21" s="244">
        <f t="shared" ref="AC21:AD34" si="9">U21</f>
        <v>4.6716417910447765</v>
      </c>
      <c r="AD21" s="1277">
        <f t="shared" si="7"/>
        <v>25.745317521888499</v>
      </c>
      <c r="AE21" s="241">
        <f t="shared" si="8"/>
        <v>31</v>
      </c>
      <c r="AF21" s="244">
        <f t="shared" si="1"/>
        <v>205.20760000000001</v>
      </c>
      <c r="AG21" s="1281"/>
      <c r="AI21" s="1282">
        <f t="shared" si="2"/>
        <v>12.797003085521148</v>
      </c>
      <c r="AJ21" s="1252">
        <v>0.90329999999999999</v>
      </c>
      <c r="AK21" s="1252">
        <v>1.0209999999999999</v>
      </c>
      <c r="AL21" s="1252">
        <v>6.8874520000000001E-4</v>
      </c>
    </row>
    <row r="22" spans="1:38" ht="18.75" customHeight="1" x14ac:dyDescent="0.2">
      <c r="A22" s="1273">
        <v>8</v>
      </c>
      <c r="B22" s="1274" t="s">
        <v>146</v>
      </c>
      <c r="C22" s="241" t="s">
        <v>46</v>
      </c>
      <c r="D22" s="241">
        <v>567</v>
      </c>
      <c r="E22" s="1300" t="s">
        <v>572</v>
      </c>
      <c r="F22" s="241">
        <v>177.8</v>
      </c>
      <c r="G22" s="241" t="s">
        <v>28</v>
      </c>
      <c r="H22" s="241" t="s">
        <v>717</v>
      </c>
      <c r="I22" s="1301">
        <v>552.25</v>
      </c>
      <c r="J22" s="241">
        <v>85</v>
      </c>
      <c r="K22" s="1302"/>
      <c r="L22" s="1277">
        <v>444.84</v>
      </c>
      <c r="M22" s="1302"/>
      <c r="N22" s="1278">
        <v>4.1079999999999997</v>
      </c>
      <c r="O22" s="1302"/>
      <c r="P22" s="1278">
        <f t="shared" si="3"/>
        <v>14.388888538756005</v>
      </c>
      <c r="Q22" s="1278">
        <f>RIGHT(H22,(FIND("T",H22,1)-0))*J22/100</f>
        <v>17</v>
      </c>
      <c r="R22" s="244">
        <v>3.97</v>
      </c>
      <c r="S22" s="244">
        <v>13.032</v>
      </c>
      <c r="T22" s="1277">
        <v>14.12</v>
      </c>
      <c r="U22" s="1278">
        <f t="shared" si="0"/>
        <v>3.5566750629722916</v>
      </c>
      <c r="V22" s="1278">
        <f t="shared" si="4"/>
        <v>69.536525475751986</v>
      </c>
      <c r="W22" s="1279">
        <v>0.2</v>
      </c>
      <c r="X22" s="1316">
        <v>85</v>
      </c>
      <c r="Y22" s="244">
        <f t="shared" si="5"/>
        <v>0.76658823529411768</v>
      </c>
      <c r="Z22" s="244">
        <f t="shared" si="6"/>
        <v>3.9223600000000003</v>
      </c>
      <c r="AA22" s="244">
        <f t="shared" si="6"/>
        <v>12.875615999999999</v>
      </c>
      <c r="AB22" s="1277">
        <f t="shared" si="6"/>
        <v>13.950559999999999</v>
      </c>
      <c r="AC22" s="244">
        <f t="shared" si="9"/>
        <v>3.5566750629722916</v>
      </c>
      <c r="AD22" s="1277">
        <f t="shared" si="7"/>
        <v>69.536525475751986</v>
      </c>
      <c r="AE22" s="241">
        <f t="shared" si="8"/>
        <v>31</v>
      </c>
      <c r="AF22" s="244">
        <f t="shared" si="1"/>
        <v>121.59316000000001</v>
      </c>
      <c r="AG22" s="1281"/>
      <c r="AI22" s="1282">
        <f t="shared" si="2"/>
        <v>14.388888538756005</v>
      </c>
      <c r="AJ22" s="1252">
        <v>0.89549999999999996</v>
      </c>
      <c r="AK22" s="1252">
        <v>1.024</v>
      </c>
      <c r="AL22" s="1252">
        <v>9.1150370000000005E-4</v>
      </c>
    </row>
    <row r="23" spans="1:38" ht="18.75" customHeight="1" x14ac:dyDescent="0.2">
      <c r="A23" s="1273">
        <v>9</v>
      </c>
      <c r="B23" s="1274" t="s">
        <v>147</v>
      </c>
      <c r="C23" s="241" t="s">
        <v>46</v>
      </c>
      <c r="D23" s="241">
        <v>650.1</v>
      </c>
      <c r="E23" s="241" t="s">
        <v>74</v>
      </c>
      <c r="F23" s="241">
        <v>177.8</v>
      </c>
      <c r="G23" s="241" t="s">
        <v>28</v>
      </c>
      <c r="H23" s="241" t="s">
        <v>686</v>
      </c>
      <c r="I23" s="1417">
        <v>569.48</v>
      </c>
      <c r="J23" s="241">
        <v>150</v>
      </c>
      <c r="K23" s="241"/>
      <c r="L23" s="1277">
        <v>455</v>
      </c>
      <c r="M23" s="241"/>
      <c r="N23" s="1278">
        <v>3.1920000000000002</v>
      </c>
      <c r="O23" s="241"/>
      <c r="P23" s="1278">
        <f t="shared" si="3"/>
        <v>14.099319304640099</v>
      </c>
      <c r="Q23" s="1278">
        <f>20*J23/100</f>
        <v>30</v>
      </c>
      <c r="R23" s="244">
        <v>5.665</v>
      </c>
      <c r="S23" s="244">
        <v>16.103999999999999</v>
      </c>
      <c r="T23" s="1277">
        <v>76.265000000000001</v>
      </c>
      <c r="U23" s="1278">
        <f t="shared" si="0"/>
        <v>13.462488967343337</v>
      </c>
      <c r="V23" s="1278">
        <f t="shared" si="4"/>
        <v>64.82240437158471</v>
      </c>
      <c r="W23" s="1279">
        <v>0.2</v>
      </c>
      <c r="X23" s="1316">
        <v>150</v>
      </c>
      <c r="Y23" s="244">
        <f t="shared" si="5"/>
        <v>0.53679999999999994</v>
      </c>
      <c r="Z23" s="244">
        <f t="shared" si="6"/>
        <v>5.5970199999999997</v>
      </c>
      <c r="AA23" s="244">
        <f t="shared" si="6"/>
        <v>15.910751999999999</v>
      </c>
      <c r="AB23" s="1277">
        <f t="shared" si="6"/>
        <v>75.349819999999994</v>
      </c>
      <c r="AC23" s="244">
        <f t="shared" si="9"/>
        <v>13.462488967343337</v>
      </c>
      <c r="AD23" s="1277">
        <f t="shared" si="7"/>
        <v>64.82240437158471</v>
      </c>
      <c r="AE23" s="241">
        <f t="shared" si="8"/>
        <v>31</v>
      </c>
      <c r="AF23" s="244">
        <f t="shared" si="1"/>
        <v>173.50762</v>
      </c>
      <c r="AG23" s="1281"/>
      <c r="AI23" s="1282">
        <f t="shared" si="2"/>
        <v>14.099319304640099</v>
      </c>
      <c r="AJ23" s="1252">
        <v>0.90690000000000004</v>
      </c>
      <c r="AK23" s="1252">
        <v>1.0209999999999999</v>
      </c>
      <c r="AL23" s="1252">
        <v>8.1276750000000011E-4</v>
      </c>
    </row>
    <row r="24" spans="1:38" ht="27" customHeight="1" x14ac:dyDescent="0.2">
      <c r="A24" s="1273">
        <v>10</v>
      </c>
      <c r="B24" s="1274" t="s">
        <v>148</v>
      </c>
      <c r="C24" s="241" t="s">
        <v>46</v>
      </c>
      <c r="D24" s="241">
        <v>640.20000000000005</v>
      </c>
      <c r="E24" s="241" t="s">
        <v>398</v>
      </c>
      <c r="F24" s="241">
        <v>177.8</v>
      </c>
      <c r="G24" s="241" t="s">
        <v>28</v>
      </c>
      <c r="H24" s="1404" t="s">
        <v>564</v>
      </c>
      <c r="I24" s="1417">
        <v>564.11</v>
      </c>
      <c r="J24" s="1448">
        <v>160</v>
      </c>
      <c r="K24" s="241"/>
      <c r="L24" s="1277">
        <v>258</v>
      </c>
      <c r="M24" s="241"/>
      <c r="N24" s="1278">
        <v>0.2</v>
      </c>
      <c r="O24" s="241"/>
      <c r="P24" s="1278">
        <f t="shared" si="3"/>
        <v>28.67065171635587</v>
      </c>
      <c r="Q24" s="1278">
        <f>J24*7/100</f>
        <v>11.2</v>
      </c>
      <c r="R24" s="244">
        <v>2.8660000000000001</v>
      </c>
      <c r="S24" s="244">
        <v>5.2720000000000002</v>
      </c>
      <c r="T24" s="1277">
        <v>18.239999999999998</v>
      </c>
      <c r="U24" s="1278">
        <v>0</v>
      </c>
      <c r="V24" s="1278">
        <f t="shared" si="4"/>
        <v>45.637329286798177</v>
      </c>
      <c r="W24" s="1279">
        <v>0.2</v>
      </c>
      <c r="X24" s="1449">
        <v>160</v>
      </c>
      <c r="Y24" s="244">
        <f t="shared" si="5"/>
        <v>0.47071428571428575</v>
      </c>
      <c r="Z24" s="244">
        <f t="shared" si="6"/>
        <v>2.8316080000000001</v>
      </c>
      <c r="AA24" s="244">
        <f t="shared" si="6"/>
        <v>5.208736</v>
      </c>
      <c r="AB24" s="1277">
        <f t="shared" si="6"/>
        <v>18.02112</v>
      </c>
      <c r="AC24" s="244">
        <f t="shared" si="9"/>
        <v>0</v>
      </c>
      <c r="AD24" s="1277">
        <f t="shared" si="7"/>
        <v>45.637329286798177</v>
      </c>
      <c r="AE24" s="241">
        <f t="shared" si="8"/>
        <v>31</v>
      </c>
      <c r="AF24" s="244">
        <f t="shared" si="1"/>
        <v>87.779848000000001</v>
      </c>
      <c r="AG24" s="1281"/>
      <c r="AI24" s="1282">
        <f t="shared" si="2"/>
        <v>28.67065171635587</v>
      </c>
      <c r="AJ24" s="1252">
        <v>0.90039999999999998</v>
      </c>
      <c r="AK24" s="1252">
        <v>1.0309999999999999</v>
      </c>
      <c r="AL24" s="1252">
        <v>7.7447712000000004E-4</v>
      </c>
    </row>
    <row r="25" spans="1:38" ht="18.75" customHeight="1" x14ac:dyDescent="0.2">
      <c r="A25" s="1273">
        <v>11</v>
      </c>
      <c r="B25" s="1274" t="s">
        <v>149</v>
      </c>
      <c r="C25" s="241" t="s">
        <v>46</v>
      </c>
      <c r="D25" s="241">
        <v>606.29999999999995</v>
      </c>
      <c r="E25" s="241" t="s">
        <v>76</v>
      </c>
      <c r="F25" s="241">
        <v>177.8</v>
      </c>
      <c r="G25" s="241" t="s">
        <v>28</v>
      </c>
      <c r="H25" s="241" t="s">
        <v>487</v>
      </c>
      <c r="I25" s="1417">
        <v>593.29</v>
      </c>
      <c r="J25" s="241">
        <v>300</v>
      </c>
      <c r="K25" s="241"/>
      <c r="L25" s="1277">
        <v>437</v>
      </c>
      <c r="M25" s="241"/>
      <c r="N25" s="1278">
        <v>1.58</v>
      </c>
      <c r="O25" s="241"/>
      <c r="P25" s="1278">
        <f t="shared" si="3"/>
        <v>17.083479285998102</v>
      </c>
      <c r="Q25" s="1278">
        <f>(13/100)*J25</f>
        <v>39</v>
      </c>
      <c r="R25" s="244">
        <v>1.3120000000000001</v>
      </c>
      <c r="S25" s="244">
        <v>7.3120000000000003</v>
      </c>
      <c r="T25" s="1277">
        <v>35.756999999999998</v>
      </c>
      <c r="U25" s="1278">
        <f t="shared" si="0"/>
        <v>27.253810975609753</v>
      </c>
      <c r="V25" s="1278">
        <f t="shared" si="4"/>
        <v>82.056892778993429</v>
      </c>
      <c r="W25" s="1279">
        <v>0.27</v>
      </c>
      <c r="X25" s="1316">
        <v>300</v>
      </c>
      <c r="Y25" s="244">
        <f t="shared" si="5"/>
        <v>0.18748717948717949</v>
      </c>
      <c r="Z25" s="244">
        <f t="shared" si="6"/>
        <v>1.2962560000000001</v>
      </c>
      <c r="AA25" s="244">
        <f t="shared" si="6"/>
        <v>7.2242560000000005</v>
      </c>
      <c r="AB25" s="1277">
        <f t="shared" si="6"/>
        <v>35.327915999999995</v>
      </c>
      <c r="AC25" s="244">
        <f t="shared" si="9"/>
        <v>27.253810975609753</v>
      </c>
      <c r="AD25" s="1277">
        <f t="shared" si="7"/>
        <v>82.056892778993429</v>
      </c>
      <c r="AE25" s="241">
        <f t="shared" si="8"/>
        <v>31</v>
      </c>
      <c r="AF25" s="244">
        <f t="shared" si="1"/>
        <v>40.183936000000003</v>
      </c>
      <c r="AG25" s="1285"/>
      <c r="AI25" s="1282">
        <f t="shared" si="2"/>
        <v>17.083479285998102</v>
      </c>
      <c r="AJ25" s="1252">
        <v>0.91620000000000001</v>
      </c>
      <c r="AK25" s="1252">
        <v>1.0449999999999999</v>
      </c>
      <c r="AL25" s="1252">
        <v>9.6207590000000004E-4</v>
      </c>
    </row>
    <row r="26" spans="1:38" ht="18.75" customHeight="1" x14ac:dyDescent="0.2">
      <c r="A26" s="1273">
        <v>12</v>
      </c>
      <c r="B26" s="1274" t="s">
        <v>151</v>
      </c>
      <c r="C26" s="241" t="s">
        <v>46</v>
      </c>
      <c r="D26" s="241">
        <v>675.42</v>
      </c>
      <c r="E26" s="1417" t="s">
        <v>298</v>
      </c>
      <c r="F26" s="241">
        <v>177.8</v>
      </c>
      <c r="G26" s="241" t="s">
        <v>28</v>
      </c>
      <c r="H26" s="1299" t="s">
        <v>687</v>
      </c>
      <c r="I26" s="1417">
        <v>558.21</v>
      </c>
      <c r="J26" s="1448">
        <v>85</v>
      </c>
      <c r="K26" s="241"/>
      <c r="L26" s="1277">
        <v>258</v>
      </c>
      <c r="M26" s="241"/>
      <c r="N26" s="1278">
        <v>0.81599999999999995</v>
      </c>
      <c r="O26" s="241"/>
      <c r="P26" s="1278">
        <f t="shared" si="3"/>
        <v>29.987423819852872</v>
      </c>
      <c r="Q26" s="1278">
        <f>20*J26/100</f>
        <v>17</v>
      </c>
      <c r="R26" s="244">
        <v>2.3410000000000002</v>
      </c>
      <c r="S26" s="244">
        <v>16.951000000000001</v>
      </c>
      <c r="T26" s="1277">
        <v>27.22</v>
      </c>
      <c r="U26" s="1278">
        <f t="shared" si="0"/>
        <v>11.627509611277231</v>
      </c>
      <c r="V26" s="1278">
        <f t="shared" si="4"/>
        <v>86.18960533301869</v>
      </c>
      <c r="W26" s="1279">
        <v>0.2</v>
      </c>
      <c r="X26" s="1449">
        <v>85</v>
      </c>
      <c r="Y26" s="244">
        <f t="shared" si="5"/>
        <v>0.99711764705882355</v>
      </c>
      <c r="Z26" s="244">
        <f t="shared" si="6"/>
        <v>2.3129080000000002</v>
      </c>
      <c r="AA26" s="244">
        <f t="shared" si="6"/>
        <v>16.747588</v>
      </c>
      <c r="AB26" s="1277">
        <f t="shared" si="6"/>
        <v>26.893359999999998</v>
      </c>
      <c r="AC26" s="244">
        <f t="shared" si="9"/>
        <v>11.627509611277231</v>
      </c>
      <c r="AD26" s="1277">
        <f t="shared" si="7"/>
        <v>86.18960533301869</v>
      </c>
      <c r="AE26" s="241">
        <f t="shared" si="8"/>
        <v>31</v>
      </c>
      <c r="AF26" s="244">
        <f>Z26*AE26</f>
        <v>71.700148000000013</v>
      </c>
      <c r="AG26" s="1285"/>
      <c r="AI26" s="1282">
        <f t="shared" si="2"/>
        <v>29.987423819852872</v>
      </c>
      <c r="AJ26" s="1252">
        <v>0.93420000000000003</v>
      </c>
      <c r="AK26" s="1252">
        <v>1.014</v>
      </c>
      <c r="AL26" s="1252">
        <v>7.7447712000000004E-4</v>
      </c>
    </row>
    <row r="27" spans="1:38" ht="18.75" customHeight="1" x14ac:dyDescent="0.2">
      <c r="A27" s="1273">
        <v>13</v>
      </c>
      <c r="B27" s="1274" t="s">
        <v>36</v>
      </c>
      <c r="C27" s="241" t="s">
        <v>46</v>
      </c>
      <c r="D27" s="241">
        <v>584.42999999999995</v>
      </c>
      <c r="E27" s="1417" t="s">
        <v>79</v>
      </c>
      <c r="F27" s="241">
        <v>177.8</v>
      </c>
      <c r="G27" s="241" t="s">
        <v>28</v>
      </c>
      <c r="H27" s="1299" t="s">
        <v>565</v>
      </c>
      <c r="I27" s="1417">
        <v>526.29</v>
      </c>
      <c r="J27" s="1448">
        <v>290</v>
      </c>
      <c r="K27" s="241"/>
      <c r="L27" s="1277">
        <v>276</v>
      </c>
      <c r="M27" s="241"/>
      <c r="N27" s="1278">
        <v>3.496</v>
      </c>
      <c r="O27" s="241"/>
      <c r="P27" s="1278">
        <f t="shared" si="3"/>
        <v>27.81689625612302</v>
      </c>
      <c r="Q27" s="1278">
        <f>LEFT(H27,(FIND("E",H27,1)-1))*J27/100</f>
        <v>92.8</v>
      </c>
      <c r="R27" s="244">
        <v>11.23</v>
      </c>
      <c r="S27" s="244">
        <v>70.930999999999997</v>
      </c>
      <c r="T27" s="1277">
        <v>197.20099999999999</v>
      </c>
      <c r="U27" s="1278">
        <f t="shared" si="0"/>
        <v>17.56019590382903</v>
      </c>
      <c r="V27" s="1278">
        <f t="shared" si="4"/>
        <v>84.167712283768722</v>
      </c>
      <c r="W27" s="1279">
        <v>0.2</v>
      </c>
      <c r="X27" s="1449">
        <v>290</v>
      </c>
      <c r="Y27" s="244">
        <f t="shared" si="5"/>
        <v>0.76434267241379306</v>
      </c>
      <c r="Z27" s="244">
        <f t="shared" si="6"/>
        <v>11.09524</v>
      </c>
      <c r="AA27" s="244">
        <f t="shared" si="6"/>
        <v>70.079827999999992</v>
      </c>
      <c r="AB27" s="1277">
        <f t="shared" si="6"/>
        <v>194.834588</v>
      </c>
      <c r="AC27" s="244">
        <f t="shared" si="9"/>
        <v>17.56019590382903</v>
      </c>
      <c r="AD27" s="1277">
        <f t="shared" si="7"/>
        <v>84.167712283768722</v>
      </c>
      <c r="AE27" s="241">
        <f t="shared" si="8"/>
        <v>31</v>
      </c>
      <c r="AF27" s="244">
        <f>Z27*AE27</f>
        <v>343.95244000000002</v>
      </c>
      <c r="AG27" s="1281"/>
      <c r="AI27" s="1282">
        <f t="shared" si="2"/>
        <v>27.81689625612302</v>
      </c>
      <c r="AJ27" s="1252">
        <v>0.88449999999999995</v>
      </c>
      <c r="AK27" s="1252">
        <v>1.0249999999999999</v>
      </c>
      <c r="AL27" s="1252">
        <v>8.1397160000000013E-4</v>
      </c>
    </row>
    <row r="28" spans="1:38" ht="18.75" customHeight="1" x14ac:dyDescent="0.2">
      <c r="A28" s="1273">
        <v>14</v>
      </c>
      <c r="B28" s="1274" t="s">
        <v>152</v>
      </c>
      <c r="C28" s="241" t="s">
        <v>46</v>
      </c>
      <c r="D28" s="241">
        <v>564.97999999999979</v>
      </c>
      <c r="E28" s="1417" t="s">
        <v>80</v>
      </c>
      <c r="F28" s="241">
        <v>177.8</v>
      </c>
      <c r="G28" s="241" t="s">
        <v>28</v>
      </c>
      <c r="H28" s="244" t="s">
        <v>589</v>
      </c>
      <c r="I28" s="1301">
        <v>519.30999999999995</v>
      </c>
      <c r="J28" s="241">
        <v>280</v>
      </c>
      <c r="K28" s="241"/>
      <c r="L28" s="1277">
        <v>446</v>
      </c>
      <c r="M28" s="241"/>
      <c r="N28" s="1278">
        <v>5.16</v>
      </c>
      <c r="O28" s="241"/>
      <c r="P28" s="1278">
        <f t="shared" si="3"/>
        <v>12.038544754071069</v>
      </c>
      <c r="Q28" s="1278">
        <f>RIGHT(H28,(FIND("T",H28,1)-0))*J28/100</f>
        <v>56</v>
      </c>
      <c r="R28" s="244">
        <v>11.805</v>
      </c>
      <c r="S28" s="244">
        <v>27.507000000000001</v>
      </c>
      <c r="T28" s="1277">
        <v>407.77300000000002</v>
      </c>
      <c r="U28" s="1278">
        <f t="shared" si="0"/>
        <v>34.542397289284203</v>
      </c>
      <c r="V28" s="1278">
        <f t="shared" si="4"/>
        <v>57.083651434180396</v>
      </c>
      <c r="W28" s="1279">
        <v>0.2</v>
      </c>
      <c r="X28" s="1316">
        <v>280</v>
      </c>
      <c r="Y28" s="244">
        <f t="shared" si="5"/>
        <v>0.49119642857142859</v>
      </c>
      <c r="Z28" s="244">
        <f t="shared" si="6"/>
        <v>11.66334</v>
      </c>
      <c r="AA28" s="244">
        <f t="shared" si="6"/>
        <v>27.176916000000002</v>
      </c>
      <c r="AB28" s="1277">
        <f t="shared" si="6"/>
        <v>402.87972400000001</v>
      </c>
      <c r="AC28" s="244">
        <f t="shared" si="9"/>
        <v>34.542397289284203</v>
      </c>
      <c r="AD28" s="1277">
        <f t="shared" si="7"/>
        <v>57.083651434180396</v>
      </c>
      <c r="AE28" s="241">
        <f t="shared" si="8"/>
        <v>31</v>
      </c>
      <c r="AF28" s="244">
        <f t="shared" si="1"/>
        <v>361.56353999999999</v>
      </c>
      <c r="AG28" s="1281"/>
      <c r="AI28" s="1282">
        <f t="shared" si="2"/>
        <v>12.038544754071069</v>
      </c>
      <c r="AJ28" s="1252">
        <v>0.87939999999999996</v>
      </c>
      <c r="AK28" s="1252">
        <v>1.0269999999999999</v>
      </c>
      <c r="AL28" s="1252">
        <v>8.9946269999999998E-4</v>
      </c>
    </row>
    <row r="29" spans="1:38" ht="18.75" customHeight="1" x14ac:dyDescent="0.2">
      <c r="A29" s="1273">
        <v>15</v>
      </c>
      <c r="B29" s="1274" t="s">
        <v>37</v>
      </c>
      <c r="C29" s="241" t="s">
        <v>46</v>
      </c>
      <c r="D29" s="241">
        <v>670</v>
      </c>
      <c r="E29" s="241" t="s">
        <v>81</v>
      </c>
      <c r="F29" s="241">
        <v>177.8</v>
      </c>
      <c r="G29" s="241" t="s">
        <v>28</v>
      </c>
      <c r="H29" s="1299" t="s">
        <v>48</v>
      </c>
      <c r="I29" s="1417">
        <v>569.99</v>
      </c>
      <c r="J29" s="1448">
        <v>220</v>
      </c>
      <c r="K29" s="241"/>
      <c r="L29" s="1277">
        <v>437</v>
      </c>
      <c r="M29" s="241"/>
      <c r="N29" s="1278">
        <v>4.2320000000000002</v>
      </c>
      <c r="O29" s="241"/>
      <c r="P29" s="1278">
        <f t="shared" si="3"/>
        <v>17.030945397778659</v>
      </c>
      <c r="Q29" s="1278">
        <f>LEFT(H29,(FIND("K",H29,1)-1))*J29/100</f>
        <v>28.6</v>
      </c>
      <c r="R29" s="244">
        <v>6.5270000000000001</v>
      </c>
      <c r="S29" s="244">
        <v>21.093</v>
      </c>
      <c r="T29" s="1277">
        <v>164</v>
      </c>
      <c r="U29" s="1278">
        <f t="shared" si="0"/>
        <v>25.126398038915273</v>
      </c>
      <c r="V29" s="1278">
        <f t="shared" si="4"/>
        <v>69.056084957094768</v>
      </c>
      <c r="W29" s="1279">
        <v>0.2</v>
      </c>
      <c r="X29" s="1449">
        <v>220</v>
      </c>
      <c r="Y29" s="244">
        <f t="shared" si="5"/>
        <v>0.7375174825174825</v>
      </c>
      <c r="Z29" s="244">
        <f t="shared" si="6"/>
        <v>6.4486759999999999</v>
      </c>
      <c r="AA29" s="244">
        <f t="shared" si="6"/>
        <v>20.839884000000001</v>
      </c>
      <c r="AB29" s="1277">
        <f t="shared" si="6"/>
        <v>162.03200000000001</v>
      </c>
      <c r="AC29" s="244">
        <f t="shared" si="9"/>
        <v>25.126398038915273</v>
      </c>
      <c r="AD29" s="1277">
        <f t="shared" si="7"/>
        <v>69.056084957094768</v>
      </c>
      <c r="AE29" s="241">
        <f t="shared" si="8"/>
        <v>31</v>
      </c>
      <c r="AF29" s="244">
        <f>Z29*AE29</f>
        <v>199.90895599999999</v>
      </c>
      <c r="AG29" s="1285"/>
      <c r="AI29" s="1282">
        <f t="shared" si="2"/>
        <v>17.030945397778659</v>
      </c>
      <c r="AJ29" s="1252">
        <v>0.91949999999999998</v>
      </c>
      <c r="AK29" s="1252">
        <v>1.024</v>
      </c>
      <c r="AL29" s="1252">
        <v>7.2245999999999996E-4</v>
      </c>
    </row>
    <row r="30" spans="1:38" ht="18.75" customHeight="1" x14ac:dyDescent="0.2">
      <c r="A30" s="1273">
        <v>16</v>
      </c>
      <c r="B30" s="1274" t="s">
        <v>153</v>
      </c>
      <c r="C30" s="1274" t="s">
        <v>46</v>
      </c>
      <c r="D30" s="1274">
        <v>574.61</v>
      </c>
      <c r="E30" s="1274" t="s">
        <v>688</v>
      </c>
      <c r="F30" s="1274">
        <v>177.8</v>
      </c>
      <c r="G30" s="1274" t="s">
        <v>28</v>
      </c>
      <c r="H30" s="1299" t="s">
        <v>589</v>
      </c>
      <c r="I30" s="1274">
        <v>541.78</v>
      </c>
      <c r="J30" s="1274">
        <v>180</v>
      </c>
      <c r="K30" s="1274"/>
      <c r="L30" s="1305">
        <v>43</v>
      </c>
      <c r="M30" s="1274"/>
      <c r="N30" s="1306">
        <v>6.8000000000000005E-2</v>
      </c>
      <c r="O30" s="1274"/>
      <c r="P30" s="1278">
        <f t="shared" si="3"/>
        <v>48.438072630865697</v>
      </c>
      <c r="Q30" s="1278">
        <f>RIGHT(H30,(FIND("T",H30,1)-0))*J30/100</f>
        <v>36</v>
      </c>
      <c r="R30" s="1307">
        <v>1.64</v>
      </c>
      <c r="S30" s="244">
        <v>9.3919999999999995</v>
      </c>
      <c r="T30" s="1305">
        <v>108.535</v>
      </c>
      <c r="U30" s="1278">
        <f t="shared" si="0"/>
        <v>66.179878048780495</v>
      </c>
      <c r="V30" s="1278">
        <f t="shared" si="4"/>
        <v>82.538330494037481</v>
      </c>
      <c r="W30" s="1308">
        <v>0.24</v>
      </c>
      <c r="X30" s="1458">
        <v>180</v>
      </c>
      <c r="Y30" s="244">
        <f t="shared" si="5"/>
        <v>0.26088888888888889</v>
      </c>
      <c r="Z30" s="244">
        <f t="shared" si="6"/>
        <v>1.62032</v>
      </c>
      <c r="AA30" s="244">
        <f t="shared" si="6"/>
        <v>9.2792959999999987</v>
      </c>
      <c r="AB30" s="1277">
        <f t="shared" si="6"/>
        <v>107.23258</v>
      </c>
      <c r="AC30" s="1307">
        <f t="shared" si="9"/>
        <v>66.179878048780495</v>
      </c>
      <c r="AD30" s="1305">
        <f t="shared" si="7"/>
        <v>82.538330494037481</v>
      </c>
      <c r="AE30" s="241">
        <f>(DAY(EOMONTH($AH$13,0))-AH30)</f>
        <v>31</v>
      </c>
      <c r="AF30" s="1307">
        <f>Z30*AE30</f>
        <v>50.22992</v>
      </c>
      <c r="AG30" s="1310"/>
      <c r="AI30" s="1282">
        <f t="shared" si="2"/>
        <v>48.438072630865697</v>
      </c>
      <c r="AJ30" s="1252">
        <v>0.90500000000000003</v>
      </c>
      <c r="AK30" s="1252">
        <v>1.022</v>
      </c>
      <c r="AL30" s="1252">
        <v>9.1150370000000005E-4</v>
      </c>
    </row>
    <row r="31" spans="1:38" ht="18.600000000000001" customHeight="1" x14ac:dyDescent="0.2">
      <c r="A31" s="1273">
        <v>17</v>
      </c>
      <c r="B31" s="1274" t="s">
        <v>154</v>
      </c>
      <c r="C31" s="1274" t="s">
        <v>46</v>
      </c>
      <c r="D31" s="1311">
        <v>644.79999999999995</v>
      </c>
      <c r="E31" s="1300" t="s">
        <v>421</v>
      </c>
      <c r="F31" s="241">
        <v>177.8</v>
      </c>
      <c r="G31" s="241" t="s">
        <v>28</v>
      </c>
      <c r="H31" s="1299" t="s">
        <v>687</v>
      </c>
      <c r="I31" s="1301">
        <v>562.54999999999995</v>
      </c>
      <c r="J31" s="241">
        <v>95</v>
      </c>
      <c r="K31" s="241"/>
      <c r="L31" s="1277">
        <v>439.12</v>
      </c>
      <c r="M31" s="241"/>
      <c r="N31" s="1278">
        <v>2.3839999999999999</v>
      </c>
      <c r="O31" s="241"/>
      <c r="P31" s="1278">
        <f t="shared" si="3"/>
        <v>14.104233144569111</v>
      </c>
      <c r="Q31" s="1278">
        <f>20*J31/100</f>
        <v>19</v>
      </c>
      <c r="R31" s="244">
        <v>3.7490000000000001</v>
      </c>
      <c r="S31" s="244">
        <v>10.571999999999999</v>
      </c>
      <c r="T31" s="1277">
        <v>20.309999999999999</v>
      </c>
      <c r="U31" s="1278">
        <f t="shared" si="0"/>
        <v>5.4174446519071751</v>
      </c>
      <c r="V31" s="1278">
        <f t="shared" si="4"/>
        <v>64.538403329549737</v>
      </c>
      <c r="W31" s="1279">
        <v>0.2</v>
      </c>
      <c r="X31" s="1316">
        <v>95</v>
      </c>
      <c r="Y31" s="244">
        <f t="shared" si="5"/>
        <v>0.55642105263157893</v>
      </c>
      <c r="Z31" s="244">
        <f t="shared" si="6"/>
        <v>3.7040120000000001</v>
      </c>
      <c r="AA31" s="244">
        <f t="shared" si="6"/>
        <v>10.445136</v>
      </c>
      <c r="AB31" s="1277">
        <f t="shared" si="6"/>
        <v>20.066279999999999</v>
      </c>
      <c r="AC31" s="1307">
        <f t="shared" si="9"/>
        <v>5.4174446519071751</v>
      </c>
      <c r="AD31" s="1305">
        <f t="shared" si="7"/>
        <v>64.538403329549737</v>
      </c>
      <c r="AE31" s="241">
        <f t="shared" si="8"/>
        <v>31</v>
      </c>
      <c r="AF31" s="1307">
        <f>Z31*AE31</f>
        <v>114.824372</v>
      </c>
      <c r="AG31" s="1281"/>
      <c r="AI31" s="1282">
        <f t="shared" si="2"/>
        <v>14.104233144569111</v>
      </c>
      <c r="AJ31" s="1252">
        <v>0.88390000000000002</v>
      </c>
      <c r="AK31" s="1252">
        <v>1.03</v>
      </c>
      <c r="AL31" s="1252">
        <v>7.2245999999999996E-4</v>
      </c>
    </row>
    <row r="32" spans="1:38" ht="18.75" customHeight="1" x14ac:dyDescent="0.2">
      <c r="A32" s="1273">
        <v>18</v>
      </c>
      <c r="B32" s="1274" t="s">
        <v>38</v>
      </c>
      <c r="C32" s="241" t="s">
        <v>46</v>
      </c>
      <c r="D32" s="1278">
        <v>580</v>
      </c>
      <c r="E32" s="241" t="s">
        <v>84</v>
      </c>
      <c r="F32" s="241">
        <v>177.8</v>
      </c>
      <c r="G32" s="241" t="s">
        <v>28</v>
      </c>
      <c r="H32" s="1299" t="s">
        <v>466</v>
      </c>
      <c r="I32" s="1417">
        <v>564.05999999999995</v>
      </c>
      <c r="J32" s="241">
        <v>260</v>
      </c>
      <c r="K32" s="241"/>
      <c r="L32" s="1277">
        <v>500.56</v>
      </c>
      <c r="M32" s="241"/>
      <c r="N32" s="1278">
        <v>0.20799999999999999</v>
      </c>
      <c r="O32" s="241"/>
      <c r="P32" s="1278">
        <f t="shared" si="3"/>
        <v>6.2793476858285331</v>
      </c>
      <c r="Q32" s="1278">
        <f>LEFT(H32,(FIND("E",H32,1)-1))*J32/100</f>
        <v>33.799999999999997</v>
      </c>
      <c r="R32" s="244">
        <v>4.0170000000000003</v>
      </c>
      <c r="S32" s="244">
        <v>11.27</v>
      </c>
      <c r="T32" s="1277">
        <v>33.299999999999997</v>
      </c>
      <c r="U32" s="1278">
        <f t="shared" si="0"/>
        <v>8.2897684839432397</v>
      </c>
      <c r="V32" s="1278">
        <f t="shared" si="4"/>
        <v>64.356699201419701</v>
      </c>
      <c r="W32" s="1279">
        <v>0.2</v>
      </c>
      <c r="X32" s="1316">
        <v>260</v>
      </c>
      <c r="Y32" s="244">
        <f t="shared" si="5"/>
        <v>0.33343195266272191</v>
      </c>
      <c r="Z32" s="244">
        <f t="shared" si="6"/>
        <v>3.9687960000000002</v>
      </c>
      <c r="AA32" s="244">
        <f t="shared" si="6"/>
        <v>11.13476</v>
      </c>
      <c r="AB32" s="1277">
        <f t="shared" si="6"/>
        <v>32.900399999999998</v>
      </c>
      <c r="AC32" s="244">
        <f t="shared" si="9"/>
        <v>8.2897684839432397</v>
      </c>
      <c r="AD32" s="1305">
        <f t="shared" si="7"/>
        <v>64.356699201419701</v>
      </c>
      <c r="AE32" s="241">
        <f t="shared" si="8"/>
        <v>31</v>
      </c>
      <c r="AF32" s="244">
        <f t="shared" si="1"/>
        <v>123.03267600000001</v>
      </c>
      <c r="AG32" s="1281"/>
      <c r="AI32" s="1282">
        <f t="shared" si="2"/>
        <v>6.2793476858285331</v>
      </c>
      <c r="AJ32" s="1252">
        <v>0.91639999999999999</v>
      </c>
      <c r="AK32" s="1252">
        <v>1.0169999999999999</v>
      </c>
      <c r="AL32" s="1252">
        <v>8.1276750000000011E-4</v>
      </c>
    </row>
    <row r="33" spans="1:38" ht="18.75" customHeight="1" x14ac:dyDescent="0.2">
      <c r="A33" s="1273">
        <v>19</v>
      </c>
      <c r="B33" s="1274" t="s">
        <v>39</v>
      </c>
      <c r="C33" s="241" t="s">
        <v>46</v>
      </c>
      <c r="D33" s="241">
        <v>575.26</v>
      </c>
      <c r="E33" s="241" t="s">
        <v>411</v>
      </c>
      <c r="F33" s="241">
        <v>177.8</v>
      </c>
      <c r="G33" s="241" t="s">
        <v>28</v>
      </c>
      <c r="H33" s="1299" t="s">
        <v>588</v>
      </c>
      <c r="I33" s="1428">
        <v>551</v>
      </c>
      <c r="J33" s="1448">
        <v>160</v>
      </c>
      <c r="K33" s="241"/>
      <c r="L33" s="1277">
        <v>472.31599999999997</v>
      </c>
      <c r="M33" s="241"/>
      <c r="N33" s="1278">
        <v>2.8879999999999999</v>
      </c>
      <c r="O33" s="241"/>
      <c r="P33" s="1278">
        <f t="shared" si="3"/>
        <v>10.148000311342747</v>
      </c>
      <c r="Q33" s="1278">
        <f>14*J33/100</f>
        <v>22.4</v>
      </c>
      <c r="R33" s="244">
        <v>4.6420000000000003</v>
      </c>
      <c r="S33" s="244">
        <v>8.6630000000000003</v>
      </c>
      <c r="T33" s="1277">
        <v>17.399999999999999</v>
      </c>
      <c r="U33" s="1278">
        <f t="shared" si="0"/>
        <v>3.7483843171046956</v>
      </c>
      <c r="V33" s="1278">
        <f t="shared" si="4"/>
        <v>46.415791296317671</v>
      </c>
      <c r="W33" s="1279">
        <v>0.2</v>
      </c>
      <c r="X33" s="1449">
        <v>160</v>
      </c>
      <c r="Y33" s="244">
        <f t="shared" si="5"/>
        <v>0.38674107142857145</v>
      </c>
      <c r="Z33" s="244">
        <f t="shared" si="6"/>
        <v>4.5862959999999999</v>
      </c>
      <c r="AA33" s="244">
        <f t="shared" si="6"/>
        <v>8.5590440000000001</v>
      </c>
      <c r="AB33" s="1277">
        <f t="shared" si="6"/>
        <v>17.191199999999998</v>
      </c>
      <c r="AC33" s="244">
        <f t="shared" si="9"/>
        <v>3.7483843171046956</v>
      </c>
      <c r="AD33" s="1305">
        <f t="shared" si="9"/>
        <v>46.415791296317671</v>
      </c>
      <c r="AE33" s="241">
        <f t="shared" si="8"/>
        <v>31</v>
      </c>
      <c r="AF33" s="244">
        <f t="shared" si="1"/>
        <v>142.17517599999999</v>
      </c>
      <c r="AG33" s="1450"/>
      <c r="AI33" s="1282">
        <f t="shared" si="2"/>
        <v>10.148000311342747</v>
      </c>
      <c r="AJ33" s="1252">
        <v>0.88239999999999996</v>
      </c>
      <c r="AK33" s="1252">
        <v>1.024</v>
      </c>
      <c r="AL33" s="1252">
        <v>8.1397160000000013E-4</v>
      </c>
    </row>
    <row r="34" spans="1:38" ht="18.75" customHeight="1" x14ac:dyDescent="0.2">
      <c r="A34" s="1273">
        <v>20</v>
      </c>
      <c r="B34" s="1274" t="s">
        <v>40</v>
      </c>
      <c r="C34" s="241" t="s">
        <v>46</v>
      </c>
      <c r="D34" s="241">
        <v>604.16999999999996</v>
      </c>
      <c r="E34" s="241" t="s">
        <v>689</v>
      </c>
      <c r="F34" s="241">
        <v>177.8</v>
      </c>
      <c r="G34" s="241" t="s">
        <v>28</v>
      </c>
      <c r="H34" s="1421" t="s">
        <v>556</v>
      </c>
      <c r="I34" s="1428">
        <v>565.36</v>
      </c>
      <c r="J34" s="241">
        <v>85</v>
      </c>
      <c r="K34" s="241"/>
      <c r="L34" s="1277">
        <v>341</v>
      </c>
      <c r="M34" s="241"/>
      <c r="N34" s="1278">
        <v>3.0350000000000001</v>
      </c>
      <c r="O34" s="241"/>
      <c r="P34" s="1278">
        <f t="shared" si="3"/>
        <v>24.587197094595052</v>
      </c>
      <c r="Q34" s="1278">
        <f>14*J34/100</f>
        <v>11.9</v>
      </c>
      <c r="R34" s="244">
        <v>2.4500000000000002</v>
      </c>
      <c r="S34" s="244">
        <v>10.585000000000001</v>
      </c>
      <c r="T34" s="1277">
        <v>17.87</v>
      </c>
      <c r="U34" s="1278">
        <f>IF(R34=0,0,T34/R34)</f>
        <v>7.2938775510204081</v>
      </c>
      <c r="V34" s="1278">
        <f t="shared" si="4"/>
        <v>76.854038734057639</v>
      </c>
      <c r="W34" s="1279">
        <v>0.2</v>
      </c>
      <c r="X34" s="1457">
        <v>85</v>
      </c>
      <c r="Y34" s="244">
        <f t="shared" si="5"/>
        <v>0.88949579831932779</v>
      </c>
      <c r="Z34" s="244">
        <f t="shared" si="6"/>
        <v>2.4206000000000003</v>
      </c>
      <c r="AA34" s="244">
        <f t="shared" si="6"/>
        <v>10.457980000000001</v>
      </c>
      <c r="AB34" s="1277">
        <f t="shared" si="6"/>
        <v>17.655560000000001</v>
      </c>
      <c r="AC34" s="244">
        <f t="shared" si="9"/>
        <v>7.2938775510204081</v>
      </c>
      <c r="AD34" s="1305">
        <v>70</v>
      </c>
      <c r="AE34" s="241">
        <f t="shared" si="8"/>
        <v>31</v>
      </c>
      <c r="AF34" s="244">
        <f>Z34*AE34</f>
        <v>75.038600000000002</v>
      </c>
      <c r="AG34" s="1285"/>
      <c r="AI34" s="1282">
        <f t="shared" si="2"/>
        <v>24.587197094595052</v>
      </c>
      <c r="AJ34" s="1252">
        <v>0.91810000000000003</v>
      </c>
      <c r="AK34" s="1252">
        <v>1.0129999999999999</v>
      </c>
      <c r="AL34" s="1252">
        <v>7.5858300000000007E-4</v>
      </c>
    </row>
    <row r="35" spans="1:38" ht="18.75" customHeight="1" x14ac:dyDescent="0.2">
      <c r="A35" s="1273">
        <v>21</v>
      </c>
      <c r="B35" s="1274" t="s">
        <v>41</v>
      </c>
      <c r="C35" s="241" t="s">
        <v>46</v>
      </c>
      <c r="D35" s="241">
        <v>573.37</v>
      </c>
      <c r="E35" s="241" t="s">
        <v>87</v>
      </c>
      <c r="F35" s="241">
        <v>177.8</v>
      </c>
      <c r="G35" s="241" t="s">
        <v>28</v>
      </c>
      <c r="H35" s="241" t="s">
        <v>461</v>
      </c>
      <c r="I35" s="1417">
        <v>535.91</v>
      </c>
      <c r="J35" s="1448">
        <v>300</v>
      </c>
      <c r="K35" s="241"/>
      <c r="L35" s="1277">
        <v>448</v>
      </c>
      <c r="M35" s="241"/>
      <c r="N35" s="1278">
        <v>3.363</v>
      </c>
      <c r="O35" s="241"/>
      <c r="P35" s="1278">
        <f t="shared" si="3"/>
        <v>11.499395419922386</v>
      </c>
      <c r="Q35" s="1278">
        <f>(20/100)*J35</f>
        <v>60</v>
      </c>
      <c r="R35" s="244">
        <v>7.98</v>
      </c>
      <c r="S35" s="244">
        <v>13.363</v>
      </c>
      <c r="T35" s="1277">
        <v>153.85</v>
      </c>
      <c r="U35" s="1278">
        <f t="shared" ref="U35:U45" si="10">IF(R35=0,0,T35/R35)</f>
        <v>19.279448621553883</v>
      </c>
      <c r="V35" s="1278">
        <f t="shared" si="4"/>
        <v>40.28287061288632</v>
      </c>
      <c r="W35" s="1279">
        <v>0.2</v>
      </c>
      <c r="X35" s="1449">
        <v>300</v>
      </c>
      <c r="Y35" s="244">
        <f t="shared" si="5"/>
        <v>0.22271666666666665</v>
      </c>
      <c r="Z35" s="244">
        <f t="shared" si="6"/>
        <v>7.8842400000000001</v>
      </c>
      <c r="AA35" s="244">
        <f t="shared" si="6"/>
        <v>13.202643999999999</v>
      </c>
      <c r="AB35" s="1277">
        <f t="shared" si="6"/>
        <v>152.00379999999998</v>
      </c>
      <c r="AC35" s="244">
        <v>89.536086956521729</v>
      </c>
      <c r="AD35" s="1305">
        <f>V35</f>
        <v>40.28287061288632</v>
      </c>
      <c r="AE35" s="241">
        <f t="shared" si="8"/>
        <v>31</v>
      </c>
      <c r="AF35" s="244">
        <f t="shared" si="1"/>
        <v>244.41144</v>
      </c>
      <c r="AG35" s="1314"/>
      <c r="AI35" s="1282">
        <f t="shared" si="2"/>
        <v>11.499395419922386</v>
      </c>
      <c r="AJ35" s="1252">
        <v>0.90390000000000004</v>
      </c>
      <c r="AK35" s="1252">
        <v>1.0229999999999999</v>
      </c>
      <c r="AL35" s="1252">
        <v>8.0193060000000006E-4</v>
      </c>
    </row>
    <row r="36" spans="1:38" ht="18.75" customHeight="1" x14ac:dyDescent="0.2">
      <c r="A36" s="1273">
        <v>22</v>
      </c>
      <c r="B36" s="1274" t="s">
        <v>42</v>
      </c>
      <c r="C36" s="241" t="s">
        <v>46</v>
      </c>
      <c r="D36" s="241">
        <v>583.20000000000005</v>
      </c>
      <c r="E36" s="241" t="s">
        <v>88</v>
      </c>
      <c r="F36" s="241">
        <v>177.8</v>
      </c>
      <c r="G36" s="241" t="s">
        <v>28</v>
      </c>
      <c r="H36" s="241" t="s">
        <v>491</v>
      </c>
      <c r="I36" s="1417">
        <v>565.11</v>
      </c>
      <c r="J36" s="1448">
        <v>280</v>
      </c>
      <c r="K36" s="241"/>
      <c r="L36" s="1277">
        <v>144</v>
      </c>
      <c r="M36" s="241"/>
      <c r="N36" s="1278">
        <v>2.46</v>
      </c>
      <c r="O36" s="241"/>
      <c r="P36" s="1278">
        <f t="shared" si="3"/>
        <v>43.370224840845957</v>
      </c>
      <c r="Q36" s="1278">
        <f>LEFT(H36,(FIND("K",H36,1)-1))*J36/100</f>
        <v>64.400000000000006</v>
      </c>
      <c r="R36" s="244">
        <v>4.3869999999999996</v>
      </c>
      <c r="S36" s="244">
        <v>22.529</v>
      </c>
      <c r="T36" s="1277">
        <v>57.765000000000001</v>
      </c>
      <c r="U36" s="1278">
        <f t="shared" si="10"/>
        <v>13.167312514246639</v>
      </c>
      <c r="V36" s="1278">
        <f t="shared" si="4"/>
        <v>80.527320342669455</v>
      </c>
      <c r="W36" s="1279">
        <v>0.3</v>
      </c>
      <c r="X36" s="1449">
        <v>280</v>
      </c>
      <c r="Y36" s="244">
        <f t="shared" si="5"/>
        <v>0.34982919254658384</v>
      </c>
      <c r="Z36" s="244">
        <f t="shared" si="6"/>
        <v>4.3343559999999997</v>
      </c>
      <c r="AA36" s="244">
        <f t="shared" si="6"/>
        <v>22.258652000000001</v>
      </c>
      <c r="AB36" s="1277">
        <f t="shared" si="6"/>
        <v>57.071820000000002</v>
      </c>
      <c r="AC36" s="244">
        <f>U36</f>
        <v>13.167312514246639</v>
      </c>
      <c r="AD36" s="1277">
        <f>V36</f>
        <v>80.527320342669455</v>
      </c>
      <c r="AE36" s="241">
        <f t="shared" si="8"/>
        <v>31</v>
      </c>
      <c r="AF36" s="244">
        <f t="shared" si="1"/>
        <v>134.36503599999998</v>
      </c>
      <c r="AG36" s="1285"/>
      <c r="AI36" s="1282">
        <f t="shared" si="2"/>
        <v>43.370224840845957</v>
      </c>
      <c r="AJ36" s="1252">
        <v>0.91690000000000005</v>
      </c>
      <c r="AK36" s="1252">
        <v>1.024</v>
      </c>
      <c r="AL36" s="1252">
        <v>8.1276750000000011E-4</v>
      </c>
    </row>
    <row r="37" spans="1:38" ht="29.25" customHeight="1" x14ac:dyDescent="0.2">
      <c r="A37" s="1273">
        <v>23</v>
      </c>
      <c r="B37" s="1274" t="s">
        <v>43</v>
      </c>
      <c r="C37" s="241" t="s">
        <v>46</v>
      </c>
      <c r="D37" s="241">
        <v>682.7</v>
      </c>
      <c r="E37" s="241" t="s">
        <v>690</v>
      </c>
      <c r="F37" s="241">
        <v>177.8</v>
      </c>
      <c r="G37" s="241" t="s">
        <v>28</v>
      </c>
      <c r="H37" s="1299" t="s">
        <v>685</v>
      </c>
      <c r="I37" s="1315">
        <v>563.63</v>
      </c>
      <c r="J37" s="241">
        <v>85</v>
      </c>
      <c r="K37" s="241"/>
      <c r="L37" s="1277">
        <v>375.84</v>
      </c>
      <c r="M37" s="241"/>
      <c r="N37" s="1278">
        <v>1.1000000000000001</v>
      </c>
      <c r="O37" s="241"/>
      <c r="P37" s="1278">
        <f t="shared" si="3"/>
        <v>19.255916275310515</v>
      </c>
      <c r="Q37" s="1278">
        <f>14*J37/100</f>
        <v>11.9</v>
      </c>
      <c r="R37" s="244">
        <v>1.946</v>
      </c>
      <c r="S37" s="244">
        <v>11.319000000000001</v>
      </c>
      <c r="T37" s="1277">
        <v>0</v>
      </c>
      <c r="U37" s="1278">
        <f t="shared" si="10"/>
        <v>0</v>
      </c>
      <c r="V37" s="1278">
        <f t="shared" si="4"/>
        <v>82.807668521954241</v>
      </c>
      <c r="W37" s="1279">
        <v>0.2</v>
      </c>
      <c r="X37" s="1316">
        <v>85</v>
      </c>
      <c r="Y37" s="244">
        <f t="shared" si="5"/>
        <v>0.95117647058823529</v>
      </c>
      <c r="Z37" s="244">
        <f t="shared" si="6"/>
        <v>1.9226479999999999</v>
      </c>
      <c r="AA37" s="244">
        <f t="shared" si="6"/>
        <v>11.183172000000001</v>
      </c>
      <c r="AB37" s="1277">
        <f>T37*0.988</f>
        <v>0</v>
      </c>
      <c r="AC37" s="244">
        <f>U37</f>
        <v>0</v>
      </c>
      <c r="AD37" s="1278">
        <f>(AA37-Z37)/AA37*100</f>
        <v>82.807668521954241</v>
      </c>
      <c r="AE37" s="241">
        <v>31</v>
      </c>
      <c r="AF37" s="244">
        <f t="shared" si="1"/>
        <v>59.602087999999995</v>
      </c>
      <c r="AG37" s="1285"/>
      <c r="AH37" s="1252">
        <v>2</v>
      </c>
      <c r="AI37" s="1282">
        <f t="shared" si="2"/>
        <v>19.255916275310515</v>
      </c>
      <c r="AJ37" s="1252">
        <v>0.90100000000000002</v>
      </c>
      <c r="AK37" s="1252">
        <v>1.0169999999999999</v>
      </c>
      <c r="AL37" s="1252">
        <v>7.7303220000000006E-4</v>
      </c>
    </row>
    <row r="38" spans="1:38" ht="18.75" customHeight="1" x14ac:dyDescent="0.2">
      <c r="A38" s="1273">
        <v>24</v>
      </c>
      <c r="B38" s="1274" t="s">
        <v>44</v>
      </c>
      <c r="C38" s="241" t="s">
        <v>46</v>
      </c>
      <c r="D38" s="241">
        <v>614.27</v>
      </c>
      <c r="E38" s="241" t="s">
        <v>593</v>
      </c>
      <c r="F38" s="241">
        <v>177.8</v>
      </c>
      <c r="G38" s="241" t="s">
        <v>28</v>
      </c>
      <c r="H38" s="1299" t="s">
        <v>565</v>
      </c>
      <c r="I38" s="1315">
        <v>580.03</v>
      </c>
      <c r="J38" s="241">
        <v>100</v>
      </c>
      <c r="K38" s="241"/>
      <c r="L38" s="1277">
        <v>90.72</v>
      </c>
      <c r="M38" s="241"/>
      <c r="N38" s="1278">
        <v>1.1000000000000001</v>
      </c>
      <c r="O38" s="241"/>
      <c r="P38" s="1278">
        <f t="shared" si="3"/>
        <v>49.073889104549856</v>
      </c>
      <c r="Q38" s="1278">
        <f>(32/100)*J38</f>
        <v>32</v>
      </c>
      <c r="R38" s="244">
        <v>2.581</v>
      </c>
      <c r="S38" s="244">
        <v>35.582000000000001</v>
      </c>
      <c r="T38" s="1277">
        <v>47.067</v>
      </c>
      <c r="U38" s="1278">
        <f t="shared" si="10"/>
        <v>18.235955056179776</v>
      </c>
      <c r="V38" s="1278">
        <f t="shared" si="4"/>
        <v>92.746332415266139</v>
      </c>
      <c r="W38" s="1279">
        <v>0.2</v>
      </c>
      <c r="X38" s="1316">
        <v>100</v>
      </c>
      <c r="Y38" s="244">
        <f t="shared" si="5"/>
        <v>1.1119375</v>
      </c>
      <c r="Z38" s="244">
        <f>R38*0.988</f>
        <v>2.5500279999999997</v>
      </c>
      <c r="AA38" s="244">
        <f>S38*0.988</f>
        <v>35.155016000000003</v>
      </c>
      <c r="AB38" s="1277">
        <f>T38*0.988</f>
        <v>46.502195999999998</v>
      </c>
      <c r="AC38" s="244">
        <f>U38</f>
        <v>18.235955056179776</v>
      </c>
      <c r="AD38" s="1277">
        <f>V38</f>
        <v>92.746332415266139</v>
      </c>
      <c r="AE38" s="241">
        <f t="shared" si="8"/>
        <v>31</v>
      </c>
      <c r="AF38" s="244">
        <f t="shared" si="1"/>
        <v>79.050867999999994</v>
      </c>
      <c r="AG38" s="1281"/>
      <c r="AI38" s="1282">
        <f t="shared" si="2"/>
        <v>49.073889104549856</v>
      </c>
      <c r="AJ38" s="1252">
        <v>0.89100000000000001</v>
      </c>
      <c r="AK38" s="1252">
        <v>1.022</v>
      </c>
      <c r="AL38" s="1252">
        <v>9.3558570000000008E-4</v>
      </c>
    </row>
    <row r="39" spans="1:38" ht="18.75" customHeight="1" x14ac:dyDescent="0.2">
      <c r="A39" s="1273">
        <v>25</v>
      </c>
      <c r="B39" s="1274" t="s">
        <v>45</v>
      </c>
      <c r="C39" s="241" t="s">
        <v>46</v>
      </c>
      <c r="D39" s="241">
        <v>636.4</v>
      </c>
      <c r="E39" s="241" t="s">
        <v>595</v>
      </c>
      <c r="F39" s="241">
        <v>177.8</v>
      </c>
      <c r="G39" s="241" t="s">
        <v>28</v>
      </c>
      <c r="H39" s="241" t="s">
        <v>684</v>
      </c>
      <c r="I39" s="1417">
        <v>554.16999999999996</v>
      </c>
      <c r="J39" s="1448">
        <v>110</v>
      </c>
      <c r="K39" s="241"/>
      <c r="L39" s="1277">
        <v>219.96</v>
      </c>
      <c r="M39" s="241"/>
      <c r="N39" s="1278">
        <v>3.2559999999999998</v>
      </c>
      <c r="O39" s="241"/>
      <c r="P39" s="1278">
        <f t="shared" si="3"/>
        <v>35.542277986038087</v>
      </c>
      <c r="Q39" s="1278">
        <f>(32/100)*J39</f>
        <v>35.200000000000003</v>
      </c>
      <c r="R39" s="244">
        <v>7.4370000000000003</v>
      </c>
      <c r="S39" s="244">
        <v>36.39</v>
      </c>
      <c r="T39" s="1277">
        <v>76.192999999999998</v>
      </c>
      <c r="U39" s="1278">
        <f t="shared" si="10"/>
        <v>10.245125722737662</v>
      </c>
      <c r="V39" s="1278">
        <f t="shared" si="4"/>
        <v>79.563066776586979</v>
      </c>
      <c r="W39" s="1279">
        <v>0.2</v>
      </c>
      <c r="X39" s="1449">
        <v>110</v>
      </c>
      <c r="Y39" s="244">
        <f t="shared" si="5"/>
        <v>1.0338068181818181</v>
      </c>
      <c r="Z39" s="244">
        <f>R39*0.988</f>
        <v>7.3477560000000004</v>
      </c>
      <c r="AA39" s="244">
        <f>S39*0.988</f>
        <v>35.953319999999998</v>
      </c>
      <c r="AB39" s="1277">
        <f>T39*0.988</f>
        <v>75.278683999999998</v>
      </c>
      <c r="AC39" s="244">
        <f>U39</f>
        <v>10.245125722737662</v>
      </c>
      <c r="AD39" s="1277">
        <f>V39</f>
        <v>79.563066776586979</v>
      </c>
      <c r="AE39" s="241">
        <f>(DAY(EOMONTH($AH$13,0))-AH39)</f>
        <v>31</v>
      </c>
      <c r="AF39" s="244">
        <f t="shared" si="1"/>
        <v>227.78043600000001</v>
      </c>
      <c r="AG39" s="1281"/>
      <c r="AI39" s="1282">
        <f t="shared" si="2"/>
        <v>35.542277986038087</v>
      </c>
      <c r="AJ39" s="1252">
        <v>0.89349999999999996</v>
      </c>
      <c r="AK39" s="1252">
        <v>1.024</v>
      </c>
      <c r="AL39" s="1252">
        <v>7.2366409999999998E-4</v>
      </c>
    </row>
    <row r="40" spans="1:38" ht="25.5" customHeight="1" x14ac:dyDescent="0.2">
      <c r="A40" s="1273">
        <v>26</v>
      </c>
      <c r="B40" s="1274" t="s">
        <v>56</v>
      </c>
      <c r="C40" s="1316" t="s">
        <v>46</v>
      </c>
      <c r="D40" s="241">
        <v>680.52</v>
      </c>
      <c r="E40" s="1274" t="s">
        <v>596</v>
      </c>
      <c r="F40" s="241">
        <v>177.8</v>
      </c>
      <c r="G40" s="241" t="s">
        <v>28</v>
      </c>
      <c r="H40" s="1299" t="s">
        <v>349</v>
      </c>
      <c r="I40" s="1417">
        <v>583.46</v>
      </c>
      <c r="J40" s="1448"/>
      <c r="K40" s="241"/>
      <c r="L40" s="1277"/>
      <c r="M40" s="241"/>
      <c r="N40" s="1278"/>
      <c r="O40" s="241"/>
      <c r="P40" s="1278"/>
      <c r="Q40" s="1278"/>
      <c r="R40" s="244"/>
      <c r="S40" s="244"/>
      <c r="T40" s="1277"/>
      <c r="U40" s="1278"/>
      <c r="V40" s="1278"/>
      <c r="W40" s="1279"/>
      <c r="X40" s="1449"/>
      <c r="Y40" s="244"/>
      <c r="Z40" s="244"/>
      <c r="AA40" s="244"/>
      <c r="AB40" s="1277"/>
      <c r="AC40" s="244"/>
      <c r="AD40" s="1277"/>
      <c r="AE40" s="241"/>
      <c r="AF40" s="244"/>
      <c r="AG40" s="1285" t="s">
        <v>681</v>
      </c>
      <c r="AI40" s="1282">
        <f t="shared" si="2"/>
        <v>51.69303580814212</v>
      </c>
      <c r="AJ40" s="1252">
        <v>0.91510000000000002</v>
      </c>
      <c r="AK40" s="1252">
        <v>1.022</v>
      </c>
      <c r="AL40" s="1252">
        <v>6.1000000000000004E-3</v>
      </c>
    </row>
    <row r="41" spans="1:38" ht="18.75" customHeight="1" x14ac:dyDescent="0.2">
      <c r="A41" s="1273">
        <v>27</v>
      </c>
      <c r="B41" s="1274" t="s">
        <v>206</v>
      </c>
      <c r="C41" s="241" t="s">
        <v>46</v>
      </c>
      <c r="D41" s="241">
        <v>660.74</v>
      </c>
      <c r="E41" s="241" t="s">
        <v>436</v>
      </c>
      <c r="F41" s="241">
        <v>177.8</v>
      </c>
      <c r="G41" s="241" t="s">
        <v>28</v>
      </c>
      <c r="H41" s="1421" t="s">
        <v>693</v>
      </c>
      <c r="I41" s="1428">
        <v>544.70000000000005</v>
      </c>
      <c r="J41" s="241">
        <v>85</v>
      </c>
      <c r="K41" s="241"/>
      <c r="L41" s="1277">
        <v>133.6</v>
      </c>
      <c r="M41" s="241"/>
      <c r="N41" s="1278">
        <v>3.6</v>
      </c>
      <c r="O41" s="241"/>
      <c r="P41" s="1278">
        <f t="shared" si="3"/>
        <v>43.037708433784644</v>
      </c>
      <c r="Q41" s="1278">
        <f>J41*22/100</f>
        <v>18.7</v>
      </c>
      <c r="R41" s="244">
        <v>5.0650000000000004</v>
      </c>
      <c r="S41" s="244">
        <v>22.588000000000001</v>
      </c>
      <c r="T41" s="1277">
        <v>25</v>
      </c>
      <c r="U41" s="1278">
        <f t="shared" si="10"/>
        <v>4.9358341559723593</v>
      </c>
      <c r="V41" s="1278">
        <f t="shared" si="4"/>
        <v>77.576589339472278</v>
      </c>
      <c r="W41" s="1279">
        <v>0.2</v>
      </c>
      <c r="X41" s="1457">
        <v>85</v>
      </c>
      <c r="Y41" s="244">
        <f t="shared" ref="Y41:Y47" si="11">IF(S41=0,0,S41/Q41)</f>
        <v>1.2079144385026739</v>
      </c>
      <c r="Z41" s="244">
        <f t="shared" ref="Z41:AB47" si="12">R41*0.988</f>
        <v>5.0042200000000001</v>
      </c>
      <c r="AA41" s="244">
        <f t="shared" si="12"/>
        <v>22.316943999999999</v>
      </c>
      <c r="AB41" s="1277">
        <f t="shared" si="12"/>
        <v>24.7</v>
      </c>
      <c r="AC41" s="244">
        <f t="shared" ref="AC41:AD47" si="13">U41</f>
        <v>4.9358341559723593</v>
      </c>
      <c r="AD41" s="1277">
        <f t="shared" si="13"/>
        <v>77.576589339472278</v>
      </c>
      <c r="AE41" s="241">
        <v>31</v>
      </c>
      <c r="AF41" s="244">
        <f t="shared" si="1"/>
        <v>155.13082</v>
      </c>
      <c r="AG41" s="1281"/>
      <c r="AI41" s="1282">
        <f t="shared" si="2"/>
        <v>43.037708433784644</v>
      </c>
      <c r="AJ41" s="1252">
        <v>0.89929999999999999</v>
      </c>
      <c r="AK41" s="1252">
        <v>1.0169999999999999</v>
      </c>
      <c r="AL41" s="1252">
        <v>7.7303220000000006E-4</v>
      </c>
    </row>
    <row r="42" spans="1:38" ht="28.5" customHeight="1" x14ac:dyDescent="0.2">
      <c r="A42" s="1273">
        <v>28</v>
      </c>
      <c r="B42" s="1317" t="s">
        <v>161</v>
      </c>
      <c r="C42" s="241" t="s">
        <v>46</v>
      </c>
      <c r="D42" s="1428">
        <v>677</v>
      </c>
      <c r="E42" s="1318" t="s">
        <v>178</v>
      </c>
      <c r="F42" s="241">
        <v>177.8</v>
      </c>
      <c r="G42" s="241" t="s">
        <v>28</v>
      </c>
      <c r="H42" s="1299" t="s">
        <v>565</v>
      </c>
      <c r="I42" s="1428">
        <v>553.30999999999995</v>
      </c>
      <c r="J42" s="1428">
        <v>220</v>
      </c>
      <c r="K42" s="1428"/>
      <c r="L42" s="1319">
        <v>431</v>
      </c>
      <c r="M42" s="1428"/>
      <c r="N42" s="1278">
        <v>1.7889999999999999</v>
      </c>
      <c r="O42" s="1428"/>
      <c r="P42" s="1278">
        <f t="shared" si="3"/>
        <v>13.377832232633029</v>
      </c>
      <c r="Q42" s="1278">
        <f>J42*33/100</f>
        <v>72.599999999999994</v>
      </c>
      <c r="R42" s="244">
        <v>8.1150000000000002</v>
      </c>
      <c r="S42" s="244">
        <v>23.204999999999998</v>
      </c>
      <c r="T42" s="1319">
        <v>92.4</v>
      </c>
      <c r="U42" s="1278">
        <f t="shared" si="10"/>
        <v>11.386321626617375</v>
      </c>
      <c r="V42" s="1278">
        <f t="shared" si="4"/>
        <v>65.02908855850032</v>
      </c>
      <c r="W42" s="1279">
        <v>0.2</v>
      </c>
      <c r="X42" s="1410">
        <v>220</v>
      </c>
      <c r="Y42" s="244">
        <f t="shared" si="11"/>
        <v>0.31962809917355373</v>
      </c>
      <c r="Z42" s="244">
        <f t="shared" si="12"/>
        <v>8.0176200000000009</v>
      </c>
      <c r="AA42" s="244">
        <f t="shared" si="12"/>
        <v>22.926539999999999</v>
      </c>
      <c r="AB42" s="1277">
        <f t="shared" si="12"/>
        <v>91.291200000000003</v>
      </c>
      <c r="AC42" s="244">
        <f t="shared" si="13"/>
        <v>11.386321626617375</v>
      </c>
      <c r="AD42" s="1277">
        <f t="shared" si="13"/>
        <v>65.02908855850032</v>
      </c>
      <c r="AE42" s="241">
        <f t="shared" ref="AE42:AE82" si="14">(DAY(EOMONTH($AH$13,0))-AH42)</f>
        <v>31</v>
      </c>
      <c r="AF42" s="244">
        <f t="shared" si="1"/>
        <v>248.54622000000003</v>
      </c>
      <c r="AG42" s="1285"/>
      <c r="AI42" s="1282">
        <f t="shared" si="2"/>
        <v>13.377832232633029</v>
      </c>
      <c r="AJ42" s="1252">
        <v>0.88949999999999996</v>
      </c>
      <c r="AK42" s="1252">
        <v>1.0209999999999999</v>
      </c>
      <c r="AL42" s="1252">
        <v>1.0307096000000001E-3</v>
      </c>
    </row>
    <row r="43" spans="1:38" ht="29.25" customHeight="1" x14ac:dyDescent="0.2">
      <c r="A43" s="1273">
        <v>29</v>
      </c>
      <c r="B43" s="1317" t="s">
        <v>162</v>
      </c>
      <c r="C43" s="241" t="s">
        <v>46</v>
      </c>
      <c r="D43" s="1428">
        <v>676.97</v>
      </c>
      <c r="E43" s="1318" t="s">
        <v>437</v>
      </c>
      <c r="F43" s="241">
        <v>177.8</v>
      </c>
      <c r="G43" s="241" t="s">
        <v>28</v>
      </c>
      <c r="H43" s="1299" t="s">
        <v>588</v>
      </c>
      <c r="I43" s="1428">
        <v>550.59</v>
      </c>
      <c r="J43" s="1373">
        <v>105</v>
      </c>
      <c r="K43" s="1428"/>
      <c r="L43" s="1277">
        <v>409.88</v>
      </c>
      <c r="M43" s="1428"/>
      <c r="N43" s="1278">
        <v>0.4</v>
      </c>
      <c r="O43" s="1428"/>
      <c r="P43" s="1278">
        <f t="shared" si="3"/>
        <v>13.576906488971774</v>
      </c>
      <c r="Q43" s="1278">
        <f>RIGHT(H43,(FIND("T",H43,1)-0))*J43/100</f>
        <v>14.7</v>
      </c>
      <c r="R43" s="244">
        <v>0.68899999999999995</v>
      </c>
      <c r="S43" s="244">
        <v>1.3620000000000001</v>
      </c>
      <c r="T43" s="1319">
        <v>1.27</v>
      </c>
      <c r="U43" s="1278">
        <f t="shared" si="10"/>
        <v>1.8432510885341076</v>
      </c>
      <c r="V43" s="1278">
        <f t="shared" si="4"/>
        <v>49.412628487518361</v>
      </c>
      <c r="W43" s="1279">
        <v>0.2</v>
      </c>
      <c r="X43" s="1452">
        <v>105</v>
      </c>
      <c r="Y43" s="244">
        <f t="shared" si="11"/>
        <v>9.2653061224489811E-2</v>
      </c>
      <c r="Z43" s="244">
        <f t="shared" si="12"/>
        <v>0.68073199999999989</v>
      </c>
      <c r="AA43" s="244">
        <f t="shared" si="12"/>
        <v>1.3456560000000002</v>
      </c>
      <c r="AB43" s="1277">
        <f t="shared" si="12"/>
        <v>1.2547600000000001</v>
      </c>
      <c r="AC43" s="244">
        <f t="shared" si="13"/>
        <v>1.8432510885341076</v>
      </c>
      <c r="AD43" s="1277">
        <f t="shared" si="13"/>
        <v>49.412628487518361</v>
      </c>
      <c r="AE43" s="241">
        <f t="shared" si="14"/>
        <v>31</v>
      </c>
      <c r="AF43" s="244">
        <f t="shared" si="1"/>
        <v>21.102691999999998</v>
      </c>
      <c r="AG43" s="1285"/>
      <c r="AI43" s="1282">
        <f t="shared" si="2"/>
        <v>13.576906488971774</v>
      </c>
      <c r="AJ43" s="1252">
        <v>0.90820000000000001</v>
      </c>
      <c r="AK43" s="1252">
        <v>1.0229999999999999</v>
      </c>
      <c r="AL43" s="1252">
        <v>7.9591010000000008E-4</v>
      </c>
    </row>
    <row r="44" spans="1:38" ht="18.75" customHeight="1" x14ac:dyDescent="0.2">
      <c r="A44" s="1273">
        <v>30</v>
      </c>
      <c r="B44" s="1317" t="s">
        <v>163</v>
      </c>
      <c r="C44" s="241" t="s">
        <v>46</v>
      </c>
      <c r="D44" s="1428">
        <v>579</v>
      </c>
      <c r="E44" s="241" t="s">
        <v>597</v>
      </c>
      <c r="F44" s="241">
        <v>177.8</v>
      </c>
      <c r="G44" s="241" t="s">
        <v>28</v>
      </c>
      <c r="H44" s="1299" t="s">
        <v>685</v>
      </c>
      <c r="I44" s="1428">
        <v>551.54999999999995</v>
      </c>
      <c r="J44" s="1428">
        <v>110</v>
      </c>
      <c r="K44" s="1428"/>
      <c r="L44" s="1319">
        <v>434.84</v>
      </c>
      <c r="M44" s="1428"/>
      <c r="N44" s="1278">
        <v>0.752</v>
      </c>
      <c r="O44" s="1428"/>
      <c r="P44" s="1278">
        <f t="shared" si="3"/>
        <v>11.290331756748612</v>
      </c>
      <c r="Q44" s="1278">
        <f>14*J44/100</f>
        <v>15.4</v>
      </c>
      <c r="R44" s="244">
        <v>3.173</v>
      </c>
      <c r="S44" s="244">
        <v>4.4859999999999998</v>
      </c>
      <c r="T44" s="1319">
        <v>14.827</v>
      </c>
      <c r="U44" s="1278">
        <f t="shared" si="10"/>
        <v>4.6728647967223447</v>
      </c>
      <c r="V44" s="1278">
        <f t="shared" si="4"/>
        <v>29.268836379848413</v>
      </c>
      <c r="W44" s="1279">
        <v>0.2</v>
      </c>
      <c r="X44" s="1410">
        <v>110</v>
      </c>
      <c r="Y44" s="244">
        <f t="shared" si="11"/>
        <v>0.29129870129870128</v>
      </c>
      <c r="Z44" s="244">
        <f t="shared" si="12"/>
        <v>3.1349239999999998</v>
      </c>
      <c r="AA44" s="244">
        <f t="shared" si="12"/>
        <v>4.4321679999999999</v>
      </c>
      <c r="AB44" s="1277">
        <f t="shared" si="12"/>
        <v>14.649075999999999</v>
      </c>
      <c r="AC44" s="244">
        <f t="shared" si="13"/>
        <v>4.6728647967223447</v>
      </c>
      <c r="AD44" s="1277">
        <f t="shared" si="13"/>
        <v>29.268836379848413</v>
      </c>
      <c r="AE44" s="241">
        <f t="shared" si="14"/>
        <v>31</v>
      </c>
      <c r="AF44" s="244">
        <f t="shared" si="1"/>
        <v>97.182643999999996</v>
      </c>
      <c r="AG44" s="1285"/>
      <c r="AI44" s="1282">
        <f t="shared" si="2"/>
        <v>11.290331756748612</v>
      </c>
      <c r="AJ44" s="1252">
        <v>0.89559999999999995</v>
      </c>
      <c r="AK44" s="1252">
        <v>1.012</v>
      </c>
      <c r="AL44" s="1252">
        <v>7.9591010000000008E-4</v>
      </c>
    </row>
    <row r="45" spans="1:38" ht="18.75" customHeight="1" x14ac:dyDescent="0.2">
      <c r="A45" s="1273">
        <v>31</v>
      </c>
      <c r="B45" s="1274" t="s">
        <v>59</v>
      </c>
      <c r="C45" s="241" t="s">
        <v>46</v>
      </c>
      <c r="D45" s="241">
        <v>615</v>
      </c>
      <c r="E45" s="241" t="s">
        <v>454</v>
      </c>
      <c r="F45" s="241">
        <v>177.8</v>
      </c>
      <c r="G45" s="241" t="s">
        <v>28</v>
      </c>
      <c r="H45" s="1299" t="s">
        <v>686</v>
      </c>
      <c r="I45" s="1428">
        <v>539.24</v>
      </c>
      <c r="J45" s="241">
        <v>310</v>
      </c>
      <c r="K45" s="241"/>
      <c r="L45" s="1277">
        <v>439.2</v>
      </c>
      <c r="M45" s="241"/>
      <c r="N45" s="1278">
        <v>3.26</v>
      </c>
      <c r="O45" s="241"/>
      <c r="P45" s="1278">
        <f t="shared" si="3"/>
        <v>12.588553934844082</v>
      </c>
      <c r="Q45" s="1278">
        <f>20*J45/100</f>
        <v>62</v>
      </c>
      <c r="R45" s="244">
        <v>2.9380000000000002</v>
      </c>
      <c r="S45" s="244">
        <v>5.9260000000000002</v>
      </c>
      <c r="T45" s="1277">
        <v>27.163</v>
      </c>
      <c r="U45" s="1278">
        <f t="shared" si="10"/>
        <v>9.2454050374404346</v>
      </c>
      <c r="V45" s="1278">
        <f t="shared" si="4"/>
        <v>50.421869726628422</v>
      </c>
      <c r="W45" s="1279">
        <v>0.2</v>
      </c>
      <c r="X45" s="1316">
        <v>310</v>
      </c>
      <c r="Y45" s="244">
        <f t="shared" si="11"/>
        <v>9.558064516129032E-2</v>
      </c>
      <c r="Z45" s="244">
        <f t="shared" si="12"/>
        <v>2.9027440000000002</v>
      </c>
      <c r="AA45" s="244">
        <f t="shared" si="12"/>
        <v>5.8548879999999999</v>
      </c>
      <c r="AB45" s="1277">
        <f t="shared" si="12"/>
        <v>26.837043999999999</v>
      </c>
      <c r="AC45" s="244">
        <f t="shared" si="13"/>
        <v>9.2454050374404346</v>
      </c>
      <c r="AD45" s="1277">
        <f t="shared" si="13"/>
        <v>50.421869726628422</v>
      </c>
      <c r="AE45" s="241">
        <f t="shared" si="14"/>
        <v>31</v>
      </c>
      <c r="AF45" s="244">
        <f t="shared" si="1"/>
        <v>89.985064000000008</v>
      </c>
      <c r="AG45" s="1285"/>
      <c r="AI45" s="1282">
        <f t="shared" si="2"/>
        <v>12.588553934844082</v>
      </c>
      <c r="AJ45" s="1252">
        <v>0.90149999999999997</v>
      </c>
      <c r="AK45" s="1252">
        <v>1.0169999999999999</v>
      </c>
      <c r="AL45" s="1252">
        <v>7.7447712000000004E-4</v>
      </c>
    </row>
    <row r="46" spans="1:38" ht="18.600000000000001" customHeight="1" x14ac:dyDescent="0.2">
      <c r="A46" s="1273">
        <v>32</v>
      </c>
      <c r="B46" s="1274" t="s">
        <v>207</v>
      </c>
      <c r="C46" s="241" t="s">
        <v>46</v>
      </c>
      <c r="D46" s="241">
        <v>674.39</v>
      </c>
      <c r="E46" s="241" t="s">
        <v>598</v>
      </c>
      <c r="F46" s="241">
        <v>177.8</v>
      </c>
      <c r="G46" s="241" t="s">
        <v>28</v>
      </c>
      <c r="H46" s="1299" t="s">
        <v>466</v>
      </c>
      <c r="I46" s="1428">
        <v>571.19000000000005</v>
      </c>
      <c r="J46" s="241">
        <v>310</v>
      </c>
      <c r="K46" s="241"/>
      <c r="L46" s="1277">
        <v>296.36</v>
      </c>
      <c r="M46" s="241"/>
      <c r="N46" s="1278">
        <v>2.6080000000000001</v>
      </c>
      <c r="O46" s="241"/>
      <c r="P46" s="1278">
        <f t="shared" ref="P46:P80" si="15">AI46</f>
        <v>29.08411196143485</v>
      </c>
      <c r="Q46" s="1278">
        <f t="shared" ref="Q46" si="16">LEFT(H46,(FIND("E",H46,1)-1))*J46/100</f>
        <v>40.299999999999997</v>
      </c>
      <c r="R46" s="244">
        <v>3.956</v>
      </c>
      <c r="S46" s="244">
        <v>15.97</v>
      </c>
      <c r="T46" s="1277">
        <v>15.27</v>
      </c>
      <c r="U46" s="1278">
        <f t="shared" ref="U46:U82" si="17">IF(R46=0,0,T46/R46)</f>
        <v>3.8599595551061676</v>
      </c>
      <c r="V46" s="1278">
        <f t="shared" ref="V46:V51" si="18">(S46-R46)/S46*100</f>
        <v>75.228553537883542</v>
      </c>
      <c r="W46" s="1279">
        <v>0.3</v>
      </c>
      <c r="X46" s="1316">
        <v>310</v>
      </c>
      <c r="Y46" s="244">
        <f t="shared" si="11"/>
        <v>0.39627791563275439</v>
      </c>
      <c r="Z46" s="244">
        <v>5.38</v>
      </c>
      <c r="AA46" s="244">
        <f t="shared" si="12"/>
        <v>15.778360000000001</v>
      </c>
      <c r="AB46" s="1277">
        <f t="shared" si="12"/>
        <v>15.08676</v>
      </c>
      <c r="AC46" s="244">
        <f t="shared" si="13"/>
        <v>3.8599595551061676</v>
      </c>
      <c r="AD46" s="1277">
        <f t="shared" si="13"/>
        <v>75.228553537883542</v>
      </c>
      <c r="AE46" s="241">
        <v>28</v>
      </c>
      <c r="AF46" s="244">
        <f t="shared" si="1"/>
        <v>150.63999999999999</v>
      </c>
      <c r="AG46" s="1285" t="s">
        <v>732</v>
      </c>
      <c r="AI46" s="1282">
        <f t="shared" si="2"/>
        <v>29.08411196143485</v>
      </c>
      <c r="AJ46" s="1252">
        <v>0.90359999999999996</v>
      </c>
      <c r="AK46" s="1252">
        <v>1.024</v>
      </c>
      <c r="AL46" s="1252">
        <v>7.9591010000000008E-4</v>
      </c>
    </row>
    <row r="47" spans="1:38" ht="30" customHeight="1" x14ac:dyDescent="0.2">
      <c r="A47" s="1273">
        <v>33</v>
      </c>
      <c r="B47" s="1274" t="s">
        <v>599</v>
      </c>
      <c r="C47" s="241" t="s">
        <v>46</v>
      </c>
      <c r="D47" s="1278">
        <v>684.01</v>
      </c>
      <c r="E47" s="1428" t="s">
        <v>600</v>
      </c>
      <c r="F47" s="241">
        <v>177.8</v>
      </c>
      <c r="G47" s="241" t="s">
        <v>28</v>
      </c>
      <c r="H47" s="1299" t="s">
        <v>687</v>
      </c>
      <c r="I47" s="1428">
        <v>546.08000000000004</v>
      </c>
      <c r="J47" s="241">
        <v>85</v>
      </c>
      <c r="K47" s="241"/>
      <c r="L47" s="1322">
        <v>164.04</v>
      </c>
      <c r="M47" s="241"/>
      <c r="N47" s="1306">
        <v>3.26</v>
      </c>
      <c r="O47" s="241"/>
      <c r="P47" s="1278">
        <f t="shared" si="15"/>
        <v>40.552326637494254</v>
      </c>
      <c r="Q47" s="1278">
        <v>62</v>
      </c>
      <c r="R47" s="244">
        <v>3.1560000000000001</v>
      </c>
      <c r="S47" s="244">
        <v>16.89</v>
      </c>
      <c r="T47" s="1277">
        <v>34.130000000000003</v>
      </c>
      <c r="U47" s="1278">
        <f t="shared" si="17"/>
        <v>10.814321926489228</v>
      </c>
      <c r="V47" s="1278">
        <f t="shared" si="18"/>
        <v>81.314387211367674</v>
      </c>
      <c r="W47" s="1279">
        <v>0.2</v>
      </c>
      <c r="X47" s="1316">
        <v>85</v>
      </c>
      <c r="Y47" s="244">
        <f t="shared" si="11"/>
        <v>0.27241935483870966</v>
      </c>
      <c r="Z47" s="244">
        <f t="shared" si="12"/>
        <v>3.118128</v>
      </c>
      <c r="AA47" s="244">
        <f t="shared" si="12"/>
        <v>16.68732</v>
      </c>
      <c r="AB47" s="1277">
        <f t="shared" si="12"/>
        <v>33.720440000000004</v>
      </c>
      <c r="AC47" s="244">
        <f t="shared" si="13"/>
        <v>10.814321926489228</v>
      </c>
      <c r="AD47" s="1277">
        <f t="shared" si="13"/>
        <v>81.314387211367674</v>
      </c>
      <c r="AE47" s="241">
        <f t="shared" si="14"/>
        <v>31</v>
      </c>
      <c r="AF47" s="244">
        <f t="shared" si="1"/>
        <v>96.661968000000002</v>
      </c>
      <c r="AG47" s="1285"/>
      <c r="AI47" s="1282">
        <f t="shared" si="2"/>
        <v>40.552326637494254</v>
      </c>
      <c r="AJ47" s="1252">
        <v>0.9204</v>
      </c>
      <c r="AK47" s="1252">
        <v>1.028</v>
      </c>
      <c r="AL47" s="1252">
        <v>7.7447712000000004E-4</v>
      </c>
    </row>
    <row r="48" spans="1:38" ht="18.75" customHeight="1" x14ac:dyDescent="0.2">
      <c r="A48" s="1273">
        <v>34</v>
      </c>
      <c r="B48" s="1274" t="s">
        <v>196</v>
      </c>
      <c r="C48" s="241" t="s">
        <v>46</v>
      </c>
      <c r="D48" s="241">
        <v>641</v>
      </c>
      <c r="E48" s="241" t="s">
        <v>619</v>
      </c>
      <c r="F48" s="241">
        <v>177.8</v>
      </c>
      <c r="G48" s="241" t="s">
        <v>28</v>
      </c>
      <c r="H48" s="241" t="s">
        <v>50</v>
      </c>
      <c r="I48" s="1417">
        <v>607.85</v>
      </c>
      <c r="J48" s="241"/>
      <c r="K48" s="1323">
        <v>58.46</v>
      </c>
      <c r="L48" s="1324"/>
      <c r="M48" s="1325">
        <v>0.3</v>
      </c>
      <c r="N48" s="1326"/>
      <c r="O48" s="241"/>
      <c r="P48" s="1278">
        <f t="shared" si="15"/>
        <v>52.724000149518879</v>
      </c>
      <c r="Q48" s="1278"/>
      <c r="R48" s="244"/>
      <c r="S48" s="244"/>
      <c r="T48" s="1277"/>
      <c r="U48" s="1278"/>
      <c r="V48" s="1278"/>
      <c r="W48" s="1279"/>
      <c r="X48" s="1316"/>
      <c r="Y48" s="244"/>
      <c r="Z48" s="244"/>
      <c r="AA48" s="244"/>
      <c r="AB48" s="1277"/>
      <c r="AC48" s="244"/>
      <c r="AD48" s="1277"/>
      <c r="AE48" s="241"/>
      <c r="AF48" s="244"/>
      <c r="AG48" s="1281" t="s">
        <v>682</v>
      </c>
      <c r="AI48" s="1282">
        <f t="shared" si="2"/>
        <v>52.724000149518879</v>
      </c>
      <c r="AJ48" s="1252">
        <v>0.89590000000000003</v>
      </c>
      <c r="AK48" s="1252">
        <v>1.0169999999999999</v>
      </c>
      <c r="AL48" s="1252">
        <v>1.1667729E-3</v>
      </c>
    </row>
    <row r="49" spans="1:38" ht="18.75" customHeight="1" x14ac:dyDescent="0.2">
      <c r="A49" s="1273">
        <v>35</v>
      </c>
      <c r="B49" s="1274" t="s">
        <v>60</v>
      </c>
      <c r="C49" s="241" t="s">
        <v>46</v>
      </c>
      <c r="D49" s="241">
        <v>641.04999999999995</v>
      </c>
      <c r="E49" s="241" t="s">
        <v>462</v>
      </c>
      <c r="F49" s="241">
        <v>177.8</v>
      </c>
      <c r="G49" s="241" t="s">
        <v>28</v>
      </c>
      <c r="H49" s="1299" t="s">
        <v>592</v>
      </c>
      <c r="I49" s="1417">
        <v>532.98</v>
      </c>
      <c r="J49" s="1448">
        <v>320</v>
      </c>
      <c r="K49" s="241"/>
      <c r="L49" s="1277">
        <v>445.76</v>
      </c>
      <c r="M49" s="241"/>
      <c r="N49" s="1278">
        <v>3.92</v>
      </c>
      <c r="O49" s="241"/>
      <c r="P49" s="1278">
        <f t="shared" si="15"/>
        <v>12.17898012383079</v>
      </c>
      <c r="Q49" s="1278">
        <f>RIGHT(H49,(FIND("T",H49,1)-0))*J49/100</f>
        <v>44.8</v>
      </c>
      <c r="R49" s="244">
        <v>5.0410000000000004</v>
      </c>
      <c r="S49" s="244">
        <v>14.496</v>
      </c>
      <c r="T49" s="1277">
        <v>104.74</v>
      </c>
      <c r="U49" s="1278">
        <f t="shared" si="17"/>
        <v>20.777623487403289</v>
      </c>
      <c r="V49" s="1278">
        <f t="shared" si="18"/>
        <v>65.224889624724057</v>
      </c>
      <c r="W49" s="1279">
        <v>0.2</v>
      </c>
      <c r="X49" s="1449">
        <v>320</v>
      </c>
      <c r="Y49" s="244">
        <f>IF(S49=0,0,S49/Q49)</f>
        <v>0.32357142857142862</v>
      </c>
      <c r="Z49" s="244">
        <f>R49*0.988</f>
        <v>4.9805080000000004</v>
      </c>
      <c r="AA49" s="244">
        <f>S49*0.988</f>
        <v>14.322048000000001</v>
      </c>
      <c r="AB49" s="1277">
        <f>T49*0.988</f>
        <v>103.48312</v>
      </c>
      <c r="AC49" s="244">
        <f>U49</f>
        <v>20.777623487403289</v>
      </c>
      <c r="AD49" s="1277">
        <f>V49</f>
        <v>65.224889624724057</v>
      </c>
      <c r="AE49" s="241">
        <f t="shared" si="14"/>
        <v>31</v>
      </c>
      <c r="AF49" s="244">
        <f t="shared" si="1"/>
        <v>154.39574800000003</v>
      </c>
      <c r="AG49" s="1285"/>
      <c r="AI49" s="1282">
        <f t="shared" si="2"/>
        <v>12.17898012383079</v>
      </c>
      <c r="AJ49" s="1252">
        <v>0.88219999999999998</v>
      </c>
      <c r="AK49" s="1252">
        <v>1.02</v>
      </c>
      <c r="AL49" s="1252">
        <v>1.1667729E-3</v>
      </c>
    </row>
    <row r="50" spans="1:38" ht="18.75" customHeight="1" x14ac:dyDescent="0.2">
      <c r="A50" s="1273">
        <v>36</v>
      </c>
      <c r="B50" s="1274" t="s">
        <v>119</v>
      </c>
      <c r="C50" s="241" t="s">
        <v>404</v>
      </c>
      <c r="D50" s="241">
        <v>654.07000000000005</v>
      </c>
      <c r="E50" s="241" t="s">
        <v>410</v>
      </c>
      <c r="F50" s="241">
        <v>177.8</v>
      </c>
      <c r="G50" s="241" t="s">
        <v>28</v>
      </c>
      <c r="H50" s="241" t="s">
        <v>566</v>
      </c>
      <c r="I50" s="1417">
        <v>500.38</v>
      </c>
      <c r="J50" s="241"/>
      <c r="K50" s="241">
        <v>478</v>
      </c>
      <c r="L50" s="1277"/>
      <c r="M50" s="241">
        <v>0</v>
      </c>
      <c r="N50" s="1278"/>
      <c r="O50" s="241"/>
      <c r="P50" s="1278">
        <f t="shared" si="15"/>
        <v>42.733666838193933</v>
      </c>
      <c r="Q50" s="1278"/>
      <c r="R50" s="244"/>
      <c r="S50" s="244"/>
      <c r="T50" s="1277"/>
      <c r="U50" s="1278"/>
      <c r="V50" s="1278"/>
      <c r="W50" s="1279"/>
      <c r="X50" s="1316"/>
      <c r="Y50" s="244"/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2"/>
        <v>42.733666838193933</v>
      </c>
      <c r="AJ50" s="1252">
        <v>0.8821</v>
      </c>
      <c r="AK50" s="1252">
        <v>1.018</v>
      </c>
      <c r="AL50" s="1252">
        <v>1.0764654000000001E-3</v>
      </c>
    </row>
    <row r="51" spans="1:38" ht="29.25" customHeight="1" x14ac:dyDescent="0.2">
      <c r="A51" s="1273">
        <v>37</v>
      </c>
      <c r="B51" s="1274" t="s">
        <v>118</v>
      </c>
      <c r="C51" s="241" t="s">
        <v>408</v>
      </c>
      <c r="D51" s="241">
        <v>728.77</v>
      </c>
      <c r="E51" s="1417" t="s">
        <v>442</v>
      </c>
      <c r="F51" s="241">
        <v>177.8</v>
      </c>
      <c r="G51" s="241" t="s">
        <v>28</v>
      </c>
      <c r="H51" s="1299" t="s">
        <v>52</v>
      </c>
      <c r="I51" s="1417">
        <v>517.84</v>
      </c>
      <c r="J51" s="241">
        <v>310</v>
      </c>
      <c r="K51" s="241"/>
      <c r="L51" s="1277">
        <v>388.72</v>
      </c>
      <c r="M51" s="241"/>
      <c r="N51" s="1278">
        <v>0.16800000000000001</v>
      </c>
      <c r="O51" s="241"/>
      <c r="P51" s="1278">
        <f t="shared" si="15"/>
        <v>12.569089275250034</v>
      </c>
      <c r="Q51" s="1278">
        <f>LEFT(H51,(FIND("K",H51,1)-1))*J51/100</f>
        <v>68.2</v>
      </c>
      <c r="R51" s="244">
        <v>5.4660000000000002</v>
      </c>
      <c r="S51" s="244">
        <v>17.815999999999999</v>
      </c>
      <c r="T51" s="1277">
        <v>21.164999999999999</v>
      </c>
      <c r="U51" s="1278">
        <f t="shared" si="17"/>
        <v>3.87211855104281</v>
      </c>
      <c r="V51" s="1278">
        <f t="shared" si="18"/>
        <v>69.319712617871559</v>
      </c>
      <c r="W51" s="1279">
        <v>0.2</v>
      </c>
      <c r="X51" s="1316">
        <v>310</v>
      </c>
      <c r="Y51" s="244">
        <f>IF(S51=0,0,S51/Q51)</f>
        <v>0.2612316715542522</v>
      </c>
      <c r="Z51" s="244">
        <f>R51*0.988</f>
        <v>5.4004080000000005</v>
      </c>
      <c r="AA51" s="244">
        <f>S51*0.988</f>
        <v>17.602207999999997</v>
      </c>
      <c r="AB51" s="1277">
        <f>T51*0.988</f>
        <v>20.911020000000001</v>
      </c>
      <c r="AC51" s="244">
        <f>U51</f>
        <v>3.87211855104281</v>
      </c>
      <c r="AD51" s="1277">
        <f>V51</f>
        <v>69.319712617871559</v>
      </c>
      <c r="AE51" s="241">
        <f t="shared" si="14"/>
        <v>31</v>
      </c>
      <c r="AF51" s="244">
        <f t="shared" si="1"/>
        <v>167.41264800000002</v>
      </c>
      <c r="AG51" s="1285"/>
      <c r="AI51" s="1282">
        <f t="shared" si="2"/>
        <v>12.569089275250034</v>
      </c>
      <c r="AJ51" s="1252">
        <v>0.91839999999999999</v>
      </c>
      <c r="AK51" s="1252">
        <v>1.0209999999999999</v>
      </c>
      <c r="AL51" s="1252">
        <v>8.2480850000000007E-4</v>
      </c>
    </row>
    <row r="52" spans="1:38" ht="18.75" customHeight="1" x14ac:dyDescent="0.2">
      <c r="A52" s="1273">
        <v>38</v>
      </c>
      <c r="B52" s="1274" t="s">
        <v>117</v>
      </c>
      <c r="C52" s="241" t="s">
        <v>46</v>
      </c>
      <c r="D52" s="241">
        <v>671.45</v>
      </c>
      <c r="E52" s="241" t="s">
        <v>554</v>
      </c>
      <c r="F52" s="241">
        <v>177.8</v>
      </c>
      <c r="G52" s="241" t="s">
        <v>28</v>
      </c>
      <c r="H52" s="1299" t="s">
        <v>588</v>
      </c>
      <c r="I52" s="1417">
        <v>564.6500000000002</v>
      </c>
      <c r="J52" s="1448"/>
      <c r="K52" s="241"/>
      <c r="L52" s="1277"/>
      <c r="M52" s="241">
        <v>3.2</v>
      </c>
      <c r="N52" s="1278"/>
      <c r="O52" s="241"/>
      <c r="P52" s="1278">
        <f t="shared" si="15"/>
        <v>49.906249621021495</v>
      </c>
      <c r="Q52" s="1278"/>
      <c r="R52" s="244"/>
      <c r="S52" s="244"/>
      <c r="T52" s="1277"/>
      <c r="U52" s="1278"/>
      <c r="V52" s="1278"/>
      <c r="W52" s="1279"/>
      <c r="X52" s="1449"/>
      <c r="Y52" s="244"/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49.906249621021495</v>
      </c>
      <c r="AJ52" s="1252">
        <v>0.91290000000000004</v>
      </c>
      <c r="AK52" s="1252">
        <v>1.0189999999999999</v>
      </c>
      <c r="AL52" s="1252">
        <v>8.1276750000000011E-4</v>
      </c>
    </row>
    <row r="53" spans="1:38" ht="18.75" customHeight="1" x14ac:dyDescent="0.2">
      <c r="A53" s="1273">
        <v>39</v>
      </c>
      <c r="B53" s="1473" t="s">
        <v>115</v>
      </c>
      <c r="C53" s="1275" t="s">
        <v>46</v>
      </c>
      <c r="D53" s="1275">
        <v>580.71</v>
      </c>
      <c r="E53" s="1275" t="s">
        <v>286</v>
      </c>
      <c r="F53" s="241">
        <v>177.8</v>
      </c>
      <c r="G53" s="1275" t="s">
        <v>28</v>
      </c>
      <c r="H53" s="1474" t="s">
        <v>685</v>
      </c>
      <c r="I53" s="1475">
        <v>566.44000000000005</v>
      </c>
      <c r="J53" s="1275">
        <v>110</v>
      </c>
      <c r="K53" s="1275"/>
      <c r="L53" s="1323">
        <v>433.12</v>
      </c>
      <c r="M53" s="1275"/>
      <c r="N53" s="1278">
        <v>2.3239999999999998</v>
      </c>
      <c r="O53" s="1275"/>
      <c r="P53" s="1278">
        <f t="shared" si="15"/>
        <v>14.894353480240676</v>
      </c>
      <c r="Q53" s="1278">
        <f>J53*14/100</f>
        <v>15.4</v>
      </c>
      <c r="R53" s="1459">
        <v>5.6150000000000002</v>
      </c>
      <c r="S53" s="244">
        <v>9.6319999999999997</v>
      </c>
      <c r="T53" s="1323">
        <v>19.635000000000002</v>
      </c>
      <c r="U53" s="1278">
        <f t="shared" si="17"/>
        <v>3.4968833481745327</v>
      </c>
      <c r="V53" s="1278">
        <f t="shared" ref="V53:V82" si="19">(S53-R53)/S53*100</f>
        <v>41.704734219269099</v>
      </c>
      <c r="W53" s="1460">
        <v>0.2</v>
      </c>
      <c r="X53" s="1453">
        <v>110</v>
      </c>
      <c r="Y53" s="244">
        <f>IF(S53=0,0,S53/Q53)</f>
        <v>0.62545454545454537</v>
      </c>
      <c r="Z53" s="244">
        <f t="shared" ref="Z53:AB57" si="20">R53*0.988</f>
        <v>5.5476200000000002</v>
      </c>
      <c r="AA53" s="244">
        <f t="shared" si="20"/>
        <v>9.5164159999999995</v>
      </c>
      <c r="AB53" s="1277">
        <f t="shared" si="20"/>
        <v>19.399380000000001</v>
      </c>
      <c r="AC53" s="1459">
        <f t="shared" ref="AC53:AD55" si="21">U53</f>
        <v>3.4968833481745327</v>
      </c>
      <c r="AD53" s="1277">
        <f t="shared" si="21"/>
        <v>41.704734219269099</v>
      </c>
      <c r="AE53" s="241">
        <f t="shared" si="14"/>
        <v>31</v>
      </c>
      <c r="AF53" s="1459">
        <f t="shared" si="1"/>
        <v>171.97622000000001</v>
      </c>
      <c r="AG53" s="1285"/>
      <c r="AI53" s="1282">
        <f t="shared" si="2"/>
        <v>14.894353480240676</v>
      </c>
      <c r="AJ53" s="1252">
        <v>0.9083</v>
      </c>
      <c r="AK53" s="1252">
        <v>1.018</v>
      </c>
      <c r="AL53" s="1252">
        <v>6.1000000000000004E-3</v>
      </c>
    </row>
    <row r="54" spans="1:38" ht="18.75" customHeight="1" x14ac:dyDescent="0.2">
      <c r="A54" s="1273">
        <v>40</v>
      </c>
      <c r="B54" s="1274" t="s">
        <v>116</v>
      </c>
      <c r="C54" s="241" t="s">
        <v>46</v>
      </c>
      <c r="D54" s="241">
        <v>681.27</v>
      </c>
      <c r="E54" s="241" t="s">
        <v>601</v>
      </c>
      <c r="F54" s="241">
        <v>177.8</v>
      </c>
      <c r="G54" s="241" t="s">
        <v>28</v>
      </c>
      <c r="H54" s="241" t="s">
        <v>687</v>
      </c>
      <c r="I54" s="1462">
        <v>589.64</v>
      </c>
      <c r="J54" s="1448">
        <v>100</v>
      </c>
      <c r="K54" s="241"/>
      <c r="L54" s="1277">
        <v>328.36</v>
      </c>
      <c r="M54" s="241"/>
      <c r="N54" s="1278">
        <v>3.464</v>
      </c>
      <c r="O54" s="241"/>
      <c r="P54" s="1278">
        <f t="shared" si="15"/>
        <v>29.058083791594122</v>
      </c>
      <c r="Q54" s="1325">
        <f>J54*20/100</f>
        <v>20</v>
      </c>
      <c r="R54" s="244">
        <v>3.1110000000000002</v>
      </c>
      <c r="S54" s="244">
        <v>22.518999999999998</v>
      </c>
      <c r="T54" s="1277">
        <v>16.34</v>
      </c>
      <c r="U54" s="1278">
        <f t="shared" si="17"/>
        <v>5.2523304403728703</v>
      </c>
      <c r="V54" s="1278">
        <f t="shared" si="19"/>
        <v>86.184999333895817</v>
      </c>
      <c r="W54" s="1279">
        <v>0.2</v>
      </c>
      <c r="X54" s="1449">
        <v>100</v>
      </c>
      <c r="Y54" s="244">
        <f>IF(S54=0,0,S54/Q54)</f>
        <v>1.12595</v>
      </c>
      <c r="Z54" s="244">
        <f t="shared" si="20"/>
        <v>3.0736680000000001</v>
      </c>
      <c r="AA54" s="244">
        <f t="shared" si="20"/>
        <v>22.248771999999999</v>
      </c>
      <c r="AB54" s="1277">
        <f t="shared" si="20"/>
        <v>16.143920000000001</v>
      </c>
      <c r="AC54" s="244">
        <f t="shared" si="21"/>
        <v>5.2523304403728703</v>
      </c>
      <c r="AD54" s="1277">
        <f t="shared" si="21"/>
        <v>86.184999333895817</v>
      </c>
      <c r="AE54" s="241">
        <f t="shared" si="14"/>
        <v>31</v>
      </c>
      <c r="AF54" s="244">
        <f t="shared" si="1"/>
        <v>95.283708000000004</v>
      </c>
      <c r="AG54" s="1285"/>
      <c r="AI54" s="1282">
        <f t="shared" si="2"/>
        <v>29.058083791594122</v>
      </c>
      <c r="AJ54" s="1252">
        <v>0.91739999999999999</v>
      </c>
      <c r="AK54" s="1252">
        <v>1.018</v>
      </c>
      <c r="AL54" s="1252">
        <v>6.1000000000000004E-3</v>
      </c>
    </row>
    <row r="55" spans="1:38" ht="18.75" customHeight="1" x14ac:dyDescent="0.2">
      <c r="A55" s="1273">
        <v>41</v>
      </c>
      <c r="B55" s="1274" t="s">
        <v>120</v>
      </c>
      <c r="C55" s="241" t="s">
        <v>46</v>
      </c>
      <c r="D55" s="241">
        <v>669.48</v>
      </c>
      <c r="E55" s="241" t="s">
        <v>285</v>
      </c>
      <c r="F55" s="241">
        <v>177.8</v>
      </c>
      <c r="G55" s="241" t="s">
        <v>28</v>
      </c>
      <c r="H55" s="1422" t="s">
        <v>563</v>
      </c>
      <c r="I55" s="1428">
        <v>560.83000000000004</v>
      </c>
      <c r="J55" s="241">
        <v>85</v>
      </c>
      <c r="K55" s="241"/>
      <c r="L55" s="1277">
        <v>412.3</v>
      </c>
      <c r="M55" s="241"/>
      <c r="N55" s="1278">
        <v>0.65</v>
      </c>
      <c r="O55" s="241"/>
      <c r="P55" s="1278">
        <f t="shared" si="15"/>
        <v>15.096151328367483</v>
      </c>
      <c r="Q55" s="1325">
        <f>J55*20/100</f>
        <v>17</v>
      </c>
      <c r="R55" s="244">
        <v>3.4729999999999999</v>
      </c>
      <c r="S55" s="244">
        <v>11.648999999999999</v>
      </c>
      <c r="T55" s="1277">
        <v>2.613</v>
      </c>
      <c r="U55" s="1278">
        <f t="shared" si="17"/>
        <v>0.7523754678951915</v>
      </c>
      <c r="V55" s="1278">
        <f t="shared" si="19"/>
        <v>70.186282084299066</v>
      </c>
      <c r="W55" s="1279">
        <v>0.2</v>
      </c>
      <c r="X55" s="1457">
        <v>85</v>
      </c>
      <c r="Y55" s="244">
        <f>IF(S55=0,0,S55/Q55)</f>
        <v>0.68523529411764705</v>
      </c>
      <c r="Z55" s="244">
        <f t="shared" si="20"/>
        <v>3.431324</v>
      </c>
      <c r="AA55" s="244">
        <f t="shared" si="20"/>
        <v>11.509212</v>
      </c>
      <c r="AB55" s="1277">
        <f t="shared" si="20"/>
        <v>2.5816439999999998</v>
      </c>
      <c r="AC55" s="244">
        <f t="shared" si="21"/>
        <v>0.7523754678951915</v>
      </c>
      <c r="AD55" s="1277">
        <f t="shared" si="21"/>
        <v>70.186282084299066</v>
      </c>
      <c r="AE55" s="241">
        <f t="shared" si="14"/>
        <v>31</v>
      </c>
      <c r="AF55" s="244">
        <f t="shared" si="1"/>
        <v>106.371044</v>
      </c>
      <c r="AG55" s="1281"/>
      <c r="AI55" s="1282">
        <f t="shared" si="2"/>
        <v>15.096151328367483</v>
      </c>
      <c r="AJ55" s="1252">
        <v>0.91620000000000001</v>
      </c>
      <c r="AK55" s="1252">
        <v>1.018</v>
      </c>
      <c r="AL55" s="1252">
        <v>6.1000000000000004E-3</v>
      </c>
    </row>
    <row r="56" spans="1:38" ht="18.75" customHeight="1" x14ac:dyDescent="0.2">
      <c r="A56" s="1273">
        <v>42</v>
      </c>
      <c r="B56" s="1274" t="s">
        <v>114</v>
      </c>
      <c r="C56" s="241" t="s">
        <v>46</v>
      </c>
      <c r="D56" s="241">
        <v>584.25</v>
      </c>
      <c r="E56" s="241" t="s">
        <v>602</v>
      </c>
      <c r="F56" s="241">
        <v>177.8</v>
      </c>
      <c r="G56" s="241" t="s">
        <v>28</v>
      </c>
      <c r="H56" s="1299" t="s">
        <v>540</v>
      </c>
      <c r="I56" s="1428">
        <v>556.55999999999995</v>
      </c>
      <c r="J56" s="241">
        <v>155</v>
      </c>
      <c r="K56" s="241"/>
      <c r="L56" s="1277">
        <v>192.08</v>
      </c>
      <c r="M56" s="241"/>
      <c r="N56" s="1278">
        <v>2.7440000000000002</v>
      </c>
      <c r="O56" s="241"/>
      <c r="P56" s="1278">
        <f t="shared" si="15"/>
        <v>38.221429099860394</v>
      </c>
      <c r="Q56" s="1278">
        <f>J56*7/100</f>
        <v>10.85</v>
      </c>
      <c r="R56" s="244">
        <v>4.9390000000000001</v>
      </c>
      <c r="S56" s="244">
        <v>28.834</v>
      </c>
      <c r="T56" s="1277">
        <v>6.875</v>
      </c>
      <c r="U56" s="1278">
        <f t="shared" si="17"/>
        <v>1.3919821826280623</v>
      </c>
      <c r="V56" s="1278">
        <f t="shared" si="19"/>
        <v>82.870916279392375</v>
      </c>
      <c r="W56" s="1279">
        <v>0.2</v>
      </c>
      <c r="X56" s="1316">
        <v>155</v>
      </c>
      <c r="Y56" s="244">
        <f>IF(S56=0,0,S56/Q56)</f>
        <v>2.6575115207373274</v>
      </c>
      <c r="Z56" s="244">
        <f t="shared" si="20"/>
        <v>4.8797319999999997</v>
      </c>
      <c r="AA56" s="244">
        <f t="shared" si="20"/>
        <v>28.487991999999998</v>
      </c>
      <c r="AB56" s="1277">
        <f t="shared" si="20"/>
        <v>6.7924999999999995</v>
      </c>
      <c r="AC56" s="244">
        <f>U56</f>
        <v>1.3919821826280623</v>
      </c>
      <c r="AD56" s="1277">
        <v>0</v>
      </c>
      <c r="AE56" s="241">
        <f t="shared" si="14"/>
        <v>31</v>
      </c>
      <c r="AF56" s="244">
        <f t="shared" si="1"/>
        <v>151.271692</v>
      </c>
      <c r="AG56" s="1281"/>
      <c r="AI56" s="1282">
        <f t="shared" si="2"/>
        <v>38.221429099860394</v>
      </c>
      <c r="AJ56" s="1252">
        <v>0.92549999999999999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43</v>
      </c>
      <c r="B57" s="1274" t="s">
        <v>106</v>
      </c>
      <c r="C57" s="241" t="s">
        <v>46</v>
      </c>
      <c r="D57" s="241">
        <v>582.16</v>
      </c>
      <c r="E57" s="241" t="s">
        <v>691</v>
      </c>
      <c r="F57" s="241">
        <v>177.8</v>
      </c>
      <c r="G57" s="241" t="s">
        <v>28</v>
      </c>
      <c r="H57" s="1299" t="s">
        <v>685</v>
      </c>
      <c r="I57" s="1428">
        <v>549.65</v>
      </c>
      <c r="J57" s="241">
        <v>125</v>
      </c>
      <c r="K57" s="241"/>
      <c r="L57" s="1277">
        <v>435.76</v>
      </c>
      <c r="M57" s="241"/>
      <c r="N57" s="1278">
        <v>1.1000000000000001</v>
      </c>
      <c r="O57" s="241"/>
      <c r="P57" s="1278">
        <f t="shared" si="15"/>
        <v>12.255691336538824</v>
      </c>
      <c r="Q57" s="1278">
        <f>14*J57/100</f>
        <v>17.5</v>
      </c>
      <c r="R57" s="244">
        <v>1.5580000000000001</v>
      </c>
      <c r="S57" s="244">
        <v>6.5110000000000001</v>
      </c>
      <c r="T57" s="1277">
        <v>11.193</v>
      </c>
      <c r="U57" s="1278">
        <f t="shared" si="17"/>
        <v>7.1842105263157894</v>
      </c>
      <c r="V57" s="1278">
        <f t="shared" si="19"/>
        <v>76.071264014744273</v>
      </c>
      <c r="W57" s="1279">
        <v>0.2</v>
      </c>
      <c r="X57" s="1316">
        <v>125</v>
      </c>
      <c r="Y57" s="244">
        <f>IF(S57=0,0,S57/Q57)</f>
        <v>0.37205714285714286</v>
      </c>
      <c r="Z57" s="244">
        <f t="shared" si="20"/>
        <v>1.539304</v>
      </c>
      <c r="AA57" s="244">
        <f t="shared" si="20"/>
        <v>6.432868</v>
      </c>
      <c r="AB57" s="1277">
        <f t="shared" si="20"/>
        <v>11.058684</v>
      </c>
      <c r="AC57" s="244">
        <f>U57</f>
        <v>7.1842105263157894</v>
      </c>
      <c r="AD57" s="1277">
        <f>V57</f>
        <v>76.071264014744273</v>
      </c>
      <c r="AE57" s="241">
        <f t="shared" si="14"/>
        <v>31</v>
      </c>
      <c r="AF57" s="244">
        <f t="shared" si="1"/>
        <v>47.718423999999999</v>
      </c>
      <c r="AG57" s="1281"/>
      <c r="AI57" s="1282">
        <f t="shared" si="2"/>
        <v>12.255691336538824</v>
      </c>
      <c r="AJ57" s="1252">
        <v>0.89419999999999999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44</v>
      </c>
      <c r="B58" s="1274" t="s">
        <v>105</v>
      </c>
      <c r="C58" s="241" t="s">
        <v>46</v>
      </c>
      <c r="D58" s="241">
        <v>565</v>
      </c>
      <c r="E58" s="241" t="s">
        <v>604</v>
      </c>
      <c r="F58" s="241">
        <v>177.8</v>
      </c>
      <c r="G58" s="241" t="s">
        <v>28</v>
      </c>
      <c r="H58" s="241" t="s">
        <v>48</v>
      </c>
      <c r="I58" s="1428">
        <v>506.61000000000013</v>
      </c>
      <c r="J58" s="241"/>
      <c r="K58" s="241"/>
      <c r="L58" s="1319"/>
      <c r="M58" s="1278"/>
      <c r="N58" s="1278"/>
      <c r="O58" s="241"/>
      <c r="P58" s="1278">
        <f t="shared" si="15"/>
        <v>44.055405582235394</v>
      </c>
      <c r="Q58" s="1278"/>
      <c r="R58" s="244"/>
      <c r="S58" s="244"/>
      <c r="T58" s="1277"/>
      <c r="U58" s="1278"/>
      <c r="V58" s="1278"/>
      <c r="W58" s="1279"/>
      <c r="X58" s="1316"/>
      <c r="Y58" s="244"/>
      <c r="Z58" s="244"/>
      <c r="AA58" s="244"/>
      <c r="AB58" s="1277"/>
      <c r="AC58" s="244"/>
      <c r="AD58" s="1277"/>
      <c r="AE58" s="241"/>
      <c r="AF58" s="244"/>
      <c r="AG58" s="1281" t="s">
        <v>682</v>
      </c>
      <c r="AI58" s="1282">
        <f t="shared" si="2"/>
        <v>44.055405582235394</v>
      </c>
      <c r="AJ58" s="1252">
        <v>0.8982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45</v>
      </c>
      <c r="B59" s="1274" t="s">
        <v>104</v>
      </c>
      <c r="C59" s="241" t="s">
        <v>580</v>
      </c>
      <c r="D59" s="241">
        <v>705.7</v>
      </c>
      <c r="E59" s="1428" t="s">
        <v>692</v>
      </c>
      <c r="F59" s="241">
        <v>177.8</v>
      </c>
      <c r="G59" s="241" t="s">
        <v>28</v>
      </c>
      <c r="H59" s="1299" t="s">
        <v>466</v>
      </c>
      <c r="I59" s="1428">
        <v>534.71</v>
      </c>
      <c r="J59" s="241">
        <v>260</v>
      </c>
      <c r="K59" s="241"/>
      <c r="L59" s="1277">
        <v>29.66</v>
      </c>
      <c r="M59" s="241">
        <v>0</v>
      </c>
      <c r="N59" s="1278">
        <v>4.2</v>
      </c>
      <c r="O59" s="241"/>
      <c r="P59" s="1278">
        <f t="shared" si="15"/>
        <v>50.775795875443997</v>
      </c>
      <c r="Q59" s="1278">
        <f>J59*13/100</f>
        <v>33.799999999999997</v>
      </c>
      <c r="R59" s="244">
        <v>2.1429999999999998</v>
      </c>
      <c r="S59" s="244">
        <v>3.4990000000000001</v>
      </c>
      <c r="T59" s="1277">
        <v>21.722000000000001</v>
      </c>
      <c r="U59" s="1278">
        <f>IF(R59=0,0,T59/R59)</f>
        <v>10.136257582827813</v>
      </c>
      <c r="V59" s="1278">
        <f t="shared" si="19"/>
        <v>38.753929694198355</v>
      </c>
      <c r="W59" s="1279">
        <v>0.2</v>
      </c>
      <c r="X59" s="1316">
        <v>260</v>
      </c>
      <c r="Y59" s="244">
        <f t="shared" ref="Y59:Y71" si="22">IF(S59=0,0,S59/Q59)</f>
        <v>0.10352071005917161</v>
      </c>
      <c r="Z59" s="244">
        <f t="shared" ref="Z59:AB71" si="23">R59*0.988</f>
        <v>2.1172839999999997</v>
      </c>
      <c r="AA59" s="244">
        <f t="shared" si="23"/>
        <v>3.4570120000000002</v>
      </c>
      <c r="AB59" s="1277">
        <f t="shared" si="23"/>
        <v>21.461335999999999</v>
      </c>
      <c r="AC59" s="244">
        <f t="shared" ref="AC59:AD65" si="24">U59</f>
        <v>10.136257582827813</v>
      </c>
      <c r="AD59" s="1277">
        <f t="shared" si="24"/>
        <v>38.753929694198355</v>
      </c>
      <c r="AE59" s="241">
        <f t="shared" si="14"/>
        <v>31</v>
      </c>
      <c r="AF59" s="244">
        <f t="shared" si="1"/>
        <v>65.635803999999993</v>
      </c>
      <c r="AG59" s="1281"/>
      <c r="AI59" s="1282">
        <f t="shared" si="2"/>
        <v>50.775795875443997</v>
      </c>
      <c r="AJ59" s="1252">
        <v>0.91049999999999998</v>
      </c>
      <c r="AK59" s="1252">
        <v>1.018</v>
      </c>
      <c r="AL59" s="1252">
        <v>6.1000000000000004E-3</v>
      </c>
    </row>
    <row r="60" spans="1:38" ht="18.600000000000001" customHeight="1" x14ac:dyDescent="0.25">
      <c r="A60" s="1273">
        <v>46</v>
      </c>
      <c r="B60" s="1317" t="s">
        <v>158</v>
      </c>
      <c r="C60" s="241" t="s">
        <v>46</v>
      </c>
      <c r="D60" s="1428">
        <v>674.45</v>
      </c>
      <c r="E60" s="1428" t="s">
        <v>232</v>
      </c>
      <c r="F60" s="241">
        <v>177.8</v>
      </c>
      <c r="G60" s="241" t="s">
        <v>28</v>
      </c>
      <c r="H60" s="1299" t="s">
        <v>464</v>
      </c>
      <c r="I60" s="1428">
        <v>542.6</v>
      </c>
      <c r="J60" s="1428">
        <v>130</v>
      </c>
      <c r="K60" s="1428"/>
      <c r="L60" s="1319">
        <v>460.44</v>
      </c>
      <c r="M60" s="1428"/>
      <c r="N60" s="1278">
        <v>2.972</v>
      </c>
      <c r="O60" s="1428"/>
      <c r="P60" s="1278">
        <f t="shared" si="15"/>
        <v>10.586188461063022</v>
      </c>
      <c r="Q60" s="1278">
        <f>RIGHT(H60,(FIND("T",H60,1)-0))*J60/100</f>
        <v>18.2</v>
      </c>
      <c r="R60" s="244">
        <v>6.9589999999999996</v>
      </c>
      <c r="S60" s="244">
        <v>9.6359999999999992</v>
      </c>
      <c r="T60" s="1319">
        <v>48.39</v>
      </c>
      <c r="U60" s="1278">
        <f t="shared" si="17"/>
        <v>6.9535852852421334</v>
      </c>
      <c r="V60" s="1278">
        <f t="shared" si="19"/>
        <v>27.781237027812367</v>
      </c>
      <c r="W60" s="1279">
        <v>0.2</v>
      </c>
      <c r="X60" s="1410">
        <v>130</v>
      </c>
      <c r="Y60" s="244">
        <f t="shared" si="22"/>
        <v>0.52945054945054948</v>
      </c>
      <c r="Z60" s="244">
        <f t="shared" si="23"/>
        <v>6.8754919999999995</v>
      </c>
      <c r="AA60" s="244">
        <f t="shared" si="23"/>
        <v>9.5203679999999995</v>
      </c>
      <c r="AB60" s="1277">
        <f t="shared" si="23"/>
        <v>47.80932</v>
      </c>
      <c r="AC60" s="244">
        <f t="shared" si="24"/>
        <v>6.9535852852421334</v>
      </c>
      <c r="AD60" s="1277">
        <f t="shared" si="24"/>
        <v>27.781237027812367</v>
      </c>
      <c r="AE60" s="241">
        <f t="shared" si="14"/>
        <v>31</v>
      </c>
      <c r="AF60" s="244">
        <f>Z60*AE60</f>
        <v>213.14025199999998</v>
      </c>
      <c r="AG60" s="1342"/>
      <c r="AI60" s="1282">
        <f t="shared" si="2"/>
        <v>10.586188461063022</v>
      </c>
      <c r="AJ60" s="1252">
        <v>0.88649999999999995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47</v>
      </c>
      <c r="B61" s="1274" t="s">
        <v>164</v>
      </c>
      <c r="C61" s="241" t="s">
        <v>46</v>
      </c>
      <c r="D61" s="1428">
        <v>678.47</v>
      </c>
      <c r="E61" s="1428" t="s">
        <v>606</v>
      </c>
      <c r="F61" s="241">
        <v>177.8</v>
      </c>
      <c r="G61" s="241" t="s">
        <v>28</v>
      </c>
      <c r="H61" s="1299" t="s">
        <v>466</v>
      </c>
      <c r="I61" s="1428">
        <v>574.4</v>
      </c>
      <c r="J61" s="1373">
        <v>145</v>
      </c>
      <c r="K61" s="1428"/>
      <c r="L61" s="1319">
        <v>147.44</v>
      </c>
      <c r="M61" s="1428"/>
      <c r="N61" s="1278">
        <v>0</v>
      </c>
      <c r="O61" s="1428"/>
      <c r="P61" s="1278">
        <f t="shared" si="15"/>
        <v>41.646895298133529</v>
      </c>
      <c r="Q61" s="1278">
        <f>LEFT(H61,(FIND("E",H61,1)-1))*J61/100</f>
        <v>18.850000000000001</v>
      </c>
      <c r="R61" s="244">
        <v>3.07</v>
      </c>
      <c r="S61" s="244">
        <v>23.029</v>
      </c>
      <c r="T61" s="1277">
        <v>29.594999999999999</v>
      </c>
      <c r="U61" s="1278">
        <f t="shared" si="17"/>
        <v>9.6400651465798042</v>
      </c>
      <c r="V61" s="1278">
        <f t="shared" si="19"/>
        <v>86.668982587172692</v>
      </c>
      <c r="W61" s="1279">
        <v>0.2</v>
      </c>
      <c r="X61" s="1452">
        <v>145</v>
      </c>
      <c r="Y61" s="244">
        <f t="shared" si="22"/>
        <v>1.2216976127320953</v>
      </c>
      <c r="Z61" s="244">
        <f t="shared" si="23"/>
        <v>3.0331599999999996</v>
      </c>
      <c r="AA61" s="244">
        <f t="shared" si="23"/>
        <v>22.752652000000001</v>
      </c>
      <c r="AB61" s="1277">
        <f t="shared" si="23"/>
        <v>29.23986</v>
      </c>
      <c r="AC61" s="244">
        <f t="shared" si="24"/>
        <v>9.6400651465798042</v>
      </c>
      <c r="AD61" s="1277">
        <f t="shared" si="24"/>
        <v>86.668982587172692</v>
      </c>
      <c r="AE61" s="241">
        <f t="shared" si="14"/>
        <v>31</v>
      </c>
      <c r="AF61" s="244">
        <f t="shared" ref="AF61:AF71" si="25">Z61*AE61</f>
        <v>94.027959999999993</v>
      </c>
      <c r="AG61" s="1281"/>
      <c r="AI61" s="1282">
        <f t="shared" si="2"/>
        <v>41.646895298133529</v>
      </c>
      <c r="AJ61" s="1252">
        <v>0.9234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48</v>
      </c>
      <c r="B62" s="1274" t="s">
        <v>61</v>
      </c>
      <c r="C62" s="241" t="s">
        <v>46</v>
      </c>
      <c r="D62" s="241">
        <v>667.18</v>
      </c>
      <c r="E62" s="241" t="s">
        <v>96</v>
      </c>
      <c r="F62" s="241">
        <v>177.8</v>
      </c>
      <c r="G62" s="241" t="s">
        <v>28</v>
      </c>
      <c r="H62" s="1299" t="s">
        <v>693</v>
      </c>
      <c r="I62" s="1428">
        <v>541.12</v>
      </c>
      <c r="J62" s="241">
        <v>175</v>
      </c>
      <c r="K62" s="241"/>
      <c r="L62" s="1277">
        <v>441.32</v>
      </c>
      <c r="M62" s="241"/>
      <c r="N62" s="1278">
        <v>4.0119999999999996</v>
      </c>
      <c r="O62" s="241"/>
      <c r="P62" s="1278">
        <f t="shared" si="15"/>
        <v>13.609637568232809</v>
      </c>
      <c r="Q62" s="1278">
        <f>20*J62/100</f>
        <v>35</v>
      </c>
      <c r="R62" s="244">
        <v>8.6549999999999994</v>
      </c>
      <c r="S62" s="244">
        <v>21.556999999999999</v>
      </c>
      <c r="T62" s="1277">
        <v>60.44</v>
      </c>
      <c r="U62" s="1278">
        <f t="shared" si="17"/>
        <v>6.9832466782206817</v>
      </c>
      <c r="V62" s="1278">
        <f t="shared" si="19"/>
        <v>59.850628566127014</v>
      </c>
      <c r="W62" s="1279">
        <v>0.2</v>
      </c>
      <c r="X62" s="1316">
        <v>175</v>
      </c>
      <c r="Y62" s="244">
        <f t="shared" si="22"/>
        <v>0.61591428571428564</v>
      </c>
      <c r="Z62" s="244">
        <f t="shared" si="23"/>
        <v>8.5511399999999984</v>
      </c>
      <c r="AA62" s="244">
        <f t="shared" si="23"/>
        <v>21.298316</v>
      </c>
      <c r="AB62" s="1277">
        <f t="shared" si="23"/>
        <v>59.71472</v>
      </c>
      <c r="AC62" s="244">
        <f t="shared" si="24"/>
        <v>6.9832466782206817</v>
      </c>
      <c r="AD62" s="1277">
        <f t="shared" si="24"/>
        <v>59.850628566127014</v>
      </c>
      <c r="AE62" s="241">
        <f t="shared" si="14"/>
        <v>31</v>
      </c>
      <c r="AF62" s="244">
        <f t="shared" si="25"/>
        <v>265.08533999999997</v>
      </c>
      <c r="AG62" s="1285"/>
      <c r="AI62" s="1282">
        <f t="shared" si="2"/>
        <v>13.609637568232809</v>
      </c>
      <c r="AJ62" s="1252">
        <v>0.88929999999999998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49</v>
      </c>
      <c r="B63" s="1274" t="s">
        <v>64</v>
      </c>
      <c r="C63" s="241" t="s">
        <v>46</v>
      </c>
      <c r="D63" s="241">
        <v>674.52</v>
      </c>
      <c r="E63" s="241" t="s">
        <v>444</v>
      </c>
      <c r="F63" s="241">
        <v>177.8</v>
      </c>
      <c r="G63" s="241" t="s">
        <v>28</v>
      </c>
      <c r="H63" s="1299" t="s">
        <v>464</v>
      </c>
      <c r="I63" s="1428">
        <v>521.42999999999995</v>
      </c>
      <c r="J63" s="241">
        <v>300</v>
      </c>
      <c r="K63" s="241"/>
      <c r="L63" s="1277">
        <v>458.88</v>
      </c>
      <c r="M63" s="241"/>
      <c r="N63" s="1278">
        <v>5.5839999999999996</v>
      </c>
      <c r="O63" s="241"/>
      <c r="P63" s="1278">
        <f t="shared" si="15"/>
        <v>11.447892600710354</v>
      </c>
      <c r="Q63" s="1278">
        <f>J63*13/100</f>
        <v>39</v>
      </c>
      <c r="R63" s="244">
        <v>8.0820000000000007</v>
      </c>
      <c r="S63" s="244">
        <v>12.355</v>
      </c>
      <c r="T63" s="1277">
        <v>203.21</v>
      </c>
      <c r="U63" s="1278">
        <f t="shared" si="17"/>
        <v>25.143528829497647</v>
      </c>
      <c r="V63" s="1278">
        <f t="shared" si="19"/>
        <v>34.58518818292189</v>
      </c>
      <c r="W63" s="1279">
        <v>0.2</v>
      </c>
      <c r="X63" s="1316">
        <v>300</v>
      </c>
      <c r="Y63" s="244">
        <f t="shared" si="22"/>
        <v>0.31679487179487181</v>
      </c>
      <c r="Z63" s="244">
        <f t="shared" si="23"/>
        <v>7.9850160000000008</v>
      </c>
      <c r="AA63" s="244">
        <f t="shared" si="23"/>
        <v>12.20674</v>
      </c>
      <c r="AB63" s="1277">
        <f t="shared" si="23"/>
        <v>200.77148</v>
      </c>
      <c r="AC63" s="244">
        <f t="shared" si="24"/>
        <v>25.143528829497647</v>
      </c>
      <c r="AD63" s="1277">
        <f t="shared" si="24"/>
        <v>34.58518818292189</v>
      </c>
      <c r="AE63" s="241">
        <f t="shared" si="14"/>
        <v>31</v>
      </c>
      <c r="AF63" s="244">
        <f t="shared" si="25"/>
        <v>247.53549600000002</v>
      </c>
      <c r="AG63" s="1285"/>
      <c r="AI63" s="1282">
        <f t="shared" si="2"/>
        <v>11.447892600710354</v>
      </c>
      <c r="AJ63" s="1252">
        <v>0.87360000000000004</v>
      </c>
      <c r="AK63" s="1252">
        <v>1.018</v>
      </c>
      <c r="AL63" s="1252">
        <v>6.1000000000000004E-3</v>
      </c>
    </row>
    <row r="64" spans="1:38" ht="29.25" customHeight="1" x14ac:dyDescent="0.2">
      <c r="A64" s="1273">
        <v>50</v>
      </c>
      <c r="B64" s="1274" t="s">
        <v>156</v>
      </c>
      <c r="C64" s="241" t="s">
        <v>408</v>
      </c>
      <c r="D64" s="241">
        <v>679.54</v>
      </c>
      <c r="E64" s="1428" t="s">
        <v>607</v>
      </c>
      <c r="F64" s="241">
        <v>177.8</v>
      </c>
      <c r="G64" s="241" t="s">
        <v>28</v>
      </c>
      <c r="H64" s="241" t="s">
        <v>464</v>
      </c>
      <c r="I64" s="1428">
        <v>512.28</v>
      </c>
      <c r="J64" s="241">
        <v>175</v>
      </c>
      <c r="K64" s="241"/>
      <c r="L64" s="1277">
        <v>421.16</v>
      </c>
      <c r="M64" s="241"/>
      <c r="N64" s="1278">
        <v>3.1320000000000001</v>
      </c>
      <c r="O64" s="241"/>
      <c r="P64" s="1278">
        <f t="shared" si="15"/>
        <v>11.897104254808909</v>
      </c>
      <c r="Q64" s="1278">
        <f>RIGHT(H64,(FIND("T",H64,1)-0))*J64/100</f>
        <v>24.5</v>
      </c>
      <c r="R64" s="244">
        <v>5.5819999999999999</v>
      </c>
      <c r="S64" s="244">
        <v>12.872999999999999</v>
      </c>
      <c r="T64" s="1277">
        <v>49.47</v>
      </c>
      <c r="U64" s="1278">
        <f t="shared" si="17"/>
        <v>8.8624149050519527</v>
      </c>
      <c r="V64" s="1278">
        <f t="shared" si="19"/>
        <v>56.637924337761206</v>
      </c>
      <c r="W64" s="1279">
        <v>0.2</v>
      </c>
      <c r="X64" s="1316">
        <v>175</v>
      </c>
      <c r="Y64" s="244">
        <f t="shared" si="22"/>
        <v>0.52542857142857136</v>
      </c>
      <c r="Z64" s="244">
        <f t="shared" si="23"/>
        <v>5.5150160000000001</v>
      </c>
      <c r="AA64" s="244">
        <f t="shared" si="23"/>
        <v>12.718523999999999</v>
      </c>
      <c r="AB64" s="1277">
        <f t="shared" si="23"/>
        <v>48.876359999999998</v>
      </c>
      <c r="AC64" s="244">
        <f t="shared" si="24"/>
        <v>8.8624149050519527</v>
      </c>
      <c r="AD64" s="1277">
        <f t="shared" si="24"/>
        <v>56.637924337761206</v>
      </c>
      <c r="AE64" s="241">
        <f t="shared" si="14"/>
        <v>31</v>
      </c>
      <c r="AF64" s="244">
        <f t="shared" si="25"/>
        <v>170.965496</v>
      </c>
      <c r="AG64" s="1285"/>
      <c r="AI64" s="1282">
        <f t="shared" si="2"/>
        <v>11.897104254808909</v>
      </c>
      <c r="AJ64" s="1252">
        <v>0.89659999999999995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51</v>
      </c>
      <c r="B65" s="1274" t="s">
        <v>169</v>
      </c>
      <c r="C65" s="241" t="s">
        <v>46</v>
      </c>
      <c r="D65" s="241">
        <v>578.64</v>
      </c>
      <c r="E65" s="241" t="s">
        <v>694</v>
      </c>
      <c r="F65" s="241">
        <v>177.8</v>
      </c>
      <c r="G65" s="241" t="s">
        <v>28</v>
      </c>
      <c r="H65" s="241" t="s">
        <v>466</v>
      </c>
      <c r="I65" s="1428">
        <v>539.28</v>
      </c>
      <c r="J65" s="241">
        <v>120</v>
      </c>
      <c r="K65" s="241"/>
      <c r="L65" s="1277">
        <v>249.24</v>
      </c>
      <c r="M65" s="241"/>
      <c r="N65" s="1278">
        <v>4.3079999999999998</v>
      </c>
      <c r="O65" s="241"/>
      <c r="P65" s="1278">
        <f t="shared" si="15"/>
        <v>32.31290368944466</v>
      </c>
      <c r="Q65" s="1278">
        <f>J65*13/100</f>
        <v>15.6</v>
      </c>
      <c r="R65" s="244">
        <v>3.1059999999999999</v>
      </c>
      <c r="S65" s="244">
        <v>14.736000000000001</v>
      </c>
      <c r="T65" s="1277">
        <v>8.2330000000000005</v>
      </c>
      <c r="U65" s="1278">
        <f t="shared" si="17"/>
        <v>2.6506761107533809</v>
      </c>
      <c r="V65" s="1278">
        <f t="shared" si="19"/>
        <v>78.922366992399574</v>
      </c>
      <c r="W65" s="1279">
        <v>0.2</v>
      </c>
      <c r="X65" s="1316">
        <v>120</v>
      </c>
      <c r="Y65" s="244">
        <f t="shared" si="22"/>
        <v>0.94461538461538463</v>
      </c>
      <c r="Z65" s="244">
        <f t="shared" si="23"/>
        <v>3.0687279999999997</v>
      </c>
      <c r="AA65" s="244">
        <f t="shared" si="23"/>
        <v>14.559168</v>
      </c>
      <c r="AB65" s="1277">
        <f t="shared" si="23"/>
        <v>8.1342040000000004</v>
      </c>
      <c r="AC65" s="244">
        <f t="shared" si="24"/>
        <v>2.6506761107533809</v>
      </c>
      <c r="AD65" s="1277">
        <f t="shared" si="24"/>
        <v>78.922366992399574</v>
      </c>
      <c r="AE65" s="241">
        <f t="shared" si="14"/>
        <v>31</v>
      </c>
      <c r="AF65" s="244">
        <f>Z65*AE65</f>
        <v>95.130567999999997</v>
      </c>
      <c r="AG65" s="1285"/>
      <c r="AI65" s="1282">
        <f t="shared" si="2"/>
        <v>32.31290368944466</v>
      </c>
      <c r="AJ65" s="1252">
        <v>0.89490000000000003</v>
      </c>
      <c r="AK65" s="1252">
        <v>1.018</v>
      </c>
      <c r="AL65" s="1252">
        <v>6.1000000000000004E-3</v>
      </c>
    </row>
    <row r="66" spans="1:38" ht="30" customHeight="1" x14ac:dyDescent="0.2">
      <c r="A66" s="1273">
        <v>52</v>
      </c>
      <c r="B66" s="1274" t="s">
        <v>62</v>
      </c>
      <c r="C66" s="241" t="s">
        <v>46</v>
      </c>
      <c r="D66" s="241">
        <v>673.73</v>
      </c>
      <c r="E66" s="241" t="s">
        <v>97</v>
      </c>
      <c r="F66" s="241">
        <v>177.8</v>
      </c>
      <c r="G66" s="241" t="s">
        <v>28</v>
      </c>
      <c r="H66" s="1299" t="s">
        <v>565</v>
      </c>
      <c r="I66" s="1428">
        <v>541.46</v>
      </c>
      <c r="J66" s="241">
        <v>100</v>
      </c>
      <c r="K66" s="241"/>
      <c r="L66" s="1277">
        <v>225.92</v>
      </c>
      <c r="M66" s="241"/>
      <c r="N66" s="1278">
        <v>5.944</v>
      </c>
      <c r="O66" s="241"/>
      <c r="P66" s="1278">
        <f t="shared" si="15"/>
        <v>36.517817343501243</v>
      </c>
      <c r="Q66" s="1278">
        <f>(22/100)*J66</f>
        <v>22</v>
      </c>
      <c r="R66" s="244">
        <v>6.7549999999999999</v>
      </c>
      <c r="S66" s="244">
        <v>38.536999999999999</v>
      </c>
      <c r="T66" s="1277">
        <v>48.43</v>
      </c>
      <c r="U66" s="1278">
        <f t="shared" si="17"/>
        <v>7.1695040710584754</v>
      </c>
      <c r="V66" s="1278">
        <f t="shared" si="19"/>
        <v>82.471391130601759</v>
      </c>
      <c r="W66" s="1279">
        <v>0.2</v>
      </c>
      <c r="X66" s="1316">
        <v>100</v>
      </c>
      <c r="Y66" s="244">
        <f t="shared" si="22"/>
        <v>1.7516818181818181</v>
      </c>
      <c r="Z66" s="244">
        <v>6</v>
      </c>
      <c r="AA66" s="244">
        <f>S66</f>
        <v>38.536999999999999</v>
      </c>
      <c r="AB66" s="1277">
        <f t="shared" si="23"/>
        <v>47.848840000000003</v>
      </c>
      <c r="AC66" s="244">
        <f>U66</f>
        <v>7.1695040710584754</v>
      </c>
      <c r="AD66" s="1278">
        <f>(AA66-Z66)/AA66*100</f>
        <v>84.430547266263588</v>
      </c>
      <c r="AE66" s="241">
        <f t="shared" si="14"/>
        <v>31</v>
      </c>
      <c r="AF66" s="244">
        <f t="shared" si="25"/>
        <v>186</v>
      </c>
      <c r="AG66" s="1285"/>
      <c r="AI66" s="1282">
        <f t="shared" si="2"/>
        <v>36.517817343501243</v>
      </c>
      <c r="AJ66" s="1252">
        <v>0.89490000000000003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53</v>
      </c>
      <c r="B67" s="1274" t="s">
        <v>157</v>
      </c>
      <c r="C67" s="241" t="s">
        <v>46</v>
      </c>
      <c r="D67" s="241">
        <v>602</v>
      </c>
      <c r="E67" s="241" t="s">
        <v>608</v>
      </c>
      <c r="F67" s="241">
        <v>177.8</v>
      </c>
      <c r="G67" s="241" t="s">
        <v>28</v>
      </c>
      <c r="H67" s="241" t="s">
        <v>695</v>
      </c>
      <c r="I67" s="1428">
        <v>539.83000000000004</v>
      </c>
      <c r="J67" s="1448">
        <v>95</v>
      </c>
      <c r="K67" s="241"/>
      <c r="L67" s="1277">
        <v>96.8</v>
      </c>
      <c r="M67" s="1278"/>
      <c r="N67" s="1278">
        <v>5.2160000000000002</v>
      </c>
      <c r="O67" s="241"/>
      <c r="P67" s="1278">
        <f t="shared" si="15"/>
        <v>48.402034196424736</v>
      </c>
      <c r="Q67" s="1278">
        <f>(32/100)*J67</f>
        <v>30.400000000000002</v>
      </c>
      <c r="R67" s="244">
        <v>3.5950000000000002</v>
      </c>
      <c r="S67" s="244">
        <v>35.694000000000003</v>
      </c>
      <c r="T67" s="1277">
        <v>171.827</v>
      </c>
      <c r="U67" s="1278">
        <f t="shared" si="17"/>
        <v>47.796105702364393</v>
      </c>
      <c r="V67" s="1278">
        <f t="shared" si="19"/>
        <v>89.928279262621174</v>
      </c>
      <c r="W67" s="1279">
        <v>0.4</v>
      </c>
      <c r="X67" s="1449">
        <v>95</v>
      </c>
      <c r="Y67" s="244">
        <f t="shared" si="22"/>
        <v>1.1741447368421052</v>
      </c>
      <c r="Z67" s="244">
        <f t="shared" ref="Z67:AA71" si="26">R67*0.988</f>
        <v>3.55186</v>
      </c>
      <c r="AA67" s="244">
        <f t="shared" si="26"/>
        <v>35.265672000000002</v>
      </c>
      <c r="AB67" s="1277">
        <f t="shared" si="23"/>
        <v>169.76507599999999</v>
      </c>
      <c r="AC67" s="244">
        <f>U67</f>
        <v>47.796105702364393</v>
      </c>
      <c r="AD67" s="1277">
        <f>V67</f>
        <v>89.928279262621174</v>
      </c>
      <c r="AE67" s="241">
        <f t="shared" si="14"/>
        <v>31</v>
      </c>
      <c r="AF67" s="244">
        <f t="shared" si="25"/>
        <v>110.10766</v>
      </c>
      <c r="AG67" s="1343"/>
      <c r="AI67" s="1282">
        <f t="shared" si="2"/>
        <v>48.402034196424736</v>
      </c>
      <c r="AJ67" s="1252">
        <v>0.89390000000000003</v>
      </c>
      <c r="AK67" s="1252">
        <v>1.018</v>
      </c>
      <c r="AL67" s="1252">
        <v>6.1000000000000004E-3</v>
      </c>
    </row>
    <row r="68" spans="1:38" ht="18.75" customHeight="1" x14ac:dyDescent="0.2">
      <c r="A68" s="1273">
        <v>54</v>
      </c>
      <c r="B68" s="1274" t="s">
        <v>159</v>
      </c>
      <c r="C68" s="241" t="s">
        <v>46</v>
      </c>
      <c r="D68" s="241">
        <v>676.1</v>
      </c>
      <c r="E68" s="241" t="s">
        <v>167</v>
      </c>
      <c r="F68" s="241">
        <v>177.8</v>
      </c>
      <c r="G68" s="241" t="s">
        <v>28</v>
      </c>
      <c r="H68" s="1299" t="s">
        <v>565</v>
      </c>
      <c r="I68" s="1428">
        <v>512.47</v>
      </c>
      <c r="J68" s="1277">
        <v>245</v>
      </c>
      <c r="K68" s="241"/>
      <c r="L68" s="1277">
        <v>453.88</v>
      </c>
      <c r="M68" s="241"/>
      <c r="N68" s="1278">
        <v>5.484</v>
      </c>
      <c r="O68" s="241"/>
      <c r="P68" s="1278">
        <f t="shared" si="15"/>
        <v>10.870032173503335</v>
      </c>
      <c r="Q68" s="1278">
        <f>(20*J68)/100</f>
        <v>49</v>
      </c>
      <c r="R68" s="244">
        <v>14.542</v>
      </c>
      <c r="S68" s="244">
        <v>18.655000000000001</v>
      </c>
      <c r="T68" s="1277">
        <v>256.815</v>
      </c>
      <c r="U68" s="1278">
        <f t="shared" si="17"/>
        <v>17.660225553568974</v>
      </c>
      <c r="V68" s="1278">
        <f t="shared" si="19"/>
        <v>22.04770838917181</v>
      </c>
      <c r="W68" s="1279">
        <v>0.2</v>
      </c>
      <c r="X68" s="1454">
        <v>245</v>
      </c>
      <c r="Y68" s="244">
        <f t="shared" si="22"/>
        <v>0.38071428571428573</v>
      </c>
      <c r="Z68" s="244">
        <f t="shared" si="26"/>
        <v>14.367495999999999</v>
      </c>
      <c r="AA68" s="244">
        <f t="shared" si="26"/>
        <v>18.431139999999999</v>
      </c>
      <c r="AB68" s="1277">
        <f t="shared" si="23"/>
        <v>253.73321999999999</v>
      </c>
      <c r="AC68" s="244">
        <f>U68</f>
        <v>17.660225553568974</v>
      </c>
      <c r="AD68" s="1277">
        <f>V68</f>
        <v>22.04770838917181</v>
      </c>
      <c r="AE68" s="241">
        <f t="shared" si="14"/>
        <v>31</v>
      </c>
      <c r="AF68" s="244">
        <f t="shared" si="25"/>
        <v>445.39237599999996</v>
      </c>
      <c r="AG68" s="1281"/>
      <c r="AI68" s="1282">
        <f t="shared" si="2"/>
        <v>10.870032173503335</v>
      </c>
      <c r="AJ68" s="1252">
        <v>0.86950000000000005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55</v>
      </c>
      <c r="B69" s="1274" t="s">
        <v>330</v>
      </c>
      <c r="C69" s="241" t="s">
        <v>46</v>
      </c>
      <c r="D69" s="241">
        <v>594.58000000000004</v>
      </c>
      <c r="E69" s="241" t="s">
        <v>609</v>
      </c>
      <c r="F69" s="241">
        <v>178.8</v>
      </c>
      <c r="G69" s="241" t="s">
        <v>28</v>
      </c>
      <c r="H69" s="1299" t="s">
        <v>565</v>
      </c>
      <c r="I69" s="1428">
        <v>500.41</v>
      </c>
      <c r="J69" s="1448">
        <v>235</v>
      </c>
      <c r="K69" s="241"/>
      <c r="L69" s="1277">
        <v>483.04</v>
      </c>
      <c r="M69" s="241"/>
      <c r="N69" s="1278">
        <v>4.1360000000000001</v>
      </c>
      <c r="O69" s="241"/>
      <c r="P69" s="1278">
        <f t="shared" si="15"/>
        <v>5.9459580073418188</v>
      </c>
      <c r="Q69" s="1278">
        <f>J69*32/100</f>
        <v>75.2</v>
      </c>
      <c r="R69" s="244">
        <v>10.247</v>
      </c>
      <c r="S69" s="244">
        <v>16.349</v>
      </c>
      <c r="T69" s="1277">
        <v>98.953000000000003</v>
      </c>
      <c r="U69" s="1278">
        <f t="shared" si="17"/>
        <v>9.6567775934419835</v>
      </c>
      <c r="V69" s="1278">
        <f t="shared" si="19"/>
        <v>37.323383693192248</v>
      </c>
      <c r="W69" s="1279">
        <v>0.2</v>
      </c>
      <c r="X69" s="1449">
        <v>235</v>
      </c>
      <c r="Y69" s="244">
        <f t="shared" si="22"/>
        <v>0.21740691489361702</v>
      </c>
      <c r="Z69" s="244">
        <f t="shared" si="26"/>
        <v>10.124036</v>
      </c>
      <c r="AA69" s="244">
        <f t="shared" si="26"/>
        <v>16.152812000000001</v>
      </c>
      <c r="AB69" s="1277">
        <f t="shared" si="23"/>
        <v>97.765563999999998</v>
      </c>
      <c r="AC69" s="244">
        <v>20</v>
      </c>
      <c r="AD69" s="1277">
        <v>17</v>
      </c>
      <c r="AE69" s="241">
        <f t="shared" si="14"/>
        <v>31</v>
      </c>
      <c r="AF69" s="244">
        <f t="shared" si="25"/>
        <v>313.84511600000002</v>
      </c>
      <c r="AG69" s="1281"/>
      <c r="AI69" s="1282">
        <f t="shared" si="2"/>
        <v>5.9459580073418188</v>
      </c>
      <c r="AJ69" s="1252">
        <v>0.84030000000000005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56</v>
      </c>
      <c r="B70" s="1274" t="s">
        <v>210</v>
      </c>
      <c r="C70" s="241" t="s">
        <v>46</v>
      </c>
      <c r="D70" s="241">
        <v>728.8</v>
      </c>
      <c r="E70" s="241" t="s">
        <v>610</v>
      </c>
      <c r="F70" s="241">
        <v>177.8</v>
      </c>
      <c r="G70" s="241" t="s">
        <v>28</v>
      </c>
      <c r="H70" s="1299" t="s">
        <v>540</v>
      </c>
      <c r="I70" s="1428">
        <v>549.1</v>
      </c>
      <c r="J70" s="1448">
        <v>170</v>
      </c>
      <c r="K70" s="241"/>
      <c r="L70" s="1277">
        <v>430.48</v>
      </c>
      <c r="M70" s="241"/>
      <c r="N70" s="1278">
        <v>7.6959999999999997</v>
      </c>
      <c r="O70" s="241"/>
      <c r="P70" s="1278">
        <f t="shared" si="15"/>
        <v>18.966482122203608</v>
      </c>
      <c r="Q70" s="1278">
        <f>LEFT(H70,(FIND("E",H70,1)-1))*J70/100</f>
        <v>37.4</v>
      </c>
      <c r="R70" s="244">
        <v>11.021000000000001</v>
      </c>
      <c r="S70" s="244">
        <v>26.442</v>
      </c>
      <c r="T70" s="1277">
        <v>123.553</v>
      </c>
      <c r="U70" s="1278">
        <f t="shared" si="17"/>
        <v>11.210688685237272</v>
      </c>
      <c r="V70" s="1278">
        <f t="shared" si="19"/>
        <v>58.320096815672031</v>
      </c>
      <c r="W70" s="1279">
        <v>0.2</v>
      </c>
      <c r="X70" s="1461">
        <v>185</v>
      </c>
      <c r="Y70" s="244">
        <f t="shared" si="22"/>
        <v>0.70700534759358291</v>
      </c>
      <c r="Z70" s="244">
        <f t="shared" si="26"/>
        <v>10.888748000000001</v>
      </c>
      <c r="AA70" s="244">
        <f t="shared" si="26"/>
        <v>26.124696</v>
      </c>
      <c r="AB70" s="1277">
        <f t="shared" si="23"/>
        <v>122.070364</v>
      </c>
      <c r="AC70" s="244">
        <f>U70</f>
        <v>11.210688685237272</v>
      </c>
      <c r="AD70" s="1277">
        <f>V70</f>
        <v>58.320096815672031</v>
      </c>
      <c r="AE70" s="241">
        <f t="shared" si="14"/>
        <v>31</v>
      </c>
      <c r="AF70" s="244">
        <f t="shared" si="25"/>
        <v>337.55118800000002</v>
      </c>
      <c r="AG70" s="1285"/>
      <c r="AI70" s="1282">
        <f t="shared" si="2"/>
        <v>18.966482122203608</v>
      </c>
      <c r="AJ70" s="1252">
        <v>0.877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57</v>
      </c>
      <c r="B71" s="1274" t="s">
        <v>63</v>
      </c>
      <c r="C71" s="241" t="s">
        <v>46</v>
      </c>
      <c r="D71" s="241">
        <v>672.99</v>
      </c>
      <c r="E71" s="241" t="s">
        <v>98</v>
      </c>
      <c r="F71" s="241">
        <v>177.8</v>
      </c>
      <c r="G71" s="241" t="s">
        <v>28</v>
      </c>
      <c r="H71" s="241" t="s">
        <v>310</v>
      </c>
      <c r="I71" s="1428">
        <v>537.29</v>
      </c>
      <c r="J71" s="1448">
        <v>350</v>
      </c>
      <c r="K71" s="241"/>
      <c r="L71" s="1277">
        <v>451.96</v>
      </c>
      <c r="M71" s="241"/>
      <c r="N71" s="1278">
        <v>5.5720000000000001</v>
      </c>
      <c r="O71" s="241"/>
      <c r="P71" s="1278">
        <f t="shared" si="15"/>
        <v>13.743953569094936</v>
      </c>
      <c r="Q71" s="1278">
        <f t="shared" ref="Q71" si="27">LEFT(H71,(FIND("K",H71,1)-1))*J71/100</f>
        <v>77</v>
      </c>
      <c r="R71" s="244">
        <v>13.047000000000001</v>
      </c>
      <c r="S71" s="244">
        <v>27.081</v>
      </c>
      <c r="T71" s="1277">
        <v>122.21299999999999</v>
      </c>
      <c r="U71" s="1278">
        <f t="shared" si="17"/>
        <v>9.3671342070974166</v>
      </c>
      <c r="V71" s="1278">
        <f t="shared" si="19"/>
        <v>51.82231084524205</v>
      </c>
      <c r="W71" s="1279">
        <v>0.2</v>
      </c>
      <c r="X71" s="1449">
        <v>350</v>
      </c>
      <c r="Y71" s="244">
        <f t="shared" si="22"/>
        <v>0.35170129870129868</v>
      </c>
      <c r="Z71" s="244">
        <f t="shared" si="26"/>
        <v>12.890436000000001</v>
      </c>
      <c r="AA71" s="244">
        <f t="shared" si="26"/>
        <v>26.756028000000001</v>
      </c>
      <c r="AB71" s="1277">
        <f t="shared" si="23"/>
        <v>120.746444</v>
      </c>
      <c r="AC71" s="244">
        <f>U71</f>
        <v>9.3671342070974166</v>
      </c>
      <c r="AD71" s="1277">
        <f>V71</f>
        <v>51.82231084524205</v>
      </c>
      <c r="AE71" s="241">
        <f t="shared" si="14"/>
        <v>31</v>
      </c>
      <c r="AF71" s="244">
        <f t="shared" si="25"/>
        <v>399.60351600000001</v>
      </c>
      <c r="AG71" s="1285"/>
      <c r="AI71" s="1282">
        <f t="shared" si="2"/>
        <v>13.743953569094936</v>
      </c>
      <c r="AJ71" s="1252">
        <v>0.8911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58</v>
      </c>
      <c r="B72" s="1274" t="s">
        <v>217</v>
      </c>
      <c r="C72" s="241" t="s">
        <v>408</v>
      </c>
      <c r="D72" s="241">
        <v>587.72</v>
      </c>
      <c r="E72" s="241" t="s">
        <v>611</v>
      </c>
      <c r="F72" s="241">
        <v>177.8</v>
      </c>
      <c r="G72" s="241" t="s">
        <v>28</v>
      </c>
      <c r="H72" s="1299" t="s">
        <v>466</v>
      </c>
      <c r="I72" s="1428">
        <v>555.54999999999995</v>
      </c>
      <c r="J72" s="1448">
        <v>0</v>
      </c>
      <c r="K72" s="241">
        <v>51</v>
      </c>
      <c r="L72" s="1277"/>
      <c r="M72" s="241">
        <v>4.8</v>
      </c>
      <c r="N72" s="1278"/>
      <c r="O72" s="241"/>
      <c r="P72" s="1278">
        <f t="shared" si="15"/>
        <v>47.870234344929671</v>
      </c>
      <c r="Q72" s="1278"/>
      <c r="R72" s="244"/>
      <c r="S72" s="244"/>
      <c r="T72" s="1277"/>
      <c r="U72" s="1278"/>
      <c r="V72" s="1278"/>
      <c r="W72" s="1279"/>
      <c r="X72" s="1449">
        <v>0</v>
      </c>
      <c r="Y72" s="244"/>
      <c r="Z72" s="244"/>
      <c r="AA72" s="244"/>
      <c r="AB72" s="1277"/>
      <c r="AC72" s="244"/>
      <c r="AD72" s="1277"/>
      <c r="AE72" s="241"/>
      <c r="AF72" s="244"/>
      <c r="AG72" s="1281" t="s">
        <v>682</v>
      </c>
      <c r="AI72" s="1282">
        <f t="shared" si="2"/>
        <v>47.870234344929671</v>
      </c>
      <c r="AJ72" s="1252">
        <v>0.89</v>
      </c>
      <c r="AK72" s="1252">
        <v>1.018</v>
      </c>
      <c r="AL72" s="1252">
        <v>6.1000000000000004E-3</v>
      </c>
    </row>
    <row r="73" spans="1:38" ht="20.25" customHeight="1" x14ac:dyDescent="0.2">
      <c r="A73" s="1273">
        <v>59</v>
      </c>
      <c r="B73" s="1274" t="s">
        <v>211</v>
      </c>
      <c r="C73" s="241" t="s">
        <v>46</v>
      </c>
      <c r="D73" s="241">
        <v>684.03</v>
      </c>
      <c r="E73" s="241" t="s">
        <v>696</v>
      </c>
      <c r="F73" s="241">
        <v>177.8</v>
      </c>
      <c r="G73" s="241" t="s">
        <v>28</v>
      </c>
      <c r="H73" s="241" t="s">
        <v>464</v>
      </c>
      <c r="I73" s="1428">
        <v>582.6</v>
      </c>
      <c r="J73" s="1448">
        <v>175</v>
      </c>
      <c r="K73" s="241"/>
      <c r="L73" s="1277">
        <v>389.8</v>
      </c>
      <c r="M73" s="241"/>
      <c r="N73" s="1278">
        <v>5.5839999999999996</v>
      </c>
      <c r="O73" s="241"/>
      <c r="P73" s="1278">
        <f t="shared" si="15"/>
        <v>24.358656216158021</v>
      </c>
      <c r="Q73" s="1278">
        <f>(22*J73)/100</f>
        <v>38.5</v>
      </c>
      <c r="R73" s="244">
        <v>4.2640000000000002</v>
      </c>
      <c r="S73" s="244">
        <v>16.687000000000001</v>
      </c>
      <c r="T73" s="1277">
        <v>48.064999999999998</v>
      </c>
      <c r="U73" s="1278">
        <f t="shared" si="17"/>
        <v>11.272279549718572</v>
      </c>
      <c r="V73" s="1278">
        <f t="shared" si="19"/>
        <v>74.447174447174461</v>
      </c>
      <c r="W73" s="1279">
        <v>0.2</v>
      </c>
      <c r="X73" s="1449">
        <v>175</v>
      </c>
      <c r="Y73" s="244">
        <f>IF(S73=0,0,S73/Q73)</f>
        <v>0.43342857142857144</v>
      </c>
      <c r="Z73" s="244">
        <f t="shared" ref="Z73:AB77" si="28">R73*0.988</f>
        <v>4.2128320000000006</v>
      </c>
      <c r="AA73" s="244">
        <f t="shared" si="28"/>
        <v>16.486756</v>
      </c>
      <c r="AB73" s="1277">
        <f t="shared" si="28"/>
        <v>47.488219999999998</v>
      </c>
      <c r="AC73" s="244">
        <f t="shared" ref="AC73:AD77" si="29">U73</f>
        <v>11.272279549718572</v>
      </c>
      <c r="AD73" s="1277">
        <f t="shared" si="29"/>
        <v>74.447174447174461</v>
      </c>
      <c r="AE73" s="241">
        <f t="shared" si="14"/>
        <v>31</v>
      </c>
      <c r="AF73" s="244">
        <f t="shared" ref="AF73:AF79" si="30">Z73*AE73</f>
        <v>130.59779200000003</v>
      </c>
      <c r="AG73" s="1285"/>
      <c r="AI73" s="1282">
        <f t="shared" si="2"/>
        <v>24.358656216158021</v>
      </c>
      <c r="AJ73" s="1252">
        <v>0.92200000000000004</v>
      </c>
      <c r="AK73" s="1252">
        <v>1.018</v>
      </c>
      <c r="AL73" s="1252">
        <v>6.1000000000000004E-3</v>
      </c>
    </row>
    <row r="74" spans="1:38" ht="18.600000000000001" customHeight="1" x14ac:dyDescent="0.2">
      <c r="A74" s="1273">
        <v>60</v>
      </c>
      <c r="B74" s="1274" t="s">
        <v>341</v>
      </c>
      <c r="C74" s="241" t="s">
        <v>46</v>
      </c>
      <c r="D74" s="241">
        <v>675.29</v>
      </c>
      <c r="E74" s="241" t="s">
        <v>343</v>
      </c>
      <c r="F74" s="241">
        <v>177.8</v>
      </c>
      <c r="G74" s="241" t="s">
        <v>28</v>
      </c>
      <c r="H74" s="1299" t="s">
        <v>565</v>
      </c>
      <c r="I74" s="1428">
        <v>531.94000000000005</v>
      </c>
      <c r="J74" s="1448">
        <v>355</v>
      </c>
      <c r="K74" s="241"/>
      <c r="L74" s="1277">
        <v>344.08</v>
      </c>
      <c r="M74" s="241"/>
      <c r="N74" s="1278">
        <v>7.9</v>
      </c>
      <c r="O74" s="241"/>
      <c r="P74" s="1278">
        <f t="shared" si="15"/>
        <v>25.684510165598134</v>
      </c>
      <c r="Q74" s="1278">
        <f>(20*J74)/100</f>
        <v>71</v>
      </c>
      <c r="R74" s="244">
        <v>17.722000000000001</v>
      </c>
      <c r="S74" s="244">
        <v>46.892000000000003</v>
      </c>
      <c r="T74" s="1277">
        <v>181.90199999999999</v>
      </c>
      <c r="U74" s="1278">
        <f t="shared" si="17"/>
        <v>10.264191400519127</v>
      </c>
      <c r="V74" s="1278">
        <f t="shared" si="19"/>
        <v>62.206773010321591</v>
      </c>
      <c r="W74" s="1279">
        <v>0.2</v>
      </c>
      <c r="X74" s="1449">
        <v>355</v>
      </c>
      <c r="Y74" s="244">
        <f>IF(S74=0,0,S74/Q74)</f>
        <v>0.66045070422535213</v>
      </c>
      <c r="Z74" s="244">
        <f t="shared" si="28"/>
        <v>17.509336000000001</v>
      </c>
      <c r="AA74" s="244">
        <f t="shared" si="28"/>
        <v>46.329295999999999</v>
      </c>
      <c r="AB74" s="1277">
        <f t="shared" si="28"/>
        <v>179.71917599999998</v>
      </c>
      <c r="AC74" s="244">
        <f t="shared" si="29"/>
        <v>10.264191400519127</v>
      </c>
      <c r="AD74" s="1277">
        <f t="shared" si="29"/>
        <v>62.206773010321591</v>
      </c>
      <c r="AE74" s="241">
        <f t="shared" si="14"/>
        <v>31</v>
      </c>
      <c r="AF74" s="244">
        <f t="shared" si="30"/>
        <v>542.78941600000007</v>
      </c>
      <c r="AG74" s="1285"/>
      <c r="AI74" s="1282">
        <f t="shared" si="2"/>
        <v>25.684510165598134</v>
      </c>
      <c r="AJ74" s="1252">
        <v>0.8821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61</v>
      </c>
      <c r="B75" s="1274" t="s">
        <v>354</v>
      </c>
      <c r="C75" s="241" t="s">
        <v>46</v>
      </c>
      <c r="D75" s="241">
        <v>563.85</v>
      </c>
      <c r="E75" s="1346" t="s">
        <v>545</v>
      </c>
      <c r="F75" s="241">
        <v>178.8</v>
      </c>
      <c r="G75" s="241" t="s">
        <v>28</v>
      </c>
      <c r="H75" s="1299" t="s">
        <v>687</v>
      </c>
      <c r="I75" s="1428">
        <v>533.89</v>
      </c>
      <c r="J75" s="1448">
        <v>105</v>
      </c>
      <c r="K75" s="241"/>
      <c r="L75" s="1277">
        <v>120</v>
      </c>
      <c r="M75" s="241"/>
      <c r="N75" s="1278">
        <v>7.24</v>
      </c>
      <c r="O75" s="241"/>
      <c r="P75" s="1278">
        <f t="shared" si="15"/>
        <v>47.390985209500798</v>
      </c>
      <c r="Q75" s="1278">
        <f>(22/100)*J75</f>
        <v>23.1</v>
      </c>
      <c r="R75" s="244">
        <v>2.7949999999999999</v>
      </c>
      <c r="S75" s="244">
        <v>18.382999999999999</v>
      </c>
      <c r="T75" s="1277">
        <v>143.816</v>
      </c>
      <c r="U75" s="1278">
        <f t="shared" si="17"/>
        <v>51.454740608228981</v>
      </c>
      <c r="V75" s="1278">
        <f t="shared" si="19"/>
        <v>84.795735190121306</v>
      </c>
      <c r="W75" s="1279">
        <v>0.2</v>
      </c>
      <c r="X75" s="1449">
        <v>85</v>
      </c>
      <c r="Y75" s="244">
        <f>IF(S75=0,0,S75/Q75)</f>
        <v>0.79580086580086573</v>
      </c>
      <c r="Z75" s="244">
        <f t="shared" si="28"/>
        <v>2.76146</v>
      </c>
      <c r="AA75" s="244">
        <f t="shared" si="28"/>
        <v>18.162403999999999</v>
      </c>
      <c r="AB75" s="1277">
        <f t="shared" si="28"/>
        <v>142.09020799999999</v>
      </c>
      <c r="AC75" s="244">
        <f t="shared" si="29"/>
        <v>51.454740608228981</v>
      </c>
      <c r="AD75" s="1277">
        <f t="shared" si="29"/>
        <v>84.795735190121306</v>
      </c>
      <c r="AE75" s="241">
        <f t="shared" si="14"/>
        <v>31</v>
      </c>
      <c r="AF75" s="244">
        <f t="shared" si="30"/>
        <v>85.605260000000001</v>
      </c>
      <c r="AG75" s="1285"/>
      <c r="AI75" s="1282">
        <f t="shared" si="2"/>
        <v>47.390985209500798</v>
      </c>
      <c r="AJ75" s="1252">
        <v>0.90100000000000002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62</v>
      </c>
      <c r="B76" s="1274" t="s">
        <v>423</v>
      </c>
      <c r="C76" s="241" t="s">
        <v>46</v>
      </c>
      <c r="D76" s="241">
        <v>687.52</v>
      </c>
      <c r="E76" s="26" t="s">
        <v>546</v>
      </c>
      <c r="F76" s="241">
        <v>179.8</v>
      </c>
      <c r="G76" s="241" t="s">
        <v>28</v>
      </c>
      <c r="H76" s="1299" t="s">
        <v>565</v>
      </c>
      <c r="I76" s="1417">
        <v>571.08000000000004</v>
      </c>
      <c r="J76" s="1448">
        <v>180</v>
      </c>
      <c r="K76" s="241"/>
      <c r="L76" s="1277">
        <v>479.36</v>
      </c>
      <c r="M76" s="241"/>
      <c r="N76" s="1278">
        <v>20.163</v>
      </c>
      <c r="O76" s="241"/>
      <c r="P76" s="1278">
        <f t="shared" si="15"/>
        <v>27.953539262880337</v>
      </c>
      <c r="Q76" s="1278">
        <f>(13/100)*J76</f>
        <v>23.400000000000002</v>
      </c>
      <c r="R76" s="244">
        <v>11.875999999999999</v>
      </c>
      <c r="S76" s="244">
        <v>12.792999999999999</v>
      </c>
      <c r="T76" s="1277">
        <v>616.60500000000002</v>
      </c>
      <c r="U76" s="1278">
        <f t="shared" si="17"/>
        <v>51.920259346581346</v>
      </c>
      <c r="V76" s="1278">
        <f t="shared" si="19"/>
        <v>7.1679824904244498</v>
      </c>
      <c r="W76" s="1279">
        <v>0.2</v>
      </c>
      <c r="X76" s="1461">
        <v>180</v>
      </c>
      <c r="Y76" s="244">
        <f>IF(S76=0,0,S76/Q76)</f>
        <v>0.54670940170940163</v>
      </c>
      <c r="Z76" s="244">
        <f t="shared" si="28"/>
        <v>11.733487999999999</v>
      </c>
      <c r="AA76" s="244">
        <f t="shared" si="28"/>
        <v>12.639483999999999</v>
      </c>
      <c r="AB76" s="1277">
        <f t="shared" si="28"/>
        <v>609.20573999999999</v>
      </c>
      <c r="AC76" s="244">
        <f t="shared" si="29"/>
        <v>51.920259346581346</v>
      </c>
      <c r="AD76" s="1277">
        <f t="shared" si="29"/>
        <v>7.1679824904244498</v>
      </c>
      <c r="AE76" s="241">
        <f t="shared" si="14"/>
        <v>31</v>
      </c>
      <c r="AF76" s="244">
        <f t="shared" si="30"/>
        <v>363.73812799999996</v>
      </c>
      <c r="AG76" s="1285"/>
      <c r="AI76" s="1282">
        <f t="shared" si="2"/>
        <v>27.953539262880337</v>
      </c>
      <c r="AJ76" s="1252">
        <v>0.83209999999999995</v>
      </c>
      <c r="AK76" s="1252">
        <v>1.018</v>
      </c>
      <c r="AL76" s="1252">
        <v>6.1000000000000004E-3</v>
      </c>
    </row>
    <row r="77" spans="1:38" ht="18.75" customHeight="1" x14ac:dyDescent="0.2">
      <c r="A77" s="1273">
        <v>63</v>
      </c>
      <c r="B77" s="1274" t="s">
        <v>213</v>
      </c>
      <c r="C77" s="241" t="s">
        <v>46</v>
      </c>
      <c r="D77" s="241">
        <v>694.35</v>
      </c>
      <c r="E77" s="241" t="s">
        <v>497</v>
      </c>
      <c r="F77" s="241">
        <v>177.8</v>
      </c>
      <c r="G77" s="241" t="s">
        <v>28</v>
      </c>
      <c r="H77" s="241" t="s">
        <v>464</v>
      </c>
      <c r="I77" s="1417">
        <v>664.19</v>
      </c>
      <c r="J77" s="1448">
        <v>165</v>
      </c>
      <c r="K77" s="241"/>
      <c r="L77" s="1277">
        <v>105.56</v>
      </c>
      <c r="M77" s="241"/>
      <c r="N77" s="1278">
        <v>0.46800000000000003</v>
      </c>
      <c r="O77" s="241"/>
      <c r="P77" s="1278">
        <f t="shared" si="15"/>
        <v>50.147815782428083</v>
      </c>
      <c r="Q77" s="1278">
        <f>14*J77/100</f>
        <v>23.1</v>
      </c>
      <c r="R77" s="244">
        <v>5.3019999999999996</v>
      </c>
      <c r="S77" s="244">
        <v>5.5179999999999998</v>
      </c>
      <c r="T77" s="1277">
        <v>85.45</v>
      </c>
      <c r="U77" s="1278">
        <f t="shared" si="17"/>
        <v>16.116559788758959</v>
      </c>
      <c r="V77" s="1278">
        <f t="shared" si="19"/>
        <v>3.9144617615077961</v>
      </c>
      <c r="W77" s="1279">
        <v>0.2</v>
      </c>
      <c r="X77" s="1449">
        <v>165</v>
      </c>
      <c r="Y77" s="244">
        <f>IF(S77=0,0,S77/Q77)</f>
        <v>0.23887445887445885</v>
      </c>
      <c r="Z77" s="244">
        <f t="shared" si="28"/>
        <v>5.2383759999999997</v>
      </c>
      <c r="AA77" s="244">
        <f t="shared" si="28"/>
        <v>5.451784</v>
      </c>
      <c r="AB77" s="1277">
        <f t="shared" si="28"/>
        <v>84.424599999999998</v>
      </c>
      <c r="AC77" s="244">
        <f t="shared" si="29"/>
        <v>16.116559788758959</v>
      </c>
      <c r="AD77" s="1277">
        <f t="shared" si="29"/>
        <v>3.9144617615077961</v>
      </c>
      <c r="AE77" s="241">
        <f t="shared" si="14"/>
        <v>31</v>
      </c>
      <c r="AF77" s="244">
        <f t="shared" si="30"/>
        <v>162.389656</v>
      </c>
      <c r="AG77" s="1281"/>
      <c r="AI77" s="1282">
        <f t="shared" si="2"/>
        <v>50.147815782428083</v>
      </c>
      <c r="AJ77" s="1252">
        <v>0.9133</v>
      </c>
      <c r="AK77" s="1252">
        <v>1.018</v>
      </c>
      <c r="AL77" s="1252">
        <v>6.1000000000000004E-3</v>
      </c>
    </row>
    <row r="78" spans="1:38" ht="18.75" customHeight="1" x14ac:dyDescent="0.2">
      <c r="A78" s="1273">
        <v>64</v>
      </c>
      <c r="B78" s="1274" t="s">
        <v>506</v>
      </c>
      <c r="C78" s="241" t="s">
        <v>46</v>
      </c>
      <c r="D78" s="1417">
        <v>700</v>
      </c>
      <c r="E78" s="1417" t="s">
        <v>547</v>
      </c>
      <c r="F78" s="241">
        <v>177.8</v>
      </c>
      <c r="G78" s="241" t="s">
        <v>28</v>
      </c>
      <c r="H78" s="241" t="s">
        <v>464</v>
      </c>
      <c r="I78" s="1417">
        <v>608.22</v>
      </c>
      <c r="J78" s="1428">
        <v>0</v>
      </c>
      <c r="K78" s="1428"/>
      <c r="L78" s="1319">
        <v>0</v>
      </c>
      <c r="M78" s="1428"/>
      <c r="N78" s="1278">
        <v>0</v>
      </c>
      <c r="O78" s="1428"/>
      <c r="P78" s="1278">
        <f t="shared" si="15"/>
        <v>48.239526409474465</v>
      </c>
      <c r="Q78" s="1278"/>
      <c r="R78" s="244"/>
      <c r="S78" s="244"/>
      <c r="T78" s="1319"/>
      <c r="U78" s="244"/>
      <c r="V78" s="1278"/>
      <c r="W78" s="1279"/>
      <c r="X78" s="1410">
        <v>0</v>
      </c>
      <c r="Y78" s="244"/>
      <c r="Z78" s="244"/>
      <c r="AA78" s="244"/>
      <c r="AB78" s="1277"/>
      <c r="AC78" s="244"/>
      <c r="AD78" s="244"/>
      <c r="AE78" s="241"/>
      <c r="AF78" s="244"/>
      <c r="AG78" s="1281" t="s">
        <v>682</v>
      </c>
      <c r="AI78" s="1282">
        <f t="shared" si="2"/>
        <v>48.239526409474465</v>
      </c>
      <c r="AJ78" s="1252">
        <v>0.81920000000000004</v>
      </c>
      <c r="AK78" s="1252">
        <v>1.018</v>
      </c>
      <c r="AL78" s="1252">
        <v>6.1000000000000004E-3</v>
      </c>
    </row>
    <row r="79" spans="1:38" s="1297" customFormat="1" ht="18.75" customHeight="1" x14ac:dyDescent="0.2">
      <c r="A79" s="1286">
        <v>65</v>
      </c>
      <c r="B79" s="1287" t="s">
        <v>451</v>
      </c>
      <c r="C79" s="1288" t="s">
        <v>46</v>
      </c>
      <c r="D79" s="1290">
        <v>619.66</v>
      </c>
      <c r="E79" s="1290" t="s">
        <v>613</v>
      </c>
      <c r="F79" s="1288">
        <v>177.8</v>
      </c>
      <c r="G79" s="1288" t="s">
        <v>28</v>
      </c>
      <c r="H79" s="1289" t="s">
        <v>687</v>
      </c>
      <c r="I79" s="1290">
        <v>595.26</v>
      </c>
      <c r="J79" s="1290">
        <v>80</v>
      </c>
      <c r="K79" s="1290"/>
      <c r="L79" s="1488">
        <v>239.84</v>
      </c>
      <c r="M79" s="1290"/>
      <c r="N79" s="1292">
        <v>7.5720000000000001</v>
      </c>
      <c r="O79" s="1290"/>
      <c r="P79" s="1292">
        <f t="shared" si="15"/>
        <v>41.897912257696163</v>
      </c>
      <c r="Q79" s="1292">
        <f>(22/100)*J79</f>
        <v>17.600000000000001</v>
      </c>
      <c r="R79" s="1293">
        <v>2.5409999999999999</v>
      </c>
      <c r="S79" s="1293">
        <v>11.877000000000001</v>
      </c>
      <c r="T79" s="1488">
        <v>148.11000000000001</v>
      </c>
      <c r="U79" s="1293">
        <f t="shared" si="17"/>
        <v>58.288075560802838</v>
      </c>
      <c r="V79" s="1292">
        <f t="shared" si="19"/>
        <v>78.605708512250573</v>
      </c>
      <c r="W79" s="1294">
        <v>0.2</v>
      </c>
      <c r="X79" s="1489">
        <v>80</v>
      </c>
      <c r="Y79" s="1293">
        <f>IF(S79=0,0,S79/Q79)</f>
        <v>0.67482954545454543</v>
      </c>
      <c r="Z79" s="244">
        <f>R79*0.988</f>
        <v>2.5105079999999997</v>
      </c>
      <c r="AA79" s="1293">
        <f>S79*0.988</f>
        <v>11.734476000000001</v>
      </c>
      <c r="AB79" s="1291">
        <f>T79*0.988</f>
        <v>146.33268000000001</v>
      </c>
      <c r="AC79" s="1293">
        <f>U79</f>
        <v>58.288075560802838</v>
      </c>
      <c r="AD79" s="1293">
        <f>V79</f>
        <v>78.605708512250573</v>
      </c>
      <c r="AE79" s="1288">
        <f t="shared" si="14"/>
        <v>31</v>
      </c>
      <c r="AF79" s="1293">
        <f t="shared" si="30"/>
        <v>77.82574799999999</v>
      </c>
      <c r="AG79" s="1296"/>
      <c r="AI79" s="1298">
        <f t="shared" ref="AI79:AI82" si="31">(9.81*(AJ79*(100%-(V79/100))+AK79*(V79/100))*(I79-L79)+N79*101.325+9.81*(AL79)*L79)/101.325</f>
        <v>41.897912257696163</v>
      </c>
      <c r="AJ79" s="1297">
        <v>0.90310000000000001</v>
      </c>
      <c r="AK79" s="1297">
        <v>1.018</v>
      </c>
      <c r="AL79" s="1297">
        <v>6.1000000000000004E-3</v>
      </c>
    </row>
    <row r="80" spans="1:38" ht="18.75" customHeight="1" x14ac:dyDescent="0.2">
      <c r="A80" s="1273">
        <v>66</v>
      </c>
      <c r="B80" s="1274" t="s">
        <v>424</v>
      </c>
      <c r="C80" s="241" t="s">
        <v>46</v>
      </c>
      <c r="D80" s="1417">
        <v>689.4</v>
      </c>
      <c r="E80" s="1417" t="s">
        <v>616</v>
      </c>
      <c r="F80" s="241">
        <v>177.8</v>
      </c>
      <c r="G80" s="241" t="s">
        <v>28</v>
      </c>
      <c r="H80" s="1299" t="s">
        <v>466</v>
      </c>
      <c r="I80" s="1417">
        <v>604.96</v>
      </c>
      <c r="J80" s="1428">
        <v>0</v>
      </c>
      <c r="K80" s="1428"/>
      <c r="L80" s="1319"/>
      <c r="M80" s="1428"/>
      <c r="N80" s="1278"/>
      <c r="O80" s="1428"/>
      <c r="P80" s="1278">
        <f t="shared" si="15"/>
        <v>47.576830678312362</v>
      </c>
      <c r="Q80" s="1278"/>
      <c r="R80" s="244"/>
      <c r="S80" s="244"/>
      <c r="T80" s="1319"/>
      <c r="U80" s="244"/>
      <c r="V80" s="1278"/>
      <c r="W80" s="1279"/>
      <c r="X80" s="1410">
        <v>0</v>
      </c>
      <c r="Y80" s="244"/>
      <c r="Z80" s="244"/>
      <c r="AA80" s="244"/>
      <c r="AB80" s="1277"/>
      <c r="AC80" s="244"/>
      <c r="AD80" s="244"/>
      <c r="AE80" s="241"/>
      <c r="AF80" s="244"/>
      <c r="AG80" s="1281" t="s">
        <v>682</v>
      </c>
      <c r="AI80" s="1282">
        <f t="shared" si="31"/>
        <v>47.576830678312362</v>
      </c>
      <c r="AJ80" s="1252">
        <v>0.81230000000000002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67</v>
      </c>
      <c r="B81" s="1274" t="s">
        <v>567</v>
      </c>
      <c r="C81" s="241" t="s">
        <v>46</v>
      </c>
      <c r="D81" s="1417">
        <v>577.12</v>
      </c>
      <c r="E81" s="1417" t="s">
        <v>614</v>
      </c>
      <c r="F81" s="241">
        <v>177.8</v>
      </c>
      <c r="G81" s="241" t="s">
        <v>28</v>
      </c>
      <c r="H81" s="241" t="s">
        <v>464</v>
      </c>
      <c r="I81" s="1417">
        <v>537.30999999999995</v>
      </c>
      <c r="J81" s="1428">
        <v>255</v>
      </c>
      <c r="K81" s="1428"/>
      <c r="L81" s="1319">
        <v>464.2</v>
      </c>
      <c r="M81" s="1428"/>
      <c r="N81" s="1278">
        <v>5.6000000000000001E-2</v>
      </c>
      <c r="O81" s="1428"/>
      <c r="P81" s="1278">
        <f t="shared" ref="P81:P82" si="32">AI81</f>
        <v>7.0088346935883568</v>
      </c>
      <c r="Q81" s="1278">
        <f>RIGHT(H81,(FIND("T",H81,1)-0))*J81/100</f>
        <v>35.700000000000003</v>
      </c>
      <c r="R81" s="244">
        <v>4.0970000000000004</v>
      </c>
      <c r="S81" s="244">
        <v>6.548</v>
      </c>
      <c r="T81" s="1319">
        <v>5.46</v>
      </c>
      <c r="U81" s="244">
        <f t="shared" ref="U81" si="33">IF(R81=0,0,T81/R81)</f>
        <v>1.3326824505735904</v>
      </c>
      <c r="V81" s="1278">
        <f t="shared" si="19"/>
        <v>37.431276725717773</v>
      </c>
      <c r="W81" s="1279">
        <v>0.2</v>
      </c>
      <c r="X81" s="1410">
        <v>255</v>
      </c>
      <c r="Y81" s="244">
        <f>IF(S81=0,0,S81/Q81)</f>
        <v>0.18341736694677871</v>
      </c>
      <c r="Z81" s="244">
        <f t="shared" ref="Z81:AB82" si="34">R81*0.988</f>
        <v>4.0478360000000002</v>
      </c>
      <c r="AA81" s="244">
        <f t="shared" si="34"/>
        <v>6.4694240000000001</v>
      </c>
      <c r="AB81" s="1277">
        <f t="shared" si="34"/>
        <v>5.3944799999999997</v>
      </c>
      <c r="AC81" s="244">
        <f>U81</f>
        <v>1.3326824505735904</v>
      </c>
      <c r="AD81" s="244">
        <v>24.363</v>
      </c>
      <c r="AE81" s="241">
        <f t="shared" si="14"/>
        <v>31</v>
      </c>
      <c r="AF81" s="244">
        <f>Z81*AE81</f>
        <v>125.482916</v>
      </c>
      <c r="AG81" s="1281"/>
      <c r="AI81" s="1282">
        <f t="shared" si="31"/>
        <v>7.0088346935883568</v>
      </c>
      <c r="AJ81" s="1252">
        <v>0.89900000000000002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68</v>
      </c>
      <c r="B82" s="1274" t="s">
        <v>172</v>
      </c>
      <c r="C82" s="241" t="s">
        <v>46</v>
      </c>
      <c r="D82" s="241">
        <v>673.05</v>
      </c>
      <c r="E82" s="241" t="s">
        <v>615</v>
      </c>
      <c r="F82" s="241">
        <v>177.8</v>
      </c>
      <c r="G82" s="241" t="s">
        <v>28</v>
      </c>
      <c r="H82" s="241" t="s">
        <v>464</v>
      </c>
      <c r="I82" s="1417">
        <v>576.27</v>
      </c>
      <c r="J82" s="1448">
        <v>130</v>
      </c>
      <c r="K82" s="241"/>
      <c r="L82" s="1277">
        <v>0</v>
      </c>
      <c r="M82" s="241"/>
      <c r="N82" s="1278">
        <v>4.8239999999999998</v>
      </c>
      <c r="O82" s="241"/>
      <c r="P82" s="1278">
        <f t="shared" si="32"/>
        <v>60.825401173838422</v>
      </c>
      <c r="Q82" s="1278">
        <f>14*J82/100</f>
        <v>18.2</v>
      </c>
      <c r="R82" s="244">
        <v>3.6709999999999998</v>
      </c>
      <c r="S82" s="244">
        <v>24.376000000000001</v>
      </c>
      <c r="T82" s="1277">
        <v>9.8800000000000008</v>
      </c>
      <c r="U82" s="1278">
        <f t="shared" si="17"/>
        <v>2.691364750749115</v>
      </c>
      <c r="V82" s="1278">
        <f t="shared" si="19"/>
        <v>84.940105021332457</v>
      </c>
      <c r="W82" s="1279">
        <v>0.5</v>
      </c>
      <c r="X82" s="1449">
        <v>130</v>
      </c>
      <c r="Y82" s="244">
        <f>IF(S82=0,0,S82/Q82)</f>
        <v>1.3393406593406594</v>
      </c>
      <c r="Z82" s="244">
        <f t="shared" si="34"/>
        <v>3.6269479999999996</v>
      </c>
      <c r="AA82" s="244">
        <f t="shared" si="34"/>
        <v>24.083488000000003</v>
      </c>
      <c r="AB82" s="1277">
        <f t="shared" si="34"/>
        <v>9.7614400000000003</v>
      </c>
      <c r="AC82" s="244">
        <f>U82</f>
        <v>2.691364750749115</v>
      </c>
      <c r="AD82" s="1277">
        <f>V82</f>
        <v>84.940105021332457</v>
      </c>
      <c r="AE82" s="241">
        <f t="shared" si="14"/>
        <v>31</v>
      </c>
      <c r="AF82" s="244">
        <f>Z82*AE82</f>
        <v>112.43538799999999</v>
      </c>
      <c r="AG82" s="1285"/>
      <c r="AI82" s="1282">
        <f t="shared" si="31"/>
        <v>60.825401173838422</v>
      </c>
      <c r="AJ82" s="1252">
        <v>0.92330000000000001</v>
      </c>
      <c r="AK82" s="1252">
        <v>1.018</v>
      </c>
      <c r="AL82" s="1252">
        <v>6.1000000000000004E-3</v>
      </c>
    </row>
    <row r="83" spans="1:38" ht="18.75" customHeight="1" x14ac:dyDescent="0.2">
      <c r="A83" s="1347"/>
      <c r="B83" s="241"/>
      <c r="C83" s="241"/>
      <c r="D83" s="1417"/>
      <c r="E83" s="1417"/>
      <c r="F83" s="1274"/>
      <c r="G83" s="241"/>
      <c r="H83" s="241"/>
      <c r="I83" s="1417"/>
      <c r="J83" s="1428"/>
      <c r="K83" s="1428"/>
      <c r="L83" s="1428"/>
      <c r="M83" s="1428"/>
      <c r="N83" s="241"/>
      <c r="O83" s="1428"/>
      <c r="P83" s="1278"/>
      <c r="Q83" s="1269"/>
      <c r="R83" s="1348">
        <f>SUM(R15:R82)</f>
        <v>330.77099999999996</v>
      </c>
      <c r="S83" s="1348">
        <f>SUM(S15:S82)</f>
        <v>1021.9280000000001</v>
      </c>
      <c r="T83" s="1349">
        <f>SUM(T15:T82)</f>
        <v>4723.3159999999989</v>
      </c>
      <c r="U83" s="1348">
        <f>T83/R83</f>
        <v>14.279716178262301</v>
      </c>
      <c r="V83" s="1348"/>
      <c r="W83" s="1350"/>
      <c r="X83" s="1410"/>
      <c r="Y83" s="1348"/>
      <c r="Z83" s="1348">
        <f>SUM(Z15:Z82)</f>
        <v>327.59928000000019</v>
      </c>
      <c r="AA83" s="1348">
        <f>SUM(AA15:AA82)</f>
        <v>1010.1273080000001</v>
      </c>
      <c r="AB83" s="1351">
        <f>SUM(AB15:AB82)</f>
        <v>4666.6362080000008</v>
      </c>
      <c r="AC83" s="1348">
        <f>AB83/Z83</f>
        <v>14.244952577429347</v>
      </c>
      <c r="AD83" s="1348"/>
      <c r="AE83" s="1302"/>
      <c r="AF83" s="1348">
        <f>SUM(AF15:AF82)</f>
        <v>10139.437680000001</v>
      </c>
      <c r="AG83" s="1281"/>
      <c r="AI83" s="1282"/>
    </row>
    <row r="84" spans="1:38" ht="18.75" customHeight="1" x14ac:dyDescent="0.2">
      <c r="A84" s="1347"/>
      <c r="B84" s="241"/>
      <c r="C84" s="241"/>
      <c r="D84" s="1417"/>
      <c r="E84" s="1417"/>
      <c r="F84" s="1274"/>
      <c r="G84" s="241"/>
      <c r="H84" s="241"/>
      <c r="I84" s="1417"/>
      <c r="J84" s="1428"/>
      <c r="K84" s="1428"/>
      <c r="L84" s="1428"/>
      <c r="M84" s="1428"/>
      <c r="N84" s="241"/>
      <c r="O84" s="1428"/>
      <c r="P84" s="1278"/>
      <c r="Q84" s="1269"/>
      <c r="R84" s="1348"/>
      <c r="S84" s="1348"/>
      <c r="T84" s="1349"/>
      <c r="U84" s="1348"/>
      <c r="V84" s="1348"/>
      <c r="W84" s="1350"/>
      <c r="X84" s="1410"/>
      <c r="Y84" s="1348"/>
      <c r="Z84" s="1348"/>
      <c r="AA84" s="1352"/>
      <c r="AB84" s="1351"/>
      <c r="AC84" s="1348"/>
      <c r="AD84" s="1348"/>
      <c r="AE84" s="1302"/>
      <c r="AF84" s="1348"/>
      <c r="AG84" s="1281"/>
      <c r="AI84" s="1282"/>
    </row>
    <row r="85" spans="1:38" ht="18.75" customHeight="1" x14ac:dyDescent="0.2">
      <c r="A85" s="1347"/>
      <c r="B85" s="241"/>
      <c r="C85" s="241"/>
      <c r="D85" s="1417"/>
      <c r="E85" s="1416" t="s">
        <v>388</v>
      </c>
      <c r="F85" s="1274"/>
      <c r="G85" s="241"/>
      <c r="H85" s="241"/>
      <c r="I85" s="1417"/>
      <c r="J85" s="1428"/>
      <c r="K85" s="1428"/>
      <c r="L85" s="1428"/>
      <c r="M85" s="1428"/>
      <c r="N85" s="241"/>
      <c r="O85" s="1428"/>
      <c r="P85" s="1278"/>
      <c r="Q85" s="1269"/>
      <c r="R85" s="1348"/>
      <c r="S85" s="1348"/>
      <c r="T85" s="1349"/>
      <c r="U85" s="1348"/>
      <c r="V85" s="1348"/>
      <c r="W85" s="1350"/>
      <c r="X85" s="1410"/>
      <c r="Y85" s="1348"/>
      <c r="Z85" s="1348"/>
      <c r="AA85" s="1352"/>
      <c r="AB85" s="1351"/>
      <c r="AC85" s="1348"/>
      <c r="AD85" s="1348"/>
      <c r="AE85" s="1302"/>
      <c r="AF85" s="1348"/>
      <c r="AG85" s="1281"/>
      <c r="AI85" s="1282"/>
    </row>
    <row r="86" spans="1:38" ht="18.75" customHeight="1" x14ac:dyDescent="0.2">
      <c r="A86" s="1273">
        <v>69</v>
      </c>
      <c r="B86" s="1274" t="s">
        <v>505</v>
      </c>
      <c r="C86" s="241" t="s">
        <v>445</v>
      </c>
      <c r="D86" s="1417">
        <v>737.21</v>
      </c>
      <c r="E86" s="1417" t="s">
        <v>507</v>
      </c>
      <c r="F86" s="241">
        <v>177.8</v>
      </c>
      <c r="G86" s="241" t="s">
        <v>28</v>
      </c>
      <c r="H86" s="1354" t="s">
        <v>466</v>
      </c>
      <c r="I86" s="1417">
        <v>680.94</v>
      </c>
      <c r="J86" s="1428"/>
      <c r="K86" s="1428"/>
      <c r="L86" s="1428"/>
      <c r="M86" s="1428"/>
      <c r="N86" s="241"/>
      <c r="O86" s="1428"/>
      <c r="P86" s="1278"/>
      <c r="Q86" s="1269"/>
      <c r="R86" s="244"/>
      <c r="S86" s="244"/>
      <c r="T86" s="1319"/>
      <c r="U86" s="244"/>
      <c r="V86" s="244"/>
      <c r="W86" s="1355"/>
      <c r="X86" s="1410"/>
      <c r="Y86" s="244">
        <f>IF(S86=0,0,S86/Q86)</f>
        <v>0</v>
      </c>
      <c r="Z86" s="244">
        <f t="shared" ref="Z86:AB89" si="35">R86*0.988</f>
        <v>0</v>
      </c>
      <c r="AA86" s="244">
        <f t="shared" si="35"/>
        <v>0</v>
      </c>
      <c r="AB86" s="1277">
        <f t="shared" si="35"/>
        <v>0</v>
      </c>
      <c r="AC86" s="244">
        <f t="shared" ref="AC86:AD89" si="36">U86</f>
        <v>0</v>
      </c>
      <c r="AD86" s="244">
        <f t="shared" si="36"/>
        <v>0</v>
      </c>
      <c r="AE86" s="241">
        <f>(DAY(EOMONTH($AH$13,0))-AH86)</f>
        <v>31</v>
      </c>
      <c r="AF86" s="244">
        <f>Z86*AE86</f>
        <v>0</v>
      </c>
      <c r="AG86" s="1281" t="s">
        <v>682</v>
      </c>
      <c r="AI86" s="1282">
        <f>(9.81*(AJ86*(100%-(V86/100))+AK86*(V86/100))*(I86-L86)+N86*101.325+9.81*(AL86)*L86)/101.325</f>
        <v>58.978012775129535</v>
      </c>
      <c r="AJ86" s="1252">
        <v>0.89459999999999995</v>
      </c>
      <c r="AK86" s="1252">
        <v>1.018</v>
      </c>
      <c r="AL86" s="1252">
        <v>6.1000000000000004E-3</v>
      </c>
    </row>
    <row r="87" spans="1:38" ht="18.75" customHeight="1" x14ac:dyDescent="0.2">
      <c r="A87" s="1273">
        <v>70</v>
      </c>
      <c r="B87" s="1274" t="s">
        <v>504</v>
      </c>
      <c r="C87" s="241" t="s">
        <v>445</v>
      </c>
      <c r="D87" s="1417">
        <v>695.15</v>
      </c>
      <c r="E87" s="1417" t="s">
        <v>508</v>
      </c>
      <c r="F87" s="1274">
        <v>177.8</v>
      </c>
      <c r="G87" s="241" t="s">
        <v>28</v>
      </c>
      <c r="H87" s="241" t="s">
        <v>491</v>
      </c>
      <c r="I87" s="1417">
        <v>658.9</v>
      </c>
      <c r="J87" s="1428"/>
      <c r="K87" s="1428"/>
      <c r="L87" s="1428"/>
      <c r="M87" s="1428"/>
      <c r="N87" s="241"/>
      <c r="O87" s="1428"/>
      <c r="P87" s="1278"/>
      <c r="Q87" s="1269"/>
      <c r="R87" s="244"/>
      <c r="S87" s="244"/>
      <c r="T87" s="1319"/>
      <c r="U87" s="244"/>
      <c r="V87" s="244"/>
      <c r="W87" s="1355"/>
      <c r="X87" s="1410"/>
      <c r="Y87" s="244">
        <f>IF(S87=0,0,S87/Q87)</f>
        <v>0</v>
      </c>
      <c r="Z87" s="244">
        <f t="shared" si="35"/>
        <v>0</v>
      </c>
      <c r="AA87" s="244">
        <f t="shared" si="35"/>
        <v>0</v>
      </c>
      <c r="AB87" s="1277">
        <f t="shared" si="35"/>
        <v>0</v>
      </c>
      <c r="AC87" s="244">
        <f t="shared" si="36"/>
        <v>0</v>
      </c>
      <c r="AD87" s="244">
        <f t="shared" si="36"/>
        <v>0</v>
      </c>
      <c r="AE87" s="241">
        <f>(DAY(EOMONTH($AH$13,0))-AH87)</f>
        <v>31</v>
      </c>
      <c r="AF87" s="244">
        <f>Z87*AE87</f>
        <v>0</v>
      </c>
      <c r="AG87" s="1281" t="s">
        <v>682</v>
      </c>
      <c r="AI87" s="1282">
        <f>(9.81*(AJ87*(100%-(V87/100))+AK87*(V87/100))*(I87-L87)+N87*101.325+9.81*(AL87)*L87)/101.325</f>
        <v>57.069070134715027</v>
      </c>
      <c r="AJ87" s="1252">
        <v>0.89459999999999995</v>
      </c>
      <c r="AK87" s="1252">
        <v>1.018</v>
      </c>
      <c r="AL87" s="1252">
        <v>6.1000000000000004E-3</v>
      </c>
    </row>
    <row r="88" spans="1:38" ht="18.75" customHeight="1" x14ac:dyDescent="0.2">
      <c r="A88" s="1273">
        <v>71</v>
      </c>
      <c r="B88" s="1317" t="s">
        <v>220</v>
      </c>
      <c r="C88" s="241" t="s">
        <v>445</v>
      </c>
      <c r="D88" s="1417">
        <v>685.69</v>
      </c>
      <c r="E88" s="1417" t="s">
        <v>579</v>
      </c>
      <c r="F88" s="241">
        <v>177.8</v>
      </c>
      <c r="G88" s="241" t="s">
        <v>28</v>
      </c>
      <c r="H88" s="1299" t="s">
        <v>466</v>
      </c>
      <c r="I88" s="1417">
        <v>639.97</v>
      </c>
      <c r="J88" s="1428"/>
      <c r="K88" s="1428"/>
      <c r="L88" s="1428"/>
      <c r="M88" s="1428"/>
      <c r="N88" s="241"/>
      <c r="O88" s="1428"/>
      <c r="P88" s="1278"/>
      <c r="Q88" s="1269"/>
      <c r="R88" s="1356"/>
      <c r="S88" s="1356"/>
      <c r="T88" s="1356"/>
      <c r="U88" s="1356"/>
      <c r="V88" s="1356"/>
      <c r="W88" s="1357"/>
      <c r="X88" s="1410"/>
      <c r="Y88" s="244">
        <f>IF(S88=0,0,S88/Q88)</f>
        <v>0</v>
      </c>
      <c r="Z88" s="244">
        <f t="shared" si="35"/>
        <v>0</v>
      </c>
      <c r="AA88" s="244">
        <f t="shared" si="35"/>
        <v>0</v>
      </c>
      <c r="AB88" s="1277">
        <f t="shared" si="35"/>
        <v>0</v>
      </c>
      <c r="AC88" s="244">
        <f t="shared" si="36"/>
        <v>0</v>
      </c>
      <c r="AD88" s="244">
        <f t="shared" si="36"/>
        <v>0</v>
      </c>
      <c r="AE88" s="241">
        <f t="shared" ref="AE88:AE89" si="37">(DAY(EOMONTH($AH$13,0))-AH88)</f>
        <v>31</v>
      </c>
      <c r="AF88" s="244">
        <f t="shared" ref="AF88:AF89" si="38">Z88*AE88</f>
        <v>0</v>
      </c>
      <c r="AG88" s="1281" t="s">
        <v>682</v>
      </c>
      <c r="AI88" s="1282">
        <f>(9.81*(AJ88*(100%-(V88/100))+AK88*(V88/100))*(I88-L88)+N88*101.325+9.81*(AL88)*L88)/101.325</f>
        <v>55.429492812435235</v>
      </c>
      <c r="AJ88" s="1252">
        <v>0.89459999999999995</v>
      </c>
      <c r="AK88" s="1252">
        <v>1.018</v>
      </c>
      <c r="AL88" s="1252">
        <v>6.1000000000000004E-3</v>
      </c>
    </row>
    <row r="89" spans="1:38" ht="18.75" customHeight="1" x14ac:dyDescent="0.2">
      <c r="A89" s="1273">
        <v>72</v>
      </c>
      <c r="B89" s="1274" t="s">
        <v>465</v>
      </c>
      <c r="C89" s="241" t="s">
        <v>46</v>
      </c>
      <c r="D89" s="241">
        <v>571.91</v>
      </c>
      <c r="E89" s="241" t="s">
        <v>478</v>
      </c>
      <c r="F89" s="241">
        <v>177.8</v>
      </c>
      <c r="G89" s="241" t="s">
        <v>618</v>
      </c>
      <c r="H89" s="1303"/>
      <c r="I89" s="1417">
        <v>9.5</v>
      </c>
      <c r="J89" s="1428"/>
      <c r="K89" s="1428"/>
      <c r="L89" s="1428"/>
      <c r="M89" s="1428"/>
      <c r="N89" s="241"/>
      <c r="O89" s="1428"/>
      <c r="P89" s="1278"/>
      <c r="Q89" s="1269"/>
      <c r="R89" s="1348"/>
      <c r="S89" s="1348"/>
      <c r="T89" s="1349"/>
      <c r="U89" s="1348"/>
      <c r="V89" s="1348"/>
      <c r="W89" s="1350"/>
      <c r="X89" s="1410"/>
      <c r="Y89" s="244">
        <f>IF(S89=0,0,S89/Q89)</f>
        <v>0</v>
      </c>
      <c r="Z89" s="244">
        <f t="shared" si="35"/>
        <v>0</v>
      </c>
      <c r="AA89" s="244">
        <f t="shared" si="35"/>
        <v>0</v>
      </c>
      <c r="AB89" s="1277">
        <f t="shared" si="35"/>
        <v>0</v>
      </c>
      <c r="AC89" s="244">
        <f t="shared" si="36"/>
        <v>0</v>
      </c>
      <c r="AD89" s="244">
        <f t="shared" si="36"/>
        <v>0</v>
      </c>
      <c r="AE89" s="241">
        <f t="shared" si="37"/>
        <v>31</v>
      </c>
      <c r="AF89" s="244">
        <f t="shared" si="38"/>
        <v>0</v>
      </c>
      <c r="AG89" s="1281" t="s">
        <v>682</v>
      </c>
      <c r="AI89" s="1282">
        <f>(9.81*(AJ89*(100%-(V89/100))+AK89*(V89/100))*(I89-L89)+N89*101.325+9.81*(AL89)*L89)/101.325</f>
        <v>0.82282010362694302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347"/>
      <c r="B90" s="1358"/>
      <c r="C90" s="1358"/>
      <c r="D90" s="1358"/>
      <c r="E90" s="1358"/>
      <c r="F90" s="1274"/>
      <c r="G90" s="241"/>
      <c r="H90" s="241"/>
      <c r="I90" s="241"/>
      <c r="J90" s="1428"/>
      <c r="K90" s="1428"/>
      <c r="L90" s="1428"/>
      <c r="M90" s="1428"/>
      <c r="N90" s="1428"/>
      <c r="O90" s="1428"/>
      <c r="P90" s="1269"/>
      <c r="Q90" s="1269"/>
      <c r="R90" s="1348"/>
      <c r="S90" s="1348"/>
      <c r="T90" s="1349"/>
      <c r="U90" s="1348"/>
      <c r="V90" s="1348"/>
      <c r="W90" s="1350"/>
      <c r="X90" s="1410"/>
      <c r="Y90" s="1348"/>
      <c r="Z90" s="1348"/>
      <c r="AA90" s="1348"/>
      <c r="AB90" s="1351"/>
      <c r="AC90" s="1348"/>
      <c r="AD90" s="1348"/>
      <c r="AE90" s="1302"/>
      <c r="AF90" s="1348"/>
      <c r="AG90" s="1281"/>
      <c r="AI90" s="1282"/>
    </row>
    <row r="91" spans="1:38" ht="18.75" customHeight="1" x14ac:dyDescent="0.2">
      <c r="A91" s="1359"/>
      <c r="B91" s="1358"/>
      <c r="C91" s="1358"/>
      <c r="D91" s="1358"/>
      <c r="E91" s="1360" t="s">
        <v>470</v>
      </c>
      <c r="F91" s="1274"/>
      <c r="G91" s="241"/>
      <c r="H91" s="241"/>
      <c r="I91" s="241"/>
      <c r="J91" s="1428"/>
      <c r="K91" s="1428"/>
      <c r="L91" s="1428"/>
      <c r="M91" s="1428"/>
      <c r="N91" s="1428"/>
      <c r="O91" s="1428"/>
      <c r="P91" s="1269"/>
      <c r="Q91" s="1269"/>
      <c r="R91" s="1348"/>
      <c r="S91" s="1348"/>
      <c r="T91" s="1349"/>
      <c r="U91" s="1348"/>
      <c r="V91" s="1348"/>
      <c r="W91" s="1350"/>
      <c r="X91" s="1410"/>
      <c r="Y91" s="1348"/>
      <c r="Z91" s="1348"/>
      <c r="AA91" s="1348"/>
      <c r="AB91" s="1351"/>
      <c r="AC91" s="1348"/>
      <c r="AD91" s="1348"/>
      <c r="AE91" s="1302"/>
      <c r="AF91" s="1348"/>
      <c r="AG91" s="1281"/>
      <c r="AI91" s="1282"/>
    </row>
    <row r="92" spans="1:38" ht="18.75" customHeight="1" x14ac:dyDescent="0.2">
      <c r="A92" s="1273">
        <v>73</v>
      </c>
      <c r="B92" s="241" t="s">
        <v>582</v>
      </c>
      <c r="C92" s="1316" t="s">
        <v>344</v>
      </c>
      <c r="D92" s="241">
        <v>371.11</v>
      </c>
      <c r="E92" s="1318" t="s">
        <v>583</v>
      </c>
      <c r="F92" s="241">
        <v>177.8</v>
      </c>
      <c r="G92" s="241" t="s">
        <v>28</v>
      </c>
      <c r="H92" s="1299" t="s">
        <v>584</v>
      </c>
      <c r="I92" s="1417">
        <v>183.38</v>
      </c>
      <c r="J92" s="1428">
        <v>0</v>
      </c>
      <c r="K92" s="241">
        <v>0</v>
      </c>
      <c r="L92" s="241"/>
      <c r="M92" s="241">
        <v>0</v>
      </c>
      <c r="N92" s="241"/>
      <c r="O92" s="241"/>
      <c r="P92" s="1278">
        <f t="shared" ref="P92:P97" si="39">AI92</f>
        <v>16.420982671798672</v>
      </c>
      <c r="Q92" s="1269">
        <f>(13*J92)/100</f>
        <v>0</v>
      </c>
      <c r="R92" s="244"/>
      <c r="S92" s="244">
        <v>0</v>
      </c>
      <c r="T92" s="244">
        <v>0</v>
      </c>
      <c r="U92" s="244">
        <f t="shared" ref="U92" si="40">IF(R92=0,0,T92/R92)</f>
        <v>0</v>
      </c>
      <c r="V92" s="1278">
        <v>0</v>
      </c>
      <c r="W92" s="1355">
        <v>0</v>
      </c>
      <c r="X92" s="1410">
        <v>0</v>
      </c>
      <c r="Y92" s="244">
        <f>IF(S92=0,0,S92/Q92)</f>
        <v>0</v>
      </c>
      <c r="Z92" s="244">
        <f t="shared" ref="Z92:AB97" si="41">R92*0.988</f>
        <v>0</v>
      </c>
      <c r="AA92" s="244">
        <f t="shared" si="41"/>
        <v>0</v>
      </c>
      <c r="AB92" s="244">
        <f t="shared" si="41"/>
        <v>0</v>
      </c>
      <c r="AC92" s="244">
        <f>U92</f>
        <v>0</v>
      </c>
      <c r="AD92" s="244">
        <f>V92</f>
        <v>0</v>
      </c>
      <c r="AE92" s="241">
        <f>(DAY(EOMONTH($AH$13,0))-AH92)</f>
        <v>31</v>
      </c>
      <c r="AF92" s="244">
        <f t="shared" ref="AF92:AF97" si="42">Z92*AE92</f>
        <v>0</v>
      </c>
      <c r="AG92" s="1285"/>
      <c r="AI92" s="1282">
        <f t="shared" ref="AI92:AI97" si="43">(9.81*(AJ92*(100%-(V92/100))+AK92*(V92/100))*(I92-L92)+N92*101.325+9.81*(AL92)*L92)/101.325</f>
        <v>16.420982671798672</v>
      </c>
      <c r="AJ92" s="1252">
        <v>0.92490000000000006</v>
      </c>
      <c r="AK92" s="1252">
        <v>1</v>
      </c>
      <c r="AL92" s="1252">
        <v>6.1000000000000004E-3</v>
      </c>
    </row>
    <row r="93" spans="1:38" ht="18.75" customHeight="1" x14ac:dyDescent="0.2">
      <c r="A93" s="1273">
        <v>74</v>
      </c>
      <c r="B93" s="241" t="s">
        <v>131</v>
      </c>
      <c r="C93" s="1316" t="s">
        <v>344</v>
      </c>
      <c r="D93" s="241">
        <v>389.74</v>
      </c>
      <c r="E93" s="1318" t="s">
        <v>713</v>
      </c>
      <c r="F93" s="241">
        <v>177.8</v>
      </c>
      <c r="G93" s="241" t="s">
        <v>28</v>
      </c>
      <c r="H93" s="1299" t="s">
        <v>540</v>
      </c>
      <c r="I93" s="1417">
        <v>136.35</v>
      </c>
      <c r="J93" s="1428">
        <v>205</v>
      </c>
      <c r="K93" s="1428"/>
      <c r="L93" s="1319">
        <v>51.52</v>
      </c>
      <c r="M93" s="1428"/>
      <c r="N93" s="1278">
        <v>0.372</v>
      </c>
      <c r="O93" s="1428"/>
      <c r="P93" s="1278">
        <f t="shared" si="39"/>
        <v>8.251262575029747</v>
      </c>
      <c r="Q93" s="1278">
        <f>(22*J93)/100</f>
        <v>45.1</v>
      </c>
      <c r="R93" s="244">
        <v>10.954000000000001</v>
      </c>
      <c r="S93" s="244">
        <v>16.972000000000001</v>
      </c>
      <c r="T93" s="1319">
        <v>0</v>
      </c>
      <c r="U93" s="244">
        <f>T93/R93</f>
        <v>0</v>
      </c>
      <c r="V93" s="1278">
        <f t="shared" ref="V93:V96" si="44">(S93-R93)/S93*100</f>
        <v>35.45840207400424</v>
      </c>
      <c r="W93" s="1279">
        <v>0.2</v>
      </c>
      <c r="X93" s="1455">
        <v>205</v>
      </c>
      <c r="Y93" s="244">
        <f>S93/Q93</f>
        <v>0.37631929046563195</v>
      </c>
      <c r="Z93" s="244">
        <f t="shared" si="41"/>
        <v>10.822552</v>
      </c>
      <c r="AA93" s="244">
        <f t="shared" si="41"/>
        <v>16.768336000000001</v>
      </c>
      <c r="AB93" s="244">
        <f t="shared" si="41"/>
        <v>0</v>
      </c>
      <c r="AC93" s="244">
        <f>U93</f>
        <v>0</v>
      </c>
      <c r="AD93" s="244">
        <f>V93</f>
        <v>35.45840207400424</v>
      </c>
      <c r="AE93" s="241">
        <f t="shared" ref="AE93:AE97" si="45">(DAY(EOMONTH($AH$13,0))-AH93)</f>
        <v>31</v>
      </c>
      <c r="AF93" s="244">
        <f>Z93*AE93</f>
        <v>335.49911200000003</v>
      </c>
      <c r="AG93" s="1285"/>
      <c r="AI93" s="1282">
        <f t="shared" si="43"/>
        <v>8.251262575029747</v>
      </c>
      <c r="AJ93" s="1252">
        <v>0.93130000000000002</v>
      </c>
      <c r="AK93" s="1252">
        <v>1</v>
      </c>
      <c r="AL93" s="1252">
        <v>6.1000000000000004E-3</v>
      </c>
    </row>
    <row r="94" spans="1:38" ht="32.25" customHeight="1" x14ac:dyDescent="0.2">
      <c r="A94" s="1273">
        <v>75</v>
      </c>
      <c r="B94" s="241" t="s">
        <v>132</v>
      </c>
      <c r="C94" s="1316" t="s">
        <v>313</v>
      </c>
      <c r="D94" s="241">
        <v>389.09</v>
      </c>
      <c r="E94" s="1318" t="s">
        <v>135</v>
      </c>
      <c r="F94" s="241">
        <v>177.8</v>
      </c>
      <c r="G94" s="241" t="s">
        <v>28</v>
      </c>
      <c r="H94" s="241" t="s">
        <v>485</v>
      </c>
      <c r="I94" s="1417">
        <v>130.11000000000001</v>
      </c>
      <c r="J94" s="1428">
        <v>250</v>
      </c>
      <c r="K94" s="1428"/>
      <c r="L94" s="1319">
        <v>79.8</v>
      </c>
      <c r="M94" s="1428"/>
      <c r="N94" s="1278">
        <v>0.29599999999999999</v>
      </c>
      <c r="O94" s="1428"/>
      <c r="P94" s="1278">
        <f t="shared" si="39"/>
        <v>4.8877119216693803</v>
      </c>
      <c r="Q94" s="1278">
        <f>(15*J94)/100</f>
        <v>37.5</v>
      </c>
      <c r="R94" s="244">
        <v>10.957000000000001</v>
      </c>
      <c r="S94" s="244">
        <v>11.188000000000001</v>
      </c>
      <c r="T94" s="1319">
        <v>0</v>
      </c>
      <c r="U94" s="244">
        <f>T94/R94</f>
        <v>0</v>
      </c>
      <c r="V94" s="1278">
        <f t="shared" si="44"/>
        <v>2.0647121916338924</v>
      </c>
      <c r="W94" s="1279">
        <v>0.2</v>
      </c>
      <c r="X94" s="1316">
        <v>250</v>
      </c>
      <c r="Y94" s="244">
        <f>S94/Q94</f>
        <v>0.2983466666666667</v>
      </c>
      <c r="Z94" s="244">
        <f t="shared" si="41"/>
        <v>10.825516</v>
      </c>
      <c r="AA94" s="244">
        <f t="shared" si="41"/>
        <v>11.053744</v>
      </c>
      <c r="AB94" s="244">
        <f t="shared" si="41"/>
        <v>0</v>
      </c>
      <c r="AC94" s="244">
        <v>0</v>
      </c>
      <c r="AD94" s="244">
        <f>V94</f>
        <v>2.0647121916338924</v>
      </c>
      <c r="AE94" s="241">
        <f t="shared" si="45"/>
        <v>31</v>
      </c>
      <c r="AF94" s="244">
        <f t="shared" si="42"/>
        <v>335.59099600000002</v>
      </c>
      <c r="AG94" s="1285"/>
      <c r="AI94" s="1282">
        <f t="shared" si="43"/>
        <v>4.8877119216693803</v>
      </c>
      <c r="AJ94" s="1252">
        <v>0.93159999999999998</v>
      </c>
      <c r="AK94" s="1252">
        <v>1</v>
      </c>
      <c r="AL94" s="1252">
        <v>6.1000000000000004E-3</v>
      </c>
    </row>
    <row r="95" spans="1:38" ht="18.75" customHeight="1" x14ac:dyDescent="0.2">
      <c r="A95" s="1273">
        <v>76</v>
      </c>
      <c r="B95" s="241" t="s">
        <v>121</v>
      </c>
      <c r="C95" s="1316" t="s">
        <v>313</v>
      </c>
      <c r="D95" s="241">
        <v>389.57</v>
      </c>
      <c r="E95" s="241" t="s">
        <v>137</v>
      </c>
      <c r="F95" s="241">
        <v>177.8</v>
      </c>
      <c r="G95" s="241" t="s">
        <v>28</v>
      </c>
      <c r="H95" s="1303" t="s">
        <v>466</v>
      </c>
      <c r="I95" s="1417">
        <v>134.24</v>
      </c>
      <c r="J95" s="1428">
        <v>180</v>
      </c>
      <c r="K95" s="1428"/>
      <c r="L95" s="1319">
        <v>86.432000000000002</v>
      </c>
      <c r="M95" s="1428"/>
      <c r="N95" s="1278">
        <v>0.28799999999999998</v>
      </c>
      <c r="O95" s="1428"/>
      <c r="P95" s="1278">
        <f t="shared" si="39"/>
        <v>4.6935089264148493</v>
      </c>
      <c r="Q95" s="1278">
        <f>LEFT(H95,(FIND("E",H95,1)-1))*J95/100</f>
        <v>23.4</v>
      </c>
      <c r="R95" s="244">
        <v>11.178000000000001</v>
      </c>
      <c r="S95" s="244">
        <v>12.87</v>
      </c>
      <c r="T95" s="1319">
        <v>0</v>
      </c>
      <c r="U95" s="244">
        <v>0</v>
      </c>
      <c r="V95" s="1278">
        <f t="shared" si="44"/>
        <v>13.146853146853136</v>
      </c>
      <c r="W95" s="1279">
        <v>0.2</v>
      </c>
      <c r="X95" s="1457">
        <v>180</v>
      </c>
      <c r="Y95" s="244">
        <f>S95/Q95</f>
        <v>0.55000000000000004</v>
      </c>
      <c r="Z95" s="244">
        <f t="shared" si="41"/>
        <v>11.043864000000001</v>
      </c>
      <c r="AA95" s="244">
        <f t="shared" si="41"/>
        <v>12.71556</v>
      </c>
      <c r="AB95" s="244">
        <f t="shared" si="41"/>
        <v>0</v>
      </c>
      <c r="AC95" s="244">
        <v>0</v>
      </c>
      <c r="AD95" s="244">
        <v>47</v>
      </c>
      <c r="AE95" s="241">
        <f t="shared" si="45"/>
        <v>31</v>
      </c>
      <c r="AF95" s="244">
        <f t="shared" si="42"/>
        <v>342.35978400000005</v>
      </c>
      <c r="AG95" s="1281"/>
      <c r="AI95" s="1282">
        <f t="shared" si="43"/>
        <v>4.6935089264148493</v>
      </c>
      <c r="AJ95" s="1252">
        <v>0.93179999999999996</v>
      </c>
      <c r="AK95" s="1252">
        <v>1</v>
      </c>
      <c r="AL95" s="1252">
        <v>6.1000000000000004E-3</v>
      </c>
    </row>
    <row r="96" spans="1:38" ht="18.75" customHeight="1" x14ac:dyDescent="0.2">
      <c r="A96" s="1273">
        <v>77</v>
      </c>
      <c r="B96" s="241" t="s">
        <v>122</v>
      </c>
      <c r="C96" s="1316" t="s">
        <v>313</v>
      </c>
      <c r="D96" s="241">
        <v>391.06</v>
      </c>
      <c r="E96" s="241" t="s">
        <v>138</v>
      </c>
      <c r="F96" s="241">
        <v>177.8</v>
      </c>
      <c r="G96" s="241" t="s">
        <v>28</v>
      </c>
      <c r="H96" s="241" t="s">
        <v>588</v>
      </c>
      <c r="I96" s="244">
        <v>149.84</v>
      </c>
      <c r="J96" s="1428">
        <v>155</v>
      </c>
      <c r="K96" s="1428"/>
      <c r="L96" s="1319">
        <v>99.12</v>
      </c>
      <c r="M96" s="1428"/>
      <c r="N96" s="1278">
        <v>0.69199999999999995</v>
      </c>
      <c r="O96" s="1428"/>
      <c r="P96" s="1278">
        <f t="shared" si="39"/>
        <v>5.3607268151430532</v>
      </c>
      <c r="Q96" s="1278">
        <f>(15*J96)/100</f>
        <v>23.25</v>
      </c>
      <c r="R96" s="244">
        <v>8.3480000000000008</v>
      </c>
      <c r="S96" s="244">
        <v>9.1720000000000006</v>
      </c>
      <c r="T96" s="1319">
        <v>0</v>
      </c>
      <c r="U96" s="244">
        <f>T96/R96</f>
        <v>0</v>
      </c>
      <c r="V96" s="1278">
        <f t="shared" si="44"/>
        <v>8.9838639337112927</v>
      </c>
      <c r="W96" s="1279">
        <v>0.2</v>
      </c>
      <c r="X96" s="1457">
        <v>155</v>
      </c>
      <c r="Y96" s="244">
        <f>S96/Q96</f>
        <v>0.39449462365591398</v>
      </c>
      <c r="Z96" s="244">
        <f t="shared" si="41"/>
        <v>8.2478240000000014</v>
      </c>
      <c r="AA96" s="244">
        <f t="shared" si="41"/>
        <v>9.0619360000000011</v>
      </c>
      <c r="AB96" s="244">
        <f t="shared" si="41"/>
        <v>0</v>
      </c>
      <c r="AC96" s="244">
        <f>U96</f>
        <v>0</v>
      </c>
      <c r="AD96" s="244">
        <f>V96</f>
        <v>8.9838639337112927</v>
      </c>
      <c r="AE96" s="241">
        <f t="shared" si="45"/>
        <v>31</v>
      </c>
      <c r="AF96" s="244">
        <f t="shared" si="42"/>
        <v>255.68254400000004</v>
      </c>
      <c r="AG96" s="1363"/>
      <c r="AI96" s="1282">
        <f t="shared" si="43"/>
        <v>5.3607268151430532</v>
      </c>
      <c r="AJ96" s="1252">
        <v>0.93220000000000003</v>
      </c>
      <c r="AK96" s="1252">
        <v>1.006</v>
      </c>
      <c r="AL96" s="1252">
        <v>6.1000000000000004E-3</v>
      </c>
    </row>
    <row r="97" spans="1:38" ht="18.75" customHeight="1" x14ac:dyDescent="0.2">
      <c r="A97" s="1273">
        <v>78</v>
      </c>
      <c r="B97" s="241" t="s">
        <v>697</v>
      </c>
      <c r="C97" s="1316" t="s">
        <v>344</v>
      </c>
      <c r="D97" s="241">
        <v>383.1</v>
      </c>
      <c r="E97" s="241" t="s">
        <v>698</v>
      </c>
      <c r="F97" s="241">
        <v>177.8</v>
      </c>
      <c r="G97" s="241" t="s">
        <v>28</v>
      </c>
      <c r="H97" s="1299" t="s">
        <v>466</v>
      </c>
      <c r="I97" s="244">
        <v>206.52</v>
      </c>
      <c r="J97" s="241">
        <v>110</v>
      </c>
      <c r="K97" s="1302"/>
      <c r="L97" s="1277">
        <v>46</v>
      </c>
      <c r="M97" s="1302"/>
      <c r="N97" s="241">
        <v>1.1000000000000001</v>
      </c>
      <c r="O97" s="1302"/>
      <c r="P97" s="1278">
        <f t="shared" si="39"/>
        <v>15.769896647360378</v>
      </c>
      <c r="Q97" s="1269">
        <f>(13*J97)/100</f>
        <v>14.3</v>
      </c>
      <c r="R97" s="244">
        <v>6.3330000000000002</v>
      </c>
      <c r="S97" s="244">
        <v>7.91</v>
      </c>
      <c r="T97" s="244">
        <v>1</v>
      </c>
      <c r="U97" s="244">
        <f>T97/R97</f>
        <v>0.15790304752881731</v>
      </c>
      <c r="V97" s="1278">
        <f>(S97-R97)/S97*100</f>
        <v>19.936788874841969</v>
      </c>
      <c r="W97" s="1355">
        <v>0.2</v>
      </c>
      <c r="X97" s="1457">
        <v>125</v>
      </c>
      <c r="Y97" s="244">
        <f>S97/Q97</f>
        <v>0.55314685314685308</v>
      </c>
      <c r="Z97" s="244">
        <f t="shared" si="41"/>
        <v>6.2570040000000002</v>
      </c>
      <c r="AA97" s="244">
        <f t="shared" si="41"/>
        <v>7.81508</v>
      </c>
      <c r="AB97" s="244">
        <f t="shared" si="41"/>
        <v>0.98799999999999999</v>
      </c>
      <c r="AC97" s="244">
        <f>U97</f>
        <v>0.15790304752881731</v>
      </c>
      <c r="AD97" s="244">
        <f>V97</f>
        <v>19.936788874841969</v>
      </c>
      <c r="AE97" s="241">
        <f t="shared" si="45"/>
        <v>31</v>
      </c>
      <c r="AF97" s="244">
        <f t="shared" si="42"/>
        <v>193.96712400000001</v>
      </c>
      <c r="AG97" s="1363"/>
      <c r="AI97" s="1282">
        <f t="shared" si="43"/>
        <v>15.769896647360378</v>
      </c>
      <c r="AJ97" s="1252">
        <v>0.92779999999999996</v>
      </c>
      <c r="AK97" s="1252">
        <v>1</v>
      </c>
      <c r="AL97" s="1252">
        <v>6.1000000000000004E-3</v>
      </c>
    </row>
    <row r="98" spans="1:38" ht="18.75" customHeight="1" x14ac:dyDescent="0.2">
      <c r="A98" s="1273">
        <v>79</v>
      </c>
      <c r="B98" s="241" t="s">
        <v>188</v>
      </c>
      <c r="C98" s="1316" t="s">
        <v>344</v>
      </c>
      <c r="D98" s="241">
        <v>224.89</v>
      </c>
      <c r="E98" s="241" t="s">
        <v>385</v>
      </c>
      <c r="F98" s="241">
        <v>177.8</v>
      </c>
      <c r="G98" s="241" t="s">
        <v>28</v>
      </c>
      <c r="H98" s="241" t="s">
        <v>383</v>
      </c>
      <c r="I98" s="244">
        <v>144.54</v>
      </c>
      <c r="J98" s="241"/>
      <c r="K98" s="1302"/>
      <c r="L98" s="241"/>
      <c r="M98" s="1302"/>
      <c r="N98" s="241"/>
      <c r="O98" s="1302"/>
      <c r="P98" s="1278"/>
      <c r="Q98" s="1269"/>
      <c r="R98" s="244"/>
      <c r="S98" s="244"/>
      <c r="T98" s="244"/>
      <c r="U98" s="244"/>
      <c r="V98" s="244"/>
      <c r="W98" s="1355"/>
      <c r="X98" s="1316"/>
      <c r="Y98" s="244"/>
      <c r="Z98" s="244"/>
      <c r="AA98" s="244"/>
      <c r="AB98" s="244"/>
      <c r="AC98" s="244"/>
      <c r="AD98" s="244"/>
      <c r="AE98" s="241"/>
      <c r="AF98" s="244"/>
      <c r="AG98" s="1281" t="s">
        <v>682</v>
      </c>
    </row>
    <row r="99" spans="1:38" ht="18.75" customHeight="1" x14ac:dyDescent="0.2">
      <c r="A99" s="1273">
        <v>80</v>
      </c>
      <c r="B99" s="241" t="s">
        <v>186</v>
      </c>
      <c r="C99" s="1316" t="s">
        <v>346</v>
      </c>
      <c r="D99" s="241">
        <v>349.5</v>
      </c>
      <c r="E99" s="1274" t="s">
        <v>347</v>
      </c>
      <c r="F99" s="241">
        <v>177.8</v>
      </c>
      <c r="G99" s="241" t="s">
        <v>618</v>
      </c>
      <c r="H99" s="1299" t="s">
        <v>466</v>
      </c>
      <c r="I99" s="244">
        <v>9</v>
      </c>
      <c r="J99" s="241"/>
      <c r="K99" s="241"/>
      <c r="L99" s="241"/>
      <c r="M99" s="1302"/>
      <c r="N99" s="241"/>
      <c r="O99" s="1302"/>
      <c r="P99" s="1278"/>
      <c r="Q99" s="1269"/>
      <c r="R99" s="244"/>
      <c r="S99" s="244"/>
      <c r="T99" s="244"/>
      <c r="U99" s="244"/>
      <c r="V99" s="244"/>
      <c r="W99" s="1355"/>
      <c r="X99" s="1316"/>
      <c r="Y99" s="244"/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8" ht="18.75" customHeight="1" x14ac:dyDescent="0.2">
      <c r="A100" s="1273">
        <v>81</v>
      </c>
      <c r="B100" s="241" t="s">
        <v>57</v>
      </c>
      <c r="C100" s="1316" t="s">
        <v>346</v>
      </c>
      <c r="D100" s="241">
        <v>376.58</v>
      </c>
      <c r="E100" s="1274" t="s">
        <v>568</v>
      </c>
      <c r="F100" s="241">
        <v>177.8</v>
      </c>
      <c r="G100" s="241" t="s">
        <v>28</v>
      </c>
      <c r="H100" s="1299" t="s">
        <v>466</v>
      </c>
      <c r="I100" s="1417">
        <v>131.13</v>
      </c>
      <c r="J100" s="1448">
        <v>0</v>
      </c>
      <c r="K100" s="241"/>
      <c r="L100" s="241">
        <v>0</v>
      </c>
      <c r="M100" s="241"/>
      <c r="N100" s="1278">
        <v>0</v>
      </c>
      <c r="O100" s="241"/>
      <c r="P100" s="1278">
        <v>15.793855791841201</v>
      </c>
      <c r="Q100" s="1278">
        <f>(32/100)*J100</f>
        <v>0</v>
      </c>
      <c r="R100" s="244"/>
      <c r="S100" s="244">
        <v>0</v>
      </c>
      <c r="T100" s="1277">
        <v>0</v>
      </c>
      <c r="U100" s="1278">
        <f t="shared" ref="U100:U101" si="46">IF(R100=0,0,T100/R100)</f>
        <v>0</v>
      </c>
      <c r="V100" s="1278">
        <v>0.5</v>
      </c>
      <c r="W100" s="1279">
        <v>0.3</v>
      </c>
      <c r="X100" s="1449">
        <v>0</v>
      </c>
      <c r="Y100" s="244"/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82</v>
      </c>
      <c r="B101" s="241" t="s">
        <v>184</v>
      </c>
      <c r="C101" s="1316" t="s">
        <v>314</v>
      </c>
      <c r="D101" s="241">
        <v>422.78</v>
      </c>
      <c r="E101" s="1274" t="s">
        <v>573</v>
      </c>
      <c r="F101" s="241">
        <v>177.8</v>
      </c>
      <c r="G101" s="241" t="s">
        <v>28</v>
      </c>
      <c r="H101" s="1299" t="s">
        <v>466</v>
      </c>
      <c r="I101" s="1417">
        <v>209.37</v>
      </c>
      <c r="J101" s="1448">
        <v>0</v>
      </c>
      <c r="K101" s="241"/>
      <c r="L101" s="241">
        <v>0</v>
      </c>
      <c r="M101" s="241"/>
      <c r="N101" s="1278">
        <v>0</v>
      </c>
      <c r="O101" s="241"/>
      <c r="P101" s="1278">
        <v>15.793855791841201</v>
      </c>
      <c r="Q101" s="1278">
        <f>(32/100)*J101</f>
        <v>0</v>
      </c>
      <c r="R101" s="244"/>
      <c r="S101" s="244">
        <v>0</v>
      </c>
      <c r="T101" s="1277">
        <v>0</v>
      </c>
      <c r="U101" s="1278">
        <f t="shared" si="46"/>
        <v>0</v>
      </c>
      <c r="V101" s="1278">
        <v>0.3</v>
      </c>
      <c r="W101" s="1279">
        <v>0.3</v>
      </c>
      <c r="X101" s="1449">
        <v>0</v>
      </c>
      <c r="Y101" s="244"/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347"/>
      <c r="B102" s="1364"/>
      <c r="C102" s="1365"/>
      <c r="D102" s="1365"/>
      <c r="E102" s="1366"/>
      <c r="F102" s="1417"/>
      <c r="G102" s="1415"/>
      <c r="H102" s="1416"/>
      <c r="I102" s="1416"/>
      <c r="J102" s="1428"/>
      <c r="K102" s="1428"/>
      <c r="L102" s="1428"/>
      <c r="M102" s="1428"/>
      <c r="N102" s="1428"/>
      <c r="O102" s="1428"/>
      <c r="P102" s="1269"/>
      <c r="Q102" s="1269"/>
      <c r="R102" s="1348">
        <f>SUM(R93:R99)</f>
        <v>47.769999999999996</v>
      </c>
      <c r="S102" s="1348">
        <f>SUM(S93:S99)</f>
        <v>58.111999999999995</v>
      </c>
      <c r="T102" s="1348">
        <f>SUM(T93:T96)</f>
        <v>0</v>
      </c>
      <c r="U102" s="1348">
        <f>SUM(U93:U96)</f>
        <v>0</v>
      </c>
      <c r="V102" s="1426"/>
      <c r="W102" s="1432"/>
      <c r="X102" s="1410"/>
      <c r="Y102" s="1426"/>
      <c r="Z102" s="1348">
        <f>SUM(Z93:Z99)</f>
        <v>47.196760000000005</v>
      </c>
      <c r="AA102" s="1348">
        <f>SUM(AA93:AA99)</f>
        <v>57.414656000000001</v>
      </c>
      <c r="AB102" s="1348">
        <f>SUM(AB93:AB96)</f>
        <v>0</v>
      </c>
      <c r="AC102" s="1348">
        <f>AB102/Z102</f>
        <v>0</v>
      </c>
      <c r="AD102" s="1426"/>
      <c r="AE102" s="1428"/>
      <c r="AF102" s="1348">
        <f>SUM(AF93:AF99)</f>
        <v>1463.0995600000001</v>
      </c>
      <c r="AG102" s="1368"/>
    </row>
    <row r="103" spans="1:38" ht="18.75" customHeight="1" x14ac:dyDescent="0.2">
      <c r="A103" s="1347"/>
      <c r="B103" s="1364"/>
      <c r="C103" s="1365"/>
      <c r="D103" s="1365"/>
      <c r="E103" s="1366"/>
      <c r="F103" s="1302"/>
      <c r="G103" s="241"/>
      <c r="H103" s="241"/>
      <c r="I103" s="244"/>
      <c r="J103" s="241"/>
      <c r="K103" s="1302"/>
      <c r="L103" s="241"/>
      <c r="M103" s="1302"/>
      <c r="N103" s="1278"/>
      <c r="O103" s="1302"/>
      <c r="P103" s="1369"/>
      <c r="Q103" s="1369"/>
      <c r="R103" s="1348"/>
      <c r="S103" s="1348"/>
      <c r="T103" s="1348"/>
      <c r="U103" s="1348"/>
      <c r="V103" s="1348"/>
      <c r="W103" s="1350"/>
      <c r="X103" s="1316"/>
      <c r="Y103" s="1348"/>
      <c r="Z103" s="1348"/>
      <c r="AA103" s="1351"/>
      <c r="AB103" s="1348"/>
      <c r="AC103" s="1348"/>
      <c r="AD103" s="1348"/>
      <c r="AE103" s="1348"/>
      <c r="AF103" s="1348"/>
      <c r="AG103" s="1363"/>
    </row>
    <row r="104" spans="1:38" ht="18.75" customHeight="1" x14ac:dyDescent="0.2">
      <c r="A104" s="1347"/>
      <c r="B104" s="1370"/>
      <c r="C104" s="1371"/>
      <c r="D104" s="1371"/>
      <c r="E104" s="1262" t="s">
        <v>472</v>
      </c>
      <c r="F104" s="1371"/>
      <c r="G104" s="1415"/>
      <c r="H104" s="1416"/>
      <c r="I104" s="1416"/>
      <c r="J104" s="1428"/>
      <c r="K104" s="1428"/>
      <c r="L104" s="1428"/>
      <c r="M104" s="1428"/>
      <c r="N104" s="1428"/>
      <c r="O104" s="1428"/>
      <c r="P104" s="1269"/>
      <c r="Q104" s="1269"/>
      <c r="R104" s="1428"/>
      <c r="S104" s="1428"/>
      <c r="T104" s="1428"/>
      <c r="U104" s="1426"/>
      <c r="V104" s="1426"/>
      <c r="W104" s="1432"/>
      <c r="X104" s="1410"/>
      <c r="Y104" s="1426"/>
      <c r="Z104" s="1506"/>
      <c r="AA104" s="1428"/>
      <c r="AB104" s="1428"/>
      <c r="AC104" s="1426"/>
      <c r="AD104" s="1426"/>
      <c r="AE104" s="1428"/>
      <c r="AF104" s="1428"/>
      <c r="AG104" s="1425"/>
    </row>
    <row r="105" spans="1:38" ht="18.75" customHeight="1" x14ac:dyDescent="0.2">
      <c r="A105" s="1273">
        <v>83</v>
      </c>
      <c r="B105" s="1317" t="s">
        <v>107</v>
      </c>
      <c r="C105" s="1417" t="s">
        <v>109</v>
      </c>
      <c r="D105" s="1417"/>
      <c r="E105" s="1417"/>
      <c r="F105" s="1417"/>
      <c r="G105" s="1415"/>
      <c r="H105" s="1416"/>
      <c r="I105" s="1416"/>
      <c r="J105" s="1428"/>
      <c r="K105" s="1428"/>
      <c r="L105" s="1428"/>
      <c r="M105" s="1428"/>
      <c r="N105" s="1428"/>
      <c r="O105" s="1428"/>
      <c r="P105" s="1269"/>
      <c r="Q105" s="1269"/>
      <c r="R105" s="1428"/>
      <c r="S105" s="1428"/>
      <c r="T105" s="1428"/>
      <c r="U105" s="1426"/>
      <c r="V105" s="1426"/>
      <c r="W105" s="1432"/>
      <c r="X105" s="1410"/>
      <c r="Y105" s="1426"/>
      <c r="Z105" s="1505"/>
      <c r="AA105" s="1427"/>
      <c r="AB105" s="1428"/>
      <c r="AC105" s="1426"/>
      <c r="AD105" s="1426"/>
      <c r="AE105" s="1373"/>
      <c r="AF105" s="1428"/>
      <c r="AG105" s="1425"/>
    </row>
    <row r="106" spans="1:38" ht="18.75" customHeight="1" x14ac:dyDescent="0.2">
      <c r="A106" s="1273">
        <v>84</v>
      </c>
      <c r="B106" s="1317" t="s">
        <v>108</v>
      </c>
      <c r="C106" s="1417" t="s">
        <v>109</v>
      </c>
      <c r="D106" s="1417"/>
      <c r="E106" s="1417"/>
      <c r="F106" s="1417"/>
      <c r="G106" s="1415"/>
      <c r="H106" s="1416"/>
      <c r="I106" s="1416"/>
      <c r="J106" s="1428"/>
      <c r="K106" s="1428"/>
      <c r="L106" s="1428"/>
      <c r="M106" s="1428"/>
      <c r="N106" s="1428"/>
      <c r="O106" s="1428"/>
      <c r="P106" s="1269"/>
      <c r="Q106" s="1269"/>
      <c r="R106" s="1301"/>
      <c r="S106" s="1428"/>
      <c r="T106" s="1428"/>
      <c r="U106" s="1426"/>
      <c r="V106" s="1426"/>
      <c r="W106" s="1432"/>
      <c r="X106" s="1410"/>
      <c r="Y106" s="1426"/>
      <c r="Z106" s="1505"/>
      <c r="AA106" s="1427"/>
      <c r="AB106" s="1428"/>
      <c r="AC106" s="1426"/>
      <c r="AD106" s="1426"/>
      <c r="AE106" s="1373"/>
      <c r="AF106" s="1428"/>
      <c r="AG106" s="1425"/>
    </row>
    <row r="107" spans="1:38" ht="18.75" customHeight="1" x14ac:dyDescent="0.2">
      <c r="A107" s="1273">
        <v>85</v>
      </c>
      <c r="B107" s="1317" t="s">
        <v>195</v>
      </c>
      <c r="C107" s="1316" t="s">
        <v>484</v>
      </c>
      <c r="D107" s="1417"/>
      <c r="E107" s="1417"/>
      <c r="F107" s="1417"/>
      <c r="G107" s="1415"/>
      <c r="H107" s="1416"/>
      <c r="I107" s="1416"/>
      <c r="J107" s="1428"/>
      <c r="K107" s="1428"/>
      <c r="L107" s="1428"/>
      <c r="M107" s="1428"/>
      <c r="N107" s="1428"/>
      <c r="O107" s="1428"/>
      <c r="P107" s="1269"/>
      <c r="Q107" s="1269"/>
      <c r="R107" s="1428"/>
      <c r="S107" s="1428"/>
      <c r="T107" s="1428"/>
      <c r="U107" s="1426"/>
      <c r="V107" s="1426"/>
      <c r="W107" s="1432"/>
      <c r="X107" s="1410"/>
      <c r="Y107" s="1426"/>
      <c r="Z107" s="1505"/>
      <c r="AA107" s="1427"/>
      <c r="AB107" s="1428"/>
      <c r="AC107" s="1426"/>
      <c r="AD107" s="1426"/>
      <c r="AE107" s="1373"/>
      <c r="AF107" s="1428"/>
      <c r="AG107" s="1285"/>
    </row>
    <row r="108" spans="1:38" ht="18.75" customHeight="1" x14ac:dyDescent="0.2">
      <c r="A108" s="1273">
        <v>86</v>
      </c>
      <c r="B108" s="1317" t="s">
        <v>192</v>
      </c>
      <c r="C108" s="1316" t="s">
        <v>484</v>
      </c>
      <c r="D108" s="1417"/>
      <c r="E108" s="1417"/>
      <c r="F108" s="1417"/>
      <c r="G108" s="1415"/>
      <c r="H108" s="1416"/>
      <c r="I108" s="1416"/>
      <c r="J108" s="1428"/>
      <c r="K108" s="1428"/>
      <c r="L108" s="1428"/>
      <c r="M108" s="1428"/>
      <c r="N108" s="1428"/>
      <c r="O108" s="1428"/>
      <c r="P108" s="1269"/>
      <c r="Q108" s="1269"/>
      <c r="R108" s="1428"/>
      <c r="S108" s="1428"/>
      <c r="T108" s="1428"/>
      <c r="U108" s="1426"/>
      <c r="V108" s="1426"/>
      <c r="W108" s="1432"/>
      <c r="X108" s="1410"/>
      <c r="Y108" s="1426"/>
      <c r="Z108" s="1505"/>
      <c r="AA108" s="1427"/>
      <c r="AB108" s="1428"/>
      <c r="AC108" s="1426"/>
      <c r="AD108" s="1426"/>
      <c r="AE108" s="1373"/>
      <c r="AF108" s="1428"/>
      <c r="AG108" s="1285"/>
    </row>
    <row r="109" spans="1:38" ht="18.75" customHeight="1" x14ac:dyDescent="0.2">
      <c r="A109" s="1273"/>
      <c r="B109" s="1262"/>
      <c r="C109" s="1371"/>
      <c r="D109" s="1371"/>
      <c r="E109" s="1416" t="s">
        <v>278</v>
      </c>
      <c r="F109" s="1371"/>
      <c r="G109" s="1415"/>
      <c r="H109" s="1416"/>
      <c r="I109" s="1416"/>
      <c r="J109" s="1428"/>
      <c r="K109" s="1428"/>
      <c r="L109" s="1428"/>
      <c r="M109" s="1428"/>
      <c r="N109" s="1428"/>
      <c r="O109" s="1428"/>
      <c r="P109" s="1269"/>
      <c r="Q109" s="1269"/>
      <c r="R109" s="1428"/>
      <c r="S109" s="1428"/>
      <c r="T109" s="1428"/>
      <c r="U109" s="1426"/>
      <c r="V109" s="1426"/>
      <c r="W109" s="1432"/>
      <c r="X109" s="1410"/>
      <c r="Y109" s="1426"/>
      <c r="Z109" s="1301"/>
      <c r="AA109" s="1428"/>
      <c r="AB109" s="1428"/>
      <c r="AC109" s="1426"/>
      <c r="AD109" s="1426"/>
      <c r="AE109" s="1428"/>
      <c r="AF109" s="1428"/>
      <c r="AG109" s="1425"/>
    </row>
    <row r="110" spans="1:38" ht="18.75" customHeight="1" x14ac:dyDescent="0.25">
      <c r="A110" s="1273">
        <v>87</v>
      </c>
      <c r="B110" s="1274" t="s">
        <v>181</v>
      </c>
      <c r="C110" s="1374" t="s">
        <v>344</v>
      </c>
      <c r="D110" s="241">
        <v>374.5</v>
      </c>
      <c r="E110" s="241" t="s">
        <v>182</v>
      </c>
      <c r="F110" s="241">
        <v>177.8</v>
      </c>
      <c r="G110" s="241"/>
      <c r="H110" s="241"/>
      <c r="I110" s="1417"/>
      <c r="J110" s="241"/>
      <c r="K110" s="241"/>
      <c r="L110" s="241"/>
      <c r="M110" s="241"/>
      <c r="N110" s="1278"/>
      <c r="O110" s="241"/>
      <c r="P110" s="244"/>
      <c r="Q110" s="1278"/>
      <c r="R110" s="244"/>
      <c r="S110" s="244"/>
      <c r="T110" s="244"/>
      <c r="U110" s="244"/>
      <c r="V110" s="244"/>
      <c r="W110" s="1355"/>
      <c r="X110" s="1316"/>
      <c r="Y110" s="1375"/>
      <c r="Z110" s="244"/>
      <c r="AA110" s="244"/>
      <c r="AB110" s="244"/>
      <c r="AC110" s="244"/>
      <c r="AD110" s="244"/>
      <c r="AE110" s="241"/>
      <c r="AF110" s="244"/>
      <c r="AG110" s="1285"/>
    </row>
    <row r="111" spans="1:38" ht="18.75" customHeight="1" x14ac:dyDescent="0.2">
      <c r="A111" s="1273">
        <v>88</v>
      </c>
      <c r="B111" s="1317" t="s">
        <v>160</v>
      </c>
      <c r="C111" s="241" t="s">
        <v>46</v>
      </c>
      <c r="D111" s="1417">
        <v>625.1</v>
      </c>
      <c r="E111" s="1417" t="s">
        <v>578</v>
      </c>
      <c r="F111" s="241">
        <v>177.8</v>
      </c>
      <c r="G111" s="241"/>
      <c r="H111" s="241"/>
      <c r="I111" s="244"/>
      <c r="J111" s="1428"/>
      <c r="K111" s="1428"/>
      <c r="L111" s="1428"/>
      <c r="M111" s="1428"/>
      <c r="N111" s="1428"/>
      <c r="O111" s="1428"/>
      <c r="P111" s="1269"/>
      <c r="Q111" s="1269"/>
      <c r="R111" s="1428"/>
      <c r="S111" s="1428"/>
      <c r="T111" s="1428"/>
      <c r="U111" s="1426"/>
      <c r="V111" s="1426"/>
      <c r="W111" s="1432"/>
      <c r="X111" s="1410"/>
      <c r="Y111" s="1376"/>
      <c r="Z111" s="1319"/>
      <c r="AA111" s="1428"/>
      <c r="AB111" s="1428"/>
      <c r="AC111" s="1426"/>
      <c r="AD111" s="1428"/>
      <c r="AE111" s="1373"/>
      <c r="AF111" s="1301"/>
      <c r="AG111" s="1285"/>
    </row>
    <row r="112" spans="1:38" ht="18.75" customHeight="1" x14ac:dyDescent="0.2">
      <c r="A112" s="1273"/>
      <c r="B112" s="1356"/>
      <c r="C112" s="1356"/>
      <c r="D112" s="1356"/>
      <c r="E112" s="1356"/>
      <c r="F112" s="1356"/>
      <c r="G112" s="241"/>
      <c r="H112" s="241"/>
      <c r="I112" s="1417"/>
      <c r="J112" s="1428"/>
      <c r="K112" s="1428"/>
      <c r="L112" s="1428"/>
      <c r="M112" s="1428"/>
      <c r="N112" s="1428"/>
      <c r="O112" s="1428"/>
      <c r="P112" s="1269"/>
      <c r="Q112" s="1270"/>
      <c r="R112" s="1428"/>
      <c r="S112" s="1428"/>
      <c r="T112" s="1428"/>
      <c r="U112" s="1426"/>
      <c r="V112" s="1426"/>
      <c r="W112" s="1432"/>
      <c r="X112" s="1410"/>
      <c r="Y112" s="1376"/>
      <c r="Z112" s="1319"/>
      <c r="AA112" s="1428"/>
      <c r="AB112" s="1428"/>
      <c r="AC112" s="1426"/>
      <c r="AD112" s="1428"/>
      <c r="AE112" s="1373"/>
      <c r="AF112" s="1301"/>
      <c r="AG112" s="1285"/>
    </row>
    <row r="113" spans="1:33" ht="18.75" customHeight="1" x14ac:dyDescent="0.2">
      <c r="A113" s="1273"/>
      <c r="B113" s="1274"/>
      <c r="C113" s="241"/>
      <c r="D113" s="241"/>
      <c r="E113" s="241"/>
      <c r="F113" s="241"/>
      <c r="G113" s="241"/>
      <c r="H113" s="241"/>
      <c r="I113" s="1417"/>
      <c r="J113" s="241"/>
      <c r="K113" s="241"/>
      <c r="L113" s="241"/>
      <c r="M113" s="241"/>
      <c r="N113" s="1278"/>
      <c r="O113" s="241"/>
      <c r="P113" s="244"/>
      <c r="Q113" s="1377"/>
      <c r="R113" s="244"/>
      <c r="S113" s="244"/>
      <c r="T113" s="244"/>
      <c r="U113" s="244"/>
      <c r="V113" s="244"/>
      <c r="W113" s="1355"/>
      <c r="X113" s="1316"/>
      <c r="Y113" s="1375"/>
      <c r="Z113" s="244"/>
      <c r="AA113" s="244"/>
      <c r="AB113" s="244"/>
      <c r="AC113" s="244"/>
      <c r="AD113" s="244"/>
      <c r="AE113" s="241"/>
      <c r="AF113" s="244"/>
      <c r="AG113" s="1285"/>
    </row>
    <row r="114" spans="1:33" ht="15" x14ac:dyDescent="0.2">
      <c r="A114" s="1359"/>
      <c r="B114" s="241"/>
      <c r="C114" s="241"/>
      <c r="D114" s="241"/>
      <c r="E114" s="1274"/>
      <c r="F114" s="241"/>
      <c r="G114" s="241"/>
      <c r="H114" s="241"/>
      <c r="I114" s="1417"/>
      <c r="J114" s="241"/>
      <c r="K114" s="241"/>
      <c r="L114" s="241"/>
      <c r="M114" s="241"/>
      <c r="N114" s="1278"/>
      <c r="O114" s="241"/>
      <c r="P114" s="244"/>
      <c r="Q114" s="1377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5.75" thickBot="1" x14ac:dyDescent="0.25">
      <c r="A115" s="1378"/>
      <c r="B115" s="1981"/>
      <c r="C115" s="1981"/>
      <c r="D115" s="1981"/>
      <c r="E115" s="1982"/>
      <c r="F115" s="1379"/>
      <c r="G115" s="1380"/>
      <c r="H115" s="1380"/>
      <c r="I115" s="1381"/>
      <c r="J115" s="1380"/>
      <c r="K115" s="1379"/>
      <c r="L115" s="1380"/>
      <c r="M115" s="1379"/>
      <c r="N115" s="1383"/>
      <c r="O115" s="1379"/>
      <c r="P115" s="1384"/>
      <c r="Q115" s="1385"/>
      <c r="R115" s="1386">
        <f>R83+R90+R102</f>
        <v>378.54099999999994</v>
      </c>
      <c r="S115" s="1386">
        <f>S83+S90+S102</f>
        <v>1080.0400000000002</v>
      </c>
      <c r="T115" s="1387">
        <f>T83+T90+T102</f>
        <v>4723.3159999999989</v>
      </c>
      <c r="U115" s="1386">
        <f>T115/R115</f>
        <v>12.477686697081689</v>
      </c>
      <c r="V115" s="1386"/>
      <c r="W115" s="1388"/>
      <c r="X115" s="1456"/>
      <c r="Y115" s="1386"/>
      <c r="Z115" s="1386">
        <f>Z83+Z90+Z102</f>
        <v>374.79604000000018</v>
      </c>
      <c r="AA115" s="1386">
        <f>AA83+AA102+AA90</f>
        <v>1067.541964</v>
      </c>
      <c r="AB115" s="1387">
        <f>AB83+AB102+AB90</f>
        <v>4666.6362080000008</v>
      </c>
      <c r="AC115" s="1386">
        <f>AC83+AC102+AC90</f>
        <v>14.244952577429347</v>
      </c>
      <c r="AD115" s="1386"/>
      <c r="AE115" s="1386"/>
      <c r="AF115" s="1390">
        <f>AF83+AF90+AF102</f>
        <v>11602.537240000001</v>
      </c>
      <c r="AG115" s="1391"/>
    </row>
    <row r="116" spans="1:33" ht="15" x14ac:dyDescent="0.2">
      <c r="B116" s="254"/>
      <c r="C116" s="254"/>
      <c r="D116" s="254"/>
      <c r="E116" s="254"/>
      <c r="F116" s="254"/>
      <c r="G116" s="255"/>
      <c r="H116" s="256"/>
      <c r="I116" s="256"/>
      <c r="J116" s="254"/>
      <c r="K116" s="254"/>
      <c r="L116" s="254"/>
      <c r="M116" s="254"/>
      <c r="N116" s="254"/>
      <c r="O116" s="254"/>
      <c r="P116" s="257"/>
      <c r="Q116" s="1393"/>
      <c r="R116" s="254"/>
      <c r="S116" s="254"/>
      <c r="T116" s="254"/>
      <c r="U116" s="255"/>
      <c r="V116" s="255"/>
      <c r="W116" s="255"/>
      <c r="X116" s="254"/>
      <c r="Y116" s="255"/>
      <c r="Z116" s="254"/>
      <c r="AA116" s="254"/>
      <c r="AB116" s="254"/>
      <c r="AC116" s="255"/>
      <c r="AD116" s="255"/>
      <c r="AE116" s="254"/>
      <c r="AF116" s="254"/>
      <c r="AG116" s="256"/>
    </row>
    <row r="117" spans="1:33" ht="15" x14ac:dyDescent="0.2">
      <c r="B117" s="148"/>
      <c r="C117" s="1418"/>
      <c r="D117" s="148"/>
      <c r="E117" s="1394">
        <f>AN15/(AO15*AM15*24)</f>
        <v>0.94611055107526887</v>
      </c>
      <c r="F117" s="148"/>
      <c r="G117" s="148" t="s">
        <v>102</v>
      </c>
      <c r="H117" s="1418"/>
      <c r="I117" s="1395"/>
      <c r="J117" s="148"/>
      <c r="K117" s="1983">
        <f>AF115*E117</f>
        <v>10977.28290200773</v>
      </c>
      <c r="L117" s="1984"/>
      <c r="M117" s="1984"/>
      <c r="N117" s="1429" t="s">
        <v>27</v>
      </c>
      <c r="O117" s="254"/>
      <c r="P117" s="257"/>
      <c r="Q117" s="1393"/>
      <c r="R117" s="254"/>
      <c r="S117" s="254"/>
      <c r="T117" s="254"/>
      <c r="U117" s="255"/>
      <c r="V117" s="255"/>
      <c r="W117" s="255"/>
      <c r="X117" s="148"/>
      <c r="Y117" s="255"/>
      <c r="Z117" s="254"/>
      <c r="AA117" s="254"/>
      <c r="AB117" s="254"/>
      <c r="AC117" s="255"/>
      <c r="AD117" s="255"/>
      <c r="AE117" s="254"/>
      <c r="AF117" s="258"/>
      <c r="AG117" s="256"/>
    </row>
    <row r="118" spans="1:33" ht="15" x14ac:dyDescent="0.2">
      <c r="B118" s="148"/>
      <c r="C118" s="1418"/>
      <c r="D118" s="148"/>
      <c r="E118" s="154"/>
      <c r="F118" s="148"/>
      <c r="G118" s="148" t="s">
        <v>733</v>
      </c>
      <c r="H118" s="1418"/>
      <c r="I118" s="1395"/>
      <c r="J118" s="148"/>
      <c r="K118" s="1429"/>
      <c r="L118" s="1397"/>
      <c r="M118" s="148">
        <f>K117*0.87</f>
        <v>9550.2361247467252</v>
      </c>
      <c r="N118" s="148" t="s">
        <v>734</v>
      </c>
      <c r="O118" s="148"/>
      <c r="P118" s="1398"/>
      <c r="Q118" s="1399"/>
      <c r="R118" s="148"/>
      <c r="S118" s="148"/>
      <c r="T118" s="148"/>
      <c r="U118" s="148"/>
      <c r="V118" s="148"/>
      <c r="W118" s="148"/>
      <c r="X118" s="148"/>
      <c r="Y118" s="1431"/>
      <c r="Z118" s="1511"/>
      <c r="AA118" s="1431"/>
      <c r="AB118" s="1431"/>
      <c r="AC118" s="1431"/>
      <c r="AD118" s="1431"/>
      <c r="AE118" s="1431"/>
      <c r="AF118" s="1431"/>
      <c r="AG118" s="1400"/>
    </row>
    <row r="119" spans="1:33" ht="15" x14ac:dyDescent="0.2">
      <c r="B119" s="148"/>
      <c r="C119" s="1429"/>
      <c r="D119" s="148"/>
      <c r="E119" s="154"/>
      <c r="F119" s="148"/>
      <c r="G119" s="148"/>
      <c r="H119" s="1429"/>
      <c r="I119" s="1395"/>
      <c r="J119" s="148"/>
      <c r="K119" s="1429"/>
      <c r="L119" s="1397"/>
      <c r="M119" s="148"/>
      <c r="N119" s="148"/>
      <c r="O119" s="148"/>
      <c r="P119" s="1398"/>
      <c r="Q119" s="1399"/>
      <c r="R119" s="148"/>
      <c r="S119" s="148"/>
      <c r="T119" s="148"/>
      <c r="U119" s="148"/>
      <c r="V119" s="148"/>
      <c r="W119" s="148"/>
      <c r="X119" s="148"/>
      <c r="Y119" s="1431"/>
      <c r="Z119" s="1511"/>
      <c r="AA119" s="1431"/>
      <c r="AB119" s="1431"/>
      <c r="AC119" s="1431"/>
      <c r="AD119" s="1431"/>
      <c r="AE119" s="1431"/>
      <c r="AF119" s="1431"/>
      <c r="AG119" s="1400"/>
    </row>
    <row r="120" spans="1:33" ht="15" x14ac:dyDescent="0.2">
      <c r="B120" s="148"/>
      <c r="C120" s="1429"/>
      <c r="D120" s="148"/>
      <c r="E120" s="154"/>
      <c r="F120" s="148"/>
      <c r="G120" s="148"/>
      <c r="H120" s="1429"/>
      <c r="I120" s="1395"/>
      <c r="J120" s="148"/>
      <c r="K120" s="1429"/>
      <c r="L120" s="1397"/>
      <c r="M120" s="148"/>
      <c r="N120" s="148"/>
      <c r="O120" s="148"/>
      <c r="P120" s="1398"/>
      <c r="Q120" s="1399"/>
      <c r="R120" s="148"/>
      <c r="S120" s="148"/>
      <c r="T120" s="148"/>
      <c r="U120" s="148"/>
      <c r="V120" s="148"/>
      <c r="W120" s="148"/>
      <c r="X120" s="148"/>
      <c r="Y120" s="1431"/>
      <c r="Z120" s="1511"/>
      <c r="AA120" s="1431"/>
      <c r="AB120" s="1431"/>
      <c r="AC120" s="1431"/>
      <c r="AD120" s="1431"/>
      <c r="AE120" s="1431"/>
      <c r="AF120" s="1431"/>
      <c r="AG120" s="1400"/>
    </row>
    <row r="121" spans="1:33" ht="15" x14ac:dyDescent="0.2">
      <c r="B121" s="148"/>
      <c r="C121" s="148"/>
      <c r="D121" s="148"/>
      <c r="E121" s="1401" t="s">
        <v>214</v>
      </c>
      <c r="F121" s="1826" t="s">
        <v>730</v>
      </c>
      <c r="G121" s="1826"/>
      <c r="H121" s="1826"/>
      <c r="I121" s="148"/>
      <c r="J121" s="148"/>
      <c r="K121" s="1429"/>
      <c r="L121" s="1429"/>
      <c r="M121" s="148"/>
      <c r="N121" s="148"/>
      <c r="O121" s="148"/>
      <c r="P121" s="148"/>
      <c r="Q121" s="1399"/>
      <c r="R121" s="148"/>
      <c r="S121" s="148"/>
      <c r="T121" s="148"/>
      <c r="U121" s="148"/>
      <c r="V121" s="148"/>
      <c r="W121" s="148"/>
      <c r="X121" s="148"/>
      <c r="Y121" s="1985" t="s">
        <v>352</v>
      </c>
      <c r="Z121" s="1986"/>
      <c r="AA121" s="1986"/>
      <c r="AB121" s="1986"/>
      <c r="AC121" s="1431" t="s">
        <v>561</v>
      </c>
      <c r="AD121" s="1431"/>
      <c r="AE121" s="1431"/>
      <c r="AF121" s="1431"/>
      <c r="AG121" s="1431"/>
    </row>
    <row r="122" spans="1:33" x14ac:dyDescent="0.2">
      <c r="R122" s="1282"/>
    </row>
    <row r="123" spans="1:33" x14ac:dyDescent="0.2">
      <c r="AA123" s="1282"/>
    </row>
    <row r="125" spans="1:33" x14ac:dyDescent="0.2">
      <c r="E125" s="1267"/>
    </row>
  </sheetData>
  <mergeCells count="38">
    <mergeCell ref="A7:D7"/>
    <mergeCell ref="A1:D1"/>
    <mergeCell ref="I1:Y1"/>
    <mergeCell ref="A2:D2"/>
    <mergeCell ref="A4:D4"/>
    <mergeCell ref="A6:D6"/>
    <mergeCell ref="H12:W12"/>
    <mergeCell ref="X12:AG12"/>
    <mergeCell ref="H13:H14"/>
    <mergeCell ref="K13:L13"/>
    <mergeCell ref="M13:N13"/>
    <mergeCell ref="O13:P13"/>
    <mergeCell ref="C12:C14"/>
    <mergeCell ref="D12:D14"/>
    <mergeCell ref="E12:E14"/>
    <mergeCell ref="F12:F14"/>
    <mergeCell ref="G12:G14"/>
    <mergeCell ref="AO13:AO14"/>
    <mergeCell ref="AC13:AC14"/>
    <mergeCell ref="AD13:AD14"/>
    <mergeCell ref="AG13:AG14"/>
    <mergeCell ref="AN13:AN14"/>
    <mergeCell ref="AF2:AG2"/>
    <mergeCell ref="B115:E115"/>
    <mergeCell ref="K117:M117"/>
    <mergeCell ref="F121:H121"/>
    <mergeCell ref="Y121:AB121"/>
    <mergeCell ref="Y13:Y14"/>
    <mergeCell ref="Z13:AB13"/>
    <mergeCell ref="R13:T13"/>
    <mergeCell ref="U13:U14"/>
    <mergeCell ref="V13:V14"/>
    <mergeCell ref="W13:W14"/>
    <mergeCell ref="A9:D9"/>
    <mergeCell ref="H10:X10"/>
    <mergeCell ref="J11:W11"/>
    <mergeCell ref="A12:A14"/>
    <mergeCell ref="B12:B14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6C445-DE29-4014-8EA9-F1A08EA2C506}">
  <dimension ref="A1:AR123"/>
  <sheetViews>
    <sheetView topLeftCell="A40" zoomScale="70" zoomScaleNormal="70" workbookViewId="0">
      <selection activeCell="E71" sqref="E7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hidden="1" customWidth="1" outlineLevel="1"/>
    <col min="35" max="35" width="12.5703125" style="1252" hidden="1" customWidth="1" outlineLevel="1"/>
    <col min="36" max="43" width="0" style="1252" hidden="1" customWidth="1" outlineLevel="1"/>
    <col min="44" max="44" width="8.85546875" style="1252" collapsed="1"/>
    <col min="45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511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41" ht="81" customHeight="1" x14ac:dyDescent="0.2">
      <c r="A2" s="1977" t="s">
        <v>736</v>
      </c>
      <c r="B2" s="1977"/>
      <c r="C2" s="1977"/>
      <c r="D2" s="1977"/>
      <c r="E2" s="1511"/>
      <c r="F2" s="1511"/>
      <c r="G2" s="1499"/>
      <c r="H2" s="1510"/>
      <c r="I2" s="1510"/>
      <c r="J2" s="1510"/>
      <c r="K2" s="1510"/>
      <c r="L2" s="1510"/>
      <c r="M2" s="1510"/>
      <c r="N2" s="1510"/>
      <c r="O2" s="1510"/>
      <c r="P2" s="1510"/>
      <c r="Q2" s="1256"/>
      <c r="R2" s="1511"/>
      <c r="S2" s="1511"/>
      <c r="T2" s="1511"/>
      <c r="U2" s="1511"/>
      <c r="V2" s="1511"/>
      <c r="W2" s="1511"/>
      <c r="X2" s="1510"/>
      <c r="Y2" s="1511"/>
      <c r="Z2" s="1511"/>
      <c r="AA2" s="1511"/>
      <c r="AC2" s="1511"/>
      <c r="AD2" s="1511"/>
      <c r="AE2" s="1511"/>
      <c r="AF2" s="1997" t="s">
        <v>738</v>
      </c>
      <c r="AG2" s="1997"/>
    </row>
    <row r="3" spans="1:41" ht="15.75" x14ac:dyDescent="0.25">
      <c r="A3" s="1408" t="s">
        <v>737</v>
      </c>
      <c r="B3" s="1500"/>
      <c r="C3" s="1500"/>
      <c r="D3" s="1500"/>
      <c r="E3" s="1511"/>
      <c r="F3" s="1511"/>
      <c r="G3" s="1499"/>
      <c r="H3" s="1510"/>
      <c r="I3" s="1510"/>
      <c r="J3" s="1510"/>
      <c r="K3" s="1510"/>
      <c r="L3" s="1510"/>
      <c r="M3" s="1510"/>
      <c r="N3" s="1510"/>
      <c r="O3" s="1510"/>
      <c r="P3" s="1510"/>
      <c r="Q3" s="1256"/>
      <c r="R3" s="1511"/>
      <c r="S3" s="1511"/>
      <c r="T3" s="1511"/>
      <c r="U3" s="1511"/>
      <c r="V3" s="1511"/>
      <c r="W3" s="1511"/>
      <c r="X3" s="1510"/>
      <c r="Y3" s="1511"/>
      <c r="Z3" s="1511"/>
      <c r="AA3" s="1511"/>
      <c r="AB3" s="1511"/>
      <c r="AC3" s="1260"/>
      <c r="AE3" s="1222"/>
      <c r="AF3" s="1510" t="s">
        <v>739</v>
      </c>
      <c r="AG3" s="1494"/>
    </row>
    <row r="4" spans="1:41" ht="15" x14ac:dyDescent="0.25">
      <c r="A4" s="1976"/>
      <c r="B4" s="1976"/>
      <c r="C4" s="1976"/>
      <c r="D4" s="1976"/>
      <c r="E4" s="1501"/>
      <c r="F4" s="1511"/>
      <c r="G4" s="1499"/>
      <c r="H4" s="1499"/>
      <c r="I4" s="1510"/>
      <c r="J4" s="1510"/>
      <c r="K4" s="1510"/>
      <c r="L4" s="1510"/>
      <c r="M4" s="1510"/>
      <c r="N4" s="1510"/>
      <c r="O4" s="1510"/>
      <c r="P4" s="1510"/>
      <c r="Q4" s="1256"/>
      <c r="R4" s="1498"/>
      <c r="S4" s="1498"/>
      <c r="T4" s="1498"/>
      <c r="U4" s="1498"/>
      <c r="V4" s="1498"/>
      <c r="W4" s="1498"/>
      <c r="X4" s="1510"/>
      <c r="Y4" s="1511"/>
      <c r="Z4" s="1511"/>
      <c r="AB4" s="1511"/>
      <c r="AD4" s="1511"/>
      <c r="AE4" s="1258"/>
      <c r="AF4" s="154" t="s">
        <v>746</v>
      </c>
      <c r="AG4" s="1495"/>
    </row>
    <row r="5" spans="1:41" ht="27" customHeight="1" x14ac:dyDescent="0.2">
      <c r="A5" s="1976" t="s">
        <v>740</v>
      </c>
      <c r="B5" s="1976"/>
      <c r="C5" s="1976"/>
      <c r="D5" s="1976"/>
      <c r="E5" s="1511"/>
      <c r="F5" s="1511"/>
      <c r="G5" s="1499"/>
      <c r="H5" s="1499"/>
      <c r="I5" s="1511"/>
      <c r="J5" s="1511"/>
      <c r="K5" s="1499"/>
      <c r="L5" s="1499"/>
      <c r="M5" s="1511"/>
      <c r="N5" s="1511"/>
      <c r="O5" s="1511"/>
      <c r="P5" s="149"/>
      <c r="Q5" s="1257"/>
      <c r="R5" s="1511"/>
      <c r="S5" s="1511"/>
      <c r="T5" s="1511"/>
      <c r="U5" s="1511"/>
      <c r="V5" s="1511"/>
      <c r="W5" s="1511"/>
      <c r="X5" s="1511"/>
      <c r="Y5" s="1511"/>
      <c r="Z5" s="1511"/>
      <c r="AA5" s="1511"/>
      <c r="AB5" s="1511"/>
      <c r="AC5" s="1511"/>
      <c r="AD5" s="1511"/>
      <c r="AG5" s="151"/>
    </row>
    <row r="6" spans="1:41" ht="27" customHeight="1" x14ac:dyDescent="0.2">
      <c r="A6" s="1942"/>
      <c r="B6" s="1942"/>
      <c r="C6" s="1942"/>
      <c r="D6" s="1942"/>
      <c r="E6" s="1511"/>
      <c r="F6" s="1511"/>
      <c r="G6" s="1499"/>
      <c r="H6" s="1499"/>
      <c r="I6" s="1511"/>
      <c r="J6" s="1511"/>
      <c r="K6" s="1499"/>
      <c r="L6" s="1499"/>
      <c r="M6" s="1511"/>
      <c r="N6" s="1511"/>
      <c r="O6" s="1511"/>
      <c r="P6" s="149"/>
      <c r="Q6" s="1257"/>
      <c r="R6" s="1511"/>
      <c r="S6" s="1511"/>
      <c r="T6" s="1511"/>
      <c r="U6" s="1511"/>
      <c r="V6" s="1511"/>
      <c r="W6" s="1511"/>
      <c r="X6" s="1511"/>
      <c r="Y6" s="1511"/>
      <c r="Z6" s="1511"/>
      <c r="AA6" s="1511"/>
      <c r="AB6" s="1511"/>
      <c r="AC6" s="1511"/>
      <c r="AD6" s="1511"/>
      <c r="AE6" s="1511"/>
      <c r="AF6" s="1511"/>
    </row>
    <row r="7" spans="1:41" ht="32.25" customHeight="1" x14ac:dyDescent="0.25">
      <c r="A7" s="1976"/>
      <c r="B7" s="1976"/>
      <c r="C7" s="1976"/>
      <c r="D7" s="1976"/>
      <c r="E7" s="1501"/>
      <c r="F7" s="1511"/>
      <c r="G7" s="1499"/>
      <c r="H7" s="1499"/>
      <c r="I7" s="140"/>
      <c r="J7" s="1511"/>
      <c r="K7" s="1499"/>
      <c r="L7" s="1499"/>
      <c r="M7" s="1511"/>
      <c r="N7" s="1511"/>
      <c r="O7" s="1511"/>
      <c r="P7" s="149"/>
      <c r="Q7" s="1257"/>
      <c r="R7" s="1511"/>
      <c r="S7" s="1511"/>
      <c r="T7" s="1511"/>
      <c r="U7" s="1511"/>
      <c r="V7" s="1511"/>
      <c r="W7" s="147"/>
      <c r="X7" s="1511"/>
      <c r="Y7" s="1511"/>
      <c r="Z7" s="148"/>
      <c r="AA7" s="148"/>
      <c r="AB7" s="148"/>
      <c r="AC7" s="1259"/>
      <c r="AF7" s="1260"/>
      <c r="AG7" s="151"/>
      <c r="AH7" s="1260"/>
      <c r="AL7" s="1259"/>
    </row>
    <row r="8" spans="1:41" ht="28.5" customHeight="1" x14ac:dyDescent="0.2">
      <c r="B8" s="1499"/>
      <c r="C8" s="1499"/>
      <c r="D8" s="1499"/>
      <c r="E8" s="1511"/>
      <c r="F8" s="1511"/>
      <c r="G8" s="1499"/>
      <c r="H8" s="1962" t="s">
        <v>65</v>
      </c>
      <c r="I8" s="1963"/>
      <c r="J8" s="1963"/>
      <c r="K8" s="1963"/>
      <c r="L8" s="1963"/>
      <c r="M8" s="1963"/>
      <c r="N8" s="1963"/>
      <c r="O8" s="1963"/>
      <c r="P8" s="1963"/>
      <c r="Q8" s="1963"/>
      <c r="R8" s="1963"/>
      <c r="S8" s="1963"/>
      <c r="T8" s="1963"/>
      <c r="U8" s="1963"/>
      <c r="V8" s="1963"/>
      <c r="W8" s="1963"/>
      <c r="X8" s="1963"/>
      <c r="Y8" s="1511"/>
      <c r="Z8" s="148"/>
      <c r="AA8" s="148"/>
      <c r="AB8" s="148"/>
      <c r="AC8" s="148"/>
    </row>
    <row r="9" spans="1:41" ht="31.5" customHeight="1" thickBot="1" x14ac:dyDescent="0.25">
      <c r="B9" s="1499"/>
      <c r="C9" s="1499"/>
      <c r="D9" s="1499"/>
      <c r="E9" s="1511"/>
      <c r="F9" s="1511"/>
      <c r="G9" s="1499"/>
      <c r="H9" s="1499"/>
      <c r="I9" s="140"/>
      <c r="J9" s="1964" t="s">
        <v>735</v>
      </c>
      <c r="K9" s="1965"/>
      <c r="L9" s="1965"/>
      <c r="M9" s="1965"/>
      <c r="N9" s="1965"/>
      <c r="O9" s="1965"/>
      <c r="P9" s="1965"/>
      <c r="Q9" s="1965"/>
      <c r="R9" s="1965"/>
      <c r="S9" s="1965"/>
      <c r="T9" s="1965"/>
      <c r="U9" s="1965"/>
      <c r="V9" s="1965"/>
      <c r="W9" s="1965"/>
      <c r="X9" s="1511"/>
      <c r="Y9" s="1511"/>
      <c r="Z9" s="148"/>
      <c r="AA9" s="148"/>
      <c r="AB9" s="148"/>
      <c r="AC9" s="148"/>
      <c r="AD9" s="1511"/>
      <c r="AE9" s="1511"/>
      <c r="AF9" s="1511"/>
      <c r="AG9" s="151"/>
    </row>
    <row r="10" spans="1:41" ht="18.75" customHeight="1" x14ac:dyDescent="0.2">
      <c r="A10" s="1969" t="s">
        <v>1</v>
      </c>
      <c r="B10" s="1971" t="s">
        <v>664</v>
      </c>
      <c r="C10" s="1973" t="s">
        <v>8</v>
      </c>
      <c r="D10" s="1992" t="s">
        <v>719</v>
      </c>
      <c r="E10" s="1994" t="s">
        <v>720</v>
      </c>
      <c r="F10" s="1992" t="s">
        <v>721</v>
      </c>
      <c r="G10" s="1973" t="s">
        <v>667</v>
      </c>
      <c r="H10" s="1988" t="s">
        <v>669</v>
      </c>
      <c r="I10" s="1988"/>
      <c r="J10" s="1988"/>
      <c r="K10" s="1988"/>
      <c r="L10" s="1988"/>
      <c r="M10" s="1988"/>
      <c r="N10" s="1988"/>
      <c r="O10" s="1988"/>
      <c r="P10" s="1988"/>
      <c r="Q10" s="1988"/>
      <c r="R10" s="1988"/>
      <c r="S10" s="1988"/>
      <c r="T10" s="1988"/>
      <c r="U10" s="1988"/>
      <c r="V10" s="1988"/>
      <c r="W10" s="1989"/>
      <c r="X10" s="1978" t="s">
        <v>22</v>
      </c>
      <c r="Y10" s="1979"/>
      <c r="Z10" s="1979"/>
      <c r="AA10" s="1979"/>
      <c r="AB10" s="1979"/>
      <c r="AC10" s="1979"/>
      <c r="AD10" s="1979"/>
      <c r="AE10" s="1979"/>
      <c r="AF10" s="1979"/>
      <c r="AG10" s="1980"/>
    </row>
    <row r="11" spans="1:41" ht="168" customHeight="1" x14ac:dyDescent="0.2">
      <c r="A11" s="1970"/>
      <c r="B11" s="1972"/>
      <c r="C11" s="1968"/>
      <c r="D11" s="1993"/>
      <c r="E11" s="1995"/>
      <c r="F11" s="1993"/>
      <c r="G11" s="1968"/>
      <c r="H11" s="1990" t="s">
        <v>668</v>
      </c>
      <c r="I11" s="1262" t="s">
        <v>670</v>
      </c>
      <c r="J11" s="1504" t="s">
        <v>671</v>
      </c>
      <c r="K11" s="1972" t="s">
        <v>672</v>
      </c>
      <c r="L11" s="1972"/>
      <c r="M11" s="1972" t="s">
        <v>10</v>
      </c>
      <c r="N11" s="1972"/>
      <c r="O11" s="1968" t="s">
        <v>11</v>
      </c>
      <c r="P11" s="1968"/>
      <c r="Q11" s="1264" t="s">
        <v>674</v>
      </c>
      <c r="R11" s="1972" t="s">
        <v>15</v>
      </c>
      <c r="S11" s="1975"/>
      <c r="T11" s="1975"/>
      <c r="U11" s="1968" t="s">
        <v>100</v>
      </c>
      <c r="V11" s="1968" t="s">
        <v>16</v>
      </c>
      <c r="W11" s="1987" t="s">
        <v>677</v>
      </c>
      <c r="X11" s="1451" t="s">
        <v>671</v>
      </c>
      <c r="Y11" s="1968" t="s">
        <v>24</v>
      </c>
      <c r="Z11" s="1972" t="s">
        <v>678</v>
      </c>
      <c r="AA11" s="1975"/>
      <c r="AB11" s="1975"/>
      <c r="AC11" s="1968" t="s">
        <v>100</v>
      </c>
      <c r="AD11" s="1968" t="s">
        <v>16</v>
      </c>
      <c r="AE11" s="1504" t="s">
        <v>18</v>
      </c>
      <c r="AF11" s="1504" t="s">
        <v>20</v>
      </c>
      <c r="AG11" s="1967" t="s">
        <v>21</v>
      </c>
      <c r="AH11" s="1267">
        <v>44593</v>
      </c>
      <c r="AN11" s="1966" t="s">
        <v>711</v>
      </c>
      <c r="AO11" s="1966" t="s">
        <v>712</v>
      </c>
    </row>
    <row r="12" spans="1:41" ht="25.5" customHeight="1" x14ac:dyDescent="0.2">
      <c r="A12" s="1970"/>
      <c r="B12" s="1972"/>
      <c r="C12" s="1968"/>
      <c r="D12" s="1991"/>
      <c r="E12" s="1996"/>
      <c r="F12" s="1991"/>
      <c r="G12" s="1968"/>
      <c r="H12" s="1991"/>
      <c r="I12" s="1506" t="s">
        <v>3</v>
      </c>
      <c r="J12" s="1506" t="s">
        <v>7</v>
      </c>
      <c r="K12" s="1506" t="s">
        <v>30</v>
      </c>
      <c r="L12" s="1506" t="s">
        <v>29</v>
      </c>
      <c r="M12" s="1506" t="s">
        <v>31</v>
      </c>
      <c r="N12" s="1506" t="s">
        <v>32</v>
      </c>
      <c r="O12" s="1506" t="s">
        <v>12</v>
      </c>
      <c r="P12" s="1269" t="s">
        <v>673</v>
      </c>
      <c r="Q12" s="1270" t="s">
        <v>26</v>
      </c>
      <c r="R12" s="1506" t="s">
        <v>675</v>
      </c>
      <c r="S12" s="1506" t="s">
        <v>25</v>
      </c>
      <c r="T12" s="1506" t="s">
        <v>676</v>
      </c>
      <c r="U12" s="1968"/>
      <c r="V12" s="1968"/>
      <c r="W12" s="1987"/>
      <c r="X12" s="1410" t="s">
        <v>7</v>
      </c>
      <c r="Y12" s="1968"/>
      <c r="Z12" s="1506" t="s">
        <v>14</v>
      </c>
      <c r="AA12" s="1506" t="s">
        <v>679</v>
      </c>
      <c r="AB12" s="1506" t="s">
        <v>113</v>
      </c>
      <c r="AC12" s="1968"/>
      <c r="AD12" s="1968"/>
      <c r="AE12" s="1506" t="s">
        <v>19</v>
      </c>
      <c r="AF12" s="1506" t="s">
        <v>680</v>
      </c>
      <c r="AG12" s="1967"/>
      <c r="AH12" s="1252" t="s">
        <v>657</v>
      </c>
      <c r="AI12" s="1269" t="s">
        <v>636</v>
      </c>
      <c r="AJ12" s="1269" t="s">
        <v>654</v>
      </c>
      <c r="AK12" s="1269" t="s">
        <v>653</v>
      </c>
      <c r="AL12" s="1269" t="s">
        <v>655</v>
      </c>
      <c r="AM12" s="1272" t="s">
        <v>710</v>
      </c>
      <c r="AN12" s="1966"/>
      <c r="AO12" s="1966"/>
    </row>
    <row r="13" spans="1:41" ht="18.75" customHeight="1" x14ac:dyDescent="0.2">
      <c r="A13" s="1273">
        <v>1</v>
      </c>
      <c r="B13" s="1274" t="s">
        <v>139</v>
      </c>
      <c r="C13" s="241" t="s">
        <v>46</v>
      </c>
      <c r="D13" s="241">
        <v>610.5</v>
      </c>
      <c r="E13" s="241" t="s">
        <v>571</v>
      </c>
      <c r="F13" s="241">
        <v>177.8</v>
      </c>
      <c r="G13" s="241" t="s">
        <v>28</v>
      </c>
      <c r="H13" s="1275" t="s">
        <v>556</v>
      </c>
      <c r="I13" s="1506">
        <v>557.80999999999995</v>
      </c>
      <c r="J13" s="1448">
        <v>195</v>
      </c>
      <c r="K13" s="241"/>
      <c r="L13" s="1277">
        <v>428</v>
      </c>
      <c r="M13" s="241"/>
      <c r="N13" s="1278">
        <v>1.7</v>
      </c>
      <c r="O13" s="241"/>
      <c r="P13" s="1278">
        <f>AI13</f>
        <v>14.145758444541274</v>
      </c>
      <c r="Q13" s="1278">
        <f>LEFT(H13,(FIND("Е",H13,1)-1))*J13/100</f>
        <v>25.35</v>
      </c>
      <c r="R13" s="244">
        <v>3.6339999999999999</v>
      </c>
      <c r="S13" s="244">
        <v>13.242000000000001</v>
      </c>
      <c r="T13" s="1277">
        <v>21.72</v>
      </c>
      <c r="U13" s="1278">
        <f t="shared" ref="U13:U31" si="0">IF(R13=0,0,T13/R13)</f>
        <v>5.9768849752339017</v>
      </c>
      <c r="V13" s="1278">
        <f>(S13-R13)/S13*100</f>
        <v>72.557015556562448</v>
      </c>
      <c r="W13" s="1279">
        <v>0.4</v>
      </c>
      <c r="X13" s="1449">
        <v>195</v>
      </c>
      <c r="Y13" s="1277">
        <f>IF(S13=0,0,S13/Q13)*100</f>
        <v>52.236686390532547</v>
      </c>
      <c r="Z13" s="244">
        <f>R13*0.988</f>
        <v>3.590392</v>
      </c>
      <c r="AA13" s="244">
        <f>S13*0.988</f>
        <v>13.083096000000001</v>
      </c>
      <c r="AB13" s="1277">
        <f>T13*0.988</f>
        <v>21.45936</v>
      </c>
      <c r="AC13" s="244">
        <f>U13</f>
        <v>5.9768849752339017</v>
      </c>
      <c r="AD13" s="1277">
        <f>V13</f>
        <v>72.557015556562448</v>
      </c>
      <c r="AE13" s="241">
        <f>(DAY(EOMONTH($AH$11,0))-AH13)</f>
        <v>28</v>
      </c>
      <c r="AF13" s="244">
        <f t="shared" ref="AF13:AF57" si="1">Z13*AE13</f>
        <v>100.530976</v>
      </c>
      <c r="AG13" s="1281"/>
      <c r="AI13" s="1282">
        <f t="shared" ref="AI13:AI76" si="2">(9.81*(AJ13*(100%-(V13/100))+AK13*(V13/100))*(I13-L13)+N13*101.325+9.81*(AL13)*L13)/101.325</f>
        <v>14.145758444541274</v>
      </c>
      <c r="AJ13" s="1252">
        <v>0.90790000000000004</v>
      </c>
      <c r="AK13" s="1252">
        <v>1.018</v>
      </c>
      <c r="AL13" s="1252">
        <v>7.5858300000000007E-4</v>
      </c>
      <c r="AM13" s="1252">
        <f>DAY(EOMONTH($AH$11,0))</f>
        <v>28</v>
      </c>
      <c r="AN13" s="1252">
        <v>42537</v>
      </c>
      <c r="AO13" s="1252">
        <f>COUNTIF(R13:R99, "&lt;200")</f>
        <v>64</v>
      </c>
    </row>
    <row r="14" spans="1:41" ht="18.75" customHeight="1" x14ac:dyDescent="0.2">
      <c r="A14" s="1273">
        <v>2</v>
      </c>
      <c r="B14" s="1274" t="s">
        <v>140</v>
      </c>
      <c r="C14" s="241" t="s">
        <v>46</v>
      </c>
      <c r="D14" s="241">
        <v>623.5</v>
      </c>
      <c r="E14" s="241" t="s">
        <v>585</v>
      </c>
      <c r="F14" s="241">
        <v>177.8</v>
      </c>
      <c r="G14" s="241" t="s">
        <v>28</v>
      </c>
      <c r="H14" s="241" t="s">
        <v>683</v>
      </c>
      <c r="I14" s="1506">
        <v>563.55999999999995</v>
      </c>
      <c r="J14" s="241"/>
      <c r="K14" s="241"/>
      <c r="L14" s="1277"/>
      <c r="M14" s="241"/>
      <c r="N14" s="1278"/>
      <c r="O14" s="241"/>
      <c r="P14" s="1278"/>
      <c r="Q14" s="1278"/>
      <c r="R14" s="244"/>
      <c r="S14" s="244"/>
      <c r="T14" s="1277"/>
      <c r="U14" s="1278"/>
      <c r="V14" s="1278"/>
      <c r="W14" s="1279"/>
      <c r="X14" s="1316"/>
      <c r="Y14" s="1277">
        <f t="shared" ref="Y14:Y77" si="3">IF(S14=0,0,S14/Q14)*100</f>
        <v>0</v>
      </c>
      <c r="Z14" s="244"/>
      <c r="AA14" s="244"/>
      <c r="AB14" s="1277"/>
      <c r="AC14" s="244"/>
      <c r="AD14" s="1277"/>
      <c r="AE14" s="241"/>
      <c r="AF14" s="244"/>
      <c r="AG14" s="1285" t="s">
        <v>716</v>
      </c>
      <c r="AI14" s="1282">
        <f t="shared" si="2"/>
        <v>49.509818057142851</v>
      </c>
      <c r="AJ14" s="1252">
        <v>0.90739999999999998</v>
      </c>
      <c r="AK14" s="1252">
        <v>1.024</v>
      </c>
      <c r="AL14" s="1252">
        <v>6.9596980000000001E-4</v>
      </c>
    </row>
    <row r="15" spans="1:41" ht="18.75" customHeight="1" x14ac:dyDescent="0.2">
      <c r="A15" s="1273">
        <v>3</v>
      </c>
      <c r="B15" s="1274" t="s">
        <v>141</v>
      </c>
      <c r="C15" s="241" t="s">
        <v>46</v>
      </c>
      <c r="D15" s="241">
        <v>670</v>
      </c>
      <c r="E15" s="241" t="s">
        <v>68</v>
      </c>
      <c r="F15" s="241">
        <v>177.8</v>
      </c>
      <c r="G15" s="241" t="s">
        <v>28</v>
      </c>
      <c r="H15" s="241" t="s">
        <v>748</v>
      </c>
      <c r="I15" s="1506">
        <v>569.63</v>
      </c>
      <c r="J15" s="241">
        <v>320</v>
      </c>
      <c r="K15" s="241"/>
      <c r="L15" s="1277">
        <v>502</v>
      </c>
      <c r="M15" s="241"/>
      <c r="N15" s="1278">
        <v>6.9749999999999996</v>
      </c>
      <c r="O15" s="241"/>
      <c r="P15" s="1278">
        <f t="shared" ref="P15:P78" si="4">AI15</f>
        <v>13.158732115145357</v>
      </c>
      <c r="Q15" s="1278">
        <f>RIGHT(H15,(FIND("T",H15,1)-0))*J15/100</f>
        <v>64</v>
      </c>
      <c r="R15" s="244">
        <v>13.516</v>
      </c>
      <c r="S15" s="244">
        <v>22.565999999999999</v>
      </c>
      <c r="T15" s="1277">
        <v>97</v>
      </c>
      <c r="U15" s="1278">
        <f t="shared" si="0"/>
        <v>7.1766794909736609</v>
      </c>
      <c r="V15" s="1278">
        <f t="shared" ref="V15:V49" si="5">(S15-R15)/S15*100</f>
        <v>40.104582114685805</v>
      </c>
      <c r="W15" s="1279">
        <v>0.2</v>
      </c>
      <c r="X15" s="1316">
        <v>320</v>
      </c>
      <c r="Y15" s="1277">
        <f t="shared" si="3"/>
        <v>35.259374999999999</v>
      </c>
      <c r="Z15" s="244">
        <f t="shared" ref="Z15:AB30" si="6">R15*0.988</f>
        <v>13.353807999999999</v>
      </c>
      <c r="AA15" s="244">
        <f t="shared" si="6"/>
        <v>22.295207999999999</v>
      </c>
      <c r="AB15" s="1277">
        <f t="shared" si="6"/>
        <v>95.835999999999999</v>
      </c>
      <c r="AC15" s="244">
        <f t="shared" ref="AC15:AD30" si="7">U15</f>
        <v>7.1766794909736609</v>
      </c>
      <c r="AD15" s="1277">
        <f t="shared" si="7"/>
        <v>40.104582114685805</v>
      </c>
      <c r="AE15" s="241">
        <f t="shared" ref="AE15:AE36" si="8">(DAY(EOMONTH($AH$11,0))-AH15)</f>
        <v>28</v>
      </c>
      <c r="AF15" s="244">
        <f t="shared" si="1"/>
        <v>373.90662399999997</v>
      </c>
      <c r="AG15" s="1281"/>
      <c r="AI15" s="1282">
        <f t="shared" si="2"/>
        <v>13.158732115145357</v>
      </c>
      <c r="AJ15" s="1252">
        <v>0.87260000000000004</v>
      </c>
      <c r="AK15" s="1252">
        <v>1.0349999999999999</v>
      </c>
      <c r="AL15" s="1252">
        <v>8.9946269999999998E-4</v>
      </c>
    </row>
    <row r="16" spans="1:41" ht="18.75" customHeight="1" x14ac:dyDescent="0.2">
      <c r="A16" s="1273">
        <v>4</v>
      </c>
      <c r="B16" s="1274" t="s">
        <v>142</v>
      </c>
      <c r="C16" s="241" t="s">
        <v>46</v>
      </c>
      <c r="D16" s="241">
        <v>656</v>
      </c>
      <c r="E16" s="241" t="s">
        <v>481</v>
      </c>
      <c r="F16" s="241">
        <v>177.8</v>
      </c>
      <c r="G16" s="241" t="s">
        <v>28</v>
      </c>
      <c r="H16" s="241" t="s">
        <v>685</v>
      </c>
      <c r="I16" s="1506">
        <v>544.29999999999995</v>
      </c>
      <c r="J16" s="241">
        <v>180</v>
      </c>
      <c r="K16" s="241"/>
      <c r="L16" s="1277">
        <v>443</v>
      </c>
      <c r="M16" s="241"/>
      <c r="N16" s="1278">
        <v>4.5999999999999996</v>
      </c>
      <c r="O16" s="241"/>
      <c r="P16" s="1278">
        <f t="shared" si="4"/>
        <v>14.031115761381038</v>
      </c>
      <c r="Q16" s="1278">
        <f t="shared" ref="Q16:Q21" si="9">RIGHT(H16,(FIND("T",H16,1)-0))*J16/100</f>
        <v>25.2</v>
      </c>
      <c r="R16" s="244">
        <v>7.085</v>
      </c>
      <c r="S16" s="244">
        <v>14.67</v>
      </c>
      <c r="T16" s="1277">
        <v>81.792000000000002</v>
      </c>
      <c r="U16" s="1278">
        <f t="shared" si="0"/>
        <v>11.54438955539873</v>
      </c>
      <c r="V16" s="1278">
        <f t="shared" si="5"/>
        <v>51.704158145875937</v>
      </c>
      <c r="W16" s="1279">
        <v>0.23</v>
      </c>
      <c r="X16" s="1316">
        <v>180</v>
      </c>
      <c r="Y16" s="1277">
        <f t="shared" si="3"/>
        <v>58.214285714285715</v>
      </c>
      <c r="Z16" s="244">
        <f t="shared" si="6"/>
        <v>6.9999799999999999</v>
      </c>
      <c r="AA16" s="244">
        <f t="shared" si="6"/>
        <v>14.49396</v>
      </c>
      <c r="AB16" s="1277">
        <f t="shared" si="6"/>
        <v>80.810496000000001</v>
      </c>
      <c r="AC16" s="244">
        <f t="shared" si="7"/>
        <v>11.54438955539873</v>
      </c>
      <c r="AD16" s="1277">
        <f t="shared" si="7"/>
        <v>51.704158145875937</v>
      </c>
      <c r="AE16" s="241">
        <f t="shared" si="8"/>
        <v>28</v>
      </c>
      <c r="AF16" s="244">
        <f t="shared" si="1"/>
        <v>195.99943999999999</v>
      </c>
      <c r="AG16" s="1281"/>
      <c r="AI16" s="1282">
        <f t="shared" si="2"/>
        <v>14.031115761381038</v>
      </c>
      <c r="AJ16" s="1252">
        <v>0.89459999999999995</v>
      </c>
      <c r="AK16" s="1252">
        <v>1.018</v>
      </c>
      <c r="AL16" s="1252">
        <v>7.3450100000000003E-4</v>
      </c>
    </row>
    <row r="17" spans="1:40" ht="18.75" customHeight="1" x14ac:dyDescent="0.2">
      <c r="A17" s="1273">
        <v>5</v>
      </c>
      <c r="B17" s="1274" t="s">
        <v>143</v>
      </c>
      <c r="C17" s="241" t="s">
        <v>46</v>
      </c>
      <c r="D17" s="241">
        <v>576.62</v>
      </c>
      <c r="E17" s="241" t="s">
        <v>70</v>
      </c>
      <c r="F17" s="241">
        <v>177.8</v>
      </c>
      <c r="G17" s="241" t="s">
        <v>28</v>
      </c>
      <c r="H17" s="1299" t="s">
        <v>587</v>
      </c>
      <c r="I17" s="1506">
        <v>548.32000000000005</v>
      </c>
      <c r="J17" s="241">
        <v>135</v>
      </c>
      <c r="K17" s="241"/>
      <c r="L17" s="1277">
        <v>413</v>
      </c>
      <c r="M17" s="241"/>
      <c r="N17" s="1278">
        <v>2.7</v>
      </c>
      <c r="O17" s="241"/>
      <c r="P17" s="1278">
        <f t="shared" si="4"/>
        <v>14.756922543503091</v>
      </c>
      <c r="Q17" s="1278">
        <f t="shared" si="9"/>
        <v>18.899999999999999</v>
      </c>
      <c r="R17" s="244">
        <v>3.7759999999999998</v>
      </c>
      <c r="S17" s="244">
        <v>4.2380000000000004</v>
      </c>
      <c r="T17" s="1277">
        <v>42.25</v>
      </c>
      <c r="U17" s="1278">
        <f t="shared" si="0"/>
        <v>11.189088983050848</v>
      </c>
      <c r="V17" s="1278">
        <f t="shared" si="5"/>
        <v>10.901368570080241</v>
      </c>
      <c r="W17" s="1279">
        <v>0.2</v>
      </c>
      <c r="X17" s="1316">
        <v>135</v>
      </c>
      <c r="Y17" s="1277">
        <f t="shared" si="3"/>
        <v>22.423280423280428</v>
      </c>
      <c r="Z17" s="244">
        <f t="shared" si="6"/>
        <v>3.7306879999999998</v>
      </c>
      <c r="AA17" s="244">
        <f t="shared" si="6"/>
        <v>4.187144</v>
      </c>
      <c r="AB17" s="1277">
        <f t="shared" si="6"/>
        <v>41.743000000000002</v>
      </c>
      <c r="AC17" s="244">
        <f t="shared" si="7"/>
        <v>11.189088983050848</v>
      </c>
      <c r="AD17" s="1277">
        <f t="shared" si="7"/>
        <v>10.901368570080241</v>
      </c>
      <c r="AE17" s="241">
        <f t="shared" si="8"/>
        <v>28</v>
      </c>
      <c r="AF17" s="244">
        <f t="shared" si="1"/>
        <v>104.45926399999999</v>
      </c>
      <c r="AG17" s="1281"/>
      <c r="AI17" s="1282">
        <f t="shared" si="2"/>
        <v>14.756922543503091</v>
      </c>
      <c r="AJ17" s="1252">
        <v>0.90529999999999999</v>
      </c>
      <c r="AK17" s="1252">
        <v>1.02</v>
      </c>
      <c r="AL17" s="1252">
        <v>8.1276750000000011E-4</v>
      </c>
      <c r="AN17" s="1252">
        <v>43008</v>
      </c>
    </row>
    <row r="18" spans="1:40" ht="18.75" customHeight="1" x14ac:dyDescent="0.2">
      <c r="A18" s="1273">
        <v>6</v>
      </c>
      <c r="B18" s="1274" t="s">
        <v>144</v>
      </c>
      <c r="C18" s="241" t="s">
        <v>46</v>
      </c>
      <c r="D18" s="241">
        <v>648.48</v>
      </c>
      <c r="E18" s="241" t="s">
        <v>460</v>
      </c>
      <c r="F18" s="241">
        <v>177.8</v>
      </c>
      <c r="G18" s="241" t="s">
        <v>28</v>
      </c>
      <c r="H18" s="1299" t="s">
        <v>587</v>
      </c>
      <c r="I18" s="1506">
        <v>563.03</v>
      </c>
      <c r="J18" s="241">
        <v>135</v>
      </c>
      <c r="K18" s="241"/>
      <c r="L18" s="1277">
        <v>422</v>
      </c>
      <c r="M18" s="241"/>
      <c r="N18" s="1278">
        <v>0.7</v>
      </c>
      <c r="O18" s="241"/>
      <c r="P18" s="1278">
        <f t="shared" si="4"/>
        <v>13.699835594472363</v>
      </c>
      <c r="Q18" s="1278">
        <f t="shared" si="9"/>
        <v>18.899999999999999</v>
      </c>
      <c r="R18" s="244">
        <v>4.9400000000000004</v>
      </c>
      <c r="S18" s="244">
        <v>6.36</v>
      </c>
      <c r="T18" s="1277">
        <v>25</v>
      </c>
      <c r="U18" s="1278">
        <f t="shared" si="0"/>
        <v>5.0607287449392713</v>
      </c>
      <c r="V18" s="1278">
        <f t="shared" si="5"/>
        <v>22.327044025157232</v>
      </c>
      <c r="W18" s="1279">
        <v>0.2</v>
      </c>
      <c r="X18" s="1316">
        <v>135</v>
      </c>
      <c r="Y18" s="1277">
        <f t="shared" si="3"/>
        <v>33.650793650793652</v>
      </c>
      <c r="Z18" s="244">
        <f t="shared" si="6"/>
        <v>4.8807200000000002</v>
      </c>
      <c r="AA18" s="244">
        <f t="shared" si="6"/>
        <v>6.2836800000000004</v>
      </c>
      <c r="AB18" s="1277">
        <f t="shared" si="6"/>
        <v>24.7</v>
      </c>
      <c r="AC18" s="244">
        <v>14.613</v>
      </c>
      <c r="AD18" s="1277">
        <f t="shared" si="7"/>
        <v>22.327044025157232</v>
      </c>
      <c r="AE18" s="241">
        <f t="shared" si="8"/>
        <v>28</v>
      </c>
      <c r="AF18" s="244">
        <f t="shared" si="1"/>
        <v>136.66016000000002</v>
      </c>
      <c r="AG18" s="1281"/>
      <c r="AI18" s="1282">
        <f t="shared" si="2"/>
        <v>13.699835594472363</v>
      </c>
      <c r="AJ18" s="1252">
        <v>0.92600000000000005</v>
      </c>
      <c r="AK18" s="1252">
        <v>1.028</v>
      </c>
      <c r="AL18" s="1252">
        <v>1.1053638000000001E-3</v>
      </c>
      <c r="AN18" s="1252">
        <f>AN13/AN17</f>
        <v>0.9890485491071429</v>
      </c>
    </row>
    <row r="19" spans="1:40" ht="18.75" customHeight="1" x14ac:dyDescent="0.2">
      <c r="A19" s="1273">
        <v>7</v>
      </c>
      <c r="B19" s="1274" t="s">
        <v>145</v>
      </c>
      <c r="C19" s="241" t="s">
        <v>46</v>
      </c>
      <c r="D19" s="241">
        <v>676.7</v>
      </c>
      <c r="E19" s="241" t="s">
        <v>72</v>
      </c>
      <c r="F19" s="241">
        <v>177.8</v>
      </c>
      <c r="G19" s="241" t="s">
        <v>28</v>
      </c>
      <c r="H19" s="241" t="s">
        <v>588</v>
      </c>
      <c r="I19" s="1506">
        <v>557.91999999999996</v>
      </c>
      <c r="J19" s="241">
        <v>310</v>
      </c>
      <c r="K19" s="241"/>
      <c r="L19" s="1277">
        <v>437</v>
      </c>
      <c r="M19" s="241"/>
      <c r="N19" s="1278">
        <v>0.9</v>
      </c>
      <c r="O19" s="241"/>
      <c r="P19" s="1278">
        <f t="shared" si="4"/>
        <v>11.945441151207863</v>
      </c>
      <c r="Q19" s="1278">
        <f t="shared" si="9"/>
        <v>43.4</v>
      </c>
      <c r="R19" s="244">
        <v>4.8230000000000004</v>
      </c>
      <c r="S19" s="244">
        <v>7.0949999999999998</v>
      </c>
      <c r="T19" s="1277">
        <v>8</v>
      </c>
      <c r="U19" s="1278">
        <f t="shared" si="0"/>
        <v>1.6587186398507152</v>
      </c>
      <c r="V19" s="1278">
        <f t="shared" si="5"/>
        <v>32.022551092318523</v>
      </c>
      <c r="W19" s="1279">
        <v>0.2</v>
      </c>
      <c r="X19" s="1457">
        <v>85</v>
      </c>
      <c r="Y19" s="1277">
        <f t="shared" si="3"/>
        <v>16.347926267281107</v>
      </c>
      <c r="Z19" s="244">
        <f t="shared" si="6"/>
        <v>4.7651240000000001</v>
      </c>
      <c r="AA19" s="244">
        <f t="shared" si="6"/>
        <v>7.0098599999999998</v>
      </c>
      <c r="AB19" s="1277">
        <f t="shared" si="6"/>
        <v>7.9039999999999999</v>
      </c>
      <c r="AC19" s="244">
        <f t="shared" ref="AC19:AD32" si="10">U19</f>
        <v>1.6587186398507152</v>
      </c>
      <c r="AD19" s="1277">
        <f t="shared" si="7"/>
        <v>32.022551092318523</v>
      </c>
      <c r="AE19" s="241">
        <f t="shared" si="8"/>
        <v>28</v>
      </c>
      <c r="AF19" s="244">
        <f t="shared" si="1"/>
        <v>133.423472</v>
      </c>
      <c r="AG19" s="1281" t="s">
        <v>741</v>
      </c>
      <c r="AI19" s="1282">
        <f t="shared" si="2"/>
        <v>11.945441151207863</v>
      </c>
      <c r="AJ19" s="1252">
        <v>0.90329999999999999</v>
      </c>
      <c r="AK19" s="1252">
        <v>1.0209999999999999</v>
      </c>
      <c r="AL19" s="1252">
        <v>6.8874520000000001E-4</v>
      </c>
    </row>
    <row r="20" spans="1:40" ht="18.75" customHeight="1" x14ac:dyDescent="0.2">
      <c r="A20" s="1273">
        <v>8</v>
      </c>
      <c r="B20" s="1274" t="s">
        <v>146</v>
      </c>
      <c r="C20" s="241" t="s">
        <v>46</v>
      </c>
      <c r="D20" s="241">
        <v>567</v>
      </c>
      <c r="E20" s="1300" t="s">
        <v>572</v>
      </c>
      <c r="F20" s="241">
        <v>177.8</v>
      </c>
      <c r="G20" s="241" t="s">
        <v>28</v>
      </c>
      <c r="H20" s="241" t="s">
        <v>717</v>
      </c>
      <c r="I20" s="1301">
        <v>552.25</v>
      </c>
      <c r="J20" s="241">
        <v>100</v>
      </c>
      <c r="K20" s="1302"/>
      <c r="L20" s="1277">
        <v>446</v>
      </c>
      <c r="M20" s="1302"/>
      <c r="N20" s="1278">
        <v>4.2</v>
      </c>
      <c r="O20" s="1302"/>
      <c r="P20" s="1278">
        <f t="shared" si="4"/>
        <v>14.369804751829991</v>
      </c>
      <c r="Q20" s="1278">
        <f t="shared" si="9"/>
        <v>20</v>
      </c>
      <c r="R20" s="244">
        <v>4.3719999999999999</v>
      </c>
      <c r="S20" s="244">
        <v>14.331</v>
      </c>
      <c r="T20" s="1277">
        <v>35</v>
      </c>
      <c r="U20" s="1278">
        <f t="shared" si="0"/>
        <v>8.005489478499543</v>
      </c>
      <c r="V20" s="1278">
        <f t="shared" si="5"/>
        <v>69.492708115274581</v>
      </c>
      <c r="W20" s="1279">
        <v>0.2</v>
      </c>
      <c r="X20" s="1316">
        <v>100</v>
      </c>
      <c r="Y20" s="1277">
        <f t="shared" si="3"/>
        <v>71.655000000000001</v>
      </c>
      <c r="Z20" s="244">
        <f t="shared" si="6"/>
        <v>4.3195360000000003</v>
      </c>
      <c r="AA20" s="244">
        <f t="shared" si="6"/>
        <v>14.159027999999999</v>
      </c>
      <c r="AB20" s="1277">
        <f t="shared" si="6"/>
        <v>34.58</v>
      </c>
      <c r="AC20" s="244">
        <f t="shared" si="10"/>
        <v>8.005489478499543</v>
      </c>
      <c r="AD20" s="1277">
        <f t="shared" si="7"/>
        <v>69.492708115274581</v>
      </c>
      <c r="AE20" s="241">
        <f t="shared" si="8"/>
        <v>28</v>
      </c>
      <c r="AF20" s="244">
        <f t="shared" si="1"/>
        <v>120.94700800000001</v>
      </c>
      <c r="AG20" s="1281"/>
      <c r="AI20" s="1282">
        <f t="shared" si="2"/>
        <v>14.369804751829991</v>
      </c>
      <c r="AJ20" s="1252">
        <v>0.89549999999999996</v>
      </c>
      <c r="AK20" s="1252">
        <v>1.024</v>
      </c>
      <c r="AL20" s="1252">
        <v>9.1150370000000005E-4</v>
      </c>
    </row>
    <row r="21" spans="1:40" ht="18.75" customHeight="1" x14ac:dyDescent="0.2">
      <c r="A21" s="1273">
        <v>9</v>
      </c>
      <c r="B21" s="1274" t="s">
        <v>147</v>
      </c>
      <c r="C21" s="241" t="s">
        <v>46</v>
      </c>
      <c r="D21" s="241">
        <v>650.1</v>
      </c>
      <c r="E21" s="241" t="s">
        <v>74</v>
      </c>
      <c r="F21" s="241">
        <v>177.8</v>
      </c>
      <c r="G21" s="241" t="s">
        <v>28</v>
      </c>
      <c r="H21" s="241" t="s">
        <v>686</v>
      </c>
      <c r="I21" s="1506">
        <v>569.48</v>
      </c>
      <c r="J21" s="241">
        <v>150</v>
      </c>
      <c r="K21" s="241"/>
      <c r="L21" s="1277">
        <v>457</v>
      </c>
      <c r="M21" s="241"/>
      <c r="N21" s="1278">
        <v>3.4</v>
      </c>
      <c r="O21" s="241"/>
      <c r="P21" s="1278">
        <f t="shared" si="4"/>
        <v>14.100191472017322</v>
      </c>
      <c r="Q21" s="1278">
        <f t="shared" si="9"/>
        <v>30</v>
      </c>
      <c r="R21" s="244">
        <v>5.883</v>
      </c>
      <c r="S21" s="244">
        <v>16.085000000000001</v>
      </c>
      <c r="T21" s="1277">
        <v>49</v>
      </c>
      <c r="U21" s="1278">
        <f t="shared" si="0"/>
        <v>8.3290838007819143</v>
      </c>
      <c r="V21" s="1278">
        <f t="shared" si="5"/>
        <v>63.425551756294695</v>
      </c>
      <c r="W21" s="1279">
        <v>0.2</v>
      </c>
      <c r="X21" s="1316">
        <v>150</v>
      </c>
      <c r="Y21" s="1277">
        <f t="shared" si="3"/>
        <v>53.616666666666667</v>
      </c>
      <c r="Z21" s="244">
        <f t="shared" si="6"/>
        <v>5.8124039999999999</v>
      </c>
      <c r="AA21" s="244">
        <f t="shared" si="6"/>
        <v>15.89198</v>
      </c>
      <c r="AB21" s="1277">
        <f t="shared" si="6"/>
        <v>48.411999999999999</v>
      </c>
      <c r="AC21" s="244">
        <f t="shared" si="10"/>
        <v>8.3290838007819143</v>
      </c>
      <c r="AD21" s="1277">
        <f t="shared" si="7"/>
        <v>63.425551756294695</v>
      </c>
      <c r="AE21" s="241">
        <f t="shared" si="8"/>
        <v>28</v>
      </c>
      <c r="AF21" s="244">
        <f t="shared" si="1"/>
        <v>162.74731199999999</v>
      </c>
      <c r="AG21" s="1281"/>
      <c r="AI21" s="1282">
        <f t="shared" si="2"/>
        <v>14.100191472017322</v>
      </c>
      <c r="AJ21" s="1252">
        <v>0.90690000000000004</v>
      </c>
      <c r="AK21" s="1252">
        <v>1.0209999999999999</v>
      </c>
      <c r="AL21" s="1252">
        <v>8.1276750000000011E-4</v>
      </c>
    </row>
    <row r="22" spans="1:40" ht="27" customHeight="1" x14ac:dyDescent="0.2">
      <c r="A22" s="1273">
        <v>10</v>
      </c>
      <c r="B22" s="1274" t="s">
        <v>148</v>
      </c>
      <c r="C22" s="241" t="s">
        <v>46</v>
      </c>
      <c r="D22" s="241">
        <v>640.20000000000005</v>
      </c>
      <c r="E22" s="241" t="s">
        <v>398</v>
      </c>
      <c r="F22" s="241">
        <v>177.8</v>
      </c>
      <c r="G22" s="241" t="s">
        <v>28</v>
      </c>
      <c r="H22" s="1404" t="s">
        <v>564</v>
      </c>
      <c r="I22" s="1506">
        <v>564.11</v>
      </c>
      <c r="J22" s="1448">
        <v>160</v>
      </c>
      <c r="K22" s="241"/>
      <c r="L22" s="1277">
        <v>257</v>
      </c>
      <c r="M22" s="241"/>
      <c r="N22" s="1278">
        <v>0.3</v>
      </c>
      <c r="O22" s="241"/>
      <c r="P22" s="1278">
        <f t="shared" si="4"/>
        <v>29.026588874112182</v>
      </c>
      <c r="Q22" s="1278">
        <f>J22*7/100</f>
        <v>11.2</v>
      </c>
      <c r="R22" s="244">
        <v>2.3029999999999999</v>
      </c>
      <c r="S22" s="244">
        <v>4.5910000000000002</v>
      </c>
      <c r="T22" s="1277">
        <v>2</v>
      </c>
      <c r="U22" s="1278">
        <v>0</v>
      </c>
      <c r="V22" s="1278">
        <f t="shared" si="5"/>
        <v>49.836636898279245</v>
      </c>
      <c r="W22" s="1279">
        <v>0.2</v>
      </c>
      <c r="X22" s="1449">
        <v>160</v>
      </c>
      <c r="Y22" s="1277">
        <f t="shared" si="3"/>
        <v>40.991071428571438</v>
      </c>
      <c r="Z22" s="244">
        <v>2.5</v>
      </c>
      <c r="AA22" s="244">
        <f t="shared" si="6"/>
        <v>4.5359080000000001</v>
      </c>
      <c r="AB22" s="1277">
        <f t="shared" si="6"/>
        <v>1.976</v>
      </c>
      <c r="AC22" s="244">
        <f t="shared" si="10"/>
        <v>0</v>
      </c>
      <c r="AD22" s="1277">
        <f t="shared" si="7"/>
        <v>49.836636898279245</v>
      </c>
      <c r="AE22" s="241">
        <v>22</v>
      </c>
      <c r="AF22" s="244">
        <f t="shared" si="1"/>
        <v>55</v>
      </c>
      <c r="AG22" s="1281"/>
      <c r="AI22" s="1282">
        <f t="shared" si="2"/>
        <v>29.026588874112182</v>
      </c>
      <c r="AJ22" s="1252">
        <v>0.90039999999999998</v>
      </c>
      <c r="AK22" s="1252">
        <v>1.0309999999999999</v>
      </c>
      <c r="AL22" s="1252">
        <v>7.7447712000000004E-4</v>
      </c>
    </row>
    <row r="23" spans="1:40" ht="18.75" customHeight="1" x14ac:dyDescent="0.2">
      <c r="A23" s="1273">
        <v>11</v>
      </c>
      <c r="B23" s="1274" t="s">
        <v>149</v>
      </c>
      <c r="C23" s="241" t="s">
        <v>46</v>
      </c>
      <c r="D23" s="241">
        <v>606.29999999999995</v>
      </c>
      <c r="E23" s="241" t="s">
        <v>76</v>
      </c>
      <c r="F23" s="241">
        <v>177.8</v>
      </c>
      <c r="G23" s="241" t="s">
        <v>28</v>
      </c>
      <c r="H23" s="241" t="s">
        <v>487</v>
      </c>
      <c r="I23" s="1506">
        <v>593.29</v>
      </c>
      <c r="J23" s="241">
        <v>300</v>
      </c>
      <c r="K23" s="241"/>
      <c r="L23" s="1277">
        <v>441</v>
      </c>
      <c r="M23" s="241"/>
      <c r="N23" s="1278">
        <v>1.7</v>
      </c>
      <c r="O23" s="241"/>
      <c r="P23" s="1278">
        <f t="shared" si="4"/>
        <v>16.812128533688995</v>
      </c>
      <c r="Q23" s="1278">
        <f>(15/100)*J23</f>
        <v>45</v>
      </c>
      <c r="R23" s="244">
        <v>1.8819999999999999</v>
      </c>
      <c r="S23" s="244">
        <v>10.614000000000001</v>
      </c>
      <c r="T23" s="1277">
        <v>41</v>
      </c>
      <c r="U23" s="1278">
        <f t="shared" si="0"/>
        <v>21.785334750265676</v>
      </c>
      <c r="V23" s="1278">
        <f t="shared" si="5"/>
        <v>82.268701714716414</v>
      </c>
      <c r="W23" s="1279">
        <v>0.27</v>
      </c>
      <c r="X23" s="1316">
        <v>300</v>
      </c>
      <c r="Y23" s="1277">
        <f t="shared" si="3"/>
        <v>23.58666666666667</v>
      </c>
      <c r="Z23" s="244">
        <f t="shared" ref="Z23:AB37" si="11">R23*0.988</f>
        <v>1.859416</v>
      </c>
      <c r="AA23" s="244">
        <f t="shared" si="6"/>
        <v>10.486632</v>
      </c>
      <c r="AB23" s="1277">
        <f t="shared" si="6"/>
        <v>40.508000000000003</v>
      </c>
      <c r="AC23" s="244">
        <f t="shared" si="10"/>
        <v>21.785334750265676</v>
      </c>
      <c r="AD23" s="1277">
        <f t="shared" si="7"/>
        <v>82.268701714716414</v>
      </c>
      <c r="AE23" s="241">
        <f t="shared" si="8"/>
        <v>28</v>
      </c>
      <c r="AF23" s="244">
        <f t="shared" si="1"/>
        <v>52.063648000000001</v>
      </c>
      <c r="AG23" s="1285"/>
      <c r="AI23" s="1282">
        <f t="shared" si="2"/>
        <v>16.812128533688995</v>
      </c>
      <c r="AJ23" s="1252">
        <v>0.91620000000000001</v>
      </c>
      <c r="AK23" s="1252">
        <v>1.0449999999999999</v>
      </c>
      <c r="AL23" s="1252">
        <v>9.6207590000000004E-4</v>
      </c>
    </row>
    <row r="24" spans="1:40" ht="18.75" customHeight="1" x14ac:dyDescent="0.2">
      <c r="A24" s="1273">
        <v>12</v>
      </c>
      <c r="B24" s="1274" t="s">
        <v>151</v>
      </c>
      <c r="C24" s="241" t="s">
        <v>46</v>
      </c>
      <c r="D24" s="241">
        <v>675.42</v>
      </c>
      <c r="E24" s="1506" t="s">
        <v>298</v>
      </c>
      <c r="F24" s="241">
        <v>177.8</v>
      </c>
      <c r="G24" s="241" t="s">
        <v>28</v>
      </c>
      <c r="H24" s="1299" t="s">
        <v>687</v>
      </c>
      <c r="I24" s="1506">
        <v>558.21</v>
      </c>
      <c r="J24" s="1448">
        <v>85</v>
      </c>
      <c r="K24" s="241"/>
      <c r="L24" s="1277">
        <v>255</v>
      </c>
      <c r="M24" s="241"/>
      <c r="N24" s="1278">
        <v>0.57899999999999996</v>
      </c>
      <c r="O24" s="241"/>
      <c r="P24" s="1278">
        <f t="shared" si="4"/>
        <v>30.019641032251009</v>
      </c>
      <c r="Q24" s="1278">
        <f>20*J24/100</f>
        <v>17</v>
      </c>
      <c r="R24" s="244">
        <v>2.4350000000000001</v>
      </c>
      <c r="S24" s="244">
        <v>16.515000000000001</v>
      </c>
      <c r="T24" s="1277">
        <v>15.042</v>
      </c>
      <c r="U24" s="1278">
        <f t="shared" si="0"/>
        <v>6.17741273100616</v>
      </c>
      <c r="V24" s="1278">
        <f t="shared" si="5"/>
        <v>85.255828035119592</v>
      </c>
      <c r="W24" s="1279">
        <v>0.2</v>
      </c>
      <c r="X24" s="1449">
        <v>85</v>
      </c>
      <c r="Y24" s="1277">
        <f t="shared" si="3"/>
        <v>97.14705882352942</v>
      </c>
      <c r="Z24" s="244">
        <f t="shared" si="11"/>
        <v>2.40578</v>
      </c>
      <c r="AA24" s="244">
        <f t="shared" si="6"/>
        <v>16.31682</v>
      </c>
      <c r="AB24" s="1277">
        <f t="shared" si="6"/>
        <v>14.861495999999999</v>
      </c>
      <c r="AC24" s="244">
        <f t="shared" si="10"/>
        <v>6.17741273100616</v>
      </c>
      <c r="AD24" s="1277">
        <f t="shared" si="7"/>
        <v>85.255828035119592</v>
      </c>
      <c r="AE24" s="241">
        <f t="shared" si="8"/>
        <v>28</v>
      </c>
      <c r="AF24" s="244">
        <f>Z24*AE24</f>
        <v>67.361840000000001</v>
      </c>
      <c r="AG24" s="1285"/>
      <c r="AI24" s="1282">
        <f t="shared" si="2"/>
        <v>30.019641032251009</v>
      </c>
      <c r="AJ24" s="1252">
        <v>0.93420000000000003</v>
      </c>
      <c r="AK24" s="1252">
        <v>1.014</v>
      </c>
      <c r="AL24" s="1252">
        <v>7.7447712000000004E-4</v>
      </c>
    </row>
    <row r="25" spans="1:40" ht="18.75" customHeight="1" x14ac:dyDescent="0.2">
      <c r="A25" s="1273">
        <v>13</v>
      </c>
      <c r="B25" s="1274" t="s">
        <v>36</v>
      </c>
      <c r="C25" s="241" t="s">
        <v>46</v>
      </c>
      <c r="D25" s="241">
        <v>584.42999999999995</v>
      </c>
      <c r="E25" s="1506" t="s">
        <v>79</v>
      </c>
      <c r="F25" s="241">
        <v>177.8</v>
      </c>
      <c r="G25" s="241" t="s">
        <v>28</v>
      </c>
      <c r="H25" s="1299" t="s">
        <v>565</v>
      </c>
      <c r="I25" s="1506">
        <v>526.29</v>
      </c>
      <c r="J25" s="1448">
        <v>290</v>
      </c>
      <c r="K25" s="241"/>
      <c r="L25" s="1277">
        <v>272</v>
      </c>
      <c r="M25" s="241"/>
      <c r="N25" s="1278">
        <v>3.9140000000000001</v>
      </c>
      <c r="O25" s="241"/>
      <c r="P25" s="1278">
        <f t="shared" si="4"/>
        <v>28.450505197269475</v>
      </c>
      <c r="Q25" s="1278">
        <f>LEFT(H25,(FIND("E",H25,1)-1))*J25/100</f>
        <v>92.8</v>
      </c>
      <c r="R25" s="244">
        <v>17.353999999999999</v>
      </c>
      <c r="S25" s="244">
        <v>83.366</v>
      </c>
      <c r="T25" s="1277">
        <v>331.81599999999997</v>
      </c>
      <c r="U25" s="1278">
        <f t="shared" si="0"/>
        <v>19.12043332949176</v>
      </c>
      <c r="V25" s="1278">
        <f t="shared" si="5"/>
        <v>79.183360122831843</v>
      </c>
      <c r="W25" s="1279">
        <v>0.2</v>
      </c>
      <c r="X25" s="1449">
        <v>290</v>
      </c>
      <c r="Y25" s="1277">
        <f t="shared" si="3"/>
        <v>89.834051724137936</v>
      </c>
      <c r="Z25" s="244">
        <f t="shared" si="11"/>
        <v>17.145751999999998</v>
      </c>
      <c r="AA25" s="244">
        <f t="shared" si="6"/>
        <v>82.365607999999995</v>
      </c>
      <c r="AB25" s="1277">
        <f t="shared" si="6"/>
        <v>327.83420799999999</v>
      </c>
      <c r="AC25" s="244">
        <f t="shared" si="10"/>
        <v>19.12043332949176</v>
      </c>
      <c r="AD25" s="1277">
        <f t="shared" si="7"/>
        <v>79.183360122831843</v>
      </c>
      <c r="AE25" s="241">
        <f t="shared" si="8"/>
        <v>28</v>
      </c>
      <c r="AF25" s="244">
        <f>Z25*AE25</f>
        <v>480.08105599999993</v>
      </c>
      <c r="AG25" s="1281"/>
      <c r="AI25" s="1282">
        <f t="shared" si="2"/>
        <v>28.450505197269475</v>
      </c>
      <c r="AJ25" s="1252">
        <v>0.88449999999999995</v>
      </c>
      <c r="AK25" s="1252">
        <v>1.0249999999999999</v>
      </c>
      <c r="AL25" s="1252">
        <v>8.1397160000000013E-4</v>
      </c>
    </row>
    <row r="26" spans="1:40" ht="18.75" customHeight="1" x14ac:dyDescent="0.2">
      <c r="A26" s="1273">
        <v>14</v>
      </c>
      <c r="B26" s="1274" t="s">
        <v>152</v>
      </c>
      <c r="C26" s="241" t="s">
        <v>46</v>
      </c>
      <c r="D26" s="241">
        <v>564.97999999999979</v>
      </c>
      <c r="E26" s="1506" t="s">
        <v>80</v>
      </c>
      <c r="F26" s="241">
        <v>177.8</v>
      </c>
      <c r="G26" s="241" t="s">
        <v>28</v>
      </c>
      <c r="H26" s="244" t="s">
        <v>589</v>
      </c>
      <c r="I26" s="1301">
        <v>519.30999999999995</v>
      </c>
      <c r="J26" s="241">
        <v>280</v>
      </c>
      <c r="K26" s="241"/>
      <c r="L26" s="1277">
        <v>445</v>
      </c>
      <c r="M26" s="241"/>
      <c r="N26" s="1278">
        <v>5.391</v>
      </c>
      <c r="O26" s="241"/>
      <c r="P26" s="1278">
        <f t="shared" si="4"/>
        <v>12.43643132919696</v>
      </c>
      <c r="Q26" s="1278">
        <f>RIGHT(H26,(FIND("T",H26,1)-0))*J26/100</f>
        <v>56</v>
      </c>
      <c r="R26" s="244">
        <v>13.081</v>
      </c>
      <c r="S26" s="244">
        <v>36.357999999999997</v>
      </c>
      <c r="T26" s="1277">
        <v>383</v>
      </c>
      <c r="U26" s="1278">
        <f t="shared" si="0"/>
        <v>29.279107101903524</v>
      </c>
      <c r="V26" s="1278">
        <f t="shared" si="5"/>
        <v>64.021673359370695</v>
      </c>
      <c r="W26" s="1279">
        <v>0.2</v>
      </c>
      <c r="X26" s="1316">
        <v>280</v>
      </c>
      <c r="Y26" s="1277">
        <f t="shared" si="3"/>
        <v>64.924999999999997</v>
      </c>
      <c r="Z26" s="244">
        <f t="shared" si="11"/>
        <v>12.924028</v>
      </c>
      <c r="AA26" s="244">
        <f t="shared" si="6"/>
        <v>35.921703999999998</v>
      </c>
      <c r="AB26" s="1277">
        <f t="shared" si="6"/>
        <v>378.404</v>
      </c>
      <c r="AC26" s="244">
        <f t="shared" si="10"/>
        <v>29.279107101903524</v>
      </c>
      <c r="AD26" s="1277">
        <f t="shared" si="7"/>
        <v>64.021673359370695</v>
      </c>
      <c r="AE26" s="241">
        <f t="shared" si="8"/>
        <v>28</v>
      </c>
      <c r="AF26" s="244">
        <f t="shared" si="1"/>
        <v>361.87278400000002</v>
      </c>
      <c r="AG26" s="1281"/>
      <c r="AI26" s="1282">
        <f t="shared" si="2"/>
        <v>12.43643132919696</v>
      </c>
      <c r="AJ26" s="1252">
        <v>0.87939999999999996</v>
      </c>
      <c r="AK26" s="1252">
        <v>1.0269999999999999</v>
      </c>
      <c r="AL26" s="1252">
        <v>8.9946269999999998E-4</v>
      </c>
    </row>
    <row r="27" spans="1:40" ht="18.75" customHeight="1" x14ac:dyDescent="0.2">
      <c r="A27" s="1273">
        <v>15</v>
      </c>
      <c r="B27" s="1274" t="s">
        <v>37</v>
      </c>
      <c r="C27" s="241" t="s">
        <v>46</v>
      </c>
      <c r="D27" s="241">
        <v>670</v>
      </c>
      <c r="E27" s="241" t="s">
        <v>81</v>
      </c>
      <c r="F27" s="241">
        <v>177.8</v>
      </c>
      <c r="G27" s="241" t="s">
        <v>28</v>
      </c>
      <c r="H27" s="1299" t="s">
        <v>48</v>
      </c>
      <c r="I27" s="1506">
        <v>569.99</v>
      </c>
      <c r="J27" s="1448">
        <v>220</v>
      </c>
      <c r="K27" s="241"/>
      <c r="L27" s="1277">
        <v>437</v>
      </c>
      <c r="M27" s="241"/>
      <c r="N27" s="1278">
        <v>3.9</v>
      </c>
      <c r="O27" s="241"/>
      <c r="P27" s="1278">
        <f t="shared" si="4"/>
        <v>16.68406205627825</v>
      </c>
      <c r="Q27" s="1278">
        <f>LEFT(H27,(FIND("K",H27,1)-1))*J27/100</f>
        <v>28.6</v>
      </c>
      <c r="R27" s="244">
        <v>6.7350000000000003</v>
      </c>
      <c r="S27" s="244">
        <v>21.013999999999999</v>
      </c>
      <c r="T27" s="1277">
        <v>72</v>
      </c>
      <c r="U27" s="1278">
        <f t="shared" si="0"/>
        <v>10.690423162583519</v>
      </c>
      <c r="V27" s="1278">
        <f t="shared" si="5"/>
        <v>67.949938136480455</v>
      </c>
      <c r="W27" s="1279">
        <v>0.2</v>
      </c>
      <c r="X27" s="1449">
        <v>220</v>
      </c>
      <c r="Y27" s="1277">
        <f t="shared" si="3"/>
        <v>73.475524475524466</v>
      </c>
      <c r="Z27" s="244">
        <f t="shared" si="11"/>
        <v>6.6541800000000002</v>
      </c>
      <c r="AA27" s="244">
        <f t="shared" si="6"/>
        <v>20.761831999999998</v>
      </c>
      <c r="AB27" s="1277">
        <f t="shared" si="6"/>
        <v>71.135999999999996</v>
      </c>
      <c r="AC27" s="244">
        <f t="shared" si="10"/>
        <v>10.690423162583519</v>
      </c>
      <c r="AD27" s="1277">
        <f t="shared" si="7"/>
        <v>67.949938136480455</v>
      </c>
      <c r="AE27" s="241">
        <f t="shared" si="8"/>
        <v>28</v>
      </c>
      <c r="AF27" s="244">
        <f>Z27*AE27</f>
        <v>186.31704000000002</v>
      </c>
      <c r="AG27" s="1285"/>
      <c r="AI27" s="1282">
        <f t="shared" si="2"/>
        <v>16.68406205627825</v>
      </c>
      <c r="AJ27" s="1252">
        <v>0.91949999999999998</v>
      </c>
      <c r="AK27" s="1252">
        <v>1.024</v>
      </c>
      <c r="AL27" s="1252">
        <v>7.2245999999999996E-4</v>
      </c>
    </row>
    <row r="28" spans="1:40" ht="18.75" customHeight="1" x14ac:dyDescent="0.2">
      <c r="A28" s="1273">
        <v>16</v>
      </c>
      <c r="B28" s="1274" t="s">
        <v>153</v>
      </c>
      <c r="C28" s="1274" t="s">
        <v>46</v>
      </c>
      <c r="D28" s="1274">
        <v>574.61</v>
      </c>
      <c r="E28" s="1274" t="s">
        <v>688</v>
      </c>
      <c r="F28" s="1274">
        <v>177.8</v>
      </c>
      <c r="G28" s="1274" t="s">
        <v>28</v>
      </c>
      <c r="H28" s="1476" t="s">
        <v>540</v>
      </c>
      <c r="I28" s="1274">
        <v>541.78</v>
      </c>
      <c r="J28" s="1274">
        <v>100</v>
      </c>
      <c r="K28" s="1274"/>
      <c r="L28" s="1305">
        <v>44</v>
      </c>
      <c r="M28" s="1274"/>
      <c r="N28" s="1306">
        <v>6.8000000000000005E-2</v>
      </c>
      <c r="O28" s="1274"/>
      <c r="P28" s="1278">
        <f t="shared" si="4"/>
        <v>48.880288648062809</v>
      </c>
      <c r="Q28" s="1278">
        <f>22*J28/100</f>
        <v>22</v>
      </c>
      <c r="R28" s="1307">
        <v>1.5089999999999999</v>
      </c>
      <c r="S28" s="244">
        <v>19.099</v>
      </c>
      <c r="T28" s="1305">
        <v>0</v>
      </c>
      <c r="U28" s="1278">
        <f t="shared" si="0"/>
        <v>0</v>
      </c>
      <c r="V28" s="1278">
        <f t="shared" si="5"/>
        <v>92.099062778155925</v>
      </c>
      <c r="W28" s="1308">
        <v>0.24</v>
      </c>
      <c r="X28" s="238">
        <v>100</v>
      </c>
      <c r="Y28" s="1277">
        <f t="shared" si="3"/>
        <v>86.813636363636363</v>
      </c>
      <c r="Z28" s="244">
        <f t="shared" si="11"/>
        <v>1.4908919999999999</v>
      </c>
      <c r="AA28" s="244">
        <f t="shared" si="6"/>
        <v>18.869812</v>
      </c>
      <c r="AB28" s="1277">
        <f t="shared" si="6"/>
        <v>0</v>
      </c>
      <c r="AC28" s="1307">
        <f t="shared" si="10"/>
        <v>0</v>
      </c>
      <c r="AD28" s="1305">
        <f t="shared" si="7"/>
        <v>92.099062778155925</v>
      </c>
      <c r="AE28" s="241">
        <f>(DAY(EOMONTH($AH$11,0))-AH28)</f>
        <v>28</v>
      </c>
      <c r="AF28" s="1307">
        <f>Z28*AE28</f>
        <v>41.744975999999994</v>
      </c>
      <c r="AG28" s="1285" t="s">
        <v>742</v>
      </c>
      <c r="AI28" s="1282">
        <f t="shared" si="2"/>
        <v>48.880288648062809</v>
      </c>
      <c r="AJ28" s="1252">
        <v>0.90500000000000003</v>
      </c>
      <c r="AK28" s="1252">
        <v>1.022</v>
      </c>
      <c r="AL28" s="1252">
        <v>9.1150370000000005E-4</v>
      </c>
    </row>
    <row r="29" spans="1:40" ht="18.600000000000001" customHeight="1" x14ac:dyDescent="0.2">
      <c r="A29" s="1273">
        <v>17</v>
      </c>
      <c r="B29" s="1274" t="s">
        <v>154</v>
      </c>
      <c r="C29" s="1274" t="s">
        <v>46</v>
      </c>
      <c r="D29" s="1311">
        <v>644.79999999999995</v>
      </c>
      <c r="E29" s="1300" t="s">
        <v>421</v>
      </c>
      <c r="F29" s="241">
        <v>177.8</v>
      </c>
      <c r="G29" s="241" t="s">
        <v>28</v>
      </c>
      <c r="H29" s="1299" t="s">
        <v>687</v>
      </c>
      <c r="I29" s="1301">
        <v>562.54999999999995</v>
      </c>
      <c r="J29" s="241">
        <v>95</v>
      </c>
      <c r="K29" s="241"/>
      <c r="L29" s="1277">
        <v>442</v>
      </c>
      <c r="M29" s="241"/>
      <c r="N29" s="1278">
        <v>2.7789999999999999</v>
      </c>
      <c r="O29" s="241"/>
      <c r="P29" s="1278">
        <f t="shared" si="4"/>
        <v>14.230453883497495</v>
      </c>
      <c r="Q29" s="1278">
        <f>20*J29/100</f>
        <v>19</v>
      </c>
      <c r="R29" s="244">
        <v>4.6319999999999997</v>
      </c>
      <c r="S29" s="244">
        <v>13.144</v>
      </c>
      <c r="T29" s="1277">
        <v>19.971</v>
      </c>
      <c r="U29" s="1278">
        <f t="shared" si="0"/>
        <v>4.3115284974093271</v>
      </c>
      <c r="V29" s="1278">
        <f t="shared" si="5"/>
        <v>64.759586122945834</v>
      </c>
      <c r="W29" s="1279">
        <v>0.2</v>
      </c>
      <c r="X29" s="1316">
        <v>95</v>
      </c>
      <c r="Y29" s="1277">
        <f t="shared" si="3"/>
        <v>69.178947368421049</v>
      </c>
      <c r="Z29" s="244">
        <f t="shared" si="11"/>
        <v>4.576416</v>
      </c>
      <c r="AA29" s="244">
        <f t="shared" si="6"/>
        <v>12.986272</v>
      </c>
      <c r="AB29" s="1277">
        <f t="shared" si="6"/>
        <v>19.731348000000001</v>
      </c>
      <c r="AC29" s="1307">
        <f t="shared" si="10"/>
        <v>4.3115284974093271</v>
      </c>
      <c r="AD29" s="1305">
        <f t="shared" si="7"/>
        <v>64.759586122945834</v>
      </c>
      <c r="AE29" s="241">
        <f t="shared" si="8"/>
        <v>28</v>
      </c>
      <c r="AF29" s="1307">
        <f>Z29*AE29</f>
        <v>128.13964799999999</v>
      </c>
      <c r="AG29" s="1281"/>
      <c r="AI29" s="1282">
        <f t="shared" si="2"/>
        <v>14.230453883497495</v>
      </c>
      <c r="AJ29" s="1252">
        <v>0.88390000000000002</v>
      </c>
      <c r="AK29" s="1252">
        <v>1.03</v>
      </c>
      <c r="AL29" s="1252">
        <v>7.2245999999999996E-4</v>
      </c>
    </row>
    <row r="30" spans="1:40" ht="18.75" customHeight="1" x14ac:dyDescent="0.2">
      <c r="A30" s="1273">
        <v>18</v>
      </c>
      <c r="B30" s="1274" t="s">
        <v>38</v>
      </c>
      <c r="C30" s="241" t="s">
        <v>46</v>
      </c>
      <c r="D30" s="1278">
        <v>580</v>
      </c>
      <c r="E30" s="241" t="s">
        <v>84</v>
      </c>
      <c r="F30" s="241">
        <v>177.8</v>
      </c>
      <c r="G30" s="241" t="s">
        <v>28</v>
      </c>
      <c r="H30" s="1299" t="s">
        <v>466</v>
      </c>
      <c r="I30" s="1506">
        <v>564.05999999999995</v>
      </c>
      <c r="J30" s="241">
        <v>260</v>
      </c>
      <c r="K30" s="241"/>
      <c r="L30" s="1277">
        <v>503</v>
      </c>
      <c r="M30" s="241"/>
      <c r="N30" s="1278">
        <v>0.17499999999999999</v>
      </c>
      <c r="O30" s="241"/>
      <c r="P30" s="1278">
        <f t="shared" si="4"/>
        <v>6.0152810232122027</v>
      </c>
      <c r="Q30" s="1278">
        <f>LEFT(H30,(FIND("E",H30,1)-1))*J30/100</f>
        <v>33.799999999999997</v>
      </c>
      <c r="R30" s="244">
        <v>3.621</v>
      </c>
      <c r="S30" s="244">
        <v>10.183999999999999</v>
      </c>
      <c r="T30" s="1277">
        <v>16.969000000000001</v>
      </c>
      <c r="U30" s="1278">
        <f t="shared" si="0"/>
        <v>4.6862745098039218</v>
      </c>
      <c r="V30" s="1278">
        <f t="shared" si="5"/>
        <v>64.444226237234872</v>
      </c>
      <c r="W30" s="1279">
        <v>0.2</v>
      </c>
      <c r="X30" s="1316">
        <v>260</v>
      </c>
      <c r="Y30" s="1277">
        <f t="shared" si="3"/>
        <v>30.130177514792898</v>
      </c>
      <c r="Z30" s="244">
        <f t="shared" si="11"/>
        <v>3.5775480000000002</v>
      </c>
      <c r="AA30" s="244">
        <f t="shared" si="6"/>
        <v>10.061791999999999</v>
      </c>
      <c r="AB30" s="1277">
        <f t="shared" si="6"/>
        <v>16.765371999999999</v>
      </c>
      <c r="AC30" s="244">
        <f t="shared" si="10"/>
        <v>4.6862745098039218</v>
      </c>
      <c r="AD30" s="1305">
        <f t="shared" si="7"/>
        <v>64.444226237234872</v>
      </c>
      <c r="AE30" s="241">
        <f t="shared" si="8"/>
        <v>28</v>
      </c>
      <c r="AF30" s="244">
        <f t="shared" si="1"/>
        <v>100.171344</v>
      </c>
      <c r="AG30" s="1281"/>
      <c r="AI30" s="1282">
        <f t="shared" si="2"/>
        <v>6.0152810232122027</v>
      </c>
      <c r="AJ30" s="1252">
        <v>0.91639999999999999</v>
      </c>
      <c r="AK30" s="1252">
        <v>1.0169999999999999</v>
      </c>
      <c r="AL30" s="1252">
        <v>8.1276750000000011E-4</v>
      </c>
    </row>
    <row r="31" spans="1:40" ht="18.75" customHeight="1" x14ac:dyDescent="0.2">
      <c r="A31" s="1273">
        <v>19</v>
      </c>
      <c r="B31" s="1274" t="s">
        <v>39</v>
      </c>
      <c r="C31" s="241" t="s">
        <v>46</v>
      </c>
      <c r="D31" s="241">
        <v>575.26</v>
      </c>
      <c r="E31" s="241" t="s">
        <v>411</v>
      </c>
      <c r="F31" s="241">
        <v>177.8</v>
      </c>
      <c r="G31" s="241" t="s">
        <v>28</v>
      </c>
      <c r="H31" s="1299" t="s">
        <v>588</v>
      </c>
      <c r="I31" s="1506">
        <v>551</v>
      </c>
      <c r="J31" s="1448">
        <v>145</v>
      </c>
      <c r="K31" s="241"/>
      <c r="L31" s="1277">
        <v>474</v>
      </c>
      <c r="M31" s="241"/>
      <c r="N31" s="1278">
        <v>3.4</v>
      </c>
      <c r="O31" s="241"/>
      <c r="P31" s="1278">
        <f t="shared" si="4"/>
        <v>10.481964877848956</v>
      </c>
      <c r="Q31" s="1278">
        <f>14*J31/100</f>
        <v>20.3</v>
      </c>
      <c r="R31" s="244">
        <v>5.4009999999999998</v>
      </c>
      <c r="S31" s="244">
        <v>9.6760000000000002</v>
      </c>
      <c r="T31" s="1277">
        <v>21.375</v>
      </c>
      <c r="U31" s="1278">
        <f t="shared" si="0"/>
        <v>3.9576004443621553</v>
      </c>
      <c r="V31" s="1278">
        <f t="shared" si="5"/>
        <v>44.181479950392728</v>
      </c>
      <c r="W31" s="1279">
        <v>0.2</v>
      </c>
      <c r="X31" s="1449">
        <v>145</v>
      </c>
      <c r="Y31" s="1277">
        <f t="shared" si="3"/>
        <v>47.665024630541872</v>
      </c>
      <c r="Z31" s="244">
        <f t="shared" si="11"/>
        <v>5.3361879999999999</v>
      </c>
      <c r="AA31" s="244">
        <f t="shared" si="11"/>
        <v>9.5598880000000008</v>
      </c>
      <c r="AB31" s="1277">
        <f t="shared" si="11"/>
        <v>21.118500000000001</v>
      </c>
      <c r="AC31" s="244">
        <f t="shared" si="10"/>
        <v>3.9576004443621553</v>
      </c>
      <c r="AD31" s="1305">
        <f t="shared" si="10"/>
        <v>44.181479950392728</v>
      </c>
      <c r="AE31" s="241">
        <f t="shared" si="8"/>
        <v>28</v>
      </c>
      <c r="AF31" s="244">
        <f t="shared" si="1"/>
        <v>149.413264</v>
      </c>
      <c r="AG31" s="1450"/>
      <c r="AI31" s="1282">
        <f t="shared" si="2"/>
        <v>10.481964877848956</v>
      </c>
      <c r="AJ31" s="1252">
        <v>0.88239999999999996</v>
      </c>
      <c r="AK31" s="1252">
        <v>1.024</v>
      </c>
      <c r="AL31" s="1252">
        <v>8.1397160000000013E-4</v>
      </c>
    </row>
    <row r="32" spans="1:40" ht="18.75" customHeight="1" x14ac:dyDescent="0.2">
      <c r="A32" s="1273">
        <v>20</v>
      </c>
      <c r="B32" s="1274" t="s">
        <v>40</v>
      </c>
      <c r="C32" s="241" t="s">
        <v>46</v>
      </c>
      <c r="D32" s="241">
        <v>604.16999999999996</v>
      </c>
      <c r="E32" s="241" t="s">
        <v>689</v>
      </c>
      <c r="F32" s="241">
        <v>177.8</v>
      </c>
      <c r="G32" s="241" t="s">
        <v>28</v>
      </c>
      <c r="H32" s="241" t="s">
        <v>556</v>
      </c>
      <c r="I32" s="1506">
        <v>565.36</v>
      </c>
      <c r="J32" s="241">
        <v>100</v>
      </c>
      <c r="K32" s="241"/>
      <c r="L32" s="1277">
        <v>341.25</v>
      </c>
      <c r="M32" s="241"/>
      <c r="N32" s="1278">
        <v>2.4</v>
      </c>
      <c r="O32" s="241"/>
      <c r="P32" s="1278">
        <f t="shared" si="4"/>
        <v>23.944429726420587</v>
      </c>
      <c r="Q32" s="1278">
        <f>13*J32/100</f>
        <v>13</v>
      </c>
      <c r="R32" s="244">
        <v>2.3769999999999998</v>
      </c>
      <c r="S32" s="244">
        <v>10.631</v>
      </c>
      <c r="T32" s="1277">
        <v>11</v>
      </c>
      <c r="U32" s="1278">
        <f>IF(R32=0,0,T32/R32)</f>
        <v>4.6276819520403878</v>
      </c>
      <c r="V32" s="1278">
        <f t="shared" si="5"/>
        <v>77.640861631078934</v>
      </c>
      <c r="W32" s="1279">
        <v>0.2</v>
      </c>
      <c r="X32" s="1316">
        <v>100</v>
      </c>
      <c r="Y32" s="1277">
        <f t="shared" si="3"/>
        <v>81.776923076923083</v>
      </c>
      <c r="Z32" s="244">
        <f t="shared" si="11"/>
        <v>2.3484759999999998</v>
      </c>
      <c r="AA32" s="244">
        <f t="shared" si="11"/>
        <v>10.503428</v>
      </c>
      <c r="AB32" s="1277">
        <f t="shared" si="11"/>
        <v>10.868</v>
      </c>
      <c r="AC32" s="244">
        <f t="shared" si="10"/>
        <v>4.6276819520403878</v>
      </c>
      <c r="AD32" s="1305">
        <v>70</v>
      </c>
      <c r="AE32" s="241">
        <f t="shared" si="8"/>
        <v>28</v>
      </c>
      <c r="AF32" s="244">
        <f>Z32*AE32</f>
        <v>65.757328000000001</v>
      </c>
      <c r="AG32" s="1285"/>
      <c r="AI32" s="1282">
        <f t="shared" si="2"/>
        <v>23.944429726420587</v>
      </c>
      <c r="AJ32" s="1252">
        <v>0.91810000000000003</v>
      </c>
      <c r="AK32" s="1252">
        <v>1.0129999999999999</v>
      </c>
      <c r="AL32" s="1252">
        <v>7.5858300000000007E-4</v>
      </c>
    </row>
    <row r="33" spans="1:38" ht="18.75" customHeight="1" x14ac:dyDescent="0.2">
      <c r="A33" s="1273">
        <v>21</v>
      </c>
      <c r="B33" s="1274" t="s">
        <v>41</v>
      </c>
      <c r="C33" s="241" t="s">
        <v>46</v>
      </c>
      <c r="D33" s="241">
        <v>573.37</v>
      </c>
      <c r="E33" s="241" t="s">
        <v>87</v>
      </c>
      <c r="F33" s="241">
        <v>177.8</v>
      </c>
      <c r="G33" s="241" t="s">
        <v>28</v>
      </c>
      <c r="H33" s="241" t="s">
        <v>461</v>
      </c>
      <c r="I33" s="1506">
        <v>535.91</v>
      </c>
      <c r="J33" s="1448">
        <v>300</v>
      </c>
      <c r="K33" s="241"/>
      <c r="L33" s="1277">
        <v>451</v>
      </c>
      <c r="M33" s="241"/>
      <c r="N33" s="1278">
        <v>3.387</v>
      </c>
      <c r="O33" s="241"/>
      <c r="P33" s="1278">
        <f t="shared" si="4"/>
        <v>11.244681611040569</v>
      </c>
      <c r="Q33" s="1278">
        <f>(20/100)*J33</f>
        <v>60</v>
      </c>
      <c r="R33" s="244">
        <v>7.91</v>
      </c>
      <c r="S33" s="244">
        <v>13.19</v>
      </c>
      <c r="T33" s="1277">
        <v>142</v>
      </c>
      <c r="U33" s="1278">
        <f t="shared" ref="U33:U80" si="12">IF(R33=0,0,T33/R33)</f>
        <v>17.951959544879898</v>
      </c>
      <c r="V33" s="1278">
        <f t="shared" si="5"/>
        <v>40.030326004548897</v>
      </c>
      <c r="W33" s="1279">
        <v>0.2</v>
      </c>
      <c r="X33" s="1449">
        <v>300</v>
      </c>
      <c r="Y33" s="1277">
        <f t="shared" si="3"/>
        <v>21.983333333333334</v>
      </c>
      <c r="Z33" s="244">
        <f t="shared" si="11"/>
        <v>7.81508</v>
      </c>
      <c r="AA33" s="244">
        <f t="shared" si="11"/>
        <v>13.03172</v>
      </c>
      <c r="AB33" s="1277">
        <f t="shared" si="11"/>
        <v>140.29599999999999</v>
      </c>
      <c r="AC33" s="244">
        <v>89.536086956521729</v>
      </c>
      <c r="AD33" s="1305">
        <f>V33</f>
        <v>40.030326004548897</v>
      </c>
      <c r="AE33" s="241">
        <f t="shared" si="8"/>
        <v>28</v>
      </c>
      <c r="AF33" s="244">
        <f t="shared" si="1"/>
        <v>218.82223999999999</v>
      </c>
      <c r="AG33" s="1314"/>
      <c r="AI33" s="1282">
        <f t="shared" si="2"/>
        <v>11.244681611040569</v>
      </c>
      <c r="AJ33" s="1252">
        <v>0.90390000000000004</v>
      </c>
      <c r="AK33" s="1252">
        <v>1.0229999999999999</v>
      </c>
      <c r="AL33" s="1252">
        <v>8.0193060000000006E-4</v>
      </c>
    </row>
    <row r="34" spans="1:38" ht="18.75" customHeight="1" x14ac:dyDescent="0.2">
      <c r="A34" s="1273">
        <v>22</v>
      </c>
      <c r="B34" s="1274" t="s">
        <v>42</v>
      </c>
      <c r="C34" s="241" t="s">
        <v>46</v>
      </c>
      <c r="D34" s="241">
        <v>583.20000000000005</v>
      </c>
      <c r="E34" s="241" t="s">
        <v>88</v>
      </c>
      <c r="F34" s="241">
        <v>177.8</v>
      </c>
      <c r="G34" s="241" t="s">
        <v>28</v>
      </c>
      <c r="H34" s="241" t="s">
        <v>491</v>
      </c>
      <c r="I34" s="1506">
        <v>565.11</v>
      </c>
      <c r="J34" s="1448">
        <v>280</v>
      </c>
      <c r="K34" s="241"/>
      <c r="L34" s="1277">
        <v>148</v>
      </c>
      <c r="M34" s="241"/>
      <c r="N34" s="1278">
        <v>2.98</v>
      </c>
      <c r="O34" s="241"/>
      <c r="P34" s="1278">
        <f t="shared" si="4"/>
        <v>43.503201111371069</v>
      </c>
      <c r="Q34" s="1278">
        <f>LEFT(H34,(FIND("K",H34,1)-1))*J34/100</f>
        <v>64.400000000000006</v>
      </c>
      <c r="R34" s="244">
        <v>3.8340000000000001</v>
      </c>
      <c r="S34" s="244">
        <v>19.716000000000001</v>
      </c>
      <c r="T34" s="1277">
        <v>40</v>
      </c>
      <c r="U34" s="1278">
        <f t="shared" si="12"/>
        <v>10.432968179447052</v>
      </c>
      <c r="V34" s="1278">
        <f t="shared" si="5"/>
        <v>80.553864881314681</v>
      </c>
      <c r="W34" s="1279">
        <v>0.3</v>
      </c>
      <c r="X34" s="1449">
        <v>280</v>
      </c>
      <c r="Y34" s="1277">
        <f t="shared" si="3"/>
        <v>30.614906832298132</v>
      </c>
      <c r="Z34" s="244">
        <f t="shared" si="11"/>
        <v>3.787992</v>
      </c>
      <c r="AA34" s="244">
        <f t="shared" si="11"/>
        <v>19.479407999999999</v>
      </c>
      <c r="AB34" s="1277">
        <f t="shared" si="11"/>
        <v>39.519999999999996</v>
      </c>
      <c r="AC34" s="244">
        <f>U34</f>
        <v>10.432968179447052</v>
      </c>
      <c r="AD34" s="1277">
        <f>V34</f>
        <v>80.553864881314681</v>
      </c>
      <c r="AE34" s="241">
        <f t="shared" si="8"/>
        <v>28</v>
      </c>
      <c r="AF34" s="244">
        <f t="shared" si="1"/>
        <v>106.063776</v>
      </c>
      <c r="AG34" s="1285"/>
      <c r="AI34" s="1282">
        <f t="shared" si="2"/>
        <v>43.503201111371069</v>
      </c>
      <c r="AJ34" s="1252">
        <v>0.91690000000000005</v>
      </c>
      <c r="AK34" s="1252">
        <v>1.024</v>
      </c>
      <c r="AL34" s="1252">
        <v>8.1276750000000011E-4</v>
      </c>
    </row>
    <row r="35" spans="1:38" ht="29.25" customHeight="1" x14ac:dyDescent="0.2">
      <c r="A35" s="1273">
        <v>23</v>
      </c>
      <c r="B35" s="1274" t="s">
        <v>43</v>
      </c>
      <c r="C35" s="241" t="s">
        <v>46</v>
      </c>
      <c r="D35" s="241">
        <v>682.7</v>
      </c>
      <c r="E35" s="241" t="s">
        <v>690</v>
      </c>
      <c r="F35" s="241">
        <v>177.8</v>
      </c>
      <c r="G35" s="241" t="s">
        <v>28</v>
      </c>
      <c r="H35" s="1299" t="s">
        <v>685</v>
      </c>
      <c r="I35" s="1315">
        <v>563.63</v>
      </c>
      <c r="J35" s="241">
        <v>85</v>
      </c>
      <c r="K35" s="241"/>
      <c r="L35" s="1277">
        <v>387</v>
      </c>
      <c r="M35" s="241"/>
      <c r="N35" s="1278">
        <v>1.7909999999999999</v>
      </c>
      <c r="O35" s="241"/>
      <c r="P35" s="1278">
        <f t="shared" si="4"/>
        <v>18.8937094854363</v>
      </c>
      <c r="Q35" s="1278">
        <f>14*J35/100</f>
        <v>11.9</v>
      </c>
      <c r="R35" s="244">
        <v>1.643</v>
      </c>
      <c r="S35" s="244">
        <v>10.256</v>
      </c>
      <c r="T35" s="1277">
        <v>1</v>
      </c>
      <c r="U35" s="1278">
        <f t="shared" si="12"/>
        <v>0.60864272671941566</v>
      </c>
      <c r="V35" s="1278">
        <f t="shared" si="5"/>
        <v>83.980109204368176</v>
      </c>
      <c r="W35" s="1279">
        <v>0.2</v>
      </c>
      <c r="X35" s="1316">
        <v>85</v>
      </c>
      <c r="Y35" s="1277">
        <f t="shared" si="3"/>
        <v>86.184873949579838</v>
      </c>
      <c r="Z35" s="244">
        <f t="shared" si="11"/>
        <v>1.6232839999999999</v>
      </c>
      <c r="AA35" s="244">
        <f t="shared" si="11"/>
        <v>10.132928</v>
      </c>
      <c r="AB35" s="1277">
        <f t="shared" si="11"/>
        <v>0.98799999999999999</v>
      </c>
      <c r="AC35" s="244">
        <f>U35</f>
        <v>0.60864272671941566</v>
      </c>
      <c r="AD35" s="1277">
        <f>V35</f>
        <v>83.980109204368176</v>
      </c>
      <c r="AE35" s="241">
        <f t="shared" si="8"/>
        <v>28</v>
      </c>
      <c r="AF35" s="244">
        <f t="shared" si="1"/>
        <v>45.451951999999999</v>
      </c>
      <c r="AG35" s="1285"/>
      <c r="AI35" s="1282">
        <f t="shared" si="2"/>
        <v>18.8937094854363</v>
      </c>
      <c r="AJ35" s="1252">
        <v>0.90100000000000002</v>
      </c>
      <c r="AK35" s="1252">
        <v>1.0169999999999999</v>
      </c>
      <c r="AL35" s="1252">
        <v>7.7303220000000006E-4</v>
      </c>
    </row>
    <row r="36" spans="1:38" ht="18.75" customHeight="1" x14ac:dyDescent="0.2">
      <c r="A36" s="1273">
        <v>24</v>
      </c>
      <c r="B36" s="1274" t="s">
        <v>44</v>
      </c>
      <c r="C36" s="241" t="s">
        <v>46</v>
      </c>
      <c r="D36" s="241">
        <v>614.27</v>
      </c>
      <c r="E36" s="241" t="s">
        <v>593</v>
      </c>
      <c r="F36" s="241">
        <v>177.8</v>
      </c>
      <c r="G36" s="241" t="s">
        <v>28</v>
      </c>
      <c r="H36" s="1299" t="s">
        <v>565</v>
      </c>
      <c r="I36" s="1315">
        <v>580.03</v>
      </c>
      <c r="J36" s="241">
        <v>100</v>
      </c>
      <c r="K36" s="241"/>
      <c r="L36" s="1277">
        <v>94</v>
      </c>
      <c r="M36" s="241"/>
      <c r="N36" s="1278">
        <v>1.583</v>
      </c>
      <c r="O36" s="241"/>
      <c r="P36" s="1278">
        <f t="shared" si="4"/>
        <v>49.176616352788095</v>
      </c>
      <c r="Q36" s="1278">
        <f>(32/100)*J36</f>
        <v>32</v>
      </c>
      <c r="R36" s="244">
        <v>2.706</v>
      </c>
      <c r="S36" s="244">
        <v>32.954000000000001</v>
      </c>
      <c r="T36" s="1277">
        <v>43</v>
      </c>
      <c r="U36" s="1278">
        <f t="shared" si="12"/>
        <v>15.890613451589061</v>
      </c>
      <c r="V36" s="1278">
        <f t="shared" si="5"/>
        <v>91.788553741579165</v>
      </c>
      <c r="W36" s="1279">
        <v>0.2</v>
      </c>
      <c r="X36" s="1316">
        <v>100</v>
      </c>
      <c r="Y36" s="1277">
        <f t="shared" si="3"/>
        <v>102.98125</v>
      </c>
      <c r="Z36" s="244">
        <f t="shared" si="11"/>
        <v>2.6735280000000001</v>
      </c>
      <c r="AA36" s="244">
        <f t="shared" si="11"/>
        <v>32.558551999999999</v>
      </c>
      <c r="AB36" s="1277">
        <f t="shared" si="11"/>
        <v>42.484000000000002</v>
      </c>
      <c r="AC36" s="244">
        <f>U36</f>
        <v>15.890613451589061</v>
      </c>
      <c r="AD36" s="1277">
        <f>V36</f>
        <v>91.788553741579165</v>
      </c>
      <c r="AE36" s="241">
        <f t="shared" si="8"/>
        <v>28</v>
      </c>
      <c r="AF36" s="244">
        <f t="shared" si="1"/>
        <v>74.858784</v>
      </c>
      <c r="AG36" s="1281"/>
      <c r="AI36" s="1282">
        <f t="shared" si="2"/>
        <v>49.176616352788095</v>
      </c>
      <c r="AJ36" s="1252">
        <v>0.89100000000000001</v>
      </c>
      <c r="AK36" s="1252">
        <v>1.022</v>
      </c>
      <c r="AL36" s="1252">
        <v>9.3558570000000008E-4</v>
      </c>
    </row>
    <row r="37" spans="1:38" s="1478" customFormat="1" ht="18.75" customHeight="1" x14ac:dyDescent="0.2">
      <c r="A37" s="1273">
        <v>25</v>
      </c>
      <c r="B37" s="1274" t="s">
        <v>45</v>
      </c>
      <c r="C37" s="241" t="s">
        <v>46</v>
      </c>
      <c r="D37" s="241">
        <v>636.4</v>
      </c>
      <c r="E37" s="241" t="s">
        <v>595</v>
      </c>
      <c r="F37" s="241">
        <v>177.8</v>
      </c>
      <c r="G37" s="241" t="s">
        <v>28</v>
      </c>
      <c r="H37" s="241" t="s">
        <v>684</v>
      </c>
      <c r="I37" s="1506">
        <v>554.16999999999996</v>
      </c>
      <c r="J37" s="1448">
        <v>125</v>
      </c>
      <c r="K37" s="241"/>
      <c r="L37" s="1277">
        <v>352</v>
      </c>
      <c r="M37" s="241"/>
      <c r="N37" s="1278">
        <v>4.7</v>
      </c>
      <c r="O37" s="241"/>
      <c r="P37" s="1278">
        <f t="shared" si="4"/>
        <v>23.892736400945068</v>
      </c>
      <c r="Q37" s="1278">
        <f>(32/100)*J37</f>
        <v>40</v>
      </c>
      <c r="R37" s="244">
        <v>13.685</v>
      </c>
      <c r="S37" s="244">
        <v>39.94</v>
      </c>
      <c r="T37" s="1277">
        <v>103</v>
      </c>
      <c r="U37" s="1278">
        <f t="shared" si="12"/>
        <v>7.5264888564121302</v>
      </c>
      <c r="V37" s="1278">
        <f t="shared" si="5"/>
        <v>65.736104156234347</v>
      </c>
      <c r="W37" s="1279">
        <v>0.2</v>
      </c>
      <c r="X37" s="1449">
        <v>125</v>
      </c>
      <c r="Y37" s="1277">
        <f t="shared" si="3"/>
        <v>99.85</v>
      </c>
      <c r="Z37" s="244">
        <f t="shared" si="11"/>
        <v>13.52078</v>
      </c>
      <c r="AA37" s="244">
        <f t="shared" si="11"/>
        <v>39.460719999999995</v>
      </c>
      <c r="AB37" s="1277">
        <f t="shared" si="11"/>
        <v>101.764</v>
      </c>
      <c r="AC37" s="244">
        <f>U37</f>
        <v>7.5264888564121302</v>
      </c>
      <c r="AD37" s="1277">
        <f>V37</f>
        <v>65.736104156234347</v>
      </c>
      <c r="AE37" s="241">
        <f>(DAY(EOMONTH($AH$11,0))-AH37)</f>
        <v>28</v>
      </c>
      <c r="AF37" s="244">
        <f t="shared" si="1"/>
        <v>378.58184</v>
      </c>
      <c r="AG37" s="1477"/>
      <c r="AI37" s="1282">
        <f t="shared" si="2"/>
        <v>23.892736400945068</v>
      </c>
      <c r="AJ37" s="1252">
        <v>0.89349999999999996</v>
      </c>
      <c r="AK37" s="1252">
        <v>1.024</v>
      </c>
      <c r="AL37" s="1252">
        <v>7.2366409999999998E-4</v>
      </c>
    </row>
    <row r="38" spans="1:38" ht="18.600000000000001" customHeight="1" x14ac:dyDescent="0.2">
      <c r="A38" s="1273">
        <v>26</v>
      </c>
      <c r="B38" s="1274" t="s">
        <v>56</v>
      </c>
      <c r="C38" s="1316" t="s">
        <v>46</v>
      </c>
      <c r="D38" s="241">
        <v>680.52</v>
      </c>
      <c r="E38" s="1274" t="s">
        <v>596</v>
      </c>
      <c r="F38" s="241">
        <v>177.8</v>
      </c>
      <c r="G38" s="241" t="s">
        <v>28</v>
      </c>
      <c r="H38" s="1299" t="s">
        <v>349</v>
      </c>
      <c r="I38" s="1506">
        <v>583.46</v>
      </c>
      <c r="J38" s="1448"/>
      <c r="K38" s="241"/>
      <c r="L38" s="1277"/>
      <c r="M38" s="241"/>
      <c r="N38" s="1278"/>
      <c r="O38" s="241"/>
      <c r="P38" s="1278"/>
      <c r="Q38" s="1278"/>
      <c r="R38" s="244"/>
      <c r="S38" s="244"/>
      <c r="T38" s="1277"/>
      <c r="U38" s="1278"/>
      <c r="V38" s="1278"/>
      <c r="W38" s="1279"/>
      <c r="X38" s="1449"/>
      <c r="Y38" s="1277">
        <f t="shared" si="3"/>
        <v>0</v>
      </c>
      <c r="Z38" s="244"/>
      <c r="AA38" s="244"/>
      <c r="AB38" s="1277"/>
      <c r="AC38" s="244"/>
      <c r="AD38" s="1277"/>
      <c r="AE38" s="241"/>
      <c r="AF38" s="244"/>
      <c r="AG38" s="1285" t="s">
        <v>681</v>
      </c>
      <c r="AI38" s="1282">
        <f t="shared" si="2"/>
        <v>51.69303580814212</v>
      </c>
      <c r="AJ38" s="1252">
        <v>0.91510000000000002</v>
      </c>
      <c r="AK38" s="1252">
        <v>1.022</v>
      </c>
      <c r="AL38" s="1252">
        <v>6.1000000000000004E-3</v>
      </c>
    </row>
    <row r="39" spans="1:38" ht="18.75" customHeight="1" x14ac:dyDescent="0.2">
      <c r="A39" s="1273">
        <v>27</v>
      </c>
      <c r="B39" s="1274" t="s">
        <v>206</v>
      </c>
      <c r="C39" s="241" t="s">
        <v>46</v>
      </c>
      <c r="D39" s="241">
        <v>660.74</v>
      </c>
      <c r="E39" s="241" t="s">
        <v>436</v>
      </c>
      <c r="F39" s="241">
        <v>177.8</v>
      </c>
      <c r="G39" s="241" t="s">
        <v>28</v>
      </c>
      <c r="H39" s="241" t="s">
        <v>693</v>
      </c>
      <c r="I39" s="1506">
        <v>544.70000000000005</v>
      </c>
      <c r="J39" s="241">
        <v>85</v>
      </c>
      <c r="K39" s="241"/>
      <c r="L39" s="1277">
        <v>140</v>
      </c>
      <c r="M39" s="241"/>
      <c r="N39" s="1278">
        <v>4.3</v>
      </c>
      <c r="O39" s="241"/>
      <c r="P39" s="1278">
        <f t="shared" si="4"/>
        <v>43.020199817834239</v>
      </c>
      <c r="Q39" s="1278">
        <f>J39*20/100</f>
        <v>17</v>
      </c>
      <c r="R39" s="244">
        <v>5.673</v>
      </c>
      <c r="S39" s="244">
        <v>22.984000000000002</v>
      </c>
      <c r="T39" s="1277">
        <v>18.082999999999998</v>
      </c>
      <c r="U39" s="1278">
        <f t="shared" si="12"/>
        <v>3.1875550854926842</v>
      </c>
      <c r="V39" s="1278">
        <f t="shared" si="5"/>
        <v>75.317612252001382</v>
      </c>
      <c r="W39" s="1279">
        <v>0.2</v>
      </c>
      <c r="X39" s="1316">
        <v>85</v>
      </c>
      <c r="Y39" s="1277">
        <f t="shared" si="3"/>
        <v>135.20000000000002</v>
      </c>
      <c r="Z39" s="244">
        <f t="shared" ref="Z39:AB43" si="13">R39*0.988</f>
        <v>5.6049239999999996</v>
      </c>
      <c r="AA39" s="244">
        <f t="shared" si="13"/>
        <v>22.708192</v>
      </c>
      <c r="AB39" s="1277">
        <f t="shared" si="13"/>
        <v>17.866003999999997</v>
      </c>
      <c r="AC39" s="244">
        <f t="shared" ref="AC39:AD45" si="14">U39</f>
        <v>3.1875550854926842</v>
      </c>
      <c r="AD39" s="1277">
        <f t="shared" si="14"/>
        <v>75.317612252001382</v>
      </c>
      <c r="AE39" s="241">
        <f t="shared" ref="AE39:AE80" si="15">(DAY(EOMONTH($AH$11,0))-AH39)</f>
        <v>28</v>
      </c>
      <c r="AF39" s="244">
        <f t="shared" si="1"/>
        <v>156.937872</v>
      </c>
      <c r="AG39" s="1281"/>
      <c r="AI39" s="1282">
        <f t="shared" si="2"/>
        <v>43.020199817834239</v>
      </c>
      <c r="AJ39" s="1252">
        <v>0.89929999999999999</v>
      </c>
      <c r="AK39" s="1252">
        <v>1.0169999999999999</v>
      </c>
      <c r="AL39" s="1252">
        <v>7.7303220000000006E-4</v>
      </c>
    </row>
    <row r="40" spans="1:38" ht="28.5" customHeight="1" x14ac:dyDescent="0.2">
      <c r="A40" s="1273">
        <v>28</v>
      </c>
      <c r="B40" s="1317" t="s">
        <v>161</v>
      </c>
      <c r="C40" s="241" t="s">
        <v>46</v>
      </c>
      <c r="D40" s="1506">
        <v>677</v>
      </c>
      <c r="E40" s="1318" t="s">
        <v>178</v>
      </c>
      <c r="F40" s="241">
        <v>177.8</v>
      </c>
      <c r="G40" s="241" t="s">
        <v>28</v>
      </c>
      <c r="H40" s="1299" t="s">
        <v>565</v>
      </c>
      <c r="I40" s="1506">
        <v>553.30999999999995</v>
      </c>
      <c r="J40" s="1506">
        <v>220</v>
      </c>
      <c r="K40" s="1506"/>
      <c r="L40" s="1319">
        <v>416</v>
      </c>
      <c r="M40" s="1506"/>
      <c r="N40" s="1278">
        <v>1.9790000000000001</v>
      </c>
      <c r="O40" s="1506"/>
      <c r="P40" s="1278">
        <f t="shared" si="4"/>
        <v>15.01283532303329</v>
      </c>
      <c r="Q40" s="1278">
        <f>J40*32/100</f>
        <v>70.400000000000006</v>
      </c>
      <c r="R40" s="244">
        <v>7.532</v>
      </c>
      <c r="S40" s="244">
        <v>22.67</v>
      </c>
      <c r="T40" s="1319">
        <v>85</v>
      </c>
      <c r="U40" s="1278">
        <f t="shared" si="12"/>
        <v>11.28518321826872</v>
      </c>
      <c r="V40" s="1278">
        <f t="shared" si="5"/>
        <v>66.775474194971324</v>
      </c>
      <c r="W40" s="1279">
        <v>0.2</v>
      </c>
      <c r="X40" s="1410">
        <v>220</v>
      </c>
      <c r="Y40" s="1277">
        <f t="shared" si="3"/>
        <v>32.201704545454547</v>
      </c>
      <c r="Z40" s="244">
        <f t="shared" si="13"/>
        <v>7.4416159999999998</v>
      </c>
      <c r="AA40" s="244">
        <f t="shared" si="13"/>
        <v>22.397960000000001</v>
      </c>
      <c r="AB40" s="1277">
        <f t="shared" si="13"/>
        <v>83.98</v>
      </c>
      <c r="AC40" s="244">
        <f t="shared" si="14"/>
        <v>11.28518321826872</v>
      </c>
      <c r="AD40" s="1277">
        <f t="shared" si="14"/>
        <v>66.775474194971324</v>
      </c>
      <c r="AE40" s="241">
        <f t="shared" si="15"/>
        <v>28</v>
      </c>
      <c r="AF40" s="244">
        <f t="shared" si="1"/>
        <v>208.36524800000001</v>
      </c>
      <c r="AG40" s="1285"/>
      <c r="AI40" s="1282">
        <f t="shared" si="2"/>
        <v>15.01283532303329</v>
      </c>
      <c r="AJ40" s="1252">
        <v>0.88949999999999996</v>
      </c>
      <c r="AK40" s="1252">
        <v>1.0209999999999999</v>
      </c>
      <c r="AL40" s="1252">
        <v>1.0307096000000001E-3</v>
      </c>
    </row>
    <row r="41" spans="1:38" ht="29.25" customHeight="1" x14ac:dyDescent="0.2">
      <c r="A41" s="1273">
        <v>29</v>
      </c>
      <c r="B41" s="1317" t="s">
        <v>162</v>
      </c>
      <c r="C41" s="241" t="s">
        <v>46</v>
      </c>
      <c r="D41" s="1506">
        <v>676.97</v>
      </c>
      <c r="E41" s="1318" t="s">
        <v>437</v>
      </c>
      <c r="F41" s="241">
        <v>177.8</v>
      </c>
      <c r="G41" s="241" t="s">
        <v>28</v>
      </c>
      <c r="H41" s="1299" t="s">
        <v>588</v>
      </c>
      <c r="I41" s="1506">
        <v>550.59</v>
      </c>
      <c r="J41" s="1373">
        <v>105</v>
      </c>
      <c r="K41" s="1506"/>
      <c r="L41" s="1277">
        <v>413</v>
      </c>
      <c r="M41" s="1506"/>
      <c r="N41" s="1278">
        <v>0.2</v>
      </c>
      <c r="O41" s="1506"/>
      <c r="P41" s="1278">
        <f t="shared" si="4"/>
        <v>13.14386074932515</v>
      </c>
      <c r="Q41" s="1278">
        <f>RIGHT(H41,(FIND("T",H41,1)-0))*J41/100</f>
        <v>14.7</v>
      </c>
      <c r="R41" s="244">
        <v>1.294</v>
      </c>
      <c r="S41" s="244">
        <v>2.766</v>
      </c>
      <c r="T41" s="1319">
        <v>0.3</v>
      </c>
      <c r="U41" s="1278">
        <f t="shared" si="12"/>
        <v>0.23183925811437403</v>
      </c>
      <c r="V41" s="1278">
        <f t="shared" si="5"/>
        <v>53.217642805495302</v>
      </c>
      <c r="W41" s="1279">
        <v>0.2</v>
      </c>
      <c r="X41" s="1452">
        <v>105</v>
      </c>
      <c r="Y41" s="1277">
        <f t="shared" si="3"/>
        <v>18.816326530612244</v>
      </c>
      <c r="Z41" s="244">
        <f t="shared" si="13"/>
        <v>1.2784720000000001</v>
      </c>
      <c r="AA41" s="244">
        <f t="shared" si="13"/>
        <v>2.7328079999999999</v>
      </c>
      <c r="AB41" s="1277">
        <f t="shared" si="13"/>
        <v>0.2964</v>
      </c>
      <c r="AC41" s="244">
        <f t="shared" si="14"/>
        <v>0.23183925811437403</v>
      </c>
      <c r="AD41" s="1277">
        <f t="shared" si="14"/>
        <v>53.217642805495302</v>
      </c>
      <c r="AE41" s="241">
        <f t="shared" si="15"/>
        <v>28</v>
      </c>
      <c r="AF41" s="244">
        <f t="shared" si="1"/>
        <v>35.797215999999999</v>
      </c>
      <c r="AG41" s="1285"/>
      <c r="AI41" s="1282">
        <f t="shared" si="2"/>
        <v>13.14386074932515</v>
      </c>
      <c r="AJ41" s="1252">
        <v>0.90820000000000001</v>
      </c>
      <c r="AK41" s="1252">
        <v>1.0229999999999999</v>
      </c>
      <c r="AL41" s="1252">
        <v>7.9591010000000008E-4</v>
      </c>
    </row>
    <row r="42" spans="1:38" ht="18.75" customHeight="1" x14ac:dyDescent="0.2">
      <c r="A42" s="1273">
        <v>30</v>
      </c>
      <c r="B42" s="1317" t="s">
        <v>163</v>
      </c>
      <c r="C42" s="241" t="s">
        <v>46</v>
      </c>
      <c r="D42" s="1506">
        <v>579</v>
      </c>
      <c r="E42" s="241" t="s">
        <v>597</v>
      </c>
      <c r="F42" s="241">
        <v>177.8</v>
      </c>
      <c r="G42" s="241" t="s">
        <v>28</v>
      </c>
      <c r="H42" s="1299" t="s">
        <v>685</v>
      </c>
      <c r="I42" s="1506">
        <v>551.54999999999995</v>
      </c>
      <c r="J42" s="1506">
        <v>130</v>
      </c>
      <c r="K42" s="1506"/>
      <c r="L42" s="1319">
        <v>439</v>
      </c>
      <c r="M42" s="1506"/>
      <c r="N42" s="1278">
        <v>0.81599999999999995</v>
      </c>
      <c r="O42" s="1506"/>
      <c r="P42" s="1278">
        <f t="shared" si="4"/>
        <v>10.911297308023345</v>
      </c>
      <c r="Q42" s="1278">
        <f>14*J42/100</f>
        <v>18.2</v>
      </c>
      <c r="R42" s="244">
        <v>3.988</v>
      </c>
      <c r="S42" s="244">
        <v>5.2359999999999998</v>
      </c>
      <c r="T42" s="1319">
        <v>8</v>
      </c>
      <c r="U42" s="1278">
        <f t="shared" si="12"/>
        <v>2.0060180541624875</v>
      </c>
      <c r="V42" s="1278">
        <f t="shared" si="5"/>
        <v>23.834988540870892</v>
      </c>
      <c r="W42" s="1279">
        <v>0.2</v>
      </c>
      <c r="X42" s="1410">
        <v>130</v>
      </c>
      <c r="Y42" s="1277">
        <f t="shared" si="3"/>
        <v>28.76923076923077</v>
      </c>
      <c r="Z42" s="244">
        <f t="shared" si="13"/>
        <v>3.9401440000000001</v>
      </c>
      <c r="AA42" s="244">
        <f t="shared" si="13"/>
        <v>5.1731679999999995</v>
      </c>
      <c r="AB42" s="1277">
        <f t="shared" si="13"/>
        <v>7.9039999999999999</v>
      </c>
      <c r="AC42" s="244">
        <f t="shared" si="14"/>
        <v>2.0060180541624875</v>
      </c>
      <c r="AD42" s="1277">
        <f t="shared" si="14"/>
        <v>23.834988540870892</v>
      </c>
      <c r="AE42" s="241">
        <f t="shared" si="15"/>
        <v>28</v>
      </c>
      <c r="AF42" s="244">
        <f t="shared" si="1"/>
        <v>110.324032</v>
      </c>
      <c r="AG42" s="1285"/>
      <c r="AI42" s="1282">
        <f t="shared" si="2"/>
        <v>10.911297308023345</v>
      </c>
      <c r="AJ42" s="1252">
        <v>0.89559999999999995</v>
      </c>
      <c r="AK42" s="1252">
        <v>1.012</v>
      </c>
      <c r="AL42" s="1252">
        <v>7.9591010000000008E-4</v>
      </c>
    </row>
    <row r="43" spans="1:38" ht="18.75" customHeight="1" x14ac:dyDescent="0.2">
      <c r="A43" s="1273">
        <v>31</v>
      </c>
      <c r="B43" s="1274" t="s">
        <v>59</v>
      </c>
      <c r="C43" s="241" t="s">
        <v>46</v>
      </c>
      <c r="D43" s="241">
        <v>615</v>
      </c>
      <c r="E43" s="241" t="s">
        <v>454</v>
      </c>
      <c r="F43" s="241">
        <v>177.8</v>
      </c>
      <c r="G43" s="241" t="s">
        <v>28</v>
      </c>
      <c r="H43" s="1299" t="s">
        <v>686</v>
      </c>
      <c r="I43" s="1506">
        <v>539.24</v>
      </c>
      <c r="J43" s="241">
        <v>310</v>
      </c>
      <c r="K43" s="241"/>
      <c r="L43" s="1277">
        <v>446</v>
      </c>
      <c r="M43" s="241"/>
      <c r="N43" s="1278">
        <v>4.2409999999999997</v>
      </c>
      <c r="O43" s="241"/>
      <c r="P43" s="1278">
        <f t="shared" si="4"/>
        <v>12.944580906754249</v>
      </c>
      <c r="Q43" s="1278">
        <f>20*J43/100</f>
        <v>62</v>
      </c>
      <c r="R43" s="244">
        <v>3.391</v>
      </c>
      <c r="S43" s="244">
        <v>6.9249999999999998</v>
      </c>
      <c r="T43" s="1277">
        <v>8</v>
      </c>
      <c r="U43" s="1278">
        <f t="shared" si="12"/>
        <v>2.3591860808021234</v>
      </c>
      <c r="V43" s="1278">
        <f t="shared" si="5"/>
        <v>51.032490974729242</v>
      </c>
      <c r="W43" s="1279">
        <v>0.2</v>
      </c>
      <c r="X43" s="1316">
        <v>310</v>
      </c>
      <c r="Y43" s="1277">
        <f t="shared" si="3"/>
        <v>11.169354838709678</v>
      </c>
      <c r="Z43" s="244">
        <f t="shared" si="13"/>
        <v>3.3503080000000001</v>
      </c>
      <c r="AA43" s="244">
        <f t="shared" si="13"/>
        <v>6.8418999999999999</v>
      </c>
      <c r="AB43" s="1277">
        <f t="shared" si="13"/>
        <v>7.9039999999999999</v>
      </c>
      <c r="AC43" s="244">
        <f t="shared" si="14"/>
        <v>2.3591860808021234</v>
      </c>
      <c r="AD43" s="1277">
        <f t="shared" si="14"/>
        <v>51.032490974729242</v>
      </c>
      <c r="AE43" s="241">
        <f t="shared" si="15"/>
        <v>28</v>
      </c>
      <c r="AF43" s="244">
        <f t="shared" si="1"/>
        <v>93.808624000000009</v>
      </c>
      <c r="AG43" s="1285"/>
      <c r="AI43" s="1282">
        <f t="shared" si="2"/>
        <v>12.944580906754249</v>
      </c>
      <c r="AJ43" s="1252">
        <v>0.90149999999999997</v>
      </c>
      <c r="AK43" s="1252">
        <v>1.0169999999999999</v>
      </c>
      <c r="AL43" s="1252">
        <v>7.7447712000000004E-4</v>
      </c>
    </row>
    <row r="44" spans="1:38" ht="18.600000000000001" customHeight="1" x14ac:dyDescent="0.2">
      <c r="A44" s="1273">
        <v>32</v>
      </c>
      <c r="B44" s="1274" t="s">
        <v>207</v>
      </c>
      <c r="C44" s="241" t="s">
        <v>46</v>
      </c>
      <c r="D44" s="241">
        <v>674.39</v>
      </c>
      <c r="E44" s="241" t="s">
        <v>598</v>
      </c>
      <c r="F44" s="241">
        <v>177.8</v>
      </c>
      <c r="G44" s="241" t="s">
        <v>28</v>
      </c>
      <c r="H44" s="1299" t="s">
        <v>466</v>
      </c>
      <c r="I44" s="1506">
        <v>571.19000000000005</v>
      </c>
      <c r="J44" s="241">
        <v>330</v>
      </c>
      <c r="K44" s="241"/>
      <c r="L44" s="1277">
        <v>310</v>
      </c>
      <c r="M44" s="241"/>
      <c r="N44" s="1278">
        <v>2.78</v>
      </c>
      <c r="O44" s="241"/>
      <c r="P44" s="1278">
        <f t="shared" si="4"/>
        <v>28.010357215464335</v>
      </c>
      <c r="Q44" s="1278">
        <f>LEFT(H44,(FIND("E",H44,1)-1))*J44/100</f>
        <v>42.9</v>
      </c>
      <c r="R44" s="244">
        <v>3.8340000000000001</v>
      </c>
      <c r="S44" s="244">
        <v>16.963999999999999</v>
      </c>
      <c r="T44" s="1277">
        <v>12</v>
      </c>
      <c r="U44" s="1278">
        <f t="shared" si="12"/>
        <v>3.1298904538341157</v>
      </c>
      <c r="V44" s="1278">
        <f t="shared" si="5"/>
        <v>77.399198302287203</v>
      </c>
      <c r="W44" s="1279">
        <v>0.3</v>
      </c>
      <c r="X44" s="1316">
        <v>330</v>
      </c>
      <c r="Y44" s="1277">
        <f t="shared" si="3"/>
        <v>39.543123543123542</v>
      </c>
      <c r="Z44" s="244">
        <v>5.38</v>
      </c>
      <c r="AA44" s="244">
        <f>S44*0.988</f>
        <v>16.760431999999998</v>
      </c>
      <c r="AB44" s="1277">
        <f>T44*0.988</f>
        <v>11.856</v>
      </c>
      <c r="AC44" s="244">
        <f t="shared" si="14"/>
        <v>3.1298904538341157</v>
      </c>
      <c r="AD44" s="1277">
        <f t="shared" si="14"/>
        <v>77.399198302287203</v>
      </c>
      <c r="AE44" s="241">
        <v>25</v>
      </c>
      <c r="AF44" s="244">
        <f t="shared" si="1"/>
        <v>134.5</v>
      </c>
      <c r="AG44" s="1285" t="s">
        <v>743</v>
      </c>
      <c r="AI44" s="1282">
        <f t="shared" si="2"/>
        <v>28.010357215464335</v>
      </c>
      <c r="AJ44" s="1252">
        <v>0.90359999999999996</v>
      </c>
      <c r="AK44" s="1252">
        <v>1.024</v>
      </c>
      <c r="AL44" s="1252">
        <v>7.9591010000000008E-4</v>
      </c>
    </row>
    <row r="45" spans="1:38" ht="30" customHeight="1" x14ac:dyDescent="0.2">
      <c r="A45" s="1273">
        <v>33</v>
      </c>
      <c r="B45" s="1274" t="s">
        <v>599</v>
      </c>
      <c r="C45" s="241" t="s">
        <v>46</v>
      </c>
      <c r="D45" s="1278">
        <v>684.01</v>
      </c>
      <c r="E45" s="1506" t="s">
        <v>600</v>
      </c>
      <c r="F45" s="241">
        <v>177.8</v>
      </c>
      <c r="G45" s="241" t="s">
        <v>28</v>
      </c>
      <c r="H45" s="1299" t="s">
        <v>687</v>
      </c>
      <c r="I45" s="1506">
        <v>546.08000000000004</v>
      </c>
      <c r="J45" s="241">
        <v>100</v>
      </c>
      <c r="K45" s="241"/>
      <c r="L45" s="1322">
        <v>157</v>
      </c>
      <c r="M45" s="241"/>
      <c r="N45" s="1306">
        <v>4.2</v>
      </c>
      <c r="O45" s="241"/>
      <c r="P45" s="1278">
        <f t="shared" si="4"/>
        <v>42.020590682652845</v>
      </c>
      <c r="Q45" s="1278">
        <v>20</v>
      </c>
      <c r="R45" s="244">
        <v>4.4370000000000003</v>
      </c>
      <c r="S45" s="244">
        <v>19.643000000000001</v>
      </c>
      <c r="T45" s="1277">
        <v>53.75</v>
      </c>
      <c r="U45" s="1278">
        <f t="shared" si="12"/>
        <v>12.114041018706333</v>
      </c>
      <c r="V45" s="1278">
        <f t="shared" si="5"/>
        <v>77.411800641449872</v>
      </c>
      <c r="W45" s="1279">
        <v>0.2</v>
      </c>
      <c r="X45" s="1316">
        <v>100</v>
      </c>
      <c r="Y45" s="1277">
        <f t="shared" si="3"/>
        <v>98.215000000000003</v>
      </c>
      <c r="Z45" s="244">
        <f>R45*0.988</f>
        <v>4.383756</v>
      </c>
      <c r="AA45" s="244">
        <f>S45*0.988</f>
        <v>19.407284000000001</v>
      </c>
      <c r="AB45" s="1277">
        <f>T45*0.988</f>
        <v>53.104999999999997</v>
      </c>
      <c r="AC45" s="244">
        <f t="shared" si="14"/>
        <v>12.114041018706333</v>
      </c>
      <c r="AD45" s="1277">
        <f t="shared" si="14"/>
        <v>77.411800641449872</v>
      </c>
      <c r="AE45" s="241">
        <f t="shared" si="15"/>
        <v>28</v>
      </c>
      <c r="AF45" s="244">
        <f t="shared" si="1"/>
        <v>122.74516800000001</v>
      </c>
      <c r="AG45" s="1285"/>
      <c r="AI45" s="1282">
        <f t="shared" si="2"/>
        <v>42.020590682652845</v>
      </c>
      <c r="AJ45" s="1252">
        <v>0.9204</v>
      </c>
      <c r="AK45" s="1252">
        <v>1.028</v>
      </c>
      <c r="AL45" s="1252">
        <v>7.7447712000000004E-4</v>
      </c>
    </row>
    <row r="46" spans="1:38" ht="18.75" customHeight="1" x14ac:dyDescent="0.2">
      <c r="A46" s="1273">
        <v>34</v>
      </c>
      <c r="B46" s="1274" t="s">
        <v>196</v>
      </c>
      <c r="C46" s="241" t="s">
        <v>46</v>
      </c>
      <c r="D46" s="241">
        <v>641</v>
      </c>
      <c r="E46" s="241" t="s">
        <v>619</v>
      </c>
      <c r="F46" s="241">
        <v>177.8</v>
      </c>
      <c r="G46" s="241" t="s">
        <v>28</v>
      </c>
      <c r="H46" s="241" t="s">
        <v>50</v>
      </c>
      <c r="I46" s="1506">
        <v>607.85</v>
      </c>
      <c r="J46" s="241"/>
      <c r="K46" s="1323">
        <v>58.46</v>
      </c>
      <c r="L46" s="1324"/>
      <c r="M46" s="1325">
        <v>0.3</v>
      </c>
      <c r="N46" s="1326"/>
      <c r="O46" s="241"/>
      <c r="P46" s="1278">
        <f t="shared" si="4"/>
        <v>52.724000149518879</v>
      </c>
      <c r="Q46" s="1278"/>
      <c r="R46" s="244"/>
      <c r="S46" s="244"/>
      <c r="T46" s="1277"/>
      <c r="U46" s="1278"/>
      <c r="V46" s="1278"/>
      <c r="W46" s="1279"/>
      <c r="X46" s="1316"/>
      <c r="Y46" s="1277">
        <f t="shared" si="3"/>
        <v>0</v>
      </c>
      <c r="Z46" s="244"/>
      <c r="AA46" s="244"/>
      <c r="AB46" s="1277"/>
      <c r="AC46" s="244"/>
      <c r="AD46" s="1277"/>
      <c r="AE46" s="241"/>
      <c r="AF46" s="244"/>
      <c r="AG46" s="1281" t="s">
        <v>682</v>
      </c>
      <c r="AI46" s="1282">
        <f t="shared" si="2"/>
        <v>52.724000149518879</v>
      </c>
      <c r="AJ46" s="1252">
        <v>0.89590000000000003</v>
      </c>
      <c r="AK46" s="1252">
        <v>1.0169999999999999</v>
      </c>
      <c r="AL46" s="1252">
        <v>1.1667729E-3</v>
      </c>
    </row>
    <row r="47" spans="1:38" ht="18.75" customHeight="1" x14ac:dyDescent="0.2">
      <c r="A47" s="1273">
        <v>35</v>
      </c>
      <c r="B47" s="1274" t="s">
        <v>60</v>
      </c>
      <c r="C47" s="241" t="s">
        <v>46</v>
      </c>
      <c r="D47" s="241">
        <v>641.04999999999995</v>
      </c>
      <c r="E47" s="241" t="s">
        <v>462</v>
      </c>
      <c r="F47" s="241">
        <v>177.8</v>
      </c>
      <c r="G47" s="241" t="s">
        <v>28</v>
      </c>
      <c r="H47" s="1299" t="s">
        <v>592</v>
      </c>
      <c r="I47" s="1506">
        <v>532.98</v>
      </c>
      <c r="J47" s="1448">
        <v>320</v>
      </c>
      <c r="K47" s="241"/>
      <c r="L47" s="1277">
        <v>447.5</v>
      </c>
      <c r="M47" s="241"/>
      <c r="N47" s="1278">
        <v>3.7</v>
      </c>
      <c r="O47" s="241"/>
      <c r="P47" s="1278">
        <f t="shared" si="4"/>
        <v>11.811832406684792</v>
      </c>
      <c r="Q47" s="1278">
        <f>RIGHT(H47,(FIND("T",H47,1)-0))*J47/100</f>
        <v>44.8</v>
      </c>
      <c r="R47" s="244">
        <v>4.4889999999999999</v>
      </c>
      <c r="S47" s="244">
        <v>13.465999999999999</v>
      </c>
      <c r="T47" s="1277">
        <v>84</v>
      </c>
      <c r="U47" s="1278">
        <f t="shared" si="12"/>
        <v>18.712408108710182</v>
      </c>
      <c r="V47" s="1278">
        <f t="shared" si="5"/>
        <v>66.664191296598858</v>
      </c>
      <c r="W47" s="1279">
        <v>0.2</v>
      </c>
      <c r="X47" s="1449">
        <v>320</v>
      </c>
      <c r="Y47" s="1277">
        <f t="shared" si="3"/>
        <v>30.058035714285715</v>
      </c>
      <c r="Z47" s="244">
        <f>R47*0.988</f>
        <v>4.4351319999999994</v>
      </c>
      <c r="AA47" s="244">
        <f>S47*0.988</f>
        <v>13.304407999999999</v>
      </c>
      <c r="AB47" s="1277">
        <f>T47*0.988</f>
        <v>82.992000000000004</v>
      </c>
      <c r="AC47" s="244">
        <f>U47</f>
        <v>18.712408108710182</v>
      </c>
      <c r="AD47" s="1277">
        <f>V47</f>
        <v>66.664191296598858</v>
      </c>
      <c r="AE47" s="241">
        <f t="shared" si="15"/>
        <v>28</v>
      </c>
      <c r="AF47" s="244">
        <f t="shared" si="1"/>
        <v>124.18369599999998</v>
      </c>
      <c r="AG47" s="1285"/>
      <c r="AI47" s="1282">
        <f t="shared" si="2"/>
        <v>11.811832406684792</v>
      </c>
      <c r="AJ47" s="1252">
        <v>0.88219999999999998</v>
      </c>
      <c r="AK47" s="1252">
        <v>1.02</v>
      </c>
      <c r="AL47" s="1252">
        <v>1.1667729E-3</v>
      </c>
    </row>
    <row r="48" spans="1:38" ht="18.75" customHeight="1" x14ac:dyDescent="0.2">
      <c r="A48" s="1273">
        <v>36</v>
      </c>
      <c r="B48" s="1274" t="s">
        <v>119</v>
      </c>
      <c r="C48" s="241" t="s">
        <v>404</v>
      </c>
      <c r="D48" s="241">
        <v>654.07000000000005</v>
      </c>
      <c r="E48" s="241" t="s">
        <v>410</v>
      </c>
      <c r="F48" s="241">
        <v>177.8</v>
      </c>
      <c r="G48" s="241" t="s">
        <v>28</v>
      </c>
      <c r="H48" s="241" t="s">
        <v>566</v>
      </c>
      <c r="I48" s="1506">
        <v>500.38</v>
      </c>
      <c r="J48" s="241"/>
      <c r="K48" s="241">
        <v>478</v>
      </c>
      <c r="L48" s="1277"/>
      <c r="M48" s="241">
        <v>0</v>
      </c>
      <c r="N48" s="1278"/>
      <c r="O48" s="241"/>
      <c r="P48" s="1278">
        <f t="shared" si="4"/>
        <v>42.733666838193933</v>
      </c>
      <c r="Q48" s="1278"/>
      <c r="R48" s="244"/>
      <c r="S48" s="244"/>
      <c r="T48" s="1277"/>
      <c r="U48" s="1278"/>
      <c r="V48" s="1278"/>
      <c r="W48" s="1279"/>
      <c r="X48" s="1316"/>
      <c r="Y48" s="1277">
        <f t="shared" si="3"/>
        <v>0</v>
      </c>
      <c r="Z48" s="244"/>
      <c r="AA48" s="244"/>
      <c r="AB48" s="1277"/>
      <c r="AC48" s="244"/>
      <c r="AD48" s="1277"/>
      <c r="AE48" s="241"/>
      <c r="AF48" s="244"/>
      <c r="AG48" s="1281" t="s">
        <v>682</v>
      </c>
      <c r="AI48" s="1282">
        <f t="shared" si="2"/>
        <v>42.733666838193933</v>
      </c>
      <c r="AJ48" s="1252">
        <v>0.8821</v>
      </c>
      <c r="AK48" s="1252">
        <v>1.018</v>
      </c>
      <c r="AL48" s="1252">
        <v>1.0764654000000001E-3</v>
      </c>
    </row>
    <row r="49" spans="1:38" ht="29.25" customHeight="1" x14ac:dyDescent="0.2">
      <c r="A49" s="1273">
        <v>37</v>
      </c>
      <c r="B49" s="1274" t="s">
        <v>118</v>
      </c>
      <c r="C49" s="241" t="s">
        <v>408</v>
      </c>
      <c r="D49" s="241">
        <v>728.77</v>
      </c>
      <c r="E49" s="1506" t="s">
        <v>442</v>
      </c>
      <c r="F49" s="241">
        <v>177.8</v>
      </c>
      <c r="G49" s="241" t="s">
        <v>28</v>
      </c>
      <c r="H49" s="1299" t="s">
        <v>52</v>
      </c>
      <c r="I49" s="1506">
        <v>517.84</v>
      </c>
      <c r="J49" s="241">
        <v>310</v>
      </c>
      <c r="K49" s="241"/>
      <c r="L49" s="1277">
        <v>381</v>
      </c>
      <c r="M49" s="241"/>
      <c r="N49" s="1278">
        <v>0.15</v>
      </c>
      <c r="O49" s="241"/>
      <c r="P49" s="1278">
        <f t="shared" si="4"/>
        <v>13.267003487940068</v>
      </c>
      <c r="Q49" s="1278">
        <f>LEFT(H49,(FIND("K",H49,1)-1))*J49/100</f>
        <v>68.2</v>
      </c>
      <c r="R49" s="244">
        <v>5.2939999999999996</v>
      </c>
      <c r="S49" s="244">
        <v>16.350999999999999</v>
      </c>
      <c r="T49" s="1277">
        <v>45.564999999999998</v>
      </c>
      <c r="U49" s="1278">
        <f t="shared" si="12"/>
        <v>8.606913486966377</v>
      </c>
      <c r="V49" s="1278">
        <f t="shared" si="5"/>
        <v>67.622775365421077</v>
      </c>
      <c r="W49" s="1279">
        <v>0.2</v>
      </c>
      <c r="X49" s="1316">
        <v>310</v>
      </c>
      <c r="Y49" s="1277">
        <f t="shared" si="3"/>
        <v>23.975073313782989</v>
      </c>
      <c r="Z49" s="244">
        <f>R49*0.988</f>
        <v>5.2304719999999998</v>
      </c>
      <c r="AA49" s="244">
        <f>S49*0.988</f>
        <v>16.154788</v>
      </c>
      <c r="AB49" s="1277">
        <f>T49*0.988</f>
        <v>45.018219999999999</v>
      </c>
      <c r="AC49" s="244">
        <f>U49</f>
        <v>8.606913486966377</v>
      </c>
      <c r="AD49" s="1277">
        <f>V49</f>
        <v>67.622775365421077</v>
      </c>
      <c r="AE49" s="241">
        <f t="shared" si="15"/>
        <v>28</v>
      </c>
      <c r="AF49" s="244">
        <f t="shared" si="1"/>
        <v>146.453216</v>
      </c>
      <c r="AG49" s="1285"/>
      <c r="AI49" s="1282">
        <f t="shared" si="2"/>
        <v>13.267003487940068</v>
      </c>
      <c r="AJ49" s="1252">
        <v>0.91839999999999999</v>
      </c>
      <c r="AK49" s="1252">
        <v>1.0209999999999999</v>
      </c>
      <c r="AL49" s="1252">
        <v>8.2480850000000007E-4</v>
      </c>
    </row>
    <row r="50" spans="1:38" ht="18.75" customHeight="1" x14ac:dyDescent="0.2">
      <c r="A50" s="1273">
        <v>38</v>
      </c>
      <c r="B50" s="1274" t="s">
        <v>117</v>
      </c>
      <c r="C50" s="241" t="s">
        <v>46</v>
      </c>
      <c r="D50" s="241">
        <v>671.45</v>
      </c>
      <c r="E50" s="241" t="s">
        <v>554</v>
      </c>
      <c r="F50" s="241">
        <v>177.8</v>
      </c>
      <c r="G50" s="241" t="s">
        <v>28</v>
      </c>
      <c r="H50" s="1299" t="s">
        <v>588</v>
      </c>
      <c r="I50" s="1506">
        <v>564.6500000000002</v>
      </c>
      <c r="J50" s="1448"/>
      <c r="K50" s="241"/>
      <c r="L50" s="1277"/>
      <c r="M50" s="241">
        <v>3.2</v>
      </c>
      <c r="N50" s="1278"/>
      <c r="O50" s="241"/>
      <c r="P50" s="1278">
        <f t="shared" si="4"/>
        <v>49.906249621021495</v>
      </c>
      <c r="Q50" s="1278"/>
      <c r="R50" s="244"/>
      <c r="S50" s="244"/>
      <c r="T50" s="1277"/>
      <c r="U50" s="1278"/>
      <c r="V50" s="1278"/>
      <c r="W50" s="1279"/>
      <c r="X50" s="1449"/>
      <c r="Y50" s="1277">
        <f t="shared" si="3"/>
        <v>0</v>
      </c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2"/>
        <v>49.906249621021495</v>
      </c>
      <c r="AJ50" s="1252">
        <v>0.91290000000000004</v>
      </c>
      <c r="AK50" s="1252">
        <v>1.0189999999999999</v>
      </c>
      <c r="AL50" s="1252">
        <v>8.1276750000000011E-4</v>
      </c>
    </row>
    <row r="51" spans="1:38" ht="18.75" customHeight="1" x14ac:dyDescent="0.2">
      <c r="A51" s="1273">
        <v>39</v>
      </c>
      <c r="B51" s="1473" t="s">
        <v>115</v>
      </c>
      <c r="C51" s="1275" t="s">
        <v>46</v>
      </c>
      <c r="D51" s="1275">
        <v>580.71</v>
      </c>
      <c r="E51" s="1275" t="s">
        <v>286</v>
      </c>
      <c r="F51" s="241">
        <v>177.8</v>
      </c>
      <c r="G51" s="1275" t="s">
        <v>28</v>
      </c>
      <c r="H51" s="1474" t="s">
        <v>685</v>
      </c>
      <c r="I51" s="1475">
        <v>566.44000000000005</v>
      </c>
      <c r="J51" s="1275">
        <v>110</v>
      </c>
      <c r="K51" s="1275"/>
      <c r="L51" s="1323">
        <v>431</v>
      </c>
      <c r="M51" s="1275"/>
      <c r="N51" s="1278">
        <v>2</v>
      </c>
      <c r="O51" s="1275"/>
      <c r="P51" s="1278">
        <f t="shared" si="4"/>
        <v>14.808091665656244</v>
      </c>
      <c r="Q51" s="1278">
        <f>J51*14/100</f>
        <v>15.4</v>
      </c>
      <c r="R51" s="1459">
        <v>4.726</v>
      </c>
      <c r="S51" s="244">
        <v>8.5470000000000006</v>
      </c>
      <c r="T51" s="1323">
        <v>37.25</v>
      </c>
      <c r="U51" s="1278">
        <f t="shared" si="12"/>
        <v>7.8819297503173935</v>
      </c>
      <c r="V51" s="1278">
        <f t="shared" ref="V51:V80" si="16">(S51-R51)/S51*100</f>
        <v>44.705744705744706</v>
      </c>
      <c r="W51" s="1460">
        <v>0.2</v>
      </c>
      <c r="X51" s="1453">
        <v>110</v>
      </c>
      <c r="Y51" s="1277">
        <f t="shared" si="3"/>
        <v>55.500000000000007</v>
      </c>
      <c r="Z51" s="244">
        <f t="shared" ref="Z51:AB55" si="17">R51*0.988</f>
        <v>4.6692879999999999</v>
      </c>
      <c r="AA51" s="244">
        <f t="shared" si="17"/>
        <v>8.4444360000000014</v>
      </c>
      <c r="AB51" s="1277">
        <f t="shared" si="17"/>
        <v>36.802999999999997</v>
      </c>
      <c r="AC51" s="1459">
        <f t="shared" ref="AC51:AD53" si="18">U51</f>
        <v>7.8819297503173935</v>
      </c>
      <c r="AD51" s="1277">
        <f t="shared" si="18"/>
        <v>44.705744705744706</v>
      </c>
      <c r="AE51" s="241">
        <f t="shared" si="15"/>
        <v>28</v>
      </c>
      <c r="AF51" s="1459">
        <f t="shared" si="1"/>
        <v>130.74006399999999</v>
      </c>
      <c r="AG51" s="1285"/>
      <c r="AI51" s="1282">
        <f t="shared" si="2"/>
        <v>14.808091665656244</v>
      </c>
      <c r="AJ51" s="1252">
        <v>0.9083</v>
      </c>
      <c r="AK51" s="1252">
        <v>1.018</v>
      </c>
      <c r="AL51" s="1252">
        <v>6.1000000000000004E-3</v>
      </c>
    </row>
    <row r="52" spans="1:38" ht="18.75" customHeight="1" x14ac:dyDescent="0.2">
      <c r="A52" s="1273">
        <v>40</v>
      </c>
      <c r="B52" s="1274" t="s">
        <v>116</v>
      </c>
      <c r="C52" s="241" t="s">
        <v>46</v>
      </c>
      <c r="D52" s="241">
        <v>681.27</v>
      </c>
      <c r="E52" s="241" t="s">
        <v>601</v>
      </c>
      <c r="F52" s="241">
        <v>177.8</v>
      </c>
      <c r="G52" s="241" t="s">
        <v>28</v>
      </c>
      <c r="H52" s="241" t="s">
        <v>687</v>
      </c>
      <c r="I52" s="1506">
        <v>589.64</v>
      </c>
      <c r="J52" s="1448">
        <v>100</v>
      </c>
      <c r="K52" s="241"/>
      <c r="L52" s="1277">
        <v>353</v>
      </c>
      <c r="M52" s="241"/>
      <c r="N52" s="1278">
        <v>4</v>
      </c>
      <c r="O52" s="241"/>
      <c r="P52" s="1278">
        <f t="shared" si="4"/>
        <v>27.209405370247147</v>
      </c>
      <c r="Q52" s="1325">
        <f>J52*20/100</f>
        <v>20</v>
      </c>
      <c r="R52" s="244">
        <v>3.1859999999999999</v>
      </c>
      <c r="S52" s="244">
        <v>22.785</v>
      </c>
      <c r="T52" s="1277">
        <v>8.375</v>
      </c>
      <c r="U52" s="1278">
        <f t="shared" si="12"/>
        <v>2.6286880100439425</v>
      </c>
      <c r="V52" s="1278">
        <f t="shared" si="16"/>
        <v>86.017116524028964</v>
      </c>
      <c r="W52" s="1279">
        <v>0.2</v>
      </c>
      <c r="X52" s="1449">
        <v>100</v>
      </c>
      <c r="Y52" s="1277">
        <f t="shared" si="3"/>
        <v>113.92500000000001</v>
      </c>
      <c r="Z52" s="244">
        <f t="shared" si="17"/>
        <v>3.1477680000000001</v>
      </c>
      <c r="AA52" s="244">
        <f t="shared" si="17"/>
        <v>22.511579999999999</v>
      </c>
      <c r="AB52" s="1277">
        <f t="shared" si="17"/>
        <v>8.2744999999999997</v>
      </c>
      <c r="AC52" s="244">
        <f t="shared" si="18"/>
        <v>2.6286880100439425</v>
      </c>
      <c r="AD52" s="1277">
        <f t="shared" si="18"/>
        <v>86.017116524028964</v>
      </c>
      <c r="AE52" s="241">
        <f t="shared" si="15"/>
        <v>28</v>
      </c>
      <c r="AF52" s="244">
        <f t="shared" si="1"/>
        <v>88.137504000000007</v>
      </c>
      <c r="AG52" s="1285"/>
      <c r="AI52" s="1282">
        <f t="shared" si="2"/>
        <v>27.209405370247147</v>
      </c>
      <c r="AJ52" s="1252">
        <v>0.91739999999999999</v>
      </c>
      <c r="AK52" s="1252">
        <v>1.018</v>
      </c>
      <c r="AL52" s="1252">
        <v>6.1000000000000004E-3</v>
      </c>
    </row>
    <row r="53" spans="1:38" ht="18.75" customHeight="1" x14ac:dyDescent="0.2">
      <c r="A53" s="1273">
        <v>41</v>
      </c>
      <c r="B53" s="1274" t="s">
        <v>120</v>
      </c>
      <c r="C53" s="241" t="s">
        <v>46</v>
      </c>
      <c r="D53" s="241">
        <v>669.48</v>
      </c>
      <c r="E53" s="241" t="s">
        <v>285</v>
      </c>
      <c r="F53" s="241">
        <v>177.8</v>
      </c>
      <c r="G53" s="241" t="s">
        <v>28</v>
      </c>
      <c r="H53" s="1275" t="s">
        <v>563</v>
      </c>
      <c r="I53" s="1506">
        <v>560.83000000000004</v>
      </c>
      <c r="J53" s="241">
        <v>100</v>
      </c>
      <c r="K53" s="241"/>
      <c r="L53" s="1277">
        <v>348</v>
      </c>
      <c r="M53" s="241"/>
      <c r="N53" s="1278">
        <v>0.91600000000000004</v>
      </c>
      <c r="O53" s="241"/>
      <c r="P53" s="1278">
        <f t="shared" si="4"/>
        <v>21.306694061468775</v>
      </c>
      <c r="Q53" s="1325">
        <f>J53*15/100</f>
        <v>15</v>
      </c>
      <c r="R53" s="244">
        <v>4.41</v>
      </c>
      <c r="S53" s="244">
        <v>11.69</v>
      </c>
      <c r="T53" s="1277">
        <v>14.042</v>
      </c>
      <c r="U53" s="1278">
        <f t="shared" si="12"/>
        <v>3.1841269841269839</v>
      </c>
      <c r="V53" s="1278">
        <f t="shared" si="16"/>
        <v>62.275449101796411</v>
      </c>
      <c r="W53" s="1279">
        <v>0.2</v>
      </c>
      <c r="X53" s="1316">
        <v>100</v>
      </c>
      <c r="Y53" s="1277">
        <f t="shared" si="3"/>
        <v>77.933333333333337</v>
      </c>
      <c r="Z53" s="244">
        <f t="shared" si="17"/>
        <v>4.3570799999999998</v>
      </c>
      <c r="AA53" s="244">
        <f t="shared" si="17"/>
        <v>11.549719999999999</v>
      </c>
      <c r="AB53" s="1277">
        <f t="shared" si="17"/>
        <v>13.873495999999999</v>
      </c>
      <c r="AC53" s="244">
        <f t="shared" si="18"/>
        <v>3.1841269841269839</v>
      </c>
      <c r="AD53" s="1277">
        <f t="shared" si="18"/>
        <v>62.275449101796411</v>
      </c>
      <c r="AE53" s="241">
        <f t="shared" si="15"/>
        <v>28</v>
      </c>
      <c r="AF53" s="244">
        <f t="shared" si="1"/>
        <v>121.99824</v>
      </c>
      <c r="AG53" s="1281"/>
      <c r="AI53" s="1282">
        <f t="shared" si="2"/>
        <v>21.306694061468775</v>
      </c>
      <c r="AJ53" s="1252">
        <v>0.91620000000000001</v>
      </c>
      <c r="AK53" s="1252">
        <v>1.018</v>
      </c>
      <c r="AL53" s="1252">
        <v>6.1000000000000004E-3</v>
      </c>
    </row>
    <row r="54" spans="1:38" ht="18.75" customHeight="1" x14ac:dyDescent="0.2">
      <c r="A54" s="1273">
        <v>42</v>
      </c>
      <c r="B54" s="1274" t="s">
        <v>114</v>
      </c>
      <c r="C54" s="241" t="s">
        <v>46</v>
      </c>
      <c r="D54" s="241">
        <v>584.25</v>
      </c>
      <c r="E54" s="241" t="s">
        <v>602</v>
      </c>
      <c r="F54" s="241">
        <v>177.8</v>
      </c>
      <c r="G54" s="241" t="s">
        <v>28</v>
      </c>
      <c r="H54" s="1299" t="s">
        <v>540</v>
      </c>
      <c r="I54" s="1506">
        <v>556.55999999999995</v>
      </c>
      <c r="J54" s="241">
        <v>155</v>
      </c>
      <c r="K54" s="241"/>
      <c r="L54" s="1277">
        <v>220</v>
      </c>
      <c r="M54" s="241"/>
      <c r="N54" s="1278">
        <v>2.9660000000000002</v>
      </c>
      <c r="O54" s="241"/>
      <c r="P54" s="1278">
        <f t="shared" si="4"/>
        <v>35.899743026683232</v>
      </c>
      <c r="Q54" s="1278">
        <f>J54*22/100</f>
        <v>34.1</v>
      </c>
      <c r="R54" s="244">
        <v>3.3180000000000001</v>
      </c>
      <c r="S54" s="244">
        <v>27.213000000000001</v>
      </c>
      <c r="T54" s="1277">
        <v>8</v>
      </c>
      <c r="U54" s="1278">
        <f t="shared" si="12"/>
        <v>2.4110910186859553</v>
      </c>
      <c r="V54" s="1278">
        <f t="shared" si="16"/>
        <v>87.807297982581844</v>
      </c>
      <c r="W54" s="1279">
        <v>0.2</v>
      </c>
      <c r="X54" s="1316">
        <v>155</v>
      </c>
      <c r="Y54" s="1277">
        <f t="shared" si="3"/>
        <v>79.803519061583572</v>
      </c>
      <c r="Z54" s="244">
        <f t="shared" si="17"/>
        <v>3.278184</v>
      </c>
      <c r="AA54" s="244">
        <f t="shared" si="17"/>
        <v>26.886444000000001</v>
      </c>
      <c r="AB54" s="1277">
        <f t="shared" si="17"/>
        <v>7.9039999999999999</v>
      </c>
      <c r="AC54" s="244">
        <f>U54</f>
        <v>2.4110910186859553</v>
      </c>
      <c r="AD54" s="1277">
        <v>0</v>
      </c>
      <c r="AE54" s="241">
        <f t="shared" si="15"/>
        <v>28</v>
      </c>
      <c r="AF54" s="244">
        <f t="shared" si="1"/>
        <v>91.789152000000001</v>
      </c>
      <c r="AG54" s="1281"/>
      <c r="AI54" s="1282">
        <f t="shared" si="2"/>
        <v>35.899743026683232</v>
      </c>
      <c r="AJ54" s="1252">
        <v>0.92549999999999999</v>
      </c>
      <c r="AK54" s="1252">
        <v>1.018</v>
      </c>
      <c r="AL54" s="1252">
        <v>6.1000000000000004E-3</v>
      </c>
    </row>
    <row r="55" spans="1:38" ht="18.75" customHeight="1" x14ac:dyDescent="0.2">
      <c r="A55" s="1273">
        <v>43</v>
      </c>
      <c r="B55" s="1274" t="s">
        <v>106</v>
      </c>
      <c r="C55" s="241" t="s">
        <v>46</v>
      </c>
      <c r="D55" s="241">
        <v>582.16</v>
      </c>
      <c r="E55" s="241" t="s">
        <v>691</v>
      </c>
      <c r="F55" s="241">
        <v>177.8</v>
      </c>
      <c r="G55" s="241" t="s">
        <v>28</v>
      </c>
      <c r="H55" s="1299" t="s">
        <v>685</v>
      </c>
      <c r="I55" s="1506">
        <v>549.65</v>
      </c>
      <c r="J55" s="241">
        <v>125</v>
      </c>
      <c r="K55" s="241"/>
      <c r="L55" s="1277">
        <v>434</v>
      </c>
      <c r="M55" s="241"/>
      <c r="N55" s="1278">
        <v>1.2649999999999999</v>
      </c>
      <c r="O55" s="241"/>
      <c r="P55" s="1278">
        <f t="shared" si="4"/>
        <v>12.492792418002878</v>
      </c>
      <c r="Q55" s="1278">
        <f>14*J55/100</f>
        <v>17.5</v>
      </c>
      <c r="R55" s="244">
        <v>1.8740000000000001</v>
      </c>
      <c r="S55" s="244">
        <v>6.0839999999999996</v>
      </c>
      <c r="T55" s="1277">
        <v>13</v>
      </c>
      <c r="U55" s="1278">
        <f t="shared" si="12"/>
        <v>6.9370330843116328</v>
      </c>
      <c r="V55" s="1278">
        <f t="shared" si="16"/>
        <v>69.197896120973041</v>
      </c>
      <c r="W55" s="1279">
        <v>0.2</v>
      </c>
      <c r="X55" s="1316">
        <v>125</v>
      </c>
      <c r="Y55" s="1277">
        <f t="shared" si="3"/>
        <v>34.765714285714282</v>
      </c>
      <c r="Z55" s="244">
        <f t="shared" si="17"/>
        <v>1.851512</v>
      </c>
      <c r="AA55" s="244">
        <f t="shared" si="17"/>
        <v>6.0109919999999999</v>
      </c>
      <c r="AB55" s="1277">
        <f t="shared" si="17"/>
        <v>12.843999999999999</v>
      </c>
      <c r="AC55" s="244">
        <f>U55</f>
        <v>6.9370330843116328</v>
      </c>
      <c r="AD55" s="1277">
        <f>V55</f>
        <v>69.197896120973041</v>
      </c>
      <c r="AE55" s="241">
        <f t="shared" si="15"/>
        <v>28</v>
      </c>
      <c r="AF55" s="244">
        <f t="shared" si="1"/>
        <v>51.842336000000003</v>
      </c>
      <c r="AG55" s="1281"/>
      <c r="AI55" s="1282">
        <f t="shared" si="2"/>
        <v>12.492792418002878</v>
      </c>
      <c r="AJ55" s="1252">
        <v>0.89419999999999999</v>
      </c>
      <c r="AK55" s="1252">
        <v>1.018</v>
      </c>
      <c r="AL55" s="1252">
        <v>6.1000000000000004E-3</v>
      </c>
    </row>
    <row r="56" spans="1:38" ht="18.75" customHeight="1" x14ac:dyDescent="0.2">
      <c r="A56" s="1273">
        <v>44</v>
      </c>
      <c r="B56" s="1274" t="s">
        <v>105</v>
      </c>
      <c r="C56" s="241" t="s">
        <v>46</v>
      </c>
      <c r="D56" s="241">
        <v>565</v>
      </c>
      <c r="E56" s="241" t="s">
        <v>604</v>
      </c>
      <c r="F56" s="241">
        <v>177.8</v>
      </c>
      <c r="G56" s="241" t="s">
        <v>28</v>
      </c>
      <c r="H56" s="241" t="s">
        <v>48</v>
      </c>
      <c r="I56" s="1506">
        <v>506.61000000000013</v>
      </c>
      <c r="J56" s="241"/>
      <c r="K56" s="241"/>
      <c r="L56" s="1319"/>
      <c r="M56" s="1278"/>
      <c r="N56" s="1278"/>
      <c r="O56" s="241"/>
      <c r="P56" s="1278">
        <f t="shared" si="4"/>
        <v>44.055405582235394</v>
      </c>
      <c r="Q56" s="1278"/>
      <c r="R56" s="244"/>
      <c r="S56" s="244"/>
      <c r="T56" s="1277"/>
      <c r="U56" s="1278"/>
      <c r="V56" s="1278"/>
      <c r="W56" s="1279"/>
      <c r="X56" s="1316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44.055405582235394</v>
      </c>
      <c r="AJ56" s="1252">
        <v>0.8982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45</v>
      </c>
      <c r="B57" s="1274" t="s">
        <v>104</v>
      </c>
      <c r="C57" s="241" t="s">
        <v>580</v>
      </c>
      <c r="D57" s="241">
        <v>705.7</v>
      </c>
      <c r="E57" s="1506" t="s">
        <v>692</v>
      </c>
      <c r="F57" s="241">
        <v>177.8</v>
      </c>
      <c r="G57" s="241" t="s">
        <v>28</v>
      </c>
      <c r="H57" s="1299" t="s">
        <v>466</v>
      </c>
      <c r="I57" s="1506">
        <v>534.71</v>
      </c>
      <c r="J57" s="241">
        <v>260</v>
      </c>
      <c r="K57" s="241"/>
      <c r="L57" s="1277">
        <v>28</v>
      </c>
      <c r="M57" s="241">
        <v>0</v>
      </c>
      <c r="N57" s="1278">
        <v>4.5</v>
      </c>
      <c r="O57" s="241"/>
      <c r="P57" s="1278">
        <f t="shared" si="4"/>
        <v>51.580123185839007</v>
      </c>
      <c r="Q57" s="1278">
        <f>J57*13/100</f>
        <v>33.799999999999997</v>
      </c>
      <c r="R57" s="244">
        <v>1.9119999999999999</v>
      </c>
      <c r="S57" s="244">
        <v>3.504</v>
      </c>
      <c r="T57" s="1277">
        <v>35.082999999999998</v>
      </c>
      <c r="U57" s="1278">
        <f>IF(R57=0,0,T57/R57)</f>
        <v>18.348849372384937</v>
      </c>
      <c r="V57" s="1278">
        <f t="shared" si="16"/>
        <v>45.433789954337897</v>
      </c>
      <c r="W57" s="1279">
        <v>0.2</v>
      </c>
      <c r="X57" s="1316">
        <v>260</v>
      </c>
      <c r="Y57" s="1277">
        <f t="shared" si="3"/>
        <v>10.366863905325445</v>
      </c>
      <c r="Z57" s="244">
        <f t="shared" ref="Z57:AB69" si="19">R57*0.988</f>
        <v>1.8890559999999998</v>
      </c>
      <c r="AA57" s="244">
        <f t="shared" si="19"/>
        <v>3.4619520000000001</v>
      </c>
      <c r="AB57" s="1277">
        <f t="shared" si="19"/>
        <v>34.662003999999996</v>
      </c>
      <c r="AC57" s="244">
        <f t="shared" ref="AC57:AD63" si="20">U57</f>
        <v>18.348849372384937</v>
      </c>
      <c r="AD57" s="1277">
        <f t="shared" si="20"/>
        <v>45.433789954337897</v>
      </c>
      <c r="AE57" s="241">
        <f t="shared" si="15"/>
        <v>28</v>
      </c>
      <c r="AF57" s="244">
        <f t="shared" si="1"/>
        <v>52.893567999999995</v>
      </c>
      <c r="AG57" s="1281"/>
      <c r="AI57" s="1282">
        <f t="shared" si="2"/>
        <v>51.580123185839007</v>
      </c>
      <c r="AJ57" s="1252">
        <v>0.91049999999999998</v>
      </c>
      <c r="AK57" s="1252">
        <v>1.018</v>
      </c>
      <c r="AL57" s="1252">
        <v>6.1000000000000004E-3</v>
      </c>
    </row>
    <row r="58" spans="1:38" ht="18.600000000000001" customHeight="1" x14ac:dyDescent="0.25">
      <c r="A58" s="1273">
        <v>46</v>
      </c>
      <c r="B58" s="1317" t="s">
        <v>158</v>
      </c>
      <c r="C58" s="241" t="s">
        <v>46</v>
      </c>
      <c r="D58" s="1506">
        <v>674.45</v>
      </c>
      <c r="E58" s="1506" t="s">
        <v>232</v>
      </c>
      <c r="F58" s="241">
        <v>177.8</v>
      </c>
      <c r="G58" s="241" t="s">
        <v>28</v>
      </c>
      <c r="H58" s="1299" t="s">
        <v>464</v>
      </c>
      <c r="I58" s="1506">
        <v>542.6</v>
      </c>
      <c r="J58" s="1506">
        <v>130</v>
      </c>
      <c r="K58" s="1506"/>
      <c r="L58" s="1319">
        <v>461</v>
      </c>
      <c r="M58" s="1506"/>
      <c r="N58" s="1278">
        <v>2.7</v>
      </c>
      <c r="O58" s="1506"/>
      <c r="P58" s="1278">
        <f t="shared" si="4"/>
        <v>10.280166752367863</v>
      </c>
      <c r="Q58" s="1278">
        <f>RIGHT(H58,(FIND("T",H58,1)-0))*J58/100</f>
        <v>18.2</v>
      </c>
      <c r="R58" s="244">
        <v>4.7119999999999997</v>
      </c>
      <c r="S58" s="244">
        <v>6.6639999999999997</v>
      </c>
      <c r="T58" s="1319">
        <v>34.292000000000002</v>
      </c>
      <c r="U58" s="1278">
        <f t="shared" si="12"/>
        <v>7.2775891341256376</v>
      </c>
      <c r="V58" s="1278">
        <f t="shared" si="16"/>
        <v>29.291716686674668</v>
      </c>
      <c r="W58" s="1279">
        <v>0.2</v>
      </c>
      <c r="X58" s="1410">
        <v>130</v>
      </c>
      <c r="Y58" s="1277">
        <f t="shared" si="3"/>
        <v>36.615384615384613</v>
      </c>
      <c r="Z58" s="244">
        <f t="shared" si="19"/>
        <v>4.655456</v>
      </c>
      <c r="AA58" s="244">
        <f t="shared" si="19"/>
        <v>6.5840319999999997</v>
      </c>
      <c r="AB58" s="1277">
        <f t="shared" si="19"/>
        <v>33.880496000000001</v>
      </c>
      <c r="AC58" s="244">
        <f t="shared" si="20"/>
        <v>7.2775891341256376</v>
      </c>
      <c r="AD58" s="1277">
        <f t="shared" si="20"/>
        <v>29.291716686674668</v>
      </c>
      <c r="AE58" s="241">
        <f t="shared" si="15"/>
        <v>28</v>
      </c>
      <c r="AF58" s="244">
        <f>Z58*AE58</f>
        <v>130.352768</v>
      </c>
      <c r="AG58" s="1342"/>
      <c r="AI58" s="1282">
        <f t="shared" si="2"/>
        <v>10.280166752367863</v>
      </c>
      <c r="AJ58" s="1252">
        <v>0.88649999999999995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47</v>
      </c>
      <c r="B59" s="1274" t="s">
        <v>164</v>
      </c>
      <c r="C59" s="241" t="s">
        <v>46</v>
      </c>
      <c r="D59" s="1506">
        <v>678.47</v>
      </c>
      <c r="E59" s="1506" t="s">
        <v>606</v>
      </c>
      <c r="F59" s="241">
        <v>177.8</v>
      </c>
      <c r="G59" s="241" t="s">
        <v>28</v>
      </c>
      <c r="H59" s="1299" t="s">
        <v>466</v>
      </c>
      <c r="I59" s="1506">
        <v>574.4</v>
      </c>
      <c r="J59" s="1373">
        <v>145</v>
      </c>
      <c r="K59" s="1506"/>
      <c r="L59" s="1319">
        <v>151</v>
      </c>
      <c r="M59" s="1506"/>
      <c r="N59" s="1278">
        <v>0</v>
      </c>
      <c r="O59" s="1506"/>
      <c r="P59" s="1278">
        <f t="shared" si="4"/>
        <v>41.280074095365229</v>
      </c>
      <c r="Q59" s="1278">
        <f>LEFT(H59,(FIND("E",H59,1)-1))*J59/100</f>
        <v>18.850000000000001</v>
      </c>
      <c r="R59" s="244">
        <v>2.8450000000000002</v>
      </c>
      <c r="S59" s="244">
        <v>20.454999999999998</v>
      </c>
      <c r="T59" s="1277">
        <v>23</v>
      </c>
      <c r="U59" s="1278">
        <f t="shared" si="12"/>
        <v>8.0843585237258342</v>
      </c>
      <c r="V59" s="1278">
        <f t="shared" si="16"/>
        <v>86.091420190662433</v>
      </c>
      <c r="W59" s="1279">
        <v>0.2</v>
      </c>
      <c r="X59" s="1452">
        <v>145</v>
      </c>
      <c r="Y59" s="1277">
        <f t="shared" si="3"/>
        <v>108.51458885941642</v>
      </c>
      <c r="Z59" s="244">
        <f t="shared" si="19"/>
        <v>2.8108600000000004</v>
      </c>
      <c r="AA59" s="244">
        <f t="shared" si="19"/>
        <v>20.209539999999997</v>
      </c>
      <c r="AB59" s="1277">
        <f t="shared" si="19"/>
        <v>22.724</v>
      </c>
      <c r="AC59" s="244">
        <f t="shared" si="20"/>
        <v>8.0843585237258342</v>
      </c>
      <c r="AD59" s="1277">
        <f t="shared" si="20"/>
        <v>86.091420190662433</v>
      </c>
      <c r="AE59" s="241">
        <f t="shared" si="15"/>
        <v>28</v>
      </c>
      <c r="AF59" s="244">
        <f t="shared" ref="AF59:AF69" si="21">Z59*AE59</f>
        <v>78.704080000000005</v>
      </c>
      <c r="AG59" s="1281"/>
      <c r="AI59" s="1282">
        <f t="shared" si="2"/>
        <v>41.280074095365229</v>
      </c>
      <c r="AJ59" s="1252">
        <v>0.9234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48</v>
      </c>
      <c r="B60" s="1274" t="s">
        <v>61</v>
      </c>
      <c r="C60" s="241" t="s">
        <v>46</v>
      </c>
      <c r="D60" s="241">
        <v>667.18</v>
      </c>
      <c r="E60" s="241" t="s">
        <v>96</v>
      </c>
      <c r="F60" s="241">
        <v>177.8</v>
      </c>
      <c r="G60" s="241" t="s">
        <v>28</v>
      </c>
      <c r="H60" s="1299" t="s">
        <v>693</v>
      </c>
      <c r="I60" s="1506">
        <v>541.12</v>
      </c>
      <c r="J60" s="241">
        <v>175</v>
      </c>
      <c r="K60" s="241"/>
      <c r="L60" s="1277">
        <v>443</v>
      </c>
      <c r="M60" s="241"/>
      <c r="N60" s="1278">
        <v>3.9</v>
      </c>
      <c r="O60" s="241"/>
      <c r="P60" s="1278">
        <f t="shared" si="4"/>
        <v>13.414375556583916</v>
      </c>
      <c r="Q60" s="1278">
        <f>20*J60/100</f>
        <v>35</v>
      </c>
      <c r="R60" s="244">
        <v>6.9980000000000002</v>
      </c>
      <c r="S60" s="244">
        <v>20.471</v>
      </c>
      <c r="T60" s="1277">
        <v>54</v>
      </c>
      <c r="U60" s="1278">
        <f t="shared" si="12"/>
        <v>7.7164904258359526</v>
      </c>
      <c r="V60" s="1278">
        <f t="shared" si="16"/>
        <v>65.815055444287026</v>
      </c>
      <c r="W60" s="1279">
        <v>0.2</v>
      </c>
      <c r="X60" s="1316">
        <v>175</v>
      </c>
      <c r="Y60" s="1277">
        <f t="shared" si="3"/>
        <v>58.488571428571433</v>
      </c>
      <c r="Z60" s="244">
        <f t="shared" si="19"/>
        <v>6.9140240000000004</v>
      </c>
      <c r="AA60" s="244">
        <f t="shared" si="19"/>
        <v>20.225348</v>
      </c>
      <c r="AB60" s="1277">
        <f t="shared" si="19"/>
        <v>53.351999999999997</v>
      </c>
      <c r="AC60" s="244">
        <f t="shared" si="20"/>
        <v>7.7164904258359526</v>
      </c>
      <c r="AD60" s="1277">
        <f t="shared" si="20"/>
        <v>65.815055444287026</v>
      </c>
      <c r="AE60" s="241">
        <f t="shared" si="15"/>
        <v>28</v>
      </c>
      <c r="AF60" s="244">
        <f t="shared" si="21"/>
        <v>193.59267200000002</v>
      </c>
      <c r="AG60" s="1285"/>
      <c r="AI60" s="1282">
        <f t="shared" si="2"/>
        <v>13.414375556583916</v>
      </c>
      <c r="AJ60" s="1252">
        <v>0.88929999999999998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49</v>
      </c>
      <c r="B61" s="1274" t="s">
        <v>64</v>
      </c>
      <c r="C61" s="241" t="s">
        <v>46</v>
      </c>
      <c r="D61" s="241">
        <v>674.52</v>
      </c>
      <c r="E61" s="241" t="s">
        <v>444</v>
      </c>
      <c r="F61" s="241">
        <v>177.8</v>
      </c>
      <c r="G61" s="241" t="s">
        <v>28</v>
      </c>
      <c r="H61" s="1299" t="s">
        <v>464</v>
      </c>
      <c r="I61" s="1506">
        <v>521.42999999999995</v>
      </c>
      <c r="J61" s="241">
        <v>300</v>
      </c>
      <c r="K61" s="241"/>
      <c r="L61" s="1277">
        <v>458</v>
      </c>
      <c r="M61" s="241"/>
      <c r="N61" s="1278">
        <v>5.8</v>
      </c>
      <c r="O61" s="241"/>
      <c r="P61" s="1278">
        <f t="shared" si="4"/>
        <v>11.745987539821359</v>
      </c>
      <c r="Q61" s="1278">
        <f>J61*14/100</f>
        <v>42</v>
      </c>
      <c r="R61" s="244">
        <v>7.9089999999999998</v>
      </c>
      <c r="S61" s="244">
        <v>12.173</v>
      </c>
      <c r="T61" s="1277">
        <v>180</v>
      </c>
      <c r="U61" s="1278">
        <f t="shared" si="12"/>
        <v>22.758882286003288</v>
      </c>
      <c r="V61" s="1278">
        <f t="shared" si="16"/>
        <v>35.028341411320135</v>
      </c>
      <c r="W61" s="1279">
        <v>0.2</v>
      </c>
      <c r="X61" s="1316">
        <v>300</v>
      </c>
      <c r="Y61" s="1277">
        <f t="shared" si="3"/>
        <v>28.983333333333334</v>
      </c>
      <c r="Z61" s="244">
        <f t="shared" si="19"/>
        <v>7.8140919999999996</v>
      </c>
      <c r="AA61" s="244">
        <f t="shared" si="19"/>
        <v>12.026923999999999</v>
      </c>
      <c r="AB61" s="1277">
        <f t="shared" si="19"/>
        <v>177.84</v>
      </c>
      <c r="AC61" s="244">
        <f t="shared" si="20"/>
        <v>22.758882286003288</v>
      </c>
      <c r="AD61" s="1277">
        <f t="shared" si="20"/>
        <v>35.028341411320135</v>
      </c>
      <c r="AE61" s="241">
        <f t="shared" si="15"/>
        <v>28</v>
      </c>
      <c r="AF61" s="244">
        <f t="shared" si="21"/>
        <v>218.79457599999998</v>
      </c>
      <c r="AG61" s="1285"/>
      <c r="AI61" s="1282">
        <f t="shared" si="2"/>
        <v>11.745987539821359</v>
      </c>
      <c r="AJ61" s="1252">
        <v>0.87360000000000004</v>
      </c>
      <c r="AK61" s="1252">
        <v>1.018</v>
      </c>
      <c r="AL61" s="1252">
        <v>6.1000000000000004E-3</v>
      </c>
    </row>
    <row r="62" spans="1:38" ht="19.5" customHeight="1" x14ac:dyDescent="0.2">
      <c r="A62" s="1273">
        <v>50</v>
      </c>
      <c r="B62" s="1274" t="s">
        <v>156</v>
      </c>
      <c r="C62" s="241" t="s">
        <v>408</v>
      </c>
      <c r="D62" s="241">
        <v>679.54</v>
      </c>
      <c r="E62" s="1506" t="s">
        <v>607</v>
      </c>
      <c r="F62" s="241">
        <v>177.8</v>
      </c>
      <c r="G62" s="241" t="s">
        <v>28</v>
      </c>
      <c r="H62" s="241" t="s">
        <v>464</v>
      </c>
      <c r="I62" s="1506">
        <v>512.28</v>
      </c>
      <c r="J62" s="241">
        <v>175</v>
      </c>
      <c r="K62" s="241"/>
      <c r="L62" s="1277">
        <v>425</v>
      </c>
      <c r="M62" s="241"/>
      <c r="N62" s="1278">
        <v>3.09</v>
      </c>
      <c r="O62" s="241"/>
      <c r="P62" s="1278">
        <f t="shared" si="4"/>
        <v>11.479508318374968</v>
      </c>
      <c r="Q62" s="1278">
        <f>J62*14/100</f>
        <v>24.5</v>
      </c>
      <c r="R62" s="244">
        <v>5.5129999999999999</v>
      </c>
      <c r="S62" s="244">
        <v>12.194000000000001</v>
      </c>
      <c r="T62" s="1277">
        <v>40</v>
      </c>
      <c r="U62" s="1278">
        <f t="shared" si="12"/>
        <v>7.2555777253763836</v>
      </c>
      <c r="V62" s="1278">
        <f t="shared" si="16"/>
        <v>54.789240610136133</v>
      </c>
      <c r="W62" s="1279">
        <v>0.2</v>
      </c>
      <c r="X62" s="1316">
        <v>175</v>
      </c>
      <c r="Y62" s="1277">
        <f t="shared" si="3"/>
        <v>49.771428571428579</v>
      </c>
      <c r="Z62" s="244">
        <f t="shared" si="19"/>
        <v>5.4468439999999996</v>
      </c>
      <c r="AA62" s="244">
        <f t="shared" si="19"/>
        <v>12.047672</v>
      </c>
      <c r="AB62" s="1277">
        <f t="shared" si="19"/>
        <v>39.519999999999996</v>
      </c>
      <c r="AC62" s="244">
        <f t="shared" si="20"/>
        <v>7.2555777253763836</v>
      </c>
      <c r="AD62" s="1277">
        <f t="shared" si="20"/>
        <v>54.789240610136133</v>
      </c>
      <c r="AE62" s="241">
        <f t="shared" si="15"/>
        <v>28</v>
      </c>
      <c r="AF62" s="244">
        <f t="shared" si="21"/>
        <v>152.51163199999999</v>
      </c>
      <c r="AG62" s="1285"/>
      <c r="AI62" s="1282">
        <f t="shared" si="2"/>
        <v>11.479508318374968</v>
      </c>
      <c r="AJ62" s="1252">
        <v>0.89659999999999995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51</v>
      </c>
      <c r="B63" s="1274" t="s">
        <v>169</v>
      </c>
      <c r="C63" s="241" t="s">
        <v>46</v>
      </c>
      <c r="D63" s="241">
        <v>578.64</v>
      </c>
      <c r="E63" s="241" t="s">
        <v>694</v>
      </c>
      <c r="F63" s="241">
        <v>177.8</v>
      </c>
      <c r="G63" s="241" t="s">
        <v>28</v>
      </c>
      <c r="H63" s="241" t="s">
        <v>466</v>
      </c>
      <c r="I63" s="1506">
        <v>539.28</v>
      </c>
      <c r="J63" s="241">
        <v>120</v>
      </c>
      <c r="K63" s="241"/>
      <c r="L63" s="1277">
        <v>244</v>
      </c>
      <c r="M63" s="241"/>
      <c r="N63" s="1278">
        <v>4.0999999999999996</v>
      </c>
      <c r="O63" s="241"/>
      <c r="P63" s="1278">
        <f t="shared" si="4"/>
        <v>32.759326119495455</v>
      </c>
      <c r="Q63" s="1278">
        <f>J63*13/100</f>
        <v>15.6</v>
      </c>
      <c r="R63" s="244">
        <v>1.95</v>
      </c>
      <c r="S63" s="244">
        <v>11.68</v>
      </c>
      <c r="T63" s="1277">
        <v>14.5</v>
      </c>
      <c r="U63" s="1278">
        <f t="shared" si="12"/>
        <v>7.4358974358974361</v>
      </c>
      <c r="V63" s="1278">
        <f t="shared" si="16"/>
        <v>83.304794520547958</v>
      </c>
      <c r="W63" s="1279">
        <v>0.2</v>
      </c>
      <c r="X63" s="1316">
        <v>120</v>
      </c>
      <c r="Y63" s="1277">
        <f t="shared" si="3"/>
        <v>74.871794871794876</v>
      </c>
      <c r="Z63" s="244">
        <f t="shared" si="19"/>
        <v>1.9265999999999999</v>
      </c>
      <c r="AA63" s="244">
        <f t="shared" si="19"/>
        <v>11.53984</v>
      </c>
      <c r="AB63" s="1277">
        <f t="shared" si="19"/>
        <v>14.326000000000001</v>
      </c>
      <c r="AC63" s="244">
        <f t="shared" si="20"/>
        <v>7.4358974358974361</v>
      </c>
      <c r="AD63" s="1277">
        <f t="shared" si="20"/>
        <v>83.304794520547958</v>
      </c>
      <c r="AE63" s="241">
        <f t="shared" si="15"/>
        <v>28</v>
      </c>
      <c r="AF63" s="244">
        <f>Z63*AE63</f>
        <v>53.944799999999994</v>
      </c>
      <c r="AG63" s="1285"/>
      <c r="AI63" s="1282">
        <f t="shared" si="2"/>
        <v>32.759326119495455</v>
      </c>
      <c r="AJ63" s="1252">
        <v>0.89490000000000003</v>
      </c>
      <c r="AK63" s="1252">
        <v>1.018</v>
      </c>
      <c r="AL63" s="1252">
        <v>6.1000000000000004E-3</v>
      </c>
    </row>
    <row r="64" spans="1:38" ht="19.5" customHeight="1" x14ac:dyDescent="0.2">
      <c r="A64" s="1273">
        <v>52</v>
      </c>
      <c r="B64" s="1274" t="s">
        <v>62</v>
      </c>
      <c r="C64" s="241" t="s">
        <v>46</v>
      </c>
      <c r="D64" s="241">
        <v>673.73</v>
      </c>
      <c r="E64" s="241" t="s">
        <v>97</v>
      </c>
      <c r="F64" s="241">
        <v>177.8</v>
      </c>
      <c r="G64" s="241" t="s">
        <v>28</v>
      </c>
      <c r="H64" s="1299" t="s">
        <v>565</v>
      </c>
      <c r="I64" s="1506">
        <v>541.46</v>
      </c>
      <c r="J64" s="241">
        <v>100</v>
      </c>
      <c r="K64" s="241"/>
      <c r="L64" s="1277">
        <v>230</v>
      </c>
      <c r="M64" s="241"/>
      <c r="N64" s="1278">
        <v>5.45</v>
      </c>
      <c r="O64" s="241"/>
      <c r="P64" s="1278">
        <f t="shared" si="4"/>
        <v>35.646411509675914</v>
      </c>
      <c r="Q64" s="1278">
        <f>(32/100)*J64</f>
        <v>32</v>
      </c>
      <c r="R64" s="244">
        <v>6.0330000000000004</v>
      </c>
      <c r="S64" s="244">
        <v>35.162999999999997</v>
      </c>
      <c r="T64" s="1277">
        <v>20</v>
      </c>
      <c r="U64" s="1278">
        <f t="shared" si="12"/>
        <v>3.3151002817835238</v>
      </c>
      <c r="V64" s="1278">
        <f t="shared" si="16"/>
        <v>82.842760856582203</v>
      </c>
      <c r="W64" s="1279">
        <v>0.2</v>
      </c>
      <c r="X64" s="1316">
        <v>100</v>
      </c>
      <c r="Y64" s="1277">
        <f t="shared" si="3"/>
        <v>109.88437499999999</v>
      </c>
      <c r="Z64" s="244">
        <v>6</v>
      </c>
      <c r="AA64" s="244">
        <f>S64</f>
        <v>35.162999999999997</v>
      </c>
      <c r="AB64" s="1277">
        <f t="shared" si="19"/>
        <v>19.759999999999998</v>
      </c>
      <c r="AC64" s="244">
        <f>U64</f>
        <v>3.3151002817835238</v>
      </c>
      <c r="AD64" s="1278">
        <f>(AA64-Z64)/AA64*100</f>
        <v>82.936609504308507</v>
      </c>
      <c r="AE64" s="241">
        <f t="shared" si="15"/>
        <v>28</v>
      </c>
      <c r="AF64" s="244">
        <f t="shared" si="21"/>
        <v>168</v>
      </c>
      <c r="AG64" s="1285"/>
      <c r="AI64" s="1282">
        <f t="shared" si="2"/>
        <v>35.646411509675914</v>
      </c>
      <c r="AJ64" s="1252">
        <v>0.89490000000000003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53</v>
      </c>
      <c r="B65" s="1274" t="s">
        <v>157</v>
      </c>
      <c r="C65" s="241" t="s">
        <v>46</v>
      </c>
      <c r="D65" s="241">
        <v>602</v>
      </c>
      <c r="E65" s="241" t="s">
        <v>608</v>
      </c>
      <c r="F65" s="241">
        <v>177.8</v>
      </c>
      <c r="G65" s="241" t="s">
        <v>28</v>
      </c>
      <c r="H65" s="241" t="s">
        <v>695</v>
      </c>
      <c r="I65" s="1506">
        <v>539.83000000000004</v>
      </c>
      <c r="J65" s="1448">
        <v>95</v>
      </c>
      <c r="K65" s="241"/>
      <c r="L65" s="1277">
        <v>102</v>
      </c>
      <c r="M65" s="1278"/>
      <c r="N65" s="1278">
        <v>5.9</v>
      </c>
      <c r="O65" s="241"/>
      <c r="P65" s="1278">
        <f t="shared" si="4"/>
        <v>48.565935404510313</v>
      </c>
      <c r="Q65" s="1278">
        <f>(32/100)*J65</f>
        <v>30.400000000000002</v>
      </c>
      <c r="R65" s="244">
        <v>3.327</v>
      </c>
      <c r="S65" s="244">
        <v>32.009</v>
      </c>
      <c r="T65" s="1277">
        <v>75</v>
      </c>
      <c r="U65" s="1278">
        <f t="shared" si="12"/>
        <v>22.54283137962128</v>
      </c>
      <c r="V65" s="1278">
        <f t="shared" si="16"/>
        <v>89.606048298915937</v>
      </c>
      <c r="W65" s="1279">
        <v>0.4</v>
      </c>
      <c r="X65" s="1449">
        <v>95</v>
      </c>
      <c r="Y65" s="1277">
        <f t="shared" si="3"/>
        <v>105.29276315789473</v>
      </c>
      <c r="Z65" s="244">
        <f t="shared" ref="Z65:AA69" si="22">R65*0.988</f>
        <v>3.2870759999999999</v>
      </c>
      <c r="AA65" s="244">
        <f t="shared" si="22"/>
        <v>31.624891999999999</v>
      </c>
      <c r="AB65" s="1277">
        <f t="shared" si="19"/>
        <v>74.099999999999994</v>
      </c>
      <c r="AC65" s="244">
        <f>U65</f>
        <v>22.54283137962128</v>
      </c>
      <c r="AD65" s="1277">
        <f>V65</f>
        <v>89.606048298915937</v>
      </c>
      <c r="AE65" s="241">
        <f t="shared" si="15"/>
        <v>28</v>
      </c>
      <c r="AF65" s="244">
        <f t="shared" si="21"/>
        <v>92.038128</v>
      </c>
      <c r="AG65" s="1343"/>
      <c r="AI65" s="1282">
        <f t="shared" si="2"/>
        <v>48.565935404510313</v>
      </c>
      <c r="AJ65" s="1252">
        <v>0.89390000000000003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54</v>
      </c>
      <c r="B66" s="1274" t="s">
        <v>159</v>
      </c>
      <c r="C66" s="241" t="s">
        <v>46</v>
      </c>
      <c r="D66" s="241">
        <v>676.1</v>
      </c>
      <c r="E66" s="241" t="s">
        <v>167</v>
      </c>
      <c r="F66" s="241">
        <v>177.8</v>
      </c>
      <c r="G66" s="241" t="s">
        <v>28</v>
      </c>
      <c r="H66" s="1299" t="s">
        <v>565</v>
      </c>
      <c r="I66" s="1506">
        <v>512.47</v>
      </c>
      <c r="J66" s="1277">
        <v>245</v>
      </c>
      <c r="K66" s="241"/>
      <c r="L66" s="1277">
        <v>462</v>
      </c>
      <c r="M66" s="241"/>
      <c r="N66" s="1278">
        <v>5.2</v>
      </c>
      <c r="O66" s="241"/>
      <c r="P66" s="1278">
        <f t="shared" si="4"/>
        <v>9.8492228628814686</v>
      </c>
      <c r="Q66" s="1278">
        <f>(32*J66)/100</f>
        <v>78.400000000000006</v>
      </c>
      <c r="R66" s="244">
        <v>14.691000000000001</v>
      </c>
      <c r="S66" s="244">
        <v>17.827999999999999</v>
      </c>
      <c r="T66" s="1277">
        <v>320</v>
      </c>
      <c r="U66" s="1278">
        <f t="shared" si="12"/>
        <v>21.782043427949084</v>
      </c>
      <c r="V66" s="1278">
        <f t="shared" si="16"/>
        <v>17.595916535786397</v>
      </c>
      <c r="W66" s="1279">
        <v>0.2</v>
      </c>
      <c r="X66" s="1454">
        <v>245</v>
      </c>
      <c r="Y66" s="1277">
        <f t="shared" si="3"/>
        <v>22.739795918367346</v>
      </c>
      <c r="Z66" s="244">
        <f t="shared" si="22"/>
        <v>14.514708000000001</v>
      </c>
      <c r="AA66" s="244">
        <f t="shared" si="22"/>
        <v>17.614063999999999</v>
      </c>
      <c r="AB66" s="1277">
        <f t="shared" si="19"/>
        <v>316.15999999999997</v>
      </c>
      <c r="AC66" s="244">
        <f>U66</f>
        <v>21.782043427949084</v>
      </c>
      <c r="AD66" s="1277">
        <f>V66</f>
        <v>17.595916535786397</v>
      </c>
      <c r="AE66" s="241">
        <f t="shared" si="15"/>
        <v>28</v>
      </c>
      <c r="AF66" s="244">
        <f t="shared" si="21"/>
        <v>406.41182400000002</v>
      </c>
      <c r="AG66" s="1281"/>
      <c r="AI66" s="1282">
        <f t="shared" si="2"/>
        <v>9.8492228628814686</v>
      </c>
      <c r="AJ66" s="1252">
        <v>0.86950000000000005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55</v>
      </c>
      <c r="B67" s="1274" t="s">
        <v>330</v>
      </c>
      <c r="C67" s="241" t="s">
        <v>46</v>
      </c>
      <c r="D67" s="241">
        <v>594.58000000000004</v>
      </c>
      <c r="E67" s="241" t="s">
        <v>609</v>
      </c>
      <c r="F67" s="241">
        <v>178.8</v>
      </c>
      <c r="G67" s="241" t="s">
        <v>28</v>
      </c>
      <c r="H67" s="1299" t="s">
        <v>565</v>
      </c>
      <c r="I67" s="1506">
        <v>500.41</v>
      </c>
      <c r="J67" s="1448">
        <v>235</v>
      </c>
      <c r="K67" s="241"/>
      <c r="L67" s="1277">
        <v>482</v>
      </c>
      <c r="M67" s="241"/>
      <c r="N67" s="1278">
        <v>3.8</v>
      </c>
      <c r="O67" s="241"/>
      <c r="P67" s="1278">
        <f t="shared" si="4"/>
        <v>5.6813097341624923</v>
      </c>
      <c r="Q67" s="1278">
        <f>J67*32/100</f>
        <v>75.2</v>
      </c>
      <c r="R67" s="244">
        <v>8.1259999999999994</v>
      </c>
      <c r="S67" s="244">
        <v>11.815</v>
      </c>
      <c r="T67" s="1277">
        <v>128</v>
      </c>
      <c r="U67" s="1278">
        <f t="shared" si="12"/>
        <v>15.751907457543687</v>
      </c>
      <c r="V67" s="1278">
        <f t="shared" si="16"/>
        <v>31.223021582733811</v>
      </c>
      <c r="W67" s="1279">
        <v>0.2</v>
      </c>
      <c r="X67" s="1449">
        <v>235</v>
      </c>
      <c r="Y67" s="1277">
        <f t="shared" si="3"/>
        <v>15.711436170212764</v>
      </c>
      <c r="Z67" s="244">
        <f t="shared" si="22"/>
        <v>8.0284879999999994</v>
      </c>
      <c r="AA67" s="244">
        <f t="shared" si="22"/>
        <v>11.673219999999999</v>
      </c>
      <c r="AB67" s="1277">
        <f t="shared" si="19"/>
        <v>126.464</v>
      </c>
      <c r="AC67" s="244">
        <v>20</v>
      </c>
      <c r="AD67" s="1277">
        <v>17</v>
      </c>
      <c r="AE67" s="241">
        <f t="shared" si="15"/>
        <v>28</v>
      </c>
      <c r="AF67" s="244">
        <f t="shared" si="21"/>
        <v>224.797664</v>
      </c>
      <c r="AG67" s="1281"/>
      <c r="AI67" s="1282">
        <f t="shared" si="2"/>
        <v>5.6813097341624923</v>
      </c>
      <c r="AJ67" s="1252">
        <v>0.84030000000000005</v>
      </c>
      <c r="AK67" s="1252">
        <v>1.018</v>
      </c>
      <c r="AL67" s="1252">
        <v>6.1000000000000004E-3</v>
      </c>
    </row>
    <row r="68" spans="1:38" ht="18.75" customHeight="1" x14ac:dyDescent="0.2">
      <c r="A68" s="1273">
        <v>56</v>
      </c>
      <c r="B68" s="1274" t="s">
        <v>210</v>
      </c>
      <c r="C68" s="241" t="s">
        <v>46</v>
      </c>
      <c r="D68" s="241">
        <v>728.8</v>
      </c>
      <c r="E68" s="241" t="s">
        <v>610</v>
      </c>
      <c r="F68" s="241">
        <v>177.8</v>
      </c>
      <c r="G68" s="241" t="s">
        <v>28</v>
      </c>
      <c r="H68" s="1299" t="s">
        <v>540</v>
      </c>
      <c r="I68" s="1506">
        <v>549.1</v>
      </c>
      <c r="J68" s="1448">
        <v>185</v>
      </c>
      <c r="K68" s="241"/>
      <c r="L68" s="1277">
        <v>442</v>
      </c>
      <c r="M68" s="241"/>
      <c r="N68" s="1278">
        <v>7.6</v>
      </c>
      <c r="O68" s="241"/>
      <c r="P68" s="1278">
        <f t="shared" si="4"/>
        <v>17.741930795311191</v>
      </c>
      <c r="Q68" s="1278">
        <f>LEFT(H68,(FIND("E",H68,1)-1))*J68/100</f>
        <v>40.700000000000003</v>
      </c>
      <c r="R68" s="244">
        <v>11.592000000000001</v>
      </c>
      <c r="S68" s="244">
        <v>25.113</v>
      </c>
      <c r="T68" s="1277">
        <v>133</v>
      </c>
      <c r="U68" s="1278">
        <f t="shared" si="12"/>
        <v>11.473429951690822</v>
      </c>
      <c r="V68" s="1278">
        <f t="shared" si="16"/>
        <v>53.840640305817701</v>
      </c>
      <c r="W68" s="1279">
        <v>0.2</v>
      </c>
      <c r="X68" s="1449">
        <v>185</v>
      </c>
      <c r="Y68" s="1277">
        <f t="shared" si="3"/>
        <v>61.702702702702695</v>
      </c>
      <c r="Z68" s="244">
        <f t="shared" si="22"/>
        <v>11.452896000000001</v>
      </c>
      <c r="AA68" s="244">
        <f t="shared" si="22"/>
        <v>24.811643999999998</v>
      </c>
      <c r="AB68" s="1277">
        <f t="shared" si="19"/>
        <v>131.404</v>
      </c>
      <c r="AC68" s="244">
        <f>U68</f>
        <v>11.473429951690822</v>
      </c>
      <c r="AD68" s="1277">
        <f>V68</f>
        <v>53.840640305817701</v>
      </c>
      <c r="AE68" s="241">
        <f t="shared" si="15"/>
        <v>28</v>
      </c>
      <c r="AF68" s="244">
        <f t="shared" si="21"/>
        <v>320.68108800000005</v>
      </c>
      <c r="AG68" s="1285"/>
      <c r="AI68" s="1282">
        <f t="shared" si="2"/>
        <v>17.741930795311191</v>
      </c>
      <c r="AJ68" s="1252">
        <v>0.877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57</v>
      </c>
      <c r="B69" s="1274" t="s">
        <v>63</v>
      </c>
      <c r="C69" s="241" t="s">
        <v>46</v>
      </c>
      <c r="D69" s="241">
        <v>672.99</v>
      </c>
      <c r="E69" s="241" t="s">
        <v>98</v>
      </c>
      <c r="F69" s="241">
        <v>177.8</v>
      </c>
      <c r="G69" s="241" t="s">
        <v>28</v>
      </c>
      <c r="H69" s="241" t="s">
        <v>310</v>
      </c>
      <c r="I69" s="1506">
        <v>537.29</v>
      </c>
      <c r="J69" s="1448">
        <v>350</v>
      </c>
      <c r="K69" s="241"/>
      <c r="L69" s="1277">
        <v>449</v>
      </c>
      <c r="M69" s="241"/>
      <c r="N69" s="1278">
        <v>6.2</v>
      </c>
      <c r="O69" s="241"/>
      <c r="P69" s="1278">
        <f t="shared" si="4"/>
        <v>14.632075951128311</v>
      </c>
      <c r="Q69" s="1278">
        <f t="shared" ref="Q69" si="23">LEFT(H69,(FIND("K",H69,1)-1))*J69/100</f>
        <v>77</v>
      </c>
      <c r="R69" s="244">
        <v>12.182</v>
      </c>
      <c r="S69" s="244">
        <v>24.702000000000002</v>
      </c>
      <c r="T69" s="1277">
        <v>67</v>
      </c>
      <c r="U69" s="1278">
        <f t="shared" si="12"/>
        <v>5.4999179116729602</v>
      </c>
      <c r="V69" s="1278">
        <f t="shared" si="16"/>
        <v>50.684155129139342</v>
      </c>
      <c r="W69" s="1279">
        <v>0.2</v>
      </c>
      <c r="X69" s="1449">
        <v>350</v>
      </c>
      <c r="Y69" s="1277">
        <f t="shared" si="3"/>
        <v>32.080519480519484</v>
      </c>
      <c r="Z69" s="244">
        <f t="shared" si="22"/>
        <v>12.035816000000001</v>
      </c>
      <c r="AA69" s="244">
        <f t="shared" si="22"/>
        <v>24.405576</v>
      </c>
      <c r="AB69" s="1277">
        <f t="shared" si="19"/>
        <v>66.195999999999998</v>
      </c>
      <c r="AC69" s="244">
        <f>U69</f>
        <v>5.4999179116729602</v>
      </c>
      <c r="AD69" s="1277">
        <f>V69</f>
        <v>50.684155129139342</v>
      </c>
      <c r="AE69" s="241">
        <f t="shared" si="15"/>
        <v>28</v>
      </c>
      <c r="AF69" s="244">
        <f t="shared" si="21"/>
        <v>337.00284800000003</v>
      </c>
      <c r="AG69" s="1285"/>
      <c r="AI69" s="1282">
        <f t="shared" si="2"/>
        <v>14.632075951128311</v>
      </c>
      <c r="AJ69" s="1252">
        <v>0.8911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58</v>
      </c>
      <c r="B70" s="1274" t="s">
        <v>217</v>
      </c>
      <c r="C70" s="241" t="s">
        <v>408</v>
      </c>
      <c r="D70" s="241">
        <v>587.72</v>
      </c>
      <c r="E70" s="241" t="s">
        <v>611</v>
      </c>
      <c r="F70" s="241">
        <v>177.8</v>
      </c>
      <c r="G70" s="241" t="s">
        <v>28</v>
      </c>
      <c r="H70" s="1299" t="s">
        <v>466</v>
      </c>
      <c r="I70" s="1506">
        <v>555.54999999999995</v>
      </c>
      <c r="J70" s="1448">
        <v>0</v>
      </c>
      <c r="K70" s="241">
        <v>51</v>
      </c>
      <c r="L70" s="1277"/>
      <c r="M70" s="241">
        <v>4.8</v>
      </c>
      <c r="N70" s="1278"/>
      <c r="O70" s="241"/>
      <c r="P70" s="1278">
        <f t="shared" si="4"/>
        <v>47.870234344929671</v>
      </c>
      <c r="Q70" s="1278"/>
      <c r="R70" s="244"/>
      <c r="S70" s="244"/>
      <c r="T70" s="1277"/>
      <c r="U70" s="1278"/>
      <c r="V70" s="1278"/>
      <c r="W70" s="1279"/>
      <c r="X70" s="1449">
        <v>0</v>
      </c>
      <c r="Y70" s="1277">
        <f t="shared" si="3"/>
        <v>0</v>
      </c>
      <c r="Z70" s="244"/>
      <c r="AA70" s="244"/>
      <c r="AB70" s="1277"/>
      <c r="AC70" s="244"/>
      <c r="AD70" s="1277"/>
      <c r="AE70" s="241"/>
      <c r="AF70" s="244"/>
      <c r="AG70" s="1281" t="s">
        <v>682</v>
      </c>
      <c r="AI70" s="1282">
        <f t="shared" si="2"/>
        <v>47.870234344929671</v>
      </c>
      <c r="AJ70" s="1252">
        <v>0.89</v>
      </c>
      <c r="AK70" s="1252">
        <v>1.018</v>
      </c>
      <c r="AL70" s="1252">
        <v>6.1000000000000004E-3</v>
      </c>
    </row>
    <row r="71" spans="1:38" ht="20.25" customHeight="1" x14ac:dyDescent="0.2">
      <c r="A71" s="1273">
        <v>59</v>
      </c>
      <c r="B71" s="1274" t="s">
        <v>211</v>
      </c>
      <c r="C71" s="241" t="s">
        <v>46</v>
      </c>
      <c r="D71" s="241">
        <v>684.03</v>
      </c>
      <c r="E71" s="241" t="s">
        <v>696</v>
      </c>
      <c r="F71" s="241">
        <v>177.8</v>
      </c>
      <c r="G71" s="241" t="s">
        <v>28</v>
      </c>
      <c r="H71" s="241" t="s">
        <v>551</v>
      </c>
      <c r="I71" s="1506">
        <v>582.6</v>
      </c>
      <c r="J71" s="1448">
        <v>85</v>
      </c>
      <c r="K71" s="241"/>
      <c r="L71" s="1277">
        <v>312.60000000000002</v>
      </c>
      <c r="M71" s="241"/>
      <c r="N71" s="1278">
        <v>1.45</v>
      </c>
      <c r="O71" s="241"/>
      <c r="P71" s="1278">
        <f t="shared" si="4"/>
        <v>27.404799646992245</v>
      </c>
      <c r="Q71" s="1278">
        <f>(22*J71)/100</f>
        <v>18.7</v>
      </c>
      <c r="R71" s="244">
        <v>4.9379999999999997</v>
      </c>
      <c r="S71" s="244">
        <v>14.734999999999999</v>
      </c>
      <c r="T71" s="1277">
        <v>2</v>
      </c>
      <c r="U71" s="1278">
        <f t="shared" si="12"/>
        <v>0.40502227622519243</v>
      </c>
      <c r="V71" s="1278">
        <f t="shared" si="16"/>
        <v>66.487953851374286</v>
      </c>
      <c r="W71" s="1279">
        <v>0.2</v>
      </c>
      <c r="X71" s="1449">
        <v>85</v>
      </c>
      <c r="Y71" s="1277">
        <f t="shared" si="3"/>
        <v>78.796791443850267</v>
      </c>
      <c r="Z71" s="244">
        <f t="shared" ref="Z71:AB75" si="24">R71*0.988</f>
        <v>4.8787439999999993</v>
      </c>
      <c r="AA71" s="244">
        <f t="shared" si="24"/>
        <v>14.55818</v>
      </c>
      <c r="AB71" s="1277">
        <f t="shared" si="24"/>
        <v>1.976</v>
      </c>
      <c r="AC71" s="244">
        <f t="shared" ref="AC71:AD75" si="25">U71</f>
        <v>0.40502227622519243</v>
      </c>
      <c r="AD71" s="1277">
        <f t="shared" si="25"/>
        <v>66.487953851374286</v>
      </c>
      <c r="AE71" s="241">
        <f t="shared" si="15"/>
        <v>28</v>
      </c>
      <c r="AF71" s="244">
        <f t="shared" ref="AF71:AF77" si="26">Z71*AE71</f>
        <v>136.60483199999999</v>
      </c>
      <c r="AG71" s="1285" t="s">
        <v>742</v>
      </c>
      <c r="AI71" s="1282">
        <f t="shared" si="2"/>
        <v>27.404799646992245</v>
      </c>
      <c r="AJ71" s="1252">
        <v>0.92200000000000004</v>
      </c>
      <c r="AK71" s="1252">
        <v>1.018</v>
      </c>
      <c r="AL71" s="1252">
        <v>6.1000000000000004E-3</v>
      </c>
    </row>
    <row r="72" spans="1:38" ht="18.600000000000001" customHeight="1" x14ac:dyDescent="0.2">
      <c r="A72" s="1273">
        <v>60</v>
      </c>
      <c r="B72" s="1274" t="s">
        <v>341</v>
      </c>
      <c r="C72" s="241" t="s">
        <v>46</v>
      </c>
      <c r="D72" s="241">
        <v>675.29</v>
      </c>
      <c r="E72" s="241" t="s">
        <v>343</v>
      </c>
      <c r="F72" s="241">
        <v>177.8</v>
      </c>
      <c r="G72" s="241" t="s">
        <v>28</v>
      </c>
      <c r="H72" s="1299" t="s">
        <v>565</v>
      </c>
      <c r="I72" s="1506">
        <v>531.94000000000005</v>
      </c>
      <c r="J72" s="1448">
        <v>355</v>
      </c>
      <c r="K72" s="241"/>
      <c r="L72" s="1277">
        <v>324</v>
      </c>
      <c r="M72" s="241"/>
      <c r="N72" s="1278">
        <v>8.1999999999999993</v>
      </c>
      <c r="O72" s="241"/>
      <c r="P72" s="1278">
        <f t="shared" si="4"/>
        <v>27.996368790841295</v>
      </c>
      <c r="Q72" s="1278">
        <f>(32*J72)/100</f>
        <v>113.6</v>
      </c>
      <c r="R72" s="244">
        <v>14.598000000000001</v>
      </c>
      <c r="S72" s="244">
        <v>44.9</v>
      </c>
      <c r="T72" s="1277">
        <v>86.786000000000001</v>
      </c>
      <c r="U72" s="1278">
        <f t="shared" si="12"/>
        <v>5.9450609672557881</v>
      </c>
      <c r="V72" s="1278">
        <f t="shared" si="16"/>
        <v>67.487750556792875</v>
      </c>
      <c r="W72" s="1279">
        <v>0.2</v>
      </c>
      <c r="X72" s="1449">
        <v>355</v>
      </c>
      <c r="Y72" s="1277">
        <f t="shared" si="3"/>
        <v>39.524647887323944</v>
      </c>
      <c r="Z72" s="244">
        <f t="shared" si="24"/>
        <v>14.422824</v>
      </c>
      <c r="AA72" s="244">
        <f t="shared" si="24"/>
        <v>44.361199999999997</v>
      </c>
      <c r="AB72" s="1277">
        <f t="shared" si="24"/>
        <v>85.744568000000001</v>
      </c>
      <c r="AC72" s="244">
        <f t="shared" si="25"/>
        <v>5.9450609672557881</v>
      </c>
      <c r="AD72" s="1277">
        <f t="shared" si="25"/>
        <v>67.487750556792875</v>
      </c>
      <c r="AE72" s="241">
        <v>25</v>
      </c>
      <c r="AF72" s="244">
        <f t="shared" si="26"/>
        <v>360.57060000000001</v>
      </c>
      <c r="AG72" s="1285"/>
      <c r="AI72" s="1282">
        <f t="shared" si="2"/>
        <v>27.996368790841295</v>
      </c>
      <c r="AJ72" s="1252">
        <v>0.8821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61</v>
      </c>
      <c r="B73" s="1274" t="s">
        <v>354</v>
      </c>
      <c r="C73" s="241" t="s">
        <v>46</v>
      </c>
      <c r="D73" s="241">
        <v>563.85</v>
      </c>
      <c r="E73" s="1346" t="s">
        <v>545</v>
      </c>
      <c r="F73" s="241">
        <v>178.8</v>
      </c>
      <c r="G73" s="241" t="s">
        <v>28</v>
      </c>
      <c r="H73" s="1299" t="s">
        <v>687</v>
      </c>
      <c r="I73" s="1506">
        <v>533.89</v>
      </c>
      <c r="J73" s="1448">
        <v>85</v>
      </c>
      <c r="K73" s="241"/>
      <c r="L73" s="1277">
        <v>58</v>
      </c>
      <c r="M73" s="241"/>
      <c r="N73" s="1278">
        <v>0.6</v>
      </c>
      <c r="O73" s="241"/>
      <c r="P73" s="1278">
        <f t="shared" si="4"/>
        <v>46.819303646931154</v>
      </c>
      <c r="Q73" s="1278">
        <f>(20/100)*J73</f>
        <v>17</v>
      </c>
      <c r="R73" s="244">
        <v>2.2789999999999999</v>
      </c>
      <c r="S73" s="244">
        <v>17.096</v>
      </c>
      <c r="T73" s="1277">
        <v>38</v>
      </c>
      <c r="U73" s="1278">
        <f t="shared" si="12"/>
        <v>16.673979815708645</v>
      </c>
      <c r="V73" s="1278">
        <f t="shared" si="16"/>
        <v>86.669396350023391</v>
      </c>
      <c r="W73" s="1279">
        <v>0.2</v>
      </c>
      <c r="X73" s="1449">
        <v>85</v>
      </c>
      <c r="Y73" s="1277">
        <f t="shared" si="3"/>
        <v>100.56470588235294</v>
      </c>
      <c r="Z73" s="244">
        <f t="shared" si="24"/>
        <v>2.251652</v>
      </c>
      <c r="AA73" s="244">
        <f t="shared" si="24"/>
        <v>16.890847999999998</v>
      </c>
      <c r="AB73" s="1277">
        <f t="shared" si="24"/>
        <v>37.543999999999997</v>
      </c>
      <c r="AC73" s="244">
        <f t="shared" si="25"/>
        <v>16.673979815708645</v>
      </c>
      <c r="AD73" s="1277">
        <f t="shared" si="25"/>
        <v>86.669396350023391</v>
      </c>
      <c r="AE73" s="241">
        <f t="shared" si="15"/>
        <v>28</v>
      </c>
      <c r="AF73" s="244">
        <f t="shared" si="26"/>
        <v>63.046256</v>
      </c>
      <c r="AG73" s="1285"/>
      <c r="AI73" s="1282">
        <f t="shared" si="2"/>
        <v>46.819303646931154</v>
      </c>
      <c r="AJ73" s="1252">
        <v>0.90100000000000002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62</v>
      </c>
      <c r="B74" s="1274" t="s">
        <v>423</v>
      </c>
      <c r="C74" s="241" t="s">
        <v>46</v>
      </c>
      <c r="D74" s="241">
        <v>687.52</v>
      </c>
      <c r="E74" s="26" t="s">
        <v>546</v>
      </c>
      <c r="F74" s="241">
        <v>179.8</v>
      </c>
      <c r="G74" s="241" t="s">
        <v>28</v>
      </c>
      <c r="H74" s="1299" t="s">
        <v>565</v>
      </c>
      <c r="I74" s="1506">
        <v>571.08000000000004</v>
      </c>
      <c r="J74" s="1448">
        <v>195</v>
      </c>
      <c r="K74" s="241"/>
      <c r="L74" s="1277">
        <v>437</v>
      </c>
      <c r="M74" s="241"/>
      <c r="N74" s="1278">
        <v>19.3</v>
      </c>
      <c r="O74" s="241"/>
      <c r="P74" s="1278">
        <f t="shared" si="4"/>
        <v>30.452778398060744</v>
      </c>
      <c r="Q74" s="1278">
        <f>(32/100)*J74</f>
        <v>62.4</v>
      </c>
      <c r="R74" s="244">
        <v>12.275</v>
      </c>
      <c r="S74" s="244">
        <v>12.766999999999999</v>
      </c>
      <c r="T74" s="1277">
        <v>505</v>
      </c>
      <c r="U74" s="1278">
        <f t="shared" si="12"/>
        <v>41.140529531568227</v>
      </c>
      <c r="V74" s="1278">
        <f t="shared" si="16"/>
        <v>3.8536852823685996</v>
      </c>
      <c r="W74" s="1279">
        <v>0.2</v>
      </c>
      <c r="X74" s="1449">
        <v>195</v>
      </c>
      <c r="Y74" s="1277">
        <f t="shared" si="3"/>
        <v>20.459935897435898</v>
      </c>
      <c r="Z74" s="244">
        <f t="shared" si="24"/>
        <v>12.127700000000001</v>
      </c>
      <c r="AA74" s="244">
        <f t="shared" si="24"/>
        <v>12.613795999999999</v>
      </c>
      <c r="AB74" s="1277">
        <f t="shared" si="24"/>
        <v>498.94</v>
      </c>
      <c r="AC74" s="244">
        <f t="shared" si="25"/>
        <v>41.140529531568227</v>
      </c>
      <c r="AD74" s="1277">
        <f t="shared" si="25"/>
        <v>3.8536852823685996</v>
      </c>
      <c r="AE74" s="241">
        <f t="shared" si="15"/>
        <v>28</v>
      </c>
      <c r="AF74" s="244">
        <f t="shared" si="26"/>
        <v>339.57560000000001</v>
      </c>
      <c r="AG74" s="1285"/>
      <c r="AI74" s="1282">
        <f t="shared" si="2"/>
        <v>30.452778398060744</v>
      </c>
      <c r="AJ74" s="1252">
        <v>0.83209999999999995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63</v>
      </c>
      <c r="B75" s="1274" t="s">
        <v>213</v>
      </c>
      <c r="C75" s="241" t="s">
        <v>46</v>
      </c>
      <c r="D75" s="241">
        <v>694.35</v>
      </c>
      <c r="E75" s="241" t="s">
        <v>497</v>
      </c>
      <c r="F75" s="241">
        <v>177.8</v>
      </c>
      <c r="G75" s="241" t="s">
        <v>28</v>
      </c>
      <c r="H75" s="241" t="s">
        <v>464</v>
      </c>
      <c r="I75" s="1506">
        <v>664.19</v>
      </c>
      <c r="J75" s="1448">
        <v>165</v>
      </c>
      <c r="K75" s="241"/>
      <c r="L75" s="1277">
        <v>111</v>
      </c>
      <c r="M75" s="241"/>
      <c r="N75" s="1278">
        <v>0.12</v>
      </c>
      <c r="O75" s="241"/>
      <c r="P75" s="1278">
        <f t="shared" si="4"/>
        <v>49.382836558692127</v>
      </c>
      <c r="Q75" s="1278">
        <f>14*J75/100</f>
        <v>23.1</v>
      </c>
      <c r="R75" s="244">
        <v>5.41</v>
      </c>
      <c r="S75" s="244">
        <v>5.6970000000000001</v>
      </c>
      <c r="T75" s="1277">
        <v>101.25</v>
      </c>
      <c r="U75" s="1278">
        <f t="shared" si="12"/>
        <v>18.715341959334566</v>
      </c>
      <c r="V75" s="1278">
        <f t="shared" si="16"/>
        <v>5.0377391609619089</v>
      </c>
      <c r="W75" s="1279">
        <v>0.2</v>
      </c>
      <c r="X75" s="1449">
        <v>165</v>
      </c>
      <c r="Y75" s="1277">
        <f t="shared" si="3"/>
        <v>24.662337662337659</v>
      </c>
      <c r="Z75" s="244">
        <f t="shared" si="24"/>
        <v>5.3450800000000003</v>
      </c>
      <c r="AA75" s="244">
        <f t="shared" si="24"/>
        <v>5.6286360000000002</v>
      </c>
      <c r="AB75" s="1277">
        <f t="shared" si="24"/>
        <v>100.035</v>
      </c>
      <c r="AC75" s="244">
        <f t="shared" si="25"/>
        <v>18.715341959334566</v>
      </c>
      <c r="AD75" s="1277">
        <f t="shared" si="25"/>
        <v>5.0377391609619089</v>
      </c>
      <c r="AE75" s="241">
        <f t="shared" si="15"/>
        <v>28</v>
      </c>
      <c r="AF75" s="244">
        <f t="shared" si="26"/>
        <v>149.66224</v>
      </c>
      <c r="AG75" s="1281"/>
      <c r="AI75" s="1282">
        <f t="shared" si="2"/>
        <v>49.382836558692127</v>
      </c>
      <c r="AJ75" s="1252">
        <v>0.9133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64</v>
      </c>
      <c r="B76" s="1274" t="s">
        <v>506</v>
      </c>
      <c r="C76" s="241" t="s">
        <v>46</v>
      </c>
      <c r="D76" s="1506">
        <v>700</v>
      </c>
      <c r="E76" s="1506" t="s">
        <v>547</v>
      </c>
      <c r="F76" s="241">
        <v>177.8</v>
      </c>
      <c r="G76" s="241" t="s">
        <v>28</v>
      </c>
      <c r="H76" s="241" t="s">
        <v>464</v>
      </c>
      <c r="I76" s="1506">
        <v>608.22</v>
      </c>
      <c r="J76" s="1506">
        <v>0</v>
      </c>
      <c r="K76" s="1506"/>
      <c r="L76" s="1319">
        <v>0</v>
      </c>
      <c r="M76" s="1506"/>
      <c r="N76" s="1278">
        <v>0</v>
      </c>
      <c r="O76" s="1506"/>
      <c r="P76" s="1278">
        <f t="shared" si="4"/>
        <v>48.239526409474465</v>
      </c>
      <c r="Q76" s="1278"/>
      <c r="R76" s="244"/>
      <c r="S76" s="244"/>
      <c r="T76" s="1319"/>
      <c r="U76" s="244"/>
      <c r="V76" s="1278"/>
      <c r="W76" s="1279"/>
      <c r="X76" s="1410">
        <v>0</v>
      </c>
      <c r="Y76" s="1277">
        <f t="shared" si="3"/>
        <v>0</v>
      </c>
      <c r="Z76" s="244"/>
      <c r="AA76" s="244"/>
      <c r="AB76" s="1277"/>
      <c r="AC76" s="244"/>
      <c r="AD76" s="244"/>
      <c r="AE76" s="241"/>
      <c r="AF76" s="244"/>
      <c r="AG76" s="1281" t="s">
        <v>682</v>
      </c>
      <c r="AI76" s="1282">
        <f t="shared" si="2"/>
        <v>48.239526409474465</v>
      </c>
      <c r="AJ76" s="1252">
        <v>0.81920000000000004</v>
      </c>
      <c r="AK76" s="1252">
        <v>1.018</v>
      </c>
      <c r="AL76" s="1252">
        <v>6.1000000000000004E-3</v>
      </c>
    </row>
    <row r="77" spans="1:38" ht="18.75" customHeight="1" x14ac:dyDescent="0.2">
      <c r="A77" s="1273">
        <v>65</v>
      </c>
      <c r="B77" s="1274" t="s">
        <v>451</v>
      </c>
      <c r="C77" s="241" t="s">
        <v>46</v>
      </c>
      <c r="D77" s="1506">
        <v>619.66</v>
      </c>
      <c r="E77" s="1506" t="s">
        <v>613</v>
      </c>
      <c r="F77" s="241">
        <v>177.8</v>
      </c>
      <c r="G77" s="241" t="s">
        <v>28</v>
      </c>
      <c r="H77" s="1299" t="s">
        <v>687</v>
      </c>
      <c r="I77" s="1506">
        <v>595.26</v>
      </c>
      <c r="J77" s="1506">
        <v>80</v>
      </c>
      <c r="K77" s="1506"/>
      <c r="L77" s="1319">
        <v>334</v>
      </c>
      <c r="M77" s="1506"/>
      <c r="N77" s="1278">
        <v>12.6</v>
      </c>
      <c r="O77" s="1506"/>
      <c r="P77" s="1278">
        <f t="shared" si="4"/>
        <v>37.73404973670889</v>
      </c>
      <c r="Q77" s="1278">
        <f>(20/100)*J77</f>
        <v>16</v>
      </c>
      <c r="R77" s="244">
        <v>4</v>
      </c>
      <c r="S77" s="244">
        <v>14.3</v>
      </c>
      <c r="T77" s="1319">
        <v>208</v>
      </c>
      <c r="U77" s="244">
        <f t="shared" si="12"/>
        <v>52</v>
      </c>
      <c r="V77" s="1278">
        <f t="shared" si="16"/>
        <v>72.027972027972027</v>
      </c>
      <c r="W77" s="1279">
        <v>0.2</v>
      </c>
      <c r="X77" s="1410">
        <v>80</v>
      </c>
      <c r="Y77" s="1277">
        <f t="shared" si="3"/>
        <v>89.375</v>
      </c>
      <c r="Z77" s="244">
        <v>4.5</v>
      </c>
      <c r="AA77" s="244">
        <f>S77*0.988</f>
        <v>14.128400000000001</v>
      </c>
      <c r="AB77" s="1277">
        <f>T77*0.988</f>
        <v>205.50399999999999</v>
      </c>
      <c r="AC77" s="244">
        <f>U77</f>
        <v>52</v>
      </c>
      <c r="AD77" s="244">
        <f>V77</f>
        <v>72.027972027972027</v>
      </c>
      <c r="AE77" s="241">
        <v>26</v>
      </c>
      <c r="AF77" s="244">
        <f t="shared" si="26"/>
        <v>117</v>
      </c>
      <c r="AG77" s="1281" t="s">
        <v>747</v>
      </c>
      <c r="AI77" s="1282">
        <f t="shared" ref="AI77:AI80" si="27">(9.81*(AJ77*(100%-(V77/100))+AK77*(V77/100))*(I77-L77)+N77*101.325+9.81*(AL77)*L77)/101.325</f>
        <v>37.73404973670889</v>
      </c>
      <c r="AJ77" s="1252">
        <v>0.90310000000000001</v>
      </c>
      <c r="AK77" s="1252">
        <v>1.018</v>
      </c>
      <c r="AL77" s="1252">
        <v>6.1000000000000004E-3</v>
      </c>
    </row>
    <row r="78" spans="1:38" ht="18.75" customHeight="1" x14ac:dyDescent="0.2">
      <c r="A78" s="1273">
        <v>66</v>
      </c>
      <c r="B78" s="1274" t="s">
        <v>424</v>
      </c>
      <c r="C78" s="241" t="s">
        <v>46</v>
      </c>
      <c r="D78" s="1506">
        <v>689.4</v>
      </c>
      <c r="E78" s="1506" t="s">
        <v>616</v>
      </c>
      <c r="F78" s="241">
        <v>177.8</v>
      </c>
      <c r="G78" s="241" t="s">
        <v>28</v>
      </c>
      <c r="H78" s="1299" t="s">
        <v>466</v>
      </c>
      <c r="I78" s="1506">
        <v>604.96</v>
      </c>
      <c r="J78" s="1506">
        <v>0</v>
      </c>
      <c r="K78" s="1506"/>
      <c r="L78" s="1319"/>
      <c r="M78" s="1506"/>
      <c r="N78" s="1278"/>
      <c r="O78" s="1506"/>
      <c r="P78" s="1278">
        <f t="shared" si="4"/>
        <v>47.576830678312362</v>
      </c>
      <c r="Q78" s="1278"/>
      <c r="R78" s="244"/>
      <c r="S78" s="244"/>
      <c r="T78" s="1319"/>
      <c r="U78" s="244"/>
      <c r="V78" s="1278"/>
      <c r="W78" s="1279"/>
      <c r="X78" s="1410">
        <v>0</v>
      </c>
      <c r="Y78" s="1277">
        <f t="shared" ref="Y78:Y80" si="28">IF(S78=0,0,S78/Q78)*100</f>
        <v>0</v>
      </c>
      <c r="Z78" s="244"/>
      <c r="AA78" s="244"/>
      <c r="AB78" s="1277"/>
      <c r="AC78" s="244"/>
      <c r="AD78" s="244"/>
      <c r="AE78" s="241"/>
      <c r="AF78" s="244"/>
      <c r="AG78" s="1281" t="s">
        <v>682</v>
      </c>
      <c r="AI78" s="1282">
        <f t="shared" si="27"/>
        <v>47.576830678312362</v>
      </c>
      <c r="AJ78" s="1252">
        <v>0.81230000000000002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67</v>
      </c>
      <c r="B79" s="1274" t="s">
        <v>567</v>
      </c>
      <c r="C79" s="241" t="s">
        <v>46</v>
      </c>
      <c r="D79" s="1506">
        <v>577.12</v>
      </c>
      <c r="E79" s="1506" t="s">
        <v>614</v>
      </c>
      <c r="F79" s="241">
        <v>177.8</v>
      </c>
      <c r="G79" s="241" t="s">
        <v>28</v>
      </c>
      <c r="H79" s="241" t="s">
        <v>464</v>
      </c>
      <c r="I79" s="1506">
        <v>537.30999999999995</v>
      </c>
      <c r="J79" s="1506">
        <v>255</v>
      </c>
      <c r="K79" s="1506"/>
      <c r="L79" s="1319">
        <v>466</v>
      </c>
      <c r="M79" s="1506"/>
      <c r="N79" s="1278">
        <v>0</v>
      </c>
      <c r="O79" s="1506"/>
      <c r="P79" s="1278">
        <f t="shared" ref="P79:P80" si="29">AI79</f>
        <v>6.8292329901558109</v>
      </c>
      <c r="Q79" s="1278">
        <f>RIGHT(H79,(FIND("T",H79,1)-0))*J79/100</f>
        <v>35.700000000000003</v>
      </c>
      <c r="R79" s="244">
        <v>4.3099999999999996</v>
      </c>
      <c r="S79" s="244">
        <v>7.4660000000000002</v>
      </c>
      <c r="T79" s="1319">
        <v>6.0830000000000002</v>
      </c>
      <c r="U79" s="244">
        <f t="shared" ref="U79" si="30">IF(R79=0,0,T79/R79)</f>
        <v>1.4113689095127613</v>
      </c>
      <c r="V79" s="1278">
        <f t="shared" si="16"/>
        <v>42.271631395660336</v>
      </c>
      <c r="W79" s="1279">
        <v>0.2</v>
      </c>
      <c r="X79" s="1410">
        <v>255</v>
      </c>
      <c r="Y79" s="1277">
        <f t="shared" si="28"/>
        <v>20.913165266106443</v>
      </c>
      <c r="Z79" s="244">
        <f t="shared" ref="Z79:AB80" si="31">R79*0.988</f>
        <v>4.2582799999999992</v>
      </c>
      <c r="AA79" s="244">
        <f t="shared" si="31"/>
        <v>7.3764080000000005</v>
      </c>
      <c r="AB79" s="1277">
        <f t="shared" si="31"/>
        <v>6.0100040000000003</v>
      </c>
      <c r="AC79" s="244">
        <f>U79</f>
        <v>1.4113689095127613</v>
      </c>
      <c r="AD79" s="244">
        <v>24.363</v>
      </c>
      <c r="AE79" s="241">
        <f t="shared" si="15"/>
        <v>28</v>
      </c>
      <c r="AF79" s="244">
        <f>Z79*AE79</f>
        <v>119.23183999999998</v>
      </c>
      <c r="AG79" s="1281"/>
      <c r="AI79" s="1282">
        <f t="shared" si="27"/>
        <v>6.8292329901558109</v>
      </c>
      <c r="AJ79" s="1252">
        <v>0.89900000000000002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68</v>
      </c>
      <c r="B80" s="1274" t="s">
        <v>172</v>
      </c>
      <c r="C80" s="241" t="s">
        <v>46</v>
      </c>
      <c r="D80" s="241">
        <v>673.05</v>
      </c>
      <c r="E80" s="241" t="s">
        <v>615</v>
      </c>
      <c r="F80" s="241">
        <v>177.8</v>
      </c>
      <c r="G80" s="241" t="s">
        <v>28</v>
      </c>
      <c r="H80" s="241" t="s">
        <v>464</v>
      </c>
      <c r="I80" s="1506">
        <v>576.27</v>
      </c>
      <c r="J80" s="1448">
        <v>130</v>
      </c>
      <c r="K80" s="241"/>
      <c r="L80" s="1277">
        <v>0</v>
      </c>
      <c r="M80" s="241"/>
      <c r="N80" s="1278">
        <v>5.4</v>
      </c>
      <c r="O80" s="241"/>
      <c r="P80" s="1278">
        <f t="shared" si="29"/>
        <v>61.737122209845424</v>
      </c>
      <c r="Q80" s="1278">
        <f>14*J80/100</f>
        <v>18.2</v>
      </c>
      <c r="R80" s="244">
        <v>2.004</v>
      </c>
      <c r="S80" s="244">
        <v>23.018999999999998</v>
      </c>
      <c r="T80" s="1277">
        <v>10.292</v>
      </c>
      <c r="U80" s="1278">
        <f t="shared" si="12"/>
        <v>5.1357285429141717</v>
      </c>
      <c r="V80" s="1278">
        <f t="shared" si="16"/>
        <v>91.294148312263772</v>
      </c>
      <c r="W80" s="1279">
        <v>0.5</v>
      </c>
      <c r="X80" s="1449">
        <v>130</v>
      </c>
      <c r="Y80" s="1277">
        <f t="shared" si="28"/>
        <v>126.47802197802199</v>
      </c>
      <c r="Z80" s="244">
        <f t="shared" si="31"/>
        <v>1.9799519999999999</v>
      </c>
      <c r="AA80" s="244">
        <f t="shared" si="31"/>
        <v>22.742771999999999</v>
      </c>
      <c r="AB80" s="1277">
        <f t="shared" si="31"/>
        <v>10.168495999999999</v>
      </c>
      <c r="AC80" s="244">
        <f>U80</f>
        <v>5.1357285429141717</v>
      </c>
      <c r="AD80" s="1277">
        <f>V80</f>
        <v>91.294148312263772</v>
      </c>
      <c r="AE80" s="241">
        <f t="shared" si="15"/>
        <v>28</v>
      </c>
      <c r="AF80" s="244">
        <f>Z80*AE80</f>
        <v>55.438655999999995</v>
      </c>
      <c r="AG80" s="1285"/>
      <c r="AI80" s="1282">
        <f t="shared" si="27"/>
        <v>61.737122209845424</v>
      </c>
      <c r="AJ80" s="1252">
        <v>0.92330000000000001</v>
      </c>
      <c r="AK80" s="1252">
        <v>1.018</v>
      </c>
      <c r="AL80" s="1252">
        <v>6.1000000000000004E-3</v>
      </c>
    </row>
    <row r="81" spans="1:38" ht="18.75" customHeight="1" x14ac:dyDescent="0.2">
      <c r="A81" s="1347"/>
      <c r="B81" s="241"/>
      <c r="C81" s="241"/>
      <c r="D81" s="1506"/>
      <c r="E81" s="1506"/>
      <c r="F81" s="1274"/>
      <c r="G81" s="241"/>
      <c r="H81" s="241"/>
      <c r="I81" s="1506"/>
      <c r="J81" s="1506"/>
      <c r="K81" s="1506"/>
      <c r="L81" s="1506"/>
      <c r="M81" s="1506"/>
      <c r="N81" s="241"/>
      <c r="O81" s="1506"/>
      <c r="P81" s="1278"/>
      <c r="Q81" s="1269"/>
      <c r="R81" s="1348">
        <f>SUM(R13:R80)</f>
        <v>334.18700000000001</v>
      </c>
      <c r="S81" s="1348">
        <f>SUM(S13:S80)</f>
        <v>1026.9100000000001</v>
      </c>
      <c r="T81" s="1349">
        <f>SUM(T13:T80)</f>
        <v>4079.5860000000002</v>
      </c>
      <c r="U81" s="1348">
        <f>T81/R81</f>
        <v>12.207494606313231</v>
      </c>
      <c r="V81" s="1348"/>
      <c r="W81" s="1350"/>
      <c r="X81" s="1410"/>
      <c r="Y81" s="1348"/>
      <c r="Z81" s="1348">
        <f>SUM(Z13:Z80)</f>
        <v>332.58079600000008</v>
      </c>
      <c r="AA81" s="1348">
        <f>SUM(AA13:AA80)</f>
        <v>1015.0090359999999</v>
      </c>
      <c r="AB81" s="1351">
        <f>SUM(AB13:AB80)</f>
        <v>4030.6309679999995</v>
      </c>
      <c r="AC81" s="1348">
        <f>AB81/Z81</f>
        <v>12.119253476078633</v>
      </c>
      <c r="AD81" s="1348"/>
      <c r="AE81" s="1302"/>
      <c r="AF81" s="1348">
        <f>SUM(AF13:AF80)</f>
        <v>9228.8538160000007</v>
      </c>
      <c r="AG81" s="1281"/>
      <c r="AI81" s="1282"/>
    </row>
    <row r="82" spans="1:38" ht="18.75" customHeight="1" x14ac:dyDescent="0.2">
      <c r="A82" s="1347"/>
      <c r="B82" s="241"/>
      <c r="C82" s="241"/>
      <c r="D82" s="1506"/>
      <c r="E82" s="1506"/>
      <c r="F82" s="1274"/>
      <c r="G82" s="241"/>
      <c r="H82" s="241"/>
      <c r="I82" s="1506"/>
      <c r="J82" s="1506"/>
      <c r="K82" s="1506"/>
      <c r="L82" s="1506"/>
      <c r="M82" s="1506"/>
      <c r="N82" s="241"/>
      <c r="O82" s="1506"/>
      <c r="P82" s="1278"/>
      <c r="Q82" s="1269"/>
      <c r="R82" s="1348"/>
      <c r="S82" s="1348"/>
      <c r="T82" s="1349"/>
      <c r="U82" s="1348"/>
      <c r="V82" s="1348"/>
      <c r="W82" s="1350"/>
      <c r="X82" s="1410"/>
      <c r="Y82" s="1348"/>
      <c r="Z82" s="1348"/>
      <c r="AA82" s="1352"/>
      <c r="AB82" s="1351"/>
      <c r="AC82" s="1348"/>
      <c r="AD82" s="1348"/>
      <c r="AE82" s="1302"/>
      <c r="AF82" s="1348"/>
      <c r="AG82" s="1281"/>
      <c r="AI82" s="1282"/>
    </row>
    <row r="83" spans="1:38" ht="18.75" customHeight="1" x14ac:dyDescent="0.2">
      <c r="A83" s="1347"/>
      <c r="B83" s="241"/>
      <c r="C83" s="241"/>
      <c r="D83" s="1506"/>
      <c r="E83" s="1505" t="s">
        <v>388</v>
      </c>
      <c r="F83" s="1274"/>
      <c r="G83" s="241"/>
      <c r="H83" s="241"/>
      <c r="I83" s="1506"/>
      <c r="J83" s="1506"/>
      <c r="K83" s="1506"/>
      <c r="L83" s="1506"/>
      <c r="M83" s="1506"/>
      <c r="N83" s="241"/>
      <c r="O83" s="1506"/>
      <c r="P83" s="1278"/>
      <c r="Q83" s="1269"/>
      <c r="R83" s="1348"/>
      <c r="S83" s="1348"/>
      <c r="T83" s="1349"/>
      <c r="U83" s="1348"/>
      <c r="V83" s="1348"/>
      <c r="W83" s="1350"/>
      <c r="X83" s="1410"/>
      <c r="Y83" s="1348"/>
      <c r="Z83" s="1348"/>
      <c r="AA83" s="1352"/>
      <c r="AB83" s="1351"/>
      <c r="AC83" s="1348"/>
      <c r="AD83" s="1348"/>
      <c r="AE83" s="1302"/>
      <c r="AF83" s="1348"/>
      <c r="AG83" s="1281"/>
      <c r="AI83" s="1282"/>
    </row>
    <row r="84" spans="1:38" ht="18.75" customHeight="1" x14ac:dyDescent="0.2">
      <c r="A84" s="1273">
        <v>69</v>
      </c>
      <c r="B84" s="1274" t="s">
        <v>505</v>
      </c>
      <c r="C84" s="241" t="s">
        <v>445</v>
      </c>
      <c r="D84" s="1506">
        <v>737.21</v>
      </c>
      <c r="E84" s="1506" t="s">
        <v>507</v>
      </c>
      <c r="F84" s="241">
        <v>177.8</v>
      </c>
      <c r="G84" s="241" t="s">
        <v>28</v>
      </c>
      <c r="H84" s="1354" t="s">
        <v>466</v>
      </c>
      <c r="I84" s="1506">
        <v>680.94</v>
      </c>
      <c r="J84" s="1506"/>
      <c r="K84" s="1506"/>
      <c r="L84" s="1506"/>
      <c r="M84" s="1506"/>
      <c r="N84" s="241"/>
      <c r="O84" s="1506"/>
      <c r="P84" s="1278"/>
      <c r="Q84" s="1269"/>
      <c r="R84" s="244"/>
      <c r="S84" s="244"/>
      <c r="T84" s="1319"/>
      <c r="U84" s="244"/>
      <c r="V84" s="244"/>
      <c r="W84" s="1355"/>
      <c r="X84" s="1410"/>
      <c r="Y84" s="244">
        <f>IF(S84=0,0,S84/Q84)</f>
        <v>0</v>
      </c>
      <c r="Z84" s="244">
        <f t="shared" ref="Z84:AB87" si="32">R84*0.988</f>
        <v>0</v>
      </c>
      <c r="AA84" s="244">
        <f t="shared" si="32"/>
        <v>0</v>
      </c>
      <c r="AB84" s="1277">
        <f t="shared" si="32"/>
        <v>0</v>
      </c>
      <c r="AC84" s="244">
        <f t="shared" ref="AC84:AD87" si="33">U84</f>
        <v>0</v>
      </c>
      <c r="AD84" s="244">
        <f t="shared" si="33"/>
        <v>0</v>
      </c>
      <c r="AE84" s="241">
        <f>(DAY(EOMONTH($AH$11,0))-AH84)</f>
        <v>28</v>
      </c>
      <c r="AF84" s="244">
        <f>Z84*AE84</f>
        <v>0</v>
      </c>
      <c r="AG84" s="1281" t="s">
        <v>682</v>
      </c>
      <c r="AI84" s="1282">
        <f>(9.81*(AJ84*(100%-(V84/100))+AK84*(V84/100))*(I84-L84)+N84*101.325+9.81*(AL84)*L84)/101.325</f>
        <v>58.978012775129535</v>
      </c>
      <c r="AJ84" s="1252">
        <v>0.89459999999999995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70</v>
      </c>
      <c r="B85" s="1274" t="s">
        <v>504</v>
      </c>
      <c r="C85" s="241" t="s">
        <v>445</v>
      </c>
      <c r="D85" s="1506">
        <v>695.15</v>
      </c>
      <c r="E85" s="1506" t="s">
        <v>508</v>
      </c>
      <c r="F85" s="1274">
        <v>177.8</v>
      </c>
      <c r="G85" s="241" t="s">
        <v>28</v>
      </c>
      <c r="H85" s="241" t="s">
        <v>491</v>
      </c>
      <c r="I85" s="1506">
        <v>658.9</v>
      </c>
      <c r="J85" s="1506"/>
      <c r="K85" s="1506"/>
      <c r="L85" s="1506"/>
      <c r="M85" s="1506"/>
      <c r="N85" s="241"/>
      <c r="O85" s="1506"/>
      <c r="P85" s="1278"/>
      <c r="Q85" s="1269"/>
      <c r="R85" s="244"/>
      <c r="S85" s="244"/>
      <c r="T85" s="1319"/>
      <c r="U85" s="244"/>
      <c r="V85" s="244"/>
      <c r="W85" s="1355"/>
      <c r="X85" s="1410"/>
      <c r="Y85" s="244">
        <f>IF(S85=0,0,S85/Q85)</f>
        <v>0</v>
      </c>
      <c r="Z85" s="244">
        <f t="shared" si="32"/>
        <v>0</v>
      </c>
      <c r="AA85" s="244">
        <f t="shared" si="32"/>
        <v>0</v>
      </c>
      <c r="AB85" s="1277">
        <f t="shared" si="32"/>
        <v>0</v>
      </c>
      <c r="AC85" s="244">
        <f t="shared" si="33"/>
        <v>0</v>
      </c>
      <c r="AD85" s="244">
        <f t="shared" si="33"/>
        <v>0</v>
      </c>
      <c r="AE85" s="241">
        <f>(DAY(EOMONTH($AH$11,0))-AH85)</f>
        <v>28</v>
      </c>
      <c r="AF85" s="244">
        <f>Z85*AE85</f>
        <v>0</v>
      </c>
      <c r="AG85" s="1281" t="s">
        <v>682</v>
      </c>
      <c r="AI85" s="1282">
        <f>(9.81*(AJ85*(100%-(V85/100))+AK85*(V85/100))*(I85-L85)+N85*101.325+9.81*(AL85)*L85)/101.325</f>
        <v>57.069070134715027</v>
      </c>
      <c r="AJ85" s="1252">
        <v>0.89459999999999995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71</v>
      </c>
      <c r="B86" s="1317" t="s">
        <v>220</v>
      </c>
      <c r="C86" s="241" t="s">
        <v>445</v>
      </c>
      <c r="D86" s="1506">
        <v>685.69</v>
      </c>
      <c r="E86" s="1506" t="s">
        <v>579</v>
      </c>
      <c r="F86" s="241">
        <v>177.8</v>
      </c>
      <c r="G86" s="241" t="s">
        <v>28</v>
      </c>
      <c r="H86" s="1299" t="s">
        <v>466</v>
      </c>
      <c r="I86" s="1506">
        <v>639.97</v>
      </c>
      <c r="J86" s="1506"/>
      <c r="K86" s="1506"/>
      <c r="L86" s="1506"/>
      <c r="M86" s="1506"/>
      <c r="N86" s="241"/>
      <c r="O86" s="1506"/>
      <c r="P86" s="1278"/>
      <c r="Q86" s="1269"/>
      <c r="R86" s="1356"/>
      <c r="S86" s="1356"/>
      <c r="T86" s="1356"/>
      <c r="U86" s="1356"/>
      <c r="V86" s="1356"/>
      <c r="W86" s="1357"/>
      <c r="X86" s="1410"/>
      <c r="Y86" s="244">
        <f>IF(S86=0,0,S86/Q86)</f>
        <v>0</v>
      </c>
      <c r="Z86" s="244">
        <f t="shared" si="32"/>
        <v>0</v>
      </c>
      <c r="AA86" s="244">
        <f t="shared" si="32"/>
        <v>0</v>
      </c>
      <c r="AB86" s="1277">
        <f t="shared" si="32"/>
        <v>0</v>
      </c>
      <c r="AC86" s="244">
        <f t="shared" si="33"/>
        <v>0</v>
      </c>
      <c r="AD86" s="244">
        <f t="shared" si="33"/>
        <v>0</v>
      </c>
      <c r="AE86" s="241">
        <f t="shared" ref="AE86:AE87" si="34">(DAY(EOMONTH($AH$11,0))-AH86)</f>
        <v>28</v>
      </c>
      <c r="AF86" s="244">
        <f t="shared" ref="AF86:AF87" si="35">Z86*AE86</f>
        <v>0</v>
      </c>
      <c r="AG86" s="1281" t="s">
        <v>682</v>
      </c>
      <c r="AI86" s="1282">
        <f>(9.81*(AJ86*(100%-(V86/100))+AK86*(V86/100))*(I86-L86)+N86*101.325+9.81*(AL86)*L86)/101.325</f>
        <v>55.429492812435235</v>
      </c>
      <c r="AJ86" s="1252">
        <v>0.89459999999999995</v>
      </c>
      <c r="AK86" s="1252">
        <v>1.018</v>
      </c>
      <c r="AL86" s="1252">
        <v>6.1000000000000004E-3</v>
      </c>
    </row>
    <row r="87" spans="1:38" ht="18.75" customHeight="1" x14ac:dyDescent="0.2">
      <c r="A87" s="1273">
        <v>72</v>
      </c>
      <c r="B87" s="1274" t="s">
        <v>465</v>
      </c>
      <c r="C87" s="241" t="s">
        <v>46</v>
      </c>
      <c r="D87" s="241">
        <v>571.91</v>
      </c>
      <c r="E87" s="241" t="s">
        <v>478</v>
      </c>
      <c r="F87" s="241">
        <v>177.8</v>
      </c>
      <c r="G87" s="241" t="s">
        <v>618</v>
      </c>
      <c r="H87" s="1303"/>
      <c r="I87" s="1506">
        <v>9.5</v>
      </c>
      <c r="J87" s="1506"/>
      <c r="K87" s="1506"/>
      <c r="L87" s="1506"/>
      <c r="M87" s="1506"/>
      <c r="N87" s="241"/>
      <c r="O87" s="1506"/>
      <c r="P87" s="1278"/>
      <c r="Q87" s="1269"/>
      <c r="R87" s="1348"/>
      <c r="S87" s="1348"/>
      <c r="T87" s="1349"/>
      <c r="U87" s="1348"/>
      <c r="V87" s="1348"/>
      <c r="W87" s="1350"/>
      <c r="X87" s="1410"/>
      <c r="Y87" s="244">
        <f>IF(S87=0,0,S87/Q87)</f>
        <v>0</v>
      </c>
      <c r="Z87" s="244">
        <f t="shared" si="32"/>
        <v>0</v>
      </c>
      <c r="AA87" s="244">
        <f t="shared" si="32"/>
        <v>0</v>
      </c>
      <c r="AB87" s="1277">
        <f t="shared" si="32"/>
        <v>0</v>
      </c>
      <c r="AC87" s="244">
        <f t="shared" si="33"/>
        <v>0</v>
      </c>
      <c r="AD87" s="244">
        <f t="shared" si="33"/>
        <v>0</v>
      </c>
      <c r="AE87" s="241">
        <f t="shared" si="34"/>
        <v>28</v>
      </c>
      <c r="AF87" s="244">
        <f t="shared" si="35"/>
        <v>0</v>
      </c>
      <c r="AG87" s="1281" t="s">
        <v>682</v>
      </c>
      <c r="AI87" s="1282">
        <f>(9.81*(AJ87*(100%-(V87/100))+AK87*(V87/100))*(I87-L87)+N87*101.325+9.81*(AL87)*L87)/101.325</f>
        <v>0.82282010362694302</v>
      </c>
      <c r="AJ87" s="1252">
        <v>0.89459999999999995</v>
      </c>
      <c r="AK87" s="1252">
        <v>1.018</v>
      </c>
      <c r="AL87" s="1252">
        <v>6.1000000000000004E-3</v>
      </c>
    </row>
    <row r="88" spans="1:38" ht="18.75" customHeight="1" x14ac:dyDescent="0.2">
      <c r="A88" s="1347"/>
      <c r="B88" s="1358"/>
      <c r="C88" s="1358"/>
      <c r="D88" s="1358"/>
      <c r="E88" s="1358"/>
      <c r="F88" s="1274"/>
      <c r="G88" s="241"/>
      <c r="H88" s="241"/>
      <c r="I88" s="241"/>
      <c r="J88" s="1506"/>
      <c r="K88" s="1506"/>
      <c r="L88" s="1506"/>
      <c r="M88" s="1506"/>
      <c r="N88" s="1506"/>
      <c r="O88" s="1506"/>
      <c r="P88" s="1269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48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59"/>
      <c r="B89" s="1358"/>
      <c r="C89" s="1358"/>
      <c r="D89" s="1358"/>
      <c r="E89" s="1360" t="s">
        <v>470</v>
      </c>
      <c r="F89" s="1274"/>
      <c r="G89" s="241"/>
      <c r="H89" s="241"/>
      <c r="I89" s="241"/>
      <c r="J89" s="1506"/>
      <c r="K89" s="1506"/>
      <c r="L89" s="1506"/>
      <c r="M89" s="1506"/>
      <c r="N89" s="1506"/>
      <c r="O89" s="1506"/>
      <c r="P89" s="1269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48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73</v>
      </c>
      <c r="B90" s="241" t="s">
        <v>582</v>
      </c>
      <c r="C90" s="1316" t="s">
        <v>344</v>
      </c>
      <c r="D90" s="241">
        <v>371.11</v>
      </c>
      <c r="E90" s="1318" t="s">
        <v>583</v>
      </c>
      <c r="F90" s="241">
        <v>177.8</v>
      </c>
      <c r="G90" s="241" t="s">
        <v>28</v>
      </c>
      <c r="H90" s="1299" t="s">
        <v>584</v>
      </c>
      <c r="I90" s="1506">
        <v>183.38</v>
      </c>
      <c r="J90" s="1506">
        <v>0</v>
      </c>
      <c r="K90" s="241">
        <v>0</v>
      </c>
      <c r="L90" s="241"/>
      <c r="M90" s="241">
        <v>0</v>
      </c>
      <c r="N90" s="241"/>
      <c r="O90" s="241"/>
      <c r="P90" s="1278">
        <f t="shared" ref="P90:P95" si="36">AI90</f>
        <v>16.420982671798672</v>
      </c>
      <c r="Q90" s="1269">
        <f>(13*J90)/100</f>
        <v>0</v>
      </c>
      <c r="R90" s="244"/>
      <c r="S90" s="244">
        <v>0</v>
      </c>
      <c r="T90" s="244">
        <v>0</v>
      </c>
      <c r="U90" s="244">
        <f t="shared" ref="U90" si="37">IF(R90=0,0,T90/R90)</f>
        <v>0</v>
      </c>
      <c r="V90" s="1278">
        <v>0</v>
      </c>
      <c r="W90" s="1355">
        <v>0</v>
      </c>
      <c r="X90" s="1410">
        <v>0</v>
      </c>
      <c r="Y90" s="1277">
        <f>IF(S90=0,0,S90/Q90)*100</f>
        <v>0</v>
      </c>
      <c r="Z90" s="244">
        <f t="shared" ref="Z90:AB95" si="38">R90*0.988</f>
        <v>0</v>
      </c>
      <c r="AA90" s="244">
        <f t="shared" si="38"/>
        <v>0</v>
      </c>
      <c r="AB90" s="244">
        <f t="shared" si="38"/>
        <v>0</v>
      </c>
      <c r="AC90" s="244">
        <f>U90</f>
        <v>0</v>
      </c>
      <c r="AD90" s="244">
        <f>V90</f>
        <v>0</v>
      </c>
      <c r="AE90" s="241">
        <f>(DAY(EOMONTH($AH$11,0))-AH90)</f>
        <v>28</v>
      </c>
      <c r="AF90" s="244">
        <f t="shared" ref="AF90:AF95" si="39">Z90*AE90</f>
        <v>0</v>
      </c>
      <c r="AG90" s="1285"/>
      <c r="AI90" s="1282">
        <f t="shared" ref="AI90:AI95" si="40">(9.81*(AJ90*(100%-(V90/100))+AK90*(V90/100))*(I90-L90)+N90*101.325+9.81*(AL90)*L90)/101.325</f>
        <v>16.420982671798672</v>
      </c>
      <c r="AJ90" s="1252">
        <v>0.92490000000000006</v>
      </c>
      <c r="AK90" s="1252">
        <v>1</v>
      </c>
      <c r="AL90" s="1252">
        <v>6.1000000000000004E-3</v>
      </c>
    </row>
    <row r="91" spans="1:38" ht="18.75" customHeight="1" x14ac:dyDescent="0.2">
      <c r="A91" s="1273">
        <v>74</v>
      </c>
      <c r="B91" s="241" t="s">
        <v>131</v>
      </c>
      <c r="C91" s="1316" t="s">
        <v>344</v>
      </c>
      <c r="D91" s="241">
        <v>389.74</v>
      </c>
      <c r="E91" s="1318" t="s">
        <v>713</v>
      </c>
      <c r="F91" s="241">
        <v>177.8</v>
      </c>
      <c r="G91" s="241" t="s">
        <v>28</v>
      </c>
      <c r="H91" s="1299" t="s">
        <v>540</v>
      </c>
      <c r="I91" s="1506">
        <v>136.35</v>
      </c>
      <c r="J91" s="1506">
        <v>205</v>
      </c>
      <c r="K91" s="1506"/>
      <c r="L91" s="1319">
        <v>54</v>
      </c>
      <c r="M91" s="1506"/>
      <c r="N91" s="1278">
        <v>0.372</v>
      </c>
      <c r="O91" s="1506"/>
      <c r="P91" s="1278">
        <f t="shared" si="36"/>
        <v>8.0178023635570277</v>
      </c>
      <c r="Q91" s="1278">
        <f>(22*J91)/100</f>
        <v>45.1</v>
      </c>
      <c r="R91" s="244">
        <v>9.7469999999999999</v>
      </c>
      <c r="S91" s="244">
        <v>14.872</v>
      </c>
      <c r="T91" s="1319">
        <v>0</v>
      </c>
      <c r="U91" s="244">
        <f>T91/R91</f>
        <v>0</v>
      </c>
      <c r="V91" s="1278">
        <f t="shared" ref="V91:V94" si="41">(S91-R91)/S91*100</f>
        <v>34.460731576116196</v>
      </c>
      <c r="W91" s="1279">
        <v>0.2</v>
      </c>
      <c r="X91" s="1455">
        <v>205</v>
      </c>
      <c r="Y91" s="1277">
        <f t="shared" ref="Y91:Y99" si="42">IF(S91=0,0,S91/Q91)*100</f>
        <v>32.975609756097555</v>
      </c>
      <c r="Z91" s="244">
        <f t="shared" si="38"/>
        <v>9.6300360000000005</v>
      </c>
      <c r="AA91" s="244">
        <f t="shared" si="38"/>
        <v>14.693536</v>
      </c>
      <c r="AB91" s="244">
        <f t="shared" si="38"/>
        <v>0</v>
      </c>
      <c r="AC91" s="244">
        <f>U91</f>
        <v>0</v>
      </c>
      <c r="AD91" s="244">
        <f>V91</f>
        <v>34.460731576116196</v>
      </c>
      <c r="AE91" s="241">
        <f t="shared" ref="AE91:AE95" si="43">(DAY(EOMONTH($AH$11,0))-AH91)</f>
        <v>28</v>
      </c>
      <c r="AF91" s="244">
        <f>Z91*AE91</f>
        <v>269.641008</v>
      </c>
      <c r="AG91" s="1285"/>
      <c r="AI91" s="1282">
        <f t="shared" si="40"/>
        <v>8.0178023635570277</v>
      </c>
      <c r="AJ91" s="1252">
        <v>0.93130000000000002</v>
      </c>
      <c r="AK91" s="1252">
        <v>1</v>
      </c>
      <c r="AL91" s="1252">
        <v>6.1000000000000004E-3</v>
      </c>
    </row>
    <row r="92" spans="1:38" ht="32.25" customHeight="1" x14ac:dyDescent="0.2">
      <c r="A92" s="1273">
        <v>75</v>
      </c>
      <c r="B92" s="241" t="s">
        <v>132</v>
      </c>
      <c r="C92" s="1316" t="s">
        <v>313</v>
      </c>
      <c r="D92" s="241">
        <v>389.09</v>
      </c>
      <c r="E92" s="1318" t="s">
        <v>135</v>
      </c>
      <c r="F92" s="241">
        <v>177.8</v>
      </c>
      <c r="G92" s="241" t="s">
        <v>28</v>
      </c>
      <c r="H92" s="241" t="s">
        <v>485</v>
      </c>
      <c r="I92" s="1506">
        <v>130.11000000000001</v>
      </c>
      <c r="J92" s="1506">
        <v>250</v>
      </c>
      <c r="K92" s="1506"/>
      <c r="L92" s="1319">
        <v>86</v>
      </c>
      <c r="M92" s="1506"/>
      <c r="N92" s="1278">
        <v>0.29599999999999999</v>
      </c>
      <c r="O92" s="1506"/>
      <c r="P92" s="1278">
        <f t="shared" si="36"/>
        <v>4.3323286120294213</v>
      </c>
      <c r="Q92" s="1278">
        <f>(15*J92)/100</f>
        <v>37.5</v>
      </c>
      <c r="R92" s="244">
        <v>12.832000000000001</v>
      </c>
      <c r="S92" s="244">
        <v>13.148999999999999</v>
      </c>
      <c r="T92" s="1319">
        <v>0</v>
      </c>
      <c r="U92" s="244">
        <f>T92/R92</f>
        <v>0</v>
      </c>
      <c r="V92" s="1278">
        <f t="shared" si="41"/>
        <v>2.4108297208913108</v>
      </c>
      <c r="W92" s="1279">
        <v>0.2</v>
      </c>
      <c r="X92" s="1316">
        <v>250</v>
      </c>
      <c r="Y92" s="1277">
        <f t="shared" si="42"/>
        <v>35.063999999999993</v>
      </c>
      <c r="Z92" s="244">
        <f t="shared" si="38"/>
        <v>12.678016000000001</v>
      </c>
      <c r="AA92" s="244">
        <f t="shared" si="38"/>
        <v>12.991211999999999</v>
      </c>
      <c r="AB92" s="244">
        <f t="shared" si="38"/>
        <v>0</v>
      </c>
      <c r="AC92" s="244">
        <v>0</v>
      </c>
      <c r="AD92" s="244">
        <f>V92</f>
        <v>2.4108297208913108</v>
      </c>
      <c r="AE92" s="241">
        <f t="shared" si="43"/>
        <v>28</v>
      </c>
      <c r="AF92" s="244">
        <f t="shared" si="39"/>
        <v>354.98444800000004</v>
      </c>
      <c r="AG92" s="1285"/>
      <c r="AI92" s="1282">
        <f t="shared" si="40"/>
        <v>4.3323286120294213</v>
      </c>
      <c r="AJ92" s="1252">
        <v>0.93159999999999998</v>
      </c>
      <c r="AK92" s="1252">
        <v>1</v>
      </c>
      <c r="AL92" s="1252">
        <v>6.1000000000000004E-3</v>
      </c>
    </row>
    <row r="93" spans="1:38" ht="18.75" customHeight="1" x14ac:dyDescent="0.2">
      <c r="A93" s="1273">
        <v>76</v>
      </c>
      <c r="B93" s="241" t="s">
        <v>121</v>
      </c>
      <c r="C93" s="1316" t="s">
        <v>313</v>
      </c>
      <c r="D93" s="241">
        <v>389.57</v>
      </c>
      <c r="E93" s="241" t="s">
        <v>137</v>
      </c>
      <c r="F93" s="241">
        <v>177.8</v>
      </c>
      <c r="G93" s="241" t="s">
        <v>28</v>
      </c>
      <c r="H93" s="1303" t="s">
        <v>466</v>
      </c>
      <c r="I93" s="1506">
        <v>134.24</v>
      </c>
      <c r="J93" s="1506">
        <v>195</v>
      </c>
      <c r="K93" s="1506"/>
      <c r="L93" s="1319">
        <v>51</v>
      </c>
      <c r="M93" s="1506"/>
      <c r="N93" s="1278">
        <v>0.28799999999999998</v>
      </c>
      <c r="O93" s="1506"/>
      <c r="P93" s="1278">
        <f t="shared" si="36"/>
        <v>7.8919908163611359</v>
      </c>
      <c r="Q93" s="1278">
        <f>LEFT(H93,(FIND("E",H93,1)-1))*J93/100</f>
        <v>25.35</v>
      </c>
      <c r="R93" s="244">
        <v>8.3879999999999999</v>
      </c>
      <c r="S93" s="244">
        <v>9.5020000000000007</v>
      </c>
      <c r="T93" s="1319">
        <v>0</v>
      </c>
      <c r="U93" s="244">
        <v>0</v>
      </c>
      <c r="V93" s="1278">
        <f t="shared" si="41"/>
        <v>11.723847611029264</v>
      </c>
      <c r="W93" s="1279">
        <v>0.2</v>
      </c>
      <c r="X93" s="1316">
        <v>195</v>
      </c>
      <c r="Y93" s="1277">
        <f t="shared" si="42"/>
        <v>37.483234714003942</v>
      </c>
      <c r="Z93" s="244">
        <f t="shared" si="38"/>
        <v>8.2873439999999992</v>
      </c>
      <c r="AA93" s="244">
        <f t="shared" si="38"/>
        <v>9.3879760000000001</v>
      </c>
      <c r="AB93" s="244">
        <f t="shared" si="38"/>
        <v>0</v>
      </c>
      <c r="AC93" s="244">
        <v>0</v>
      </c>
      <c r="AD93" s="244">
        <v>47</v>
      </c>
      <c r="AE93" s="241">
        <f t="shared" si="43"/>
        <v>28</v>
      </c>
      <c r="AF93" s="244">
        <f t="shared" si="39"/>
        <v>232.04563199999998</v>
      </c>
      <c r="AG93" s="1281"/>
      <c r="AI93" s="1282">
        <f t="shared" si="40"/>
        <v>7.8919908163611359</v>
      </c>
      <c r="AJ93" s="1252">
        <v>0.93179999999999996</v>
      </c>
      <c r="AK93" s="1252">
        <v>1</v>
      </c>
      <c r="AL93" s="1252">
        <v>6.1000000000000004E-3</v>
      </c>
    </row>
    <row r="94" spans="1:38" ht="18.75" customHeight="1" x14ac:dyDescent="0.2">
      <c r="A94" s="1273">
        <v>77</v>
      </c>
      <c r="B94" s="241" t="s">
        <v>122</v>
      </c>
      <c r="C94" s="1316" t="s">
        <v>313</v>
      </c>
      <c r="D94" s="241">
        <v>391.06</v>
      </c>
      <c r="E94" s="241" t="s">
        <v>138</v>
      </c>
      <c r="F94" s="241">
        <v>177.8</v>
      </c>
      <c r="G94" s="241" t="s">
        <v>28</v>
      </c>
      <c r="H94" s="241" t="s">
        <v>588</v>
      </c>
      <c r="I94" s="244">
        <v>149.84</v>
      </c>
      <c r="J94" s="1506">
        <v>170</v>
      </c>
      <c r="K94" s="1506"/>
      <c r="L94" s="1319">
        <v>105</v>
      </c>
      <c r="M94" s="1506"/>
      <c r="N94" s="1278">
        <v>0.9</v>
      </c>
      <c r="O94" s="1506"/>
      <c r="P94" s="1278">
        <f t="shared" si="36"/>
        <v>5.0396314334376111</v>
      </c>
      <c r="Q94" s="1278">
        <f>(14*J94)/100</f>
        <v>23.8</v>
      </c>
      <c r="R94" s="244">
        <v>7.5739999999999998</v>
      </c>
      <c r="S94" s="244">
        <v>8.3759999999999994</v>
      </c>
      <c r="T94" s="1319">
        <v>0</v>
      </c>
      <c r="U94" s="244">
        <f>T94/R94</f>
        <v>0</v>
      </c>
      <c r="V94" s="1278">
        <f t="shared" si="41"/>
        <v>9.5749761222540553</v>
      </c>
      <c r="W94" s="1279">
        <v>0.2</v>
      </c>
      <c r="X94" s="1316">
        <v>170</v>
      </c>
      <c r="Y94" s="1277">
        <f t="shared" si="42"/>
        <v>35.193277310924366</v>
      </c>
      <c r="Z94" s="244">
        <f t="shared" si="38"/>
        <v>7.4831120000000002</v>
      </c>
      <c r="AA94" s="244">
        <f t="shared" si="38"/>
        <v>8.2754879999999993</v>
      </c>
      <c r="AB94" s="244">
        <f t="shared" si="38"/>
        <v>0</v>
      </c>
      <c r="AC94" s="244">
        <f>U94</f>
        <v>0</v>
      </c>
      <c r="AD94" s="244">
        <f>V94</f>
        <v>9.5749761222540553</v>
      </c>
      <c r="AE94" s="241">
        <f t="shared" si="43"/>
        <v>28</v>
      </c>
      <c r="AF94" s="244">
        <f t="shared" si="39"/>
        <v>209.52713600000001</v>
      </c>
      <c r="AG94" s="1363"/>
      <c r="AI94" s="1282">
        <f t="shared" si="40"/>
        <v>5.0396314334376111</v>
      </c>
      <c r="AJ94" s="1252">
        <v>0.93220000000000003</v>
      </c>
      <c r="AK94" s="1252">
        <v>1.006</v>
      </c>
      <c r="AL94" s="1252">
        <v>6.1000000000000004E-3</v>
      </c>
    </row>
    <row r="95" spans="1:38" ht="18.75" customHeight="1" x14ac:dyDescent="0.2">
      <c r="A95" s="1273">
        <v>78</v>
      </c>
      <c r="B95" s="241" t="s">
        <v>697</v>
      </c>
      <c r="C95" s="1316" t="s">
        <v>344</v>
      </c>
      <c r="D95" s="241">
        <v>383.1</v>
      </c>
      <c r="E95" s="241" t="s">
        <v>698</v>
      </c>
      <c r="F95" s="241">
        <v>177.8</v>
      </c>
      <c r="G95" s="241" t="s">
        <v>28</v>
      </c>
      <c r="H95" s="1299" t="s">
        <v>466</v>
      </c>
      <c r="I95" s="244">
        <v>206.52</v>
      </c>
      <c r="J95" s="241">
        <v>140</v>
      </c>
      <c r="K95" s="1302"/>
      <c r="L95" s="1277">
        <v>48</v>
      </c>
      <c r="M95" s="1302"/>
      <c r="N95" s="241">
        <v>1.2</v>
      </c>
      <c r="O95" s="1302"/>
      <c r="P95" s="1278">
        <f t="shared" si="36"/>
        <v>15.730559392619801</v>
      </c>
      <c r="Q95" s="1269">
        <f>(13*J95)/100</f>
        <v>18.2</v>
      </c>
      <c r="R95" s="244">
        <v>7.1520000000000001</v>
      </c>
      <c r="S95" s="244">
        <v>9.3759999999999994</v>
      </c>
      <c r="T95" s="244">
        <v>0</v>
      </c>
      <c r="U95" s="244">
        <f>T95/R95</f>
        <v>0</v>
      </c>
      <c r="V95" s="1278">
        <f>(S95-R95)/S95*100</f>
        <v>23.720136518771326</v>
      </c>
      <c r="W95" s="1355">
        <v>0.2</v>
      </c>
      <c r="X95" s="1316">
        <v>140</v>
      </c>
      <c r="Y95" s="1277">
        <f t="shared" si="42"/>
        <v>51.516483516483511</v>
      </c>
      <c r="Z95" s="244">
        <f t="shared" si="38"/>
        <v>7.0661760000000005</v>
      </c>
      <c r="AA95" s="244">
        <f t="shared" si="38"/>
        <v>9.2634879999999988</v>
      </c>
      <c r="AB95" s="244">
        <f t="shared" si="38"/>
        <v>0</v>
      </c>
      <c r="AC95" s="244">
        <f>U95</f>
        <v>0</v>
      </c>
      <c r="AD95" s="244">
        <f>V95</f>
        <v>23.720136518771326</v>
      </c>
      <c r="AE95" s="241">
        <f t="shared" si="43"/>
        <v>28</v>
      </c>
      <c r="AF95" s="244">
        <f t="shared" si="39"/>
        <v>197.85292800000002</v>
      </c>
      <c r="AG95" s="1363"/>
      <c r="AI95" s="1282">
        <f t="shared" si="40"/>
        <v>15.730559392619801</v>
      </c>
      <c r="AJ95" s="1252">
        <v>0.92779999999999996</v>
      </c>
      <c r="AK95" s="1252">
        <v>1</v>
      </c>
      <c r="AL95" s="1252">
        <v>6.1000000000000004E-3</v>
      </c>
    </row>
    <row r="96" spans="1:38" ht="18.75" customHeight="1" x14ac:dyDescent="0.2">
      <c r="A96" s="1273">
        <v>79</v>
      </c>
      <c r="B96" s="241" t="s">
        <v>188</v>
      </c>
      <c r="C96" s="1316" t="s">
        <v>344</v>
      </c>
      <c r="D96" s="241">
        <v>224.89</v>
      </c>
      <c r="E96" s="241" t="s">
        <v>385</v>
      </c>
      <c r="F96" s="241">
        <v>177.8</v>
      </c>
      <c r="G96" s="241" t="s">
        <v>28</v>
      </c>
      <c r="H96" s="241" t="s">
        <v>383</v>
      </c>
      <c r="I96" s="244">
        <v>144.54</v>
      </c>
      <c r="J96" s="241"/>
      <c r="K96" s="1302"/>
      <c r="L96" s="241"/>
      <c r="M96" s="1302"/>
      <c r="N96" s="241"/>
      <c r="O96" s="1302"/>
      <c r="P96" s="1278"/>
      <c r="Q96" s="1269"/>
      <c r="R96" s="244"/>
      <c r="S96" s="244"/>
      <c r="T96" s="244"/>
      <c r="U96" s="244"/>
      <c r="V96" s="244"/>
      <c r="W96" s="1355"/>
      <c r="X96" s="1316"/>
      <c r="Y96" s="1277">
        <f t="shared" si="42"/>
        <v>0</v>
      </c>
      <c r="Z96" s="244"/>
      <c r="AA96" s="244"/>
      <c r="AB96" s="244"/>
      <c r="AC96" s="244"/>
      <c r="AD96" s="244"/>
      <c r="AE96" s="241"/>
      <c r="AF96" s="244"/>
      <c r="AG96" s="1281" t="s">
        <v>682</v>
      </c>
    </row>
    <row r="97" spans="1:33" ht="18.75" customHeight="1" x14ac:dyDescent="0.2">
      <c r="A97" s="1273">
        <v>80</v>
      </c>
      <c r="B97" s="241" t="s">
        <v>186</v>
      </c>
      <c r="C97" s="1316" t="s">
        <v>346</v>
      </c>
      <c r="D97" s="241">
        <v>349.5</v>
      </c>
      <c r="E97" s="1274" t="s">
        <v>347</v>
      </c>
      <c r="F97" s="241">
        <v>177.8</v>
      </c>
      <c r="G97" s="241" t="s">
        <v>618</v>
      </c>
      <c r="H97" s="1299" t="s">
        <v>466</v>
      </c>
      <c r="I97" s="244">
        <v>9</v>
      </c>
      <c r="J97" s="241"/>
      <c r="K97" s="241"/>
      <c r="L97" s="241"/>
      <c r="M97" s="1302"/>
      <c r="N97" s="241"/>
      <c r="O97" s="1302"/>
      <c r="P97" s="1278"/>
      <c r="Q97" s="1269"/>
      <c r="R97" s="244"/>
      <c r="S97" s="244"/>
      <c r="T97" s="244"/>
      <c r="U97" s="244"/>
      <c r="V97" s="244"/>
      <c r="W97" s="1355"/>
      <c r="X97" s="1316"/>
      <c r="Y97" s="1277">
        <f t="shared" si="42"/>
        <v>0</v>
      </c>
      <c r="Z97" s="244"/>
      <c r="AA97" s="244"/>
      <c r="AB97" s="244"/>
      <c r="AC97" s="244"/>
      <c r="AD97" s="244"/>
      <c r="AE97" s="241"/>
      <c r="AF97" s="244"/>
      <c r="AG97" s="1281" t="s">
        <v>682</v>
      </c>
    </row>
    <row r="98" spans="1:33" ht="18.75" customHeight="1" x14ac:dyDescent="0.2">
      <c r="A98" s="1273">
        <v>81</v>
      </c>
      <c r="B98" s="241" t="s">
        <v>57</v>
      </c>
      <c r="C98" s="1316" t="s">
        <v>346</v>
      </c>
      <c r="D98" s="241">
        <v>376.58</v>
      </c>
      <c r="E98" s="1274" t="s">
        <v>568</v>
      </c>
      <c r="F98" s="241">
        <v>177.8</v>
      </c>
      <c r="G98" s="241" t="s">
        <v>28</v>
      </c>
      <c r="H98" s="1299" t="s">
        <v>466</v>
      </c>
      <c r="I98" s="1506">
        <v>131.13</v>
      </c>
      <c r="J98" s="1448">
        <v>0</v>
      </c>
      <c r="K98" s="241"/>
      <c r="L98" s="241">
        <v>0</v>
      </c>
      <c r="M98" s="241"/>
      <c r="N98" s="1278">
        <v>0</v>
      </c>
      <c r="O98" s="241"/>
      <c r="P98" s="1278">
        <v>15.793855791841201</v>
      </c>
      <c r="Q98" s="1278">
        <f>(32/100)*J98</f>
        <v>0</v>
      </c>
      <c r="R98" s="244"/>
      <c r="S98" s="244">
        <v>0</v>
      </c>
      <c r="T98" s="1277">
        <v>0</v>
      </c>
      <c r="U98" s="1278">
        <f t="shared" ref="U98:U99" si="44">IF(R98=0,0,T98/R98)</f>
        <v>0</v>
      </c>
      <c r="V98" s="1278">
        <v>0.5</v>
      </c>
      <c r="W98" s="1279">
        <v>0.3</v>
      </c>
      <c r="X98" s="1449">
        <v>0</v>
      </c>
      <c r="Y98" s="1277">
        <f t="shared" si="42"/>
        <v>0</v>
      </c>
      <c r="Z98" s="244"/>
      <c r="AA98" s="244"/>
      <c r="AB98" s="244"/>
      <c r="AC98" s="244"/>
      <c r="AD98" s="244"/>
      <c r="AE98" s="241"/>
      <c r="AF98" s="244"/>
      <c r="AG98" s="1281" t="s">
        <v>682</v>
      </c>
    </row>
    <row r="99" spans="1:33" ht="18.75" customHeight="1" x14ac:dyDescent="0.2">
      <c r="A99" s="1273">
        <v>82</v>
      </c>
      <c r="B99" s="241" t="s">
        <v>184</v>
      </c>
      <c r="C99" s="1316" t="s">
        <v>314</v>
      </c>
      <c r="D99" s="241">
        <v>422.78</v>
      </c>
      <c r="E99" s="1274" t="s">
        <v>573</v>
      </c>
      <c r="F99" s="241">
        <v>177.8</v>
      </c>
      <c r="G99" s="241" t="s">
        <v>28</v>
      </c>
      <c r="H99" s="1299" t="s">
        <v>466</v>
      </c>
      <c r="I99" s="1506">
        <v>209.37</v>
      </c>
      <c r="J99" s="1448">
        <v>0</v>
      </c>
      <c r="K99" s="241"/>
      <c r="L99" s="241">
        <v>0</v>
      </c>
      <c r="M99" s="241"/>
      <c r="N99" s="1278">
        <v>0</v>
      </c>
      <c r="O99" s="241"/>
      <c r="P99" s="1278">
        <v>15.793855791841201</v>
      </c>
      <c r="Q99" s="1278">
        <f>(32/100)*J99</f>
        <v>0</v>
      </c>
      <c r="R99" s="244"/>
      <c r="S99" s="244">
        <v>0</v>
      </c>
      <c r="T99" s="1277">
        <v>0</v>
      </c>
      <c r="U99" s="1278">
        <f t="shared" si="44"/>
        <v>0</v>
      </c>
      <c r="V99" s="1278">
        <v>0.3</v>
      </c>
      <c r="W99" s="1279">
        <v>0.3</v>
      </c>
      <c r="X99" s="1449">
        <v>0</v>
      </c>
      <c r="Y99" s="1277">
        <f t="shared" si="42"/>
        <v>0</v>
      </c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3" ht="18.75" customHeight="1" x14ac:dyDescent="0.2">
      <c r="A100" s="1347"/>
      <c r="B100" s="1364"/>
      <c r="C100" s="1365"/>
      <c r="D100" s="1365"/>
      <c r="E100" s="1366"/>
      <c r="F100" s="1506"/>
      <c r="G100" s="1504"/>
      <c r="H100" s="1505"/>
      <c r="I100" s="1505"/>
      <c r="J100" s="1506"/>
      <c r="K100" s="1506"/>
      <c r="L100" s="1506"/>
      <c r="M100" s="1506"/>
      <c r="N100" s="1506"/>
      <c r="O100" s="1506"/>
      <c r="P100" s="1269"/>
      <c r="Q100" s="1269"/>
      <c r="R100" s="1348">
        <f>SUM(R91:R97)</f>
        <v>45.692999999999998</v>
      </c>
      <c r="S100" s="1348">
        <f>SUM(S91:S97)</f>
        <v>55.274999999999999</v>
      </c>
      <c r="T100" s="1348">
        <f>SUM(T91:T94)</f>
        <v>0</v>
      </c>
      <c r="U100" s="1348">
        <f>SUM(U91:U94)</f>
        <v>0</v>
      </c>
      <c r="V100" s="1504"/>
      <c r="W100" s="1512"/>
      <c r="X100" s="1410"/>
      <c r="Y100" s="1504"/>
      <c r="Z100" s="1348">
        <f>SUM(Z91:Z97)</f>
        <v>45.144683999999998</v>
      </c>
      <c r="AA100" s="1348">
        <f>SUM(AA91:AA97)</f>
        <v>54.611699999999999</v>
      </c>
      <c r="AB100" s="1348">
        <f>SUM(AB91:AB94)</f>
        <v>0</v>
      </c>
      <c r="AC100" s="1348">
        <f>AB100/Z100</f>
        <v>0</v>
      </c>
      <c r="AD100" s="1504"/>
      <c r="AE100" s="1506"/>
      <c r="AF100" s="1348">
        <f>SUM(AF91:AF97)</f>
        <v>1264.051152</v>
      </c>
      <c r="AG100" s="1368"/>
    </row>
    <row r="101" spans="1:33" ht="18.75" customHeight="1" x14ac:dyDescent="0.2">
      <c r="A101" s="1347"/>
      <c r="B101" s="1364"/>
      <c r="C101" s="1365"/>
      <c r="D101" s="1365"/>
      <c r="E101" s="1366"/>
      <c r="F101" s="1302"/>
      <c r="G101" s="241"/>
      <c r="H101" s="241"/>
      <c r="I101" s="244"/>
      <c r="J101" s="241"/>
      <c r="K101" s="1302"/>
      <c r="L101" s="241"/>
      <c r="M101" s="1302"/>
      <c r="N101" s="1278"/>
      <c r="O101" s="1302"/>
      <c r="P101" s="1369"/>
      <c r="Q101" s="1369"/>
      <c r="R101" s="1348"/>
      <c r="S101" s="1348"/>
      <c r="T101" s="1348"/>
      <c r="U101" s="1348"/>
      <c r="V101" s="1348"/>
      <c r="W101" s="1350"/>
      <c r="X101" s="1316"/>
      <c r="Y101" s="1348"/>
      <c r="Z101" s="1348"/>
      <c r="AA101" s="1351"/>
      <c r="AB101" s="1348"/>
      <c r="AC101" s="1348"/>
      <c r="AD101" s="1348"/>
      <c r="AE101" s="1348"/>
      <c r="AF101" s="1348"/>
      <c r="AG101" s="1363"/>
    </row>
    <row r="102" spans="1:33" ht="18.75" customHeight="1" x14ac:dyDescent="0.2">
      <c r="A102" s="1347"/>
      <c r="B102" s="1370"/>
      <c r="C102" s="1371"/>
      <c r="D102" s="1371"/>
      <c r="E102" s="1262" t="s">
        <v>472</v>
      </c>
      <c r="F102" s="1371"/>
      <c r="G102" s="1504"/>
      <c r="H102" s="1505"/>
      <c r="I102" s="1505"/>
      <c r="J102" s="1506"/>
      <c r="K102" s="1506"/>
      <c r="L102" s="1506"/>
      <c r="M102" s="1506"/>
      <c r="N102" s="1506"/>
      <c r="O102" s="1506"/>
      <c r="P102" s="1269"/>
      <c r="Q102" s="1269"/>
      <c r="R102" s="1506"/>
      <c r="S102" s="1506"/>
      <c r="T102" s="1506"/>
      <c r="U102" s="1504"/>
      <c r="V102" s="1504"/>
      <c r="W102" s="1512"/>
      <c r="X102" s="1410"/>
      <c r="Y102" s="1504"/>
      <c r="Z102" s="1506"/>
      <c r="AA102" s="1506"/>
      <c r="AB102" s="1506"/>
      <c r="AC102" s="1504"/>
      <c r="AD102" s="1504"/>
      <c r="AE102" s="1506"/>
      <c r="AF102" s="1506"/>
      <c r="AG102" s="1503"/>
    </row>
    <row r="103" spans="1:33" ht="18.75" customHeight="1" x14ac:dyDescent="0.2">
      <c r="A103" s="1273">
        <v>83</v>
      </c>
      <c r="B103" s="1317" t="s">
        <v>107</v>
      </c>
      <c r="C103" s="1506" t="s">
        <v>109</v>
      </c>
      <c r="D103" s="1506"/>
      <c r="E103" s="1506"/>
      <c r="F103" s="1506"/>
      <c r="G103" s="1504"/>
      <c r="H103" s="1505"/>
      <c r="I103" s="1505"/>
      <c r="J103" s="1506"/>
      <c r="K103" s="1506"/>
      <c r="L103" s="1506"/>
      <c r="M103" s="1506"/>
      <c r="N103" s="1506"/>
      <c r="O103" s="1506"/>
      <c r="P103" s="1269"/>
      <c r="Q103" s="1269"/>
      <c r="R103" s="1506"/>
      <c r="S103" s="1506"/>
      <c r="T103" s="1506"/>
      <c r="U103" s="1504"/>
      <c r="V103" s="1504"/>
      <c r="W103" s="1512"/>
      <c r="X103" s="1410"/>
      <c r="Y103" s="1504"/>
      <c r="Z103" s="1505"/>
      <c r="AA103" s="1505"/>
      <c r="AB103" s="1506"/>
      <c r="AC103" s="1504"/>
      <c r="AD103" s="1504"/>
      <c r="AE103" s="1373"/>
      <c r="AF103" s="1506"/>
      <c r="AG103" s="1503"/>
    </row>
    <row r="104" spans="1:33" ht="18.75" customHeight="1" x14ac:dyDescent="0.2">
      <c r="A104" s="1273">
        <v>84</v>
      </c>
      <c r="B104" s="1317" t="s">
        <v>108</v>
      </c>
      <c r="C104" s="1506" t="s">
        <v>109</v>
      </c>
      <c r="D104" s="1506"/>
      <c r="E104" s="1506"/>
      <c r="F104" s="1506"/>
      <c r="G104" s="1504"/>
      <c r="H104" s="1505"/>
      <c r="I104" s="1505"/>
      <c r="J104" s="1506"/>
      <c r="K104" s="1506"/>
      <c r="L104" s="1506"/>
      <c r="M104" s="1506"/>
      <c r="N104" s="1506"/>
      <c r="O104" s="1506"/>
      <c r="P104" s="1269"/>
      <c r="Q104" s="1269"/>
      <c r="R104" s="1301"/>
      <c r="S104" s="1506"/>
      <c r="T104" s="1506"/>
      <c r="U104" s="1504"/>
      <c r="V104" s="1504"/>
      <c r="W104" s="1512"/>
      <c r="X104" s="1410"/>
      <c r="Y104" s="1504"/>
      <c r="Z104" s="1505"/>
      <c r="AA104" s="1505"/>
      <c r="AB104" s="1506"/>
      <c r="AC104" s="1504"/>
      <c r="AD104" s="1504"/>
      <c r="AE104" s="1373"/>
      <c r="AF104" s="1506"/>
      <c r="AG104" s="1503"/>
    </row>
    <row r="105" spans="1:33" ht="18.75" customHeight="1" x14ac:dyDescent="0.2">
      <c r="A105" s="1273">
        <v>85</v>
      </c>
      <c r="B105" s="1317" t="s">
        <v>195</v>
      </c>
      <c r="C105" s="1316" t="s">
        <v>484</v>
      </c>
      <c r="D105" s="1506"/>
      <c r="E105" s="1506"/>
      <c r="F105" s="1506"/>
      <c r="G105" s="1504"/>
      <c r="H105" s="1505"/>
      <c r="I105" s="1505"/>
      <c r="J105" s="1506"/>
      <c r="K105" s="1506"/>
      <c r="L105" s="1506"/>
      <c r="M105" s="1506"/>
      <c r="N105" s="1506"/>
      <c r="O105" s="1506"/>
      <c r="P105" s="1269"/>
      <c r="Q105" s="1269"/>
      <c r="R105" s="1506"/>
      <c r="S105" s="1506"/>
      <c r="T105" s="1506"/>
      <c r="U105" s="1504"/>
      <c r="V105" s="1504"/>
      <c r="W105" s="1512"/>
      <c r="X105" s="1410"/>
      <c r="Y105" s="1504"/>
      <c r="Z105" s="1505"/>
      <c r="AA105" s="1505"/>
      <c r="AB105" s="1506"/>
      <c r="AC105" s="1504"/>
      <c r="AD105" s="1504"/>
      <c r="AE105" s="1373"/>
      <c r="AF105" s="1506"/>
      <c r="AG105" s="1285"/>
    </row>
    <row r="106" spans="1:33" ht="18.75" customHeight="1" x14ac:dyDescent="0.2">
      <c r="A106" s="1273">
        <v>86</v>
      </c>
      <c r="B106" s="1317" t="s">
        <v>192</v>
      </c>
      <c r="C106" s="1316" t="s">
        <v>484</v>
      </c>
      <c r="D106" s="1506"/>
      <c r="E106" s="1506"/>
      <c r="F106" s="1506"/>
      <c r="G106" s="1504"/>
      <c r="H106" s="1505"/>
      <c r="I106" s="1505"/>
      <c r="J106" s="1506"/>
      <c r="K106" s="1506"/>
      <c r="L106" s="1506"/>
      <c r="M106" s="1506"/>
      <c r="N106" s="1506"/>
      <c r="O106" s="1506"/>
      <c r="P106" s="1269"/>
      <c r="Q106" s="1269"/>
      <c r="R106" s="1506"/>
      <c r="S106" s="1506"/>
      <c r="T106" s="1506"/>
      <c r="U106" s="1504"/>
      <c r="V106" s="1504"/>
      <c r="W106" s="1512"/>
      <c r="X106" s="1410"/>
      <c r="Y106" s="1504"/>
      <c r="Z106" s="1505"/>
      <c r="AA106" s="1505"/>
      <c r="AB106" s="1506"/>
      <c r="AC106" s="1504"/>
      <c r="AD106" s="1504"/>
      <c r="AE106" s="1373"/>
      <c r="AF106" s="1506"/>
      <c r="AG106" s="1285"/>
    </row>
    <row r="107" spans="1:33" ht="18.75" customHeight="1" x14ac:dyDescent="0.2">
      <c r="A107" s="1273"/>
      <c r="B107" s="1262"/>
      <c r="C107" s="1371"/>
      <c r="D107" s="1371"/>
      <c r="E107" s="1505" t="s">
        <v>278</v>
      </c>
      <c r="F107" s="1371"/>
      <c r="G107" s="1504"/>
      <c r="H107" s="1505"/>
      <c r="I107" s="1505"/>
      <c r="J107" s="1506"/>
      <c r="K107" s="1506"/>
      <c r="L107" s="1506"/>
      <c r="M107" s="1506"/>
      <c r="N107" s="1506"/>
      <c r="O107" s="1506"/>
      <c r="P107" s="1269"/>
      <c r="Q107" s="1269"/>
      <c r="R107" s="1506"/>
      <c r="S107" s="1506"/>
      <c r="T107" s="1506"/>
      <c r="U107" s="1504"/>
      <c r="V107" s="1504"/>
      <c r="W107" s="1512"/>
      <c r="X107" s="1410"/>
      <c r="Y107" s="1504"/>
      <c r="Z107" s="1301"/>
      <c r="AA107" s="1506"/>
      <c r="AB107" s="1506"/>
      <c r="AC107" s="1504"/>
      <c r="AD107" s="1504"/>
      <c r="AE107" s="1506"/>
      <c r="AF107" s="1506"/>
      <c r="AG107" s="1503"/>
    </row>
    <row r="108" spans="1:33" ht="18.75" customHeight="1" x14ac:dyDescent="0.25">
      <c r="A108" s="1273">
        <v>87</v>
      </c>
      <c r="B108" s="1274" t="s">
        <v>181</v>
      </c>
      <c r="C108" s="1374" t="s">
        <v>344</v>
      </c>
      <c r="D108" s="241">
        <v>374.5</v>
      </c>
      <c r="E108" s="241" t="s">
        <v>182</v>
      </c>
      <c r="F108" s="241">
        <v>177.8</v>
      </c>
      <c r="G108" s="241"/>
      <c r="H108" s="241"/>
      <c r="I108" s="1506"/>
      <c r="J108" s="241"/>
      <c r="K108" s="241"/>
      <c r="L108" s="241"/>
      <c r="M108" s="241"/>
      <c r="N108" s="1278"/>
      <c r="O108" s="241"/>
      <c r="P108" s="244"/>
      <c r="Q108" s="1278"/>
      <c r="R108" s="244"/>
      <c r="S108" s="244"/>
      <c r="T108" s="244"/>
      <c r="U108" s="244"/>
      <c r="V108" s="244"/>
      <c r="W108" s="1355"/>
      <c r="X108" s="1316"/>
      <c r="Y108" s="1375"/>
      <c r="Z108" s="244"/>
      <c r="AA108" s="244"/>
      <c r="AB108" s="244"/>
      <c r="AC108" s="244"/>
      <c r="AD108" s="244"/>
      <c r="AE108" s="241"/>
      <c r="AF108" s="244"/>
      <c r="AG108" s="1285"/>
    </row>
    <row r="109" spans="1:33" ht="18.75" customHeight="1" x14ac:dyDescent="0.2">
      <c r="A109" s="1273">
        <v>88</v>
      </c>
      <c r="B109" s="1317" t="s">
        <v>160</v>
      </c>
      <c r="C109" s="241" t="s">
        <v>46</v>
      </c>
      <c r="D109" s="1506">
        <v>625.1</v>
      </c>
      <c r="E109" s="1506" t="s">
        <v>578</v>
      </c>
      <c r="F109" s="241">
        <v>177.8</v>
      </c>
      <c r="G109" s="241"/>
      <c r="H109" s="241"/>
      <c r="I109" s="244"/>
      <c r="J109" s="1506"/>
      <c r="K109" s="1506"/>
      <c r="L109" s="1506"/>
      <c r="M109" s="1506"/>
      <c r="N109" s="1506"/>
      <c r="O109" s="1506"/>
      <c r="P109" s="1269"/>
      <c r="Q109" s="1269"/>
      <c r="R109" s="1506"/>
      <c r="S109" s="1506"/>
      <c r="T109" s="1506"/>
      <c r="U109" s="1504"/>
      <c r="V109" s="1504"/>
      <c r="W109" s="1512"/>
      <c r="X109" s="1410"/>
      <c r="Y109" s="1376"/>
      <c r="Z109" s="1319"/>
      <c r="AA109" s="1506"/>
      <c r="AB109" s="1506"/>
      <c r="AC109" s="1504"/>
      <c r="AD109" s="1506"/>
      <c r="AE109" s="1373"/>
      <c r="AF109" s="1301"/>
      <c r="AG109" s="1285"/>
    </row>
    <row r="110" spans="1:33" ht="18.75" customHeight="1" x14ac:dyDescent="0.2">
      <c r="A110" s="1273"/>
      <c r="B110" s="1356"/>
      <c r="C110" s="1356"/>
      <c r="D110" s="1356"/>
      <c r="E110" s="1356"/>
      <c r="F110" s="1356"/>
      <c r="G110" s="241"/>
      <c r="H110" s="241"/>
      <c r="I110" s="1506"/>
      <c r="J110" s="1506"/>
      <c r="K110" s="1506"/>
      <c r="L110" s="1506"/>
      <c r="M110" s="1506"/>
      <c r="N110" s="1506"/>
      <c r="O110" s="1506"/>
      <c r="P110" s="1269"/>
      <c r="Q110" s="1270"/>
      <c r="R110" s="1506"/>
      <c r="S110" s="1506"/>
      <c r="T110" s="1506"/>
      <c r="U110" s="1504"/>
      <c r="V110" s="1504"/>
      <c r="W110" s="1512"/>
      <c r="X110" s="1410"/>
      <c r="Y110" s="1376"/>
      <c r="Z110" s="1319"/>
      <c r="AA110" s="1506"/>
      <c r="AB110" s="1506"/>
      <c r="AC110" s="1504"/>
      <c r="AD110" s="1506"/>
      <c r="AE110" s="1373"/>
      <c r="AF110" s="1301"/>
      <c r="AG110" s="1285"/>
    </row>
    <row r="111" spans="1:33" ht="18.75" customHeight="1" x14ac:dyDescent="0.2">
      <c r="A111" s="1273"/>
      <c r="B111" s="1274"/>
      <c r="C111" s="241"/>
      <c r="D111" s="241"/>
      <c r="E111" s="241"/>
      <c r="F111" s="241"/>
      <c r="G111" s="241"/>
      <c r="H111" s="241"/>
      <c r="I111" s="1506"/>
      <c r="J111" s="241"/>
      <c r="K111" s="241"/>
      <c r="L111" s="241"/>
      <c r="M111" s="241"/>
      <c r="N111" s="1278"/>
      <c r="O111" s="241"/>
      <c r="P111" s="244"/>
      <c r="Q111" s="1377"/>
      <c r="R111" s="244"/>
      <c r="S111" s="244"/>
      <c r="T111" s="244"/>
      <c r="U111" s="244"/>
      <c r="V111" s="244"/>
      <c r="W111" s="1355"/>
      <c r="X111" s="1316"/>
      <c r="Y111" s="1375"/>
      <c r="Z111" s="244"/>
      <c r="AA111" s="244"/>
      <c r="AB111" s="244"/>
      <c r="AC111" s="244"/>
      <c r="AD111" s="244"/>
      <c r="AE111" s="241"/>
      <c r="AF111" s="244"/>
      <c r="AG111" s="1285"/>
    </row>
    <row r="112" spans="1:33" ht="15" x14ac:dyDescent="0.2">
      <c r="A112" s="1359"/>
      <c r="B112" s="241"/>
      <c r="C112" s="241"/>
      <c r="D112" s="241"/>
      <c r="E112" s="1274"/>
      <c r="F112" s="241"/>
      <c r="G112" s="241"/>
      <c r="H112" s="241"/>
      <c r="I112" s="1506"/>
      <c r="J112" s="241"/>
      <c r="K112" s="241"/>
      <c r="L112" s="241"/>
      <c r="M112" s="241"/>
      <c r="N112" s="1278"/>
      <c r="O112" s="241"/>
      <c r="P112" s="244"/>
      <c r="Q112" s="1377"/>
      <c r="R112" s="244"/>
      <c r="S112" s="244"/>
      <c r="T112" s="244"/>
      <c r="U112" s="244"/>
      <c r="V112" s="244"/>
      <c r="W112" s="1355"/>
      <c r="X112" s="1316"/>
      <c r="Y112" s="1375"/>
      <c r="Z112" s="244"/>
      <c r="AA112" s="244"/>
      <c r="AB112" s="244"/>
      <c r="AC112" s="244"/>
      <c r="AD112" s="244"/>
      <c r="AE112" s="241"/>
      <c r="AF112" s="244"/>
      <c r="AG112" s="1285"/>
    </row>
    <row r="113" spans="1:33" ht="15.75" thickBot="1" x14ac:dyDescent="0.25">
      <c r="A113" s="1378"/>
      <c r="B113" s="1508"/>
      <c r="C113" s="1508"/>
      <c r="D113" s="1508"/>
      <c r="E113" s="1509"/>
      <c r="F113" s="1379"/>
      <c r="G113" s="1380"/>
      <c r="H113" s="1380"/>
      <c r="I113" s="1381"/>
      <c r="J113" s="1380"/>
      <c r="K113" s="1379"/>
      <c r="L113" s="1380"/>
      <c r="M113" s="1379"/>
      <c r="N113" s="1383"/>
      <c r="O113" s="1379"/>
      <c r="P113" s="1384"/>
      <c r="Q113" s="1385"/>
      <c r="R113" s="1386">
        <f>R81+R88+R100</f>
        <v>379.88</v>
      </c>
      <c r="S113" s="1386">
        <f>S81+S88+S100</f>
        <v>1082.1850000000002</v>
      </c>
      <c r="T113" s="1387">
        <f>T81+T88+T100</f>
        <v>4079.5860000000002</v>
      </c>
      <c r="U113" s="1386">
        <f>T113/R113</f>
        <v>10.73914394019164</v>
      </c>
      <c r="V113" s="1386"/>
      <c r="W113" s="1388"/>
      <c r="X113" s="1456"/>
      <c r="Y113" s="1386"/>
      <c r="Z113" s="1386">
        <f>Z81+Z88+Z100</f>
        <v>377.72548000000006</v>
      </c>
      <c r="AA113" s="1386">
        <f>AA81+AA100+AA88</f>
        <v>1069.6207359999999</v>
      </c>
      <c r="AB113" s="1387">
        <f>AB81+AB100+AB88</f>
        <v>4030.6309679999995</v>
      </c>
      <c r="AC113" s="1386">
        <f>AC81+AC100+AC88</f>
        <v>12.119253476078633</v>
      </c>
      <c r="AD113" s="1386"/>
      <c r="AE113" s="1386"/>
      <c r="AF113" s="1390">
        <f>AF81+AF88+AF100</f>
        <v>10492.904968000001</v>
      </c>
      <c r="AG113" s="1391"/>
    </row>
    <row r="114" spans="1:33" ht="15" x14ac:dyDescent="0.2">
      <c r="B114" s="254"/>
      <c r="C114" s="254"/>
      <c r="D114" s="254"/>
      <c r="E114" s="254"/>
      <c r="F114" s="254"/>
      <c r="G114" s="255"/>
      <c r="H114" s="256"/>
      <c r="I114" s="256"/>
      <c r="J114" s="254"/>
      <c r="K114" s="254"/>
      <c r="L114" s="254"/>
      <c r="M114" s="254"/>
      <c r="N114" s="254"/>
      <c r="O114" s="254"/>
      <c r="P114" s="257"/>
      <c r="Q114" s="1393"/>
      <c r="R114" s="254"/>
      <c r="S114" s="254"/>
      <c r="T114" s="254"/>
      <c r="U114" s="255"/>
      <c r="V114" s="255"/>
      <c r="W114" s="255"/>
      <c r="X114" s="254"/>
      <c r="Y114" s="255"/>
      <c r="Z114" s="254"/>
      <c r="AA114" s="254"/>
      <c r="AB114" s="254"/>
      <c r="AC114" s="255"/>
      <c r="AD114" s="255"/>
      <c r="AE114" s="254"/>
      <c r="AF114" s="254"/>
      <c r="AG114" s="256"/>
    </row>
    <row r="115" spans="1:33" ht="15" x14ac:dyDescent="0.2">
      <c r="B115" s="148"/>
      <c r="C115" s="1507"/>
      <c r="D115" s="148"/>
      <c r="E115" s="1394">
        <f>AN13/(AO13*AM13*24)</f>
        <v>0.9890485491071429</v>
      </c>
      <c r="F115" s="148"/>
      <c r="G115" s="148" t="s">
        <v>102</v>
      </c>
      <c r="H115" s="1507"/>
      <c r="I115" s="1395"/>
      <c r="J115" s="148"/>
      <c r="K115" s="1983">
        <f>AF113*E115</f>
        <v>10377.992434519532</v>
      </c>
      <c r="L115" s="1984"/>
      <c r="M115" s="1984"/>
      <c r="N115" s="1507" t="s">
        <v>27</v>
      </c>
      <c r="O115" s="254"/>
      <c r="P115" s="257"/>
      <c r="Q115" s="1393"/>
      <c r="R115" s="254"/>
      <c r="S115" s="254"/>
      <c r="T115" s="254"/>
      <c r="U115" s="255"/>
      <c r="V115" s="255"/>
      <c r="W115" s="255"/>
      <c r="X115" s="148"/>
      <c r="Y115" s="255"/>
      <c r="Z115" s="254"/>
      <c r="AA115" s="254"/>
      <c r="AB115" s="254"/>
      <c r="AC115" s="255"/>
      <c r="AD115" s="255"/>
      <c r="AE115" s="254"/>
      <c r="AF115" s="258"/>
      <c r="AG115" s="256"/>
    </row>
    <row r="116" spans="1:33" ht="15" x14ac:dyDescent="0.2">
      <c r="B116" s="148"/>
      <c r="C116" s="1507"/>
      <c r="D116" s="148"/>
      <c r="E116" s="154"/>
      <c r="F116" s="148"/>
      <c r="G116" s="148" t="s">
        <v>733</v>
      </c>
      <c r="H116" s="1507"/>
      <c r="I116" s="1395"/>
      <c r="J116" s="148"/>
      <c r="K116" s="1507"/>
      <c r="L116" s="1397"/>
      <c r="M116" s="148">
        <f>K115*0.89</f>
        <v>9236.4132667223839</v>
      </c>
      <c r="N116" s="148" t="s">
        <v>734</v>
      </c>
      <c r="O116" s="148"/>
      <c r="P116" s="1398"/>
      <c r="Q116" s="1399"/>
      <c r="R116" s="148"/>
      <c r="S116" s="148"/>
      <c r="T116" s="148"/>
      <c r="U116" s="148"/>
      <c r="V116" s="148"/>
      <c r="W116" s="148"/>
      <c r="X116" s="148"/>
      <c r="Y116" s="1511"/>
      <c r="Z116" s="1511"/>
      <c r="AA116" s="150"/>
      <c r="AB116" s="1511"/>
      <c r="AC116" s="1511"/>
      <c r="AD116" s="1511"/>
      <c r="AE116" s="1511"/>
      <c r="AF116" s="1511"/>
      <c r="AG116" s="1400"/>
    </row>
    <row r="117" spans="1:33" ht="15" x14ac:dyDescent="0.2">
      <c r="B117" s="148"/>
      <c r="C117" s="1507"/>
      <c r="D117" s="148"/>
      <c r="E117" s="154"/>
      <c r="F117" s="148"/>
      <c r="G117" s="148"/>
      <c r="H117" s="1507"/>
      <c r="I117" s="1395"/>
      <c r="J117" s="148"/>
      <c r="K117" s="1507"/>
      <c r="L117" s="1397"/>
      <c r="M117" s="148"/>
      <c r="N117" s="148"/>
      <c r="O117" s="148"/>
      <c r="P117" s="1398"/>
      <c r="Q117" s="1399"/>
      <c r="R117" s="148"/>
      <c r="S117" s="148"/>
      <c r="T117" s="148"/>
      <c r="U117" s="148"/>
      <c r="V117" s="148"/>
      <c r="W117" s="148"/>
      <c r="X117" s="148"/>
      <c r="Y117" s="1511"/>
      <c r="Z117" s="1511"/>
      <c r="AA117" s="1511"/>
      <c r="AB117" s="1511"/>
      <c r="AC117" s="1511"/>
      <c r="AD117" s="1511"/>
      <c r="AE117" s="1511"/>
      <c r="AF117" s="1511"/>
      <c r="AG117" s="1400"/>
    </row>
    <row r="118" spans="1:33" ht="15" x14ac:dyDescent="0.2">
      <c r="B118" s="148"/>
      <c r="C118" s="1507"/>
      <c r="D118" s="148"/>
      <c r="E118" s="154"/>
      <c r="F118" s="148"/>
      <c r="G118" s="148"/>
      <c r="H118" s="1507"/>
      <c r="I118" s="1395"/>
      <c r="J118" s="148"/>
      <c r="K118" s="1507"/>
      <c r="L118" s="1397"/>
      <c r="M118" s="148"/>
      <c r="N118" s="148"/>
      <c r="O118" s="148"/>
      <c r="P118" s="1398"/>
      <c r="Q118" s="1399"/>
      <c r="R118" s="148"/>
      <c r="S118" s="148"/>
      <c r="T118" s="148"/>
      <c r="U118" s="148"/>
      <c r="V118" s="148"/>
      <c r="W118" s="148"/>
      <c r="X118" s="148"/>
      <c r="Y118" s="1511"/>
      <c r="Z118" s="1511"/>
      <c r="AA118" s="1511"/>
      <c r="AB118" s="1511"/>
      <c r="AC118" s="1511"/>
      <c r="AD118" s="1511"/>
      <c r="AE118" s="1511"/>
      <c r="AF118" s="1511"/>
      <c r="AG118" s="1400"/>
    </row>
    <row r="119" spans="1:33" ht="15" x14ac:dyDescent="0.2">
      <c r="B119" s="148"/>
      <c r="C119" s="148"/>
      <c r="D119" s="148"/>
      <c r="E119" s="1401" t="s">
        <v>214</v>
      </c>
      <c r="F119" s="1826" t="s">
        <v>268</v>
      </c>
      <c r="G119" s="1826"/>
      <c r="H119" s="1826"/>
      <c r="I119" s="148"/>
      <c r="J119" s="148"/>
      <c r="K119" s="1507"/>
      <c r="L119" s="1507"/>
      <c r="M119" s="148"/>
      <c r="N119" s="148"/>
      <c r="O119" s="148"/>
      <c r="P119" s="148"/>
      <c r="Q119" s="1399"/>
      <c r="R119" s="148"/>
      <c r="S119" s="148"/>
      <c r="T119" s="148"/>
      <c r="U119" s="148"/>
      <c r="V119" s="148"/>
      <c r="W119" s="148"/>
      <c r="X119" s="148"/>
      <c r="Y119" s="1985" t="s">
        <v>352</v>
      </c>
      <c r="Z119" s="1986"/>
      <c r="AA119" s="1986"/>
      <c r="AB119" s="1986"/>
      <c r="AC119" s="1511" t="s">
        <v>561</v>
      </c>
      <c r="AD119" s="1511"/>
      <c r="AE119" s="1511"/>
      <c r="AF119" s="1511"/>
      <c r="AG119" s="1511"/>
    </row>
    <row r="120" spans="1:33" x14ac:dyDescent="0.2">
      <c r="R120" s="1282"/>
    </row>
    <row r="121" spans="1:33" x14ac:dyDescent="0.2">
      <c r="AA121" s="1282"/>
    </row>
    <row r="123" spans="1:33" x14ac:dyDescent="0.2">
      <c r="E123" s="1267"/>
    </row>
  </sheetData>
  <mergeCells count="37">
    <mergeCell ref="A5:D5"/>
    <mergeCell ref="A1:D1"/>
    <mergeCell ref="I1:Y1"/>
    <mergeCell ref="A2:D2"/>
    <mergeCell ref="AF2:AG2"/>
    <mergeCell ref="A4:D4"/>
    <mergeCell ref="A6:D6"/>
    <mergeCell ref="A7:D7"/>
    <mergeCell ref="H8:X8"/>
    <mergeCell ref="J9:W9"/>
    <mergeCell ref="A10:A12"/>
    <mergeCell ref="B10:B12"/>
    <mergeCell ref="C10:C12"/>
    <mergeCell ref="D10:D12"/>
    <mergeCell ref="E10:E12"/>
    <mergeCell ref="F10:F12"/>
    <mergeCell ref="M11:N11"/>
    <mergeCell ref="O11:P11"/>
    <mergeCell ref="R11:T11"/>
    <mergeCell ref="U11:U12"/>
    <mergeCell ref="V11:V12"/>
    <mergeCell ref="AN11:AN12"/>
    <mergeCell ref="AO11:AO12"/>
    <mergeCell ref="K115:M115"/>
    <mergeCell ref="F119:H119"/>
    <mergeCell ref="Y119:AB119"/>
    <mergeCell ref="W11:W12"/>
    <mergeCell ref="Y11:Y12"/>
    <mergeCell ref="Z11:AB11"/>
    <mergeCell ref="AC11:AC12"/>
    <mergeCell ref="AD11:AD12"/>
    <mergeCell ref="AG11:AG12"/>
    <mergeCell ref="G10:G12"/>
    <mergeCell ref="H10:W10"/>
    <mergeCell ref="X10:AG10"/>
    <mergeCell ref="H11:H12"/>
    <mergeCell ref="K11:L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FB88D-0CD2-4A7C-9A38-705706B3A03B}">
  <dimension ref="A1:AQ129"/>
  <sheetViews>
    <sheetView zoomScale="70" zoomScaleNormal="70" workbookViewId="0">
      <selection sqref="A1:D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97" customWidth="1"/>
    <col min="23" max="23" width="5.7109375" style="1252" customWidth="1"/>
    <col min="24" max="24" width="8" style="1252" customWidth="1"/>
    <col min="25" max="25" width="7.28515625" style="1252" customWidth="1"/>
    <col min="26" max="26" width="9.5703125" style="1297" customWidth="1"/>
    <col min="27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484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58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484"/>
      <c r="F2" s="1467"/>
      <c r="G2" s="1464"/>
      <c r="H2" s="1466"/>
      <c r="I2" s="1466"/>
      <c r="J2" s="1466"/>
      <c r="K2" s="1466"/>
      <c r="L2" s="1466"/>
      <c r="M2" s="1466"/>
      <c r="N2" s="1466"/>
      <c r="O2" s="1466"/>
      <c r="P2" s="1466"/>
      <c r="Q2" s="1256"/>
      <c r="R2" s="1467"/>
      <c r="S2" s="1467"/>
      <c r="T2" s="1467"/>
      <c r="U2" s="1467"/>
      <c r="V2" s="1546"/>
      <c r="W2" s="1467"/>
      <c r="X2" s="1466"/>
      <c r="Y2" s="1467"/>
      <c r="Z2" s="1546"/>
      <c r="AA2" s="1467"/>
      <c r="AC2" s="1467"/>
      <c r="AD2" s="1467"/>
      <c r="AE2" s="1490"/>
      <c r="AF2" s="1998" t="s">
        <v>750</v>
      </c>
      <c r="AG2" s="1998"/>
    </row>
    <row r="3" spans="1:38" ht="15.75" x14ac:dyDescent="0.25">
      <c r="A3" s="1408" t="s">
        <v>751</v>
      </c>
      <c r="B3" s="1482"/>
      <c r="C3" s="1482"/>
      <c r="D3" s="1482"/>
      <c r="E3" s="1484"/>
      <c r="F3" s="1467"/>
      <c r="G3" s="1464"/>
      <c r="H3" s="1466"/>
      <c r="I3" s="1466"/>
      <c r="J3" s="1466"/>
      <c r="K3" s="1466"/>
      <c r="L3" s="1466"/>
      <c r="M3" s="1466"/>
      <c r="N3" s="1466"/>
      <c r="O3" s="1466"/>
      <c r="P3" s="1466"/>
      <c r="Q3" s="1256"/>
      <c r="R3" s="1467"/>
      <c r="S3" s="1467"/>
      <c r="T3" s="1467"/>
      <c r="U3" s="1467"/>
      <c r="V3" s="1546"/>
      <c r="W3" s="1467"/>
      <c r="X3" s="1466"/>
      <c r="Y3" s="1467"/>
      <c r="Z3" s="1546"/>
      <c r="AA3" s="1467"/>
      <c r="AB3" s="1467"/>
      <c r="AC3" s="1260"/>
      <c r="AE3" s="1222"/>
      <c r="AF3" s="1487" t="s">
        <v>739</v>
      </c>
      <c r="AG3" s="1494"/>
    </row>
    <row r="4" spans="1:38" ht="15" x14ac:dyDescent="0.25">
      <c r="A4" s="1976"/>
      <c r="B4" s="1976"/>
      <c r="C4" s="1976"/>
      <c r="D4" s="1976"/>
      <c r="E4" s="1483"/>
      <c r="F4" s="1467"/>
      <c r="G4" s="1464"/>
      <c r="H4" s="1464"/>
      <c r="I4" s="1466"/>
      <c r="J4" s="1466"/>
      <c r="K4" s="1466"/>
      <c r="L4" s="1466"/>
      <c r="M4" s="1466"/>
      <c r="N4" s="1466"/>
      <c r="O4" s="1466"/>
      <c r="P4" s="1466"/>
      <c r="Q4" s="1256"/>
      <c r="R4" s="1463"/>
      <c r="S4" s="1463"/>
      <c r="T4" s="1463"/>
      <c r="U4" s="1463"/>
      <c r="V4" s="1547"/>
      <c r="W4" s="1463"/>
      <c r="X4" s="1466"/>
      <c r="Y4" s="1467"/>
      <c r="Z4" s="1546"/>
      <c r="AB4" s="1467"/>
      <c r="AD4" s="1467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467"/>
      <c r="F5" s="1467"/>
      <c r="G5" s="1464"/>
      <c r="H5" s="1464"/>
      <c r="I5" s="1467"/>
      <c r="J5" s="1467"/>
      <c r="K5" s="1464"/>
      <c r="L5" s="1464"/>
      <c r="M5" s="1467"/>
      <c r="N5" s="1467"/>
      <c r="O5" s="1467"/>
      <c r="P5" s="149"/>
      <c r="Q5" s="1257"/>
      <c r="R5" s="1467"/>
      <c r="S5" s="1467"/>
      <c r="T5" s="1467"/>
      <c r="U5" s="1467"/>
      <c r="V5" s="1546"/>
      <c r="W5" s="1467"/>
      <c r="X5" s="1467"/>
      <c r="Y5" s="1467"/>
      <c r="Z5" s="1546"/>
      <c r="AA5" s="1467"/>
      <c r="AB5" s="1467"/>
      <c r="AC5" s="1467"/>
      <c r="AD5" s="1467"/>
      <c r="AG5" s="151"/>
    </row>
    <row r="6" spans="1:38" ht="27" customHeight="1" x14ac:dyDescent="0.2">
      <c r="A6" s="1942"/>
      <c r="B6" s="1942"/>
      <c r="C6" s="1942"/>
      <c r="D6" s="1942"/>
      <c r="E6" s="1467"/>
      <c r="F6" s="1467"/>
      <c r="G6" s="1464"/>
      <c r="H6" s="1464"/>
      <c r="I6" s="1467"/>
      <c r="J6" s="1467"/>
      <c r="K6" s="1464"/>
      <c r="L6" s="1464"/>
      <c r="M6" s="1467"/>
      <c r="N6" s="1467"/>
      <c r="O6" s="1467"/>
      <c r="P6" s="149"/>
      <c r="Q6" s="1257"/>
      <c r="R6" s="1467"/>
      <c r="S6" s="1467"/>
      <c r="T6" s="1467"/>
      <c r="U6" s="1467"/>
      <c r="V6" s="1546"/>
      <c r="W6" s="1467"/>
      <c r="X6" s="1467"/>
      <c r="Y6" s="1467"/>
      <c r="Z6" s="1546"/>
      <c r="AA6" s="1467"/>
      <c r="AB6" s="1467"/>
      <c r="AC6" s="1467"/>
      <c r="AD6" s="1467"/>
      <c r="AE6" s="1490"/>
      <c r="AF6" s="1467"/>
    </row>
    <row r="7" spans="1:38" ht="27" customHeight="1" x14ac:dyDescent="0.2">
      <c r="A7" s="1942" t="s">
        <v>54</v>
      </c>
      <c r="B7" s="1942"/>
      <c r="C7" s="1942"/>
      <c r="D7" s="1942"/>
      <c r="E7" s="1511"/>
      <c r="F7" s="1511"/>
      <c r="G7" s="1499"/>
      <c r="H7" s="1499"/>
      <c r="I7" s="1511"/>
      <c r="J7" s="1511"/>
      <c r="K7" s="1499"/>
      <c r="L7" s="1499"/>
      <c r="M7" s="1511"/>
      <c r="N7" s="1511"/>
      <c r="O7" s="1511"/>
      <c r="P7" s="149"/>
      <c r="Q7" s="1257"/>
      <c r="R7" s="1511"/>
      <c r="S7" s="1511"/>
      <c r="T7" s="1511"/>
      <c r="U7" s="1511"/>
      <c r="V7" s="1546"/>
      <c r="W7" s="1511"/>
      <c r="X7" s="1511"/>
      <c r="Y7" s="1511"/>
      <c r="Z7" s="1546"/>
      <c r="AA7" s="1511"/>
      <c r="AB7" s="1511"/>
      <c r="AC7" s="1511"/>
      <c r="AD7" s="1511"/>
      <c r="AE7" s="1511"/>
      <c r="AF7" s="1511"/>
    </row>
    <row r="8" spans="1:38" ht="27" customHeight="1" x14ac:dyDescent="0.2">
      <c r="A8" s="1977" t="s">
        <v>736</v>
      </c>
      <c r="B8" s="1977"/>
      <c r="C8" s="1977"/>
      <c r="D8" s="1977"/>
      <c r="E8" s="1511"/>
      <c r="F8" s="1511"/>
      <c r="G8" s="1499"/>
      <c r="H8" s="1499"/>
      <c r="I8" s="1511"/>
      <c r="J8" s="1511"/>
      <c r="K8" s="1499"/>
      <c r="L8" s="1499"/>
      <c r="M8" s="1511"/>
      <c r="N8" s="1511"/>
      <c r="O8" s="1511"/>
      <c r="P8" s="149"/>
      <c r="Q8" s="1257"/>
      <c r="R8" s="1511"/>
      <c r="S8" s="1511"/>
      <c r="T8" s="1511"/>
      <c r="U8" s="1511"/>
      <c r="V8" s="1546"/>
      <c r="W8" s="1511"/>
      <c r="X8" s="1511"/>
      <c r="Y8" s="1511"/>
      <c r="Z8" s="1546"/>
      <c r="AA8" s="1511"/>
      <c r="AB8" s="1511"/>
      <c r="AC8" s="1511"/>
      <c r="AD8" s="1511"/>
      <c r="AE8" s="1511"/>
      <c r="AF8" s="1511"/>
    </row>
    <row r="9" spans="1:38" ht="27" customHeight="1" x14ac:dyDescent="0.2">
      <c r="A9" s="1408" t="s">
        <v>737</v>
      </c>
      <c r="B9" s="1500"/>
      <c r="C9" s="1500"/>
      <c r="D9" s="1500"/>
      <c r="E9" s="1511"/>
      <c r="F9" s="1511"/>
      <c r="G9" s="1499"/>
      <c r="H9" s="1499"/>
      <c r="I9" s="1511"/>
      <c r="J9" s="1511"/>
      <c r="K9" s="1499"/>
      <c r="L9" s="1499"/>
      <c r="M9" s="1511"/>
      <c r="N9" s="1511"/>
      <c r="O9" s="1511"/>
      <c r="P9" s="149"/>
      <c r="Q9" s="1257"/>
      <c r="R9" s="1511"/>
      <c r="S9" s="1511"/>
      <c r="T9" s="1511"/>
      <c r="U9" s="1511"/>
      <c r="V9" s="1546"/>
      <c r="W9" s="1511"/>
      <c r="X9" s="1511"/>
      <c r="Y9" s="1511"/>
      <c r="Z9" s="1546"/>
      <c r="AA9" s="1511"/>
      <c r="AB9" s="1511"/>
      <c r="AC9" s="1511"/>
      <c r="AD9" s="1511"/>
      <c r="AE9" s="1511"/>
      <c r="AF9" s="1511"/>
    </row>
    <row r="10" spans="1:38" ht="27" customHeight="1" x14ac:dyDescent="0.2">
      <c r="A10" s="1976"/>
      <c r="B10" s="1976"/>
      <c r="C10" s="1976"/>
      <c r="D10" s="1976"/>
      <c r="E10" s="1501"/>
      <c r="F10" s="1511"/>
      <c r="G10" s="1499"/>
      <c r="H10" s="1499"/>
      <c r="I10" s="1511"/>
      <c r="J10" s="1511"/>
      <c r="K10" s="1499"/>
      <c r="L10" s="1499"/>
      <c r="M10" s="1511"/>
      <c r="N10" s="1511"/>
      <c r="O10" s="1511"/>
      <c r="P10" s="149"/>
      <c r="Q10" s="1257"/>
      <c r="R10" s="1511"/>
      <c r="S10" s="1511"/>
      <c r="T10" s="1511"/>
      <c r="U10" s="1511"/>
      <c r="V10" s="1546"/>
      <c r="W10" s="1511"/>
      <c r="X10" s="1511"/>
      <c r="Y10" s="1511"/>
      <c r="Z10" s="1546"/>
      <c r="AA10" s="1511"/>
      <c r="AB10" s="1511"/>
      <c r="AC10" s="1511"/>
      <c r="AD10" s="1511"/>
      <c r="AE10" s="1511"/>
      <c r="AF10" s="1511"/>
    </row>
    <row r="11" spans="1:38" ht="27" customHeight="1" x14ac:dyDescent="0.2">
      <c r="A11" s="1976" t="s">
        <v>740</v>
      </c>
      <c r="B11" s="1976"/>
      <c r="C11" s="1976"/>
      <c r="D11" s="1976"/>
      <c r="E11" s="1511"/>
      <c r="F11" s="1511"/>
      <c r="G11" s="1499"/>
      <c r="H11" s="1499"/>
      <c r="I11" s="1511"/>
      <c r="J11" s="1511"/>
      <c r="K11" s="1499"/>
      <c r="L11" s="1499"/>
      <c r="M11" s="1511"/>
      <c r="N11" s="1511"/>
      <c r="O11" s="1511"/>
      <c r="P11" s="149"/>
      <c r="Q11" s="1257"/>
      <c r="R11" s="1511"/>
      <c r="S11" s="1511"/>
      <c r="T11" s="1511"/>
      <c r="U11" s="1511"/>
      <c r="V11" s="1546"/>
      <c r="W11" s="1511"/>
      <c r="X11" s="1511"/>
      <c r="Y11" s="1511"/>
      <c r="Z11" s="1546"/>
      <c r="AA11" s="1511"/>
      <c r="AB11" s="1511"/>
      <c r="AC11" s="1511"/>
      <c r="AD11" s="1511"/>
      <c r="AE11" s="1511"/>
      <c r="AF11" s="1511"/>
    </row>
    <row r="12" spans="1:38" ht="27" customHeight="1" x14ac:dyDescent="0.2">
      <c r="A12" s="1502"/>
      <c r="B12" s="1502"/>
      <c r="C12" s="1502"/>
      <c r="D12" s="1502"/>
      <c r="E12" s="1511"/>
      <c r="F12" s="1511"/>
      <c r="G12" s="1499"/>
      <c r="H12" s="1499"/>
      <c r="I12" s="1511"/>
      <c r="J12" s="1511"/>
      <c r="K12" s="1499"/>
      <c r="L12" s="1499"/>
      <c r="M12" s="1511"/>
      <c r="N12" s="1511"/>
      <c r="O12" s="1511"/>
      <c r="P12" s="149"/>
      <c r="Q12" s="1257"/>
      <c r="R12" s="1511"/>
      <c r="S12" s="1511"/>
      <c r="T12" s="1511"/>
      <c r="U12" s="1511"/>
      <c r="V12" s="1546"/>
      <c r="W12" s="1511"/>
      <c r="X12" s="1511"/>
      <c r="Y12" s="1511"/>
      <c r="Z12" s="1546"/>
      <c r="AA12" s="1511"/>
      <c r="AB12" s="1511"/>
      <c r="AC12" s="1511"/>
      <c r="AD12" s="1511"/>
      <c r="AE12" s="1511"/>
      <c r="AF12" s="1511"/>
    </row>
    <row r="13" spans="1:38" ht="32.25" customHeight="1" x14ac:dyDescent="0.25">
      <c r="A13" s="1976"/>
      <c r="B13" s="1976"/>
      <c r="C13" s="1976"/>
      <c r="D13" s="1976"/>
      <c r="E13" s="1465"/>
      <c r="F13" s="1467"/>
      <c r="G13" s="1464"/>
      <c r="H13" s="1464"/>
      <c r="I13" s="140"/>
      <c r="J13" s="1467"/>
      <c r="K13" s="1464"/>
      <c r="L13" s="1464"/>
      <c r="M13" s="1467"/>
      <c r="N13" s="1467"/>
      <c r="O13" s="1467"/>
      <c r="P13" s="149"/>
      <c r="Q13" s="1257"/>
      <c r="R13" s="1467"/>
      <c r="S13" s="1467"/>
      <c r="T13" s="1467"/>
      <c r="U13" s="1467"/>
      <c r="V13" s="1546"/>
      <c r="W13" s="147"/>
      <c r="X13" s="1467"/>
      <c r="Y13" s="1467"/>
      <c r="Z13" s="1553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464"/>
      <c r="C14" s="1464"/>
      <c r="D14" s="1464"/>
      <c r="E14" s="1467"/>
      <c r="F14" s="1467"/>
      <c r="G14" s="1464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467"/>
      <c r="Z14" s="1553"/>
      <c r="AA14" s="148"/>
      <c r="AB14" s="148"/>
      <c r="AC14" s="148"/>
    </row>
    <row r="15" spans="1:38" ht="31.5" customHeight="1" thickBot="1" x14ac:dyDescent="0.25">
      <c r="B15" s="1464"/>
      <c r="C15" s="1464"/>
      <c r="D15" s="1464"/>
      <c r="E15" s="1467"/>
      <c r="F15" s="1467"/>
      <c r="G15" s="1464"/>
      <c r="H15" s="1464"/>
      <c r="I15" s="140"/>
      <c r="J15" s="1964" t="s">
        <v>749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467"/>
      <c r="Y15" s="1467"/>
      <c r="Z15" s="1553"/>
      <c r="AA15" s="148"/>
      <c r="AB15" s="148"/>
      <c r="AC15" s="148"/>
      <c r="AD15" s="1467"/>
      <c r="AE15" s="1490"/>
      <c r="AF15" s="1467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468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99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491" t="s">
        <v>18</v>
      </c>
      <c r="AF17" s="1468" t="s">
        <v>20</v>
      </c>
      <c r="AG17" s="1967" t="s">
        <v>21</v>
      </c>
      <c r="AH17" s="1267">
        <v>44986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471" t="s">
        <v>3</v>
      </c>
      <c r="J18" s="1471" t="s">
        <v>7</v>
      </c>
      <c r="K18" s="1471" t="s">
        <v>30</v>
      </c>
      <c r="L18" s="1471" t="s">
        <v>29</v>
      </c>
      <c r="M18" s="1471" t="s">
        <v>31</v>
      </c>
      <c r="N18" s="1471" t="s">
        <v>32</v>
      </c>
      <c r="O18" s="1471" t="s">
        <v>12</v>
      </c>
      <c r="P18" s="1269" t="s">
        <v>673</v>
      </c>
      <c r="Q18" s="1270" t="s">
        <v>26</v>
      </c>
      <c r="R18" s="1471" t="s">
        <v>675</v>
      </c>
      <c r="S18" s="1471" t="s">
        <v>25</v>
      </c>
      <c r="T18" s="1471" t="s">
        <v>676</v>
      </c>
      <c r="U18" s="1968"/>
      <c r="V18" s="1999"/>
      <c r="W18" s="1987"/>
      <c r="X18" s="1410" t="s">
        <v>7</v>
      </c>
      <c r="Y18" s="1968"/>
      <c r="Z18" s="1290" t="s">
        <v>14</v>
      </c>
      <c r="AA18" s="1471" t="s">
        <v>679</v>
      </c>
      <c r="AB18" s="1471" t="s">
        <v>113</v>
      </c>
      <c r="AC18" s="1968"/>
      <c r="AD18" s="1968"/>
      <c r="AE18" s="1492" t="s">
        <v>19</v>
      </c>
      <c r="AF18" s="1471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481">
        <v>557.80999999999995</v>
      </c>
      <c r="J19" s="1448">
        <v>195</v>
      </c>
      <c r="K19" s="241"/>
      <c r="L19" s="1277">
        <v>422</v>
      </c>
      <c r="M19" s="241"/>
      <c r="N19" s="1278">
        <v>1.4</v>
      </c>
      <c r="O19" s="241"/>
      <c r="P19" s="1278">
        <f>AI19</f>
        <v>14.438489829279014</v>
      </c>
      <c r="Q19" s="1278">
        <f>LEFT(H19,(FIND("Е",H19,1)-1))*J19/100</f>
        <v>25.35</v>
      </c>
      <c r="R19" s="244">
        <v>3.702</v>
      </c>
      <c r="S19" s="244">
        <v>14.180999999999999</v>
      </c>
      <c r="T19" s="1277">
        <v>23.5</v>
      </c>
      <c r="U19" s="1278">
        <f t="shared" ref="U19:U37" si="0">IF(R19=0,0,T19/R19)</f>
        <v>6.3479200432198812</v>
      </c>
      <c r="V19" s="1292">
        <f>(S19-R19)/S19*100</f>
        <v>73.894647768140459</v>
      </c>
      <c r="W19" s="1279">
        <v>0.2</v>
      </c>
      <c r="X19" s="1449">
        <v>195</v>
      </c>
      <c r="Y19" s="1277">
        <f>IF(S19=0,0,S19/Q19)*100</f>
        <v>55.940828402366861</v>
      </c>
      <c r="Z19" s="1293">
        <f>R19*0.988</f>
        <v>3.6575759999999997</v>
      </c>
      <c r="AA19" s="244">
        <f>S19*0.988</f>
        <v>14.010827999999998</v>
      </c>
      <c r="AB19" s="1277">
        <f>T19*0.988</f>
        <v>23.218</v>
      </c>
      <c r="AC19" s="244">
        <f>U19</f>
        <v>6.3479200432198812</v>
      </c>
      <c r="AD19" s="1277">
        <f>V19</f>
        <v>73.894647768140459</v>
      </c>
      <c r="AE19" s="241">
        <f>(DAY(EOMONTH($AH$17,0))-AH19)</f>
        <v>31</v>
      </c>
      <c r="AF19" s="244">
        <f t="shared" ref="AF19:AF63" si="1">Z19*AE19</f>
        <v>113.38485599999998</v>
      </c>
      <c r="AG19" s="1281"/>
      <c r="AI19" s="1282">
        <f t="shared" ref="AI19:AI50" si="2">(9.81*(AJ19*(100%-(V19/100))+AK19*(V19/100))*(I19-L19)+N19*101.325+9.81*(AL19)*L19)/101.325</f>
        <v>14.438489829279014</v>
      </c>
      <c r="AJ19" s="1252">
        <v>0.90790000000000004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481">
        <v>563.55999999999995</v>
      </c>
      <c r="J20" s="241"/>
      <c r="K20" s="241"/>
      <c r="L20" s="1277"/>
      <c r="M20" s="241"/>
      <c r="N20" s="1278"/>
      <c r="O20" s="241"/>
      <c r="P20" s="1278"/>
      <c r="Q20" s="1278"/>
      <c r="R20" s="244"/>
      <c r="S20" s="244"/>
      <c r="T20" s="1277"/>
      <c r="U20" s="1278"/>
      <c r="V20" s="1292"/>
      <c r="W20" s="1279"/>
      <c r="X20" s="1316"/>
      <c r="Y20" s="1277">
        <f t="shared" ref="Y20:Y83" si="3">IF(S20=0,0,S20/Q20)*100</f>
        <v>0</v>
      </c>
      <c r="Z20" s="1293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748</v>
      </c>
      <c r="I21" s="1481">
        <v>569.63</v>
      </c>
      <c r="J21" s="241">
        <v>320</v>
      </c>
      <c r="K21" s="241"/>
      <c r="L21" s="1277">
        <v>492</v>
      </c>
      <c r="M21" s="241"/>
      <c r="N21" s="1278">
        <v>8.1999999999999993</v>
      </c>
      <c r="O21" s="241"/>
      <c r="P21" s="1278">
        <f t="shared" ref="P21:P84" si="4">AI21</f>
        <v>15.330071381099826</v>
      </c>
      <c r="Q21" s="1278">
        <f>RIGHT(H21,(FIND("T",H21,1)-0))*J21/100</f>
        <v>64</v>
      </c>
      <c r="R21" s="244">
        <v>11.936</v>
      </c>
      <c r="S21" s="244">
        <v>21.061</v>
      </c>
      <c r="T21" s="1277">
        <v>8.6999999999999993</v>
      </c>
      <c r="U21" s="1278">
        <f t="shared" si="0"/>
        <v>0.72888739946380687</v>
      </c>
      <c r="V21" s="1292">
        <f t="shared" ref="V21:V55" si="5">(S21-R21)/S21*100</f>
        <v>43.326527705237169</v>
      </c>
      <c r="W21" s="1279">
        <v>0.2</v>
      </c>
      <c r="X21" s="1316">
        <v>320</v>
      </c>
      <c r="Y21" s="1277">
        <f t="shared" si="3"/>
        <v>32.907812499999999</v>
      </c>
      <c r="Z21" s="1293">
        <f t="shared" ref="Z21:AB27" si="6">R21*0.988</f>
        <v>11.792768000000001</v>
      </c>
      <c r="AA21" s="244">
        <f t="shared" si="6"/>
        <v>20.808267999999998</v>
      </c>
      <c r="AB21" s="1277">
        <f t="shared" si="6"/>
        <v>8.5955999999999992</v>
      </c>
      <c r="AC21" s="244">
        <f t="shared" ref="AC21:AD23" si="7">U21</f>
        <v>0.72888739946380687</v>
      </c>
      <c r="AD21" s="1277">
        <f t="shared" si="7"/>
        <v>43.326527705237169</v>
      </c>
      <c r="AE21" s="241">
        <f t="shared" ref="AE21:AE42" si="8">(DAY(EOMONTH($AH$17,0))-AH21)</f>
        <v>31</v>
      </c>
      <c r="AF21" s="244">
        <f t="shared" si="1"/>
        <v>365.57580799999999</v>
      </c>
      <c r="AG21" s="1281"/>
      <c r="AI21" s="1282">
        <f t="shared" si="2"/>
        <v>15.330071381099826</v>
      </c>
      <c r="AJ21" s="1252">
        <v>0.87260000000000004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481">
        <v>544.29999999999995</v>
      </c>
      <c r="J22" s="241">
        <v>180</v>
      </c>
      <c r="K22" s="241"/>
      <c r="L22" s="1277">
        <v>442</v>
      </c>
      <c r="M22" s="241"/>
      <c r="N22" s="1278">
        <v>4.4000000000000004</v>
      </c>
      <c r="O22" s="241"/>
      <c r="P22" s="1278">
        <f t="shared" si="4"/>
        <v>13.858185176654965</v>
      </c>
      <c r="Q22" s="1278">
        <f t="shared" ref="Q22:Q27" si="9">RIGHT(H22,(FIND("T",H22,1)-0))*J22/100</f>
        <v>25.2</v>
      </c>
      <c r="R22" s="244">
        <v>7.5220000000000002</v>
      </c>
      <c r="S22" s="244">
        <v>14.016</v>
      </c>
      <c r="T22" s="1277">
        <v>116</v>
      </c>
      <c r="U22" s="1278">
        <f t="shared" si="0"/>
        <v>15.421430470619516</v>
      </c>
      <c r="V22" s="1292">
        <f t="shared" si="5"/>
        <v>46.332762557077622</v>
      </c>
      <c r="W22" s="1279">
        <v>0.23</v>
      </c>
      <c r="X22" s="1316">
        <v>180</v>
      </c>
      <c r="Y22" s="1277">
        <f t="shared" si="3"/>
        <v>55.61904761904762</v>
      </c>
      <c r="Z22" s="1293">
        <f t="shared" si="6"/>
        <v>7.4317359999999999</v>
      </c>
      <c r="AA22" s="244">
        <f t="shared" si="6"/>
        <v>13.847808000000001</v>
      </c>
      <c r="AB22" s="1277">
        <f t="shared" si="6"/>
        <v>114.608</v>
      </c>
      <c r="AC22" s="244">
        <f t="shared" si="7"/>
        <v>15.421430470619516</v>
      </c>
      <c r="AD22" s="1277">
        <f t="shared" si="7"/>
        <v>46.332762557077622</v>
      </c>
      <c r="AE22" s="241">
        <f t="shared" si="8"/>
        <v>31</v>
      </c>
      <c r="AF22" s="244">
        <f t="shared" si="1"/>
        <v>230.383816</v>
      </c>
      <c r="AG22" s="1281"/>
      <c r="AI22" s="1282">
        <f t="shared" si="2"/>
        <v>13.858185176654965</v>
      </c>
      <c r="AJ22" s="1252">
        <v>0.89459999999999995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481">
        <v>548.32000000000005</v>
      </c>
      <c r="J23" s="241">
        <v>135</v>
      </c>
      <c r="K23" s="241"/>
      <c r="L23" s="1277">
        <v>427</v>
      </c>
      <c r="M23" s="241"/>
      <c r="N23" s="1278">
        <v>2.5</v>
      </c>
      <c r="O23" s="241"/>
      <c r="P23" s="1278">
        <f t="shared" si="4"/>
        <v>13.327572603544613</v>
      </c>
      <c r="Q23" s="1278">
        <f t="shared" si="9"/>
        <v>18.899999999999999</v>
      </c>
      <c r="R23" s="244">
        <v>3.3730000000000002</v>
      </c>
      <c r="S23" s="244">
        <v>3.8290000000000002</v>
      </c>
      <c r="T23" s="1277">
        <v>55.3</v>
      </c>
      <c r="U23" s="1278">
        <f t="shared" si="0"/>
        <v>16.394900681885559</v>
      </c>
      <c r="V23" s="1292">
        <f t="shared" si="5"/>
        <v>11.909114651344996</v>
      </c>
      <c r="W23" s="1279">
        <v>0.2</v>
      </c>
      <c r="X23" s="1316">
        <v>135</v>
      </c>
      <c r="Y23" s="1277">
        <f t="shared" si="3"/>
        <v>20.259259259259263</v>
      </c>
      <c r="Z23" s="1293">
        <f t="shared" si="6"/>
        <v>3.3325240000000003</v>
      </c>
      <c r="AA23" s="244">
        <f t="shared" si="6"/>
        <v>3.7830520000000001</v>
      </c>
      <c r="AB23" s="1277">
        <f t="shared" si="6"/>
        <v>54.636399999999995</v>
      </c>
      <c r="AC23" s="244">
        <f t="shared" si="7"/>
        <v>16.394900681885559</v>
      </c>
      <c r="AD23" s="1277">
        <f t="shared" si="7"/>
        <v>11.909114651344996</v>
      </c>
      <c r="AE23" s="241">
        <f t="shared" si="8"/>
        <v>31</v>
      </c>
      <c r="AF23" s="244">
        <f t="shared" si="1"/>
        <v>103.308244</v>
      </c>
      <c r="AG23" s="1281"/>
      <c r="AI23" s="1282">
        <f t="shared" si="2"/>
        <v>13.327572603544613</v>
      </c>
      <c r="AJ23" s="1252">
        <v>0.90529999999999999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513">
        <v>563.03</v>
      </c>
      <c r="J24" s="241">
        <v>135</v>
      </c>
      <c r="K24" s="241"/>
      <c r="L24" s="1277">
        <v>417</v>
      </c>
      <c r="M24" s="241"/>
      <c r="N24" s="1278">
        <v>1</v>
      </c>
      <c r="O24" s="241"/>
      <c r="P24" s="1278">
        <f t="shared" si="4"/>
        <v>14.526091712405032</v>
      </c>
      <c r="Q24" s="1278">
        <f t="shared" si="9"/>
        <v>18.899999999999999</v>
      </c>
      <c r="R24" s="244">
        <v>4.8620000000000001</v>
      </c>
      <c r="S24" s="244">
        <v>6.6609999999999996</v>
      </c>
      <c r="T24" s="1277">
        <v>29</v>
      </c>
      <c r="U24" s="1278">
        <f t="shared" si="0"/>
        <v>5.9646236116824349</v>
      </c>
      <c r="V24" s="1292">
        <f t="shared" si="5"/>
        <v>27.007956763248753</v>
      </c>
      <c r="W24" s="1279">
        <v>0.2</v>
      </c>
      <c r="X24" s="1316">
        <v>135</v>
      </c>
      <c r="Y24" s="1277">
        <f t="shared" si="3"/>
        <v>35.24338624338624</v>
      </c>
      <c r="Z24" s="1293">
        <f t="shared" si="6"/>
        <v>4.8036560000000001</v>
      </c>
      <c r="AA24" s="244">
        <f t="shared" si="6"/>
        <v>6.5810679999999993</v>
      </c>
      <c r="AB24" s="1277">
        <f t="shared" si="6"/>
        <v>28.652000000000001</v>
      </c>
      <c r="AC24" s="244">
        <v>14.613</v>
      </c>
      <c r="AD24" s="1277">
        <f t="shared" ref="AD24:AD37" si="10">V24</f>
        <v>27.007956763248753</v>
      </c>
      <c r="AE24" s="241">
        <f t="shared" si="8"/>
        <v>31</v>
      </c>
      <c r="AF24" s="244">
        <f t="shared" si="1"/>
        <v>148.91333600000002</v>
      </c>
      <c r="AG24" s="1281"/>
      <c r="AI24" s="1282">
        <f t="shared" si="2"/>
        <v>14.526091712405032</v>
      </c>
      <c r="AJ24" s="1252">
        <v>0.92600000000000005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513">
        <v>556.79999999999995</v>
      </c>
      <c r="J25" s="241">
        <v>85</v>
      </c>
      <c r="K25" s="241"/>
      <c r="L25" s="1277">
        <v>437</v>
      </c>
      <c r="M25" s="241"/>
      <c r="N25" s="1278">
        <v>2.6</v>
      </c>
      <c r="O25" s="241"/>
      <c r="P25" s="1278">
        <f t="shared" si="4"/>
        <v>13.578144013036646</v>
      </c>
      <c r="Q25" s="1278">
        <f t="shared" si="9"/>
        <v>11.9</v>
      </c>
      <c r="R25" s="244">
        <v>4.9669999999999996</v>
      </c>
      <c r="S25" s="244">
        <v>7.5910000000000002</v>
      </c>
      <c r="T25" s="1277">
        <v>9.6</v>
      </c>
      <c r="U25" s="1278">
        <f t="shared" si="0"/>
        <v>1.932756190859674</v>
      </c>
      <c r="V25" s="1292">
        <f t="shared" si="5"/>
        <v>34.567250691608493</v>
      </c>
      <c r="W25" s="1279">
        <v>0.2</v>
      </c>
      <c r="X25" s="1316">
        <v>85</v>
      </c>
      <c r="Y25" s="1277">
        <f t="shared" si="3"/>
        <v>63.789915966386559</v>
      </c>
      <c r="Z25" s="1293">
        <f t="shared" si="6"/>
        <v>4.9073959999999994</v>
      </c>
      <c r="AA25" s="244">
        <f t="shared" si="6"/>
        <v>7.4999080000000005</v>
      </c>
      <c r="AB25" s="1277">
        <f t="shared" si="6"/>
        <v>9.4847999999999999</v>
      </c>
      <c r="AC25" s="244">
        <f t="shared" ref="AC25:AC38" si="11">U25</f>
        <v>1.932756190859674</v>
      </c>
      <c r="AD25" s="1277">
        <f t="shared" si="10"/>
        <v>34.567250691608493</v>
      </c>
      <c r="AE25" s="241">
        <f t="shared" si="8"/>
        <v>31</v>
      </c>
      <c r="AF25" s="244">
        <f t="shared" si="1"/>
        <v>152.12927599999998</v>
      </c>
      <c r="AG25" s="1281"/>
      <c r="AI25" s="1282">
        <f t="shared" si="2"/>
        <v>13.578144013036646</v>
      </c>
      <c r="AJ25" s="1252">
        <v>0.90329999999999999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441</v>
      </c>
      <c r="M26" s="1302"/>
      <c r="N26" s="1278">
        <v>3.6</v>
      </c>
      <c r="O26" s="1302"/>
      <c r="P26" s="1278">
        <f t="shared" si="4"/>
        <v>14.197605141769738</v>
      </c>
      <c r="Q26" s="1278">
        <f t="shared" si="9"/>
        <v>20</v>
      </c>
      <c r="R26" s="244">
        <v>4.8390000000000004</v>
      </c>
      <c r="S26" s="244">
        <v>14.228</v>
      </c>
      <c r="T26" s="1277">
        <v>45</v>
      </c>
      <c r="U26" s="1278">
        <f t="shared" si="0"/>
        <v>9.299442033477991</v>
      </c>
      <c r="V26" s="1292">
        <f t="shared" si="5"/>
        <v>65.989597975822321</v>
      </c>
      <c r="W26" s="1279">
        <v>0.2</v>
      </c>
      <c r="X26" s="1316">
        <v>100</v>
      </c>
      <c r="Y26" s="1277">
        <f t="shared" si="3"/>
        <v>71.14</v>
      </c>
      <c r="Z26" s="1293">
        <f t="shared" si="6"/>
        <v>4.780932</v>
      </c>
      <c r="AA26" s="244">
        <f t="shared" si="6"/>
        <v>14.057264</v>
      </c>
      <c r="AB26" s="1277">
        <f t="shared" si="6"/>
        <v>44.46</v>
      </c>
      <c r="AC26" s="244">
        <f t="shared" si="11"/>
        <v>9.299442033477991</v>
      </c>
      <c r="AD26" s="1277">
        <f t="shared" si="10"/>
        <v>65.989597975822321</v>
      </c>
      <c r="AE26" s="241">
        <f t="shared" si="8"/>
        <v>31</v>
      </c>
      <c r="AF26" s="244">
        <f t="shared" si="1"/>
        <v>148.20889199999999</v>
      </c>
      <c r="AG26" s="1281"/>
      <c r="AI26" s="1282">
        <f t="shared" si="2"/>
        <v>14.197605141769738</v>
      </c>
      <c r="AJ26" s="1252">
        <v>0.89549999999999996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513">
        <v>569.48</v>
      </c>
      <c r="J27" s="241">
        <v>150</v>
      </c>
      <c r="K27" s="241"/>
      <c r="L27" s="1277">
        <v>452</v>
      </c>
      <c r="M27" s="241"/>
      <c r="N27" s="1278">
        <v>3.2</v>
      </c>
      <c r="O27" s="241"/>
      <c r="P27" s="1278">
        <f t="shared" si="4"/>
        <v>14.404182301920367</v>
      </c>
      <c r="Q27" s="1278">
        <f t="shared" si="9"/>
        <v>30</v>
      </c>
      <c r="R27" s="244">
        <v>6.1120000000000001</v>
      </c>
      <c r="S27" s="244">
        <v>17.852</v>
      </c>
      <c r="T27" s="1277">
        <v>42.5</v>
      </c>
      <c r="U27" s="1278">
        <f t="shared" si="0"/>
        <v>6.9535340314136125</v>
      </c>
      <c r="V27" s="1292">
        <f t="shared" si="5"/>
        <v>65.762939726641264</v>
      </c>
      <c r="W27" s="1279">
        <v>0.2</v>
      </c>
      <c r="X27" s="1316">
        <v>150</v>
      </c>
      <c r="Y27" s="1277">
        <f t="shared" si="3"/>
        <v>59.506666666666661</v>
      </c>
      <c r="Z27" s="1293">
        <f t="shared" si="6"/>
        <v>6.0386560000000005</v>
      </c>
      <c r="AA27" s="244">
        <f t="shared" si="6"/>
        <v>17.637775999999999</v>
      </c>
      <c r="AB27" s="1277">
        <f t="shared" si="6"/>
        <v>41.99</v>
      </c>
      <c r="AC27" s="244">
        <f t="shared" si="11"/>
        <v>6.9535340314136125</v>
      </c>
      <c r="AD27" s="1277">
        <f t="shared" si="10"/>
        <v>65.762939726641264</v>
      </c>
      <c r="AE27" s="241">
        <f t="shared" si="8"/>
        <v>31</v>
      </c>
      <c r="AF27" s="244">
        <f t="shared" si="1"/>
        <v>187.19833600000001</v>
      </c>
      <c r="AG27" s="1281"/>
      <c r="AI27" s="1282">
        <f t="shared" si="2"/>
        <v>14.404182301920367</v>
      </c>
      <c r="AJ27" s="1252">
        <v>0.90690000000000004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513">
        <v>568.20000000000005</v>
      </c>
      <c r="J28" s="1448">
        <v>85</v>
      </c>
      <c r="K28" s="241"/>
      <c r="L28" s="1277">
        <v>342</v>
      </c>
      <c r="M28" s="241"/>
      <c r="N28" s="1278">
        <v>0.1</v>
      </c>
      <c r="O28" s="241"/>
      <c r="P28" s="1278">
        <f t="shared" si="4"/>
        <v>21.708105628310946</v>
      </c>
      <c r="Q28" s="1278">
        <f>J28*14/100</f>
        <v>11.9</v>
      </c>
      <c r="R28" s="244">
        <v>3.8839999999999999</v>
      </c>
      <c r="S28" s="244">
        <v>11.148</v>
      </c>
      <c r="T28" s="1277">
        <v>5</v>
      </c>
      <c r="U28" s="1278">
        <f t="shared" si="0"/>
        <v>1.2873326467559219</v>
      </c>
      <c r="V28" s="1292">
        <f t="shared" si="5"/>
        <v>65.159669895945456</v>
      </c>
      <c r="W28" s="1279">
        <v>0.2</v>
      </c>
      <c r="X28" s="1449">
        <v>85</v>
      </c>
      <c r="Y28" s="1277">
        <f t="shared" si="3"/>
        <v>93.680672268907557</v>
      </c>
      <c r="Z28" s="1293">
        <v>2.5</v>
      </c>
      <c r="AA28" s="244">
        <f t="shared" ref="AA28:AA43" si="12">S28*0.988</f>
        <v>11.014224</v>
      </c>
      <c r="AB28" s="1277">
        <f t="shared" ref="AB28:AB43" si="13">T28*0.988</f>
        <v>4.9399999999999995</v>
      </c>
      <c r="AC28" s="244">
        <f t="shared" si="11"/>
        <v>1.2873326467559219</v>
      </c>
      <c r="AD28" s="1277">
        <f t="shared" si="10"/>
        <v>65.159669895945456</v>
      </c>
      <c r="AE28" s="241">
        <v>31</v>
      </c>
      <c r="AF28" s="244">
        <f t="shared" si="1"/>
        <v>77.5</v>
      </c>
      <c r="AG28" s="1281"/>
      <c r="AI28" s="1282">
        <f t="shared" si="2"/>
        <v>21.708105628310946</v>
      </c>
      <c r="AJ28" s="1252">
        <v>0.90039999999999998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513">
        <v>593.29</v>
      </c>
      <c r="J29" s="241">
        <v>300</v>
      </c>
      <c r="K29" s="241"/>
      <c r="L29" s="1277">
        <v>443</v>
      </c>
      <c r="M29" s="241"/>
      <c r="N29" s="1278">
        <v>1.8</v>
      </c>
      <c r="O29" s="241"/>
      <c r="P29" s="1278">
        <f t="shared" si="4"/>
        <v>16.680142909381523</v>
      </c>
      <c r="Q29" s="1278">
        <f>(15/100)*J29</f>
        <v>45</v>
      </c>
      <c r="R29" s="244">
        <v>1.675</v>
      </c>
      <c r="S29" s="244">
        <v>8.5640000000000001</v>
      </c>
      <c r="T29" s="1277">
        <v>30.6</v>
      </c>
      <c r="U29" s="1278">
        <f t="shared" si="0"/>
        <v>18.268656716417912</v>
      </c>
      <c r="V29" s="1292">
        <f t="shared" si="5"/>
        <v>80.441382531527324</v>
      </c>
      <c r="W29" s="1279">
        <v>0.27</v>
      </c>
      <c r="X29" s="1316">
        <v>300</v>
      </c>
      <c r="Y29" s="1277">
        <f t="shared" si="3"/>
        <v>19.031111111111112</v>
      </c>
      <c r="Z29" s="1293">
        <f t="shared" ref="Z29:Z43" si="14">R29*0.988</f>
        <v>1.6549</v>
      </c>
      <c r="AA29" s="244">
        <f t="shared" si="12"/>
        <v>8.4612320000000008</v>
      </c>
      <c r="AB29" s="1277">
        <f t="shared" si="13"/>
        <v>30.232800000000001</v>
      </c>
      <c r="AC29" s="244">
        <f t="shared" si="11"/>
        <v>18.268656716417912</v>
      </c>
      <c r="AD29" s="1277">
        <f t="shared" si="10"/>
        <v>80.441382531527324</v>
      </c>
      <c r="AE29" s="241">
        <f t="shared" si="8"/>
        <v>31</v>
      </c>
      <c r="AF29" s="244">
        <f t="shared" si="1"/>
        <v>51.301900000000003</v>
      </c>
      <c r="AG29" s="1285"/>
      <c r="AI29" s="1282">
        <f t="shared" si="2"/>
        <v>16.680142909381523</v>
      </c>
      <c r="AJ29" s="1252">
        <v>0.91620000000000001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514" t="s">
        <v>298</v>
      </c>
      <c r="F30" s="241">
        <v>177.8</v>
      </c>
      <c r="G30" s="241" t="s">
        <v>28</v>
      </c>
      <c r="H30" s="1299" t="s">
        <v>687</v>
      </c>
      <c r="I30" s="1514">
        <v>558.21</v>
      </c>
      <c r="J30" s="1448">
        <v>85</v>
      </c>
      <c r="K30" s="241"/>
      <c r="L30" s="1277">
        <v>251</v>
      </c>
      <c r="M30" s="241"/>
      <c r="N30" s="1278">
        <v>0.4</v>
      </c>
      <c r="O30" s="241"/>
      <c r="P30" s="1278">
        <f t="shared" si="4"/>
        <v>30.231706766127648</v>
      </c>
      <c r="Q30" s="1278">
        <f>20*J30/100</f>
        <v>17</v>
      </c>
      <c r="R30" s="244">
        <v>2.4540000000000002</v>
      </c>
      <c r="S30" s="244">
        <v>16.798999999999999</v>
      </c>
      <c r="T30" s="1277">
        <v>41.4</v>
      </c>
      <c r="U30" s="1278">
        <f t="shared" si="0"/>
        <v>16.87041564792176</v>
      </c>
      <c r="V30" s="1292">
        <f t="shared" si="5"/>
        <v>85.391987618310608</v>
      </c>
      <c r="W30" s="1279">
        <v>0.3</v>
      </c>
      <c r="X30" s="1449">
        <v>85</v>
      </c>
      <c r="Y30" s="1277">
        <f t="shared" si="3"/>
        <v>98.817647058823525</v>
      </c>
      <c r="Z30" s="1293">
        <f t="shared" si="14"/>
        <v>2.4245520000000003</v>
      </c>
      <c r="AA30" s="244">
        <f t="shared" si="12"/>
        <v>16.597411999999998</v>
      </c>
      <c r="AB30" s="1277">
        <f t="shared" si="13"/>
        <v>40.903199999999998</v>
      </c>
      <c r="AC30" s="244">
        <f t="shared" si="11"/>
        <v>16.87041564792176</v>
      </c>
      <c r="AD30" s="1277">
        <f t="shared" si="10"/>
        <v>85.391987618310608</v>
      </c>
      <c r="AE30" s="241">
        <f t="shared" si="8"/>
        <v>31</v>
      </c>
      <c r="AF30" s="244">
        <f>Z30*AE30</f>
        <v>75.161112000000003</v>
      </c>
      <c r="AG30" s="1285"/>
      <c r="AI30" s="1282">
        <f t="shared" si="2"/>
        <v>30.231706766127648</v>
      </c>
      <c r="AJ30" s="1252">
        <v>0.93420000000000003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514" t="s">
        <v>79</v>
      </c>
      <c r="F31" s="241">
        <v>177.8</v>
      </c>
      <c r="G31" s="241" t="s">
        <v>28</v>
      </c>
      <c r="H31" s="1299" t="s">
        <v>565</v>
      </c>
      <c r="I31" s="1514">
        <v>526.29</v>
      </c>
      <c r="J31" s="1448">
        <v>290</v>
      </c>
      <c r="K31" s="241"/>
      <c r="L31" s="1277">
        <v>271</v>
      </c>
      <c r="M31" s="241"/>
      <c r="N31" s="1278">
        <v>3.6</v>
      </c>
      <c r="O31" s="241"/>
      <c r="P31" s="1278">
        <f t="shared" si="4"/>
        <v>28.311544002700355</v>
      </c>
      <c r="Q31" s="1278">
        <f>LEFT(H31,(FIND("E",H31,1)-1))*J31/100</f>
        <v>92.8</v>
      </c>
      <c r="R31" s="244">
        <v>15.741</v>
      </c>
      <c r="S31" s="244">
        <v>84.856999999999999</v>
      </c>
      <c r="T31" s="1277">
        <v>347</v>
      </c>
      <c r="U31" s="1278">
        <f t="shared" si="0"/>
        <v>22.04434279905978</v>
      </c>
      <c r="V31" s="1292">
        <f t="shared" si="5"/>
        <v>81.449968770991205</v>
      </c>
      <c r="W31" s="1279">
        <v>0.2</v>
      </c>
      <c r="X31" s="1449">
        <v>290</v>
      </c>
      <c r="Y31" s="1277">
        <f t="shared" si="3"/>
        <v>91.440732758620697</v>
      </c>
      <c r="Z31" s="1293">
        <f t="shared" si="14"/>
        <v>15.552107999999999</v>
      </c>
      <c r="AA31" s="244">
        <f t="shared" si="12"/>
        <v>83.838716000000005</v>
      </c>
      <c r="AB31" s="1277">
        <f t="shared" si="13"/>
        <v>342.83600000000001</v>
      </c>
      <c r="AC31" s="244">
        <f t="shared" si="11"/>
        <v>22.04434279905978</v>
      </c>
      <c r="AD31" s="1277">
        <f t="shared" si="10"/>
        <v>81.449968770991205</v>
      </c>
      <c r="AE31" s="241">
        <f t="shared" si="8"/>
        <v>31</v>
      </c>
      <c r="AF31" s="244">
        <f>Z31*AE31</f>
        <v>482.11534799999998</v>
      </c>
      <c r="AG31" s="1281"/>
      <c r="AI31" s="1282">
        <f t="shared" si="2"/>
        <v>28.311544002700355</v>
      </c>
      <c r="AJ31" s="1252">
        <v>0.88449999999999995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514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432</v>
      </c>
      <c r="M32" s="241"/>
      <c r="N32" s="1278">
        <v>5.9</v>
      </c>
      <c r="O32" s="241"/>
      <c r="P32" s="1278">
        <f t="shared" si="4"/>
        <v>14.144060143080765</v>
      </c>
      <c r="Q32" s="1278">
        <f>RIGHT(H32,(FIND("T",H32,1)-0))*J32/100</f>
        <v>56</v>
      </c>
      <c r="R32" s="244">
        <v>12.842000000000001</v>
      </c>
      <c r="S32" s="244">
        <v>33.738999999999997</v>
      </c>
      <c r="T32" s="1277">
        <v>350</v>
      </c>
      <c r="U32" s="1278">
        <f t="shared" si="0"/>
        <v>27.25432175673571</v>
      </c>
      <c r="V32" s="1292">
        <f t="shared" si="5"/>
        <v>61.937223984113345</v>
      </c>
      <c r="W32" s="1279">
        <v>0.2</v>
      </c>
      <c r="X32" s="1316">
        <v>280</v>
      </c>
      <c r="Y32" s="1277">
        <f t="shared" si="3"/>
        <v>60.248214285714283</v>
      </c>
      <c r="Z32" s="1293">
        <f t="shared" si="14"/>
        <v>12.687896</v>
      </c>
      <c r="AA32" s="244">
        <f t="shared" si="12"/>
        <v>33.334131999999997</v>
      </c>
      <c r="AB32" s="1277">
        <f t="shared" si="13"/>
        <v>345.8</v>
      </c>
      <c r="AC32" s="244">
        <f t="shared" si="11"/>
        <v>27.25432175673571</v>
      </c>
      <c r="AD32" s="1277">
        <f t="shared" si="10"/>
        <v>61.937223984113345</v>
      </c>
      <c r="AE32" s="241">
        <f t="shared" si="8"/>
        <v>31</v>
      </c>
      <c r="AF32" s="244">
        <f t="shared" si="1"/>
        <v>393.32477599999999</v>
      </c>
      <c r="AG32" s="1281"/>
      <c r="AI32" s="1282">
        <f t="shared" si="2"/>
        <v>14.144060143080765</v>
      </c>
      <c r="AJ32" s="1252">
        <v>0.87939999999999996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514">
        <v>569.99</v>
      </c>
      <c r="J33" s="1448">
        <v>220</v>
      </c>
      <c r="K33" s="241"/>
      <c r="L33" s="1277">
        <v>434</v>
      </c>
      <c r="M33" s="241"/>
      <c r="N33" s="1278">
        <v>3.8</v>
      </c>
      <c r="O33" s="241"/>
      <c r="P33" s="1278">
        <f t="shared" si="4"/>
        <v>16.844610838465147</v>
      </c>
      <c r="Q33" s="1278">
        <f>LEFT(H33,(FIND("K",H33,1)-1))*J33/100</f>
        <v>28.6</v>
      </c>
      <c r="R33" s="244">
        <v>6.9749999999999996</v>
      </c>
      <c r="S33" s="244">
        <v>20.51</v>
      </c>
      <c r="T33" s="1277">
        <v>60.6</v>
      </c>
      <c r="U33" s="1278">
        <f t="shared" si="0"/>
        <v>8.6881720430107539</v>
      </c>
      <c r="V33" s="1292">
        <f t="shared" si="5"/>
        <v>65.992198927352518</v>
      </c>
      <c r="W33" s="1279">
        <v>0.2</v>
      </c>
      <c r="X33" s="1449">
        <v>220</v>
      </c>
      <c r="Y33" s="1277">
        <f t="shared" si="3"/>
        <v>71.71328671328672</v>
      </c>
      <c r="Z33" s="1293">
        <f t="shared" si="14"/>
        <v>6.8912999999999993</v>
      </c>
      <c r="AA33" s="244">
        <f t="shared" si="12"/>
        <v>20.26388</v>
      </c>
      <c r="AB33" s="1277">
        <f t="shared" si="13"/>
        <v>59.872799999999998</v>
      </c>
      <c r="AC33" s="244">
        <f t="shared" si="11"/>
        <v>8.6881720430107539</v>
      </c>
      <c r="AD33" s="1277">
        <f t="shared" si="10"/>
        <v>65.992198927352518</v>
      </c>
      <c r="AE33" s="241">
        <f t="shared" si="8"/>
        <v>31</v>
      </c>
      <c r="AF33" s="244">
        <f>Z33*AE33</f>
        <v>213.63029999999998</v>
      </c>
      <c r="AG33" s="1285"/>
      <c r="AI33" s="1282">
        <f t="shared" si="2"/>
        <v>16.844610838465147</v>
      </c>
      <c r="AJ33" s="1252">
        <v>0.91949999999999998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100</v>
      </c>
      <c r="K34" s="1274"/>
      <c r="L34" s="1305">
        <v>46</v>
      </c>
      <c r="M34" s="1274"/>
      <c r="N34" s="1306">
        <v>0.5</v>
      </c>
      <c r="O34" s="1274"/>
      <c r="P34" s="1278">
        <f t="shared" si="4"/>
        <v>49.135763479463733</v>
      </c>
      <c r="Q34" s="1278">
        <f>22*J34/100</f>
        <v>22</v>
      </c>
      <c r="R34" s="1307">
        <v>1.5669999999999999</v>
      </c>
      <c r="S34" s="244">
        <v>20.74</v>
      </c>
      <c r="T34" s="1305">
        <v>0</v>
      </c>
      <c r="U34" s="1278">
        <f t="shared" si="0"/>
        <v>0</v>
      </c>
      <c r="V34" s="1292">
        <f t="shared" si="5"/>
        <v>92.44455159112826</v>
      </c>
      <c r="W34" s="1308">
        <v>0.24</v>
      </c>
      <c r="X34" s="238">
        <v>100</v>
      </c>
      <c r="Y34" s="1277">
        <f t="shared" si="3"/>
        <v>94.272727272727266</v>
      </c>
      <c r="Z34" s="1293">
        <f t="shared" si="14"/>
        <v>1.5481959999999999</v>
      </c>
      <c r="AA34" s="244">
        <f t="shared" si="12"/>
        <v>20.491119999999999</v>
      </c>
      <c r="AB34" s="1277">
        <f t="shared" si="13"/>
        <v>0</v>
      </c>
      <c r="AC34" s="1307">
        <f t="shared" si="11"/>
        <v>0</v>
      </c>
      <c r="AD34" s="1305">
        <f t="shared" si="10"/>
        <v>92.44455159112826</v>
      </c>
      <c r="AE34" s="241">
        <f>(DAY(EOMONTH($AH$17,0))-AH34)</f>
        <v>31</v>
      </c>
      <c r="AF34" s="1307">
        <f>Z34*AE34</f>
        <v>47.994076</v>
      </c>
      <c r="AG34" s="1285"/>
      <c r="AI34" s="1282">
        <f t="shared" si="2"/>
        <v>49.135763479463733</v>
      </c>
      <c r="AJ34" s="1252">
        <v>0.90500000000000003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447</v>
      </c>
      <c r="M35" s="241"/>
      <c r="N35" s="1278">
        <v>3.2</v>
      </c>
      <c r="O35" s="241"/>
      <c r="P35" s="1278">
        <f t="shared" si="4"/>
        <v>14.129270109735133</v>
      </c>
      <c r="Q35" s="1278">
        <f>20*J35/100</f>
        <v>19</v>
      </c>
      <c r="R35" s="244">
        <v>3.4540000000000002</v>
      </c>
      <c r="S35" s="244">
        <v>9.0350000000000001</v>
      </c>
      <c r="T35" s="1277">
        <v>16.8</v>
      </c>
      <c r="U35" s="1278">
        <f t="shared" si="0"/>
        <v>4.8639258830341632</v>
      </c>
      <c r="V35" s="1292">
        <f t="shared" si="5"/>
        <v>61.770890979524061</v>
      </c>
      <c r="W35" s="1279">
        <v>0.2</v>
      </c>
      <c r="X35" s="1316">
        <v>95</v>
      </c>
      <c r="Y35" s="1277">
        <f t="shared" si="3"/>
        <v>47.55263157894737</v>
      </c>
      <c r="Z35" s="1293">
        <f t="shared" si="14"/>
        <v>3.4125520000000003</v>
      </c>
      <c r="AA35" s="244">
        <f t="shared" si="12"/>
        <v>8.9265799999999995</v>
      </c>
      <c r="AB35" s="1277">
        <f t="shared" si="13"/>
        <v>16.598400000000002</v>
      </c>
      <c r="AC35" s="1307">
        <f t="shared" si="11"/>
        <v>4.8639258830341632</v>
      </c>
      <c r="AD35" s="1305">
        <f t="shared" si="10"/>
        <v>61.770890979524061</v>
      </c>
      <c r="AE35" s="241">
        <f t="shared" si="8"/>
        <v>31</v>
      </c>
      <c r="AF35" s="1307">
        <f>Z35*AE35</f>
        <v>105.789112</v>
      </c>
      <c r="AG35" s="1281"/>
      <c r="AI35" s="1282">
        <f t="shared" si="2"/>
        <v>14.129270109735133</v>
      </c>
      <c r="AJ35" s="1252">
        <v>0.88390000000000002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514">
        <v>564.05999999999995</v>
      </c>
      <c r="J36" s="241">
        <v>260</v>
      </c>
      <c r="K36" s="241"/>
      <c r="L36" s="1277">
        <v>502</v>
      </c>
      <c r="M36" s="241"/>
      <c r="N36" s="1278">
        <v>0</v>
      </c>
      <c r="O36" s="241"/>
      <c r="P36" s="1278">
        <f t="shared" si="4"/>
        <v>5.9414434139262511</v>
      </c>
      <c r="Q36" s="1278">
        <f>LEFT(H36,(FIND("E",H36,1)-1))*J36/100</f>
        <v>33.799999999999997</v>
      </c>
      <c r="R36" s="244">
        <v>2.9689999999999999</v>
      </c>
      <c r="S36" s="244">
        <v>8.6</v>
      </c>
      <c r="T36" s="1277">
        <v>16</v>
      </c>
      <c r="U36" s="1278">
        <f t="shared" si="0"/>
        <v>5.3890198720107785</v>
      </c>
      <c r="V36" s="1292">
        <f t="shared" si="5"/>
        <v>65.476744186046517</v>
      </c>
      <c r="W36" s="1279">
        <v>0.2</v>
      </c>
      <c r="X36" s="1316">
        <v>260</v>
      </c>
      <c r="Y36" s="1277">
        <f t="shared" si="3"/>
        <v>25.443786982248522</v>
      </c>
      <c r="Z36" s="1293">
        <f t="shared" si="14"/>
        <v>2.9333719999999999</v>
      </c>
      <c r="AA36" s="244">
        <f t="shared" si="12"/>
        <v>8.4968000000000004</v>
      </c>
      <c r="AB36" s="1277">
        <f t="shared" si="13"/>
        <v>15.808</v>
      </c>
      <c r="AC36" s="244">
        <f t="shared" si="11"/>
        <v>5.3890198720107785</v>
      </c>
      <c r="AD36" s="1305">
        <f t="shared" si="10"/>
        <v>65.476744186046517</v>
      </c>
      <c r="AE36" s="241">
        <f t="shared" si="8"/>
        <v>31</v>
      </c>
      <c r="AF36" s="244">
        <f t="shared" si="1"/>
        <v>90.93453199999999</v>
      </c>
      <c r="AG36" s="1281"/>
      <c r="AI36" s="1282">
        <f t="shared" si="2"/>
        <v>5.9414434139262511</v>
      </c>
      <c r="AJ36" s="1252">
        <v>0.91639999999999999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514">
        <v>551</v>
      </c>
      <c r="J37" s="1448">
        <v>145</v>
      </c>
      <c r="K37" s="241"/>
      <c r="L37" s="1277">
        <v>458</v>
      </c>
      <c r="M37" s="241"/>
      <c r="N37" s="1278">
        <v>2.9</v>
      </c>
      <c r="O37" s="241"/>
      <c r="P37" s="1278">
        <f t="shared" si="4"/>
        <v>11.519457620893458</v>
      </c>
      <c r="Q37" s="1278">
        <f>14*J37/100</f>
        <v>20.3</v>
      </c>
      <c r="R37" s="244">
        <v>6.3310000000000004</v>
      </c>
      <c r="S37" s="244">
        <v>12.677</v>
      </c>
      <c r="T37" s="1277">
        <v>24</v>
      </c>
      <c r="U37" s="1278">
        <f t="shared" si="0"/>
        <v>3.7908703206444478</v>
      </c>
      <c r="V37" s="1292">
        <f t="shared" si="5"/>
        <v>50.059162262364907</v>
      </c>
      <c r="W37" s="1279">
        <v>0.2</v>
      </c>
      <c r="X37" s="1449">
        <v>145</v>
      </c>
      <c r="Y37" s="1277">
        <f t="shared" si="3"/>
        <v>62.448275862068961</v>
      </c>
      <c r="Z37" s="1293">
        <f t="shared" si="14"/>
        <v>6.2550280000000003</v>
      </c>
      <c r="AA37" s="244">
        <f t="shared" si="12"/>
        <v>12.524875999999999</v>
      </c>
      <c r="AB37" s="1277">
        <f t="shared" si="13"/>
        <v>23.712</v>
      </c>
      <c r="AC37" s="244">
        <f t="shared" si="11"/>
        <v>3.7908703206444478</v>
      </c>
      <c r="AD37" s="1305">
        <f t="shared" si="10"/>
        <v>50.059162262364907</v>
      </c>
      <c r="AE37" s="241">
        <f t="shared" si="8"/>
        <v>31</v>
      </c>
      <c r="AF37" s="244">
        <f t="shared" si="1"/>
        <v>193.905868</v>
      </c>
      <c r="AG37" s="1450"/>
      <c r="AI37" s="1282">
        <f t="shared" si="2"/>
        <v>11.519457620893458</v>
      </c>
      <c r="AJ37" s="1252">
        <v>0.88239999999999996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14">
        <v>565.36</v>
      </c>
      <c r="J38" s="241">
        <v>100</v>
      </c>
      <c r="K38" s="241"/>
      <c r="L38" s="1277">
        <v>357</v>
      </c>
      <c r="M38" s="241"/>
      <c r="N38" s="1278">
        <v>3</v>
      </c>
      <c r="O38" s="241"/>
      <c r="P38" s="1278">
        <f t="shared" si="4"/>
        <v>23.056009022925277</v>
      </c>
      <c r="Q38" s="1278">
        <f>13*J38/100</f>
        <v>13</v>
      </c>
      <c r="R38" s="244">
        <v>2.0369999999999999</v>
      </c>
      <c r="S38" s="244">
        <v>9.6219999999999999</v>
      </c>
      <c r="T38" s="1277">
        <v>14</v>
      </c>
      <c r="U38" s="1278">
        <f>IF(R38=0,0,T38/R38)</f>
        <v>6.8728522336769764</v>
      </c>
      <c r="V38" s="1292">
        <f t="shared" si="5"/>
        <v>78.829765121596338</v>
      </c>
      <c r="W38" s="1279">
        <v>0.2</v>
      </c>
      <c r="X38" s="1316">
        <v>100</v>
      </c>
      <c r="Y38" s="1277">
        <f t="shared" si="3"/>
        <v>74.015384615384619</v>
      </c>
      <c r="Z38" s="1293">
        <f t="shared" si="14"/>
        <v>2.012556</v>
      </c>
      <c r="AA38" s="244">
        <f t="shared" si="12"/>
        <v>9.5065360000000005</v>
      </c>
      <c r="AB38" s="1277">
        <f t="shared" si="13"/>
        <v>13.832000000000001</v>
      </c>
      <c r="AC38" s="244">
        <f t="shared" si="11"/>
        <v>6.8728522336769764</v>
      </c>
      <c r="AD38" s="1305">
        <v>70</v>
      </c>
      <c r="AE38" s="241">
        <f t="shared" si="8"/>
        <v>31</v>
      </c>
      <c r="AF38" s="244">
        <f>Z38*AE38</f>
        <v>62.389235999999997</v>
      </c>
      <c r="AG38" s="1285"/>
      <c r="AI38" s="1282">
        <f t="shared" si="2"/>
        <v>23.056009022925277</v>
      </c>
      <c r="AJ38" s="1252">
        <v>0.91810000000000003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514">
        <v>535.91</v>
      </c>
      <c r="J39" s="1448">
        <v>300</v>
      </c>
      <c r="K39" s="241"/>
      <c r="L39" s="1277">
        <v>447</v>
      </c>
      <c r="M39" s="241"/>
      <c r="N39" s="1278">
        <v>3</v>
      </c>
      <c r="O39" s="241"/>
      <c r="P39" s="1278">
        <f t="shared" si="4"/>
        <v>11.210036895615191</v>
      </c>
      <c r="Q39" s="1278">
        <f>(20/100)*J39</f>
        <v>60</v>
      </c>
      <c r="R39" s="244">
        <v>7.89</v>
      </c>
      <c r="S39" s="244">
        <v>12.826000000000001</v>
      </c>
      <c r="T39" s="1277">
        <v>131</v>
      </c>
      <c r="U39" s="1278">
        <f t="shared" ref="U39:U86" si="15">IF(R39=0,0,T39/R39)</f>
        <v>16.603295310519645</v>
      </c>
      <c r="V39" s="1292">
        <f t="shared" si="5"/>
        <v>38.484328707313274</v>
      </c>
      <c r="W39" s="1279">
        <v>0.2</v>
      </c>
      <c r="X39" s="1449">
        <v>300</v>
      </c>
      <c r="Y39" s="1277">
        <f t="shared" si="3"/>
        <v>21.376666666666669</v>
      </c>
      <c r="Z39" s="1293">
        <f t="shared" si="14"/>
        <v>7.7953199999999994</v>
      </c>
      <c r="AA39" s="244">
        <f t="shared" si="12"/>
        <v>12.672088</v>
      </c>
      <c r="AB39" s="1277">
        <f t="shared" si="13"/>
        <v>129.428</v>
      </c>
      <c r="AC39" s="244">
        <v>89.536086956521729</v>
      </c>
      <c r="AD39" s="1305">
        <f>V39</f>
        <v>38.484328707313274</v>
      </c>
      <c r="AE39" s="241">
        <f t="shared" si="8"/>
        <v>31</v>
      </c>
      <c r="AF39" s="244">
        <f t="shared" si="1"/>
        <v>241.65491999999998</v>
      </c>
      <c r="AG39" s="1314"/>
      <c r="AI39" s="1282">
        <f t="shared" si="2"/>
        <v>11.210036895615191</v>
      </c>
      <c r="AJ39" s="1252">
        <v>0.90390000000000004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514">
        <v>565.11</v>
      </c>
      <c r="J40" s="1448">
        <v>280</v>
      </c>
      <c r="K40" s="241"/>
      <c r="L40" s="1277">
        <v>153</v>
      </c>
      <c r="M40" s="241"/>
      <c r="N40" s="1278">
        <v>4.2</v>
      </c>
      <c r="O40" s="241"/>
      <c r="P40" s="1278">
        <f t="shared" si="4"/>
        <v>44.229518017228195</v>
      </c>
      <c r="Q40" s="1278">
        <f>LEFT(H40,(FIND("K",H40,1)-1))*J40/100</f>
        <v>64.400000000000006</v>
      </c>
      <c r="R40" s="244">
        <v>3.73</v>
      </c>
      <c r="S40" s="244">
        <v>18.988</v>
      </c>
      <c r="T40" s="1277">
        <v>25.1</v>
      </c>
      <c r="U40" s="1278">
        <f t="shared" si="15"/>
        <v>6.7292225201072391</v>
      </c>
      <c r="V40" s="1292">
        <f t="shared" si="5"/>
        <v>80.356014324836735</v>
      </c>
      <c r="W40" s="1279">
        <v>0.3</v>
      </c>
      <c r="X40" s="1449">
        <v>280</v>
      </c>
      <c r="Y40" s="1277">
        <f t="shared" si="3"/>
        <v>29.484472049689437</v>
      </c>
      <c r="Z40" s="1293">
        <f t="shared" si="14"/>
        <v>3.6852399999999998</v>
      </c>
      <c r="AA40" s="244">
        <f t="shared" si="12"/>
        <v>18.760144</v>
      </c>
      <c r="AB40" s="1277">
        <f t="shared" si="13"/>
        <v>24.7988</v>
      </c>
      <c r="AC40" s="244">
        <f>U40</f>
        <v>6.7292225201072391</v>
      </c>
      <c r="AD40" s="1277">
        <f>V40</f>
        <v>80.356014324836735</v>
      </c>
      <c r="AE40" s="241">
        <f t="shared" si="8"/>
        <v>31</v>
      </c>
      <c r="AF40" s="244">
        <f t="shared" si="1"/>
        <v>114.24244</v>
      </c>
      <c r="AG40" s="1285"/>
      <c r="AI40" s="1282">
        <f t="shared" si="2"/>
        <v>44.229518017228195</v>
      </c>
      <c r="AJ40" s="1252">
        <v>0.91690000000000005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380</v>
      </c>
      <c r="M41" s="241"/>
      <c r="N41" s="1278">
        <v>1.2</v>
      </c>
      <c r="O41" s="241"/>
      <c r="P41" s="1278">
        <f t="shared" si="4"/>
        <v>18.934705438044109</v>
      </c>
      <c r="Q41" s="1278">
        <f>14*J41/100</f>
        <v>11.9</v>
      </c>
      <c r="R41" s="244">
        <v>1.9319999999999999</v>
      </c>
      <c r="S41" s="244">
        <v>10.638999999999999</v>
      </c>
      <c r="T41" s="1277">
        <v>12</v>
      </c>
      <c r="U41" s="1278">
        <f t="shared" si="15"/>
        <v>6.2111801242236027</v>
      </c>
      <c r="V41" s="1292">
        <f t="shared" si="5"/>
        <v>81.840398533696771</v>
      </c>
      <c r="W41" s="1279">
        <v>0.2</v>
      </c>
      <c r="X41" s="1316">
        <v>85</v>
      </c>
      <c r="Y41" s="1277">
        <f t="shared" si="3"/>
        <v>89.403361344537799</v>
      </c>
      <c r="Z41" s="1293">
        <f t="shared" si="14"/>
        <v>1.9088159999999998</v>
      </c>
      <c r="AA41" s="244">
        <f t="shared" si="12"/>
        <v>10.511331999999999</v>
      </c>
      <c r="AB41" s="1277">
        <f t="shared" si="13"/>
        <v>11.856</v>
      </c>
      <c r="AC41" s="244">
        <f>U41</f>
        <v>6.2111801242236027</v>
      </c>
      <c r="AD41" s="1277">
        <f>V41</f>
        <v>81.840398533696771</v>
      </c>
      <c r="AE41" s="241">
        <f t="shared" si="8"/>
        <v>31</v>
      </c>
      <c r="AF41" s="244">
        <f t="shared" si="1"/>
        <v>59.173295999999993</v>
      </c>
      <c r="AG41" s="1285"/>
      <c r="AI41" s="1282">
        <f t="shared" si="2"/>
        <v>18.934705438044109</v>
      </c>
      <c r="AJ41" s="1252">
        <v>0.90100000000000002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100</v>
      </c>
      <c r="K42" s="241"/>
      <c r="L42" s="1277">
        <v>95</v>
      </c>
      <c r="M42" s="241"/>
      <c r="N42" s="1278">
        <v>1.583</v>
      </c>
      <c r="O42" s="241"/>
      <c r="P42" s="1278">
        <f t="shared" si="4"/>
        <v>49.109534733129514</v>
      </c>
      <c r="Q42" s="1278">
        <f>(32/100)*J42</f>
        <v>32</v>
      </c>
      <c r="R42" s="244">
        <v>2.641</v>
      </c>
      <c r="S42" s="244">
        <v>34.246000000000002</v>
      </c>
      <c r="T42" s="1277">
        <v>64</v>
      </c>
      <c r="U42" s="1278">
        <f t="shared" si="15"/>
        <v>24.233244982961001</v>
      </c>
      <c r="V42" s="1292">
        <f t="shared" si="5"/>
        <v>92.28815044092741</v>
      </c>
      <c r="W42" s="1279">
        <v>0.1</v>
      </c>
      <c r="X42" s="1316">
        <v>100</v>
      </c>
      <c r="Y42" s="1277">
        <f t="shared" si="3"/>
        <v>107.01875000000001</v>
      </c>
      <c r="Z42" s="1293">
        <f t="shared" si="14"/>
        <v>2.609308</v>
      </c>
      <c r="AA42" s="244">
        <f t="shared" si="12"/>
        <v>33.835048</v>
      </c>
      <c r="AB42" s="1277">
        <f t="shared" si="13"/>
        <v>63.231999999999999</v>
      </c>
      <c r="AC42" s="244">
        <f>U42</f>
        <v>24.233244982961001</v>
      </c>
      <c r="AD42" s="1277">
        <f>V42</f>
        <v>92.28815044092741</v>
      </c>
      <c r="AE42" s="241">
        <f t="shared" si="8"/>
        <v>31</v>
      </c>
      <c r="AF42" s="244">
        <f t="shared" si="1"/>
        <v>80.888548</v>
      </c>
      <c r="AG42" s="1281"/>
      <c r="AI42" s="1282">
        <f t="shared" si="2"/>
        <v>49.109534733129514</v>
      </c>
      <c r="AJ42" s="1252">
        <v>0.89100000000000001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14">
        <v>554.16999999999996</v>
      </c>
      <c r="J43" s="1448">
        <v>125</v>
      </c>
      <c r="K43" s="241"/>
      <c r="L43" s="1277">
        <v>381</v>
      </c>
      <c r="M43" s="241"/>
      <c r="N43" s="1278">
        <v>5.0999999999999996</v>
      </c>
      <c r="O43" s="241"/>
      <c r="P43" s="1278">
        <f t="shared" si="4"/>
        <v>21.491692364764177</v>
      </c>
      <c r="Q43" s="1278">
        <f>(32/100)*J43</f>
        <v>40</v>
      </c>
      <c r="R43" s="244">
        <v>14.821999999999999</v>
      </c>
      <c r="S43" s="244">
        <v>40.375</v>
      </c>
      <c r="T43" s="1277">
        <v>78</v>
      </c>
      <c r="U43" s="1278">
        <f t="shared" si="15"/>
        <v>5.2624477128592639</v>
      </c>
      <c r="V43" s="1292">
        <f t="shared" si="5"/>
        <v>63.289164086687308</v>
      </c>
      <c r="W43" s="1279">
        <v>0.2</v>
      </c>
      <c r="X43" s="1449">
        <v>125</v>
      </c>
      <c r="Y43" s="1277">
        <f t="shared" si="3"/>
        <v>100.93749999999999</v>
      </c>
      <c r="Z43" s="1293">
        <f t="shared" si="14"/>
        <v>14.644136</v>
      </c>
      <c r="AA43" s="244">
        <f t="shared" si="12"/>
        <v>39.890500000000003</v>
      </c>
      <c r="AB43" s="1277">
        <f t="shared" si="13"/>
        <v>77.063999999999993</v>
      </c>
      <c r="AC43" s="244">
        <f>U43</f>
        <v>5.2624477128592639</v>
      </c>
      <c r="AD43" s="1277">
        <f>V43</f>
        <v>63.289164086687308</v>
      </c>
      <c r="AE43" s="241">
        <f>(DAY(EOMONTH($AH$17,0))-AH43)</f>
        <v>31</v>
      </c>
      <c r="AF43" s="244">
        <f t="shared" si="1"/>
        <v>453.96821599999998</v>
      </c>
      <c r="AG43" s="1477"/>
      <c r="AI43" s="1282">
        <f t="shared" si="2"/>
        <v>21.491692364764177</v>
      </c>
      <c r="AJ43" s="1252">
        <v>0.89349999999999996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481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92"/>
      <c r="W44" s="1279"/>
      <c r="X44" s="1449"/>
      <c r="Y44" s="1277">
        <f t="shared" si="3"/>
        <v>0</v>
      </c>
      <c r="Z44" s="1293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514">
        <v>544.70000000000005</v>
      </c>
      <c r="J45" s="241">
        <v>85</v>
      </c>
      <c r="K45" s="241"/>
      <c r="L45" s="1277">
        <v>136</v>
      </c>
      <c r="M45" s="241"/>
      <c r="N45" s="1278">
        <v>3.9</v>
      </c>
      <c r="O45" s="241"/>
      <c r="P45" s="1278">
        <f t="shared" si="4"/>
        <v>42.989203608510493</v>
      </c>
      <c r="Q45" s="1278">
        <f>J45*20/100</f>
        <v>17</v>
      </c>
      <c r="R45" s="244">
        <v>5.2549999999999999</v>
      </c>
      <c r="S45" s="244">
        <v>21.047000000000001</v>
      </c>
      <c r="T45" s="1277">
        <v>16.773</v>
      </c>
      <c r="U45" s="1278">
        <f t="shared" si="15"/>
        <v>3.1918173168411039</v>
      </c>
      <c r="V45" s="1292">
        <f t="shared" si="5"/>
        <v>75.032071079013633</v>
      </c>
      <c r="W45" s="1279">
        <v>0.2</v>
      </c>
      <c r="X45" s="1316">
        <v>85</v>
      </c>
      <c r="Y45" s="1277">
        <f t="shared" si="3"/>
        <v>123.80588235294118</v>
      </c>
      <c r="Z45" s="1293">
        <f t="shared" ref="Z45:AB49" si="16">R45*0.988</f>
        <v>5.1919399999999998</v>
      </c>
      <c r="AA45" s="244">
        <f t="shared" si="16"/>
        <v>20.794436000000001</v>
      </c>
      <c r="AB45" s="1277">
        <f t="shared" si="16"/>
        <v>16.571724</v>
      </c>
      <c r="AC45" s="244">
        <f t="shared" ref="AC45:AD51" si="17">U45</f>
        <v>3.1918173168411039</v>
      </c>
      <c r="AD45" s="1277">
        <f t="shared" si="17"/>
        <v>75.032071079013633</v>
      </c>
      <c r="AE45" s="241">
        <f t="shared" ref="AE45" si="18">(DAY(EOMONTH($AH$17,0))-AH45)</f>
        <v>31</v>
      </c>
      <c r="AF45" s="244">
        <f t="shared" si="1"/>
        <v>160.95014</v>
      </c>
      <c r="AG45" s="1281"/>
      <c r="AI45" s="1282">
        <f t="shared" si="2"/>
        <v>42.989203608510493</v>
      </c>
      <c r="AJ45" s="1252">
        <v>0.89929999999999999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514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514">
        <v>553.30999999999995</v>
      </c>
      <c r="J46" s="1514">
        <v>220</v>
      </c>
      <c r="K46" s="1514"/>
      <c r="L46" s="1319">
        <v>411</v>
      </c>
      <c r="M46" s="1514"/>
      <c r="N46" s="1278">
        <v>1.5</v>
      </c>
      <c r="O46" s="1514"/>
      <c r="P46" s="1278">
        <f t="shared" si="4"/>
        <v>14.952206008406788</v>
      </c>
      <c r="Q46" s="1278">
        <f>J46*32/100</f>
        <v>70.400000000000006</v>
      </c>
      <c r="R46" s="244">
        <v>8.2620000000000005</v>
      </c>
      <c r="S46" s="244">
        <v>22.812000000000001</v>
      </c>
      <c r="T46" s="1319">
        <v>69</v>
      </c>
      <c r="U46" s="1278">
        <f t="shared" si="15"/>
        <v>8.3514887436456053</v>
      </c>
      <c r="V46" s="1292">
        <f t="shared" si="5"/>
        <v>63.782219884271441</v>
      </c>
      <c r="W46" s="1279">
        <v>0.2</v>
      </c>
      <c r="X46" s="1410">
        <v>220</v>
      </c>
      <c r="Y46" s="1277">
        <f t="shared" si="3"/>
        <v>32.403409090909093</v>
      </c>
      <c r="Z46" s="1293">
        <f t="shared" si="16"/>
        <v>8.1628559999999997</v>
      </c>
      <c r="AA46" s="244">
        <f t="shared" si="16"/>
        <v>22.538256000000001</v>
      </c>
      <c r="AB46" s="1277">
        <f t="shared" si="16"/>
        <v>68.171999999999997</v>
      </c>
      <c r="AC46" s="244">
        <f t="shared" si="17"/>
        <v>8.3514887436456053</v>
      </c>
      <c r="AD46" s="1277">
        <f t="shared" si="17"/>
        <v>63.782219884271441</v>
      </c>
      <c r="AE46" s="241">
        <f t="shared" ref="AE46:AE86" si="19">(DAY(EOMONTH($AH$17,0))-AH46)</f>
        <v>31</v>
      </c>
      <c r="AF46" s="244">
        <f t="shared" si="1"/>
        <v>253.04853599999998</v>
      </c>
      <c r="AG46" s="1285"/>
      <c r="AI46" s="1282">
        <f t="shared" si="2"/>
        <v>14.952206008406788</v>
      </c>
      <c r="AJ46" s="1252">
        <v>0.88949999999999996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514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514">
        <v>550.59</v>
      </c>
      <c r="J47" s="1373">
        <v>105</v>
      </c>
      <c r="K47" s="1514"/>
      <c r="L47" s="1277">
        <v>420</v>
      </c>
      <c r="M47" s="1514"/>
      <c r="N47" s="1278">
        <v>0</v>
      </c>
      <c r="O47" s="1514"/>
      <c r="P47" s="1278">
        <f t="shared" si="4"/>
        <v>12.260726753623896</v>
      </c>
      <c r="Q47" s="1278">
        <f>RIGHT(H47,(FIND("T",H47,1)-0))*J47/100</f>
        <v>14.7</v>
      </c>
      <c r="R47" s="244">
        <v>1.115</v>
      </c>
      <c r="S47" s="244">
        <v>2.2930000000000001</v>
      </c>
      <c r="T47" s="1319">
        <v>1</v>
      </c>
      <c r="U47" s="1278">
        <f t="shared" si="15"/>
        <v>0.89686098654708524</v>
      </c>
      <c r="V47" s="1292">
        <f t="shared" si="5"/>
        <v>51.373746184038382</v>
      </c>
      <c r="W47" s="1279">
        <v>0.2</v>
      </c>
      <c r="X47" s="1452">
        <v>105</v>
      </c>
      <c r="Y47" s="1277">
        <f t="shared" si="3"/>
        <v>15.598639455782315</v>
      </c>
      <c r="Z47" s="1293">
        <f t="shared" si="16"/>
        <v>1.10162</v>
      </c>
      <c r="AA47" s="244">
        <f t="shared" si="16"/>
        <v>2.2654840000000003</v>
      </c>
      <c r="AB47" s="1277">
        <f t="shared" si="16"/>
        <v>0.98799999999999999</v>
      </c>
      <c r="AC47" s="244">
        <f t="shared" si="17"/>
        <v>0.89686098654708524</v>
      </c>
      <c r="AD47" s="1277">
        <f t="shared" si="17"/>
        <v>51.373746184038382</v>
      </c>
      <c r="AE47" s="241">
        <f t="shared" si="19"/>
        <v>31</v>
      </c>
      <c r="AF47" s="244">
        <f t="shared" si="1"/>
        <v>34.150220000000004</v>
      </c>
      <c r="AG47" s="1285"/>
      <c r="AI47" s="1282">
        <f t="shared" si="2"/>
        <v>12.260726753623896</v>
      </c>
      <c r="AJ47" s="1252">
        <v>0.90820000000000001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514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514">
        <v>551.54999999999995</v>
      </c>
      <c r="J48" s="1514">
        <v>130</v>
      </c>
      <c r="K48" s="1514"/>
      <c r="L48" s="1319">
        <v>428</v>
      </c>
      <c r="M48" s="1514"/>
      <c r="N48" s="1278">
        <v>0.3</v>
      </c>
      <c r="O48" s="1514"/>
      <c r="P48" s="1278">
        <f t="shared" si="4"/>
        <v>11.390152930709684</v>
      </c>
      <c r="Q48" s="1278">
        <f>14*J48/100</f>
        <v>18.2</v>
      </c>
      <c r="R48" s="244">
        <v>5.0119999999999996</v>
      </c>
      <c r="S48" s="244">
        <v>6.6580000000000004</v>
      </c>
      <c r="T48" s="1319">
        <v>7</v>
      </c>
      <c r="U48" s="1278">
        <f t="shared" si="15"/>
        <v>1.3966480446927376</v>
      </c>
      <c r="V48" s="1292">
        <f t="shared" si="5"/>
        <v>24.72213878041455</v>
      </c>
      <c r="W48" s="1279">
        <v>0.2</v>
      </c>
      <c r="X48" s="1410">
        <v>130</v>
      </c>
      <c r="Y48" s="1277">
        <f t="shared" si="3"/>
        <v>36.582417582417584</v>
      </c>
      <c r="Z48" s="1293">
        <f t="shared" si="16"/>
        <v>4.9518559999999994</v>
      </c>
      <c r="AA48" s="244">
        <f t="shared" si="16"/>
        <v>6.5781040000000006</v>
      </c>
      <c r="AB48" s="1277">
        <f t="shared" si="16"/>
        <v>6.9160000000000004</v>
      </c>
      <c r="AC48" s="244">
        <f t="shared" si="17"/>
        <v>1.3966480446927376</v>
      </c>
      <c r="AD48" s="1277">
        <f t="shared" si="17"/>
        <v>24.72213878041455</v>
      </c>
      <c r="AE48" s="241">
        <f t="shared" si="19"/>
        <v>31</v>
      </c>
      <c r="AF48" s="244">
        <f t="shared" si="1"/>
        <v>153.50753599999999</v>
      </c>
      <c r="AG48" s="1285"/>
      <c r="AI48" s="1282">
        <f t="shared" si="2"/>
        <v>11.390152930709684</v>
      </c>
      <c r="AJ48" s="1252">
        <v>0.89559999999999995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514">
        <v>539.24</v>
      </c>
      <c r="J49" s="241">
        <v>310</v>
      </c>
      <c r="K49" s="241"/>
      <c r="L49" s="1277">
        <v>442</v>
      </c>
      <c r="M49" s="241"/>
      <c r="N49" s="1278">
        <v>4</v>
      </c>
      <c r="O49" s="241"/>
      <c r="P49" s="1278">
        <f t="shared" si="4"/>
        <v>12.992729497401156</v>
      </c>
      <c r="Q49" s="1278">
        <f>20*J49/100</f>
        <v>62</v>
      </c>
      <c r="R49" s="244">
        <v>3.585</v>
      </c>
      <c r="S49" s="244">
        <v>6.3390000000000004</v>
      </c>
      <c r="T49" s="1277">
        <v>5</v>
      </c>
      <c r="U49" s="1278">
        <f t="shared" si="15"/>
        <v>1.394700139470014</v>
      </c>
      <c r="V49" s="1292">
        <f t="shared" si="5"/>
        <v>43.445338381448181</v>
      </c>
      <c r="W49" s="1279">
        <v>0.2</v>
      </c>
      <c r="X49" s="1316">
        <v>310</v>
      </c>
      <c r="Y49" s="1277">
        <f t="shared" si="3"/>
        <v>10.224193548387097</v>
      </c>
      <c r="Z49" s="1293">
        <f t="shared" si="16"/>
        <v>3.5419800000000001</v>
      </c>
      <c r="AA49" s="244">
        <f t="shared" si="16"/>
        <v>6.2629320000000002</v>
      </c>
      <c r="AB49" s="1277">
        <f t="shared" si="16"/>
        <v>4.9399999999999995</v>
      </c>
      <c r="AC49" s="244">
        <f t="shared" si="17"/>
        <v>1.394700139470014</v>
      </c>
      <c r="AD49" s="1277">
        <f t="shared" si="17"/>
        <v>43.445338381448181</v>
      </c>
      <c r="AE49" s="241">
        <f t="shared" si="19"/>
        <v>31</v>
      </c>
      <c r="AF49" s="244">
        <f t="shared" si="1"/>
        <v>109.80138000000001</v>
      </c>
      <c r="AG49" s="1285"/>
      <c r="AI49" s="1282">
        <f t="shared" si="2"/>
        <v>12.992729497401156</v>
      </c>
      <c r="AJ49" s="1252">
        <v>0.90149999999999997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514">
        <v>571.19000000000005</v>
      </c>
      <c r="J50" s="241">
        <v>330</v>
      </c>
      <c r="K50" s="241"/>
      <c r="L50" s="1277">
        <v>337</v>
      </c>
      <c r="M50" s="241"/>
      <c r="N50" s="1278">
        <v>2.9</v>
      </c>
      <c r="O50" s="241"/>
      <c r="P50" s="1278">
        <f t="shared" si="4"/>
        <v>25.40962208379883</v>
      </c>
      <c r="Q50" s="1278">
        <f>LEFT(H50,(FIND("E",H50,1)-1))*J50/100</f>
        <v>42.9</v>
      </c>
      <c r="R50" s="244">
        <v>5.266</v>
      </c>
      <c r="S50" s="244">
        <v>19.582000000000001</v>
      </c>
      <c r="T50" s="1277">
        <v>25</v>
      </c>
      <c r="U50" s="1278">
        <f t="shared" si="15"/>
        <v>4.7474363843524499</v>
      </c>
      <c r="V50" s="1292">
        <f t="shared" si="5"/>
        <v>73.107956286385459</v>
      </c>
      <c r="W50" s="1279">
        <v>0.3</v>
      </c>
      <c r="X50" s="1316">
        <v>330</v>
      </c>
      <c r="Y50" s="1277">
        <f t="shared" si="3"/>
        <v>45.645687645687651</v>
      </c>
      <c r="Z50" s="1293">
        <v>5.38</v>
      </c>
      <c r="AA50" s="244">
        <f>S50*0.988</f>
        <v>19.347016</v>
      </c>
      <c r="AB50" s="1277">
        <f>T50*0.988</f>
        <v>24.7</v>
      </c>
      <c r="AC50" s="244">
        <f t="shared" si="17"/>
        <v>4.7474363843524499</v>
      </c>
      <c r="AD50" s="1277">
        <f t="shared" si="17"/>
        <v>73.107956286385459</v>
      </c>
      <c r="AE50" s="241">
        <v>31</v>
      </c>
      <c r="AF50" s="244">
        <f t="shared" si="1"/>
        <v>166.78</v>
      </c>
      <c r="AG50" s="1285"/>
      <c r="AI50" s="1282">
        <f t="shared" si="2"/>
        <v>25.40962208379883</v>
      </c>
      <c r="AJ50" s="1252">
        <v>0.90359999999999996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481" t="s">
        <v>600</v>
      </c>
      <c r="F51" s="241">
        <v>177.8</v>
      </c>
      <c r="G51" s="241" t="s">
        <v>28</v>
      </c>
      <c r="H51" s="1299" t="s">
        <v>687</v>
      </c>
      <c r="I51" s="1481">
        <v>546.08000000000004</v>
      </c>
      <c r="J51" s="241">
        <v>100</v>
      </c>
      <c r="K51" s="241"/>
      <c r="L51" s="1322">
        <v>200</v>
      </c>
      <c r="M51" s="241"/>
      <c r="N51" s="1306">
        <v>3.7</v>
      </c>
      <c r="O51" s="241"/>
      <c r="P51" s="1278">
        <f t="shared" si="4"/>
        <v>37.347983561147082</v>
      </c>
      <c r="Q51" s="1278">
        <v>20</v>
      </c>
      <c r="R51" s="244">
        <v>4.5590000000000002</v>
      </c>
      <c r="S51" s="244">
        <v>20.25</v>
      </c>
      <c r="T51" s="1277">
        <v>54.5</v>
      </c>
      <c r="U51" s="1278">
        <f t="shared" si="15"/>
        <v>11.954375959640272</v>
      </c>
      <c r="V51" s="1292">
        <f t="shared" si="5"/>
        <v>77.486419753086409</v>
      </c>
      <c r="W51" s="1279">
        <v>0.2</v>
      </c>
      <c r="X51" s="1316">
        <v>100</v>
      </c>
      <c r="Y51" s="1277">
        <f t="shared" si="3"/>
        <v>101.25</v>
      </c>
      <c r="Z51" s="1293">
        <f>R51*0.988</f>
        <v>4.5042920000000004</v>
      </c>
      <c r="AA51" s="244">
        <f>S51*0.988</f>
        <v>20.007000000000001</v>
      </c>
      <c r="AB51" s="1277">
        <f>T51*0.988</f>
        <v>53.845999999999997</v>
      </c>
      <c r="AC51" s="244">
        <f t="shared" si="17"/>
        <v>11.954375959640272</v>
      </c>
      <c r="AD51" s="1277">
        <f t="shared" si="17"/>
        <v>77.486419753086409</v>
      </c>
      <c r="AE51" s="241">
        <f t="shared" si="19"/>
        <v>31</v>
      </c>
      <c r="AF51" s="244">
        <f t="shared" si="1"/>
        <v>139.63305200000002</v>
      </c>
      <c r="AG51" s="1285"/>
      <c r="AI51" s="1282">
        <f t="shared" ref="AI51:AI82" si="20">(9.81*(AJ51*(100%-(V51/100))+AK51*(V51/100))*(I51-L51)+N51*101.325+9.81*(AL51)*L51)/101.325</f>
        <v>37.347983561147082</v>
      </c>
      <c r="AJ51" s="1252">
        <v>0.9204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481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92"/>
      <c r="W52" s="1279"/>
      <c r="X52" s="1316"/>
      <c r="Y52" s="1277">
        <f t="shared" si="3"/>
        <v>0</v>
      </c>
      <c r="Z52" s="1293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0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481">
        <v>532.98</v>
      </c>
      <c r="J53" s="1448">
        <v>320</v>
      </c>
      <c r="K53" s="241"/>
      <c r="L53" s="1277">
        <v>445</v>
      </c>
      <c r="M53" s="241"/>
      <c r="N53" s="1278">
        <v>3.4</v>
      </c>
      <c r="O53" s="241"/>
      <c r="P53" s="1278">
        <f t="shared" si="4"/>
        <v>11.722298188499686</v>
      </c>
      <c r="Q53" s="1278">
        <f>RIGHT(H53,(FIND("T",H53,1)-0))*J53/100</f>
        <v>44.8</v>
      </c>
      <c r="R53" s="244">
        <v>5.125</v>
      </c>
      <c r="S53" s="244">
        <v>14.45</v>
      </c>
      <c r="T53" s="1277">
        <v>81.2</v>
      </c>
      <c r="U53" s="1278">
        <f t="shared" si="15"/>
        <v>15.84390243902439</v>
      </c>
      <c r="V53" s="1292">
        <f t="shared" si="5"/>
        <v>64.532871972318333</v>
      </c>
      <c r="W53" s="1279">
        <v>0.2</v>
      </c>
      <c r="X53" s="1449">
        <v>320</v>
      </c>
      <c r="Y53" s="1277">
        <f t="shared" si="3"/>
        <v>32.254464285714285</v>
      </c>
      <c r="Z53" s="1293">
        <f>R53*0.988</f>
        <v>5.0635000000000003</v>
      </c>
      <c r="AA53" s="244">
        <f>S53*0.988</f>
        <v>14.276599999999998</v>
      </c>
      <c r="AB53" s="1277">
        <f>T53*0.988</f>
        <v>80.2256</v>
      </c>
      <c r="AC53" s="244">
        <f>U53</f>
        <v>15.84390243902439</v>
      </c>
      <c r="AD53" s="1277">
        <f>V53</f>
        <v>64.532871972318333</v>
      </c>
      <c r="AE53" s="241">
        <f t="shared" si="19"/>
        <v>31</v>
      </c>
      <c r="AF53" s="244">
        <f t="shared" si="1"/>
        <v>156.96850000000001</v>
      </c>
      <c r="AG53" s="1285"/>
      <c r="AI53" s="1282">
        <f t="shared" si="20"/>
        <v>11.722298188499686</v>
      </c>
      <c r="AJ53" s="1252">
        <v>0.88219999999999998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481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92"/>
      <c r="W54" s="1279"/>
      <c r="X54" s="1316"/>
      <c r="Y54" s="1277">
        <f t="shared" si="3"/>
        <v>0</v>
      </c>
      <c r="Z54" s="1293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0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514" t="s">
        <v>442</v>
      </c>
      <c r="F55" s="241">
        <v>177.8</v>
      </c>
      <c r="G55" s="241" t="s">
        <v>28</v>
      </c>
      <c r="H55" s="1299" t="s">
        <v>52</v>
      </c>
      <c r="I55" s="1514">
        <v>517.84</v>
      </c>
      <c r="J55" s="241">
        <v>310</v>
      </c>
      <c r="K55" s="241"/>
      <c r="L55" s="1277">
        <v>391</v>
      </c>
      <c r="M55" s="241"/>
      <c r="N55" s="1278">
        <v>0</v>
      </c>
      <c r="O55" s="241"/>
      <c r="P55" s="1278">
        <f t="shared" si="4"/>
        <v>12.201909213660894</v>
      </c>
      <c r="Q55" s="1278">
        <f>LEFT(H55,(FIND("K",H55,1)-1))*J55/100</f>
        <v>68.2</v>
      </c>
      <c r="R55" s="244">
        <v>5.2759999999999998</v>
      </c>
      <c r="S55" s="244">
        <v>18.088999999999999</v>
      </c>
      <c r="T55" s="1277">
        <v>42</v>
      </c>
      <c r="U55" s="1278">
        <f t="shared" si="15"/>
        <v>7.9605761940864292</v>
      </c>
      <c r="V55" s="1292">
        <f t="shared" si="5"/>
        <v>70.83310299076787</v>
      </c>
      <c r="W55" s="1279">
        <v>0.2</v>
      </c>
      <c r="X55" s="1316">
        <v>310</v>
      </c>
      <c r="Y55" s="1277">
        <f t="shared" si="3"/>
        <v>26.523460410557181</v>
      </c>
      <c r="Z55" s="1293">
        <f>R55*0.988</f>
        <v>5.212688</v>
      </c>
      <c r="AA55" s="244">
        <f>S55*0.988</f>
        <v>17.871931999999997</v>
      </c>
      <c r="AB55" s="1277">
        <f>T55*0.988</f>
        <v>41.496000000000002</v>
      </c>
      <c r="AC55" s="244">
        <f>U55</f>
        <v>7.9605761940864292</v>
      </c>
      <c r="AD55" s="1277">
        <f>V55</f>
        <v>70.83310299076787</v>
      </c>
      <c r="AE55" s="241">
        <f t="shared" si="19"/>
        <v>31</v>
      </c>
      <c r="AF55" s="244">
        <f t="shared" si="1"/>
        <v>161.59332799999999</v>
      </c>
      <c r="AG55" s="1285"/>
      <c r="AI55" s="1282">
        <f t="shared" si="20"/>
        <v>12.201909213660894</v>
      </c>
      <c r="AJ55" s="1252">
        <v>0.91839999999999999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481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92"/>
      <c r="W56" s="1279"/>
      <c r="X56" s="1449"/>
      <c r="Y56" s="1277">
        <f t="shared" si="3"/>
        <v>0</v>
      </c>
      <c r="Z56" s="1293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0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110</v>
      </c>
      <c r="K57" s="1275"/>
      <c r="L57" s="1323">
        <v>430</v>
      </c>
      <c r="M57" s="1275"/>
      <c r="N57" s="1278">
        <v>1.6</v>
      </c>
      <c r="O57" s="1275"/>
      <c r="P57" s="1278">
        <f t="shared" si="4"/>
        <v>14.536399314934657</v>
      </c>
      <c r="Q57" s="1278">
        <f>J57*14/100</f>
        <v>15.4</v>
      </c>
      <c r="R57" s="1459">
        <v>4.41</v>
      </c>
      <c r="S57" s="244">
        <v>8.3529999999999998</v>
      </c>
      <c r="T57" s="1323">
        <v>10</v>
      </c>
      <c r="U57" s="1278">
        <f t="shared" si="15"/>
        <v>2.2675736961451247</v>
      </c>
      <c r="V57" s="1292">
        <f t="shared" ref="V57:V86" si="21">(S57-R57)/S57*100</f>
        <v>47.20459715072429</v>
      </c>
      <c r="W57" s="1460">
        <v>0.2</v>
      </c>
      <c r="X57" s="1453">
        <v>110</v>
      </c>
      <c r="Y57" s="1277">
        <f t="shared" si="3"/>
        <v>54.240259740259731</v>
      </c>
      <c r="Z57" s="1293">
        <f t="shared" ref="Z57:AB61" si="22">R57*0.988</f>
        <v>4.3570799999999998</v>
      </c>
      <c r="AA57" s="244">
        <f t="shared" si="22"/>
        <v>8.2527639999999991</v>
      </c>
      <c r="AB57" s="1277">
        <f t="shared" si="22"/>
        <v>9.879999999999999</v>
      </c>
      <c r="AC57" s="1459">
        <f t="shared" ref="AC57:AD59" si="23">U57</f>
        <v>2.2675736961451247</v>
      </c>
      <c r="AD57" s="1277">
        <f t="shared" si="23"/>
        <v>47.20459715072429</v>
      </c>
      <c r="AE57" s="241">
        <f t="shared" si="19"/>
        <v>31</v>
      </c>
      <c r="AF57" s="1459">
        <f t="shared" si="1"/>
        <v>135.06948</v>
      </c>
      <c r="AG57" s="1285"/>
      <c r="AI57" s="1282">
        <f t="shared" si="20"/>
        <v>14.536399314934657</v>
      </c>
      <c r="AJ57" s="1252">
        <v>0.9083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514">
        <v>589.64</v>
      </c>
      <c r="J58" s="1448">
        <v>100</v>
      </c>
      <c r="K58" s="241"/>
      <c r="L58" s="1277">
        <v>354</v>
      </c>
      <c r="M58" s="241"/>
      <c r="N58" s="1278">
        <v>3.5</v>
      </c>
      <c r="O58" s="241"/>
      <c r="P58" s="1278">
        <f t="shared" si="4"/>
        <v>26.621164892454196</v>
      </c>
      <c r="Q58" s="1325">
        <f>J58*20/100</f>
        <v>20</v>
      </c>
      <c r="R58" s="244">
        <v>3.02</v>
      </c>
      <c r="S58" s="244">
        <v>22.175999999999998</v>
      </c>
      <c r="T58" s="1277">
        <v>6</v>
      </c>
      <c r="U58" s="1278">
        <f t="shared" si="15"/>
        <v>1.9867549668874172</v>
      </c>
      <c r="V58" s="1292">
        <f t="shared" si="21"/>
        <v>86.381673881673876</v>
      </c>
      <c r="W58" s="1279">
        <v>0.2</v>
      </c>
      <c r="X58" s="1449">
        <v>100</v>
      </c>
      <c r="Y58" s="1277">
        <f t="shared" si="3"/>
        <v>110.88</v>
      </c>
      <c r="Z58" s="1293">
        <f t="shared" si="22"/>
        <v>2.9837600000000002</v>
      </c>
      <c r="AA58" s="244">
        <f t="shared" si="22"/>
        <v>21.909887999999999</v>
      </c>
      <c r="AB58" s="1277">
        <f t="shared" si="22"/>
        <v>5.9279999999999999</v>
      </c>
      <c r="AC58" s="244">
        <f t="shared" si="23"/>
        <v>1.9867549668874172</v>
      </c>
      <c r="AD58" s="1277">
        <f t="shared" si="23"/>
        <v>86.381673881673876</v>
      </c>
      <c r="AE58" s="241">
        <f t="shared" si="19"/>
        <v>31</v>
      </c>
      <c r="AF58" s="244">
        <f t="shared" si="1"/>
        <v>92.496560000000002</v>
      </c>
      <c r="AG58" s="1285"/>
      <c r="AI58" s="1282">
        <f t="shared" si="20"/>
        <v>26.621164892454196</v>
      </c>
      <c r="AJ58" s="1252">
        <v>0.91739999999999999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14">
        <v>560.83000000000004</v>
      </c>
      <c r="J59" s="241">
        <v>100</v>
      </c>
      <c r="K59" s="241"/>
      <c r="L59" s="1277">
        <v>360</v>
      </c>
      <c r="M59" s="241"/>
      <c r="N59" s="1278">
        <v>0.6</v>
      </c>
      <c r="O59" s="241"/>
      <c r="P59" s="1278">
        <f t="shared" si="4"/>
        <v>19.848401289851569</v>
      </c>
      <c r="Q59" s="1325">
        <f>J59*15/100</f>
        <v>15</v>
      </c>
      <c r="R59" s="244">
        <v>3.9470000000000001</v>
      </c>
      <c r="S59" s="244">
        <v>10.307</v>
      </c>
      <c r="T59" s="1277">
        <v>3.1360000000000001</v>
      </c>
      <c r="U59" s="1278">
        <f t="shared" si="15"/>
        <v>0.79452748923232841</v>
      </c>
      <c r="V59" s="1292">
        <f t="shared" si="21"/>
        <v>61.705636945765022</v>
      </c>
      <c r="W59" s="1279">
        <v>0.2</v>
      </c>
      <c r="X59" s="1316">
        <v>100</v>
      </c>
      <c r="Y59" s="1277">
        <f t="shared" si="3"/>
        <v>68.713333333333338</v>
      </c>
      <c r="Z59" s="1293">
        <f t="shared" si="22"/>
        <v>3.8996360000000001</v>
      </c>
      <c r="AA59" s="244">
        <f t="shared" si="22"/>
        <v>10.183316</v>
      </c>
      <c r="AB59" s="1277">
        <f t="shared" si="22"/>
        <v>3.0983680000000002</v>
      </c>
      <c r="AC59" s="244">
        <f t="shared" si="23"/>
        <v>0.79452748923232841</v>
      </c>
      <c r="AD59" s="1277">
        <f t="shared" si="23"/>
        <v>61.705636945765022</v>
      </c>
      <c r="AE59" s="241">
        <f t="shared" si="19"/>
        <v>31</v>
      </c>
      <c r="AF59" s="244">
        <f t="shared" si="1"/>
        <v>120.888716</v>
      </c>
      <c r="AG59" s="1281"/>
      <c r="AI59" s="1282">
        <f t="shared" si="20"/>
        <v>19.848401289851569</v>
      </c>
      <c r="AJ59" s="1252">
        <v>0.91620000000000001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14">
        <v>556.55999999999995</v>
      </c>
      <c r="J60" s="241">
        <v>155</v>
      </c>
      <c r="K60" s="241"/>
      <c r="L60" s="1277">
        <v>216</v>
      </c>
      <c r="M60" s="241"/>
      <c r="N60" s="1278">
        <v>3.5</v>
      </c>
      <c r="O60" s="241"/>
      <c r="P60" s="1278">
        <f t="shared" si="4"/>
        <v>36.78242535460091</v>
      </c>
      <c r="Q60" s="1278">
        <f>J60*22/100</f>
        <v>34.1</v>
      </c>
      <c r="R60" s="244">
        <v>3.5590000000000002</v>
      </c>
      <c r="S60" s="244">
        <v>26.43</v>
      </c>
      <c r="T60" s="1277">
        <v>6.1</v>
      </c>
      <c r="U60" s="1278">
        <f t="shared" si="15"/>
        <v>1.7139645967968529</v>
      </c>
      <c r="V60" s="1292">
        <f t="shared" si="21"/>
        <v>86.534241392357174</v>
      </c>
      <c r="W60" s="1279">
        <v>0.2</v>
      </c>
      <c r="X60" s="1316">
        <v>155</v>
      </c>
      <c r="Y60" s="1277">
        <f t="shared" si="3"/>
        <v>77.507331378299114</v>
      </c>
      <c r="Z60" s="1293">
        <f t="shared" si="22"/>
        <v>3.516292</v>
      </c>
      <c r="AA60" s="244">
        <f t="shared" si="22"/>
        <v>26.112839999999998</v>
      </c>
      <c r="AB60" s="1277">
        <f t="shared" si="22"/>
        <v>6.0267999999999997</v>
      </c>
      <c r="AC60" s="244">
        <f>U60</f>
        <v>1.7139645967968529</v>
      </c>
      <c r="AD60" s="1277">
        <v>0</v>
      </c>
      <c r="AE60" s="241">
        <f t="shared" si="19"/>
        <v>31</v>
      </c>
      <c r="AF60" s="244">
        <f t="shared" si="1"/>
        <v>109.00505200000001</v>
      </c>
      <c r="AG60" s="1281"/>
      <c r="AI60" s="1282">
        <f t="shared" si="20"/>
        <v>36.78242535460091</v>
      </c>
      <c r="AJ60" s="1252">
        <v>0.92549999999999999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514">
        <v>549.65</v>
      </c>
      <c r="J61" s="241">
        <v>125</v>
      </c>
      <c r="K61" s="241"/>
      <c r="L61" s="1277">
        <v>434</v>
      </c>
      <c r="M61" s="241"/>
      <c r="N61" s="1278">
        <v>0.8</v>
      </c>
      <c r="O61" s="241"/>
      <c r="P61" s="1278">
        <f t="shared" si="4"/>
        <v>12.060286194553534</v>
      </c>
      <c r="Q61" s="1278">
        <f>14*J61/100</f>
        <v>17.5</v>
      </c>
      <c r="R61" s="244">
        <v>1.72</v>
      </c>
      <c r="S61" s="244">
        <v>6.0439999999999996</v>
      </c>
      <c r="T61" s="1277">
        <v>23</v>
      </c>
      <c r="U61" s="1278">
        <f t="shared" si="15"/>
        <v>13.372093023255815</v>
      </c>
      <c r="V61" s="1292">
        <f t="shared" si="21"/>
        <v>71.54202514890801</v>
      </c>
      <c r="W61" s="1279">
        <v>0.2</v>
      </c>
      <c r="X61" s="1316">
        <v>125</v>
      </c>
      <c r="Y61" s="1277">
        <f t="shared" si="3"/>
        <v>34.537142857142854</v>
      </c>
      <c r="Z61" s="1293">
        <f t="shared" si="22"/>
        <v>1.69936</v>
      </c>
      <c r="AA61" s="244">
        <f t="shared" si="22"/>
        <v>5.9714719999999994</v>
      </c>
      <c r="AB61" s="1277">
        <f t="shared" si="22"/>
        <v>22.724</v>
      </c>
      <c r="AC61" s="244">
        <f>U61</f>
        <v>13.372093023255815</v>
      </c>
      <c r="AD61" s="1277">
        <f>V61</f>
        <v>71.54202514890801</v>
      </c>
      <c r="AE61" s="241">
        <f t="shared" si="19"/>
        <v>31</v>
      </c>
      <c r="AF61" s="244">
        <f t="shared" si="1"/>
        <v>52.680160000000001</v>
      </c>
      <c r="AG61" s="1281"/>
      <c r="AI61" s="1282">
        <f t="shared" si="20"/>
        <v>12.060286194553534</v>
      </c>
      <c r="AJ61" s="1252">
        <v>0.89419999999999999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481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92"/>
      <c r="W62" s="1279"/>
      <c r="X62" s="1316"/>
      <c r="Y62" s="1277">
        <f t="shared" si="3"/>
        <v>0</v>
      </c>
      <c r="Z62" s="1293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0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514" t="s">
        <v>692</v>
      </c>
      <c r="F63" s="241">
        <v>177.8</v>
      </c>
      <c r="G63" s="241" t="s">
        <v>28</v>
      </c>
      <c r="H63" s="1299" t="s">
        <v>466</v>
      </c>
      <c r="I63" s="1514">
        <v>534.71</v>
      </c>
      <c r="J63" s="241">
        <v>260</v>
      </c>
      <c r="K63" s="241"/>
      <c r="L63" s="1277">
        <v>27</v>
      </c>
      <c r="M63" s="241">
        <v>0</v>
      </c>
      <c r="N63" s="1278">
        <v>4.5</v>
      </c>
      <c r="O63" s="241"/>
      <c r="P63" s="1278">
        <f t="shared" si="4"/>
        <v>51.353696557414629</v>
      </c>
      <c r="Q63" s="1278">
        <f>J63*13/100</f>
        <v>33.799999999999997</v>
      </c>
      <c r="R63" s="244">
        <v>2.21</v>
      </c>
      <c r="S63" s="244">
        <v>3.6469999999999998</v>
      </c>
      <c r="T63" s="1277">
        <v>27</v>
      </c>
      <c r="U63" s="1278">
        <f>IF(R63=0,0,T63/R63)</f>
        <v>12.217194570135748</v>
      </c>
      <c r="V63" s="1292">
        <f t="shared" si="21"/>
        <v>39.402248423361662</v>
      </c>
      <c r="W63" s="1279">
        <v>0.2</v>
      </c>
      <c r="X63" s="1316">
        <v>260</v>
      </c>
      <c r="Y63" s="1277">
        <f t="shared" si="3"/>
        <v>10.789940828402367</v>
      </c>
      <c r="Z63" s="1293">
        <f t="shared" ref="Z63:AB69" si="24">R63*0.988</f>
        <v>2.1834799999999999</v>
      </c>
      <c r="AA63" s="244">
        <f t="shared" si="24"/>
        <v>3.6032359999999999</v>
      </c>
      <c r="AB63" s="1277">
        <f t="shared" si="24"/>
        <v>26.675999999999998</v>
      </c>
      <c r="AC63" s="244">
        <f t="shared" ref="AC63:AD69" si="25">U63</f>
        <v>12.217194570135748</v>
      </c>
      <c r="AD63" s="1277">
        <f t="shared" si="25"/>
        <v>39.402248423361662</v>
      </c>
      <c r="AE63" s="241">
        <f t="shared" si="19"/>
        <v>31</v>
      </c>
      <c r="AF63" s="244">
        <f t="shared" si="1"/>
        <v>67.687879999999993</v>
      </c>
      <c r="AG63" s="1281"/>
      <c r="AI63" s="1282">
        <f t="shared" si="20"/>
        <v>51.353696557414629</v>
      </c>
      <c r="AJ63" s="1252">
        <v>0.91049999999999998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514">
        <v>674.45</v>
      </c>
      <c r="E64" s="1514" t="s">
        <v>232</v>
      </c>
      <c r="F64" s="241">
        <v>177.8</v>
      </c>
      <c r="G64" s="241" t="s">
        <v>28</v>
      </c>
      <c r="H64" s="1299" t="s">
        <v>464</v>
      </c>
      <c r="I64" s="1514">
        <v>542.6</v>
      </c>
      <c r="J64" s="1514">
        <v>130</v>
      </c>
      <c r="K64" s="1514"/>
      <c r="L64" s="1319">
        <v>460</v>
      </c>
      <c r="M64" s="1514"/>
      <c r="N64" s="1278">
        <v>2.9</v>
      </c>
      <c r="O64" s="1514"/>
      <c r="P64" s="1278">
        <f t="shared" si="4"/>
        <v>10.581069717284937</v>
      </c>
      <c r="Q64" s="1278">
        <f>RIGHT(H64,(FIND("T",H64,1)-0))*J64/100</f>
        <v>18.2</v>
      </c>
      <c r="R64" s="244">
        <v>4.5</v>
      </c>
      <c r="S64" s="244">
        <v>6.468</v>
      </c>
      <c r="T64" s="1319">
        <v>42</v>
      </c>
      <c r="U64" s="1278">
        <f t="shared" si="15"/>
        <v>9.3333333333333339</v>
      </c>
      <c r="V64" s="1292">
        <f t="shared" si="21"/>
        <v>30.426716141001855</v>
      </c>
      <c r="W64" s="1279">
        <v>0.2</v>
      </c>
      <c r="X64" s="1410">
        <v>130</v>
      </c>
      <c r="Y64" s="1277">
        <f t="shared" si="3"/>
        <v>35.53846153846154</v>
      </c>
      <c r="Z64" s="1293">
        <f t="shared" si="24"/>
        <v>4.4459999999999997</v>
      </c>
      <c r="AA64" s="244">
        <f t="shared" si="24"/>
        <v>6.3903840000000001</v>
      </c>
      <c r="AB64" s="1277">
        <f t="shared" si="24"/>
        <v>41.496000000000002</v>
      </c>
      <c r="AC64" s="244">
        <f t="shared" si="25"/>
        <v>9.3333333333333339</v>
      </c>
      <c r="AD64" s="1277">
        <f t="shared" si="25"/>
        <v>30.426716141001855</v>
      </c>
      <c r="AE64" s="241">
        <f t="shared" si="19"/>
        <v>31</v>
      </c>
      <c r="AF64" s="244">
        <f>Z64*AE64</f>
        <v>137.82599999999999</v>
      </c>
      <c r="AG64" s="1342"/>
      <c r="AI64" s="1282">
        <f t="shared" si="20"/>
        <v>10.581069717284937</v>
      </c>
      <c r="AJ64" s="1252">
        <v>0.88649999999999995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514">
        <v>678.47</v>
      </c>
      <c r="E65" s="1514" t="s">
        <v>606</v>
      </c>
      <c r="F65" s="241">
        <v>177.8</v>
      </c>
      <c r="G65" s="241" t="s">
        <v>28</v>
      </c>
      <c r="H65" s="1299" t="s">
        <v>466</v>
      </c>
      <c r="I65" s="1514">
        <v>574.4</v>
      </c>
      <c r="J65" s="1373">
        <v>145</v>
      </c>
      <c r="K65" s="1514"/>
      <c r="L65" s="1319">
        <v>116</v>
      </c>
      <c r="M65" s="1514"/>
      <c r="N65" s="1278">
        <v>0.6</v>
      </c>
      <c r="O65" s="1514"/>
      <c r="P65" s="1278">
        <f t="shared" si="4"/>
        <v>45.193410115367953</v>
      </c>
      <c r="Q65" s="1278">
        <f>LEFT(H65,(FIND("E",H65,1)-1))*J65/100</f>
        <v>18.850000000000001</v>
      </c>
      <c r="R65" s="244">
        <v>3.0339999999999998</v>
      </c>
      <c r="S65" s="244">
        <v>19.449000000000002</v>
      </c>
      <c r="T65" s="1277">
        <v>23</v>
      </c>
      <c r="U65" s="1278">
        <f t="shared" si="15"/>
        <v>7.5807514831905083</v>
      </c>
      <c r="V65" s="1292">
        <f t="shared" si="21"/>
        <v>84.400226232711191</v>
      </c>
      <c r="W65" s="1279">
        <v>0.2</v>
      </c>
      <c r="X65" s="1452">
        <v>145</v>
      </c>
      <c r="Y65" s="1277">
        <f t="shared" si="3"/>
        <v>103.17771883289124</v>
      </c>
      <c r="Z65" s="1293">
        <f t="shared" si="24"/>
        <v>2.9975919999999996</v>
      </c>
      <c r="AA65" s="244">
        <f t="shared" si="24"/>
        <v>19.215612</v>
      </c>
      <c r="AB65" s="1277">
        <f t="shared" si="24"/>
        <v>22.724</v>
      </c>
      <c r="AC65" s="244">
        <f t="shared" si="25"/>
        <v>7.5807514831905083</v>
      </c>
      <c r="AD65" s="1277">
        <f t="shared" si="25"/>
        <v>84.400226232711191</v>
      </c>
      <c r="AE65" s="241">
        <f t="shared" si="19"/>
        <v>31</v>
      </c>
      <c r="AF65" s="244">
        <f t="shared" ref="AF65:AF75" si="26">Z65*AE65</f>
        <v>92.92535199999999</v>
      </c>
      <c r="AG65" s="1281"/>
      <c r="AI65" s="1282">
        <f t="shared" si="20"/>
        <v>45.193410115367953</v>
      </c>
      <c r="AJ65" s="1252">
        <v>0.9234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514">
        <v>541.12</v>
      </c>
      <c r="J66" s="241">
        <v>175</v>
      </c>
      <c r="K66" s="241"/>
      <c r="L66" s="1277">
        <v>443</v>
      </c>
      <c r="M66" s="241"/>
      <c r="N66" s="1278">
        <v>3.9</v>
      </c>
      <c r="O66" s="241"/>
      <c r="P66" s="1278">
        <f t="shared" si="4"/>
        <v>13.416875636411378</v>
      </c>
      <c r="Q66" s="1278">
        <f>20*J66/100</f>
        <v>35</v>
      </c>
      <c r="R66" s="244">
        <v>7.9290000000000003</v>
      </c>
      <c r="S66" s="244">
        <v>23.334</v>
      </c>
      <c r="T66" s="1277">
        <v>65</v>
      </c>
      <c r="U66" s="1278">
        <f t="shared" si="15"/>
        <v>8.1977550763021814</v>
      </c>
      <c r="V66" s="1292">
        <f t="shared" si="21"/>
        <v>66.01954229879145</v>
      </c>
      <c r="W66" s="1279">
        <v>0.2</v>
      </c>
      <c r="X66" s="1316">
        <v>175</v>
      </c>
      <c r="Y66" s="1277">
        <f t="shared" si="3"/>
        <v>66.668571428571425</v>
      </c>
      <c r="Z66" s="1293">
        <f t="shared" si="24"/>
        <v>7.8338520000000003</v>
      </c>
      <c r="AA66" s="244">
        <f t="shared" si="24"/>
        <v>23.053992000000001</v>
      </c>
      <c r="AB66" s="1277">
        <f t="shared" si="24"/>
        <v>64.22</v>
      </c>
      <c r="AC66" s="244">
        <f t="shared" si="25"/>
        <v>8.1977550763021814</v>
      </c>
      <c r="AD66" s="1277">
        <f t="shared" si="25"/>
        <v>66.01954229879145</v>
      </c>
      <c r="AE66" s="241">
        <f t="shared" si="19"/>
        <v>31</v>
      </c>
      <c r="AF66" s="244">
        <f t="shared" si="26"/>
        <v>242.849412</v>
      </c>
      <c r="AG66" s="1285"/>
      <c r="AI66" s="1282">
        <f t="shared" si="20"/>
        <v>13.416875636411378</v>
      </c>
      <c r="AJ66" s="1252">
        <v>0.88929999999999998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514">
        <v>521.42999999999995</v>
      </c>
      <c r="J67" s="241">
        <v>300</v>
      </c>
      <c r="K67" s="241"/>
      <c r="L67" s="1277">
        <v>456</v>
      </c>
      <c r="M67" s="241"/>
      <c r="N67" s="1278">
        <v>6.1</v>
      </c>
      <c r="O67" s="241"/>
      <c r="P67" s="1278">
        <f t="shared" si="4"/>
        <v>12.245739321036265</v>
      </c>
      <c r="Q67" s="1278">
        <f>J67*14/100</f>
        <v>42</v>
      </c>
      <c r="R67" s="244">
        <v>8.5250000000000004</v>
      </c>
      <c r="S67" s="244">
        <v>13.625</v>
      </c>
      <c r="T67" s="1277">
        <v>162</v>
      </c>
      <c r="U67" s="1278">
        <f t="shared" si="15"/>
        <v>19.002932551319649</v>
      </c>
      <c r="V67" s="1292">
        <f t="shared" si="21"/>
        <v>37.431192660550458</v>
      </c>
      <c r="W67" s="1279">
        <v>0.2</v>
      </c>
      <c r="X67" s="1316">
        <v>300</v>
      </c>
      <c r="Y67" s="1277">
        <f t="shared" si="3"/>
        <v>32.44047619047619</v>
      </c>
      <c r="Z67" s="1293">
        <f t="shared" si="24"/>
        <v>8.4227000000000007</v>
      </c>
      <c r="AA67" s="244">
        <f t="shared" si="24"/>
        <v>13.461499999999999</v>
      </c>
      <c r="AB67" s="1277">
        <f t="shared" si="24"/>
        <v>160.05600000000001</v>
      </c>
      <c r="AC67" s="244">
        <f t="shared" si="25"/>
        <v>19.002932551319649</v>
      </c>
      <c r="AD67" s="1277">
        <f t="shared" si="25"/>
        <v>37.431192660550458</v>
      </c>
      <c r="AE67" s="241">
        <f t="shared" si="19"/>
        <v>31</v>
      </c>
      <c r="AF67" s="244">
        <f t="shared" si="26"/>
        <v>261.1037</v>
      </c>
      <c r="AG67" s="1285"/>
      <c r="AI67" s="1282">
        <f t="shared" si="20"/>
        <v>12.245739321036265</v>
      </c>
      <c r="AJ67" s="1252">
        <v>0.87360000000000004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514" t="s">
        <v>607</v>
      </c>
      <c r="F68" s="241">
        <v>177.8</v>
      </c>
      <c r="G68" s="241" t="s">
        <v>28</v>
      </c>
      <c r="H68" s="241" t="s">
        <v>464</v>
      </c>
      <c r="I68" s="1514">
        <v>512.28</v>
      </c>
      <c r="J68" s="241">
        <v>175</v>
      </c>
      <c r="K68" s="241"/>
      <c r="L68" s="1277">
        <v>424</v>
      </c>
      <c r="M68" s="241"/>
      <c r="N68" s="1278">
        <v>3.5</v>
      </c>
      <c r="O68" s="241"/>
      <c r="P68" s="1278">
        <f t="shared" si="4"/>
        <v>12.007881800897193</v>
      </c>
      <c r="Q68" s="1278">
        <f>J68*14/100</f>
        <v>24.5</v>
      </c>
      <c r="R68" s="244">
        <v>6.35</v>
      </c>
      <c r="S68" s="244">
        <v>14.86</v>
      </c>
      <c r="T68" s="1277">
        <v>34</v>
      </c>
      <c r="U68" s="1278">
        <f t="shared" si="15"/>
        <v>5.3543307086614176</v>
      </c>
      <c r="V68" s="1292">
        <f t="shared" si="21"/>
        <v>57.267833109017495</v>
      </c>
      <c r="W68" s="1279">
        <v>0.2</v>
      </c>
      <c r="X68" s="1316">
        <v>175</v>
      </c>
      <c r="Y68" s="1277">
        <f t="shared" si="3"/>
        <v>60.65306122448979</v>
      </c>
      <c r="Z68" s="1293">
        <f t="shared" si="24"/>
        <v>6.2737999999999996</v>
      </c>
      <c r="AA68" s="244">
        <f t="shared" si="24"/>
        <v>14.68168</v>
      </c>
      <c r="AB68" s="1277">
        <f t="shared" si="24"/>
        <v>33.591999999999999</v>
      </c>
      <c r="AC68" s="244">
        <f t="shared" si="25"/>
        <v>5.3543307086614176</v>
      </c>
      <c r="AD68" s="1277">
        <f t="shared" si="25"/>
        <v>57.267833109017495</v>
      </c>
      <c r="AE68" s="241">
        <f t="shared" si="19"/>
        <v>31</v>
      </c>
      <c r="AF68" s="244">
        <f t="shared" si="26"/>
        <v>194.48779999999999</v>
      </c>
      <c r="AG68" s="1285"/>
      <c r="AI68" s="1282">
        <f t="shared" si="20"/>
        <v>12.007881800897193</v>
      </c>
      <c r="AJ68" s="1252">
        <v>0.89659999999999995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514">
        <v>539.28</v>
      </c>
      <c r="J69" s="241">
        <v>120</v>
      </c>
      <c r="K69" s="241"/>
      <c r="L69" s="1277">
        <v>225</v>
      </c>
      <c r="M69" s="241"/>
      <c r="N69" s="1278">
        <v>4</v>
      </c>
      <c r="O69" s="241"/>
      <c r="P69" s="1278">
        <f t="shared" si="4"/>
        <v>34.382666442495413</v>
      </c>
      <c r="Q69" s="1278">
        <f>J69*13/100</f>
        <v>15.6</v>
      </c>
      <c r="R69" s="244">
        <v>2.16</v>
      </c>
      <c r="S69" s="244">
        <v>11.15</v>
      </c>
      <c r="T69" s="1277">
        <v>14.5</v>
      </c>
      <c r="U69" s="1278">
        <f t="shared" si="15"/>
        <v>6.7129629629629628</v>
      </c>
      <c r="V69" s="1292">
        <f t="shared" si="21"/>
        <v>80.627802690582968</v>
      </c>
      <c r="W69" s="1279">
        <v>0.2</v>
      </c>
      <c r="X69" s="1316">
        <v>120</v>
      </c>
      <c r="Y69" s="1277">
        <f t="shared" si="3"/>
        <v>71.474358974358978</v>
      </c>
      <c r="Z69" s="1293">
        <f t="shared" si="24"/>
        <v>2.13408</v>
      </c>
      <c r="AA69" s="244">
        <f t="shared" si="24"/>
        <v>11.0162</v>
      </c>
      <c r="AB69" s="1277">
        <f t="shared" si="24"/>
        <v>14.326000000000001</v>
      </c>
      <c r="AC69" s="244">
        <f t="shared" si="25"/>
        <v>6.7129629629629628</v>
      </c>
      <c r="AD69" s="1277">
        <f t="shared" si="25"/>
        <v>80.627802690582968</v>
      </c>
      <c r="AE69" s="241">
        <f t="shared" si="19"/>
        <v>31</v>
      </c>
      <c r="AF69" s="244">
        <f>Z69*AE69</f>
        <v>66.156480000000002</v>
      </c>
      <c r="AG69" s="1285"/>
      <c r="AI69" s="1282">
        <f t="shared" si="20"/>
        <v>34.382666442495413</v>
      </c>
      <c r="AJ69" s="1252">
        <v>0.89490000000000003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514">
        <v>541.46</v>
      </c>
      <c r="J70" s="241">
        <v>100</v>
      </c>
      <c r="K70" s="241"/>
      <c r="L70" s="1277">
        <v>227</v>
      </c>
      <c r="M70" s="241"/>
      <c r="N70" s="1278">
        <v>6.6</v>
      </c>
      <c r="O70" s="241"/>
      <c r="P70" s="1278">
        <f t="shared" si="4"/>
        <v>37.06232209487748</v>
      </c>
      <c r="Q70" s="1278">
        <f>(32/100)*J70</f>
        <v>32</v>
      </c>
      <c r="R70" s="244">
        <v>6.5940000000000003</v>
      </c>
      <c r="S70" s="244">
        <v>37.168999999999997</v>
      </c>
      <c r="T70" s="1277">
        <v>40</v>
      </c>
      <c r="U70" s="1278">
        <f t="shared" si="15"/>
        <v>6.0661207158022439</v>
      </c>
      <c r="V70" s="1292">
        <f t="shared" si="21"/>
        <v>82.259409723156381</v>
      </c>
      <c r="W70" s="1279">
        <v>0.2</v>
      </c>
      <c r="X70" s="1316">
        <v>100</v>
      </c>
      <c r="Y70" s="1277">
        <f t="shared" si="3"/>
        <v>116.15312499999999</v>
      </c>
      <c r="Z70" s="1293">
        <v>6</v>
      </c>
      <c r="AA70" s="244">
        <f>S70</f>
        <v>37.168999999999997</v>
      </c>
      <c r="AB70" s="1277">
        <f t="shared" ref="AB70:AB75" si="27">T70*0.988</f>
        <v>39.519999999999996</v>
      </c>
      <c r="AC70" s="244">
        <f>U70</f>
        <v>6.0661207158022439</v>
      </c>
      <c r="AD70" s="1278">
        <f>(AA70-Z70)/AA70*100</f>
        <v>83.857515671661858</v>
      </c>
      <c r="AE70" s="241">
        <f t="shared" si="19"/>
        <v>31</v>
      </c>
      <c r="AF70" s="244">
        <f t="shared" si="26"/>
        <v>186</v>
      </c>
      <c r="AG70" s="1285"/>
      <c r="AI70" s="1282">
        <f t="shared" si="20"/>
        <v>37.06232209487748</v>
      </c>
      <c r="AJ70" s="1252">
        <v>0.89490000000000003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514">
        <v>539.83000000000004</v>
      </c>
      <c r="J71" s="1448">
        <v>95</v>
      </c>
      <c r="K71" s="241"/>
      <c r="L71" s="1277">
        <v>131</v>
      </c>
      <c r="M71" s="1278"/>
      <c r="N71" s="1278">
        <v>9.3000000000000007</v>
      </c>
      <c r="O71" s="241"/>
      <c r="P71" s="1278">
        <f t="shared" si="4"/>
        <v>49.140807826479957</v>
      </c>
      <c r="Q71" s="1278">
        <f>(32/100)*J71</f>
        <v>30.400000000000002</v>
      </c>
      <c r="R71" s="244">
        <v>3.67</v>
      </c>
      <c r="S71" s="244">
        <v>33.963000000000001</v>
      </c>
      <c r="T71" s="1277">
        <v>48</v>
      </c>
      <c r="U71" s="1278">
        <f t="shared" si="15"/>
        <v>13.079019073569482</v>
      </c>
      <c r="V71" s="1292">
        <f t="shared" si="21"/>
        <v>89.194123016223543</v>
      </c>
      <c r="W71" s="1279">
        <v>0.3</v>
      </c>
      <c r="X71" s="1449">
        <v>95</v>
      </c>
      <c r="Y71" s="1277">
        <f t="shared" si="3"/>
        <v>111.7203947368421</v>
      </c>
      <c r="Z71" s="1293">
        <f t="shared" ref="Z71:AA75" si="28">R71*0.988</f>
        <v>3.6259600000000001</v>
      </c>
      <c r="AA71" s="244">
        <f t="shared" si="28"/>
        <v>33.555444000000001</v>
      </c>
      <c r="AB71" s="1277">
        <f t="shared" si="27"/>
        <v>47.423999999999999</v>
      </c>
      <c r="AC71" s="244">
        <f>U71</f>
        <v>13.079019073569482</v>
      </c>
      <c r="AD71" s="1277">
        <f>V71</f>
        <v>89.194123016223543</v>
      </c>
      <c r="AE71" s="241">
        <f t="shared" si="19"/>
        <v>31</v>
      </c>
      <c r="AF71" s="244">
        <f t="shared" si="26"/>
        <v>112.40476</v>
      </c>
      <c r="AG71" s="1343"/>
      <c r="AI71" s="1282">
        <f t="shared" si="20"/>
        <v>49.140807826479957</v>
      </c>
      <c r="AJ71" s="1252">
        <v>0.89390000000000003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514">
        <v>512.47</v>
      </c>
      <c r="J72" s="1277">
        <v>245</v>
      </c>
      <c r="K72" s="241"/>
      <c r="L72" s="1277">
        <v>463</v>
      </c>
      <c r="M72" s="241"/>
      <c r="N72" s="1278">
        <v>5.9</v>
      </c>
      <c r="O72" s="241"/>
      <c r="P72" s="1278">
        <f t="shared" si="4"/>
        <v>10.475431425817684</v>
      </c>
      <c r="Q72" s="1278">
        <f>(32*J72)/100</f>
        <v>78.400000000000006</v>
      </c>
      <c r="R72" s="244">
        <v>13.885</v>
      </c>
      <c r="S72" s="244">
        <v>17.212</v>
      </c>
      <c r="T72" s="1277">
        <v>326</v>
      </c>
      <c r="U72" s="1278">
        <f t="shared" si="15"/>
        <v>23.478574000720201</v>
      </c>
      <c r="V72" s="1292">
        <f t="shared" si="21"/>
        <v>19.32953753195445</v>
      </c>
      <c r="W72" s="1279">
        <v>0.2</v>
      </c>
      <c r="X72" s="1454">
        <v>245</v>
      </c>
      <c r="Y72" s="1277">
        <f t="shared" si="3"/>
        <v>21.954081632653057</v>
      </c>
      <c r="Z72" s="1293">
        <f t="shared" si="28"/>
        <v>13.71838</v>
      </c>
      <c r="AA72" s="244">
        <f t="shared" si="28"/>
        <v>17.005455999999999</v>
      </c>
      <c r="AB72" s="1277">
        <f t="shared" si="27"/>
        <v>322.08800000000002</v>
      </c>
      <c r="AC72" s="244">
        <f>U72</f>
        <v>23.478574000720201</v>
      </c>
      <c r="AD72" s="1277">
        <f>V72</f>
        <v>19.32953753195445</v>
      </c>
      <c r="AE72" s="241">
        <f t="shared" si="19"/>
        <v>31</v>
      </c>
      <c r="AF72" s="244">
        <f t="shared" si="26"/>
        <v>425.26977999999997</v>
      </c>
      <c r="AG72" s="1281"/>
      <c r="AI72" s="1282">
        <f t="shared" si="20"/>
        <v>10.475431425817684</v>
      </c>
      <c r="AJ72" s="1252">
        <v>0.86950000000000005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514">
        <v>500.41</v>
      </c>
      <c r="J73" s="1448">
        <v>235</v>
      </c>
      <c r="K73" s="241"/>
      <c r="L73" s="1277">
        <v>483</v>
      </c>
      <c r="M73" s="241"/>
      <c r="N73" s="1278">
        <v>3.9</v>
      </c>
      <c r="O73" s="241"/>
      <c r="P73" s="1278">
        <f t="shared" si="4"/>
        <v>5.7125526016361379</v>
      </c>
      <c r="Q73" s="1278">
        <f>J73*32/100</f>
        <v>75.2</v>
      </c>
      <c r="R73" s="244">
        <v>10.928000000000001</v>
      </c>
      <c r="S73" s="244">
        <v>17.353000000000002</v>
      </c>
      <c r="T73" s="1277">
        <v>109</v>
      </c>
      <c r="U73" s="1278">
        <f t="shared" si="15"/>
        <v>9.9743777452415809</v>
      </c>
      <c r="V73" s="1292">
        <f t="shared" si="21"/>
        <v>37.025298219328072</v>
      </c>
      <c r="W73" s="1279">
        <v>0.2</v>
      </c>
      <c r="X73" s="1449">
        <v>235</v>
      </c>
      <c r="Y73" s="1277">
        <f t="shared" si="3"/>
        <v>23.075797872340427</v>
      </c>
      <c r="Z73" s="1293">
        <f t="shared" si="28"/>
        <v>10.796864000000001</v>
      </c>
      <c r="AA73" s="244">
        <f t="shared" si="28"/>
        <v>17.144764000000002</v>
      </c>
      <c r="AB73" s="1277">
        <f t="shared" si="27"/>
        <v>107.69199999999999</v>
      </c>
      <c r="AC73" s="244">
        <v>20</v>
      </c>
      <c r="AD73" s="1277">
        <v>17</v>
      </c>
      <c r="AE73" s="241">
        <f t="shared" si="19"/>
        <v>31</v>
      </c>
      <c r="AF73" s="244">
        <f t="shared" si="26"/>
        <v>334.70278400000001</v>
      </c>
      <c r="AG73" s="1281"/>
      <c r="AI73" s="1282">
        <f t="shared" si="20"/>
        <v>5.7125526016361379</v>
      </c>
      <c r="AJ73" s="1252">
        <v>0.84030000000000005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514">
        <v>549.1</v>
      </c>
      <c r="J74" s="1448">
        <v>185</v>
      </c>
      <c r="K74" s="241"/>
      <c r="L74" s="1277">
        <v>446</v>
      </c>
      <c r="M74" s="241"/>
      <c r="N74" s="1278">
        <v>8.3000000000000007</v>
      </c>
      <c r="O74" s="241"/>
      <c r="P74" s="1278">
        <f t="shared" si="4"/>
        <v>18.067680808627543</v>
      </c>
      <c r="Q74" s="1278">
        <f>LEFT(H74,(FIND("E",H74,1)-1))*J74/100</f>
        <v>40.700000000000003</v>
      </c>
      <c r="R74" s="244">
        <v>12.204000000000001</v>
      </c>
      <c r="S74" s="244">
        <v>26.134</v>
      </c>
      <c r="T74" s="1277">
        <v>343</v>
      </c>
      <c r="U74" s="1278">
        <f t="shared" si="15"/>
        <v>28.105539167486068</v>
      </c>
      <c r="V74" s="1292">
        <f t="shared" si="21"/>
        <v>53.302211678273515</v>
      </c>
      <c r="W74" s="1279">
        <v>0.2</v>
      </c>
      <c r="X74" s="1449">
        <v>185</v>
      </c>
      <c r="Y74" s="1277">
        <f t="shared" si="3"/>
        <v>64.211302211302211</v>
      </c>
      <c r="Z74" s="1293">
        <f t="shared" si="28"/>
        <v>12.057552000000001</v>
      </c>
      <c r="AA74" s="244">
        <f t="shared" si="28"/>
        <v>25.820392000000002</v>
      </c>
      <c r="AB74" s="1277">
        <f t="shared" si="27"/>
        <v>338.88400000000001</v>
      </c>
      <c r="AC74" s="244">
        <f>U74</f>
        <v>28.105539167486068</v>
      </c>
      <c r="AD74" s="1277">
        <f>V74</f>
        <v>53.302211678273515</v>
      </c>
      <c r="AE74" s="241">
        <f t="shared" si="19"/>
        <v>31</v>
      </c>
      <c r="AF74" s="244">
        <f t="shared" si="26"/>
        <v>373.78411200000005</v>
      </c>
      <c r="AG74" s="1285"/>
      <c r="AI74" s="1282">
        <f t="shared" si="20"/>
        <v>18.067680808627543</v>
      </c>
      <c r="AJ74" s="1252">
        <v>0.877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310</v>
      </c>
      <c r="I75" s="1514">
        <v>537.29</v>
      </c>
      <c r="J75" s="1448">
        <v>350</v>
      </c>
      <c r="K75" s="241"/>
      <c r="L75" s="1277">
        <v>290</v>
      </c>
      <c r="M75" s="241"/>
      <c r="N75" s="1278">
        <v>2.2999999999999998</v>
      </c>
      <c r="O75" s="241"/>
      <c r="P75" s="1278">
        <f t="shared" si="4"/>
        <v>25.184128527000425</v>
      </c>
      <c r="Q75" s="1278">
        <f t="shared" ref="Q75" si="29">LEFT(H75,(FIND("K",H75,1)-1))*J75/100</f>
        <v>77</v>
      </c>
      <c r="R75" s="244">
        <v>12.135</v>
      </c>
      <c r="S75" s="244">
        <v>22.21</v>
      </c>
      <c r="T75" s="1277">
        <v>51</v>
      </c>
      <c r="U75" s="1278">
        <f t="shared" si="15"/>
        <v>4.2027194066749072</v>
      </c>
      <c r="V75" s="1292">
        <f t="shared" si="21"/>
        <v>45.362449347140931</v>
      </c>
      <c r="W75" s="1279">
        <v>0.2</v>
      </c>
      <c r="X75" s="1449">
        <v>350</v>
      </c>
      <c r="Y75" s="1277">
        <f t="shared" si="3"/>
        <v>28.844155844155843</v>
      </c>
      <c r="Z75" s="1293">
        <f t="shared" si="28"/>
        <v>11.989379999999999</v>
      </c>
      <c r="AA75" s="244">
        <f t="shared" si="28"/>
        <v>21.943480000000001</v>
      </c>
      <c r="AB75" s="1277">
        <f t="shared" si="27"/>
        <v>50.387999999999998</v>
      </c>
      <c r="AC75" s="244">
        <f>U75</f>
        <v>4.2027194066749072</v>
      </c>
      <c r="AD75" s="1277">
        <f>V75</f>
        <v>45.362449347140931</v>
      </c>
      <c r="AE75" s="241">
        <f t="shared" si="19"/>
        <v>31</v>
      </c>
      <c r="AF75" s="244">
        <f t="shared" si="26"/>
        <v>371.67077999999998</v>
      </c>
      <c r="AG75" s="1285"/>
      <c r="AI75" s="1282">
        <f t="shared" si="20"/>
        <v>25.184128527000425</v>
      </c>
      <c r="AJ75" s="1252">
        <v>0.8911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481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92"/>
      <c r="W76" s="1279"/>
      <c r="X76" s="1449">
        <v>0</v>
      </c>
      <c r="Y76" s="1277">
        <f t="shared" si="3"/>
        <v>0</v>
      </c>
      <c r="Z76" s="1293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0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752</v>
      </c>
      <c r="F77" s="241">
        <v>177.8</v>
      </c>
      <c r="G77" s="241" t="s">
        <v>28</v>
      </c>
      <c r="H77" s="1299" t="s">
        <v>687</v>
      </c>
      <c r="I77" s="1514">
        <v>566.73</v>
      </c>
      <c r="J77" s="1448">
        <v>85</v>
      </c>
      <c r="K77" s="241"/>
      <c r="L77" s="1277">
        <v>268</v>
      </c>
      <c r="M77" s="241"/>
      <c r="N77" s="1278">
        <v>1</v>
      </c>
      <c r="O77" s="241"/>
      <c r="P77" s="1278">
        <f t="shared" si="4"/>
        <v>29.892554860018912</v>
      </c>
      <c r="Q77" s="1278">
        <f>(20*J77)/100</f>
        <v>17</v>
      </c>
      <c r="R77" s="244">
        <v>4.1379999999999999</v>
      </c>
      <c r="S77" s="244">
        <v>16.216000000000001</v>
      </c>
      <c r="T77" s="1277">
        <v>0</v>
      </c>
      <c r="U77" s="1278">
        <f t="shared" si="15"/>
        <v>0</v>
      </c>
      <c r="V77" s="1292">
        <f t="shared" si="21"/>
        <v>74.481993093241243</v>
      </c>
      <c r="W77" s="1279">
        <v>0.2</v>
      </c>
      <c r="X77" s="1449">
        <v>85</v>
      </c>
      <c r="Y77" s="1277">
        <f t="shared" si="3"/>
        <v>95.388235294117649</v>
      </c>
      <c r="Z77" s="1293">
        <f t="shared" ref="Z77:AB81" si="30">R77*0.988</f>
        <v>4.0883440000000002</v>
      </c>
      <c r="AA77" s="244">
        <f t="shared" si="30"/>
        <v>16.021408000000001</v>
      </c>
      <c r="AB77" s="1277">
        <f t="shared" si="30"/>
        <v>0</v>
      </c>
      <c r="AC77" s="244">
        <f t="shared" ref="AC77:AD81" si="31">U77</f>
        <v>0</v>
      </c>
      <c r="AD77" s="1277">
        <f t="shared" si="31"/>
        <v>74.481993093241243</v>
      </c>
      <c r="AE77" s="241">
        <f t="shared" si="19"/>
        <v>31</v>
      </c>
      <c r="AF77" s="244">
        <f t="shared" ref="AF77:AF83" si="32">Z77*AE77</f>
        <v>126.738664</v>
      </c>
      <c r="AG77" s="1285"/>
      <c r="AI77" s="1282">
        <f t="shared" si="20"/>
        <v>29.892554860018912</v>
      </c>
      <c r="AJ77" s="1252">
        <v>0.92200000000000004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565</v>
      </c>
      <c r="I78" s="1514">
        <v>531.94000000000005</v>
      </c>
      <c r="J78" s="1448">
        <v>355</v>
      </c>
      <c r="K78" s="241"/>
      <c r="L78" s="1277">
        <v>320</v>
      </c>
      <c r="M78" s="241"/>
      <c r="N78" s="1278">
        <v>8.5</v>
      </c>
      <c r="O78" s="241"/>
      <c r="P78" s="1278">
        <f t="shared" si="4"/>
        <v>28.570136299365402</v>
      </c>
      <c r="Q78" s="1278">
        <f>(32*J78)/100</f>
        <v>113.6</v>
      </c>
      <c r="R78" s="244">
        <v>13.667</v>
      </c>
      <c r="S78" s="244">
        <v>37.823</v>
      </c>
      <c r="T78" s="1277">
        <v>170</v>
      </c>
      <c r="U78" s="1278">
        <f t="shared" si="15"/>
        <v>12.438721006804712</v>
      </c>
      <c r="V78" s="1292">
        <f t="shared" si="21"/>
        <v>63.865901700023784</v>
      </c>
      <c r="W78" s="1279">
        <v>0.2</v>
      </c>
      <c r="X78" s="1449">
        <v>355</v>
      </c>
      <c r="Y78" s="1277">
        <f t="shared" si="3"/>
        <v>33.294894366197184</v>
      </c>
      <c r="Z78" s="1293">
        <f t="shared" si="30"/>
        <v>13.502996</v>
      </c>
      <c r="AA78" s="244">
        <f t="shared" si="30"/>
        <v>37.369123999999999</v>
      </c>
      <c r="AB78" s="1277">
        <f t="shared" si="30"/>
        <v>167.96</v>
      </c>
      <c r="AC78" s="244">
        <f t="shared" si="31"/>
        <v>12.438721006804712</v>
      </c>
      <c r="AD78" s="1277">
        <f t="shared" si="31"/>
        <v>63.865901700023784</v>
      </c>
      <c r="AE78" s="241">
        <v>31</v>
      </c>
      <c r="AF78" s="244">
        <f t="shared" si="32"/>
        <v>418.59287599999999</v>
      </c>
      <c r="AG78" s="1285"/>
      <c r="AI78" s="1282">
        <f t="shared" si="20"/>
        <v>28.570136299365402</v>
      </c>
      <c r="AJ78" s="1252">
        <v>0.8821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514">
        <v>533.89</v>
      </c>
      <c r="J79" s="1448">
        <v>85</v>
      </c>
      <c r="K79" s="241"/>
      <c r="L79" s="1277">
        <v>58</v>
      </c>
      <c r="M79" s="241"/>
      <c r="N79" s="1278">
        <v>0.9</v>
      </c>
      <c r="O79" s="241"/>
      <c r="P79" s="1278">
        <f t="shared" si="4"/>
        <v>46.826637115453835</v>
      </c>
      <c r="Q79" s="1278">
        <f>(20/100)*J79</f>
        <v>17</v>
      </c>
      <c r="R79" s="244">
        <v>3.14</v>
      </c>
      <c r="S79" s="244">
        <v>16.738</v>
      </c>
      <c r="T79" s="1277">
        <v>44</v>
      </c>
      <c r="U79" s="1278">
        <f t="shared" si="15"/>
        <v>14.012738853503183</v>
      </c>
      <c r="V79" s="1292">
        <f t="shared" si="21"/>
        <v>81.240291552156762</v>
      </c>
      <c r="W79" s="1279">
        <v>0.2</v>
      </c>
      <c r="X79" s="1449">
        <v>85</v>
      </c>
      <c r="Y79" s="1277">
        <f t="shared" si="3"/>
        <v>98.45882352941176</v>
      </c>
      <c r="Z79" s="1293">
        <f t="shared" si="30"/>
        <v>3.1023200000000002</v>
      </c>
      <c r="AA79" s="244">
        <f t="shared" si="30"/>
        <v>16.537143999999998</v>
      </c>
      <c r="AB79" s="1277">
        <f t="shared" si="30"/>
        <v>43.472000000000001</v>
      </c>
      <c r="AC79" s="244">
        <f t="shared" si="31"/>
        <v>14.012738853503183</v>
      </c>
      <c r="AD79" s="1277">
        <f t="shared" si="31"/>
        <v>81.240291552156762</v>
      </c>
      <c r="AE79" s="241">
        <f t="shared" si="19"/>
        <v>31</v>
      </c>
      <c r="AF79" s="244">
        <f t="shared" si="32"/>
        <v>96.17192</v>
      </c>
      <c r="AG79" s="1285"/>
      <c r="AI79" s="1282">
        <f t="shared" si="20"/>
        <v>46.826637115453835</v>
      </c>
      <c r="AJ79" s="1252">
        <v>0.90100000000000002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514">
        <v>571.08000000000004</v>
      </c>
      <c r="J80" s="1448">
        <v>195</v>
      </c>
      <c r="K80" s="241"/>
      <c r="L80" s="1277">
        <v>455</v>
      </c>
      <c r="M80" s="241"/>
      <c r="N80" s="1278">
        <v>6.1</v>
      </c>
      <c r="O80" s="241"/>
      <c r="P80" s="1278">
        <f t="shared" si="4"/>
        <v>15.865865833108575</v>
      </c>
      <c r="Q80" s="1278">
        <f>(32/100)*J80</f>
        <v>62.4</v>
      </c>
      <c r="R80" s="244">
        <v>10.936</v>
      </c>
      <c r="S80" s="244">
        <v>11.755000000000001</v>
      </c>
      <c r="T80" s="1277">
        <v>387</v>
      </c>
      <c r="U80" s="1278">
        <f t="shared" si="15"/>
        <v>35.387710314557424</v>
      </c>
      <c r="V80" s="1292">
        <f t="shared" si="21"/>
        <v>6.9672479795831634</v>
      </c>
      <c r="W80" s="1279">
        <v>0.2</v>
      </c>
      <c r="X80" s="1449">
        <v>195</v>
      </c>
      <c r="Y80" s="1277">
        <f t="shared" si="3"/>
        <v>18.838141025641029</v>
      </c>
      <c r="Z80" s="1293">
        <f t="shared" si="30"/>
        <v>10.804767999999999</v>
      </c>
      <c r="AA80" s="244">
        <f t="shared" si="30"/>
        <v>11.613940000000001</v>
      </c>
      <c r="AB80" s="1277">
        <f t="shared" si="30"/>
        <v>382.35599999999999</v>
      </c>
      <c r="AC80" s="244">
        <f t="shared" si="31"/>
        <v>35.387710314557424</v>
      </c>
      <c r="AD80" s="1277">
        <f t="shared" si="31"/>
        <v>6.9672479795831634</v>
      </c>
      <c r="AE80" s="241">
        <f t="shared" si="19"/>
        <v>31</v>
      </c>
      <c r="AF80" s="244">
        <f t="shared" si="32"/>
        <v>334.94780799999995</v>
      </c>
      <c r="AG80" s="1285"/>
      <c r="AI80" s="1282">
        <f t="shared" si="20"/>
        <v>15.865865833108575</v>
      </c>
      <c r="AJ80" s="1252">
        <v>0.83209999999999995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514">
        <v>664.19</v>
      </c>
      <c r="J81" s="1448">
        <v>165</v>
      </c>
      <c r="K81" s="241"/>
      <c r="L81" s="1277">
        <v>78</v>
      </c>
      <c r="M81" s="241"/>
      <c r="N81" s="1278">
        <v>3.1</v>
      </c>
      <c r="O81" s="241"/>
      <c r="P81" s="1278">
        <f t="shared" si="4"/>
        <v>55.138762978590627</v>
      </c>
      <c r="Q81" s="1278">
        <f>14*J81/100</f>
        <v>23.1</v>
      </c>
      <c r="R81" s="244">
        <v>5.5309999999999997</v>
      </c>
      <c r="S81" s="244">
        <v>5.6840000000000002</v>
      </c>
      <c r="T81" s="1277">
        <v>191</v>
      </c>
      <c r="U81" s="1278">
        <f t="shared" si="15"/>
        <v>34.532634243355631</v>
      </c>
      <c r="V81" s="1292">
        <f t="shared" si="21"/>
        <v>2.6917663617171086</v>
      </c>
      <c r="W81" s="1279">
        <v>0.2</v>
      </c>
      <c r="X81" s="1449">
        <v>165</v>
      </c>
      <c r="Y81" s="1277">
        <f t="shared" si="3"/>
        <v>24.606060606060606</v>
      </c>
      <c r="Z81" s="1293">
        <f t="shared" si="30"/>
        <v>5.4646279999999994</v>
      </c>
      <c r="AA81" s="244">
        <f t="shared" si="30"/>
        <v>5.6157919999999999</v>
      </c>
      <c r="AB81" s="1277">
        <f t="shared" si="30"/>
        <v>188.708</v>
      </c>
      <c r="AC81" s="244">
        <f t="shared" si="31"/>
        <v>34.532634243355631</v>
      </c>
      <c r="AD81" s="1277">
        <f t="shared" si="31"/>
        <v>2.6917663617171086</v>
      </c>
      <c r="AE81" s="241">
        <f t="shared" si="19"/>
        <v>31</v>
      </c>
      <c r="AF81" s="244">
        <f t="shared" si="32"/>
        <v>169.40346799999998</v>
      </c>
      <c r="AG81" s="1281"/>
      <c r="AI81" s="1282">
        <f t="shared" si="20"/>
        <v>55.138762978590627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481">
        <v>700</v>
      </c>
      <c r="E82" s="1481" t="s">
        <v>547</v>
      </c>
      <c r="F82" s="241">
        <v>177.8</v>
      </c>
      <c r="G82" s="241" t="s">
        <v>28</v>
      </c>
      <c r="H82" s="241" t="s">
        <v>464</v>
      </c>
      <c r="I82" s="1481">
        <v>608.22</v>
      </c>
      <c r="J82" s="1471">
        <v>0</v>
      </c>
      <c r="K82" s="1471"/>
      <c r="L82" s="1319">
        <v>0</v>
      </c>
      <c r="M82" s="1471"/>
      <c r="N82" s="1278">
        <v>0</v>
      </c>
      <c r="O82" s="1471"/>
      <c r="P82" s="1278">
        <f t="shared" si="4"/>
        <v>48.239526409474465</v>
      </c>
      <c r="Q82" s="1278"/>
      <c r="R82" s="244"/>
      <c r="S82" s="244"/>
      <c r="T82" s="1319"/>
      <c r="U82" s="244"/>
      <c r="V82" s="1292"/>
      <c r="W82" s="1279"/>
      <c r="X82" s="1410">
        <v>0</v>
      </c>
      <c r="Y82" s="1277">
        <f t="shared" si="3"/>
        <v>0</v>
      </c>
      <c r="Z82" s="1293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0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515">
        <v>619.66</v>
      </c>
      <c r="E83" s="1515" t="s">
        <v>613</v>
      </c>
      <c r="F83" s="241">
        <v>177.8</v>
      </c>
      <c r="G83" s="241" t="s">
        <v>28</v>
      </c>
      <c r="H83" s="1299" t="s">
        <v>687</v>
      </c>
      <c r="I83" s="1515">
        <v>595.26</v>
      </c>
      <c r="J83" s="1515">
        <v>60</v>
      </c>
      <c r="K83" s="1515"/>
      <c r="L83" s="1319">
        <v>109</v>
      </c>
      <c r="M83" s="1515"/>
      <c r="N83" s="1278">
        <v>0.8</v>
      </c>
      <c r="O83" s="1515"/>
      <c r="P83" s="1278">
        <f t="shared" si="4"/>
        <v>43.503870679544768</v>
      </c>
      <c r="Q83" s="1278">
        <f>(20/100)*J83</f>
        <v>12</v>
      </c>
      <c r="R83" s="244">
        <v>2.7919999999999998</v>
      </c>
      <c r="S83" s="244">
        <v>2.8570000000000002</v>
      </c>
      <c r="T83" s="1319">
        <v>0</v>
      </c>
      <c r="U83" s="244">
        <f t="shared" si="15"/>
        <v>0</v>
      </c>
      <c r="V83" s="1292">
        <f t="shared" si="21"/>
        <v>2.2751137556877978</v>
      </c>
      <c r="W83" s="1279">
        <v>0.2</v>
      </c>
      <c r="X83" s="1410">
        <v>60</v>
      </c>
      <c r="Y83" s="1277">
        <f t="shared" si="3"/>
        <v>23.808333333333334</v>
      </c>
      <c r="Z83" s="1293">
        <v>4.5</v>
      </c>
      <c r="AA83" s="244">
        <f>S83*0.988</f>
        <v>2.8227160000000002</v>
      </c>
      <c r="AB83" s="1277">
        <f>T83*0.988</f>
        <v>0</v>
      </c>
      <c r="AC83" s="244">
        <f>U83</f>
        <v>0</v>
      </c>
      <c r="AD83" s="244">
        <f>V83</f>
        <v>2.2751137556877978</v>
      </c>
      <c r="AE83" s="241">
        <v>31</v>
      </c>
      <c r="AF83" s="244">
        <f t="shared" si="32"/>
        <v>139.5</v>
      </c>
      <c r="AG83" s="1281"/>
      <c r="AI83" s="1282">
        <f t="shared" ref="AI83:AI86" si="33">(9.81*(AJ83*(100%-(V83/100))+AK83*(V83/100))*(I83-L83)+N83*101.325+9.81*(AL83)*L83)/101.325</f>
        <v>43.503870679544768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481">
        <v>689.4</v>
      </c>
      <c r="E84" s="1481" t="s">
        <v>616</v>
      </c>
      <c r="F84" s="241">
        <v>177.8</v>
      </c>
      <c r="G84" s="241" t="s">
        <v>28</v>
      </c>
      <c r="H84" s="1299" t="s">
        <v>466</v>
      </c>
      <c r="I84" s="1481">
        <v>604.96</v>
      </c>
      <c r="J84" s="1471">
        <v>0</v>
      </c>
      <c r="K84" s="1471"/>
      <c r="L84" s="1319"/>
      <c r="M84" s="1471"/>
      <c r="N84" s="1278"/>
      <c r="O84" s="1471"/>
      <c r="P84" s="1278">
        <f t="shared" si="4"/>
        <v>47.576830678312362</v>
      </c>
      <c r="Q84" s="1278"/>
      <c r="R84" s="244"/>
      <c r="S84" s="244"/>
      <c r="T84" s="1319"/>
      <c r="U84" s="244"/>
      <c r="V84" s="1292"/>
      <c r="W84" s="1279"/>
      <c r="X84" s="1410">
        <v>0</v>
      </c>
      <c r="Y84" s="1277">
        <f t="shared" ref="Y84:Y86" si="34">IF(S84=0,0,S84/Q84)*100</f>
        <v>0</v>
      </c>
      <c r="Z84" s="1293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33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15">
        <v>577.12</v>
      </c>
      <c r="E85" s="1515" t="s">
        <v>614</v>
      </c>
      <c r="F85" s="241">
        <v>177.8</v>
      </c>
      <c r="G85" s="241" t="s">
        <v>28</v>
      </c>
      <c r="H85" s="241" t="s">
        <v>464</v>
      </c>
      <c r="I85" s="1515">
        <v>537.30999999999995</v>
      </c>
      <c r="J85" s="1515">
        <v>255</v>
      </c>
      <c r="K85" s="1515"/>
      <c r="L85" s="1319">
        <v>480</v>
      </c>
      <c r="M85" s="1515"/>
      <c r="N85" s="1278">
        <v>0.1</v>
      </c>
      <c r="O85" s="1515"/>
      <c r="P85" s="1278">
        <f t="shared" ref="P85:P86" si="35">AI85</f>
        <v>5.6192608611329593</v>
      </c>
      <c r="Q85" s="1278">
        <f>RIGHT(H85,(FIND("T",H85,1)-0))*J85/100</f>
        <v>35.700000000000003</v>
      </c>
      <c r="R85" s="244">
        <v>5.1120000000000001</v>
      </c>
      <c r="S85" s="244">
        <v>8.1790000000000003</v>
      </c>
      <c r="T85" s="1319">
        <v>4</v>
      </c>
      <c r="U85" s="244">
        <f t="shared" ref="U85" si="36">IF(R85=0,0,T85/R85)</f>
        <v>0.78247261345852892</v>
      </c>
      <c r="V85" s="1292">
        <f t="shared" si="21"/>
        <v>37.498471695806337</v>
      </c>
      <c r="W85" s="1279">
        <v>0.2</v>
      </c>
      <c r="X85" s="1410">
        <v>255</v>
      </c>
      <c r="Y85" s="1277">
        <f t="shared" si="34"/>
        <v>22.910364145658264</v>
      </c>
      <c r="Z85" s="1293">
        <f t="shared" ref="Z85:AB86" si="37">R85*0.988</f>
        <v>5.050656</v>
      </c>
      <c r="AA85" s="244">
        <f t="shared" si="37"/>
        <v>8.0808520000000001</v>
      </c>
      <c r="AB85" s="1277">
        <f t="shared" si="37"/>
        <v>3.952</v>
      </c>
      <c r="AC85" s="244">
        <f>U85</f>
        <v>0.78247261345852892</v>
      </c>
      <c r="AD85" s="244">
        <v>24.363</v>
      </c>
      <c r="AE85" s="241">
        <f t="shared" si="19"/>
        <v>31</v>
      </c>
      <c r="AF85" s="244">
        <f>Z85*AE85</f>
        <v>156.570336</v>
      </c>
      <c r="AG85" s="1281"/>
      <c r="AI85" s="1282">
        <f t="shared" si="33"/>
        <v>5.6192608611329593</v>
      </c>
      <c r="AJ85" s="1252">
        <v>0.89900000000000002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481">
        <v>576.27</v>
      </c>
      <c r="J86" s="1448">
        <v>130</v>
      </c>
      <c r="K86" s="241"/>
      <c r="L86" s="1277">
        <v>0</v>
      </c>
      <c r="M86" s="241"/>
      <c r="N86" s="1278">
        <v>5.4</v>
      </c>
      <c r="O86" s="241"/>
      <c r="P86" s="1278">
        <f t="shared" si="35"/>
        <v>61.716292844184579</v>
      </c>
      <c r="Q86" s="1278">
        <f>14*J86/100</f>
        <v>18.2</v>
      </c>
      <c r="R86" s="244">
        <v>2.165</v>
      </c>
      <c r="S86" s="244">
        <v>23.791</v>
      </c>
      <c r="T86" s="1277">
        <v>6</v>
      </c>
      <c r="U86" s="1278">
        <f t="shared" si="15"/>
        <v>2.7713625866050808</v>
      </c>
      <c r="V86" s="1292">
        <f t="shared" si="21"/>
        <v>90.899920137867269</v>
      </c>
      <c r="W86" s="1279">
        <v>0.5</v>
      </c>
      <c r="X86" s="1449">
        <v>130</v>
      </c>
      <c r="Y86" s="1277">
        <f t="shared" si="34"/>
        <v>130.71978021978023</v>
      </c>
      <c r="Z86" s="1293">
        <f t="shared" si="37"/>
        <v>2.1390199999999999</v>
      </c>
      <c r="AA86" s="244">
        <f t="shared" si="37"/>
        <v>23.505507999999999</v>
      </c>
      <c r="AB86" s="1277">
        <f t="shared" si="37"/>
        <v>5.9279999999999999</v>
      </c>
      <c r="AC86" s="244">
        <f>U86</f>
        <v>2.7713625866050808</v>
      </c>
      <c r="AD86" s="1277">
        <f>V86</f>
        <v>90.899920137867269</v>
      </c>
      <c r="AE86" s="241">
        <f t="shared" si="19"/>
        <v>31</v>
      </c>
      <c r="AF86" s="244">
        <f>Z86*AE86</f>
        <v>66.309619999999995</v>
      </c>
      <c r="AG86" s="1285"/>
      <c r="AI86" s="1282">
        <f t="shared" si="33"/>
        <v>61.716292844184579</v>
      </c>
      <c r="AJ86" s="1252">
        <v>0.92330000000000001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481"/>
      <c r="E87" s="1481"/>
      <c r="F87" s="1274"/>
      <c r="G87" s="241"/>
      <c r="H87" s="241"/>
      <c r="I87" s="1481"/>
      <c r="J87" s="1471"/>
      <c r="K87" s="1471"/>
      <c r="L87" s="1471"/>
      <c r="M87" s="1471"/>
      <c r="N87" s="241"/>
      <c r="O87" s="1471"/>
      <c r="P87" s="1278"/>
      <c r="Q87" s="1269"/>
      <c r="R87" s="1348">
        <f>SUM(R19:R86)</f>
        <v>339.97299999999996</v>
      </c>
      <c r="S87" s="1348">
        <f>SUM(S19:S86)</f>
        <v>1027.231</v>
      </c>
      <c r="T87" s="1349">
        <f>SUM(T19:T86)</f>
        <v>3981.3089999999993</v>
      </c>
      <c r="U87" s="1348">
        <f>T87/R87</f>
        <v>11.710662317301667</v>
      </c>
      <c r="V87" s="1548"/>
      <c r="W87" s="1350"/>
      <c r="X87" s="1410"/>
      <c r="Y87" s="1348"/>
      <c r="Z87" s="1548">
        <f>SUM(Z19:Z86)</f>
        <v>335.95975599999997</v>
      </c>
      <c r="AA87" s="1348">
        <f>SUM(AA19:AA86)</f>
        <v>1015.3502559999999</v>
      </c>
      <c r="AB87" s="1351">
        <f>SUM(AB19:AB86)</f>
        <v>3933.5332920000014</v>
      </c>
      <c r="AC87" s="1348">
        <f>AB87/Z87</f>
        <v>11.708346674713033</v>
      </c>
      <c r="AD87" s="1348"/>
      <c r="AE87" s="1302"/>
      <c r="AF87" s="1348">
        <f>SUM(AF19:AF86)</f>
        <v>10414.752436000002</v>
      </c>
      <c r="AG87" s="1281"/>
      <c r="AI87" s="1282"/>
    </row>
    <row r="88" spans="1:38" ht="18.75" customHeight="1" x14ac:dyDescent="0.2">
      <c r="A88" s="1347"/>
      <c r="B88" s="241"/>
      <c r="C88" s="241"/>
      <c r="D88" s="1481"/>
      <c r="E88" s="1481"/>
      <c r="F88" s="1274"/>
      <c r="G88" s="241"/>
      <c r="H88" s="241"/>
      <c r="I88" s="1481"/>
      <c r="J88" s="1471"/>
      <c r="K88" s="1471"/>
      <c r="L88" s="1471"/>
      <c r="M88" s="1471"/>
      <c r="N88" s="241"/>
      <c r="O88" s="1471"/>
      <c r="P88" s="1278"/>
      <c r="Q88" s="1269"/>
      <c r="R88" s="1348"/>
      <c r="S88" s="1348"/>
      <c r="T88" s="1349"/>
      <c r="U88" s="1348"/>
      <c r="V88" s="1548"/>
      <c r="W88" s="1350"/>
      <c r="X88" s="1410"/>
      <c r="Y88" s="1348"/>
      <c r="Z88" s="15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481"/>
      <c r="E89" s="1480" t="s">
        <v>388</v>
      </c>
      <c r="F89" s="1274"/>
      <c r="G89" s="241"/>
      <c r="H89" s="241"/>
      <c r="I89" s="1481"/>
      <c r="J89" s="1471"/>
      <c r="K89" s="1471"/>
      <c r="L89" s="1471"/>
      <c r="M89" s="1471"/>
      <c r="N89" s="241"/>
      <c r="O89" s="1471"/>
      <c r="P89" s="1278"/>
      <c r="Q89" s="1269"/>
      <c r="R89" s="1348"/>
      <c r="S89" s="1348"/>
      <c r="T89" s="1349"/>
      <c r="U89" s="1348"/>
      <c r="V89" s="1548"/>
      <c r="W89" s="1350"/>
      <c r="X89" s="1410"/>
      <c r="Y89" s="1348"/>
      <c r="Z89" s="15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481">
        <v>737.21</v>
      </c>
      <c r="E90" s="1481" t="s">
        <v>507</v>
      </c>
      <c r="F90" s="241">
        <v>177.8</v>
      </c>
      <c r="G90" s="241" t="s">
        <v>28</v>
      </c>
      <c r="H90" s="1354" t="s">
        <v>466</v>
      </c>
      <c r="I90" s="1481">
        <v>680.94</v>
      </c>
      <c r="J90" s="1471"/>
      <c r="K90" s="1471"/>
      <c r="L90" s="1471"/>
      <c r="M90" s="1471"/>
      <c r="N90" s="241"/>
      <c r="O90" s="1471"/>
      <c r="P90" s="1278"/>
      <c r="Q90" s="1269"/>
      <c r="R90" s="244"/>
      <c r="S90" s="244"/>
      <c r="T90" s="1319"/>
      <c r="U90" s="244"/>
      <c r="V90" s="1293"/>
      <c r="W90" s="1355"/>
      <c r="X90" s="1410"/>
      <c r="Y90" s="244">
        <f>IF(S90=0,0,S90/Q90)</f>
        <v>0</v>
      </c>
      <c r="Z90" s="1293">
        <f t="shared" ref="Z90:AB93" si="38">R90*0.988</f>
        <v>0</v>
      </c>
      <c r="AA90" s="244">
        <f t="shared" si="38"/>
        <v>0</v>
      </c>
      <c r="AB90" s="1277">
        <f t="shared" si="38"/>
        <v>0</v>
      </c>
      <c r="AC90" s="244">
        <f t="shared" ref="AC90:AD93" si="39">U90</f>
        <v>0</v>
      </c>
      <c r="AD90" s="244">
        <f t="shared" si="39"/>
        <v>0</v>
      </c>
      <c r="AE90" s="241">
        <f>(DAY(EOMONTH($AH$17,0))-AH90)</f>
        <v>31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481">
        <v>695.15</v>
      </c>
      <c r="E91" s="1481" t="s">
        <v>508</v>
      </c>
      <c r="F91" s="1274">
        <v>177.8</v>
      </c>
      <c r="G91" s="241" t="s">
        <v>28</v>
      </c>
      <c r="H91" s="241" t="s">
        <v>491</v>
      </c>
      <c r="I91" s="1481">
        <v>658.9</v>
      </c>
      <c r="J91" s="1471"/>
      <c r="K91" s="1471"/>
      <c r="L91" s="1471"/>
      <c r="M91" s="1471"/>
      <c r="N91" s="241"/>
      <c r="O91" s="1471"/>
      <c r="P91" s="1278"/>
      <c r="Q91" s="1269"/>
      <c r="R91" s="244"/>
      <c r="S91" s="244"/>
      <c r="T91" s="1319"/>
      <c r="U91" s="244"/>
      <c r="V91" s="1293"/>
      <c r="W91" s="1355"/>
      <c r="X91" s="1410"/>
      <c r="Y91" s="244">
        <f>IF(S91=0,0,S91/Q91)</f>
        <v>0</v>
      </c>
      <c r="Z91" s="1293">
        <f t="shared" si="38"/>
        <v>0</v>
      </c>
      <c r="AA91" s="244">
        <f t="shared" si="38"/>
        <v>0</v>
      </c>
      <c r="AB91" s="1277">
        <f t="shared" si="38"/>
        <v>0</v>
      </c>
      <c r="AC91" s="244">
        <f t="shared" si="39"/>
        <v>0</v>
      </c>
      <c r="AD91" s="244">
        <f t="shared" si="39"/>
        <v>0</v>
      </c>
      <c r="AE91" s="241">
        <f>(DAY(EOMONTH($AH$17,0))-AH91)</f>
        <v>31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481">
        <v>685.69</v>
      </c>
      <c r="E92" s="1481" t="s">
        <v>579</v>
      </c>
      <c r="F92" s="241">
        <v>177.8</v>
      </c>
      <c r="G92" s="241" t="s">
        <v>28</v>
      </c>
      <c r="H92" s="1299" t="s">
        <v>466</v>
      </c>
      <c r="I92" s="1481">
        <v>639.97</v>
      </c>
      <c r="J92" s="1471"/>
      <c r="K92" s="1471"/>
      <c r="L92" s="1471"/>
      <c r="M92" s="1471"/>
      <c r="N92" s="241"/>
      <c r="O92" s="1471"/>
      <c r="P92" s="1278"/>
      <c r="Q92" s="1269"/>
      <c r="R92" s="1356"/>
      <c r="S92" s="1356"/>
      <c r="T92" s="1356"/>
      <c r="U92" s="1356"/>
      <c r="V92" s="1549"/>
      <c r="W92" s="1357"/>
      <c r="X92" s="1410"/>
      <c r="Y92" s="244">
        <f>IF(S92=0,0,S92/Q92)</f>
        <v>0</v>
      </c>
      <c r="Z92" s="1293">
        <f t="shared" si="38"/>
        <v>0</v>
      </c>
      <c r="AA92" s="244">
        <f t="shared" si="38"/>
        <v>0</v>
      </c>
      <c r="AB92" s="1277">
        <f t="shared" si="38"/>
        <v>0</v>
      </c>
      <c r="AC92" s="244">
        <f t="shared" si="39"/>
        <v>0</v>
      </c>
      <c r="AD92" s="244">
        <f t="shared" si="39"/>
        <v>0</v>
      </c>
      <c r="AE92" s="241">
        <f t="shared" ref="AE92:AE93" si="40">(DAY(EOMONTH($AH$17,0))-AH92)</f>
        <v>31</v>
      </c>
      <c r="AF92" s="244">
        <f t="shared" ref="AF92:AF93" si="41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481">
        <v>9.5</v>
      </c>
      <c r="J93" s="1471"/>
      <c r="K93" s="1471"/>
      <c r="L93" s="1471"/>
      <c r="M93" s="1471"/>
      <c r="N93" s="241"/>
      <c r="O93" s="1471"/>
      <c r="P93" s="1278"/>
      <c r="Q93" s="1269"/>
      <c r="R93" s="1348"/>
      <c r="S93" s="1348"/>
      <c r="T93" s="1349"/>
      <c r="U93" s="1348"/>
      <c r="V93" s="1548"/>
      <c r="W93" s="1350"/>
      <c r="X93" s="1410"/>
      <c r="Y93" s="244">
        <f>IF(S93=0,0,S93/Q93)</f>
        <v>0</v>
      </c>
      <c r="Z93" s="1293">
        <f t="shared" si="38"/>
        <v>0</v>
      </c>
      <c r="AA93" s="244">
        <f t="shared" si="38"/>
        <v>0</v>
      </c>
      <c r="AB93" s="1277">
        <f t="shared" si="38"/>
        <v>0</v>
      </c>
      <c r="AC93" s="244">
        <f t="shared" si="39"/>
        <v>0</v>
      </c>
      <c r="AD93" s="244">
        <f t="shared" si="39"/>
        <v>0</v>
      </c>
      <c r="AE93" s="241">
        <f t="shared" si="40"/>
        <v>31</v>
      </c>
      <c r="AF93" s="244">
        <f t="shared" si="41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471"/>
      <c r="K94" s="1471"/>
      <c r="L94" s="1471"/>
      <c r="M94" s="1471"/>
      <c r="N94" s="1471"/>
      <c r="O94" s="1471"/>
      <c r="P94" s="1269"/>
      <c r="Q94" s="1269"/>
      <c r="R94" s="1348"/>
      <c r="S94" s="1348"/>
      <c r="T94" s="1349"/>
      <c r="U94" s="1348"/>
      <c r="V94" s="1548"/>
      <c r="W94" s="1350"/>
      <c r="X94" s="1410"/>
      <c r="Y94" s="1348"/>
      <c r="Z94" s="15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471"/>
      <c r="K95" s="1471"/>
      <c r="L95" s="1471"/>
      <c r="M95" s="1471"/>
      <c r="N95" s="1471"/>
      <c r="O95" s="1471"/>
      <c r="P95" s="1269"/>
      <c r="Q95" s="1269"/>
      <c r="R95" s="1348"/>
      <c r="S95" s="1348"/>
      <c r="T95" s="1349"/>
      <c r="U95" s="1348"/>
      <c r="V95" s="1548"/>
      <c r="W95" s="1350"/>
      <c r="X95" s="1410"/>
      <c r="Y95" s="1348"/>
      <c r="Z95" s="15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481">
        <v>183.38</v>
      </c>
      <c r="J96" s="1471">
        <v>0</v>
      </c>
      <c r="K96" s="241">
        <v>0</v>
      </c>
      <c r="L96" s="241"/>
      <c r="M96" s="241">
        <v>0</v>
      </c>
      <c r="N96" s="241"/>
      <c r="O96" s="241"/>
      <c r="P96" s="1278">
        <f t="shared" ref="P96:P101" si="42">AI96</f>
        <v>16.420982671798672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" si="43">IF(R96=0,0,T96/R96)</f>
        <v>0</v>
      </c>
      <c r="V96" s="1292">
        <v>0</v>
      </c>
      <c r="W96" s="1355">
        <v>0</v>
      </c>
      <c r="X96" s="1410">
        <v>0</v>
      </c>
      <c r="Y96" s="1277">
        <f>IF(S96=0,0,S96/Q96)*100</f>
        <v>0</v>
      </c>
      <c r="Z96" s="1293">
        <f t="shared" ref="Z96:AB101" si="44">R96*0.988</f>
        <v>0</v>
      </c>
      <c r="AA96" s="244">
        <f t="shared" si="44"/>
        <v>0</v>
      </c>
      <c r="AB96" s="244">
        <f t="shared" si="44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5">Z96*AE96</f>
        <v>0</v>
      </c>
      <c r="AG96" s="1285"/>
      <c r="AI96" s="1282">
        <f t="shared" ref="AI96:AI101" si="46">(9.81*(AJ96*(100%-(V96/100))+AK96*(V96/100))*(I96-L96)+N96*101.325+9.81*(AL96)*L96)/101.325</f>
        <v>16.420982671798672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481">
        <v>136.35</v>
      </c>
      <c r="J97" s="1485">
        <v>205</v>
      </c>
      <c r="K97" s="1485"/>
      <c r="L97" s="1319">
        <v>53</v>
      </c>
      <c r="M97" s="1485"/>
      <c r="N97" s="1278">
        <v>0</v>
      </c>
      <c r="O97" s="1485"/>
      <c r="P97" s="1278">
        <f t="shared" si="42"/>
        <v>7.7419378563265875</v>
      </c>
      <c r="Q97" s="1278">
        <f>(22*J97)/100</f>
        <v>45.1</v>
      </c>
      <c r="R97" s="244">
        <v>14.759</v>
      </c>
      <c r="S97" s="244">
        <v>22.786999999999999</v>
      </c>
      <c r="T97" s="1319">
        <v>0</v>
      </c>
      <c r="U97" s="244">
        <f>T97/R97</f>
        <v>0</v>
      </c>
      <c r="V97" s="1292">
        <f t="shared" ref="V97:V100" si="47">(S97-R97)/S97*100</f>
        <v>35.230613946548466</v>
      </c>
      <c r="W97" s="1279">
        <v>0.2</v>
      </c>
      <c r="X97" s="1455">
        <v>205</v>
      </c>
      <c r="Y97" s="1277">
        <f t="shared" ref="Y97:Y105" si="48">IF(S97=0,0,S97/Q97)*100</f>
        <v>50.525498891352548</v>
      </c>
      <c r="Z97" s="1293">
        <f t="shared" si="44"/>
        <v>14.581892</v>
      </c>
      <c r="AA97" s="244">
        <f t="shared" si="44"/>
        <v>22.513555999999998</v>
      </c>
      <c r="AB97" s="244">
        <f t="shared" si="44"/>
        <v>0</v>
      </c>
      <c r="AC97" s="244">
        <f>U97</f>
        <v>0</v>
      </c>
      <c r="AD97" s="244">
        <f>V97</f>
        <v>35.230613946548466</v>
      </c>
      <c r="AE97" s="241">
        <f t="shared" ref="AE97:AE101" si="49">(DAY(EOMONTH($AH$17,0))-AH97)</f>
        <v>31</v>
      </c>
      <c r="AF97" s="244">
        <f>Z97*AE97</f>
        <v>452.03865200000001</v>
      </c>
      <c r="AG97" s="1580">
        <f>AA97-Z97</f>
        <v>7.9316639999999978</v>
      </c>
      <c r="AI97" s="1282">
        <f t="shared" si="46"/>
        <v>7.7419378563265875</v>
      </c>
      <c r="AJ97" s="1252">
        <v>0.93130000000000002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481">
        <v>130.11000000000001</v>
      </c>
      <c r="J98" s="1485">
        <v>250</v>
      </c>
      <c r="K98" s="1485"/>
      <c r="L98" s="1319">
        <v>86</v>
      </c>
      <c r="M98" s="1485"/>
      <c r="N98" s="1278">
        <v>0</v>
      </c>
      <c r="O98" s="1485"/>
      <c r="P98" s="1278">
        <f t="shared" si="42"/>
        <v>4.0359588278929586</v>
      </c>
      <c r="Q98" s="1278">
        <f>(15*J98)/100</f>
        <v>37.5</v>
      </c>
      <c r="R98" s="244">
        <v>9.8390000000000004</v>
      </c>
      <c r="S98" s="244">
        <v>10.069000000000001</v>
      </c>
      <c r="T98" s="1319">
        <v>0</v>
      </c>
      <c r="U98" s="244">
        <f>T98/R98</f>
        <v>0</v>
      </c>
      <c r="V98" s="1292">
        <f t="shared" si="47"/>
        <v>2.2842387526070156</v>
      </c>
      <c r="W98" s="1279">
        <v>0.2</v>
      </c>
      <c r="X98" s="1316">
        <v>250</v>
      </c>
      <c r="Y98" s="1277">
        <f t="shared" si="48"/>
        <v>26.850666666666669</v>
      </c>
      <c r="Z98" s="1293">
        <f t="shared" si="44"/>
        <v>9.7209319999999995</v>
      </c>
      <c r="AA98" s="244">
        <f t="shared" si="44"/>
        <v>9.9481720000000013</v>
      </c>
      <c r="AB98" s="244">
        <f t="shared" si="44"/>
        <v>0</v>
      </c>
      <c r="AC98" s="244">
        <v>0</v>
      </c>
      <c r="AD98" s="244">
        <f>V98</f>
        <v>2.2842387526070156</v>
      </c>
      <c r="AE98" s="241">
        <f t="shared" si="49"/>
        <v>31</v>
      </c>
      <c r="AF98" s="244">
        <f t="shared" si="45"/>
        <v>301.34889199999998</v>
      </c>
      <c r="AG98" s="1580">
        <f t="shared" ref="AG98:AG101" si="50">AA98-Z98</f>
        <v>0.22724000000000188</v>
      </c>
      <c r="AI98" s="1282">
        <f t="shared" si="46"/>
        <v>4.0359588278929586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481">
        <v>134.24</v>
      </c>
      <c r="J99" s="1485">
        <v>225</v>
      </c>
      <c r="K99" s="1485"/>
      <c r="L99" s="1319">
        <v>57</v>
      </c>
      <c r="M99" s="1485"/>
      <c r="N99" s="1278">
        <v>0</v>
      </c>
      <c r="O99" s="1485"/>
      <c r="P99" s="1278">
        <f t="shared" si="42"/>
        <v>7.0498664021625395</v>
      </c>
      <c r="Q99" s="1278">
        <f>LEFT(H99,(FIND("E",H99,1)-1))*J99/100</f>
        <v>29.25</v>
      </c>
      <c r="R99" s="244">
        <v>11.353</v>
      </c>
      <c r="S99" s="244">
        <v>12.534000000000001</v>
      </c>
      <c r="T99" s="1319">
        <v>0</v>
      </c>
      <c r="U99" s="244">
        <v>0</v>
      </c>
      <c r="V99" s="1292">
        <f t="shared" si="47"/>
        <v>9.4223711504707257</v>
      </c>
      <c r="W99" s="1279">
        <v>0.2</v>
      </c>
      <c r="X99" s="1316">
        <v>225</v>
      </c>
      <c r="Y99" s="1277">
        <f t="shared" si="48"/>
        <v>42.851282051282055</v>
      </c>
      <c r="Z99" s="1293">
        <f t="shared" si="44"/>
        <v>11.216764</v>
      </c>
      <c r="AA99" s="244">
        <f t="shared" si="44"/>
        <v>12.383592</v>
      </c>
      <c r="AB99" s="244">
        <f t="shared" si="44"/>
        <v>0</v>
      </c>
      <c r="AC99" s="244">
        <v>0</v>
      </c>
      <c r="AD99" s="244">
        <f>V99</f>
        <v>9.4223711504707257</v>
      </c>
      <c r="AE99" s="241">
        <f t="shared" si="49"/>
        <v>31</v>
      </c>
      <c r="AF99" s="244">
        <f t="shared" si="45"/>
        <v>347.71968399999997</v>
      </c>
      <c r="AG99" s="1580">
        <f t="shared" si="50"/>
        <v>1.1668280000000006</v>
      </c>
      <c r="AI99" s="1282">
        <f t="shared" si="46"/>
        <v>7.0498664021625395</v>
      </c>
      <c r="AJ99" s="1252">
        <v>0.93179999999999996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15">
        <v>200</v>
      </c>
      <c r="K100" s="1515"/>
      <c r="L100" s="1319">
        <v>105</v>
      </c>
      <c r="M100" s="1515"/>
      <c r="N100" s="1278">
        <v>0.9</v>
      </c>
      <c r="O100" s="1515"/>
      <c r="P100" s="1278">
        <f t="shared" si="42"/>
        <v>5.0388568252437498</v>
      </c>
      <c r="Q100" s="1278">
        <f>(14*J100)/100</f>
        <v>28</v>
      </c>
      <c r="R100" s="244">
        <v>9.2870000000000008</v>
      </c>
      <c r="S100" s="244">
        <v>10.243</v>
      </c>
      <c r="T100" s="1319">
        <v>0</v>
      </c>
      <c r="U100" s="244">
        <f>T100/R100</f>
        <v>0</v>
      </c>
      <c r="V100" s="1292">
        <f t="shared" si="47"/>
        <v>9.3332031631357957</v>
      </c>
      <c r="W100" s="1279">
        <v>0.2</v>
      </c>
      <c r="X100" s="1316">
        <v>200</v>
      </c>
      <c r="Y100" s="1277">
        <f t="shared" si="48"/>
        <v>36.582142857142856</v>
      </c>
      <c r="Z100" s="1293">
        <f t="shared" si="44"/>
        <v>9.1755560000000003</v>
      </c>
      <c r="AA100" s="244">
        <f t="shared" si="44"/>
        <v>10.120084</v>
      </c>
      <c r="AB100" s="244">
        <f t="shared" si="44"/>
        <v>0</v>
      </c>
      <c r="AC100" s="244">
        <f>U100</f>
        <v>0</v>
      </c>
      <c r="AD100" s="244">
        <f>V100</f>
        <v>9.3332031631357957</v>
      </c>
      <c r="AE100" s="241">
        <f t="shared" si="49"/>
        <v>31</v>
      </c>
      <c r="AF100" s="244">
        <f t="shared" si="45"/>
        <v>284.44223599999998</v>
      </c>
      <c r="AG100" s="1580">
        <f t="shared" si="50"/>
        <v>0.94452800000000003</v>
      </c>
      <c r="AI100" s="1282">
        <f t="shared" si="46"/>
        <v>5.0388568252437498</v>
      </c>
      <c r="AJ100" s="1252">
        <v>0.93220000000000003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140</v>
      </c>
      <c r="K101" s="1302"/>
      <c r="L101" s="1277">
        <v>48</v>
      </c>
      <c r="M101" s="1302"/>
      <c r="N101" s="241">
        <v>1.2</v>
      </c>
      <c r="O101" s="1302"/>
      <c r="P101" s="1278">
        <f t="shared" si="42"/>
        <v>15.762259617440085</v>
      </c>
      <c r="Q101" s="1269">
        <f>(13*J101)/100</f>
        <v>18.2</v>
      </c>
      <c r="R101" s="244">
        <v>6.9660000000000002</v>
      </c>
      <c r="S101" s="244">
        <v>9.4879999999999995</v>
      </c>
      <c r="T101" s="244">
        <v>0</v>
      </c>
      <c r="U101" s="244">
        <f>T101/R101</f>
        <v>0</v>
      </c>
      <c r="V101" s="1292">
        <f>(S101-R101)/S101*100</f>
        <v>26.580944350758845</v>
      </c>
      <c r="W101" s="1355">
        <v>0.2</v>
      </c>
      <c r="X101" s="1316">
        <v>140</v>
      </c>
      <c r="Y101" s="1277">
        <f t="shared" si="48"/>
        <v>52.131868131868131</v>
      </c>
      <c r="Z101" s="1293">
        <f t="shared" si="44"/>
        <v>6.8824079999999999</v>
      </c>
      <c r="AA101" s="244">
        <f t="shared" si="44"/>
        <v>9.3741439999999994</v>
      </c>
      <c r="AB101" s="244">
        <f t="shared" si="44"/>
        <v>0</v>
      </c>
      <c r="AC101" s="244">
        <f>U101</f>
        <v>0</v>
      </c>
      <c r="AD101" s="244">
        <f>V101</f>
        <v>26.580944350758845</v>
      </c>
      <c r="AE101" s="241">
        <f t="shared" si="49"/>
        <v>31</v>
      </c>
      <c r="AF101" s="244">
        <f t="shared" si="45"/>
        <v>213.354648</v>
      </c>
      <c r="AG101" s="1580">
        <f t="shared" si="50"/>
        <v>2.4917359999999995</v>
      </c>
      <c r="AI101" s="1282">
        <f t="shared" si="46"/>
        <v>15.762259617440085</v>
      </c>
      <c r="AJ101" s="1252">
        <v>0.92779999999999996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1293"/>
      <c r="W102" s="1355"/>
      <c r="X102" s="1316"/>
      <c r="Y102" s="1277">
        <f t="shared" si="48"/>
        <v>0</v>
      </c>
      <c r="Z102" s="1293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1293"/>
      <c r="W103" s="1355"/>
      <c r="X103" s="1316"/>
      <c r="Y103" s="1277">
        <f t="shared" si="48"/>
        <v>0</v>
      </c>
      <c r="Z103" s="1293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481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51">IF(R104=0,0,T104/R104)</f>
        <v>0</v>
      </c>
      <c r="V104" s="1292">
        <v>0.5</v>
      </c>
      <c r="W104" s="1279">
        <v>0.3</v>
      </c>
      <c r="X104" s="1449">
        <v>0</v>
      </c>
      <c r="Y104" s="1277">
        <f t="shared" si="48"/>
        <v>0</v>
      </c>
      <c r="Z104" s="1293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481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51"/>
        <v>0</v>
      </c>
      <c r="V105" s="1292">
        <v>0.3</v>
      </c>
      <c r="W105" s="1279">
        <v>0.3</v>
      </c>
      <c r="X105" s="1449">
        <v>0</v>
      </c>
      <c r="Y105" s="1277">
        <f t="shared" si="48"/>
        <v>0</v>
      </c>
      <c r="Z105" s="1293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481"/>
      <c r="G106" s="1479"/>
      <c r="H106" s="1480"/>
      <c r="I106" s="1480"/>
      <c r="J106" s="1471"/>
      <c r="K106" s="1471"/>
      <c r="L106" s="1471"/>
      <c r="M106" s="1471"/>
      <c r="N106" s="1471"/>
      <c r="O106" s="1471"/>
      <c r="P106" s="1269"/>
      <c r="Q106" s="1269"/>
      <c r="R106" s="1348">
        <f>SUM(R97:R103)</f>
        <v>52.204000000000001</v>
      </c>
      <c r="S106" s="1348">
        <f>SUM(S97:S103)</f>
        <v>65.121000000000009</v>
      </c>
      <c r="T106" s="1348">
        <f>SUM(T97:T100)</f>
        <v>0</v>
      </c>
      <c r="U106" s="1348">
        <f>SUM(U97:U100)</f>
        <v>0</v>
      </c>
      <c r="V106" s="1550"/>
      <c r="W106" s="1469"/>
      <c r="X106" s="1410"/>
      <c r="Y106" s="1468"/>
      <c r="Z106" s="1548">
        <f>SUM(Z97:Z103)</f>
        <v>51.577551999999997</v>
      </c>
      <c r="AA106" s="1348">
        <f>SUM(AA97:AA103)</f>
        <v>64.339547999999994</v>
      </c>
      <c r="AB106" s="1348">
        <f>SUM(AB97:AB100)</f>
        <v>0</v>
      </c>
      <c r="AC106" s="1348">
        <f>AB106/Z106</f>
        <v>0</v>
      </c>
      <c r="AD106" s="1468"/>
      <c r="AE106" s="1492"/>
      <c r="AF106" s="1348">
        <f>SUM(AF97:AF103)</f>
        <v>1598.9041119999997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548"/>
      <c r="W107" s="1350"/>
      <c r="X107" s="1316"/>
      <c r="Y107" s="1348"/>
      <c r="Z107" s="15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479"/>
      <c r="H108" s="1480"/>
      <c r="I108" s="1480"/>
      <c r="J108" s="1471"/>
      <c r="K108" s="1471"/>
      <c r="L108" s="1471"/>
      <c r="M108" s="1471"/>
      <c r="N108" s="1471"/>
      <c r="O108" s="1471"/>
      <c r="P108" s="1269"/>
      <c r="Q108" s="1269"/>
      <c r="R108" s="1471"/>
      <c r="S108" s="1471"/>
      <c r="T108" s="1471"/>
      <c r="U108" s="1468"/>
      <c r="V108" s="1550"/>
      <c r="W108" s="1469"/>
      <c r="X108" s="1410"/>
      <c r="Y108" s="1468"/>
      <c r="Z108" s="1290"/>
      <c r="AA108" s="1471"/>
      <c r="AB108" s="1471"/>
      <c r="AC108" s="1468"/>
      <c r="AD108" s="1468"/>
      <c r="AE108" s="1492"/>
      <c r="AF108" s="1471"/>
      <c r="AG108" s="1486"/>
    </row>
    <row r="109" spans="1:38" ht="18.75" customHeight="1" x14ac:dyDescent="0.2">
      <c r="A109" s="1273">
        <v>83</v>
      </c>
      <c r="B109" s="1317" t="s">
        <v>107</v>
      </c>
      <c r="C109" s="1481" t="s">
        <v>109</v>
      </c>
      <c r="D109" s="1481"/>
      <c r="E109" s="1481"/>
      <c r="F109" s="1481"/>
      <c r="G109" s="1479"/>
      <c r="H109" s="1480"/>
      <c r="I109" s="1480"/>
      <c r="J109" s="1471"/>
      <c r="K109" s="1471"/>
      <c r="L109" s="1471"/>
      <c r="M109" s="1471"/>
      <c r="N109" s="1471"/>
      <c r="O109" s="1471"/>
      <c r="P109" s="1269"/>
      <c r="Q109" s="1269"/>
      <c r="R109" s="1471"/>
      <c r="S109" s="1471"/>
      <c r="T109" s="1471"/>
      <c r="U109" s="1468"/>
      <c r="V109" s="1550"/>
      <c r="W109" s="1469"/>
      <c r="X109" s="1410"/>
      <c r="Y109" s="1468"/>
      <c r="Z109" s="1582"/>
      <c r="AA109" s="1470"/>
      <c r="AB109" s="1471"/>
      <c r="AC109" s="1468"/>
      <c r="AD109" s="1468"/>
      <c r="AE109" s="1373"/>
      <c r="AF109" s="1471"/>
      <c r="AG109" s="1486"/>
    </row>
    <row r="110" spans="1:38" ht="18.75" customHeight="1" x14ac:dyDescent="0.2">
      <c r="A110" s="1273">
        <v>84</v>
      </c>
      <c r="B110" s="1317" t="s">
        <v>108</v>
      </c>
      <c r="C110" s="1481" t="s">
        <v>109</v>
      </c>
      <c r="D110" s="1481"/>
      <c r="E110" s="1481"/>
      <c r="F110" s="1481"/>
      <c r="G110" s="1479"/>
      <c r="H110" s="1480"/>
      <c r="I110" s="1480"/>
      <c r="J110" s="1471"/>
      <c r="K110" s="1471"/>
      <c r="L110" s="1471"/>
      <c r="M110" s="1471"/>
      <c r="N110" s="1471"/>
      <c r="O110" s="1471"/>
      <c r="P110" s="1269"/>
      <c r="Q110" s="1269"/>
      <c r="R110" s="1301"/>
      <c r="S110" s="1471"/>
      <c r="T110" s="1471"/>
      <c r="U110" s="1468"/>
      <c r="V110" s="1550"/>
      <c r="W110" s="1469"/>
      <c r="X110" s="1410"/>
      <c r="Y110" s="1468"/>
      <c r="Z110" s="1582"/>
      <c r="AA110" s="1470"/>
      <c r="AB110" s="1471"/>
      <c r="AC110" s="1468"/>
      <c r="AD110" s="1468"/>
      <c r="AE110" s="1373"/>
      <c r="AF110" s="1471"/>
      <c r="AG110" s="1486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481"/>
      <c r="E111" s="1481"/>
      <c r="F111" s="1481"/>
      <c r="G111" s="1479"/>
      <c r="H111" s="1480"/>
      <c r="I111" s="1480"/>
      <c r="J111" s="1471"/>
      <c r="K111" s="1471"/>
      <c r="L111" s="1471"/>
      <c r="M111" s="1471"/>
      <c r="N111" s="1471"/>
      <c r="O111" s="1471"/>
      <c r="P111" s="1269"/>
      <c r="Q111" s="1269"/>
      <c r="R111" s="1471"/>
      <c r="S111" s="1471"/>
      <c r="T111" s="1471"/>
      <c r="U111" s="1468"/>
      <c r="V111" s="1550"/>
      <c r="W111" s="1469"/>
      <c r="X111" s="1410"/>
      <c r="Y111" s="1468"/>
      <c r="Z111" s="1582"/>
      <c r="AA111" s="1470"/>
      <c r="AB111" s="1471"/>
      <c r="AC111" s="1468"/>
      <c r="AD111" s="1468"/>
      <c r="AE111" s="1373"/>
      <c r="AF111" s="1471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481"/>
      <c r="E112" s="1481"/>
      <c r="F112" s="1481"/>
      <c r="G112" s="1479"/>
      <c r="H112" s="1480"/>
      <c r="I112" s="1480"/>
      <c r="J112" s="1471"/>
      <c r="K112" s="1471"/>
      <c r="L112" s="1471"/>
      <c r="M112" s="1471"/>
      <c r="N112" s="1471"/>
      <c r="O112" s="1471"/>
      <c r="P112" s="1269"/>
      <c r="Q112" s="1269"/>
      <c r="R112" s="1471"/>
      <c r="S112" s="1471"/>
      <c r="T112" s="1471"/>
      <c r="U112" s="1468"/>
      <c r="V112" s="1550"/>
      <c r="W112" s="1469"/>
      <c r="X112" s="1410"/>
      <c r="Y112" s="1468"/>
      <c r="Z112" s="1582"/>
      <c r="AA112" s="1470"/>
      <c r="AB112" s="1471"/>
      <c r="AC112" s="1468"/>
      <c r="AD112" s="1468"/>
      <c r="AE112" s="1373"/>
      <c r="AF112" s="1471"/>
      <c r="AG112" s="1285"/>
    </row>
    <row r="113" spans="1:33" ht="18.75" customHeight="1" x14ac:dyDescent="0.2">
      <c r="A113" s="1273"/>
      <c r="B113" s="1262"/>
      <c r="C113" s="1371"/>
      <c r="D113" s="1371"/>
      <c r="E113" s="1480" t="s">
        <v>278</v>
      </c>
      <c r="F113" s="1371"/>
      <c r="G113" s="1479"/>
      <c r="H113" s="1480"/>
      <c r="I113" s="1480"/>
      <c r="J113" s="1471"/>
      <c r="K113" s="1471"/>
      <c r="L113" s="1471"/>
      <c r="M113" s="1471"/>
      <c r="N113" s="1471"/>
      <c r="O113" s="1471"/>
      <c r="P113" s="1269"/>
      <c r="Q113" s="1269"/>
      <c r="R113" s="1471"/>
      <c r="S113" s="1471"/>
      <c r="T113" s="1471"/>
      <c r="U113" s="1468"/>
      <c r="V113" s="1550"/>
      <c r="W113" s="1469"/>
      <c r="X113" s="1410"/>
      <c r="Y113" s="1468"/>
      <c r="Z113" s="1583"/>
      <c r="AA113" s="1471"/>
      <c r="AB113" s="1471"/>
      <c r="AC113" s="1468"/>
      <c r="AD113" s="1468"/>
      <c r="AE113" s="1492"/>
      <c r="AF113" s="1471"/>
      <c r="AG113" s="1486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481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1293"/>
      <c r="W114" s="1355"/>
      <c r="X114" s="1316"/>
      <c r="Y114" s="1375"/>
      <c r="Z114" s="1293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481">
        <v>625.1</v>
      </c>
      <c r="E115" s="1481" t="s">
        <v>578</v>
      </c>
      <c r="F115" s="241">
        <v>177.8</v>
      </c>
      <c r="G115" s="241"/>
      <c r="H115" s="241"/>
      <c r="I115" s="244"/>
      <c r="J115" s="1471"/>
      <c r="K115" s="1471"/>
      <c r="L115" s="1471"/>
      <c r="M115" s="1471"/>
      <c r="N115" s="1471"/>
      <c r="O115" s="1471"/>
      <c r="P115" s="1269"/>
      <c r="Q115" s="1269"/>
      <c r="R115" s="1471"/>
      <c r="S115" s="1471"/>
      <c r="T115" s="1471"/>
      <c r="U115" s="1468"/>
      <c r="V115" s="1550"/>
      <c r="W115" s="1469"/>
      <c r="X115" s="1410"/>
      <c r="Y115" s="1376"/>
      <c r="Z115" s="1488"/>
      <c r="AA115" s="1471"/>
      <c r="AB115" s="1471"/>
      <c r="AC115" s="1468"/>
      <c r="AD115" s="1471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471"/>
      <c r="J116" s="1471"/>
      <c r="K116" s="1471"/>
      <c r="L116" s="1471"/>
      <c r="M116" s="1471"/>
      <c r="N116" s="1471"/>
      <c r="O116" s="1471"/>
      <c r="P116" s="1269"/>
      <c r="Q116" s="1270"/>
      <c r="R116" s="1471"/>
      <c r="S116" s="1471"/>
      <c r="T116" s="1471"/>
      <c r="U116" s="1468"/>
      <c r="V116" s="1550"/>
      <c r="W116" s="1469"/>
      <c r="X116" s="1410"/>
      <c r="Y116" s="1376"/>
      <c r="Z116" s="1488"/>
      <c r="AA116" s="1471"/>
      <c r="AB116" s="1471"/>
      <c r="AC116" s="1468"/>
      <c r="AD116" s="1471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471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1293"/>
      <c r="W117" s="1355"/>
      <c r="X117" s="1316"/>
      <c r="Y117" s="1375"/>
      <c r="Z117" s="1293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471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1293"/>
      <c r="W118" s="1355"/>
      <c r="X118" s="1316"/>
      <c r="Y118" s="1375"/>
      <c r="Z118" s="1293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496"/>
      <c r="C119" s="1496"/>
      <c r="D119" s="1496"/>
      <c r="E119" s="1497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392.17699999999996</v>
      </c>
      <c r="S119" s="1386">
        <f>S87+S94+S106</f>
        <v>1092.3520000000001</v>
      </c>
      <c r="T119" s="1387">
        <f>T87+T94+T106</f>
        <v>3981.3089999999993</v>
      </c>
      <c r="U119" s="1386">
        <f>T119/R119</f>
        <v>10.151816654214805</v>
      </c>
      <c r="V119" s="1551"/>
      <c r="W119" s="1388"/>
      <c r="X119" s="1456"/>
      <c r="Y119" s="1386"/>
      <c r="Z119" s="1551">
        <f>Z87+Z94+Z106</f>
        <v>387.53730799999994</v>
      </c>
      <c r="AA119" s="1386">
        <f>AA87+AA106+AA94</f>
        <v>1079.6898039999999</v>
      </c>
      <c r="AB119" s="1387">
        <f>AB87+AB106+AB94</f>
        <v>3933.5332920000014</v>
      </c>
      <c r="AC119" s="1386">
        <f>AC87+AC106+AC94</f>
        <v>11.708346674713033</v>
      </c>
      <c r="AD119" s="1386"/>
      <c r="AE119" s="1386"/>
      <c r="AF119" s="1390">
        <f>AF87+AF94+AF106</f>
        <v>12013.656548000003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1552"/>
      <c r="W120" s="255"/>
      <c r="X120" s="254"/>
      <c r="Y120" s="255"/>
      <c r="Z120" s="158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472"/>
      <c r="D121" s="148"/>
      <c r="E121" s="1394">
        <v>0.95</v>
      </c>
      <c r="F121" s="148"/>
      <c r="G121" s="148" t="s">
        <v>102</v>
      </c>
      <c r="H121" s="1472"/>
      <c r="I121" s="1395"/>
      <c r="J121" s="148"/>
      <c r="K121" s="1983">
        <f>AF119*E121</f>
        <v>11412.973720600003</v>
      </c>
      <c r="L121" s="1984"/>
      <c r="M121" s="1984"/>
      <c r="N121" s="1472" t="s">
        <v>27</v>
      </c>
      <c r="O121" s="254"/>
      <c r="P121" s="257"/>
      <c r="Q121" s="1393"/>
      <c r="R121" s="254"/>
      <c r="S121" s="254"/>
      <c r="T121" s="254"/>
      <c r="U121" s="255"/>
      <c r="V121" s="1552"/>
      <c r="W121" s="255"/>
      <c r="X121" s="148"/>
      <c r="Y121" s="255"/>
      <c r="Z121" s="158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472"/>
      <c r="D122" s="148"/>
      <c r="E122" s="154"/>
      <c r="F122" s="148"/>
      <c r="G122" s="148" t="s">
        <v>733</v>
      </c>
      <c r="H122" s="1472"/>
      <c r="I122" s="1395"/>
      <c r="J122" s="148"/>
      <c r="K122" s="1472"/>
      <c r="L122" s="1397"/>
      <c r="M122" s="148">
        <f>K121*0.89</f>
        <v>10157.546611334003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553"/>
      <c r="W122" s="148"/>
      <c r="X122" s="148"/>
      <c r="Y122" s="1467"/>
      <c r="Z122" s="1546"/>
      <c r="AA122" s="150"/>
      <c r="AB122" s="1467"/>
      <c r="AC122" s="1467"/>
      <c r="AD122" s="1467"/>
      <c r="AE122" s="1490"/>
      <c r="AF122" s="1467"/>
      <c r="AG122" s="1400"/>
    </row>
    <row r="123" spans="1:33" ht="15" x14ac:dyDescent="0.2">
      <c r="B123" s="148"/>
      <c r="C123" s="1472"/>
      <c r="D123" s="148"/>
      <c r="E123" s="154"/>
      <c r="F123" s="148"/>
      <c r="G123" s="148"/>
      <c r="H123" s="1472"/>
      <c r="I123" s="1395"/>
      <c r="J123" s="148"/>
      <c r="K123" s="1472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553"/>
      <c r="W123" s="148"/>
      <c r="X123" s="148"/>
      <c r="Y123" s="1467"/>
      <c r="Z123" s="1546"/>
      <c r="AA123" s="1467"/>
      <c r="AB123" s="1467"/>
      <c r="AC123" s="1467"/>
      <c r="AD123" s="1467"/>
      <c r="AE123" s="1490"/>
      <c r="AF123" s="1467"/>
      <c r="AG123" s="1400"/>
    </row>
    <row r="124" spans="1:33" ht="15" x14ac:dyDescent="0.2">
      <c r="B124" s="148"/>
      <c r="C124" s="1472"/>
      <c r="D124" s="148"/>
      <c r="E124" s="154"/>
      <c r="F124" s="148"/>
      <c r="G124" s="148"/>
      <c r="H124" s="1472"/>
      <c r="I124" s="1395"/>
      <c r="J124" s="148"/>
      <c r="K124" s="1472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553"/>
      <c r="W124" s="148"/>
      <c r="X124" s="148"/>
      <c r="Y124" s="1467"/>
      <c r="Z124" s="1546"/>
      <c r="AA124" s="1467"/>
      <c r="AB124" s="1467"/>
      <c r="AC124" s="1467"/>
      <c r="AD124" s="1467"/>
      <c r="AE124" s="1490"/>
      <c r="AF124" s="1467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472"/>
      <c r="L125" s="1472"/>
      <c r="M125" s="148"/>
      <c r="N125" s="148"/>
      <c r="O125" s="148"/>
      <c r="P125" s="148"/>
      <c r="Q125" s="1399"/>
      <c r="R125" s="148"/>
      <c r="S125" s="148"/>
      <c r="T125" s="148"/>
      <c r="U125" s="148"/>
      <c r="V125" s="1553"/>
      <c r="W125" s="148"/>
      <c r="X125" s="148"/>
      <c r="Y125" s="1985" t="s">
        <v>352</v>
      </c>
      <c r="Z125" s="1986"/>
      <c r="AA125" s="1986"/>
      <c r="AB125" s="1986"/>
      <c r="AC125" s="1467" t="s">
        <v>561</v>
      </c>
      <c r="AD125" s="1467"/>
      <c r="AE125" s="1490"/>
      <c r="AF125" s="1467"/>
      <c r="AG125" s="1467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mergeCells count="41">
    <mergeCell ref="AN17:AN18"/>
    <mergeCell ref="AO17:AO18"/>
    <mergeCell ref="K121:M121"/>
    <mergeCell ref="F125:H125"/>
    <mergeCell ref="Y125:AB125"/>
    <mergeCell ref="W17:W18"/>
    <mergeCell ref="Y17:Y18"/>
    <mergeCell ref="Z17:AB17"/>
    <mergeCell ref="AC17:AC18"/>
    <mergeCell ref="AD17:AD18"/>
    <mergeCell ref="AG17:AG18"/>
    <mergeCell ref="G16:G18"/>
    <mergeCell ref="H16:W16"/>
    <mergeCell ref="X16:AG16"/>
    <mergeCell ref="H17:H18"/>
    <mergeCell ref="V17:V18"/>
    <mergeCell ref="A13:D13"/>
    <mergeCell ref="H14:X14"/>
    <mergeCell ref="J15:W15"/>
    <mergeCell ref="A16:A18"/>
    <mergeCell ref="B16:B18"/>
    <mergeCell ref="C16:C18"/>
    <mergeCell ref="D16:D18"/>
    <mergeCell ref="E16:E18"/>
    <mergeCell ref="F16:F18"/>
    <mergeCell ref="K17:L17"/>
    <mergeCell ref="M17:N17"/>
    <mergeCell ref="O17:P17"/>
    <mergeCell ref="R17:T17"/>
    <mergeCell ref="U17:U18"/>
    <mergeCell ref="I1:Y1"/>
    <mergeCell ref="A2:D2"/>
    <mergeCell ref="AF2:AG2"/>
    <mergeCell ref="A4:D4"/>
    <mergeCell ref="A5:D5"/>
    <mergeCell ref="A8:D8"/>
    <mergeCell ref="A10:D10"/>
    <mergeCell ref="A11:D11"/>
    <mergeCell ref="A6:D6"/>
    <mergeCell ref="A1:D1"/>
    <mergeCell ref="A7:D7"/>
  </mergeCells>
  <pageMargins left="0.11811023622047245" right="0.11811023622047245" top="0" bottom="0" header="0" footer="0"/>
  <pageSetup paperSize="8" scale="60" fitToWidth="2" fitToHeight="2" orientation="landscape" r:id="rId1"/>
  <ignoredErrors>
    <ignoredError sqref="Q99" formula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99F6-A031-46E9-AB9E-00F56B1D9C45}">
  <dimension ref="A1:AQ130"/>
  <sheetViews>
    <sheetView zoomScale="70" zoomScaleNormal="70" workbookViewId="0">
      <selection sqref="A1:D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524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524"/>
      <c r="F2" s="1524"/>
      <c r="G2" s="1517"/>
      <c r="H2" s="1523"/>
      <c r="I2" s="1523"/>
      <c r="J2" s="1523"/>
      <c r="K2" s="1523"/>
      <c r="L2" s="1523"/>
      <c r="M2" s="1523"/>
      <c r="N2" s="1523"/>
      <c r="O2" s="1523"/>
      <c r="P2" s="1523"/>
      <c r="Q2" s="1256"/>
      <c r="R2" s="1524"/>
      <c r="S2" s="1524"/>
      <c r="T2" s="1524"/>
      <c r="U2" s="1524"/>
      <c r="V2" s="1524"/>
      <c r="W2" s="1524"/>
      <c r="X2" s="1523"/>
      <c r="Y2" s="1524"/>
      <c r="Z2" s="1524"/>
      <c r="AA2" s="1524"/>
      <c r="AC2" s="1524"/>
      <c r="AD2" s="1524"/>
      <c r="AE2" s="1524"/>
      <c r="AF2" s="1998" t="s">
        <v>750</v>
      </c>
      <c r="AG2" s="1998"/>
    </row>
    <row r="3" spans="1:38" ht="15.75" x14ac:dyDescent="0.25">
      <c r="A3" s="1408" t="s">
        <v>751</v>
      </c>
      <c r="B3" s="1518"/>
      <c r="C3" s="1518"/>
      <c r="D3" s="1518"/>
      <c r="E3" s="1524"/>
      <c r="F3" s="1524"/>
      <c r="G3" s="1517"/>
      <c r="H3" s="1523"/>
      <c r="I3" s="1523"/>
      <c r="J3" s="1523"/>
      <c r="K3" s="1523"/>
      <c r="L3" s="1523"/>
      <c r="M3" s="1523"/>
      <c r="N3" s="1523"/>
      <c r="O3" s="1523"/>
      <c r="P3" s="1523"/>
      <c r="Q3" s="1256"/>
      <c r="R3" s="1524"/>
      <c r="S3" s="1524"/>
      <c r="T3" s="1524"/>
      <c r="U3" s="1524"/>
      <c r="V3" s="1524"/>
      <c r="W3" s="1524"/>
      <c r="X3" s="1523"/>
      <c r="Y3" s="1524"/>
      <c r="Z3" s="1524"/>
      <c r="AA3" s="1524"/>
      <c r="AB3" s="1524"/>
      <c r="AC3" s="1260"/>
      <c r="AE3" s="1222"/>
      <c r="AF3" s="1523" t="s">
        <v>739</v>
      </c>
      <c r="AG3" s="1494"/>
    </row>
    <row r="4" spans="1:38" ht="15" x14ac:dyDescent="0.25">
      <c r="A4" s="1976"/>
      <c r="B4" s="1976"/>
      <c r="C4" s="1976"/>
      <c r="D4" s="1976"/>
      <c r="E4" s="1519"/>
      <c r="F4" s="1524"/>
      <c r="G4" s="1517"/>
      <c r="H4" s="1517"/>
      <c r="I4" s="1523"/>
      <c r="J4" s="1523"/>
      <c r="K4" s="1523"/>
      <c r="L4" s="1523"/>
      <c r="M4" s="1523"/>
      <c r="N4" s="1523"/>
      <c r="O4" s="1523"/>
      <c r="P4" s="1523"/>
      <c r="Q4" s="1256"/>
      <c r="R4" s="1516"/>
      <c r="S4" s="1516"/>
      <c r="T4" s="1516"/>
      <c r="U4" s="1516"/>
      <c r="V4" s="1516"/>
      <c r="W4" s="1516"/>
      <c r="X4" s="1523"/>
      <c r="Y4" s="1524"/>
      <c r="Z4" s="1524"/>
      <c r="AB4" s="1524"/>
      <c r="AD4" s="1524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524"/>
      <c r="F5" s="1524"/>
      <c r="G5" s="1517"/>
      <c r="H5" s="1517"/>
      <c r="I5" s="1524"/>
      <c r="J5" s="1524"/>
      <c r="K5" s="1517"/>
      <c r="L5" s="1517"/>
      <c r="M5" s="1524"/>
      <c r="N5" s="1524"/>
      <c r="O5" s="1524"/>
      <c r="P5" s="149"/>
      <c r="Q5" s="1257"/>
      <c r="R5" s="1524"/>
      <c r="S5" s="1524"/>
      <c r="T5" s="1524"/>
      <c r="U5" s="1524"/>
      <c r="V5" s="1524"/>
      <c r="W5" s="1524"/>
      <c r="X5" s="1524"/>
      <c r="Y5" s="1524"/>
      <c r="Z5" s="1524"/>
      <c r="AA5" s="1524"/>
      <c r="AB5" s="1524"/>
      <c r="AC5" s="1524"/>
      <c r="AD5" s="1524"/>
      <c r="AG5" s="151"/>
    </row>
    <row r="6" spans="1:38" ht="27" customHeight="1" x14ac:dyDescent="0.2">
      <c r="A6" s="1942"/>
      <c r="B6" s="1942"/>
      <c r="C6" s="1942"/>
      <c r="D6" s="1942"/>
      <c r="E6" s="1524"/>
      <c r="F6" s="1524"/>
      <c r="G6" s="1517"/>
      <c r="H6" s="1517"/>
      <c r="I6" s="1524"/>
      <c r="J6" s="1524"/>
      <c r="K6" s="1517"/>
      <c r="L6" s="1517"/>
      <c r="M6" s="1524"/>
      <c r="N6" s="1524"/>
      <c r="O6" s="1524"/>
      <c r="P6" s="149"/>
      <c r="Q6" s="1257"/>
      <c r="R6" s="1524"/>
      <c r="S6" s="1524"/>
      <c r="T6" s="1524"/>
      <c r="U6" s="1524"/>
      <c r="V6" s="1524"/>
      <c r="W6" s="1524"/>
      <c r="X6" s="1524"/>
      <c r="Y6" s="1524"/>
      <c r="Z6" s="1524"/>
      <c r="AA6" s="1524"/>
      <c r="AB6" s="1524"/>
      <c r="AC6" s="1524"/>
      <c r="AD6" s="1524"/>
      <c r="AE6" s="1524"/>
      <c r="AF6" s="1524"/>
    </row>
    <row r="7" spans="1:38" ht="27" customHeight="1" x14ac:dyDescent="0.2">
      <c r="A7" s="1942" t="s">
        <v>54</v>
      </c>
      <c r="B7" s="1942"/>
      <c r="C7" s="1942"/>
      <c r="D7" s="1942"/>
      <c r="E7" s="1524"/>
      <c r="F7" s="1524"/>
      <c r="G7" s="1517"/>
      <c r="H7" s="1517"/>
      <c r="I7" s="1524"/>
      <c r="J7" s="1524"/>
      <c r="K7" s="1517"/>
      <c r="L7" s="1517"/>
      <c r="M7" s="1524"/>
      <c r="N7" s="1524"/>
      <c r="O7" s="1524"/>
      <c r="P7" s="149"/>
      <c r="Q7" s="1257"/>
      <c r="R7" s="1524"/>
      <c r="S7" s="1524"/>
      <c r="T7" s="1524"/>
      <c r="U7" s="1524"/>
      <c r="V7" s="1524"/>
      <c r="W7" s="1524"/>
      <c r="X7" s="1524"/>
      <c r="Y7" s="1524"/>
      <c r="Z7" s="1524"/>
      <c r="AA7" s="1524"/>
      <c r="AB7" s="1524"/>
      <c r="AC7" s="1524"/>
      <c r="AD7" s="1524"/>
      <c r="AE7" s="1524"/>
      <c r="AF7" s="1524"/>
    </row>
    <row r="8" spans="1:38" ht="27" customHeight="1" x14ac:dyDescent="0.2">
      <c r="A8" s="1977" t="s">
        <v>736</v>
      </c>
      <c r="B8" s="1977"/>
      <c r="C8" s="1977"/>
      <c r="D8" s="1977"/>
      <c r="E8" s="1524"/>
      <c r="F8" s="1524"/>
      <c r="G8" s="1517"/>
      <c r="H8" s="1517"/>
      <c r="I8" s="1524"/>
      <c r="J8" s="1524"/>
      <c r="K8" s="1517"/>
      <c r="L8" s="1517"/>
      <c r="M8" s="1524"/>
      <c r="N8" s="1524"/>
      <c r="O8" s="1524"/>
      <c r="P8" s="149"/>
      <c r="Q8" s="1257"/>
      <c r="R8" s="1524"/>
      <c r="S8" s="1524"/>
      <c r="T8" s="1524"/>
      <c r="U8" s="1524"/>
      <c r="V8" s="1524"/>
      <c r="W8" s="1524"/>
      <c r="X8" s="1524"/>
      <c r="Y8" s="1524"/>
      <c r="Z8" s="1524"/>
      <c r="AA8" s="1524"/>
      <c r="AB8" s="1524"/>
      <c r="AC8" s="1524"/>
      <c r="AD8" s="1524"/>
      <c r="AE8" s="1524"/>
      <c r="AF8" s="1524"/>
    </row>
    <row r="9" spans="1:38" ht="27" customHeight="1" x14ac:dyDescent="0.2">
      <c r="A9" s="1408" t="s">
        <v>737</v>
      </c>
      <c r="B9" s="1518"/>
      <c r="C9" s="1518"/>
      <c r="D9" s="1518"/>
      <c r="E9" s="1524"/>
      <c r="F9" s="1524"/>
      <c r="G9" s="1517"/>
      <c r="H9" s="1517"/>
      <c r="I9" s="1524"/>
      <c r="J9" s="1524"/>
      <c r="K9" s="1517"/>
      <c r="L9" s="1517"/>
      <c r="M9" s="1524"/>
      <c r="N9" s="1524"/>
      <c r="O9" s="1524"/>
      <c r="P9" s="149"/>
      <c r="Q9" s="1257"/>
      <c r="R9" s="1524"/>
      <c r="S9" s="1524"/>
      <c r="T9" s="1524"/>
      <c r="U9" s="1524"/>
      <c r="V9" s="1524"/>
      <c r="W9" s="1524"/>
      <c r="X9" s="1524"/>
      <c r="Y9" s="1524"/>
      <c r="Z9" s="1524"/>
      <c r="AA9" s="1524"/>
      <c r="AB9" s="1524"/>
      <c r="AC9" s="1524"/>
      <c r="AD9" s="1524"/>
      <c r="AE9" s="1524"/>
      <c r="AF9" s="1524"/>
    </row>
    <row r="10" spans="1:38" ht="27" customHeight="1" x14ac:dyDescent="0.2">
      <c r="A10" s="1976"/>
      <c r="B10" s="1976"/>
      <c r="C10" s="1976"/>
      <c r="D10" s="1976"/>
      <c r="E10" s="1519"/>
      <c r="F10" s="1524"/>
      <c r="G10" s="1517"/>
      <c r="H10" s="1517"/>
      <c r="I10" s="1524"/>
      <c r="J10" s="1524"/>
      <c r="K10" s="1517"/>
      <c r="L10" s="1517"/>
      <c r="M10" s="1524"/>
      <c r="N10" s="1524"/>
      <c r="O10" s="1524"/>
      <c r="P10" s="149"/>
      <c r="Q10" s="1257"/>
      <c r="R10" s="1524"/>
      <c r="S10" s="1524"/>
      <c r="T10" s="1524"/>
      <c r="U10" s="1524"/>
      <c r="V10" s="1524"/>
      <c r="W10" s="1524"/>
      <c r="X10" s="1524"/>
      <c r="Y10" s="1524"/>
      <c r="Z10" s="1524"/>
      <c r="AA10" s="1524"/>
      <c r="AB10" s="1524"/>
      <c r="AC10" s="1524"/>
      <c r="AD10" s="1524"/>
      <c r="AE10" s="1524"/>
      <c r="AF10" s="1524"/>
    </row>
    <row r="11" spans="1:38" ht="27" customHeight="1" x14ac:dyDescent="0.2">
      <c r="A11" s="1976" t="s">
        <v>740</v>
      </c>
      <c r="B11" s="1976"/>
      <c r="C11" s="1976"/>
      <c r="D11" s="1976"/>
      <c r="E11" s="1524"/>
      <c r="F11" s="1524"/>
      <c r="G11" s="1517"/>
      <c r="H11" s="1517"/>
      <c r="I11" s="1524"/>
      <c r="J11" s="1524"/>
      <c r="K11" s="1517"/>
      <c r="L11" s="1517"/>
      <c r="M11" s="1524"/>
      <c r="N11" s="1524"/>
      <c r="O11" s="1524"/>
      <c r="P11" s="149"/>
      <c r="Q11" s="1257"/>
      <c r="R11" s="1524"/>
      <c r="S11" s="1524"/>
      <c r="T11" s="1524"/>
      <c r="U11" s="1524"/>
      <c r="V11" s="1524"/>
      <c r="W11" s="1524"/>
      <c r="X11" s="1524"/>
      <c r="Y11" s="1524"/>
      <c r="Z11" s="1524"/>
      <c r="AA11" s="1524"/>
      <c r="AB11" s="1524"/>
      <c r="AC11" s="1524"/>
      <c r="AD11" s="1524"/>
      <c r="AE11" s="1524"/>
      <c r="AF11" s="1524"/>
    </row>
    <row r="12" spans="1:38" ht="27" customHeight="1" x14ac:dyDescent="0.2">
      <c r="A12" s="1520"/>
      <c r="B12" s="1520"/>
      <c r="C12" s="1520"/>
      <c r="D12" s="1520"/>
      <c r="E12" s="1524"/>
      <c r="F12" s="1524"/>
      <c r="G12" s="1517"/>
      <c r="H12" s="1517"/>
      <c r="I12" s="1524"/>
      <c r="J12" s="1524"/>
      <c r="K12" s="1517"/>
      <c r="L12" s="1517"/>
      <c r="M12" s="1524"/>
      <c r="N12" s="1524"/>
      <c r="O12" s="1524"/>
      <c r="P12" s="149"/>
      <c r="Q12" s="1257"/>
      <c r="R12" s="1524"/>
      <c r="S12" s="1524"/>
      <c r="T12" s="1524"/>
      <c r="U12" s="1524"/>
      <c r="V12" s="1524"/>
      <c r="W12" s="1524"/>
      <c r="X12" s="1524"/>
      <c r="Y12" s="1524"/>
      <c r="Z12" s="1524"/>
      <c r="AA12" s="1524"/>
      <c r="AB12" s="1524"/>
      <c r="AC12" s="1524"/>
      <c r="AD12" s="1524"/>
      <c r="AE12" s="1524"/>
      <c r="AF12" s="1524"/>
    </row>
    <row r="13" spans="1:38" ht="32.25" customHeight="1" x14ac:dyDescent="0.25">
      <c r="A13" s="1976"/>
      <c r="B13" s="1976"/>
      <c r="C13" s="1976"/>
      <c r="D13" s="1976"/>
      <c r="E13" s="1519"/>
      <c r="F13" s="1524"/>
      <c r="G13" s="1517"/>
      <c r="H13" s="1517"/>
      <c r="I13" s="140"/>
      <c r="J13" s="1524"/>
      <c r="K13" s="1517"/>
      <c r="L13" s="1517"/>
      <c r="M13" s="1524"/>
      <c r="N13" s="1524"/>
      <c r="O13" s="1524"/>
      <c r="P13" s="149"/>
      <c r="Q13" s="1257"/>
      <c r="R13" s="1524"/>
      <c r="S13" s="1524"/>
      <c r="T13" s="1524"/>
      <c r="U13" s="1524"/>
      <c r="V13" s="1524"/>
      <c r="W13" s="147"/>
      <c r="X13" s="1524"/>
      <c r="Y13" s="1524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517"/>
      <c r="C14" s="1517"/>
      <c r="D14" s="1517"/>
      <c r="E14" s="1524"/>
      <c r="F14" s="1524"/>
      <c r="G14" s="1517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524"/>
      <c r="Z14" s="148"/>
      <c r="AA14" s="148"/>
      <c r="AB14" s="148"/>
      <c r="AC14" s="148"/>
    </row>
    <row r="15" spans="1:38" ht="31.5" customHeight="1" thickBot="1" x14ac:dyDescent="0.25">
      <c r="B15" s="1517"/>
      <c r="C15" s="1517"/>
      <c r="D15" s="1517"/>
      <c r="E15" s="1524"/>
      <c r="F15" s="1524"/>
      <c r="G15" s="1517"/>
      <c r="H15" s="1517"/>
      <c r="I15" s="140"/>
      <c r="J15" s="1964" t="s">
        <v>749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524"/>
      <c r="Y15" s="1524"/>
      <c r="Z15" s="148"/>
      <c r="AA15" s="148"/>
      <c r="AB15" s="148"/>
      <c r="AC15" s="148"/>
      <c r="AD15" s="1524"/>
      <c r="AE15" s="1524"/>
      <c r="AF15" s="1524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525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525" t="s">
        <v>18</v>
      </c>
      <c r="AF17" s="1525" t="s">
        <v>20</v>
      </c>
      <c r="AG17" s="1967" t="s">
        <v>21</v>
      </c>
      <c r="AH17" s="1267">
        <v>44986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528" t="s">
        <v>3</v>
      </c>
      <c r="J18" s="1528" t="s">
        <v>7</v>
      </c>
      <c r="K18" s="1528" t="s">
        <v>30</v>
      </c>
      <c r="L18" s="1528" t="s">
        <v>29</v>
      </c>
      <c r="M18" s="1528" t="s">
        <v>31</v>
      </c>
      <c r="N18" s="1528" t="s">
        <v>32</v>
      </c>
      <c r="O18" s="1528" t="s">
        <v>12</v>
      </c>
      <c r="P18" s="1269" t="s">
        <v>673</v>
      </c>
      <c r="Q18" s="1270" t="s">
        <v>26</v>
      </c>
      <c r="R18" s="1528" t="s">
        <v>675</v>
      </c>
      <c r="S18" s="1528" t="s">
        <v>25</v>
      </c>
      <c r="T18" s="1528" t="s">
        <v>676</v>
      </c>
      <c r="U18" s="1968"/>
      <c r="V18" s="1968"/>
      <c r="W18" s="1987"/>
      <c r="X18" s="1410" t="s">
        <v>7</v>
      </c>
      <c r="Y18" s="1968"/>
      <c r="Z18" s="1528" t="s">
        <v>14</v>
      </c>
      <c r="AA18" s="1528" t="s">
        <v>679</v>
      </c>
      <c r="AB18" s="1528" t="s">
        <v>113</v>
      </c>
      <c r="AC18" s="1968"/>
      <c r="AD18" s="1968"/>
      <c r="AE18" s="1528" t="s">
        <v>19</v>
      </c>
      <c r="AF18" s="1528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528">
        <v>557.80999999999995</v>
      </c>
      <c r="J19" s="1448">
        <v>195</v>
      </c>
      <c r="K19" s="241"/>
      <c r="L19" s="1277">
        <v>422</v>
      </c>
      <c r="M19" s="241"/>
      <c r="N19" s="1278">
        <v>1.4</v>
      </c>
      <c r="O19" s="241"/>
      <c r="P19" s="1278">
        <f>AI19</f>
        <v>14.438489829279014</v>
      </c>
      <c r="Q19" s="1278">
        <f>LEFT(H19,(FIND("Е",H19,1)-1))*J19/100</f>
        <v>25.35</v>
      </c>
      <c r="R19" s="244">
        <v>3.702</v>
      </c>
      <c r="S19" s="244">
        <v>14.180999999999999</v>
      </c>
      <c r="T19" s="1277">
        <v>23.5</v>
      </c>
      <c r="U19" s="1278">
        <f t="shared" ref="U19:U37" si="0">IF(R19=0,0,T19/R19)</f>
        <v>6.3479200432198812</v>
      </c>
      <c r="V19" s="1278">
        <f>(S19-R19)/S19*100</f>
        <v>73.894647768140459</v>
      </c>
      <c r="W19" s="1279">
        <v>0.2</v>
      </c>
      <c r="X19" s="1449">
        <v>195</v>
      </c>
      <c r="Y19" s="1277">
        <f>IF(S19=0,0,S19/Q19)*100</f>
        <v>55.940828402366861</v>
      </c>
      <c r="Z19" s="244">
        <f>R19*0.988</f>
        <v>3.6575759999999997</v>
      </c>
      <c r="AA19" s="244">
        <f>S19*0.988</f>
        <v>14.010827999999998</v>
      </c>
      <c r="AB19" s="1277">
        <f>T19*0.988</f>
        <v>23.218</v>
      </c>
      <c r="AC19" s="244">
        <f>U19</f>
        <v>6.3479200432198812</v>
      </c>
      <c r="AD19" s="1277">
        <f>V19</f>
        <v>73.894647768140459</v>
      </c>
      <c r="AE19" s="241">
        <f>(DAY(EOMONTH($AH$17,0))-AH19)</f>
        <v>31</v>
      </c>
      <c r="AF19" s="244">
        <f t="shared" ref="AF19:AF63" si="1">Z19*AE19</f>
        <v>113.38485599999998</v>
      </c>
      <c r="AG19" s="1281"/>
      <c r="AI19" s="1282">
        <f t="shared" ref="AI19:AI82" si="2">(9.81*(AJ19*(100%-(V19/100))+AK19*(V19/100))*(I19-L19)+N19*101.325+9.81*(AL19)*L19)/101.325</f>
        <v>14.438489829279014</v>
      </c>
      <c r="AJ19" s="1252">
        <v>0.90790000000000004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528">
        <v>563.55999999999995</v>
      </c>
      <c r="J20" s="241"/>
      <c r="K20" s="241"/>
      <c r="L20" s="1277"/>
      <c r="M20" s="241"/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3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748</v>
      </c>
      <c r="I21" s="1528">
        <v>569.63</v>
      </c>
      <c r="J21" s="241">
        <v>320</v>
      </c>
      <c r="K21" s="241"/>
      <c r="L21" s="1277">
        <v>492</v>
      </c>
      <c r="M21" s="241"/>
      <c r="N21" s="1278">
        <v>8.1999999999999993</v>
      </c>
      <c r="O21" s="241"/>
      <c r="P21" s="1278">
        <f t="shared" ref="P21:P84" si="4">AI21</f>
        <v>15.330071381099826</v>
      </c>
      <c r="Q21" s="1278">
        <f>RIGHT(H21,(FIND("T",H21,1)-0))*J21/100</f>
        <v>64</v>
      </c>
      <c r="R21" s="244">
        <v>11.936</v>
      </c>
      <c r="S21" s="244">
        <v>21.061</v>
      </c>
      <c r="T21" s="1277">
        <v>8.6999999999999993</v>
      </c>
      <c r="U21" s="1278">
        <f t="shared" si="0"/>
        <v>0.72888739946380687</v>
      </c>
      <c r="V21" s="1278">
        <f t="shared" ref="V21:V55" si="5">(S21-R21)/S21*100</f>
        <v>43.326527705237169</v>
      </c>
      <c r="W21" s="1279">
        <v>0.2</v>
      </c>
      <c r="X21" s="1316">
        <v>320</v>
      </c>
      <c r="Y21" s="1277">
        <f t="shared" si="3"/>
        <v>32.907812499999999</v>
      </c>
      <c r="Z21" s="244">
        <f t="shared" ref="Z21:AB36" si="6">R21*0.988</f>
        <v>11.792768000000001</v>
      </c>
      <c r="AA21" s="244">
        <f t="shared" si="6"/>
        <v>20.808267999999998</v>
      </c>
      <c r="AB21" s="1277">
        <f t="shared" si="6"/>
        <v>8.5955999999999992</v>
      </c>
      <c r="AC21" s="244">
        <f t="shared" ref="AC21:AD36" si="7">U21</f>
        <v>0.72888739946380687</v>
      </c>
      <c r="AD21" s="1277">
        <f t="shared" si="7"/>
        <v>43.326527705237169</v>
      </c>
      <c r="AE21" s="241">
        <f t="shared" ref="AE21:AE42" si="8">(DAY(EOMONTH($AH$17,0))-AH21)</f>
        <v>31</v>
      </c>
      <c r="AF21" s="244">
        <f t="shared" si="1"/>
        <v>365.57580799999999</v>
      </c>
      <c r="AG21" s="1281"/>
      <c r="AI21" s="1282">
        <f t="shared" si="2"/>
        <v>15.330071381099826</v>
      </c>
      <c r="AJ21" s="1252">
        <v>0.87260000000000004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528">
        <v>544.29999999999995</v>
      </c>
      <c r="J22" s="241">
        <v>180</v>
      </c>
      <c r="K22" s="241"/>
      <c r="L22" s="1277">
        <v>442</v>
      </c>
      <c r="M22" s="241"/>
      <c r="N22" s="1278">
        <v>4.4000000000000004</v>
      </c>
      <c r="O22" s="241"/>
      <c r="P22" s="1278">
        <f t="shared" si="4"/>
        <v>13.858185176654965</v>
      </c>
      <c r="Q22" s="1278">
        <f t="shared" ref="Q22:Q27" si="9">RIGHT(H22,(FIND("T",H22,1)-0))*J22/100</f>
        <v>25.2</v>
      </c>
      <c r="R22" s="244">
        <v>7.5220000000000002</v>
      </c>
      <c r="S22" s="244">
        <v>14.016</v>
      </c>
      <c r="T22" s="1277">
        <v>116</v>
      </c>
      <c r="U22" s="1278">
        <f t="shared" si="0"/>
        <v>15.421430470619516</v>
      </c>
      <c r="V22" s="1278">
        <f t="shared" si="5"/>
        <v>46.332762557077622</v>
      </c>
      <c r="W22" s="1279">
        <v>0.23</v>
      </c>
      <c r="X22" s="1316">
        <v>180</v>
      </c>
      <c r="Y22" s="1277">
        <f t="shared" si="3"/>
        <v>55.61904761904762</v>
      </c>
      <c r="Z22" s="244">
        <f t="shared" si="6"/>
        <v>7.4317359999999999</v>
      </c>
      <c r="AA22" s="244">
        <f t="shared" si="6"/>
        <v>13.847808000000001</v>
      </c>
      <c r="AB22" s="1277">
        <f t="shared" si="6"/>
        <v>114.608</v>
      </c>
      <c r="AC22" s="244">
        <f t="shared" si="7"/>
        <v>15.421430470619516</v>
      </c>
      <c r="AD22" s="1277">
        <f t="shared" si="7"/>
        <v>46.332762557077622</v>
      </c>
      <c r="AE22" s="241">
        <f t="shared" si="8"/>
        <v>31</v>
      </c>
      <c r="AF22" s="244">
        <f t="shared" si="1"/>
        <v>230.383816</v>
      </c>
      <c r="AG22" s="1281"/>
      <c r="AI22" s="1282">
        <f t="shared" si="2"/>
        <v>13.858185176654965</v>
      </c>
      <c r="AJ22" s="1252">
        <v>0.89459999999999995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528">
        <v>548.32000000000005</v>
      </c>
      <c r="J23" s="241">
        <v>135</v>
      </c>
      <c r="K23" s="241"/>
      <c r="L23" s="1277">
        <v>427</v>
      </c>
      <c r="M23" s="241"/>
      <c r="N23" s="1278">
        <v>2.5</v>
      </c>
      <c r="O23" s="241"/>
      <c r="P23" s="1278">
        <f t="shared" si="4"/>
        <v>13.327572603544613</v>
      </c>
      <c r="Q23" s="1278">
        <f t="shared" si="9"/>
        <v>18.899999999999999</v>
      </c>
      <c r="R23" s="244">
        <v>3.3730000000000002</v>
      </c>
      <c r="S23" s="244">
        <v>3.8290000000000002</v>
      </c>
      <c r="T23" s="1277">
        <v>55.3</v>
      </c>
      <c r="U23" s="1278">
        <f t="shared" si="0"/>
        <v>16.394900681885559</v>
      </c>
      <c r="V23" s="1278">
        <f t="shared" si="5"/>
        <v>11.909114651344996</v>
      </c>
      <c r="W23" s="1279">
        <v>0.2</v>
      </c>
      <c r="X23" s="1316">
        <v>135</v>
      </c>
      <c r="Y23" s="1277">
        <f t="shared" si="3"/>
        <v>20.259259259259263</v>
      </c>
      <c r="Z23" s="244">
        <f t="shared" si="6"/>
        <v>3.3325240000000003</v>
      </c>
      <c r="AA23" s="244">
        <f t="shared" si="6"/>
        <v>3.7830520000000001</v>
      </c>
      <c r="AB23" s="1277">
        <f t="shared" si="6"/>
        <v>54.636399999999995</v>
      </c>
      <c r="AC23" s="244">
        <f t="shared" si="7"/>
        <v>16.394900681885559</v>
      </c>
      <c r="AD23" s="1277">
        <f t="shared" si="7"/>
        <v>11.909114651344996</v>
      </c>
      <c r="AE23" s="241">
        <f t="shared" si="8"/>
        <v>31</v>
      </c>
      <c r="AF23" s="244">
        <f t="shared" si="1"/>
        <v>103.308244</v>
      </c>
      <c r="AG23" s="1281"/>
      <c r="AI23" s="1282">
        <f t="shared" si="2"/>
        <v>13.327572603544613</v>
      </c>
      <c r="AJ23" s="1252">
        <v>0.90529999999999999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528">
        <v>563.03</v>
      </c>
      <c r="J24" s="241">
        <v>135</v>
      </c>
      <c r="K24" s="241"/>
      <c r="L24" s="1277">
        <v>417</v>
      </c>
      <c r="M24" s="241"/>
      <c r="N24" s="1278">
        <v>1</v>
      </c>
      <c r="O24" s="241"/>
      <c r="P24" s="1278">
        <f t="shared" si="4"/>
        <v>14.526091712405032</v>
      </c>
      <c r="Q24" s="1278">
        <f t="shared" si="9"/>
        <v>18.899999999999999</v>
      </c>
      <c r="R24" s="244">
        <v>4.8620000000000001</v>
      </c>
      <c r="S24" s="244">
        <v>6.6609999999999996</v>
      </c>
      <c r="T24" s="1277">
        <v>29</v>
      </c>
      <c r="U24" s="1278">
        <f t="shared" si="0"/>
        <v>5.9646236116824349</v>
      </c>
      <c r="V24" s="1278">
        <f t="shared" si="5"/>
        <v>27.007956763248753</v>
      </c>
      <c r="W24" s="1279">
        <v>0.2</v>
      </c>
      <c r="X24" s="1316">
        <v>135</v>
      </c>
      <c r="Y24" s="1277">
        <f t="shared" si="3"/>
        <v>35.24338624338624</v>
      </c>
      <c r="Z24" s="244">
        <f t="shared" si="6"/>
        <v>4.8036560000000001</v>
      </c>
      <c r="AA24" s="244">
        <f t="shared" si="6"/>
        <v>6.5810679999999993</v>
      </c>
      <c r="AB24" s="1277">
        <f t="shared" si="6"/>
        <v>28.652000000000001</v>
      </c>
      <c r="AC24" s="244">
        <v>14.613</v>
      </c>
      <c r="AD24" s="1277">
        <f t="shared" si="7"/>
        <v>27.007956763248753</v>
      </c>
      <c r="AE24" s="241">
        <f t="shared" si="8"/>
        <v>31</v>
      </c>
      <c r="AF24" s="244">
        <f t="shared" si="1"/>
        <v>148.91333600000002</v>
      </c>
      <c r="AG24" s="1281"/>
      <c r="AI24" s="1282">
        <f t="shared" si="2"/>
        <v>14.526091712405032</v>
      </c>
      <c r="AJ24" s="1252">
        <v>0.92600000000000005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528">
        <v>556.79999999999995</v>
      </c>
      <c r="J25" s="241">
        <v>85</v>
      </c>
      <c r="K25" s="241"/>
      <c r="L25" s="1277">
        <v>437</v>
      </c>
      <c r="M25" s="241"/>
      <c r="N25" s="1278">
        <v>2.6</v>
      </c>
      <c r="O25" s="241"/>
      <c r="P25" s="1278">
        <f t="shared" si="4"/>
        <v>13.578144013036646</v>
      </c>
      <c r="Q25" s="1278">
        <f t="shared" si="9"/>
        <v>11.9</v>
      </c>
      <c r="R25" s="244">
        <v>4.9669999999999996</v>
      </c>
      <c r="S25" s="244">
        <v>7.5910000000000002</v>
      </c>
      <c r="T25" s="1277">
        <v>9.6</v>
      </c>
      <c r="U25" s="1278">
        <f t="shared" si="0"/>
        <v>1.932756190859674</v>
      </c>
      <c r="V25" s="1278">
        <f t="shared" si="5"/>
        <v>34.567250691608493</v>
      </c>
      <c r="W25" s="1279">
        <v>0.2</v>
      </c>
      <c r="X25" s="1316">
        <v>85</v>
      </c>
      <c r="Y25" s="1277">
        <f t="shared" si="3"/>
        <v>63.789915966386559</v>
      </c>
      <c r="Z25" s="244">
        <f t="shared" si="6"/>
        <v>4.9073959999999994</v>
      </c>
      <c r="AA25" s="244">
        <f t="shared" si="6"/>
        <v>7.4999080000000005</v>
      </c>
      <c r="AB25" s="1277">
        <f t="shared" si="6"/>
        <v>9.4847999999999999</v>
      </c>
      <c r="AC25" s="244">
        <f t="shared" ref="AC25:AD38" si="10">U25</f>
        <v>1.932756190859674</v>
      </c>
      <c r="AD25" s="1277">
        <f t="shared" si="7"/>
        <v>34.567250691608493</v>
      </c>
      <c r="AE25" s="241">
        <f t="shared" si="8"/>
        <v>31</v>
      </c>
      <c r="AF25" s="244">
        <f t="shared" si="1"/>
        <v>152.12927599999998</v>
      </c>
      <c r="AG25" s="1281"/>
      <c r="AI25" s="1282">
        <f t="shared" si="2"/>
        <v>13.578144013036646</v>
      </c>
      <c r="AJ25" s="1252">
        <v>0.90329999999999999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441</v>
      </c>
      <c r="M26" s="1302"/>
      <c r="N26" s="1278">
        <v>3.6</v>
      </c>
      <c r="O26" s="1302"/>
      <c r="P26" s="1278">
        <f t="shared" si="4"/>
        <v>14.197605141769738</v>
      </c>
      <c r="Q26" s="1278">
        <f t="shared" si="9"/>
        <v>20</v>
      </c>
      <c r="R26" s="244">
        <v>4.8390000000000004</v>
      </c>
      <c r="S26" s="244">
        <v>14.228</v>
      </c>
      <c r="T26" s="1277">
        <v>45</v>
      </c>
      <c r="U26" s="1278">
        <f t="shared" si="0"/>
        <v>9.299442033477991</v>
      </c>
      <c r="V26" s="1278">
        <f t="shared" si="5"/>
        <v>65.989597975822321</v>
      </c>
      <c r="W26" s="1279">
        <v>0.2</v>
      </c>
      <c r="X26" s="1316">
        <v>100</v>
      </c>
      <c r="Y26" s="1277">
        <f t="shared" si="3"/>
        <v>71.14</v>
      </c>
      <c r="Z26" s="244">
        <f t="shared" si="6"/>
        <v>4.780932</v>
      </c>
      <c r="AA26" s="244">
        <f t="shared" si="6"/>
        <v>14.057264</v>
      </c>
      <c r="AB26" s="1277">
        <f t="shared" si="6"/>
        <v>44.46</v>
      </c>
      <c r="AC26" s="244">
        <f t="shared" si="10"/>
        <v>9.299442033477991</v>
      </c>
      <c r="AD26" s="1277">
        <f t="shared" si="7"/>
        <v>65.989597975822321</v>
      </c>
      <c r="AE26" s="241">
        <f t="shared" si="8"/>
        <v>31</v>
      </c>
      <c r="AF26" s="244">
        <f t="shared" si="1"/>
        <v>148.20889199999999</v>
      </c>
      <c r="AG26" s="1281"/>
      <c r="AI26" s="1282">
        <f t="shared" si="2"/>
        <v>14.197605141769738</v>
      </c>
      <c r="AJ26" s="1252">
        <v>0.89549999999999996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528">
        <v>569.48</v>
      </c>
      <c r="J27" s="241">
        <v>150</v>
      </c>
      <c r="K27" s="241"/>
      <c r="L27" s="1277">
        <v>452</v>
      </c>
      <c r="M27" s="241"/>
      <c r="N27" s="1278">
        <v>3.2</v>
      </c>
      <c r="O27" s="241"/>
      <c r="P27" s="1278">
        <f t="shared" si="4"/>
        <v>14.404182301920367</v>
      </c>
      <c r="Q27" s="1278">
        <f t="shared" si="9"/>
        <v>30</v>
      </c>
      <c r="R27" s="244">
        <v>6.1120000000000001</v>
      </c>
      <c r="S27" s="244">
        <v>17.852</v>
      </c>
      <c r="T27" s="1277">
        <v>42.5</v>
      </c>
      <c r="U27" s="1278">
        <f t="shared" si="0"/>
        <v>6.9535340314136125</v>
      </c>
      <c r="V27" s="1278">
        <f t="shared" si="5"/>
        <v>65.762939726641264</v>
      </c>
      <c r="W27" s="1279">
        <v>0.2</v>
      </c>
      <c r="X27" s="1316">
        <v>150</v>
      </c>
      <c r="Y27" s="1277">
        <f t="shared" si="3"/>
        <v>59.506666666666661</v>
      </c>
      <c r="Z27" s="244">
        <f t="shared" si="6"/>
        <v>6.0386560000000005</v>
      </c>
      <c r="AA27" s="244">
        <f t="shared" si="6"/>
        <v>17.637775999999999</v>
      </c>
      <c r="AB27" s="1277">
        <f t="shared" si="6"/>
        <v>41.99</v>
      </c>
      <c r="AC27" s="244">
        <f t="shared" si="10"/>
        <v>6.9535340314136125</v>
      </c>
      <c r="AD27" s="1277">
        <f t="shared" si="7"/>
        <v>65.762939726641264</v>
      </c>
      <c r="AE27" s="241">
        <f t="shared" si="8"/>
        <v>31</v>
      </c>
      <c r="AF27" s="244">
        <f t="shared" si="1"/>
        <v>187.19833600000001</v>
      </c>
      <c r="AG27" s="1281"/>
      <c r="AI27" s="1282">
        <f t="shared" si="2"/>
        <v>14.404182301920367</v>
      </c>
      <c r="AJ27" s="1252">
        <v>0.90690000000000004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528">
        <v>568.20000000000005</v>
      </c>
      <c r="J28" s="1448">
        <v>85</v>
      </c>
      <c r="K28" s="241"/>
      <c r="L28" s="1277">
        <v>342</v>
      </c>
      <c r="M28" s="241"/>
      <c r="N28" s="1278">
        <v>0.1</v>
      </c>
      <c r="O28" s="241"/>
      <c r="P28" s="1278">
        <f t="shared" si="4"/>
        <v>21.708105628310946</v>
      </c>
      <c r="Q28" s="1278">
        <f>J28*14/100</f>
        <v>11.9</v>
      </c>
      <c r="R28" s="244">
        <v>3.8839999999999999</v>
      </c>
      <c r="S28" s="244">
        <v>11.148</v>
      </c>
      <c r="T28" s="1277">
        <v>5</v>
      </c>
      <c r="U28" s="1278">
        <f t="shared" si="0"/>
        <v>1.2873326467559219</v>
      </c>
      <c r="V28" s="1278">
        <f t="shared" si="5"/>
        <v>65.159669895945456</v>
      </c>
      <c r="W28" s="1279">
        <v>0.2</v>
      </c>
      <c r="X28" s="1449">
        <v>85</v>
      </c>
      <c r="Y28" s="1277">
        <f t="shared" si="3"/>
        <v>93.680672268907557</v>
      </c>
      <c r="Z28" s="244">
        <v>2.5</v>
      </c>
      <c r="AA28" s="244">
        <f t="shared" si="6"/>
        <v>11.014224</v>
      </c>
      <c r="AB28" s="1277">
        <f t="shared" si="6"/>
        <v>4.9399999999999995</v>
      </c>
      <c r="AC28" s="244">
        <f t="shared" si="10"/>
        <v>1.2873326467559219</v>
      </c>
      <c r="AD28" s="1277">
        <f t="shared" si="7"/>
        <v>65.159669895945456</v>
      </c>
      <c r="AE28" s="241">
        <v>31</v>
      </c>
      <c r="AF28" s="244">
        <f t="shared" si="1"/>
        <v>77.5</v>
      </c>
      <c r="AG28" s="1281"/>
      <c r="AI28" s="1282">
        <f t="shared" si="2"/>
        <v>21.708105628310946</v>
      </c>
      <c r="AJ28" s="1252">
        <v>0.90039999999999998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528">
        <v>593.29</v>
      </c>
      <c r="J29" s="241">
        <v>300</v>
      </c>
      <c r="K29" s="241"/>
      <c r="L29" s="1277">
        <v>443</v>
      </c>
      <c r="M29" s="241"/>
      <c r="N29" s="1278">
        <v>1.8</v>
      </c>
      <c r="O29" s="241"/>
      <c r="P29" s="1278">
        <f t="shared" si="4"/>
        <v>16.680142909381523</v>
      </c>
      <c r="Q29" s="1278">
        <f>(15/100)*J29</f>
        <v>45</v>
      </c>
      <c r="R29" s="244">
        <v>1.675</v>
      </c>
      <c r="S29" s="244">
        <v>8.5640000000000001</v>
      </c>
      <c r="T29" s="1277">
        <v>30.6</v>
      </c>
      <c r="U29" s="1278">
        <f t="shared" si="0"/>
        <v>18.268656716417912</v>
      </c>
      <c r="V29" s="1278">
        <f t="shared" si="5"/>
        <v>80.441382531527324</v>
      </c>
      <c r="W29" s="1279">
        <v>0.27</v>
      </c>
      <c r="X29" s="1316">
        <v>300</v>
      </c>
      <c r="Y29" s="1277">
        <f t="shared" si="3"/>
        <v>19.031111111111112</v>
      </c>
      <c r="Z29" s="244">
        <f t="shared" ref="Z29:AB43" si="11">R29*0.988</f>
        <v>1.6549</v>
      </c>
      <c r="AA29" s="244">
        <f t="shared" si="6"/>
        <v>8.4612320000000008</v>
      </c>
      <c r="AB29" s="1277">
        <f t="shared" si="6"/>
        <v>30.232800000000001</v>
      </c>
      <c r="AC29" s="244">
        <f t="shared" si="10"/>
        <v>18.268656716417912</v>
      </c>
      <c r="AD29" s="1277">
        <f t="shared" si="7"/>
        <v>80.441382531527324</v>
      </c>
      <c r="AE29" s="241">
        <f t="shared" si="8"/>
        <v>31</v>
      </c>
      <c r="AF29" s="244">
        <f t="shared" si="1"/>
        <v>51.301900000000003</v>
      </c>
      <c r="AG29" s="1285"/>
      <c r="AI29" s="1282">
        <f t="shared" si="2"/>
        <v>16.680142909381523</v>
      </c>
      <c r="AJ29" s="1252">
        <v>0.91620000000000001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528" t="s">
        <v>298</v>
      </c>
      <c r="F30" s="241">
        <v>177.8</v>
      </c>
      <c r="G30" s="241" t="s">
        <v>28</v>
      </c>
      <c r="H30" s="1299" t="s">
        <v>687</v>
      </c>
      <c r="I30" s="1528">
        <v>558.21</v>
      </c>
      <c r="J30" s="1448">
        <v>85</v>
      </c>
      <c r="K30" s="241"/>
      <c r="L30" s="1277">
        <v>251</v>
      </c>
      <c r="M30" s="241"/>
      <c r="N30" s="1278">
        <v>0.4</v>
      </c>
      <c r="O30" s="241"/>
      <c r="P30" s="1278">
        <f t="shared" si="4"/>
        <v>30.231706766127648</v>
      </c>
      <c r="Q30" s="1278">
        <f>20*J30/100</f>
        <v>17</v>
      </c>
      <c r="R30" s="244">
        <v>2.4540000000000002</v>
      </c>
      <c r="S30" s="244">
        <v>16.798999999999999</v>
      </c>
      <c r="T30" s="1277">
        <v>41.4</v>
      </c>
      <c r="U30" s="1278">
        <f t="shared" si="0"/>
        <v>16.87041564792176</v>
      </c>
      <c r="V30" s="1278">
        <f t="shared" si="5"/>
        <v>85.391987618310608</v>
      </c>
      <c r="W30" s="1279">
        <v>0.3</v>
      </c>
      <c r="X30" s="1449">
        <v>85</v>
      </c>
      <c r="Y30" s="1277">
        <f t="shared" si="3"/>
        <v>98.817647058823525</v>
      </c>
      <c r="Z30" s="244">
        <f t="shared" si="11"/>
        <v>2.4245520000000003</v>
      </c>
      <c r="AA30" s="244">
        <f t="shared" si="6"/>
        <v>16.597411999999998</v>
      </c>
      <c r="AB30" s="1277">
        <f t="shared" si="6"/>
        <v>40.903199999999998</v>
      </c>
      <c r="AC30" s="244">
        <f t="shared" si="10"/>
        <v>16.87041564792176</v>
      </c>
      <c r="AD30" s="1277">
        <f t="shared" si="7"/>
        <v>85.391987618310608</v>
      </c>
      <c r="AE30" s="241">
        <f t="shared" si="8"/>
        <v>31</v>
      </c>
      <c r="AF30" s="244">
        <f>Z30*AE30</f>
        <v>75.161112000000003</v>
      </c>
      <c r="AG30" s="1285"/>
      <c r="AI30" s="1282">
        <f t="shared" si="2"/>
        <v>30.231706766127648</v>
      </c>
      <c r="AJ30" s="1252">
        <v>0.93420000000000003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528" t="s">
        <v>79</v>
      </c>
      <c r="F31" s="241">
        <v>177.8</v>
      </c>
      <c r="G31" s="241" t="s">
        <v>28</v>
      </c>
      <c r="H31" s="1299" t="s">
        <v>565</v>
      </c>
      <c r="I31" s="1528">
        <v>526.29</v>
      </c>
      <c r="J31" s="1448">
        <v>290</v>
      </c>
      <c r="K31" s="241"/>
      <c r="L31" s="1277">
        <v>271</v>
      </c>
      <c r="M31" s="241"/>
      <c r="N31" s="1278">
        <v>3.6</v>
      </c>
      <c r="O31" s="241"/>
      <c r="P31" s="1278">
        <f t="shared" si="4"/>
        <v>28.311544002700355</v>
      </c>
      <c r="Q31" s="1278">
        <f>LEFT(H31,(FIND("E",H31,1)-1))*J31/100</f>
        <v>92.8</v>
      </c>
      <c r="R31" s="244">
        <v>15.741</v>
      </c>
      <c r="S31" s="244">
        <v>84.856999999999999</v>
      </c>
      <c r="T31" s="1277">
        <v>347</v>
      </c>
      <c r="U31" s="1278">
        <f t="shared" si="0"/>
        <v>22.04434279905978</v>
      </c>
      <c r="V31" s="1278">
        <f t="shared" si="5"/>
        <v>81.449968770991205</v>
      </c>
      <c r="W31" s="1279">
        <v>0.2</v>
      </c>
      <c r="X31" s="1449">
        <v>290</v>
      </c>
      <c r="Y31" s="1277">
        <f t="shared" si="3"/>
        <v>91.440732758620697</v>
      </c>
      <c r="Z31" s="244">
        <f t="shared" si="11"/>
        <v>15.552107999999999</v>
      </c>
      <c r="AA31" s="244">
        <f t="shared" si="6"/>
        <v>83.838716000000005</v>
      </c>
      <c r="AB31" s="1277">
        <f t="shared" si="6"/>
        <v>342.83600000000001</v>
      </c>
      <c r="AC31" s="244">
        <f t="shared" si="10"/>
        <v>22.04434279905978</v>
      </c>
      <c r="AD31" s="1277">
        <f t="shared" si="7"/>
        <v>81.449968770991205</v>
      </c>
      <c r="AE31" s="241">
        <f t="shared" si="8"/>
        <v>31</v>
      </c>
      <c r="AF31" s="244">
        <f>Z31*AE31</f>
        <v>482.11534799999998</v>
      </c>
      <c r="AG31" s="1281"/>
      <c r="AI31" s="1282">
        <f t="shared" si="2"/>
        <v>28.311544002700355</v>
      </c>
      <c r="AJ31" s="1252">
        <v>0.88449999999999995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528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432</v>
      </c>
      <c r="M32" s="241"/>
      <c r="N32" s="1278">
        <v>5.9</v>
      </c>
      <c r="O32" s="241"/>
      <c r="P32" s="1278">
        <f t="shared" si="4"/>
        <v>14.144060143080765</v>
      </c>
      <c r="Q32" s="1278">
        <f>RIGHT(H32,(FIND("T",H32,1)-0))*J32/100</f>
        <v>56</v>
      </c>
      <c r="R32" s="244">
        <v>12.842000000000001</v>
      </c>
      <c r="S32" s="244">
        <v>33.738999999999997</v>
      </c>
      <c r="T32" s="1277">
        <v>350</v>
      </c>
      <c r="U32" s="1278">
        <f t="shared" si="0"/>
        <v>27.25432175673571</v>
      </c>
      <c r="V32" s="1278">
        <f t="shared" si="5"/>
        <v>61.937223984113345</v>
      </c>
      <c r="W32" s="1279">
        <v>0.2</v>
      </c>
      <c r="X32" s="1316">
        <v>280</v>
      </c>
      <c r="Y32" s="1277">
        <f t="shared" si="3"/>
        <v>60.248214285714283</v>
      </c>
      <c r="Z32" s="244">
        <f t="shared" si="11"/>
        <v>12.687896</v>
      </c>
      <c r="AA32" s="244">
        <f t="shared" si="6"/>
        <v>33.334131999999997</v>
      </c>
      <c r="AB32" s="1277">
        <f t="shared" si="6"/>
        <v>345.8</v>
      </c>
      <c r="AC32" s="244">
        <f t="shared" si="10"/>
        <v>27.25432175673571</v>
      </c>
      <c r="AD32" s="1277">
        <f t="shared" si="7"/>
        <v>61.937223984113345</v>
      </c>
      <c r="AE32" s="241">
        <f t="shared" si="8"/>
        <v>31</v>
      </c>
      <c r="AF32" s="244">
        <f t="shared" si="1"/>
        <v>393.32477599999999</v>
      </c>
      <c r="AG32" s="1281"/>
      <c r="AI32" s="1282">
        <f t="shared" si="2"/>
        <v>14.144060143080765</v>
      </c>
      <c r="AJ32" s="1252">
        <v>0.87939999999999996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528">
        <v>569.99</v>
      </c>
      <c r="J33" s="1448">
        <v>220</v>
      </c>
      <c r="K33" s="241"/>
      <c r="L33" s="1277">
        <v>434</v>
      </c>
      <c r="M33" s="241"/>
      <c r="N33" s="1278">
        <v>3.8</v>
      </c>
      <c r="O33" s="241"/>
      <c r="P33" s="1278">
        <f t="shared" si="4"/>
        <v>16.844610838465147</v>
      </c>
      <c r="Q33" s="1278">
        <f>LEFT(H33,(FIND("K",H33,1)-1))*J33/100</f>
        <v>28.6</v>
      </c>
      <c r="R33" s="244">
        <v>6.9749999999999996</v>
      </c>
      <c r="S33" s="244">
        <v>20.51</v>
      </c>
      <c r="T33" s="1277">
        <v>60.6</v>
      </c>
      <c r="U33" s="1278">
        <f t="shared" si="0"/>
        <v>8.6881720430107539</v>
      </c>
      <c r="V33" s="1278">
        <f t="shared" si="5"/>
        <v>65.992198927352518</v>
      </c>
      <c r="W33" s="1279">
        <v>0.2</v>
      </c>
      <c r="X33" s="1449">
        <v>220</v>
      </c>
      <c r="Y33" s="1277">
        <f t="shared" si="3"/>
        <v>71.71328671328672</v>
      </c>
      <c r="Z33" s="244">
        <f t="shared" si="11"/>
        <v>6.8912999999999993</v>
      </c>
      <c r="AA33" s="244">
        <f t="shared" si="6"/>
        <v>20.26388</v>
      </c>
      <c r="AB33" s="1277">
        <f t="shared" si="6"/>
        <v>59.872799999999998</v>
      </c>
      <c r="AC33" s="244">
        <f t="shared" si="10"/>
        <v>8.6881720430107539</v>
      </c>
      <c r="AD33" s="1277">
        <f t="shared" si="7"/>
        <v>65.992198927352518</v>
      </c>
      <c r="AE33" s="241">
        <f t="shared" si="8"/>
        <v>31</v>
      </c>
      <c r="AF33" s="244">
        <f>Z33*AE33</f>
        <v>213.63029999999998</v>
      </c>
      <c r="AG33" s="1285"/>
      <c r="AI33" s="1282">
        <f t="shared" si="2"/>
        <v>16.844610838465147</v>
      </c>
      <c r="AJ33" s="1252">
        <v>0.91949999999999998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476" t="s">
        <v>540</v>
      </c>
      <c r="I34" s="1274">
        <v>541.78</v>
      </c>
      <c r="J34" s="1274">
        <v>100</v>
      </c>
      <c r="K34" s="1274"/>
      <c r="L34" s="1305">
        <v>46</v>
      </c>
      <c r="M34" s="1274"/>
      <c r="N34" s="1306">
        <v>0.5</v>
      </c>
      <c r="O34" s="1274"/>
      <c r="P34" s="1278">
        <f t="shared" si="4"/>
        <v>49.135763479463733</v>
      </c>
      <c r="Q34" s="1278">
        <f>22*J34/100</f>
        <v>22</v>
      </c>
      <c r="R34" s="1307">
        <v>1.5669999999999999</v>
      </c>
      <c r="S34" s="244">
        <v>20.74</v>
      </c>
      <c r="T34" s="1305">
        <v>0</v>
      </c>
      <c r="U34" s="1278">
        <f t="shared" si="0"/>
        <v>0</v>
      </c>
      <c r="V34" s="1278">
        <f t="shared" si="5"/>
        <v>92.44455159112826</v>
      </c>
      <c r="W34" s="1308">
        <v>0.24</v>
      </c>
      <c r="X34" s="238">
        <v>100</v>
      </c>
      <c r="Y34" s="1277">
        <f t="shared" si="3"/>
        <v>94.272727272727266</v>
      </c>
      <c r="Z34" s="244">
        <f t="shared" si="11"/>
        <v>1.5481959999999999</v>
      </c>
      <c r="AA34" s="244">
        <f t="shared" si="6"/>
        <v>20.491119999999999</v>
      </c>
      <c r="AB34" s="1277">
        <f t="shared" si="6"/>
        <v>0</v>
      </c>
      <c r="AC34" s="1307">
        <f t="shared" si="10"/>
        <v>0</v>
      </c>
      <c r="AD34" s="1305">
        <f t="shared" si="7"/>
        <v>92.44455159112826</v>
      </c>
      <c r="AE34" s="241">
        <f>(DAY(EOMONTH($AH$17,0))-AH34)</f>
        <v>31</v>
      </c>
      <c r="AF34" s="1307">
        <f>Z34*AE34</f>
        <v>47.994076</v>
      </c>
      <c r="AG34" s="1285"/>
      <c r="AI34" s="1282">
        <f t="shared" si="2"/>
        <v>49.135763479463733</v>
      </c>
      <c r="AJ34" s="1252">
        <v>0.90500000000000003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447</v>
      </c>
      <c r="M35" s="241"/>
      <c r="N35" s="1278">
        <v>3.2</v>
      </c>
      <c r="O35" s="241"/>
      <c r="P35" s="1278">
        <f t="shared" si="4"/>
        <v>14.129270109735133</v>
      </c>
      <c r="Q35" s="1278">
        <f>20*J35/100</f>
        <v>19</v>
      </c>
      <c r="R35" s="244">
        <v>3.4540000000000002</v>
      </c>
      <c r="S35" s="244">
        <v>9.0350000000000001</v>
      </c>
      <c r="T35" s="1277">
        <v>16.8</v>
      </c>
      <c r="U35" s="1278">
        <f t="shared" si="0"/>
        <v>4.8639258830341632</v>
      </c>
      <c r="V35" s="1278">
        <f t="shared" si="5"/>
        <v>61.770890979524061</v>
      </c>
      <c r="W35" s="1279">
        <v>0.2</v>
      </c>
      <c r="X35" s="1316">
        <v>95</v>
      </c>
      <c r="Y35" s="1277">
        <f t="shared" si="3"/>
        <v>47.55263157894737</v>
      </c>
      <c r="Z35" s="244">
        <f t="shared" si="11"/>
        <v>3.4125520000000003</v>
      </c>
      <c r="AA35" s="244">
        <f t="shared" si="6"/>
        <v>8.9265799999999995</v>
      </c>
      <c r="AB35" s="1277">
        <f t="shared" si="6"/>
        <v>16.598400000000002</v>
      </c>
      <c r="AC35" s="1307">
        <f t="shared" si="10"/>
        <v>4.8639258830341632</v>
      </c>
      <c r="AD35" s="1305">
        <f t="shared" si="7"/>
        <v>61.770890979524061</v>
      </c>
      <c r="AE35" s="241">
        <f t="shared" si="8"/>
        <v>31</v>
      </c>
      <c r="AF35" s="1307">
        <f>Z35*AE35</f>
        <v>105.789112</v>
      </c>
      <c r="AG35" s="1281"/>
      <c r="AI35" s="1282">
        <f t="shared" si="2"/>
        <v>14.129270109735133</v>
      </c>
      <c r="AJ35" s="1252">
        <v>0.88390000000000002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528">
        <v>564.05999999999995</v>
      </c>
      <c r="J36" s="241">
        <v>260</v>
      </c>
      <c r="K36" s="241"/>
      <c r="L36" s="1277">
        <v>502</v>
      </c>
      <c r="M36" s="241"/>
      <c r="N36" s="1278">
        <v>0</v>
      </c>
      <c r="O36" s="241"/>
      <c r="P36" s="1278">
        <f t="shared" si="4"/>
        <v>5.9414434139262511</v>
      </c>
      <c r="Q36" s="1278">
        <f>LEFT(H36,(FIND("E",H36,1)-1))*J36/100</f>
        <v>33.799999999999997</v>
      </c>
      <c r="R36" s="244">
        <v>2.9689999999999999</v>
      </c>
      <c r="S36" s="244">
        <v>8.6</v>
      </c>
      <c r="T36" s="1277">
        <v>16</v>
      </c>
      <c r="U36" s="1278">
        <f t="shared" si="0"/>
        <v>5.3890198720107785</v>
      </c>
      <c r="V36" s="1278">
        <f t="shared" si="5"/>
        <v>65.476744186046517</v>
      </c>
      <c r="W36" s="1279">
        <v>0.2</v>
      </c>
      <c r="X36" s="1316">
        <v>260</v>
      </c>
      <c r="Y36" s="1277">
        <f t="shared" si="3"/>
        <v>25.443786982248522</v>
      </c>
      <c r="Z36" s="244">
        <f t="shared" si="11"/>
        <v>2.9333719999999999</v>
      </c>
      <c r="AA36" s="244">
        <f t="shared" si="6"/>
        <v>8.4968000000000004</v>
      </c>
      <c r="AB36" s="1277">
        <f t="shared" si="6"/>
        <v>15.808</v>
      </c>
      <c r="AC36" s="244">
        <f t="shared" si="10"/>
        <v>5.3890198720107785</v>
      </c>
      <c r="AD36" s="1305">
        <f t="shared" si="7"/>
        <v>65.476744186046517</v>
      </c>
      <c r="AE36" s="241">
        <f t="shared" si="8"/>
        <v>31</v>
      </c>
      <c r="AF36" s="244">
        <f t="shared" si="1"/>
        <v>90.93453199999999</v>
      </c>
      <c r="AG36" s="1281"/>
      <c r="AI36" s="1282">
        <f t="shared" si="2"/>
        <v>5.9414434139262511</v>
      </c>
      <c r="AJ36" s="1252">
        <v>0.91639999999999999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528">
        <v>551</v>
      </c>
      <c r="J37" s="1448">
        <v>145</v>
      </c>
      <c r="K37" s="241"/>
      <c r="L37" s="1277">
        <v>458</v>
      </c>
      <c r="M37" s="241"/>
      <c r="N37" s="1278">
        <v>2.9</v>
      </c>
      <c r="O37" s="241"/>
      <c r="P37" s="1278">
        <f t="shared" si="4"/>
        <v>11.519457620893458</v>
      </c>
      <c r="Q37" s="1278">
        <f>14*J37/100</f>
        <v>20.3</v>
      </c>
      <c r="R37" s="244">
        <v>6.3310000000000004</v>
      </c>
      <c r="S37" s="244">
        <v>12.677</v>
      </c>
      <c r="T37" s="1277">
        <v>24</v>
      </c>
      <c r="U37" s="1278">
        <f t="shared" si="0"/>
        <v>3.7908703206444478</v>
      </c>
      <c r="V37" s="1278">
        <f t="shared" si="5"/>
        <v>50.059162262364907</v>
      </c>
      <c r="W37" s="1279">
        <v>0.2</v>
      </c>
      <c r="X37" s="1449">
        <v>145</v>
      </c>
      <c r="Y37" s="1277">
        <f t="shared" si="3"/>
        <v>62.448275862068961</v>
      </c>
      <c r="Z37" s="244">
        <f t="shared" si="11"/>
        <v>6.2550280000000003</v>
      </c>
      <c r="AA37" s="244">
        <f t="shared" si="11"/>
        <v>12.524875999999999</v>
      </c>
      <c r="AB37" s="1277">
        <f t="shared" si="11"/>
        <v>23.712</v>
      </c>
      <c r="AC37" s="244">
        <f t="shared" si="10"/>
        <v>3.7908703206444478</v>
      </c>
      <c r="AD37" s="1305">
        <f t="shared" si="10"/>
        <v>50.059162262364907</v>
      </c>
      <c r="AE37" s="241">
        <f t="shared" si="8"/>
        <v>31</v>
      </c>
      <c r="AF37" s="244">
        <f t="shared" si="1"/>
        <v>193.905868</v>
      </c>
      <c r="AG37" s="1450"/>
      <c r="AI37" s="1282">
        <f t="shared" si="2"/>
        <v>11.519457620893458</v>
      </c>
      <c r="AJ37" s="1252">
        <v>0.88239999999999996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28">
        <v>565.36</v>
      </c>
      <c r="J38" s="241">
        <v>100</v>
      </c>
      <c r="K38" s="241"/>
      <c r="L38" s="1277">
        <v>357</v>
      </c>
      <c r="M38" s="241"/>
      <c r="N38" s="1278">
        <v>3</v>
      </c>
      <c r="O38" s="241"/>
      <c r="P38" s="1278">
        <f t="shared" si="4"/>
        <v>23.056009022925277</v>
      </c>
      <c r="Q38" s="1278">
        <f>13*J38/100</f>
        <v>13</v>
      </c>
      <c r="R38" s="244">
        <v>2.0369999999999999</v>
      </c>
      <c r="S38" s="244">
        <v>9.6219999999999999</v>
      </c>
      <c r="T38" s="1277">
        <v>14</v>
      </c>
      <c r="U38" s="1278">
        <f>IF(R38=0,0,T38/R38)</f>
        <v>6.8728522336769764</v>
      </c>
      <c r="V38" s="1278">
        <f t="shared" si="5"/>
        <v>78.829765121596338</v>
      </c>
      <c r="W38" s="1279">
        <v>0.2</v>
      </c>
      <c r="X38" s="1316">
        <v>100</v>
      </c>
      <c r="Y38" s="1277">
        <f t="shared" si="3"/>
        <v>74.015384615384619</v>
      </c>
      <c r="Z38" s="244">
        <f t="shared" si="11"/>
        <v>2.012556</v>
      </c>
      <c r="AA38" s="244">
        <f t="shared" si="11"/>
        <v>9.5065360000000005</v>
      </c>
      <c r="AB38" s="1277">
        <f t="shared" si="11"/>
        <v>13.832000000000001</v>
      </c>
      <c r="AC38" s="244">
        <f t="shared" si="10"/>
        <v>6.8728522336769764</v>
      </c>
      <c r="AD38" s="1305">
        <v>70</v>
      </c>
      <c r="AE38" s="241">
        <f t="shared" si="8"/>
        <v>31</v>
      </c>
      <c r="AF38" s="244">
        <f>Z38*AE38</f>
        <v>62.389235999999997</v>
      </c>
      <c r="AG38" s="1285"/>
      <c r="AI38" s="1282">
        <f t="shared" si="2"/>
        <v>23.056009022925277</v>
      </c>
      <c r="AJ38" s="1252">
        <v>0.91810000000000003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528">
        <v>535.91</v>
      </c>
      <c r="J39" s="1448">
        <v>300</v>
      </c>
      <c r="K39" s="241"/>
      <c r="L39" s="1277">
        <v>447</v>
      </c>
      <c r="M39" s="241"/>
      <c r="N39" s="1278">
        <v>3</v>
      </c>
      <c r="O39" s="241"/>
      <c r="P39" s="1278">
        <f t="shared" si="4"/>
        <v>11.210036895615191</v>
      </c>
      <c r="Q39" s="1278">
        <f>(20/100)*J39</f>
        <v>60</v>
      </c>
      <c r="R39" s="244">
        <v>7.89</v>
      </c>
      <c r="S39" s="244">
        <v>12.826000000000001</v>
      </c>
      <c r="T39" s="1277">
        <v>131</v>
      </c>
      <c r="U39" s="1278">
        <f t="shared" ref="U39:U86" si="12">IF(R39=0,0,T39/R39)</f>
        <v>16.603295310519645</v>
      </c>
      <c r="V39" s="1278">
        <f t="shared" si="5"/>
        <v>38.484328707313274</v>
      </c>
      <c r="W39" s="1279">
        <v>0.2</v>
      </c>
      <c r="X39" s="1449">
        <v>300</v>
      </c>
      <c r="Y39" s="1277">
        <f t="shared" si="3"/>
        <v>21.376666666666669</v>
      </c>
      <c r="Z39" s="244">
        <f t="shared" si="11"/>
        <v>7.7953199999999994</v>
      </c>
      <c r="AA39" s="244">
        <f t="shared" si="11"/>
        <v>12.672088</v>
      </c>
      <c r="AB39" s="1277">
        <f t="shared" si="11"/>
        <v>129.428</v>
      </c>
      <c r="AC39" s="244">
        <v>89.536086956521729</v>
      </c>
      <c r="AD39" s="1305">
        <f>V39</f>
        <v>38.484328707313274</v>
      </c>
      <c r="AE39" s="241">
        <f t="shared" si="8"/>
        <v>31</v>
      </c>
      <c r="AF39" s="244">
        <f t="shared" si="1"/>
        <v>241.65491999999998</v>
      </c>
      <c r="AG39" s="1314"/>
      <c r="AI39" s="1282">
        <f t="shared" si="2"/>
        <v>11.210036895615191</v>
      </c>
      <c r="AJ39" s="1252">
        <v>0.90390000000000004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528">
        <v>565.11</v>
      </c>
      <c r="J40" s="1448">
        <v>280</v>
      </c>
      <c r="K40" s="241"/>
      <c r="L40" s="1277">
        <v>153</v>
      </c>
      <c r="M40" s="241"/>
      <c r="N40" s="1278">
        <v>4.2</v>
      </c>
      <c r="O40" s="241"/>
      <c r="P40" s="1278">
        <f t="shared" si="4"/>
        <v>44.229518017228195</v>
      </c>
      <c r="Q40" s="1278">
        <f>LEFT(H40,(FIND("K",H40,1)-1))*J40/100</f>
        <v>64.400000000000006</v>
      </c>
      <c r="R40" s="244">
        <v>3.73</v>
      </c>
      <c r="S40" s="244">
        <v>18.988</v>
      </c>
      <c r="T40" s="1277">
        <v>25.1</v>
      </c>
      <c r="U40" s="1278">
        <f t="shared" si="12"/>
        <v>6.7292225201072391</v>
      </c>
      <c r="V40" s="1278">
        <f t="shared" si="5"/>
        <v>80.356014324836735</v>
      </c>
      <c r="W40" s="1279">
        <v>0.3</v>
      </c>
      <c r="X40" s="1449">
        <v>280</v>
      </c>
      <c r="Y40" s="1277">
        <f t="shared" si="3"/>
        <v>29.484472049689437</v>
      </c>
      <c r="Z40" s="244">
        <f t="shared" si="11"/>
        <v>3.6852399999999998</v>
      </c>
      <c r="AA40" s="244">
        <f t="shared" si="11"/>
        <v>18.760144</v>
      </c>
      <c r="AB40" s="1277">
        <f t="shared" si="11"/>
        <v>24.7988</v>
      </c>
      <c r="AC40" s="244">
        <f>U40</f>
        <v>6.7292225201072391</v>
      </c>
      <c r="AD40" s="1277">
        <f>V40</f>
        <v>80.356014324836735</v>
      </c>
      <c r="AE40" s="241">
        <f t="shared" si="8"/>
        <v>31</v>
      </c>
      <c r="AF40" s="244">
        <f t="shared" si="1"/>
        <v>114.24244</v>
      </c>
      <c r="AG40" s="1285"/>
      <c r="AI40" s="1282">
        <f t="shared" si="2"/>
        <v>44.229518017228195</v>
      </c>
      <c r="AJ40" s="1252">
        <v>0.91690000000000005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380</v>
      </c>
      <c r="M41" s="241"/>
      <c r="N41" s="1278">
        <v>1.2</v>
      </c>
      <c r="O41" s="241"/>
      <c r="P41" s="1278">
        <f t="shared" si="4"/>
        <v>18.934705438044109</v>
      </c>
      <c r="Q41" s="1278">
        <f>14*J41/100</f>
        <v>11.9</v>
      </c>
      <c r="R41" s="244">
        <v>1.9319999999999999</v>
      </c>
      <c r="S41" s="244">
        <v>10.638999999999999</v>
      </c>
      <c r="T41" s="1277">
        <v>12</v>
      </c>
      <c r="U41" s="1278">
        <f t="shared" si="12"/>
        <v>6.2111801242236027</v>
      </c>
      <c r="V41" s="1278">
        <f t="shared" si="5"/>
        <v>81.840398533696771</v>
      </c>
      <c r="W41" s="1279">
        <v>0.2</v>
      </c>
      <c r="X41" s="1316">
        <v>85</v>
      </c>
      <c r="Y41" s="1277">
        <f t="shared" si="3"/>
        <v>89.403361344537799</v>
      </c>
      <c r="Z41" s="244">
        <f t="shared" si="11"/>
        <v>1.9088159999999998</v>
      </c>
      <c r="AA41" s="244">
        <f t="shared" si="11"/>
        <v>10.511331999999999</v>
      </c>
      <c r="AB41" s="1277">
        <f t="shared" si="11"/>
        <v>11.856</v>
      </c>
      <c r="AC41" s="244">
        <f>U41</f>
        <v>6.2111801242236027</v>
      </c>
      <c r="AD41" s="1277">
        <f>V41</f>
        <v>81.840398533696771</v>
      </c>
      <c r="AE41" s="241">
        <f t="shared" si="8"/>
        <v>31</v>
      </c>
      <c r="AF41" s="244">
        <f t="shared" si="1"/>
        <v>59.173295999999993</v>
      </c>
      <c r="AG41" s="1285"/>
      <c r="AI41" s="1282">
        <f t="shared" si="2"/>
        <v>18.934705438044109</v>
      </c>
      <c r="AJ41" s="1252">
        <v>0.90100000000000002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100</v>
      </c>
      <c r="K42" s="241"/>
      <c r="L42" s="1277">
        <v>95</v>
      </c>
      <c r="M42" s="241"/>
      <c r="N42" s="1278">
        <v>1.583</v>
      </c>
      <c r="O42" s="241"/>
      <c r="P42" s="1278">
        <f t="shared" si="4"/>
        <v>49.109534733129514</v>
      </c>
      <c r="Q42" s="1278">
        <f>(32/100)*J42</f>
        <v>32</v>
      </c>
      <c r="R42" s="244">
        <v>2.641</v>
      </c>
      <c r="S42" s="244">
        <v>34.246000000000002</v>
      </c>
      <c r="T42" s="1277">
        <v>64</v>
      </c>
      <c r="U42" s="1278">
        <f t="shared" si="12"/>
        <v>24.233244982961001</v>
      </c>
      <c r="V42" s="1278">
        <f t="shared" si="5"/>
        <v>92.28815044092741</v>
      </c>
      <c r="W42" s="1279">
        <v>0.1</v>
      </c>
      <c r="X42" s="1316">
        <v>100</v>
      </c>
      <c r="Y42" s="1277">
        <f t="shared" si="3"/>
        <v>107.01875000000001</v>
      </c>
      <c r="Z42" s="244">
        <f t="shared" si="11"/>
        <v>2.609308</v>
      </c>
      <c r="AA42" s="244">
        <f t="shared" si="11"/>
        <v>33.835048</v>
      </c>
      <c r="AB42" s="1277">
        <f t="shared" si="11"/>
        <v>63.231999999999999</v>
      </c>
      <c r="AC42" s="244">
        <f>U42</f>
        <v>24.233244982961001</v>
      </c>
      <c r="AD42" s="1277">
        <f>V42</f>
        <v>92.28815044092741</v>
      </c>
      <c r="AE42" s="241">
        <f t="shared" si="8"/>
        <v>31</v>
      </c>
      <c r="AF42" s="244">
        <f t="shared" si="1"/>
        <v>80.888548</v>
      </c>
      <c r="AG42" s="1281"/>
      <c r="AI42" s="1282">
        <f t="shared" si="2"/>
        <v>49.109534733129514</v>
      </c>
      <c r="AJ42" s="1252">
        <v>0.89100000000000001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28">
        <v>554.16999999999996</v>
      </c>
      <c r="J43" s="1448">
        <v>125</v>
      </c>
      <c r="K43" s="241"/>
      <c r="L43" s="1277">
        <v>381</v>
      </c>
      <c r="M43" s="241"/>
      <c r="N43" s="1278">
        <v>5.0999999999999996</v>
      </c>
      <c r="O43" s="241"/>
      <c r="P43" s="1278">
        <f t="shared" si="4"/>
        <v>21.491692364764177</v>
      </c>
      <c r="Q43" s="1278">
        <f>(32/100)*J43</f>
        <v>40</v>
      </c>
      <c r="R43" s="244">
        <v>14.821999999999999</v>
      </c>
      <c r="S43" s="244">
        <v>40.375</v>
      </c>
      <c r="T43" s="1277">
        <v>78</v>
      </c>
      <c r="U43" s="1278">
        <f t="shared" si="12"/>
        <v>5.2624477128592639</v>
      </c>
      <c r="V43" s="1278">
        <f t="shared" si="5"/>
        <v>63.289164086687308</v>
      </c>
      <c r="W43" s="1279">
        <v>0.2</v>
      </c>
      <c r="X43" s="1449">
        <v>125</v>
      </c>
      <c r="Y43" s="1277">
        <f t="shared" si="3"/>
        <v>100.93749999999999</v>
      </c>
      <c r="Z43" s="244">
        <f t="shared" si="11"/>
        <v>14.644136</v>
      </c>
      <c r="AA43" s="244">
        <f t="shared" si="11"/>
        <v>39.890500000000003</v>
      </c>
      <c r="AB43" s="1277">
        <f t="shared" si="11"/>
        <v>77.063999999999993</v>
      </c>
      <c r="AC43" s="244">
        <f>U43</f>
        <v>5.2624477128592639</v>
      </c>
      <c r="AD43" s="1277">
        <f>V43</f>
        <v>63.289164086687308</v>
      </c>
      <c r="AE43" s="241">
        <f>(DAY(EOMONTH($AH$17,0))-AH43)</f>
        <v>31</v>
      </c>
      <c r="AF43" s="244">
        <f t="shared" si="1"/>
        <v>453.96821599999998</v>
      </c>
      <c r="AG43" s="1477"/>
      <c r="AI43" s="1282">
        <f t="shared" si="2"/>
        <v>21.491692364764177</v>
      </c>
      <c r="AJ43" s="1252">
        <v>0.89349999999999996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528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3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528">
        <v>544.70000000000005</v>
      </c>
      <c r="J45" s="241">
        <v>85</v>
      </c>
      <c r="K45" s="241"/>
      <c r="L45" s="1277">
        <v>136</v>
      </c>
      <c r="M45" s="241"/>
      <c r="N45" s="1278">
        <v>3.9</v>
      </c>
      <c r="O45" s="241"/>
      <c r="P45" s="1278">
        <f t="shared" si="4"/>
        <v>42.989203608510493</v>
      </c>
      <c r="Q45" s="1278">
        <f>J45*20/100</f>
        <v>17</v>
      </c>
      <c r="R45" s="244">
        <v>5.2549999999999999</v>
      </c>
      <c r="S45" s="244">
        <v>21.047000000000001</v>
      </c>
      <c r="T45" s="1277">
        <v>16.773</v>
      </c>
      <c r="U45" s="1278">
        <f t="shared" si="12"/>
        <v>3.1918173168411039</v>
      </c>
      <c r="V45" s="1278">
        <f t="shared" si="5"/>
        <v>75.032071079013633</v>
      </c>
      <c r="W45" s="1279">
        <v>0.2</v>
      </c>
      <c r="X45" s="1316">
        <v>85</v>
      </c>
      <c r="Y45" s="1277">
        <f t="shared" si="3"/>
        <v>123.80588235294118</v>
      </c>
      <c r="Z45" s="244">
        <f t="shared" ref="Z45:AB49" si="13">R45*0.988</f>
        <v>5.1919399999999998</v>
      </c>
      <c r="AA45" s="244">
        <f t="shared" si="13"/>
        <v>20.794436000000001</v>
      </c>
      <c r="AB45" s="1277">
        <f t="shared" si="13"/>
        <v>16.571724</v>
      </c>
      <c r="AC45" s="244">
        <f t="shared" ref="AC45:AD51" si="14">U45</f>
        <v>3.1918173168411039</v>
      </c>
      <c r="AD45" s="1277">
        <f t="shared" si="14"/>
        <v>75.032071079013633</v>
      </c>
      <c r="AE45" s="241">
        <f t="shared" ref="AE45:AE86" si="15">(DAY(EOMONTH($AH$17,0))-AH45)</f>
        <v>31</v>
      </c>
      <c r="AF45" s="244">
        <f t="shared" si="1"/>
        <v>160.95014</v>
      </c>
      <c r="AG45" s="1281"/>
      <c r="AI45" s="1282">
        <f t="shared" si="2"/>
        <v>42.989203608510493</v>
      </c>
      <c r="AJ45" s="1252">
        <v>0.89929999999999999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528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528">
        <v>553.30999999999995</v>
      </c>
      <c r="J46" s="1528">
        <v>220</v>
      </c>
      <c r="K46" s="1528"/>
      <c r="L46" s="1319">
        <v>411</v>
      </c>
      <c r="M46" s="1528"/>
      <c r="N46" s="1278">
        <v>1.5</v>
      </c>
      <c r="O46" s="1528"/>
      <c r="P46" s="1278">
        <f t="shared" si="4"/>
        <v>14.952206008406788</v>
      </c>
      <c r="Q46" s="1278">
        <f>J46*32/100</f>
        <v>70.400000000000006</v>
      </c>
      <c r="R46" s="244">
        <v>8.2620000000000005</v>
      </c>
      <c r="S46" s="244">
        <v>22.812000000000001</v>
      </c>
      <c r="T46" s="1319">
        <v>69</v>
      </c>
      <c r="U46" s="1278">
        <f t="shared" si="12"/>
        <v>8.3514887436456053</v>
      </c>
      <c r="V46" s="1278">
        <f t="shared" si="5"/>
        <v>63.782219884271441</v>
      </c>
      <c r="W46" s="1279">
        <v>0.2</v>
      </c>
      <c r="X46" s="1410">
        <v>220</v>
      </c>
      <c r="Y46" s="1277">
        <f t="shared" si="3"/>
        <v>32.403409090909093</v>
      </c>
      <c r="Z46" s="244">
        <f t="shared" si="13"/>
        <v>8.1628559999999997</v>
      </c>
      <c r="AA46" s="244">
        <f t="shared" si="13"/>
        <v>22.538256000000001</v>
      </c>
      <c r="AB46" s="1277">
        <f t="shared" si="13"/>
        <v>68.171999999999997</v>
      </c>
      <c r="AC46" s="244">
        <f t="shared" si="14"/>
        <v>8.3514887436456053</v>
      </c>
      <c r="AD46" s="1277">
        <f t="shared" si="14"/>
        <v>63.782219884271441</v>
      </c>
      <c r="AE46" s="241">
        <f t="shared" si="15"/>
        <v>31</v>
      </c>
      <c r="AF46" s="244">
        <f t="shared" si="1"/>
        <v>253.04853599999998</v>
      </c>
      <c r="AG46" s="1285"/>
      <c r="AI46" s="1282">
        <f t="shared" si="2"/>
        <v>14.952206008406788</v>
      </c>
      <c r="AJ46" s="1252">
        <v>0.88949999999999996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528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528">
        <v>550.59</v>
      </c>
      <c r="J47" s="1373">
        <v>105</v>
      </c>
      <c r="K47" s="1528"/>
      <c r="L47" s="1277">
        <v>420</v>
      </c>
      <c r="M47" s="1528"/>
      <c r="N47" s="1278">
        <v>0</v>
      </c>
      <c r="O47" s="1528"/>
      <c r="P47" s="1278">
        <f t="shared" si="4"/>
        <v>12.260726753623896</v>
      </c>
      <c r="Q47" s="1278">
        <f>RIGHT(H47,(FIND("T",H47,1)-0))*J47/100</f>
        <v>14.7</v>
      </c>
      <c r="R47" s="244">
        <v>1.115</v>
      </c>
      <c r="S47" s="244">
        <v>2.2930000000000001</v>
      </c>
      <c r="T47" s="1319">
        <v>1</v>
      </c>
      <c r="U47" s="1278">
        <f t="shared" si="12"/>
        <v>0.89686098654708524</v>
      </c>
      <c r="V47" s="1278">
        <f t="shared" si="5"/>
        <v>51.373746184038382</v>
      </c>
      <c r="W47" s="1279">
        <v>0.2</v>
      </c>
      <c r="X47" s="1452">
        <v>105</v>
      </c>
      <c r="Y47" s="1277">
        <f t="shared" si="3"/>
        <v>15.598639455782315</v>
      </c>
      <c r="Z47" s="244">
        <f t="shared" si="13"/>
        <v>1.10162</v>
      </c>
      <c r="AA47" s="244">
        <f t="shared" si="13"/>
        <v>2.2654840000000003</v>
      </c>
      <c r="AB47" s="1277">
        <f t="shared" si="13"/>
        <v>0.98799999999999999</v>
      </c>
      <c r="AC47" s="244">
        <f t="shared" si="14"/>
        <v>0.89686098654708524</v>
      </c>
      <c r="AD47" s="1277">
        <f t="shared" si="14"/>
        <v>51.373746184038382</v>
      </c>
      <c r="AE47" s="241">
        <f t="shared" si="15"/>
        <v>31</v>
      </c>
      <c r="AF47" s="244">
        <f t="shared" si="1"/>
        <v>34.150220000000004</v>
      </c>
      <c r="AG47" s="1285"/>
      <c r="AI47" s="1282">
        <f t="shared" si="2"/>
        <v>12.260726753623896</v>
      </c>
      <c r="AJ47" s="1252">
        <v>0.90820000000000001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528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528">
        <v>551.54999999999995</v>
      </c>
      <c r="J48" s="1528">
        <v>130</v>
      </c>
      <c r="K48" s="1528"/>
      <c r="L48" s="1319">
        <v>428</v>
      </c>
      <c r="M48" s="1528"/>
      <c r="N48" s="1278">
        <v>0.3</v>
      </c>
      <c r="O48" s="1528"/>
      <c r="P48" s="1278">
        <f t="shared" si="4"/>
        <v>11.390152930709684</v>
      </c>
      <c r="Q48" s="1278">
        <f>14*J48/100</f>
        <v>18.2</v>
      </c>
      <c r="R48" s="244">
        <v>5.0119999999999996</v>
      </c>
      <c r="S48" s="244">
        <v>6.6580000000000004</v>
      </c>
      <c r="T48" s="1319">
        <v>7</v>
      </c>
      <c r="U48" s="1278">
        <f t="shared" si="12"/>
        <v>1.3966480446927376</v>
      </c>
      <c r="V48" s="1278">
        <f t="shared" si="5"/>
        <v>24.72213878041455</v>
      </c>
      <c r="W48" s="1279">
        <v>0.2</v>
      </c>
      <c r="X48" s="1410">
        <v>130</v>
      </c>
      <c r="Y48" s="1277">
        <f t="shared" si="3"/>
        <v>36.582417582417584</v>
      </c>
      <c r="Z48" s="244">
        <f t="shared" si="13"/>
        <v>4.9518559999999994</v>
      </c>
      <c r="AA48" s="244">
        <f t="shared" si="13"/>
        <v>6.5781040000000006</v>
      </c>
      <c r="AB48" s="1277">
        <f t="shared" si="13"/>
        <v>6.9160000000000004</v>
      </c>
      <c r="AC48" s="244">
        <f t="shared" si="14"/>
        <v>1.3966480446927376</v>
      </c>
      <c r="AD48" s="1277">
        <f t="shared" si="14"/>
        <v>24.72213878041455</v>
      </c>
      <c r="AE48" s="241">
        <f t="shared" si="15"/>
        <v>31</v>
      </c>
      <c r="AF48" s="244">
        <f t="shared" si="1"/>
        <v>153.50753599999999</v>
      </c>
      <c r="AG48" s="1285"/>
      <c r="AI48" s="1282">
        <f t="shared" si="2"/>
        <v>11.390152930709684</v>
      </c>
      <c r="AJ48" s="1252">
        <v>0.89559999999999995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528">
        <v>539.24</v>
      </c>
      <c r="J49" s="241">
        <v>310</v>
      </c>
      <c r="K49" s="241"/>
      <c r="L49" s="1277">
        <v>442</v>
      </c>
      <c r="M49" s="241"/>
      <c r="N49" s="1278">
        <v>4</v>
      </c>
      <c r="O49" s="241"/>
      <c r="P49" s="1278">
        <f t="shared" si="4"/>
        <v>12.992729497401156</v>
      </c>
      <c r="Q49" s="1278">
        <f>20*J49/100</f>
        <v>62</v>
      </c>
      <c r="R49" s="244">
        <v>3.585</v>
      </c>
      <c r="S49" s="244">
        <v>6.3390000000000004</v>
      </c>
      <c r="T49" s="1277">
        <v>5</v>
      </c>
      <c r="U49" s="1278">
        <f t="shared" si="12"/>
        <v>1.394700139470014</v>
      </c>
      <c r="V49" s="1278">
        <f t="shared" si="5"/>
        <v>43.445338381448181</v>
      </c>
      <c r="W49" s="1279">
        <v>0.2</v>
      </c>
      <c r="X49" s="1316">
        <v>310</v>
      </c>
      <c r="Y49" s="1277">
        <f t="shared" si="3"/>
        <v>10.224193548387097</v>
      </c>
      <c r="Z49" s="244">
        <f t="shared" si="13"/>
        <v>3.5419800000000001</v>
      </c>
      <c r="AA49" s="244">
        <f t="shared" si="13"/>
        <v>6.2629320000000002</v>
      </c>
      <c r="AB49" s="1277">
        <f t="shared" si="13"/>
        <v>4.9399999999999995</v>
      </c>
      <c r="AC49" s="244">
        <f t="shared" si="14"/>
        <v>1.394700139470014</v>
      </c>
      <c r="AD49" s="1277">
        <f t="shared" si="14"/>
        <v>43.445338381448181</v>
      </c>
      <c r="AE49" s="241">
        <f t="shared" si="15"/>
        <v>31</v>
      </c>
      <c r="AF49" s="244">
        <f t="shared" si="1"/>
        <v>109.80138000000001</v>
      </c>
      <c r="AG49" s="1285"/>
      <c r="AI49" s="1282">
        <f t="shared" si="2"/>
        <v>12.992729497401156</v>
      </c>
      <c r="AJ49" s="1252">
        <v>0.90149999999999997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528">
        <v>571.19000000000005</v>
      </c>
      <c r="J50" s="241">
        <v>330</v>
      </c>
      <c r="K50" s="241"/>
      <c r="L50" s="1277">
        <v>337</v>
      </c>
      <c r="M50" s="241"/>
      <c r="N50" s="1278">
        <v>2.9</v>
      </c>
      <c r="O50" s="241"/>
      <c r="P50" s="1278">
        <f t="shared" si="4"/>
        <v>25.40962208379883</v>
      </c>
      <c r="Q50" s="1278">
        <f>LEFT(H50,(FIND("E",H50,1)-1))*J50/100</f>
        <v>42.9</v>
      </c>
      <c r="R50" s="244">
        <v>5.266</v>
      </c>
      <c r="S50" s="244">
        <v>19.582000000000001</v>
      </c>
      <c r="T50" s="1277">
        <v>25</v>
      </c>
      <c r="U50" s="1278">
        <f t="shared" si="12"/>
        <v>4.7474363843524499</v>
      </c>
      <c r="V50" s="1278">
        <f t="shared" si="5"/>
        <v>73.107956286385459</v>
      </c>
      <c r="W50" s="1279">
        <v>0.3</v>
      </c>
      <c r="X50" s="1316">
        <v>330</v>
      </c>
      <c r="Y50" s="1277">
        <f t="shared" si="3"/>
        <v>45.645687645687651</v>
      </c>
      <c r="Z50" s="244">
        <v>5.38</v>
      </c>
      <c r="AA50" s="244">
        <f>S50*0.988</f>
        <v>19.347016</v>
      </c>
      <c r="AB50" s="1277">
        <f>T50*0.988</f>
        <v>24.7</v>
      </c>
      <c r="AC50" s="244">
        <f t="shared" si="14"/>
        <v>4.7474363843524499</v>
      </c>
      <c r="AD50" s="1277">
        <f t="shared" si="14"/>
        <v>73.107956286385459</v>
      </c>
      <c r="AE50" s="241">
        <v>31</v>
      </c>
      <c r="AF50" s="244">
        <f t="shared" si="1"/>
        <v>166.78</v>
      </c>
      <c r="AG50" s="1285"/>
      <c r="AI50" s="1282">
        <f t="shared" si="2"/>
        <v>25.40962208379883</v>
      </c>
      <c r="AJ50" s="1252">
        <v>0.90359999999999996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528" t="s">
        <v>600</v>
      </c>
      <c r="F51" s="241">
        <v>177.8</v>
      </c>
      <c r="G51" s="241" t="s">
        <v>28</v>
      </c>
      <c r="H51" s="1299" t="s">
        <v>687</v>
      </c>
      <c r="I51" s="1528">
        <v>546.08000000000004</v>
      </c>
      <c r="J51" s="241">
        <v>100</v>
      </c>
      <c r="K51" s="241"/>
      <c r="L51" s="1322">
        <v>200</v>
      </c>
      <c r="M51" s="241"/>
      <c r="N51" s="1306">
        <v>3.7</v>
      </c>
      <c r="O51" s="241"/>
      <c r="P51" s="1278">
        <f t="shared" si="4"/>
        <v>37.347983561147082</v>
      </c>
      <c r="Q51" s="1278">
        <v>20</v>
      </c>
      <c r="R51" s="244">
        <v>4.5590000000000002</v>
      </c>
      <c r="S51" s="244">
        <v>20.25</v>
      </c>
      <c r="T51" s="1277">
        <v>54.5</v>
      </c>
      <c r="U51" s="1278">
        <f t="shared" si="12"/>
        <v>11.954375959640272</v>
      </c>
      <c r="V51" s="1278">
        <f t="shared" si="5"/>
        <v>77.486419753086409</v>
      </c>
      <c r="W51" s="1279">
        <v>0.2</v>
      </c>
      <c r="X51" s="1316">
        <v>100</v>
      </c>
      <c r="Y51" s="1277">
        <f t="shared" si="3"/>
        <v>101.25</v>
      </c>
      <c r="Z51" s="244">
        <f>R51*0.988</f>
        <v>4.5042920000000004</v>
      </c>
      <c r="AA51" s="244">
        <f>S51*0.988</f>
        <v>20.007000000000001</v>
      </c>
      <c r="AB51" s="1277">
        <f>T51*0.988</f>
        <v>53.845999999999997</v>
      </c>
      <c r="AC51" s="244">
        <f t="shared" si="14"/>
        <v>11.954375959640272</v>
      </c>
      <c r="AD51" s="1277">
        <f t="shared" si="14"/>
        <v>77.486419753086409</v>
      </c>
      <c r="AE51" s="241">
        <f t="shared" si="15"/>
        <v>31</v>
      </c>
      <c r="AF51" s="244">
        <f t="shared" si="1"/>
        <v>139.63305200000002</v>
      </c>
      <c r="AG51" s="1285"/>
      <c r="AI51" s="1282">
        <f t="shared" si="2"/>
        <v>37.347983561147082</v>
      </c>
      <c r="AJ51" s="1252">
        <v>0.9204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528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3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528">
        <v>532.98</v>
      </c>
      <c r="J53" s="1448">
        <v>320</v>
      </c>
      <c r="K53" s="241"/>
      <c r="L53" s="1277">
        <v>445</v>
      </c>
      <c r="M53" s="241"/>
      <c r="N53" s="1278">
        <v>3.4</v>
      </c>
      <c r="O53" s="241"/>
      <c r="P53" s="1278">
        <f t="shared" si="4"/>
        <v>11.722298188499686</v>
      </c>
      <c r="Q53" s="1278">
        <f>RIGHT(H53,(FIND("T",H53,1)-0))*J53/100</f>
        <v>44.8</v>
      </c>
      <c r="R53" s="244">
        <v>5.125</v>
      </c>
      <c r="S53" s="244">
        <v>14.45</v>
      </c>
      <c r="T53" s="1277">
        <v>81.2</v>
      </c>
      <c r="U53" s="1278">
        <f t="shared" si="12"/>
        <v>15.84390243902439</v>
      </c>
      <c r="V53" s="1278">
        <f t="shared" si="5"/>
        <v>64.532871972318333</v>
      </c>
      <c r="W53" s="1279">
        <v>0.2</v>
      </c>
      <c r="X53" s="1449">
        <v>320</v>
      </c>
      <c r="Y53" s="1277">
        <f t="shared" si="3"/>
        <v>32.254464285714285</v>
      </c>
      <c r="Z53" s="244">
        <f>R53*0.988</f>
        <v>5.0635000000000003</v>
      </c>
      <c r="AA53" s="244">
        <f>S53*0.988</f>
        <v>14.276599999999998</v>
      </c>
      <c r="AB53" s="1277">
        <f>T53*0.988</f>
        <v>80.2256</v>
      </c>
      <c r="AC53" s="244">
        <f>U53</f>
        <v>15.84390243902439</v>
      </c>
      <c r="AD53" s="1277">
        <f>V53</f>
        <v>64.532871972318333</v>
      </c>
      <c r="AE53" s="241">
        <f t="shared" si="15"/>
        <v>31</v>
      </c>
      <c r="AF53" s="244">
        <f t="shared" si="1"/>
        <v>156.96850000000001</v>
      </c>
      <c r="AG53" s="1285"/>
      <c r="AI53" s="1282">
        <f t="shared" si="2"/>
        <v>11.722298188499686</v>
      </c>
      <c r="AJ53" s="1252">
        <v>0.88219999999999998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528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3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528" t="s">
        <v>442</v>
      </c>
      <c r="F55" s="241">
        <v>177.8</v>
      </c>
      <c r="G55" s="241" t="s">
        <v>28</v>
      </c>
      <c r="H55" s="1299" t="s">
        <v>52</v>
      </c>
      <c r="I55" s="1528">
        <v>517.84</v>
      </c>
      <c r="J55" s="241">
        <v>310</v>
      </c>
      <c r="K55" s="241"/>
      <c r="L55" s="1277">
        <v>391</v>
      </c>
      <c r="M55" s="241"/>
      <c r="N55" s="1278">
        <v>0</v>
      </c>
      <c r="O55" s="241"/>
      <c r="P55" s="1278">
        <f t="shared" si="4"/>
        <v>12.201909213660894</v>
      </c>
      <c r="Q55" s="1278">
        <f>LEFT(H55,(FIND("K",H55,1)-1))*J55/100</f>
        <v>68.2</v>
      </c>
      <c r="R55" s="244">
        <v>5.2759999999999998</v>
      </c>
      <c r="S55" s="244">
        <v>18.088999999999999</v>
      </c>
      <c r="T55" s="1277">
        <v>42</v>
      </c>
      <c r="U55" s="1278">
        <f t="shared" si="12"/>
        <v>7.9605761940864292</v>
      </c>
      <c r="V55" s="1278">
        <f t="shared" si="5"/>
        <v>70.83310299076787</v>
      </c>
      <c r="W55" s="1279">
        <v>0.2</v>
      </c>
      <c r="X55" s="1316">
        <v>310</v>
      </c>
      <c r="Y55" s="1277">
        <f t="shared" si="3"/>
        <v>26.523460410557181</v>
      </c>
      <c r="Z55" s="244">
        <f>R55*0.988</f>
        <v>5.212688</v>
      </c>
      <c r="AA55" s="244">
        <f>S55*0.988</f>
        <v>17.871931999999997</v>
      </c>
      <c r="AB55" s="1277">
        <f>T55*0.988</f>
        <v>41.496000000000002</v>
      </c>
      <c r="AC55" s="244">
        <f>U55</f>
        <v>7.9605761940864292</v>
      </c>
      <c r="AD55" s="1277">
        <f>V55</f>
        <v>70.83310299076787</v>
      </c>
      <c r="AE55" s="241">
        <f t="shared" si="15"/>
        <v>31</v>
      </c>
      <c r="AF55" s="244">
        <f t="shared" si="1"/>
        <v>161.59332799999999</v>
      </c>
      <c r="AG55" s="1285"/>
      <c r="AI55" s="1282">
        <f t="shared" si="2"/>
        <v>12.201909213660894</v>
      </c>
      <c r="AJ55" s="1252">
        <v>0.91839999999999999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528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110</v>
      </c>
      <c r="K57" s="1275"/>
      <c r="L57" s="1323">
        <v>430</v>
      </c>
      <c r="M57" s="1275"/>
      <c r="N57" s="1278">
        <v>1.6</v>
      </c>
      <c r="O57" s="1275"/>
      <c r="P57" s="1278">
        <f t="shared" si="4"/>
        <v>14.536399314934657</v>
      </c>
      <c r="Q57" s="1278">
        <f>J57*14/100</f>
        <v>15.4</v>
      </c>
      <c r="R57" s="1459">
        <v>4.41</v>
      </c>
      <c r="S57" s="244">
        <v>8.3529999999999998</v>
      </c>
      <c r="T57" s="1323">
        <v>10</v>
      </c>
      <c r="U57" s="1278">
        <f t="shared" si="12"/>
        <v>2.2675736961451247</v>
      </c>
      <c r="V57" s="1278">
        <f t="shared" ref="V57:V86" si="16">(S57-R57)/S57*100</f>
        <v>47.20459715072429</v>
      </c>
      <c r="W57" s="1460">
        <v>0.2</v>
      </c>
      <c r="X57" s="1453">
        <v>110</v>
      </c>
      <c r="Y57" s="1277">
        <f t="shared" si="3"/>
        <v>54.240259740259731</v>
      </c>
      <c r="Z57" s="244">
        <f t="shared" ref="Z57:AB61" si="17">R57*0.988</f>
        <v>4.3570799999999998</v>
      </c>
      <c r="AA57" s="244">
        <f t="shared" si="17"/>
        <v>8.2527639999999991</v>
      </c>
      <c r="AB57" s="1277">
        <f t="shared" si="17"/>
        <v>9.879999999999999</v>
      </c>
      <c r="AC57" s="1459">
        <f t="shared" ref="AC57:AD59" si="18">U57</f>
        <v>2.2675736961451247</v>
      </c>
      <c r="AD57" s="1277">
        <f t="shared" si="18"/>
        <v>47.20459715072429</v>
      </c>
      <c r="AE57" s="241">
        <f t="shared" si="15"/>
        <v>31</v>
      </c>
      <c r="AF57" s="1459">
        <f t="shared" si="1"/>
        <v>135.06948</v>
      </c>
      <c r="AG57" s="1285"/>
      <c r="AI57" s="1282">
        <f t="shared" si="2"/>
        <v>14.536399314934657</v>
      </c>
      <c r="AJ57" s="1252">
        <v>0.9083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528">
        <v>589.64</v>
      </c>
      <c r="J58" s="1448">
        <v>100</v>
      </c>
      <c r="K58" s="241"/>
      <c r="L58" s="1277">
        <v>354</v>
      </c>
      <c r="M58" s="241"/>
      <c r="N58" s="1278">
        <v>3.5</v>
      </c>
      <c r="O58" s="241"/>
      <c r="P58" s="1278">
        <f t="shared" si="4"/>
        <v>26.621164892454196</v>
      </c>
      <c r="Q58" s="1325">
        <f>J58*20/100</f>
        <v>20</v>
      </c>
      <c r="R58" s="244">
        <v>3.02</v>
      </c>
      <c r="S58" s="244">
        <v>22.175999999999998</v>
      </c>
      <c r="T58" s="1277">
        <v>6</v>
      </c>
      <c r="U58" s="1278">
        <f t="shared" si="12"/>
        <v>1.9867549668874172</v>
      </c>
      <c r="V58" s="1278">
        <f t="shared" si="16"/>
        <v>86.381673881673876</v>
      </c>
      <c r="W58" s="1279">
        <v>0.2</v>
      </c>
      <c r="X58" s="1449">
        <v>100</v>
      </c>
      <c r="Y58" s="1277">
        <f t="shared" si="3"/>
        <v>110.88</v>
      </c>
      <c r="Z58" s="244">
        <f t="shared" si="17"/>
        <v>2.9837600000000002</v>
      </c>
      <c r="AA58" s="244">
        <f t="shared" si="17"/>
        <v>21.909887999999999</v>
      </c>
      <c r="AB58" s="1277">
        <f t="shared" si="17"/>
        <v>5.9279999999999999</v>
      </c>
      <c r="AC58" s="244">
        <f t="shared" si="18"/>
        <v>1.9867549668874172</v>
      </c>
      <c r="AD58" s="1277">
        <f t="shared" si="18"/>
        <v>86.381673881673876</v>
      </c>
      <c r="AE58" s="241">
        <f t="shared" si="15"/>
        <v>31</v>
      </c>
      <c r="AF58" s="244">
        <f t="shared" si="1"/>
        <v>92.496560000000002</v>
      </c>
      <c r="AG58" s="1285"/>
      <c r="AI58" s="1282">
        <f t="shared" si="2"/>
        <v>26.621164892454196</v>
      </c>
      <c r="AJ58" s="1252">
        <v>0.91739999999999999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28">
        <v>560.83000000000004</v>
      </c>
      <c r="J59" s="241">
        <v>100</v>
      </c>
      <c r="K59" s="241"/>
      <c r="L59" s="1277">
        <v>360</v>
      </c>
      <c r="M59" s="241"/>
      <c r="N59" s="1278">
        <v>0.6</v>
      </c>
      <c r="O59" s="241"/>
      <c r="P59" s="1278">
        <f t="shared" si="4"/>
        <v>19.848401289851569</v>
      </c>
      <c r="Q59" s="1325">
        <f>J59*15/100</f>
        <v>15</v>
      </c>
      <c r="R59" s="244">
        <v>3.9470000000000001</v>
      </c>
      <c r="S59" s="244">
        <v>10.307</v>
      </c>
      <c r="T59" s="1277">
        <v>3.1360000000000001</v>
      </c>
      <c r="U59" s="1278">
        <f t="shared" si="12"/>
        <v>0.79452748923232841</v>
      </c>
      <c r="V59" s="1278">
        <f t="shared" si="16"/>
        <v>61.705636945765022</v>
      </c>
      <c r="W59" s="1279">
        <v>0.2</v>
      </c>
      <c r="X59" s="1316">
        <v>100</v>
      </c>
      <c r="Y59" s="1277">
        <f t="shared" si="3"/>
        <v>68.713333333333338</v>
      </c>
      <c r="Z59" s="244">
        <f t="shared" si="17"/>
        <v>3.8996360000000001</v>
      </c>
      <c r="AA59" s="244">
        <f t="shared" si="17"/>
        <v>10.183316</v>
      </c>
      <c r="AB59" s="1277">
        <f t="shared" si="17"/>
        <v>3.0983680000000002</v>
      </c>
      <c r="AC59" s="244">
        <f t="shared" si="18"/>
        <v>0.79452748923232841</v>
      </c>
      <c r="AD59" s="1277">
        <f t="shared" si="18"/>
        <v>61.705636945765022</v>
      </c>
      <c r="AE59" s="241">
        <f t="shared" si="15"/>
        <v>31</v>
      </c>
      <c r="AF59" s="244">
        <f t="shared" si="1"/>
        <v>120.888716</v>
      </c>
      <c r="AG59" s="1281"/>
      <c r="AI59" s="1282">
        <f t="shared" si="2"/>
        <v>19.848401289851569</v>
      </c>
      <c r="AJ59" s="1252">
        <v>0.91620000000000001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28">
        <v>556.55999999999995</v>
      </c>
      <c r="J60" s="241">
        <v>155</v>
      </c>
      <c r="K60" s="241"/>
      <c r="L60" s="1277">
        <v>216</v>
      </c>
      <c r="M60" s="241"/>
      <c r="N60" s="1278">
        <v>3.5</v>
      </c>
      <c r="O60" s="241"/>
      <c r="P60" s="1278">
        <f t="shared" si="4"/>
        <v>36.78242535460091</v>
      </c>
      <c r="Q60" s="1278">
        <f>J60*22/100</f>
        <v>34.1</v>
      </c>
      <c r="R60" s="244">
        <v>3.5590000000000002</v>
      </c>
      <c r="S60" s="244">
        <v>26.43</v>
      </c>
      <c r="T60" s="1277">
        <v>6.1</v>
      </c>
      <c r="U60" s="1278">
        <f t="shared" si="12"/>
        <v>1.7139645967968529</v>
      </c>
      <c r="V60" s="1278">
        <f t="shared" si="16"/>
        <v>86.534241392357174</v>
      </c>
      <c r="W60" s="1279">
        <v>0.2</v>
      </c>
      <c r="X60" s="1316">
        <v>155</v>
      </c>
      <c r="Y60" s="1277">
        <f t="shared" si="3"/>
        <v>77.507331378299114</v>
      </c>
      <c r="Z60" s="244">
        <f t="shared" si="17"/>
        <v>3.516292</v>
      </c>
      <c r="AA60" s="244">
        <f t="shared" si="17"/>
        <v>26.112839999999998</v>
      </c>
      <c r="AB60" s="1277">
        <f t="shared" si="17"/>
        <v>6.0267999999999997</v>
      </c>
      <c r="AC60" s="244">
        <f>U60</f>
        <v>1.7139645967968529</v>
      </c>
      <c r="AD60" s="1277">
        <v>0</v>
      </c>
      <c r="AE60" s="241">
        <f t="shared" si="15"/>
        <v>31</v>
      </c>
      <c r="AF60" s="244">
        <f t="shared" si="1"/>
        <v>109.00505200000001</v>
      </c>
      <c r="AG60" s="1281"/>
      <c r="AI60" s="1282">
        <f t="shared" si="2"/>
        <v>36.78242535460091</v>
      </c>
      <c r="AJ60" s="1252">
        <v>0.92549999999999999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528">
        <v>549.65</v>
      </c>
      <c r="J61" s="241">
        <v>125</v>
      </c>
      <c r="K61" s="241"/>
      <c r="L61" s="1277">
        <v>434</v>
      </c>
      <c r="M61" s="241"/>
      <c r="N61" s="1278">
        <v>0.8</v>
      </c>
      <c r="O61" s="241"/>
      <c r="P61" s="1278">
        <f t="shared" si="4"/>
        <v>12.060286194553534</v>
      </c>
      <c r="Q61" s="1278">
        <f>14*J61/100</f>
        <v>17.5</v>
      </c>
      <c r="R61" s="244">
        <v>1.72</v>
      </c>
      <c r="S61" s="244">
        <v>6.0439999999999996</v>
      </c>
      <c r="T61" s="1277">
        <v>23</v>
      </c>
      <c r="U61" s="1278">
        <f t="shared" si="12"/>
        <v>13.372093023255815</v>
      </c>
      <c r="V61" s="1278">
        <f t="shared" si="16"/>
        <v>71.54202514890801</v>
      </c>
      <c r="W61" s="1279">
        <v>0.2</v>
      </c>
      <c r="X61" s="1316">
        <v>125</v>
      </c>
      <c r="Y61" s="1277">
        <f t="shared" si="3"/>
        <v>34.537142857142854</v>
      </c>
      <c r="Z61" s="244">
        <f t="shared" si="17"/>
        <v>1.69936</v>
      </c>
      <c r="AA61" s="244">
        <f t="shared" si="17"/>
        <v>5.9714719999999994</v>
      </c>
      <c r="AB61" s="1277">
        <f t="shared" si="17"/>
        <v>22.724</v>
      </c>
      <c r="AC61" s="244">
        <f>U61</f>
        <v>13.372093023255815</v>
      </c>
      <c r="AD61" s="1277">
        <f>V61</f>
        <v>71.54202514890801</v>
      </c>
      <c r="AE61" s="241">
        <f t="shared" si="15"/>
        <v>31</v>
      </c>
      <c r="AF61" s="244">
        <f t="shared" si="1"/>
        <v>52.680160000000001</v>
      </c>
      <c r="AG61" s="1281"/>
      <c r="AI61" s="1282">
        <f t="shared" si="2"/>
        <v>12.060286194553534</v>
      </c>
      <c r="AJ61" s="1252">
        <v>0.89419999999999999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528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3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528" t="s">
        <v>692</v>
      </c>
      <c r="F63" s="241">
        <v>177.8</v>
      </c>
      <c r="G63" s="241" t="s">
        <v>28</v>
      </c>
      <c r="H63" s="1299" t="s">
        <v>466</v>
      </c>
      <c r="I63" s="1528">
        <v>534.71</v>
      </c>
      <c r="J63" s="241">
        <v>260</v>
      </c>
      <c r="K63" s="241"/>
      <c r="L63" s="1277">
        <v>27</v>
      </c>
      <c r="M63" s="241">
        <v>0</v>
      </c>
      <c r="N63" s="1278">
        <v>4.5</v>
      </c>
      <c r="O63" s="241"/>
      <c r="P63" s="1278">
        <f t="shared" si="4"/>
        <v>51.353696557414629</v>
      </c>
      <c r="Q63" s="1278">
        <f>J63*13/100</f>
        <v>33.799999999999997</v>
      </c>
      <c r="R63" s="244">
        <v>2.21</v>
      </c>
      <c r="S63" s="244">
        <v>3.6469999999999998</v>
      </c>
      <c r="T63" s="1277">
        <v>27</v>
      </c>
      <c r="U63" s="1278">
        <f>IF(R63=0,0,T63/R63)</f>
        <v>12.217194570135748</v>
      </c>
      <c r="V63" s="1278">
        <f t="shared" si="16"/>
        <v>39.402248423361662</v>
      </c>
      <c r="W63" s="1279">
        <v>0.2</v>
      </c>
      <c r="X63" s="1316">
        <v>260</v>
      </c>
      <c r="Y63" s="1277">
        <f t="shared" si="3"/>
        <v>10.789940828402367</v>
      </c>
      <c r="Z63" s="244">
        <f t="shared" ref="Z63:AB75" si="19">R63*0.988</f>
        <v>2.1834799999999999</v>
      </c>
      <c r="AA63" s="244">
        <f t="shared" si="19"/>
        <v>3.6032359999999999</v>
      </c>
      <c r="AB63" s="1277">
        <f t="shared" si="19"/>
        <v>26.675999999999998</v>
      </c>
      <c r="AC63" s="244">
        <f t="shared" ref="AC63:AD69" si="20">U63</f>
        <v>12.217194570135748</v>
      </c>
      <c r="AD63" s="1277">
        <f t="shared" si="20"/>
        <v>39.402248423361662</v>
      </c>
      <c r="AE63" s="241">
        <f t="shared" si="15"/>
        <v>31</v>
      </c>
      <c r="AF63" s="244">
        <f t="shared" si="1"/>
        <v>67.687879999999993</v>
      </c>
      <c r="AG63" s="1281"/>
      <c r="AI63" s="1282">
        <f t="shared" si="2"/>
        <v>51.353696557414629</v>
      </c>
      <c r="AJ63" s="1252">
        <v>0.91049999999999998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528">
        <v>674.45</v>
      </c>
      <c r="E64" s="1528" t="s">
        <v>232</v>
      </c>
      <c r="F64" s="241">
        <v>177.8</v>
      </c>
      <c r="G64" s="241" t="s">
        <v>28</v>
      </c>
      <c r="H64" s="1299" t="s">
        <v>464</v>
      </c>
      <c r="I64" s="1528">
        <v>542.6</v>
      </c>
      <c r="J64" s="1528">
        <v>130</v>
      </c>
      <c r="K64" s="1528"/>
      <c r="L64" s="1319">
        <v>460</v>
      </c>
      <c r="M64" s="1528"/>
      <c r="N64" s="1278">
        <v>2.9</v>
      </c>
      <c r="O64" s="1528"/>
      <c r="P64" s="1278">
        <f t="shared" si="4"/>
        <v>10.581069717284937</v>
      </c>
      <c r="Q64" s="1278">
        <f>RIGHT(H64,(FIND("T",H64,1)-0))*J64/100</f>
        <v>18.2</v>
      </c>
      <c r="R64" s="244">
        <v>4.5</v>
      </c>
      <c r="S64" s="244">
        <v>6.468</v>
      </c>
      <c r="T64" s="1319">
        <v>42</v>
      </c>
      <c r="U64" s="1278">
        <f t="shared" si="12"/>
        <v>9.3333333333333339</v>
      </c>
      <c r="V64" s="1278">
        <f t="shared" si="16"/>
        <v>30.426716141001855</v>
      </c>
      <c r="W64" s="1279">
        <v>0.2</v>
      </c>
      <c r="X64" s="1410">
        <v>130</v>
      </c>
      <c r="Y64" s="1277">
        <f t="shared" si="3"/>
        <v>35.53846153846154</v>
      </c>
      <c r="Z64" s="244">
        <f t="shared" si="19"/>
        <v>4.4459999999999997</v>
      </c>
      <c r="AA64" s="244">
        <f t="shared" si="19"/>
        <v>6.3903840000000001</v>
      </c>
      <c r="AB64" s="1277">
        <f t="shared" si="19"/>
        <v>41.496000000000002</v>
      </c>
      <c r="AC64" s="244">
        <f t="shared" si="20"/>
        <v>9.3333333333333339</v>
      </c>
      <c r="AD64" s="1277">
        <f t="shared" si="20"/>
        <v>30.426716141001855</v>
      </c>
      <c r="AE64" s="241">
        <f t="shared" si="15"/>
        <v>31</v>
      </c>
      <c r="AF64" s="244">
        <f>Z64*AE64</f>
        <v>137.82599999999999</v>
      </c>
      <c r="AG64" s="1342"/>
      <c r="AI64" s="1282">
        <f t="shared" si="2"/>
        <v>10.581069717284937</v>
      </c>
      <c r="AJ64" s="1252">
        <v>0.88649999999999995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528">
        <v>678.47</v>
      </c>
      <c r="E65" s="1528" t="s">
        <v>606</v>
      </c>
      <c r="F65" s="241">
        <v>177.8</v>
      </c>
      <c r="G65" s="241" t="s">
        <v>28</v>
      </c>
      <c r="H65" s="1299" t="s">
        <v>466</v>
      </c>
      <c r="I65" s="1528">
        <v>574.4</v>
      </c>
      <c r="J65" s="1373">
        <v>145</v>
      </c>
      <c r="K65" s="1528"/>
      <c r="L65" s="1319">
        <v>116</v>
      </c>
      <c r="M65" s="1528"/>
      <c r="N65" s="1278">
        <v>0.6</v>
      </c>
      <c r="O65" s="1528"/>
      <c r="P65" s="1278">
        <f t="shared" si="4"/>
        <v>45.193410115367953</v>
      </c>
      <c r="Q65" s="1278">
        <f>LEFT(H65,(FIND("E",H65,1)-1))*J65/100</f>
        <v>18.850000000000001</v>
      </c>
      <c r="R65" s="244">
        <v>3.0339999999999998</v>
      </c>
      <c r="S65" s="244">
        <v>19.449000000000002</v>
      </c>
      <c r="T65" s="1277">
        <v>23</v>
      </c>
      <c r="U65" s="1278">
        <f t="shared" si="12"/>
        <v>7.5807514831905083</v>
      </c>
      <c r="V65" s="1278">
        <f t="shared" si="16"/>
        <v>84.400226232711191</v>
      </c>
      <c r="W65" s="1279">
        <v>0.2</v>
      </c>
      <c r="X65" s="1452">
        <v>145</v>
      </c>
      <c r="Y65" s="1277">
        <f t="shared" si="3"/>
        <v>103.17771883289124</v>
      </c>
      <c r="Z65" s="244">
        <f t="shared" si="19"/>
        <v>2.9975919999999996</v>
      </c>
      <c r="AA65" s="244">
        <f t="shared" si="19"/>
        <v>19.215612</v>
      </c>
      <c r="AB65" s="1277">
        <f t="shared" si="19"/>
        <v>22.724</v>
      </c>
      <c r="AC65" s="244">
        <f t="shared" si="20"/>
        <v>7.5807514831905083</v>
      </c>
      <c r="AD65" s="1277">
        <f t="shared" si="20"/>
        <v>84.400226232711191</v>
      </c>
      <c r="AE65" s="241">
        <f t="shared" si="15"/>
        <v>31</v>
      </c>
      <c r="AF65" s="244">
        <f t="shared" ref="AF65:AF75" si="21">Z65*AE65</f>
        <v>92.92535199999999</v>
      </c>
      <c r="AG65" s="1281"/>
      <c r="AI65" s="1282">
        <f t="shared" si="2"/>
        <v>45.193410115367953</v>
      </c>
      <c r="AJ65" s="1252">
        <v>0.9234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528">
        <v>541.12</v>
      </c>
      <c r="J66" s="241">
        <v>175</v>
      </c>
      <c r="K66" s="241"/>
      <c r="L66" s="1277">
        <v>443</v>
      </c>
      <c r="M66" s="241"/>
      <c r="N66" s="1278">
        <v>3.9</v>
      </c>
      <c r="O66" s="241"/>
      <c r="P66" s="1278">
        <f t="shared" si="4"/>
        <v>13.416875636411378</v>
      </c>
      <c r="Q66" s="1278">
        <f>20*J66/100</f>
        <v>35</v>
      </c>
      <c r="R66" s="244">
        <v>7.9290000000000003</v>
      </c>
      <c r="S66" s="244">
        <v>23.334</v>
      </c>
      <c r="T66" s="1277">
        <v>65</v>
      </c>
      <c r="U66" s="1278">
        <f t="shared" si="12"/>
        <v>8.1977550763021814</v>
      </c>
      <c r="V66" s="1278">
        <f t="shared" si="16"/>
        <v>66.01954229879145</v>
      </c>
      <c r="W66" s="1279">
        <v>0.2</v>
      </c>
      <c r="X66" s="1316">
        <v>175</v>
      </c>
      <c r="Y66" s="1277">
        <f t="shared" si="3"/>
        <v>66.668571428571425</v>
      </c>
      <c r="Z66" s="244">
        <f t="shared" si="19"/>
        <v>7.8338520000000003</v>
      </c>
      <c r="AA66" s="244">
        <f t="shared" si="19"/>
        <v>23.053992000000001</v>
      </c>
      <c r="AB66" s="1277">
        <f t="shared" si="19"/>
        <v>64.22</v>
      </c>
      <c r="AC66" s="244">
        <f t="shared" si="20"/>
        <v>8.1977550763021814</v>
      </c>
      <c r="AD66" s="1277">
        <f t="shared" si="20"/>
        <v>66.01954229879145</v>
      </c>
      <c r="AE66" s="241">
        <f t="shared" si="15"/>
        <v>31</v>
      </c>
      <c r="AF66" s="244">
        <f t="shared" si="21"/>
        <v>242.849412</v>
      </c>
      <c r="AG66" s="1285"/>
      <c r="AI66" s="1282">
        <f t="shared" si="2"/>
        <v>13.416875636411378</v>
      </c>
      <c r="AJ66" s="1252">
        <v>0.88929999999999998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528">
        <v>521.42999999999995</v>
      </c>
      <c r="J67" s="241">
        <v>300</v>
      </c>
      <c r="K67" s="241"/>
      <c r="L67" s="1277">
        <v>456</v>
      </c>
      <c r="M67" s="241"/>
      <c r="N67" s="1278">
        <v>6.1</v>
      </c>
      <c r="O67" s="241"/>
      <c r="P67" s="1278">
        <f t="shared" si="4"/>
        <v>12.245739321036265</v>
      </c>
      <c r="Q67" s="1278">
        <f>J67*14/100</f>
        <v>42</v>
      </c>
      <c r="R67" s="244">
        <v>8.5250000000000004</v>
      </c>
      <c r="S67" s="244">
        <v>13.625</v>
      </c>
      <c r="T67" s="1277">
        <v>162</v>
      </c>
      <c r="U67" s="1278">
        <f t="shared" si="12"/>
        <v>19.002932551319649</v>
      </c>
      <c r="V67" s="1278">
        <f t="shared" si="16"/>
        <v>37.431192660550458</v>
      </c>
      <c r="W67" s="1279">
        <v>0.2</v>
      </c>
      <c r="X67" s="1316">
        <v>300</v>
      </c>
      <c r="Y67" s="1277">
        <f t="shared" si="3"/>
        <v>32.44047619047619</v>
      </c>
      <c r="Z67" s="244">
        <f t="shared" si="19"/>
        <v>8.4227000000000007</v>
      </c>
      <c r="AA67" s="244">
        <f t="shared" si="19"/>
        <v>13.461499999999999</v>
      </c>
      <c r="AB67" s="1277">
        <f t="shared" si="19"/>
        <v>160.05600000000001</v>
      </c>
      <c r="AC67" s="244">
        <f t="shared" si="20"/>
        <v>19.002932551319649</v>
      </c>
      <c r="AD67" s="1277">
        <f t="shared" si="20"/>
        <v>37.431192660550458</v>
      </c>
      <c r="AE67" s="241">
        <f t="shared" si="15"/>
        <v>31</v>
      </c>
      <c r="AF67" s="244">
        <f t="shared" si="21"/>
        <v>261.1037</v>
      </c>
      <c r="AG67" s="1285"/>
      <c r="AI67" s="1282">
        <f t="shared" si="2"/>
        <v>12.245739321036265</v>
      </c>
      <c r="AJ67" s="1252">
        <v>0.87360000000000004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528" t="s">
        <v>607</v>
      </c>
      <c r="F68" s="241">
        <v>177.8</v>
      </c>
      <c r="G68" s="241" t="s">
        <v>28</v>
      </c>
      <c r="H68" s="241" t="s">
        <v>464</v>
      </c>
      <c r="I68" s="1528">
        <v>512.28</v>
      </c>
      <c r="J68" s="241">
        <v>175</v>
      </c>
      <c r="K68" s="241"/>
      <c r="L68" s="1277">
        <v>424</v>
      </c>
      <c r="M68" s="241"/>
      <c r="N68" s="1278">
        <v>3.5</v>
      </c>
      <c r="O68" s="241"/>
      <c r="P68" s="1278">
        <f t="shared" si="4"/>
        <v>12.007881800897193</v>
      </c>
      <c r="Q68" s="1278">
        <f>J68*14/100</f>
        <v>24.5</v>
      </c>
      <c r="R68" s="244">
        <v>6.35</v>
      </c>
      <c r="S68" s="244">
        <v>14.86</v>
      </c>
      <c r="T68" s="1277">
        <v>34</v>
      </c>
      <c r="U68" s="1278">
        <f t="shared" si="12"/>
        <v>5.3543307086614176</v>
      </c>
      <c r="V68" s="1278">
        <f t="shared" si="16"/>
        <v>57.267833109017495</v>
      </c>
      <c r="W68" s="1279">
        <v>0.2</v>
      </c>
      <c r="X68" s="1316">
        <v>175</v>
      </c>
      <c r="Y68" s="1277">
        <f t="shared" si="3"/>
        <v>60.65306122448979</v>
      </c>
      <c r="Z68" s="244">
        <f t="shared" si="19"/>
        <v>6.2737999999999996</v>
      </c>
      <c r="AA68" s="244">
        <f t="shared" si="19"/>
        <v>14.68168</v>
      </c>
      <c r="AB68" s="1277">
        <f t="shared" si="19"/>
        <v>33.591999999999999</v>
      </c>
      <c r="AC68" s="244">
        <f t="shared" si="20"/>
        <v>5.3543307086614176</v>
      </c>
      <c r="AD68" s="1277">
        <f t="shared" si="20"/>
        <v>57.267833109017495</v>
      </c>
      <c r="AE68" s="241">
        <f t="shared" si="15"/>
        <v>31</v>
      </c>
      <c r="AF68" s="244">
        <f t="shared" si="21"/>
        <v>194.48779999999999</v>
      </c>
      <c r="AG68" s="1285"/>
      <c r="AI68" s="1282">
        <f t="shared" si="2"/>
        <v>12.007881800897193</v>
      </c>
      <c r="AJ68" s="1252">
        <v>0.89659999999999995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528">
        <v>539.28</v>
      </c>
      <c r="J69" s="241">
        <v>120</v>
      </c>
      <c r="K69" s="241"/>
      <c r="L69" s="1277">
        <v>225</v>
      </c>
      <c r="M69" s="241"/>
      <c r="N69" s="1278">
        <v>4</v>
      </c>
      <c r="O69" s="241"/>
      <c r="P69" s="1278">
        <f t="shared" si="4"/>
        <v>34.382666442495413</v>
      </c>
      <c r="Q69" s="1278">
        <f>J69*13/100</f>
        <v>15.6</v>
      </c>
      <c r="R69" s="244">
        <v>2.16</v>
      </c>
      <c r="S69" s="244">
        <v>11.15</v>
      </c>
      <c r="T69" s="1277">
        <v>14.5</v>
      </c>
      <c r="U69" s="1278">
        <f t="shared" si="12"/>
        <v>6.7129629629629628</v>
      </c>
      <c r="V69" s="1278">
        <f t="shared" si="16"/>
        <v>80.627802690582968</v>
      </c>
      <c r="W69" s="1279">
        <v>0.2</v>
      </c>
      <c r="X69" s="1316">
        <v>120</v>
      </c>
      <c r="Y69" s="1277">
        <f t="shared" si="3"/>
        <v>71.474358974358978</v>
      </c>
      <c r="Z69" s="244">
        <f t="shared" si="19"/>
        <v>2.13408</v>
      </c>
      <c r="AA69" s="244">
        <f t="shared" si="19"/>
        <v>11.0162</v>
      </c>
      <c r="AB69" s="1277">
        <f t="shared" si="19"/>
        <v>14.326000000000001</v>
      </c>
      <c r="AC69" s="244">
        <f t="shared" si="20"/>
        <v>6.7129629629629628</v>
      </c>
      <c r="AD69" s="1277">
        <f t="shared" si="20"/>
        <v>80.627802690582968</v>
      </c>
      <c r="AE69" s="241">
        <f t="shared" si="15"/>
        <v>31</v>
      </c>
      <c r="AF69" s="244">
        <f>Z69*AE69</f>
        <v>66.156480000000002</v>
      </c>
      <c r="AG69" s="1285"/>
      <c r="AI69" s="1282">
        <f t="shared" si="2"/>
        <v>34.382666442495413</v>
      </c>
      <c r="AJ69" s="1252">
        <v>0.89490000000000003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528">
        <v>541.46</v>
      </c>
      <c r="J70" s="241">
        <v>100</v>
      </c>
      <c r="K70" s="241"/>
      <c r="L70" s="1277">
        <v>227</v>
      </c>
      <c r="M70" s="241"/>
      <c r="N70" s="1278">
        <v>6.6</v>
      </c>
      <c r="O70" s="241"/>
      <c r="P70" s="1278">
        <f t="shared" si="4"/>
        <v>37.06232209487748</v>
      </c>
      <c r="Q70" s="1278">
        <f>(32/100)*J70</f>
        <v>32</v>
      </c>
      <c r="R70" s="244">
        <v>6.5940000000000003</v>
      </c>
      <c r="S70" s="244">
        <v>37.168999999999997</v>
      </c>
      <c r="T70" s="1277">
        <v>40</v>
      </c>
      <c r="U70" s="1278">
        <f t="shared" si="12"/>
        <v>6.0661207158022439</v>
      </c>
      <c r="V70" s="1278">
        <f t="shared" si="16"/>
        <v>82.259409723156381</v>
      </c>
      <c r="W70" s="1279">
        <v>0.2</v>
      </c>
      <c r="X70" s="1316">
        <v>100</v>
      </c>
      <c r="Y70" s="1277">
        <f t="shared" si="3"/>
        <v>116.15312499999999</v>
      </c>
      <c r="Z70" s="244">
        <v>6</v>
      </c>
      <c r="AA70" s="244">
        <f>S70</f>
        <v>37.168999999999997</v>
      </c>
      <c r="AB70" s="1277">
        <f t="shared" si="19"/>
        <v>39.519999999999996</v>
      </c>
      <c r="AC70" s="244">
        <f>U70</f>
        <v>6.0661207158022439</v>
      </c>
      <c r="AD70" s="1278">
        <f>(AA70-Z70)/AA70*100</f>
        <v>83.857515671661858</v>
      </c>
      <c r="AE70" s="241">
        <f t="shared" si="15"/>
        <v>31</v>
      </c>
      <c r="AF70" s="244">
        <f t="shared" si="21"/>
        <v>186</v>
      </c>
      <c r="AG70" s="1285"/>
      <c r="AI70" s="1282">
        <f t="shared" si="2"/>
        <v>37.06232209487748</v>
      </c>
      <c r="AJ70" s="1252">
        <v>0.89490000000000003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528">
        <v>539.83000000000004</v>
      </c>
      <c r="J71" s="1448">
        <v>95</v>
      </c>
      <c r="K71" s="241"/>
      <c r="L71" s="1277">
        <v>131</v>
      </c>
      <c r="M71" s="1278"/>
      <c r="N71" s="1278">
        <v>9.3000000000000007</v>
      </c>
      <c r="O71" s="241"/>
      <c r="P71" s="1278">
        <f t="shared" si="4"/>
        <v>49.140807826479957</v>
      </c>
      <c r="Q71" s="1278">
        <f>(32/100)*J71</f>
        <v>30.400000000000002</v>
      </c>
      <c r="R71" s="244">
        <v>3.67</v>
      </c>
      <c r="S71" s="244">
        <v>33.963000000000001</v>
      </c>
      <c r="T71" s="1277">
        <v>48</v>
      </c>
      <c r="U71" s="1278">
        <f t="shared" si="12"/>
        <v>13.079019073569482</v>
      </c>
      <c r="V71" s="1278">
        <f t="shared" si="16"/>
        <v>89.194123016223543</v>
      </c>
      <c r="W71" s="1279">
        <v>0.3</v>
      </c>
      <c r="X71" s="1449">
        <v>95</v>
      </c>
      <c r="Y71" s="1277">
        <f t="shared" si="3"/>
        <v>111.7203947368421</v>
      </c>
      <c r="Z71" s="244">
        <f t="shared" ref="Z71:AA75" si="22">R71*0.988</f>
        <v>3.6259600000000001</v>
      </c>
      <c r="AA71" s="244">
        <f t="shared" si="22"/>
        <v>33.555444000000001</v>
      </c>
      <c r="AB71" s="1277">
        <f t="shared" si="19"/>
        <v>47.423999999999999</v>
      </c>
      <c r="AC71" s="244">
        <f>U71</f>
        <v>13.079019073569482</v>
      </c>
      <c r="AD71" s="1277">
        <f>V71</f>
        <v>89.194123016223543</v>
      </c>
      <c r="AE71" s="241">
        <f t="shared" si="15"/>
        <v>31</v>
      </c>
      <c r="AF71" s="244">
        <f t="shared" si="21"/>
        <v>112.40476</v>
      </c>
      <c r="AG71" s="1343"/>
      <c r="AI71" s="1282">
        <f t="shared" si="2"/>
        <v>49.140807826479957</v>
      </c>
      <c r="AJ71" s="1252">
        <v>0.89390000000000003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528">
        <v>512.47</v>
      </c>
      <c r="J72" s="1277">
        <v>245</v>
      </c>
      <c r="K72" s="241"/>
      <c r="L72" s="1277">
        <v>463</v>
      </c>
      <c r="M72" s="241"/>
      <c r="N72" s="1278">
        <v>5.9</v>
      </c>
      <c r="O72" s="241"/>
      <c r="P72" s="1278">
        <f t="shared" si="4"/>
        <v>10.475431425817684</v>
      </c>
      <c r="Q72" s="1278">
        <f>(32*J72)/100</f>
        <v>78.400000000000006</v>
      </c>
      <c r="R72" s="244">
        <v>13.885</v>
      </c>
      <c r="S72" s="244">
        <v>17.212</v>
      </c>
      <c r="T72" s="1277">
        <v>326</v>
      </c>
      <c r="U72" s="1278">
        <f t="shared" si="12"/>
        <v>23.478574000720201</v>
      </c>
      <c r="V72" s="1278">
        <f t="shared" si="16"/>
        <v>19.32953753195445</v>
      </c>
      <c r="W72" s="1279">
        <v>0.2</v>
      </c>
      <c r="X72" s="1454">
        <v>245</v>
      </c>
      <c r="Y72" s="1277">
        <f t="shared" si="3"/>
        <v>21.954081632653057</v>
      </c>
      <c r="Z72" s="244">
        <f t="shared" si="22"/>
        <v>13.71838</v>
      </c>
      <c r="AA72" s="244">
        <f t="shared" si="22"/>
        <v>17.005455999999999</v>
      </c>
      <c r="AB72" s="1277">
        <f t="shared" si="19"/>
        <v>322.08800000000002</v>
      </c>
      <c r="AC72" s="244">
        <f>U72</f>
        <v>23.478574000720201</v>
      </c>
      <c r="AD72" s="1277">
        <f>V72</f>
        <v>19.32953753195445</v>
      </c>
      <c r="AE72" s="241">
        <f t="shared" si="15"/>
        <v>31</v>
      </c>
      <c r="AF72" s="244">
        <f t="shared" si="21"/>
        <v>425.26977999999997</v>
      </c>
      <c r="AG72" s="1281"/>
      <c r="AI72" s="1282">
        <f t="shared" si="2"/>
        <v>10.475431425817684</v>
      </c>
      <c r="AJ72" s="1252">
        <v>0.86950000000000005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609</v>
      </c>
      <c r="F73" s="241">
        <v>178.8</v>
      </c>
      <c r="G73" s="241" t="s">
        <v>28</v>
      </c>
      <c r="H73" s="1299" t="s">
        <v>565</v>
      </c>
      <c r="I73" s="1528">
        <v>500.41</v>
      </c>
      <c r="J73" s="1448">
        <v>235</v>
      </c>
      <c r="K73" s="241"/>
      <c r="L73" s="1277">
        <v>483</v>
      </c>
      <c r="M73" s="241"/>
      <c r="N73" s="1278">
        <v>3.9</v>
      </c>
      <c r="O73" s="241"/>
      <c r="P73" s="1278">
        <f t="shared" si="4"/>
        <v>5.7125526016361379</v>
      </c>
      <c r="Q73" s="1278">
        <f>J73*32/100</f>
        <v>75.2</v>
      </c>
      <c r="R73" s="244">
        <v>10.928000000000001</v>
      </c>
      <c r="S73" s="244">
        <v>17.353000000000002</v>
      </c>
      <c r="T73" s="1277">
        <v>109</v>
      </c>
      <c r="U73" s="1278">
        <f t="shared" si="12"/>
        <v>9.9743777452415809</v>
      </c>
      <c r="V73" s="1278">
        <f t="shared" si="16"/>
        <v>37.025298219328072</v>
      </c>
      <c r="W73" s="1279">
        <v>0.2</v>
      </c>
      <c r="X73" s="1449">
        <v>235</v>
      </c>
      <c r="Y73" s="1277">
        <f t="shared" si="3"/>
        <v>23.075797872340427</v>
      </c>
      <c r="Z73" s="244">
        <f t="shared" si="22"/>
        <v>10.796864000000001</v>
      </c>
      <c r="AA73" s="244">
        <f t="shared" si="22"/>
        <v>17.144764000000002</v>
      </c>
      <c r="AB73" s="1277">
        <f t="shared" si="19"/>
        <v>107.69199999999999</v>
      </c>
      <c r="AC73" s="244">
        <v>20</v>
      </c>
      <c r="AD73" s="1277">
        <v>17</v>
      </c>
      <c r="AE73" s="241">
        <f t="shared" si="15"/>
        <v>31</v>
      </c>
      <c r="AF73" s="244">
        <f t="shared" si="21"/>
        <v>334.70278400000001</v>
      </c>
      <c r="AG73" s="1281"/>
      <c r="AI73" s="1282">
        <f t="shared" si="2"/>
        <v>5.7125526016361379</v>
      </c>
      <c r="AJ73" s="1252">
        <v>0.84030000000000005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528">
        <v>549.1</v>
      </c>
      <c r="J74" s="1448">
        <v>185</v>
      </c>
      <c r="K74" s="241"/>
      <c r="L74" s="1277">
        <v>446</v>
      </c>
      <c r="M74" s="241"/>
      <c r="N74" s="1278">
        <v>8.3000000000000007</v>
      </c>
      <c r="O74" s="241"/>
      <c r="P74" s="1278">
        <f t="shared" si="4"/>
        <v>18.067680808627543</v>
      </c>
      <c r="Q74" s="1278">
        <f>LEFT(H74,(FIND("E",H74,1)-1))*J74/100</f>
        <v>40.700000000000003</v>
      </c>
      <c r="R74" s="244">
        <v>12.204000000000001</v>
      </c>
      <c r="S74" s="244">
        <v>26.134</v>
      </c>
      <c r="T74" s="1277">
        <v>343</v>
      </c>
      <c r="U74" s="1278">
        <f t="shared" si="12"/>
        <v>28.105539167486068</v>
      </c>
      <c r="V74" s="1278">
        <f t="shared" si="16"/>
        <v>53.302211678273515</v>
      </c>
      <c r="W74" s="1279">
        <v>0.2</v>
      </c>
      <c r="X74" s="1449">
        <v>185</v>
      </c>
      <c r="Y74" s="1277">
        <f t="shared" si="3"/>
        <v>64.211302211302211</v>
      </c>
      <c r="Z74" s="244">
        <f t="shared" si="22"/>
        <v>12.057552000000001</v>
      </c>
      <c r="AA74" s="244">
        <f t="shared" si="22"/>
        <v>25.820392000000002</v>
      </c>
      <c r="AB74" s="1277">
        <f t="shared" si="19"/>
        <v>338.88400000000001</v>
      </c>
      <c r="AC74" s="244">
        <f>U74</f>
        <v>28.105539167486068</v>
      </c>
      <c r="AD74" s="1277">
        <f>V74</f>
        <v>53.302211678273515</v>
      </c>
      <c r="AE74" s="241">
        <f t="shared" si="15"/>
        <v>31</v>
      </c>
      <c r="AF74" s="244">
        <f t="shared" si="21"/>
        <v>373.78411200000005</v>
      </c>
      <c r="AG74" s="1285"/>
      <c r="AI74" s="1282">
        <f t="shared" si="2"/>
        <v>18.067680808627543</v>
      </c>
      <c r="AJ74" s="1252">
        <v>0.877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310</v>
      </c>
      <c r="I75" s="1528">
        <v>537.29</v>
      </c>
      <c r="J75" s="1448">
        <v>350</v>
      </c>
      <c r="K75" s="241"/>
      <c r="L75" s="1277">
        <v>290</v>
      </c>
      <c r="M75" s="241"/>
      <c r="N75" s="1278">
        <v>2.2999999999999998</v>
      </c>
      <c r="O75" s="241"/>
      <c r="P75" s="1278">
        <f t="shared" si="4"/>
        <v>25.184128527000425</v>
      </c>
      <c r="Q75" s="1278">
        <f t="shared" ref="Q75" si="23">LEFT(H75,(FIND("K",H75,1)-1))*J75/100</f>
        <v>77</v>
      </c>
      <c r="R75" s="244">
        <v>12.135</v>
      </c>
      <c r="S75" s="244">
        <v>22.21</v>
      </c>
      <c r="T75" s="1277">
        <v>51</v>
      </c>
      <c r="U75" s="1278">
        <f t="shared" si="12"/>
        <v>4.2027194066749072</v>
      </c>
      <c r="V75" s="1278">
        <f t="shared" si="16"/>
        <v>45.362449347140931</v>
      </c>
      <c r="W75" s="1279">
        <v>0.2</v>
      </c>
      <c r="X75" s="1449">
        <v>350</v>
      </c>
      <c r="Y75" s="1277">
        <f t="shared" si="3"/>
        <v>28.844155844155843</v>
      </c>
      <c r="Z75" s="244">
        <f t="shared" si="22"/>
        <v>11.989379999999999</v>
      </c>
      <c r="AA75" s="244">
        <f t="shared" si="22"/>
        <v>21.943480000000001</v>
      </c>
      <c r="AB75" s="1277">
        <f t="shared" si="19"/>
        <v>50.387999999999998</v>
      </c>
      <c r="AC75" s="244">
        <f>U75</f>
        <v>4.2027194066749072</v>
      </c>
      <c r="AD75" s="1277">
        <f>V75</f>
        <v>45.362449347140931</v>
      </c>
      <c r="AE75" s="241">
        <f t="shared" si="15"/>
        <v>31</v>
      </c>
      <c r="AF75" s="244">
        <f t="shared" si="21"/>
        <v>371.67077999999998</v>
      </c>
      <c r="AG75" s="1285"/>
      <c r="AI75" s="1282">
        <f t="shared" si="2"/>
        <v>25.184128527000425</v>
      </c>
      <c r="AJ75" s="1252">
        <v>0.8911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528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3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752</v>
      </c>
      <c r="F77" s="241">
        <v>177.8</v>
      </c>
      <c r="G77" s="241" t="s">
        <v>28</v>
      </c>
      <c r="H77" s="1299" t="s">
        <v>687</v>
      </c>
      <c r="I77" s="1528">
        <v>566.73</v>
      </c>
      <c r="J77" s="1448">
        <v>85</v>
      </c>
      <c r="K77" s="241"/>
      <c r="L77" s="1277">
        <v>268</v>
      </c>
      <c r="M77" s="241"/>
      <c r="N77" s="1278">
        <v>1</v>
      </c>
      <c r="O77" s="241"/>
      <c r="P77" s="1278">
        <f t="shared" si="4"/>
        <v>29.892554860018912</v>
      </c>
      <c r="Q77" s="1278">
        <f>(20*J77)/100</f>
        <v>17</v>
      </c>
      <c r="R77" s="244">
        <v>4.1379999999999999</v>
      </c>
      <c r="S77" s="244">
        <v>16.216000000000001</v>
      </c>
      <c r="T77" s="1277">
        <v>0</v>
      </c>
      <c r="U77" s="1278">
        <f t="shared" si="12"/>
        <v>0</v>
      </c>
      <c r="V77" s="1278">
        <f t="shared" si="16"/>
        <v>74.481993093241243</v>
      </c>
      <c r="W77" s="1279">
        <v>0.2</v>
      </c>
      <c r="X77" s="1449">
        <v>85</v>
      </c>
      <c r="Y77" s="1277">
        <f t="shared" si="3"/>
        <v>95.388235294117649</v>
      </c>
      <c r="Z77" s="244">
        <f t="shared" ref="Z77:AB83" si="24">R77*0.988</f>
        <v>4.0883440000000002</v>
      </c>
      <c r="AA77" s="244">
        <f t="shared" si="24"/>
        <v>16.021408000000001</v>
      </c>
      <c r="AB77" s="1277">
        <f t="shared" si="24"/>
        <v>0</v>
      </c>
      <c r="AC77" s="244">
        <f t="shared" ref="AC77:AD81" si="25">U77</f>
        <v>0</v>
      </c>
      <c r="AD77" s="1277">
        <f t="shared" si="25"/>
        <v>74.481993093241243</v>
      </c>
      <c r="AE77" s="241">
        <f t="shared" si="15"/>
        <v>31</v>
      </c>
      <c r="AF77" s="244">
        <f t="shared" ref="AF77:AF83" si="26">Z77*AE77</f>
        <v>126.738664</v>
      </c>
      <c r="AG77" s="1285"/>
      <c r="AI77" s="1282">
        <f t="shared" si="2"/>
        <v>29.892554860018912</v>
      </c>
      <c r="AJ77" s="1252">
        <v>0.92200000000000004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565</v>
      </c>
      <c r="I78" s="1528">
        <v>531.94000000000005</v>
      </c>
      <c r="J78" s="1448">
        <v>355</v>
      </c>
      <c r="K78" s="241"/>
      <c r="L78" s="1277">
        <v>320</v>
      </c>
      <c r="M78" s="241"/>
      <c r="N78" s="1278">
        <v>8.5</v>
      </c>
      <c r="O78" s="241"/>
      <c r="P78" s="1278">
        <f t="shared" si="4"/>
        <v>28.570136299365402</v>
      </c>
      <c r="Q78" s="1278">
        <f>(32*J78)/100</f>
        <v>113.6</v>
      </c>
      <c r="R78" s="244">
        <v>13.667</v>
      </c>
      <c r="S78" s="244">
        <v>37.823</v>
      </c>
      <c r="T78" s="1277">
        <v>170</v>
      </c>
      <c r="U78" s="1278">
        <f t="shared" si="12"/>
        <v>12.438721006804712</v>
      </c>
      <c r="V78" s="1278">
        <f t="shared" si="16"/>
        <v>63.865901700023784</v>
      </c>
      <c r="W78" s="1279">
        <v>0.2</v>
      </c>
      <c r="X78" s="1449">
        <v>355</v>
      </c>
      <c r="Y78" s="1277">
        <f t="shared" si="3"/>
        <v>33.294894366197184</v>
      </c>
      <c r="Z78" s="244">
        <f t="shared" si="24"/>
        <v>13.502996</v>
      </c>
      <c r="AA78" s="244">
        <f t="shared" si="24"/>
        <v>37.369123999999999</v>
      </c>
      <c r="AB78" s="1277">
        <f t="shared" si="24"/>
        <v>167.96</v>
      </c>
      <c r="AC78" s="244">
        <f t="shared" si="25"/>
        <v>12.438721006804712</v>
      </c>
      <c r="AD78" s="1277">
        <f t="shared" si="25"/>
        <v>63.865901700023784</v>
      </c>
      <c r="AE78" s="241">
        <v>31</v>
      </c>
      <c r="AF78" s="244">
        <f t="shared" si="26"/>
        <v>418.59287599999999</v>
      </c>
      <c r="AG78" s="1285"/>
      <c r="AI78" s="1282">
        <f t="shared" si="2"/>
        <v>28.570136299365402</v>
      </c>
      <c r="AJ78" s="1252">
        <v>0.8821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528">
        <v>533.89</v>
      </c>
      <c r="J79" s="1448">
        <v>85</v>
      </c>
      <c r="K79" s="241"/>
      <c r="L79" s="1277">
        <v>58</v>
      </c>
      <c r="M79" s="241"/>
      <c r="N79" s="1278">
        <v>0.9</v>
      </c>
      <c r="O79" s="241"/>
      <c r="P79" s="1278">
        <f t="shared" si="4"/>
        <v>46.826637115453835</v>
      </c>
      <c r="Q79" s="1278">
        <f>(20/100)*J79</f>
        <v>17</v>
      </c>
      <c r="R79" s="244">
        <v>3.14</v>
      </c>
      <c r="S79" s="244">
        <v>16.738</v>
      </c>
      <c r="T79" s="1277">
        <v>44</v>
      </c>
      <c r="U79" s="1278">
        <f t="shared" si="12"/>
        <v>14.012738853503183</v>
      </c>
      <c r="V79" s="1278">
        <f t="shared" si="16"/>
        <v>81.240291552156762</v>
      </c>
      <c r="W79" s="1279">
        <v>0.2</v>
      </c>
      <c r="X79" s="1449">
        <v>85</v>
      </c>
      <c r="Y79" s="1277">
        <f t="shared" si="3"/>
        <v>98.45882352941176</v>
      </c>
      <c r="Z79" s="244">
        <f t="shared" si="24"/>
        <v>3.1023200000000002</v>
      </c>
      <c r="AA79" s="244">
        <f t="shared" si="24"/>
        <v>16.537143999999998</v>
      </c>
      <c r="AB79" s="1277">
        <f t="shared" si="24"/>
        <v>43.472000000000001</v>
      </c>
      <c r="AC79" s="244">
        <f t="shared" si="25"/>
        <v>14.012738853503183</v>
      </c>
      <c r="AD79" s="1277">
        <f t="shared" si="25"/>
        <v>81.240291552156762</v>
      </c>
      <c r="AE79" s="241">
        <f t="shared" si="15"/>
        <v>31</v>
      </c>
      <c r="AF79" s="244">
        <f t="shared" si="26"/>
        <v>96.17192</v>
      </c>
      <c r="AG79" s="1285"/>
      <c r="AI79" s="1282">
        <f t="shared" si="2"/>
        <v>46.826637115453835</v>
      </c>
      <c r="AJ79" s="1252">
        <v>0.90100000000000002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546</v>
      </c>
      <c r="F80" s="241">
        <v>179.8</v>
      </c>
      <c r="G80" s="241" t="s">
        <v>28</v>
      </c>
      <c r="H80" s="1299" t="s">
        <v>565</v>
      </c>
      <c r="I80" s="1528">
        <v>571.08000000000004</v>
      </c>
      <c r="J80" s="1448">
        <v>195</v>
      </c>
      <c r="K80" s="241"/>
      <c r="L80" s="1277">
        <v>455</v>
      </c>
      <c r="M80" s="241"/>
      <c r="N80" s="1278">
        <v>6.1</v>
      </c>
      <c r="O80" s="241"/>
      <c r="P80" s="1278">
        <f t="shared" si="4"/>
        <v>15.865865833108575</v>
      </c>
      <c r="Q80" s="1278">
        <f>(32/100)*J80</f>
        <v>62.4</v>
      </c>
      <c r="R80" s="244">
        <v>10.936</v>
      </c>
      <c r="S80" s="244">
        <v>11.755000000000001</v>
      </c>
      <c r="T80" s="1277">
        <v>387</v>
      </c>
      <c r="U80" s="1278">
        <f t="shared" si="12"/>
        <v>35.387710314557424</v>
      </c>
      <c r="V80" s="1278">
        <f t="shared" si="16"/>
        <v>6.9672479795831634</v>
      </c>
      <c r="W80" s="1279">
        <v>0.2</v>
      </c>
      <c r="X80" s="1449">
        <v>195</v>
      </c>
      <c r="Y80" s="1277">
        <f t="shared" si="3"/>
        <v>18.838141025641029</v>
      </c>
      <c r="Z80" s="244">
        <f t="shared" si="24"/>
        <v>10.804767999999999</v>
      </c>
      <c r="AA80" s="244">
        <f t="shared" si="24"/>
        <v>11.613940000000001</v>
      </c>
      <c r="AB80" s="1277">
        <f t="shared" si="24"/>
        <v>382.35599999999999</v>
      </c>
      <c r="AC80" s="244">
        <f t="shared" si="25"/>
        <v>35.387710314557424</v>
      </c>
      <c r="AD80" s="1277">
        <f t="shared" si="25"/>
        <v>6.9672479795831634</v>
      </c>
      <c r="AE80" s="241">
        <f t="shared" si="15"/>
        <v>31</v>
      </c>
      <c r="AF80" s="244">
        <f t="shared" si="26"/>
        <v>334.94780799999995</v>
      </c>
      <c r="AG80" s="1285"/>
      <c r="AI80" s="1282">
        <f t="shared" si="2"/>
        <v>15.865865833108575</v>
      </c>
      <c r="AJ80" s="1252">
        <v>0.83209999999999995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528">
        <v>664.19</v>
      </c>
      <c r="J81" s="1448">
        <v>165</v>
      </c>
      <c r="K81" s="241"/>
      <c r="L81" s="1277">
        <v>78</v>
      </c>
      <c r="M81" s="241"/>
      <c r="N81" s="1278">
        <v>3.1</v>
      </c>
      <c r="O81" s="241"/>
      <c r="P81" s="1278">
        <f t="shared" si="4"/>
        <v>55.138762978590627</v>
      </c>
      <c r="Q81" s="1278">
        <f>14*J81/100</f>
        <v>23.1</v>
      </c>
      <c r="R81" s="244">
        <v>5.5309999999999997</v>
      </c>
      <c r="S81" s="244">
        <v>5.6840000000000002</v>
      </c>
      <c r="T81" s="1277">
        <v>191</v>
      </c>
      <c r="U81" s="1278">
        <f t="shared" si="12"/>
        <v>34.532634243355631</v>
      </c>
      <c r="V81" s="1278">
        <f t="shared" si="16"/>
        <v>2.6917663617171086</v>
      </c>
      <c r="W81" s="1279">
        <v>0.2</v>
      </c>
      <c r="X81" s="1449">
        <v>165</v>
      </c>
      <c r="Y81" s="1277">
        <f t="shared" si="3"/>
        <v>24.606060606060606</v>
      </c>
      <c r="Z81" s="244">
        <f t="shared" si="24"/>
        <v>5.4646279999999994</v>
      </c>
      <c r="AA81" s="244">
        <f t="shared" si="24"/>
        <v>5.6157919999999999</v>
      </c>
      <c r="AB81" s="1277">
        <f t="shared" si="24"/>
        <v>188.708</v>
      </c>
      <c r="AC81" s="244">
        <f t="shared" si="25"/>
        <v>34.532634243355631</v>
      </c>
      <c r="AD81" s="1277">
        <f t="shared" si="25"/>
        <v>2.6917663617171086</v>
      </c>
      <c r="AE81" s="241">
        <f t="shared" si="15"/>
        <v>31</v>
      </c>
      <c r="AF81" s="244">
        <f t="shared" si="26"/>
        <v>169.40346799999998</v>
      </c>
      <c r="AG81" s="1281"/>
      <c r="AI81" s="1282">
        <f t="shared" si="2"/>
        <v>55.138762978590627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528">
        <v>700</v>
      </c>
      <c r="E82" s="1528" t="s">
        <v>547</v>
      </c>
      <c r="F82" s="241">
        <v>177.8</v>
      </c>
      <c r="G82" s="241" t="s">
        <v>28</v>
      </c>
      <c r="H82" s="241" t="s">
        <v>464</v>
      </c>
      <c r="I82" s="1528">
        <v>608.22</v>
      </c>
      <c r="J82" s="1528">
        <v>0</v>
      </c>
      <c r="K82" s="1528"/>
      <c r="L82" s="1319">
        <v>0</v>
      </c>
      <c r="M82" s="1528"/>
      <c r="N82" s="1278">
        <v>0</v>
      </c>
      <c r="O82" s="1528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3"/>
        <v>0</v>
      </c>
      <c r="Z82" s="244">
        <f t="shared" si="24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528">
        <v>619.66</v>
      </c>
      <c r="E83" s="1528" t="s">
        <v>613</v>
      </c>
      <c r="F83" s="241">
        <v>177.8</v>
      </c>
      <c r="G83" s="241" t="s">
        <v>28</v>
      </c>
      <c r="H83" s="1299" t="s">
        <v>687</v>
      </c>
      <c r="I83" s="1528">
        <v>595.26</v>
      </c>
      <c r="J83" s="1528">
        <v>60</v>
      </c>
      <c r="K83" s="1528"/>
      <c r="L83" s="1319">
        <v>109</v>
      </c>
      <c r="M83" s="1528"/>
      <c r="N83" s="1278">
        <v>0.8</v>
      </c>
      <c r="O83" s="1528"/>
      <c r="P83" s="1278">
        <f t="shared" si="4"/>
        <v>43.503870679544768</v>
      </c>
      <c r="Q83" s="1278">
        <f>(20/100)*J83</f>
        <v>12</v>
      </c>
      <c r="R83" s="244">
        <v>2.7919999999999998</v>
      </c>
      <c r="S83" s="244">
        <v>2.8570000000000002</v>
      </c>
      <c r="T83" s="1319">
        <v>0</v>
      </c>
      <c r="U83" s="244">
        <f t="shared" si="12"/>
        <v>0</v>
      </c>
      <c r="V83" s="1278">
        <f t="shared" si="16"/>
        <v>2.2751137556877978</v>
      </c>
      <c r="W83" s="1279">
        <v>0.2</v>
      </c>
      <c r="X83" s="1410">
        <v>60</v>
      </c>
      <c r="Y83" s="1277">
        <f t="shared" si="3"/>
        <v>23.808333333333334</v>
      </c>
      <c r="Z83" s="244">
        <f t="shared" si="24"/>
        <v>2.7584959999999996</v>
      </c>
      <c r="AA83" s="244">
        <f>S83*0.988</f>
        <v>2.8227160000000002</v>
      </c>
      <c r="AB83" s="1277">
        <f>T83*0.988</f>
        <v>0</v>
      </c>
      <c r="AC83" s="244">
        <f>U83</f>
        <v>0</v>
      </c>
      <c r="AD83" s="244">
        <f>V83</f>
        <v>2.2751137556877978</v>
      </c>
      <c r="AE83" s="241">
        <v>31</v>
      </c>
      <c r="AF83" s="244">
        <f t="shared" si="26"/>
        <v>85.513375999999994</v>
      </c>
      <c r="AG83" s="1281"/>
      <c r="AI83" s="1282">
        <f t="shared" ref="AI83:AI86" si="27">(9.81*(AJ83*(100%-(V83/100))+AK83*(V83/100))*(I83-L83)+N83*101.325+9.81*(AL83)*L83)/101.325</f>
        <v>43.503870679544768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528">
        <v>689.4</v>
      </c>
      <c r="E84" s="1528" t="s">
        <v>616</v>
      </c>
      <c r="F84" s="241">
        <v>177.8</v>
      </c>
      <c r="G84" s="241" t="s">
        <v>28</v>
      </c>
      <c r="H84" s="1299" t="s">
        <v>466</v>
      </c>
      <c r="I84" s="1528">
        <v>604.96</v>
      </c>
      <c r="J84" s="1528">
        <v>0</v>
      </c>
      <c r="K84" s="1528"/>
      <c r="L84" s="1319"/>
      <c r="M84" s="1528"/>
      <c r="N84" s="1278"/>
      <c r="O84" s="1528"/>
      <c r="P84" s="1278">
        <f t="shared" si="4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8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7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28">
        <v>577.12</v>
      </c>
      <c r="E85" s="1528" t="s">
        <v>614</v>
      </c>
      <c r="F85" s="241">
        <v>177.8</v>
      </c>
      <c r="G85" s="241" t="s">
        <v>28</v>
      </c>
      <c r="H85" s="241" t="s">
        <v>464</v>
      </c>
      <c r="I85" s="1528">
        <v>537.30999999999995</v>
      </c>
      <c r="J85" s="1528">
        <v>255</v>
      </c>
      <c r="K85" s="1528"/>
      <c r="L85" s="1319">
        <v>480</v>
      </c>
      <c r="M85" s="1528"/>
      <c r="N85" s="1278">
        <v>0.1</v>
      </c>
      <c r="O85" s="1528"/>
      <c r="P85" s="1278">
        <f t="shared" ref="P85:P86" si="29">AI85</f>
        <v>5.6192608611329593</v>
      </c>
      <c r="Q85" s="1278">
        <f>RIGHT(H85,(FIND("T",H85,1)-0))*J85/100</f>
        <v>35.700000000000003</v>
      </c>
      <c r="R85" s="244">
        <v>5.1120000000000001</v>
      </c>
      <c r="S85" s="244">
        <v>8.1790000000000003</v>
      </c>
      <c r="T85" s="1319">
        <v>4</v>
      </c>
      <c r="U85" s="244">
        <f t="shared" ref="U85" si="30">IF(R85=0,0,T85/R85)</f>
        <v>0.78247261345852892</v>
      </c>
      <c r="V85" s="1278">
        <f t="shared" si="16"/>
        <v>37.498471695806337</v>
      </c>
      <c r="W85" s="1279">
        <v>0.2</v>
      </c>
      <c r="X85" s="1410">
        <v>255</v>
      </c>
      <c r="Y85" s="1277">
        <f t="shared" si="28"/>
        <v>22.910364145658264</v>
      </c>
      <c r="Z85" s="244">
        <f t="shared" ref="Z85:AB86" si="31">R85*0.988</f>
        <v>5.050656</v>
      </c>
      <c r="AA85" s="244">
        <f t="shared" si="31"/>
        <v>8.0808520000000001</v>
      </c>
      <c r="AB85" s="1277">
        <f t="shared" si="31"/>
        <v>3.952</v>
      </c>
      <c r="AC85" s="244">
        <f>U85</f>
        <v>0.78247261345852892</v>
      </c>
      <c r="AD85" s="244">
        <v>24.363</v>
      </c>
      <c r="AE85" s="241">
        <f t="shared" si="15"/>
        <v>31</v>
      </c>
      <c r="AF85" s="244">
        <f>Z85*AE85</f>
        <v>156.570336</v>
      </c>
      <c r="AG85" s="1281"/>
      <c r="AI85" s="1282">
        <f t="shared" si="27"/>
        <v>5.6192608611329593</v>
      </c>
      <c r="AJ85" s="1252">
        <v>0.89900000000000002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528">
        <v>576.27</v>
      </c>
      <c r="J86" s="1448">
        <v>130</v>
      </c>
      <c r="K86" s="241"/>
      <c r="L86" s="1277">
        <v>0</v>
      </c>
      <c r="M86" s="241"/>
      <c r="N86" s="1278">
        <v>5.4</v>
      </c>
      <c r="O86" s="241"/>
      <c r="P86" s="1278">
        <f t="shared" si="29"/>
        <v>61.716292844184579</v>
      </c>
      <c r="Q86" s="1278">
        <f>14*J86/100</f>
        <v>18.2</v>
      </c>
      <c r="R86" s="244">
        <v>2.165</v>
      </c>
      <c r="S86" s="244">
        <v>23.791</v>
      </c>
      <c r="T86" s="1277">
        <v>6</v>
      </c>
      <c r="U86" s="1278">
        <f t="shared" si="12"/>
        <v>2.7713625866050808</v>
      </c>
      <c r="V86" s="1278">
        <f t="shared" si="16"/>
        <v>90.899920137867269</v>
      </c>
      <c r="W86" s="1279">
        <v>0.5</v>
      </c>
      <c r="X86" s="1449">
        <v>130</v>
      </c>
      <c r="Y86" s="1277">
        <f t="shared" si="28"/>
        <v>130.71978021978023</v>
      </c>
      <c r="Z86" s="244">
        <f t="shared" si="31"/>
        <v>2.1390199999999999</v>
      </c>
      <c r="AA86" s="244">
        <f t="shared" si="31"/>
        <v>23.505507999999999</v>
      </c>
      <c r="AB86" s="1277">
        <f t="shared" si="31"/>
        <v>5.9279999999999999</v>
      </c>
      <c r="AC86" s="244">
        <f>U86</f>
        <v>2.7713625866050808</v>
      </c>
      <c r="AD86" s="1277">
        <f>V86</f>
        <v>90.899920137867269</v>
      </c>
      <c r="AE86" s="241">
        <f t="shared" si="15"/>
        <v>31</v>
      </c>
      <c r="AF86" s="244">
        <f>Z86*AE86</f>
        <v>66.309619999999995</v>
      </c>
      <c r="AG86" s="1285"/>
      <c r="AI86" s="1282">
        <f t="shared" si="27"/>
        <v>61.716292844184579</v>
      </c>
      <c r="AJ86" s="1252">
        <v>0.92330000000000001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528"/>
      <c r="E87" s="1528"/>
      <c r="F87" s="1274"/>
      <c r="G87" s="241"/>
      <c r="H87" s="241"/>
      <c r="I87" s="1528"/>
      <c r="J87" s="1528"/>
      <c r="K87" s="1528"/>
      <c r="L87" s="1528"/>
      <c r="M87" s="1528"/>
      <c r="N87" s="241"/>
      <c r="O87" s="1528"/>
      <c r="P87" s="1278"/>
      <c r="Q87" s="1269"/>
      <c r="R87" s="1348">
        <f>SUM(R19:R86)</f>
        <v>339.97299999999996</v>
      </c>
      <c r="S87" s="1348">
        <f>SUM(S19:S86)</f>
        <v>1027.231</v>
      </c>
      <c r="T87" s="1349">
        <f>SUM(T19:T86)</f>
        <v>3981.3089999999993</v>
      </c>
      <c r="U87" s="1348">
        <f>T87/R87</f>
        <v>11.710662317301667</v>
      </c>
      <c r="V87" s="1348"/>
      <c r="W87" s="1350"/>
      <c r="X87" s="1410"/>
      <c r="Y87" s="1348"/>
      <c r="Z87" s="1348">
        <f>SUM(Z19:Z86)</f>
        <v>334.21825199999995</v>
      </c>
      <c r="AA87" s="1348">
        <f>SUM(AA19:AA86)</f>
        <v>1015.3502559999999</v>
      </c>
      <c r="AB87" s="1351">
        <f>SUM(AB19:AB86)</f>
        <v>3933.5332920000014</v>
      </c>
      <c r="AC87" s="1348">
        <f>AB87/Z87</f>
        <v>11.769355109905852</v>
      </c>
      <c r="AD87" s="1348"/>
      <c r="AE87" s="1302"/>
      <c r="AF87" s="1348">
        <f>SUM(AF19:AF86)</f>
        <v>10360.765812000003</v>
      </c>
      <c r="AG87" s="1281"/>
      <c r="AI87" s="1282"/>
    </row>
    <row r="88" spans="1:38" ht="18.75" customHeight="1" x14ac:dyDescent="0.2">
      <c r="A88" s="1347"/>
      <c r="B88" s="241"/>
      <c r="C88" s="241"/>
      <c r="D88" s="1528"/>
      <c r="E88" s="1528"/>
      <c r="F88" s="1274"/>
      <c r="G88" s="241"/>
      <c r="H88" s="241"/>
      <c r="I88" s="1528"/>
      <c r="J88" s="1528"/>
      <c r="K88" s="1528"/>
      <c r="L88" s="1528"/>
      <c r="M88" s="1528"/>
      <c r="N88" s="241"/>
      <c r="O88" s="1528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528"/>
      <c r="E89" s="1527" t="s">
        <v>388</v>
      </c>
      <c r="F89" s="1274"/>
      <c r="G89" s="241"/>
      <c r="H89" s="241"/>
      <c r="I89" s="1528"/>
      <c r="J89" s="1528"/>
      <c r="K89" s="1528"/>
      <c r="L89" s="1528"/>
      <c r="M89" s="1528"/>
      <c r="N89" s="241"/>
      <c r="O89" s="1528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528">
        <v>737.21</v>
      </c>
      <c r="E90" s="1528" t="s">
        <v>507</v>
      </c>
      <c r="F90" s="241">
        <v>177.8</v>
      </c>
      <c r="G90" s="241" t="s">
        <v>28</v>
      </c>
      <c r="H90" s="1354" t="s">
        <v>466</v>
      </c>
      <c r="I90" s="1528">
        <v>680.94</v>
      </c>
      <c r="J90" s="1528"/>
      <c r="K90" s="1528"/>
      <c r="L90" s="1528"/>
      <c r="M90" s="1528"/>
      <c r="N90" s="241"/>
      <c r="O90" s="1528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2">R90*0.988</f>
        <v>0</v>
      </c>
      <c r="AA90" s="244">
        <f t="shared" si="32"/>
        <v>0</v>
      </c>
      <c r="AB90" s="1277">
        <f t="shared" si="32"/>
        <v>0</v>
      </c>
      <c r="AC90" s="244">
        <f t="shared" ref="AC90:AD93" si="33">U90</f>
        <v>0</v>
      </c>
      <c r="AD90" s="244">
        <f t="shared" si="33"/>
        <v>0</v>
      </c>
      <c r="AE90" s="241">
        <f>(DAY(EOMONTH($AH$17,0))-AH90)</f>
        <v>31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528">
        <v>695.15</v>
      </c>
      <c r="E91" s="1528" t="s">
        <v>508</v>
      </c>
      <c r="F91" s="1274">
        <v>177.8</v>
      </c>
      <c r="G91" s="241" t="s">
        <v>28</v>
      </c>
      <c r="H91" s="241" t="s">
        <v>491</v>
      </c>
      <c r="I91" s="1528">
        <v>658.9</v>
      </c>
      <c r="J91" s="1528"/>
      <c r="K91" s="1528"/>
      <c r="L91" s="1528"/>
      <c r="M91" s="1528"/>
      <c r="N91" s="241"/>
      <c r="O91" s="1528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2"/>
        <v>0</v>
      </c>
      <c r="AA91" s="244">
        <f t="shared" si="32"/>
        <v>0</v>
      </c>
      <c r="AB91" s="1277">
        <f t="shared" si="32"/>
        <v>0</v>
      </c>
      <c r="AC91" s="244">
        <f t="shared" si="33"/>
        <v>0</v>
      </c>
      <c r="AD91" s="244">
        <f t="shared" si="33"/>
        <v>0</v>
      </c>
      <c r="AE91" s="241">
        <f>(DAY(EOMONTH($AH$17,0))-AH91)</f>
        <v>31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528">
        <v>685.69</v>
      </c>
      <c r="E92" s="1528" t="s">
        <v>579</v>
      </c>
      <c r="F92" s="241">
        <v>177.8</v>
      </c>
      <c r="G92" s="241" t="s">
        <v>28</v>
      </c>
      <c r="H92" s="1299" t="s">
        <v>466</v>
      </c>
      <c r="I92" s="1528">
        <v>639.97</v>
      </c>
      <c r="J92" s="1528"/>
      <c r="K92" s="1528"/>
      <c r="L92" s="1528"/>
      <c r="M92" s="1528"/>
      <c r="N92" s="241"/>
      <c r="O92" s="1528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2"/>
        <v>0</v>
      </c>
      <c r="AA92" s="244">
        <f t="shared" si="32"/>
        <v>0</v>
      </c>
      <c r="AB92" s="1277">
        <f t="shared" si="32"/>
        <v>0</v>
      </c>
      <c r="AC92" s="244">
        <f t="shared" si="33"/>
        <v>0</v>
      </c>
      <c r="AD92" s="244">
        <f t="shared" si="33"/>
        <v>0</v>
      </c>
      <c r="AE92" s="241">
        <f t="shared" ref="AE92:AE93" si="34">(DAY(EOMONTH($AH$17,0))-AH92)</f>
        <v>31</v>
      </c>
      <c r="AF92" s="244">
        <f t="shared" ref="AF92:AF93" si="35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528">
        <v>9.5</v>
      </c>
      <c r="J93" s="1528"/>
      <c r="K93" s="1528"/>
      <c r="L93" s="1528"/>
      <c r="M93" s="1528"/>
      <c r="N93" s="241"/>
      <c r="O93" s="1528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2"/>
        <v>0</v>
      </c>
      <c r="AA93" s="244">
        <f t="shared" si="32"/>
        <v>0</v>
      </c>
      <c r="AB93" s="1277">
        <f t="shared" si="32"/>
        <v>0</v>
      </c>
      <c r="AC93" s="244">
        <f t="shared" si="33"/>
        <v>0</v>
      </c>
      <c r="AD93" s="244">
        <f t="shared" si="33"/>
        <v>0</v>
      </c>
      <c r="AE93" s="241">
        <f t="shared" si="34"/>
        <v>31</v>
      </c>
      <c r="AF93" s="244">
        <f t="shared" si="35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528"/>
      <c r="K94" s="1528"/>
      <c r="L94" s="1528"/>
      <c r="M94" s="1528"/>
      <c r="N94" s="1528"/>
      <c r="O94" s="1528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528"/>
      <c r="K95" s="1528"/>
      <c r="L95" s="1528"/>
      <c r="M95" s="1528"/>
      <c r="N95" s="1528"/>
      <c r="O95" s="1528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528">
        <v>183.38</v>
      </c>
      <c r="J96" s="1528">
        <v>0</v>
      </c>
      <c r="K96" s="241">
        <v>0</v>
      </c>
      <c r="L96" s="241"/>
      <c r="M96" s="241">
        <v>0</v>
      </c>
      <c r="N96" s="241"/>
      <c r="O96" s="241"/>
      <c r="P96" s="1278">
        <f t="shared" ref="P96:P101" si="36">AI96</f>
        <v>16.420982671798672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" si="37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38">R96*0.988</f>
        <v>0</v>
      </c>
      <c r="AA96" s="244">
        <f t="shared" si="38"/>
        <v>0</v>
      </c>
      <c r="AB96" s="244">
        <f t="shared" si="38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39">Z96*AE96</f>
        <v>0</v>
      </c>
      <c r="AG96" s="1285"/>
      <c r="AI96" s="1282">
        <f t="shared" ref="AI96:AI101" si="40">(9.81*(AJ96*(100%-(V96/100))+AK96*(V96/100))*(I96-L96)+N96*101.325+9.81*(AL96)*L96)/101.325</f>
        <v>16.420982671798672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528">
        <v>136.35</v>
      </c>
      <c r="J97" s="1528">
        <v>205</v>
      </c>
      <c r="K97" s="1528"/>
      <c r="L97" s="1319">
        <v>53</v>
      </c>
      <c r="M97" s="1528"/>
      <c r="N97" s="1278">
        <v>0</v>
      </c>
      <c r="O97" s="1528"/>
      <c r="P97" s="1278">
        <f t="shared" si="36"/>
        <v>7.7419378563265875</v>
      </c>
      <c r="Q97" s="1278">
        <f>(22*J97)/100</f>
        <v>45.1</v>
      </c>
      <c r="R97" s="244">
        <v>14.759</v>
      </c>
      <c r="S97" s="244">
        <v>22.786999999999999</v>
      </c>
      <c r="T97" s="1319">
        <v>0</v>
      </c>
      <c r="U97" s="244">
        <f>T97/R97</f>
        <v>0</v>
      </c>
      <c r="V97" s="1278">
        <f t="shared" ref="V97:V100" si="41">(S97-R97)/S97*100</f>
        <v>35.230613946548466</v>
      </c>
      <c r="W97" s="1279">
        <v>0.2</v>
      </c>
      <c r="X97" s="1455">
        <v>205</v>
      </c>
      <c r="Y97" s="1277">
        <f t="shared" ref="Y97:Y105" si="42">IF(S97=0,0,S97/Q97)*100</f>
        <v>50.525498891352548</v>
      </c>
      <c r="Z97" s="244">
        <f t="shared" si="38"/>
        <v>14.581892</v>
      </c>
      <c r="AA97" s="244">
        <f t="shared" si="38"/>
        <v>22.513555999999998</v>
      </c>
      <c r="AB97" s="244">
        <f t="shared" si="38"/>
        <v>0</v>
      </c>
      <c r="AC97" s="244">
        <f>U97</f>
        <v>0</v>
      </c>
      <c r="AD97" s="244">
        <f>V97</f>
        <v>35.230613946548466</v>
      </c>
      <c r="AE97" s="241">
        <v>0</v>
      </c>
      <c r="AF97" s="244">
        <f>Z97*AE97</f>
        <v>0</v>
      </c>
      <c r="AG97" s="1285"/>
      <c r="AI97" s="1282">
        <f t="shared" si="40"/>
        <v>7.7419378563265875</v>
      </c>
      <c r="AJ97" s="1252">
        <v>0.93130000000000002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528">
        <v>130.11000000000001</v>
      </c>
      <c r="J98" s="1528">
        <v>250</v>
      </c>
      <c r="K98" s="1528"/>
      <c r="L98" s="1319">
        <v>86</v>
      </c>
      <c r="M98" s="1528"/>
      <c r="N98" s="1278">
        <v>0</v>
      </c>
      <c r="O98" s="1528"/>
      <c r="P98" s="1278">
        <f t="shared" si="36"/>
        <v>4.0359588278929586</v>
      </c>
      <c r="Q98" s="1278">
        <f>(15*J98)/100</f>
        <v>37.5</v>
      </c>
      <c r="R98" s="244">
        <v>9.8390000000000004</v>
      </c>
      <c r="S98" s="244">
        <v>10.069000000000001</v>
      </c>
      <c r="T98" s="1319">
        <v>0</v>
      </c>
      <c r="U98" s="244">
        <f>T98/R98</f>
        <v>0</v>
      </c>
      <c r="V98" s="1278">
        <f t="shared" si="41"/>
        <v>2.2842387526070156</v>
      </c>
      <c r="W98" s="1279">
        <v>0.2</v>
      </c>
      <c r="X98" s="1316">
        <v>250</v>
      </c>
      <c r="Y98" s="1277">
        <f t="shared" si="42"/>
        <v>26.850666666666669</v>
      </c>
      <c r="Z98" s="244">
        <f t="shared" si="38"/>
        <v>9.7209319999999995</v>
      </c>
      <c r="AA98" s="244">
        <f t="shared" si="38"/>
        <v>9.9481720000000013</v>
      </c>
      <c r="AB98" s="244">
        <f t="shared" si="38"/>
        <v>0</v>
      </c>
      <c r="AC98" s="244">
        <v>0</v>
      </c>
      <c r="AD98" s="244">
        <f>V98</f>
        <v>2.2842387526070156</v>
      </c>
      <c r="AE98" s="241">
        <v>0</v>
      </c>
      <c r="AF98" s="244">
        <f t="shared" si="39"/>
        <v>0</v>
      </c>
      <c r="AG98" s="1285"/>
      <c r="AI98" s="1282">
        <f t="shared" si="40"/>
        <v>4.0359588278929586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528">
        <v>134.24</v>
      </c>
      <c r="J99" s="1528">
        <v>225</v>
      </c>
      <c r="K99" s="1528"/>
      <c r="L99" s="1319">
        <v>57</v>
      </c>
      <c r="M99" s="1528"/>
      <c r="N99" s="1278">
        <v>0</v>
      </c>
      <c r="O99" s="1528"/>
      <c r="P99" s="1278">
        <f t="shared" si="36"/>
        <v>7.0498664021625395</v>
      </c>
      <c r="Q99" s="1278">
        <f>LEFT(H99,(FIND("E",H99,1)-1))*J99/100</f>
        <v>29.25</v>
      </c>
      <c r="R99" s="244">
        <v>11.353</v>
      </c>
      <c r="S99" s="244">
        <v>12.534000000000001</v>
      </c>
      <c r="T99" s="1319">
        <v>0</v>
      </c>
      <c r="U99" s="244">
        <v>0</v>
      </c>
      <c r="V99" s="1278">
        <f t="shared" si="41"/>
        <v>9.4223711504707257</v>
      </c>
      <c r="W99" s="1279">
        <v>0.2</v>
      </c>
      <c r="X99" s="1316">
        <v>225</v>
      </c>
      <c r="Y99" s="1277">
        <f t="shared" si="42"/>
        <v>42.851282051282055</v>
      </c>
      <c r="Z99" s="244">
        <f t="shared" si="38"/>
        <v>11.216764</v>
      </c>
      <c r="AA99" s="244">
        <f t="shared" si="38"/>
        <v>12.383592</v>
      </c>
      <c r="AB99" s="244">
        <f t="shared" si="38"/>
        <v>0</v>
      </c>
      <c r="AC99" s="244">
        <v>0</v>
      </c>
      <c r="AD99" s="244">
        <v>47</v>
      </c>
      <c r="AE99" s="241">
        <v>0</v>
      </c>
      <c r="AF99" s="244">
        <f t="shared" si="39"/>
        <v>0</v>
      </c>
      <c r="AG99" s="1281"/>
      <c r="AI99" s="1282">
        <f t="shared" si="40"/>
        <v>7.0498664021625395</v>
      </c>
      <c r="AJ99" s="1252">
        <v>0.93179999999999996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28">
        <v>200</v>
      </c>
      <c r="K100" s="1528"/>
      <c r="L100" s="1319">
        <v>105</v>
      </c>
      <c r="M100" s="1528"/>
      <c r="N100" s="1278">
        <v>0.9</v>
      </c>
      <c r="O100" s="1528"/>
      <c r="P100" s="1278">
        <f t="shared" si="36"/>
        <v>5.0388568252437498</v>
      </c>
      <c r="Q100" s="1278">
        <f>(14*J100)/100</f>
        <v>28</v>
      </c>
      <c r="R100" s="244">
        <v>9.2870000000000008</v>
      </c>
      <c r="S100" s="244">
        <v>10.243</v>
      </c>
      <c r="T100" s="1319">
        <v>0</v>
      </c>
      <c r="U100" s="244">
        <f>T100/R100</f>
        <v>0</v>
      </c>
      <c r="V100" s="1278">
        <f t="shared" si="41"/>
        <v>9.3332031631357957</v>
      </c>
      <c r="W100" s="1279">
        <v>0.2</v>
      </c>
      <c r="X100" s="1316">
        <v>200</v>
      </c>
      <c r="Y100" s="1277">
        <f t="shared" si="42"/>
        <v>36.582142857142856</v>
      </c>
      <c r="Z100" s="244">
        <f t="shared" si="38"/>
        <v>9.1755560000000003</v>
      </c>
      <c r="AA100" s="244">
        <f t="shared" si="38"/>
        <v>10.120084</v>
      </c>
      <c r="AB100" s="244">
        <f t="shared" si="38"/>
        <v>0</v>
      </c>
      <c r="AC100" s="244">
        <f>U100</f>
        <v>0</v>
      </c>
      <c r="AD100" s="244">
        <f>V100</f>
        <v>9.3332031631357957</v>
      </c>
      <c r="AE100" s="241">
        <v>0</v>
      </c>
      <c r="AF100" s="244">
        <f t="shared" si="39"/>
        <v>0</v>
      </c>
      <c r="AG100" s="1363"/>
      <c r="AI100" s="1282">
        <f t="shared" si="40"/>
        <v>5.0388568252437498</v>
      </c>
      <c r="AJ100" s="1252">
        <v>0.93220000000000003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140</v>
      </c>
      <c r="K101" s="1302"/>
      <c r="L101" s="1277">
        <v>48</v>
      </c>
      <c r="M101" s="1302"/>
      <c r="N101" s="241">
        <v>1.2</v>
      </c>
      <c r="O101" s="1302"/>
      <c r="P101" s="1278">
        <f t="shared" si="36"/>
        <v>15.762259617440085</v>
      </c>
      <c r="Q101" s="1269">
        <f>(13*J101)/100</f>
        <v>18.2</v>
      </c>
      <c r="R101" s="244">
        <v>6.9660000000000002</v>
      </c>
      <c r="S101" s="244">
        <v>9.4879999999999995</v>
      </c>
      <c r="T101" s="244">
        <v>0</v>
      </c>
      <c r="U101" s="244">
        <f>T101/R101</f>
        <v>0</v>
      </c>
      <c r="V101" s="1278">
        <f>(S101-R101)/S101*100</f>
        <v>26.580944350758845</v>
      </c>
      <c r="W101" s="1355">
        <v>0.2</v>
      </c>
      <c r="X101" s="1316">
        <v>140</v>
      </c>
      <c r="Y101" s="1277">
        <f t="shared" si="42"/>
        <v>52.131868131868131</v>
      </c>
      <c r="Z101" s="244">
        <f t="shared" si="38"/>
        <v>6.8824079999999999</v>
      </c>
      <c r="AA101" s="244">
        <f t="shared" si="38"/>
        <v>9.3741439999999994</v>
      </c>
      <c r="AB101" s="244">
        <f t="shared" si="38"/>
        <v>0</v>
      </c>
      <c r="AC101" s="244">
        <f>U101</f>
        <v>0</v>
      </c>
      <c r="AD101" s="244">
        <f>V101</f>
        <v>26.580944350758845</v>
      </c>
      <c r="AE101" s="241">
        <v>0</v>
      </c>
      <c r="AF101" s="244">
        <f t="shared" si="39"/>
        <v>0</v>
      </c>
      <c r="AG101" s="1363"/>
      <c r="AI101" s="1282">
        <f t="shared" si="40"/>
        <v>15.762259617440085</v>
      </c>
      <c r="AJ101" s="1252">
        <v>0.92779999999999996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2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2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528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3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2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528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3"/>
        <v>0</v>
      </c>
      <c r="V105" s="1278">
        <v>0.3</v>
      </c>
      <c r="W105" s="1279">
        <v>0.3</v>
      </c>
      <c r="X105" s="1449">
        <v>0</v>
      </c>
      <c r="Y105" s="1277">
        <f t="shared" si="42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528"/>
      <c r="G106" s="1525"/>
      <c r="H106" s="1527"/>
      <c r="I106" s="1527"/>
      <c r="J106" s="1528"/>
      <c r="K106" s="1528"/>
      <c r="L106" s="1528"/>
      <c r="M106" s="1528"/>
      <c r="N106" s="1528"/>
      <c r="O106" s="1528"/>
      <c r="P106" s="1269"/>
      <c r="Q106" s="1269"/>
      <c r="R106" s="1348">
        <f>SUM(R97:R103)</f>
        <v>52.204000000000001</v>
      </c>
      <c r="S106" s="1348">
        <f>SUM(S97:S103)</f>
        <v>65.121000000000009</v>
      </c>
      <c r="T106" s="1348">
        <f>SUM(T97:T100)</f>
        <v>0</v>
      </c>
      <c r="U106" s="1348">
        <f>SUM(U97:U100)</f>
        <v>0</v>
      </c>
      <c r="V106" s="1525"/>
      <c r="W106" s="1526"/>
      <c r="X106" s="1410"/>
      <c r="Y106" s="1525"/>
      <c r="Z106" s="1348">
        <f>SUM(Z97:Z103)</f>
        <v>51.577551999999997</v>
      </c>
      <c r="AA106" s="1348">
        <f>SUM(AA97:AA103)</f>
        <v>64.339547999999994</v>
      </c>
      <c r="AB106" s="1348">
        <f>SUM(AB97:AB100)</f>
        <v>0</v>
      </c>
      <c r="AC106" s="1348">
        <f>AB106/Z106</f>
        <v>0</v>
      </c>
      <c r="AD106" s="1525"/>
      <c r="AE106" s="1528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525"/>
      <c r="H108" s="1527"/>
      <c r="I108" s="1527"/>
      <c r="J108" s="1528"/>
      <c r="K108" s="1528"/>
      <c r="L108" s="1528"/>
      <c r="M108" s="1528"/>
      <c r="N108" s="1528"/>
      <c r="O108" s="1528"/>
      <c r="P108" s="1269"/>
      <c r="Q108" s="1269"/>
      <c r="R108" s="1528"/>
      <c r="S108" s="1528"/>
      <c r="T108" s="1528"/>
      <c r="U108" s="1525"/>
      <c r="V108" s="1525"/>
      <c r="W108" s="1526"/>
      <c r="X108" s="1410"/>
      <c r="Y108" s="1525"/>
      <c r="Z108" s="1528"/>
      <c r="AA108" s="1528"/>
      <c r="AB108" s="1528"/>
      <c r="AC108" s="1525"/>
      <c r="AD108" s="1525"/>
      <c r="AE108" s="1528"/>
      <c r="AF108" s="1528"/>
      <c r="AG108" s="1530"/>
    </row>
    <row r="109" spans="1:38" ht="18.75" customHeight="1" x14ac:dyDescent="0.2">
      <c r="A109" s="1273">
        <v>83</v>
      </c>
      <c r="B109" s="1317" t="s">
        <v>107</v>
      </c>
      <c r="C109" s="1528" t="s">
        <v>109</v>
      </c>
      <c r="D109" s="1528"/>
      <c r="E109" s="1528"/>
      <c r="F109" s="1528"/>
      <c r="G109" s="1525"/>
      <c r="H109" s="1527"/>
      <c r="I109" s="1527"/>
      <c r="J109" s="1528"/>
      <c r="K109" s="1528"/>
      <c r="L109" s="1528"/>
      <c r="M109" s="1528"/>
      <c r="N109" s="1528"/>
      <c r="O109" s="1528"/>
      <c r="P109" s="1269"/>
      <c r="Q109" s="1269"/>
      <c r="R109" s="1528"/>
      <c r="S109" s="1528"/>
      <c r="T109" s="1528"/>
      <c r="U109" s="1525"/>
      <c r="V109" s="1525"/>
      <c r="W109" s="1526"/>
      <c r="X109" s="1410"/>
      <c r="Y109" s="1525"/>
      <c r="Z109" s="1527"/>
      <c r="AA109" s="1527"/>
      <c r="AB109" s="1528"/>
      <c r="AC109" s="1525"/>
      <c r="AD109" s="1525"/>
      <c r="AE109" s="1373"/>
      <c r="AF109" s="1528"/>
      <c r="AG109" s="1530"/>
    </row>
    <row r="110" spans="1:38" ht="18.75" customHeight="1" x14ac:dyDescent="0.2">
      <c r="A110" s="1273">
        <v>84</v>
      </c>
      <c r="B110" s="1317" t="s">
        <v>108</v>
      </c>
      <c r="C110" s="1528" t="s">
        <v>109</v>
      </c>
      <c r="D110" s="1528"/>
      <c r="E110" s="1528"/>
      <c r="F110" s="1528"/>
      <c r="G110" s="1525"/>
      <c r="H110" s="1527"/>
      <c r="I110" s="1527"/>
      <c r="J110" s="1528"/>
      <c r="K110" s="1528"/>
      <c r="L110" s="1528"/>
      <c r="M110" s="1528"/>
      <c r="N110" s="1528"/>
      <c r="O110" s="1528"/>
      <c r="P110" s="1269"/>
      <c r="Q110" s="1269"/>
      <c r="R110" s="1301"/>
      <c r="S110" s="1528"/>
      <c r="T110" s="1528"/>
      <c r="U110" s="1525"/>
      <c r="V110" s="1525"/>
      <c r="W110" s="1526"/>
      <c r="X110" s="1410"/>
      <c r="Y110" s="1525"/>
      <c r="Z110" s="1527"/>
      <c r="AA110" s="1527"/>
      <c r="AB110" s="1528"/>
      <c r="AC110" s="1525"/>
      <c r="AD110" s="1525"/>
      <c r="AE110" s="1373"/>
      <c r="AF110" s="1528"/>
      <c r="AG110" s="1530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528"/>
      <c r="E111" s="1528"/>
      <c r="F111" s="1528"/>
      <c r="G111" s="1525"/>
      <c r="H111" s="1527"/>
      <c r="I111" s="1527"/>
      <c r="J111" s="1528"/>
      <c r="K111" s="1528"/>
      <c r="L111" s="1528"/>
      <c r="M111" s="1528"/>
      <c r="N111" s="1528"/>
      <c r="O111" s="1528"/>
      <c r="P111" s="1269"/>
      <c r="Q111" s="1269"/>
      <c r="R111" s="1528"/>
      <c r="S111" s="1528"/>
      <c r="T111" s="1528"/>
      <c r="U111" s="1525"/>
      <c r="V111" s="1525"/>
      <c r="W111" s="1526"/>
      <c r="X111" s="1410"/>
      <c r="Y111" s="1525"/>
      <c r="Z111" s="1527"/>
      <c r="AA111" s="1527"/>
      <c r="AB111" s="1528"/>
      <c r="AC111" s="1525"/>
      <c r="AD111" s="1525"/>
      <c r="AE111" s="1373"/>
      <c r="AF111" s="1528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528"/>
      <c r="E112" s="1528"/>
      <c r="F112" s="1528"/>
      <c r="G112" s="1525"/>
      <c r="H112" s="1527"/>
      <c r="I112" s="1527"/>
      <c r="J112" s="1528"/>
      <c r="K112" s="1528"/>
      <c r="L112" s="1528"/>
      <c r="M112" s="1528"/>
      <c r="N112" s="1528"/>
      <c r="O112" s="1528"/>
      <c r="P112" s="1269"/>
      <c r="Q112" s="1269"/>
      <c r="R112" s="1528"/>
      <c r="S112" s="1528"/>
      <c r="T112" s="1528"/>
      <c r="U112" s="1525"/>
      <c r="V112" s="1525"/>
      <c r="W112" s="1526"/>
      <c r="X112" s="1410"/>
      <c r="Y112" s="1525"/>
      <c r="Z112" s="1527"/>
      <c r="AA112" s="1527"/>
      <c r="AB112" s="1528"/>
      <c r="AC112" s="1525"/>
      <c r="AD112" s="1525"/>
      <c r="AE112" s="1373"/>
      <c r="AF112" s="1528"/>
      <c r="AG112" s="1285"/>
    </row>
    <row r="113" spans="1:33" ht="18.75" customHeight="1" x14ac:dyDescent="0.2">
      <c r="A113" s="1273"/>
      <c r="B113" s="1262"/>
      <c r="C113" s="1371"/>
      <c r="D113" s="1371"/>
      <c r="E113" s="1527" t="s">
        <v>278</v>
      </c>
      <c r="F113" s="1371"/>
      <c r="G113" s="1525"/>
      <c r="H113" s="1527"/>
      <c r="I113" s="1527"/>
      <c r="J113" s="1528"/>
      <c r="K113" s="1528"/>
      <c r="L113" s="1528"/>
      <c r="M113" s="1528"/>
      <c r="N113" s="1528"/>
      <c r="O113" s="1528"/>
      <c r="P113" s="1269"/>
      <c r="Q113" s="1269"/>
      <c r="R113" s="1528"/>
      <c r="S113" s="1528"/>
      <c r="T113" s="1528"/>
      <c r="U113" s="1525"/>
      <c r="V113" s="1525"/>
      <c r="W113" s="1526"/>
      <c r="X113" s="1410"/>
      <c r="Y113" s="1525"/>
      <c r="Z113" s="1301"/>
      <c r="AA113" s="1528"/>
      <c r="AB113" s="1528"/>
      <c r="AC113" s="1525"/>
      <c r="AD113" s="1525"/>
      <c r="AE113" s="1528"/>
      <c r="AF113" s="1528"/>
      <c r="AG113" s="1530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528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528">
        <v>625.1</v>
      </c>
      <c r="E115" s="1528" t="s">
        <v>578</v>
      </c>
      <c r="F115" s="241">
        <v>177.8</v>
      </c>
      <c r="G115" s="241"/>
      <c r="H115" s="241"/>
      <c r="I115" s="244"/>
      <c r="J115" s="1528"/>
      <c r="K115" s="1528"/>
      <c r="L115" s="1528"/>
      <c r="M115" s="1528"/>
      <c r="N115" s="1528"/>
      <c r="O115" s="1528"/>
      <c r="P115" s="1269"/>
      <c r="Q115" s="1269"/>
      <c r="R115" s="1528"/>
      <c r="S115" s="1528"/>
      <c r="T115" s="1528"/>
      <c r="U115" s="1525"/>
      <c r="V115" s="1525"/>
      <c r="W115" s="1526"/>
      <c r="X115" s="1410"/>
      <c r="Y115" s="1376"/>
      <c r="Z115" s="1319"/>
      <c r="AA115" s="1528"/>
      <c r="AB115" s="1528"/>
      <c r="AC115" s="1525"/>
      <c r="AD115" s="1528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528"/>
      <c r="J116" s="1528"/>
      <c r="K116" s="1528"/>
      <c r="L116" s="1528"/>
      <c r="M116" s="1528"/>
      <c r="N116" s="1528"/>
      <c r="O116" s="1528"/>
      <c r="P116" s="1269"/>
      <c r="Q116" s="1270"/>
      <c r="R116" s="1528"/>
      <c r="S116" s="1528"/>
      <c r="T116" s="1528"/>
      <c r="U116" s="1525"/>
      <c r="V116" s="1525"/>
      <c r="W116" s="1526"/>
      <c r="X116" s="1410"/>
      <c r="Y116" s="1376"/>
      <c r="Z116" s="1319"/>
      <c r="AA116" s="1528"/>
      <c r="AB116" s="1528"/>
      <c r="AC116" s="1525"/>
      <c r="AD116" s="1528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528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528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521"/>
      <c r="C119" s="1521"/>
      <c r="D119" s="1521"/>
      <c r="E119" s="1522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392.17699999999996</v>
      </c>
      <c r="S119" s="1386">
        <f>S87+S94+S106</f>
        <v>1092.3520000000001</v>
      </c>
      <c r="T119" s="1387">
        <f>T87+T94+T106</f>
        <v>3981.3089999999993</v>
      </c>
      <c r="U119" s="1386">
        <f>T119/R119</f>
        <v>10.151816654214805</v>
      </c>
      <c r="V119" s="1386"/>
      <c r="W119" s="1388"/>
      <c r="X119" s="1456"/>
      <c r="Y119" s="1386"/>
      <c r="Z119" s="1386">
        <f>Z87+Z94+Z106</f>
        <v>385.79580399999998</v>
      </c>
      <c r="AA119" s="1386">
        <f>AA87+AA106+AA94</f>
        <v>1079.6898039999999</v>
      </c>
      <c r="AB119" s="1387">
        <f>AB87+AB106+AB94</f>
        <v>3933.5332920000014</v>
      </c>
      <c r="AC119" s="1386">
        <f>AC87+AC106+AC94</f>
        <v>11.769355109905852</v>
      </c>
      <c r="AD119" s="1386"/>
      <c r="AE119" s="1386"/>
      <c r="AF119" s="1390">
        <f>AF87+AF94+AF106</f>
        <v>10360.765812000003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529"/>
      <c r="D121" s="148"/>
      <c r="E121" s="1394">
        <v>0.95</v>
      </c>
      <c r="F121" s="148"/>
      <c r="G121" s="148" t="s">
        <v>102</v>
      </c>
      <c r="H121" s="1529"/>
      <c r="I121" s="1395"/>
      <c r="J121" s="148"/>
      <c r="K121" s="1983">
        <f>AF119*E121</f>
        <v>9842.7275214000019</v>
      </c>
      <c r="L121" s="1984"/>
      <c r="M121" s="1984"/>
      <c r="N121" s="1529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529"/>
      <c r="D122" s="148"/>
      <c r="E122" s="154"/>
      <c r="F122" s="148"/>
      <c r="G122" s="148" t="s">
        <v>733</v>
      </c>
      <c r="H122" s="1529"/>
      <c r="I122" s="1395"/>
      <c r="J122" s="148"/>
      <c r="K122" s="1529"/>
      <c r="L122" s="1397"/>
      <c r="M122" s="148">
        <f>K121*0.89</f>
        <v>8760.0274940460022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524"/>
      <c r="Z122" s="1524"/>
      <c r="AA122" s="150"/>
      <c r="AB122" s="1524"/>
      <c r="AC122" s="1524"/>
      <c r="AD122" s="1524"/>
      <c r="AE122" s="1524"/>
      <c r="AF122" s="1524"/>
      <c r="AG122" s="1400"/>
    </row>
    <row r="123" spans="1:33" ht="15" x14ac:dyDescent="0.2">
      <c r="B123" s="148"/>
      <c r="C123" s="1529"/>
      <c r="D123" s="148"/>
      <c r="E123" s="154"/>
      <c r="F123" s="148"/>
      <c r="G123" s="148"/>
      <c r="H123" s="1529"/>
      <c r="I123" s="1395"/>
      <c r="J123" s="148"/>
      <c r="K123" s="1529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524"/>
      <c r="Z123" s="1524"/>
      <c r="AA123" s="1524"/>
      <c r="AB123" s="1524"/>
      <c r="AC123" s="1524"/>
      <c r="AD123" s="1524"/>
      <c r="AE123" s="1524"/>
      <c r="AF123" s="1524"/>
      <c r="AG123" s="1400"/>
    </row>
    <row r="124" spans="1:33" ht="15" x14ac:dyDescent="0.2">
      <c r="B124" s="148"/>
      <c r="C124" s="1529"/>
      <c r="D124" s="148"/>
      <c r="E124" s="154"/>
      <c r="F124" s="148"/>
      <c r="G124" s="148"/>
      <c r="H124" s="1529"/>
      <c r="I124" s="1395"/>
      <c r="J124" s="148"/>
      <c r="K124" s="1529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524"/>
      <c r="Z124" s="1524"/>
      <c r="AA124" s="1524"/>
      <c r="AB124" s="1524"/>
      <c r="AC124" s="1524"/>
      <c r="AD124" s="1524"/>
      <c r="AE124" s="1524"/>
      <c r="AF124" s="1524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529"/>
      <c r="L125" s="1529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524" t="s">
        <v>561</v>
      </c>
      <c r="AD125" s="1524"/>
      <c r="AE125" s="1524"/>
      <c r="AF125" s="1524"/>
      <c r="AG125" s="1524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  <row r="130" spans="5:5" x14ac:dyDescent="0.2">
      <c r="E130" s="1297" t="s">
        <v>755</v>
      </c>
    </row>
  </sheetData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7D18-8650-4F58-8A80-5FEC60DC7481}">
  <dimension ref="A1:AQ129"/>
  <sheetViews>
    <sheetView zoomScale="70" zoomScaleNormal="70" workbookViewId="0">
      <selection activeCell="AH18" sqref="AH18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524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524"/>
      <c r="F2" s="1524"/>
      <c r="G2" s="1517"/>
      <c r="H2" s="1523"/>
      <c r="I2" s="1523"/>
      <c r="J2" s="1523"/>
      <c r="K2" s="1523"/>
      <c r="L2" s="1523"/>
      <c r="M2" s="1523"/>
      <c r="N2" s="1523"/>
      <c r="O2" s="1523"/>
      <c r="P2" s="1523"/>
      <c r="Q2" s="1256"/>
      <c r="R2" s="1524"/>
      <c r="S2" s="1524"/>
      <c r="T2" s="1524"/>
      <c r="U2" s="1524"/>
      <c r="V2" s="1524"/>
      <c r="W2" s="1524"/>
      <c r="X2" s="1523"/>
      <c r="Y2" s="1524"/>
      <c r="Z2" s="1524"/>
      <c r="AA2" s="1524"/>
      <c r="AC2" s="1524"/>
      <c r="AD2" s="1524"/>
      <c r="AE2" s="1524"/>
      <c r="AF2" s="1998" t="s">
        <v>750</v>
      </c>
      <c r="AG2" s="1998"/>
    </row>
    <row r="3" spans="1:38" ht="15.75" x14ac:dyDescent="0.25">
      <c r="A3" s="1408" t="s">
        <v>751</v>
      </c>
      <c r="B3" s="1518"/>
      <c r="C3" s="1518"/>
      <c r="D3" s="1518"/>
      <c r="E3" s="1524"/>
      <c r="F3" s="1524"/>
      <c r="G3" s="1517"/>
      <c r="H3" s="1523"/>
      <c r="I3" s="1523"/>
      <c r="J3" s="1523"/>
      <c r="K3" s="1523"/>
      <c r="L3" s="1523"/>
      <c r="M3" s="1523"/>
      <c r="N3" s="1523"/>
      <c r="O3" s="1523"/>
      <c r="P3" s="1523"/>
      <c r="Q3" s="1256"/>
      <c r="R3" s="1524"/>
      <c r="S3" s="1524"/>
      <c r="T3" s="1524"/>
      <c r="U3" s="1524"/>
      <c r="V3" s="1524"/>
      <c r="W3" s="1524"/>
      <c r="X3" s="1523"/>
      <c r="Y3" s="1524"/>
      <c r="Z3" s="1524"/>
      <c r="AA3" s="1524"/>
      <c r="AB3" s="1524"/>
      <c r="AC3" s="1260"/>
      <c r="AE3" s="1222"/>
      <c r="AF3" s="1523" t="s">
        <v>739</v>
      </c>
      <c r="AG3" s="1494"/>
    </row>
    <row r="4" spans="1:38" ht="15" x14ac:dyDescent="0.25">
      <c r="A4" s="1976"/>
      <c r="B4" s="1976"/>
      <c r="C4" s="1976"/>
      <c r="D4" s="1976"/>
      <c r="E4" s="1519"/>
      <c r="F4" s="1524"/>
      <c r="G4" s="1517"/>
      <c r="H4" s="1517"/>
      <c r="I4" s="1523"/>
      <c r="J4" s="1523"/>
      <c r="K4" s="1523"/>
      <c r="L4" s="1523"/>
      <c r="M4" s="1523"/>
      <c r="N4" s="1523"/>
      <c r="O4" s="1523"/>
      <c r="P4" s="1523"/>
      <c r="Q4" s="1256"/>
      <c r="R4" s="1516"/>
      <c r="S4" s="1516"/>
      <c r="T4" s="1516"/>
      <c r="U4" s="1516"/>
      <c r="V4" s="1516"/>
      <c r="W4" s="1516"/>
      <c r="X4" s="1523"/>
      <c r="Y4" s="1524"/>
      <c r="Z4" s="1524"/>
      <c r="AB4" s="1524"/>
      <c r="AD4" s="1524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524"/>
      <c r="F5" s="1524"/>
      <c r="G5" s="1517"/>
      <c r="H5" s="1517"/>
      <c r="I5" s="1524"/>
      <c r="J5" s="1524"/>
      <c r="K5" s="1517"/>
      <c r="L5" s="1517"/>
      <c r="M5" s="1524"/>
      <c r="N5" s="1524"/>
      <c r="O5" s="1524"/>
      <c r="P5" s="149"/>
      <c r="Q5" s="1257"/>
      <c r="R5" s="1524"/>
      <c r="S5" s="1524"/>
      <c r="T5" s="1524"/>
      <c r="U5" s="1524"/>
      <c r="V5" s="1524"/>
      <c r="W5" s="1524"/>
      <c r="X5" s="1524"/>
      <c r="Y5" s="1524"/>
      <c r="Z5" s="1524"/>
      <c r="AA5" s="1524"/>
      <c r="AB5" s="1524"/>
      <c r="AC5" s="1524"/>
      <c r="AD5" s="1524"/>
      <c r="AG5" s="151"/>
    </row>
    <row r="6" spans="1:38" ht="27" customHeight="1" x14ac:dyDescent="0.2">
      <c r="A6" s="1942"/>
      <c r="B6" s="1942"/>
      <c r="C6" s="1942"/>
      <c r="D6" s="1942"/>
      <c r="E6" s="1524"/>
      <c r="F6" s="1524"/>
      <c r="G6" s="1517"/>
      <c r="H6" s="1517"/>
      <c r="I6" s="1524"/>
      <c r="J6" s="1524"/>
      <c r="K6" s="1517"/>
      <c r="L6" s="1517"/>
      <c r="M6" s="1524"/>
      <c r="N6" s="1524"/>
      <c r="O6" s="1524"/>
      <c r="P6" s="149"/>
      <c r="Q6" s="1257"/>
      <c r="R6" s="1524"/>
      <c r="S6" s="1524"/>
      <c r="T6" s="1524"/>
      <c r="U6" s="1524"/>
      <c r="V6" s="1524"/>
      <c r="W6" s="1524"/>
      <c r="X6" s="1524"/>
      <c r="Y6" s="1524"/>
      <c r="Z6" s="1524"/>
      <c r="AA6" s="1524"/>
      <c r="AB6" s="1524"/>
      <c r="AC6" s="1524"/>
      <c r="AD6" s="1524"/>
      <c r="AE6" s="1524"/>
      <c r="AF6" s="1524"/>
    </row>
    <row r="7" spans="1:38" ht="27" customHeight="1" x14ac:dyDescent="0.2">
      <c r="A7" s="1942" t="s">
        <v>54</v>
      </c>
      <c r="B7" s="1942"/>
      <c r="C7" s="1942"/>
      <c r="D7" s="1942"/>
      <c r="E7" s="1524"/>
      <c r="F7" s="1524"/>
      <c r="G7" s="1517"/>
      <c r="H7" s="1517"/>
      <c r="I7" s="1524"/>
      <c r="J7" s="1524"/>
      <c r="K7" s="1517"/>
      <c r="L7" s="1517"/>
      <c r="M7" s="1524"/>
      <c r="N7" s="1524"/>
      <c r="O7" s="1524"/>
      <c r="P7" s="149"/>
      <c r="Q7" s="1257"/>
      <c r="R7" s="1524"/>
      <c r="S7" s="1524"/>
      <c r="T7" s="1524"/>
      <c r="U7" s="1524"/>
      <c r="V7" s="1524"/>
      <c r="W7" s="1524"/>
      <c r="X7" s="1524"/>
      <c r="Y7" s="1524"/>
      <c r="Z7" s="1524"/>
      <c r="AA7" s="1524"/>
      <c r="AB7" s="1524"/>
      <c r="AC7" s="1524"/>
      <c r="AD7" s="1524"/>
      <c r="AE7" s="1524"/>
      <c r="AF7" s="1524"/>
    </row>
    <row r="8" spans="1:38" ht="27" customHeight="1" x14ac:dyDescent="0.2">
      <c r="A8" s="1977" t="s">
        <v>736</v>
      </c>
      <c r="B8" s="1977"/>
      <c r="C8" s="1977"/>
      <c r="D8" s="1977"/>
      <c r="E8" s="1524"/>
      <c r="F8" s="1524"/>
      <c r="G8" s="1517"/>
      <c r="H8" s="1517"/>
      <c r="I8" s="1524"/>
      <c r="J8" s="1524"/>
      <c r="K8" s="1517"/>
      <c r="L8" s="1517"/>
      <c r="M8" s="1524"/>
      <c r="N8" s="1524"/>
      <c r="O8" s="1524"/>
      <c r="P8" s="149"/>
      <c r="Q8" s="1257"/>
      <c r="R8" s="1524"/>
      <c r="S8" s="1524"/>
      <c r="T8" s="1524"/>
      <c r="U8" s="1524"/>
      <c r="V8" s="1524"/>
      <c r="W8" s="1524"/>
      <c r="X8" s="1524"/>
      <c r="Y8" s="1524"/>
      <c r="Z8" s="1524"/>
      <c r="AA8" s="1524"/>
      <c r="AB8" s="1524"/>
      <c r="AC8" s="1524"/>
      <c r="AD8" s="1524"/>
      <c r="AE8" s="1524"/>
      <c r="AF8" s="1524"/>
    </row>
    <row r="9" spans="1:38" ht="27" customHeight="1" x14ac:dyDescent="0.2">
      <c r="A9" s="1408" t="s">
        <v>737</v>
      </c>
      <c r="B9" s="1518"/>
      <c r="C9" s="1518"/>
      <c r="D9" s="1518"/>
      <c r="E9" s="1524"/>
      <c r="F9" s="1524"/>
      <c r="G9" s="1517"/>
      <c r="H9" s="1517"/>
      <c r="I9" s="1524"/>
      <c r="J9" s="1524"/>
      <c r="K9" s="1517"/>
      <c r="L9" s="1517"/>
      <c r="M9" s="1524"/>
      <c r="N9" s="1524"/>
      <c r="O9" s="1524"/>
      <c r="P9" s="149"/>
      <c r="Q9" s="1257"/>
      <c r="R9" s="1524"/>
      <c r="S9" s="1524"/>
      <c r="T9" s="1524"/>
      <c r="U9" s="1524"/>
      <c r="V9" s="1524"/>
      <c r="W9" s="1524"/>
      <c r="X9" s="1524"/>
      <c r="Y9" s="1524"/>
      <c r="Z9" s="1524"/>
      <c r="AA9" s="1524"/>
      <c r="AB9" s="1524"/>
      <c r="AC9" s="1524"/>
      <c r="AD9" s="1524"/>
      <c r="AE9" s="1524"/>
      <c r="AF9" s="1524"/>
    </row>
    <row r="10" spans="1:38" ht="27" customHeight="1" x14ac:dyDescent="0.2">
      <c r="A10" s="1976"/>
      <c r="B10" s="1976"/>
      <c r="C10" s="1976"/>
      <c r="D10" s="1976"/>
      <c r="E10" s="1519"/>
      <c r="F10" s="1524"/>
      <c r="G10" s="1517"/>
      <c r="H10" s="1517"/>
      <c r="I10" s="1524"/>
      <c r="J10" s="1524"/>
      <c r="K10" s="1517"/>
      <c r="L10" s="1517"/>
      <c r="M10" s="1524"/>
      <c r="N10" s="1524"/>
      <c r="O10" s="1524"/>
      <c r="P10" s="149"/>
      <c r="Q10" s="1257"/>
      <c r="R10" s="1524"/>
      <c r="S10" s="1524"/>
      <c r="T10" s="1524"/>
      <c r="U10" s="1524"/>
      <c r="V10" s="1524"/>
      <c r="W10" s="1524"/>
      <c r="X10" s="1524"/>
      <c r="Y10" s="1524"/>
      <c r="Z10" s="1524"/>
      <c r="AA10" s="1524"/>
      <c r="AB10" s="1524"/>
      <c r="AC10" s="1524"/>
      <c r="AD10" s="1524"/>
      <c r="AE10" s="1524"/>
      <c r="AF10" s="1524"/>
    </row>
    <row r="11" spans="1:38" ht="27" customHeight="1" x14ac:dyDescent="0.2">
      <c r="A11" s="1976" t="s">
        <v>740</v>
      </c>
      <c r="B11" s="1976"/>
      <c r="C11" s="1976"/>
      <c r="D11" s="1976"/>
      <c r="E11" s="1524"/>
      <c r="F11" s="1524"/>
      <c r="G11" s="1517"/>
      <c r="H11" s="1517"/>
      <c r="I11" s="1524"/>
      <c r="J11" s="1524"/>
      <c r="K11" s="1517"/>
      <c r="L11" s="1517"/>
      <c r="M11" s="1524"/>
      <c r="N11" s="1524"/>
      <c r="O11" s="1524"/>
      <c r="P11" s="149"/>
      <c r="Q11" s="1257"/>
      <c r="R11" s="1524"/>
      <c r="S11" s="1524"/>
      <c r="T11" s="1524"/>
      <c r="U11" s="1524"/>
      <c r="V11" s="1524"/>
      <c r="W11" s="1524"/>
      <c r="X11" s="1524"/>
      <c r="Y11" s="1524"/>
      <c r="Z11" s="1524"/>
      <c r="AA11" s="1524"/>
      <c r="AB11" s="1524"/>
      <c r="AC11" s="1524"/>
      <c r="AD11" s="1524"/>
      <c r="AE11" s="1524"/>
      <c r="AF11" s="1524"/>
    </row>
    <row r="12" spans="1:38" ht="27" customHeight="1" x14ac:dyDescent="0.2">
      <c r="A12" s="1520"/>
      <c r="B12" s="1520"/>
      <c r="C12" s="1520"/>
      <c r="D12" s="1520"/>
      <c r="E12" s="1524"/>
      <c r="F12" s="1524"/>
      <c r="G12" s="1517"/>
      <c r="H12" s="1517"/>
      <c r="I12" s="1524"/>
      <c r="J12" s="1524"/>
      <c r="K12" s="1517"/>
      <c r="L12" s="1517"/>
      <c r="M12" s="1524"/>
      <c r="N12" s="1524"/>
      <c r="O12" s="1524"/>
      <c r="P12" s="149"/>
      <c r="Q12" s="1257"/>
      <c r="R12" s="1524"/>
      <c r="S12" s="1524"/>
      <c r="T12" s="1524"/>
      <c r="U12" s="1524"/>
      <c r="V12" s="1524"/>
      <c r="W12" s="1524"/>
      <c r="X12" s="1524"/>
      <c r="Y12" s="1524"/>
      <c r="Z12" s="1524"/>
      <c r="AA12" s="1524"/>
      <c r="AB12" s="1524"/>
      <c r="AC12" s="1524"/>
      <c r="AD12" s="1524"/>
      <c r="AE12" s="1524"/>
      <c r="AF12" s="1524"/>
    </row>
    <row r="13" spans="1:38" ht="32.25" customHeight="1" x14ac:dyDescent="0.25">
      <c r="A13" s="1976"/>
      <c r="B13" s="1976"/>
      <c r="C13" s="1976"/>
      <c r="D13" s="1976"/>
      <c r="E13" s="1519"/>
      <c r="F13" s="1524"/>
      <c r="G13" s="1517"/>
      <c r="H13" s="1517"/>
      <c r="I13" s="140"/>
      <c r="J13" s="1524"/>
      <c r="K13" s="1517"/>
      <c r="L13" s="1517"/>
      <c r="M13" s="1524"/>
      <c r="N13" s="1524"/>
      <c r="O13" s="1524"/>
      <c r="P13" s="149"/>
      <c r="Q13" s="1257"/>
      <c r="R13" s="1524"/>
      <c r="S13" s="1524"/>
      <c r="T13" s="1524"/>
      <c r="U13" s="1524"/>
      <c r="V13" s="1524"/>
      <c r="W13" s="147"/>
      <c r="X13" s="1524"/>
      <c r="Y13" s="1524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517"/>
      <c r="C14" s="1517"/>
      <c r="D14" s="1517"/>
      <c r="E14" s="1524"/>
      <c r="F14" s="1524"/>
      <c r="G14" s="1517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524"/>
      <c r="Z14" s="148"/>
      <c r="AA14" s="148"/>
      <c r="AB14" s="148"/>
      <c r="AC14" s="148"/>
    </row>
    <row r="15" spans="1:38" ht="31.5" customHeight="1" thickBot="1" x14ac:dyDescent="0.25">
      <c r="B15" s="1517"/>
      <c r="C15" s="1517"/>
      <c r="D15" s="1517"/>
      <c r="E15" s="1524"/>
      <c r="F15" s="1524"/>
      <c r="G15" s="1517"/>
      <c r="H15" s="1517"/>
      <c r="I15" s="140"/>
      <c r="J15" s="1964" t="s">
        <v>749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524"/>
      <c r="Y15" s="1524"/>
      <c r="Z15" s="148"/>
      <c r="AA15" s="148"/>
      <c r="AB15" s="148"/>
      <c r="AC15" s="148"/>
      <c r="AD15" s="1524"/>
      <c r="AE15" s="1524"/>
      <c r="AF15" s="1524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525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525" t="s">
        <v>18</v>
      </c>
      <c r="AF17" s="1525" t="s">
        <v>20</v>
      </c>
      <c r="AG17" s="1967" t="s">
        <v>21</v>
      </c>
      <c r="AH17" s="1267">
        <v>44986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528" t="s">
        <v>3</v>
      </c>
      <c r="J18" s="1528" t="s">
        <v>7</v>
      </c>
      <c r="K18" s="1528" t="s">
        <v>30</v>
      </c>
      <c r="L18" s="1528" t="s">
        <v>29</v>
      </c>
      <c r="M18" s="1528" t="s">
        <v>31</v>
      </c>
      <c r="N18" s="1528" t="s">
        <v>32</v>
      </c>
      <c r="O18" s="1528" t="s">
        <v>12</v>
      </c>
      <c r="P18" s="1269" t="s">
        <v>673</v>
      </c>
      <c r="Q18" s="1270" t="s">
        <v>26</v>
      </c>
      <c r="R18" s="1528" t="s">
        <v>675</v>
      </c>
      <c r="S18" s="1528" t="s">
        <v>25</v>
      </c>
      <c r="T18" s="1528" t="s">
        <v>676</v>
      </c>
      <c r="U18" s="1968"/>
      <c r="V18" s="1968"/>
      <c r="W18" s="1987"/>
      <c r="X18" s="1410" t="s">
        <v>7</v>
      </c>
      <c r="Y18" s="1968"/>
      <c r="Z18" s="1528" t="s">
        <v>14</v>
      </c>
      <c r="AA18" s="1528" t="s">
        <v>679</v>
      </c>
      <c r="AB18" s="1528" t="s">
        <v>113</v>
      </c>
      <c r="AC18" s="1968"/>
      <c r="AD18" s="1968"/>
      <c r="AE18" s="1528" t="s">
        <v>19</v>
      </c>
      <c r="AF18" s="1528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528">
        <v>557.80999999999995</v>
      </c>
      <c r="J19" s="1448">
        <v>195</v>
      </c>
      <c r="K19" s="241"/>
      <c r="L19" s="1277">
        <v>422</v>
      </c>
      <c r="M19" s="241"/>
      <c r="N19" s="1278">
        <v>1.4</v>
      </c>
      <c r="O19" s="241"/>
      <c r="P19" s="1278">
        <f>AI19</f>
        <v>14.438489829279014</v>
      </c>
      <c r="Q19" s="1278">
        <f>LEFT(H19,(FIND("Е",H19,1)-1))*J19/100</f>
        <v>25.35</v>
      </c>
      <c r="R19" s="244">
        <v>3.702</v>
      </c>
      <c r="S19" s="244">
        <v>14.180999999999999</v>
      </c>
      <c r="T19" s="1277">
        <v>23.5</v>
      </c>
      <c r="U19" s="1278">
        <f t="shared" ref="U19:U37" si="0">IF(R19=0,0,T19/R19)</f>
        <v>6.3479200432198812</v>
      </c>
      <c r="V19" s="1278">
        <f>(S19-R19)/S19*100</f>
        <v>73.894647768140459</v>
      </c>
      <c r="W19" s="1279">
        <v>0.2</v>
      </c>
      <c r="X19" s="1449">
        <v>195</v>
      </c>
      <c r="Y19" s="1277">
        <f>IF(S19=0,0,S19/Q19)*100</f>
        <v>55.940828402366861</v>
      </c>
      <c r="Z19" s="244">
        <f>R19*0.988</f>
        <v>3.6575759999999997</v>
      </c>
      <c r="AA19" s="244">
        <f>S19*0.988</f>
        <v>14.010827999999998</v>
      </c>
      <c r="AB19" s="1277">
        <f>T19*0.988</f>
        <v>23.218</v>
      </c>
      <c r="AC19" s="244">
        <f>U19</f>
        <v>6.3479200432198812</v>
      </c>
      <c r="AD19" s="1277">
        <f>V19</f>
        <v>73.894647768140459</v>
      </c>
      <c r="AE19" s="241">
        <f>(DAY(EOMONTH($AH$17,0))-AH19)</f>
        <v>31</v>
      </c>
      <c r="AF19" s="244">
        <f t="shared" ref="AF19:AF63" si="1">Z19*AE19</f>
        <v>113.38485599999998</v>
      </c>
      <c r="AG19" s="1281"/>
      <c r="AI19" s="1282">
        <f t="shared" ref="AI19:AI82" si="2">(9.81*(AJ19*(100%-(V19/100))+AK19*(V19/100))*(I19-L19)+N19*101.325+9.81*(AL19)*L19)/101.325</f>
        <v>14.438489829279014</v>
      </c>
      <c r="AJ19" s="1252">
        <v>0.90790000000000004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528">
        <v>563.55999999999995</v>
      </c>
      <c r="J20" s="241"/>
      <c r="K20" s="241"/>
      <c r="L20" s="1277"/>
      <c r="M20" s="241"/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3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748</v>
      </c>
      <c r="I21" s="1528">
        <v>569.63</v>
      </c>
      <c r="J21" s="241">
        <v>320</v>
      </c>
      <c r="K21" s="241"/>
      <c r="L21" s="1277">
        <v>492</v>
      </c>
      <c r="M21" s="241"/>
      <c r="N21" s="1278">
        <v>8.1999999999999993</v>
      </c>
      <c r="O21" s="241"/>
      <c r="P21" s="1278">
        <f t="shared" ref="P21:P84" si="4">AI21</f>
        <v>15.330071381099826</v>
      </c>
      <c r="Q21" s="1278">
        <f>RIGHT(H21,(FIND("T",H21,1)-0))*J21/100</f>
        <v>64</v>
      </c>
      <c r="R21" s="244">
        <v>11.936</v>
      </c>
      <c r="S21" s="244">
        <v>21.061</v>
      </c>
      <c r="T21" s="1277">
        <v>8.6999999999999993</v>
      </c>
      <c r="U21" s="1278">
        <f t="shared" si="0"/>
        <v>0.72888739946380687</v>
      </c>
      <c r="V21" s="1278">
        <f t="shared" ref="V21:V55" si="5">(S21-R21)/S21*100</f>
        <v>43.326527705237169</v>
      </c>
      <c r="W21" s="1279">
        <v>0.2</v>
      </c>
      <c r="X21" s="1316">
        <v>320</v>
      </c>
      <c r="Y21" s="1277">
        <f t="shared" si="3"/>
        <v>32.907812499999999</v>
      </c>
      <c r="Z21" s="244">
        <f t="shared" ref="Z21:AB36" si="6">R21*0.988</f>
        <v>11.792768000000001</v>
      </c>
      <c r="AA21" s="244">
        <f t="shared" si="6"/>
        <v>20.808267999999998</v>
      </c>
      <c r="AB21" s="1277">
        <f t="shared" si="6"/>
        <v>8.5955999999999992</v>
      </c>
      <c r="AC21" s="244">
        <f t="shared" ref="AC21:AD36" si="7">U21</f>
        <v>0.72888739946380687</v>
      </c>
      <c r="AD21" s="1277">
        <f t="shared" si="7"/>
        <v>43.326527705237169</v>
      </c>
      <c r="AE21" s="241">
        <f t="shared" ref="AE21:AE42" si="8">(DAY(EOMONTH($AH$17,0))-AH21)</f>
        <v>31</v>
      </c>
      <c r="AF21" s="244">
        <f t="shared" si="1"/>
        <v>365.57580799999999</v>
      </c>
      <c r="AG21" s="1281"/>
      <c r="AI21" s="1282">
        <f t="shared" si="2"/>
        <v>15.330071381099826</v>
      </c>
      <c r="AJ21" s="1252">
        <v>0.87260000000000004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528">
        <v>544.29999999999995</v>
      </c>
      <c r="J22" s="241">
        <v>180</v>
      </c>
      <c r="K22" s="241"/>
      <c r="L22" s="1277">
        <v>442</v>
      </c>
      <c r="M22" s="241"/>
      <c r="N22" s="1278">
        <v>4.4000000000000004</v>
      </c>
      <c r="O22" s="241"/>
      <c r="P22" s="1278">
        <f t="shared" si="4"/>
        <v>13.858185176654965</v>
      </c>
      <c r="Q22" s="1278">
        <f t="shared" ref="Q22:Q27" si="9">RIGHT(H22,(FIND("T",H22,1)-0))*J22/100</f>
        <v>25.2</v>
      </c>
      <c r="R22" s="244">
        <v>7.5220000000000002</v>
      </c>
      <c r="S22" s="244">
        <v>14.016</v>
      </c>
      <c r="T22" s="1277">
        <v>116</v>
      </c>
      <c r="U22" s="1278">
        <f t="shared" si="0"/>
        <v>15.421430470619516</v>
      </c>
      <c r="V22" s="1278">
        <f t="shared" si="5"/>
        <v>46.332762557077622</v>
      </c>
      <c r="W22" s="1279">
        <v>0.23</v>
      </c>
      <c r="X22" s="1316">
        <v>180</v>
      </c>
      <c r="Y22" s="1277">
        <f t="shared" si="3"/>
        <v>55.61904761904762</v>
      </c>
      <c r="Z22" s="244">
        <f t="shared" si="6"/>
        <v>7.4317359999999999</v>
      </c>
      <c r="AA22" s="244">
        <f t="shared" si="6"/>
        <v>13.847808000000001</v>
      </c>
      <c r="AB22" s="1277">
        <f t="shared" si="6"/>
        <v>114.608</v>
      </c>
      <c r="AC22" s="244">
        <f t="shared" si="7"/>
        <v>15.421430470619516</v>
      </c>
      <c r="AD22" s="1277">
        <f t="shared" si="7"/>
        <v>46.332762557077622</v>
      </c>
      <c r="AE22" s="241">
        <f t="shared" si="8"/>
        <v>31</v>
      </c>
      <c r="AF22" s="244">
        <f t="shared" si="1"/>
        <v>230.383816</v>
      </c>
      <c r="AG22" s="1281"/>
      <c r="AI22" s="1282">
        <f t="shared" si="2"/>
        <v>13.858185176654965</v>
      </c>
      <c r="AJ22" s="1252">
        <v>0.89459999999999995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528">
        <v>548.32000000000005</v>
      </c>
      <c r="J23" s="241">
        <v>135</v>
      </c>
      <c r="K23" s="241"/>
      <c r="L23" s="1277">
        <v>427</v>
      </c>
      <c r="M23" s="241"/>
      <c r="N23" s="1278">
        <v>2.5</v>
      </c>
      <c r="O23" s="241"/>
      <c r="P23" s="1278">
        <f t="shared" si="4"/>
        <v>13.327572603544613</v>
      </c>
      <c r="Q23" s="1278">
        <f t="shared" si="9"/>
        <v>18.899999999999999</v>
      </c>
      <c r="R23" s="244">
        <v>3.3730000000000002</v>
      </c>
      <c r="S23" s="244">
        <v>3.8290000000000002</v>
      </c>
      <c r="T23" s="1277">
        <v>55.3</v>
      </c>
      <c r="U23" s="1278">
        <f t="shared" si="0"/>
        <v>16.394900681885559</v>
      </c>
      <c r="V23" s="1278">
        <f t="shared" si="5"/>
        <v>11.909114651344996</v>
      </c>
      <c r="W23" s="1279">
        <v>0.2</v>
      </c>
      <c r="X23" s="1316">
        <v>135</v>
      </c>
      <c r="Y23" s="1277">
        <f t="shared" si="3"/>
        <v>20.259259259259263</v>
      </c>
      <c r="Z23" s="244">
        <f t="shared" si="6"/>
        <v>3.3325240000000003</v>
      </c>
      <c r="AA23" s="244">
        <f t="shared" si="6"/>
        <v>3.7830520000000001</v>
      </c>
      <c r="AB23" s="1277">
        <f t="shared" si="6"/>
        <v>54.636399999999995</v>
      </c>
      <c r="AC23" s="244">
        <f t="shared" si="7"/>
        <v>16.394900681885559</v>
      </c>
      <c r="AD23" s="1277">
        <f t="shared" si="7"/>
        <v>11.909114651344996</v>
      </c>
      <c r="AE23" s="241">
        <f t="shared" si="8"/>
        <v>31</v>
      </c>
      <c r="AF23" s="244">
        <f t="shared" si="1"/>
        <v>103.308244</v>
      </c>
      <c r="AG23" s="1281"/>
      <c r="AI23" s="1282">
        <f t="shared" si="2"/>
        <v>13.327572603544613</v>
      </c>
      <c r="AJ23" s="1252">
        <v>0.90529999999999999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528">
        <v>563.03</v>
      </c>
      <c r="J24" s="241">
        <v>135</v>
      </c>
      <c r="K24" s="241"/>
      <c r="L24" s="1277">
        <v>417</v>
      </c>
      <c r="M24" s="241"/>
      <c r="N24" s="1278">
        <v>1</v>
      </c>
      <c r="O24" s="241"/>
      <c r="P24" s="1278">
        <f t="shared" si="4"/>
        <v>14.526091712405032</v>
      </c>
      <c r="Q24" s="1278">
        <f t="shared" si="9"/>
        <v>18.899999999999999</v>
      </c>
      <c r="R24" s="244">
        <v>4.8620000000000001</v>
      </c>
      <c r="S24" s="244">
        <v>6.6609999999999996</v>
      </c>
      <c r="T24" s="1277">
        <v>29</v>
      </c>
      <c r="U24" s="1278">
        <f t="shared" si="0"/>
        <v>5.9646236116824349</v>
      </c>
      <c r="V24" s="1278">
        <f t="shared" si="5"/>
        <v>27.007956763248753</v>
      </c>
      <c r="W24" s="1279">
        <v>0.2</v>
      </c>
      <c r="X24" s="1316">
        <v>135</v>
      </c>
      <c r="Y24" s="1277">
        <f t="shared" si="3"/>
        <v>35.24338624338624</v>
      </c>
      <c r="Z24" s="244">
        <f t="shared" si="6"/>
        <v>4.8036560000000001</v>
      </c>
      <c r="AA24" s="244">
        <f t="shared" si="6"/>
        <v>6.5810679999999993</v>
      </c>
      <c r="AB24" s="1277">
        <f t="shared" si="6"/>
        <v>28.652000000000001</v>
      </c>
      <c r="AC24" s="244">
        <v>14.613</v>
      </c>
      <c r="AD24" s="1277">
        <f t="shared" si="7"/>
        <v>27.007956763248753</v>
      </c>
      <c r="AE24" s="241">
        <f t="shared" si="8"/>
        <v>31</v>
      </c>
      <c r="AF24" s="244">
        <f t="shared" si="1"/>
        <v>148.91333600000002</v>
      </c>
      <c r="AG24" s="1281"/>
      <c r="AI24" s="1282">
        <f t="shared" si="2"/>
        <v>14.526091712405032</v>
      </c>
      <c r="AJ24" s="1252">
        <v>0.92600000000000005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528">
        <v>556.79999999999995</v>
      </c>
      <c r="J25" s="241">
        <v>85</v>
      </c>
      <c r="K25" s="241"/>
      <c r="L25" s="1277">
        <v>437</v>
      </c>
      <c r="M25" s="241"/>
      <c r="N25" s="1278">
        <v>2.6</v>
      </c>
      <c r="O25" s="241"/>
      <c r="P25" s="1278">
        <f t="shared" si="4"/>
        <v>13.578144013036646</v>
      </c>
      <c r="Q25" s="1278">
        <f t="shared" si="9"/>
        <v>11.9</v>
      </c>
      <c r="R25" s="244">
        <v>4.9669999999999996</v>
      </c>
      <c r="S25" s="244">
        <v>7.5910000000000002</v>
      </c>
      <c r="T25" s="1277">
        <v>9.6</v>
      </c>
      <c r="U25" s="1278">
        <f t="shared" si="0"/>
        <v>1.932756190859674</v>
      </c>
      <c r="V25" s="1278">
        <f t="shared" si="5"/>
        <v>34.567250691608493</v>
      </c>
      <c r="W25" s="1279">
        <v>0.2</v>
      </c>
      <c r="X25" s="1316">
        <v>85</v>
      </c>
      <c r="Y25" s="1277">
        <f t="shared" si="3"/>
        <v>63.789915966386559</v>
      </c>
      <c r="Z25" s="244">
        <f t="shared" si="6"/>
        <v>4.9073959999999994</v>
      </c>
      <c r="AA25" s="244">
        <f t="shared" si="6"/>
        <v>7.4999080000000005</v>
      </c>
      <c r="AB25" s="1277">
        <f t="shared" si="6"/>
        <v>9.4847999999999999</v>
      </c>
      <c r="AC25" s="244">
        <f t="shared" ref="AC25:AD38" si="10">U25</f>
        <v>1.932756190859674</v>
      </c>
      <c r="AD25" s="1277">
        <f t="shared" si="7"/>
        <v>34.567250691608493</v>
      </c>
      <c r="AE25" s="241">
        <f t="shared" si="8"/>
        <v>31</v>
      </c>
      <c r="AF25" s="244">
        <f t="shared" si="1"/>
        <v>152.12927599999998</v>
      </c>
      <c r="AG25" s="1281"/>
      <c r="AI25" s="1282">
        <f t="shared" si="2"/>
        <v>13.578144013036646</v>
      </c>
      <c r="AJ25" s="1252">
        <v>0.90329999999999999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441</v>
      </c>
      <c r="M26" s="1302"/>
      <c r="N26" s="1278">
        <v>3.6</v>
      </c>
      <c r="O26" s="1302"/>
      <c r="P26" s="1278">
        <f t="shared" si="4"/>
        <v>14.197605141769738</v>
      </c>
      <c r="Q26" s="1278">
        <f t="shared" si="9"/>
        <v>20</v>
      </c>
      <c r="R26" s="244">
        <v>4.8390000000000004</v>
      </c>
      <c r="S26" s="244">
        <v>14.228</v>
      </c>
      <c r="T26" s="1277">
        <v>45</v>
      </c>
      <c r="U26" s="1278">
        <f t="shared" si="0"/>
        <v>9.299442033477991</v>
      </c>
      <c r="V26" s="1278">
        <f t="shared" si="5"/>
        <v>65.989597975822321</v>
      </c>
      <c r="W26" s="1279">
        <v>0.2</v>
      </c>
      <c r="X26" s="1316">
        <v>100</v>
      </c>
      <c r="Y26" s="1277">
        <f t="shared" si="3"/>
        <v>71.14</v>
      </c>
      <c r="Z26" s="244">
        <f t="shared" si="6"/>
        <v>4.780932</v>
      </c>
      <c r="AA26" s="244">
        <f t="shared" si="6"/>
        <v>14.057264</v>
      </c>
      <c r="AB26" s="1277">
        <f t="shared" si="6"/>
        <v>44.46</v>
      </c>
      <c r="AC26" s="244">
        <f t="shared" si="10"/>
        <v>9.299442033477991</v>
      </c>
      <c r="AD26" s="1277">
        <f t="shared" si="7"/>
        <v>65.989597975822321</v>
      </c>
      <c r="AE26" s="241">
        <f t="shared" si="8"/>
        <v>31</v>
      </c>
      <c r="AF26" s="244">
        <f t="shared" si="1"/>
        <v>148.20889199999999</v>
      </c>
      <c r="AG26" s="1281"/>
      <c r="AI26" s="1282">
        <f t="shared" si="2"/>
        <v>14.197605141769738</v>
      </c>
      <c r="AJ26" s="1252">
        <v>0.89549999999999996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528">
        <v>569.48</v>
      </c>
      <c r="J27" s="241">
        <v>150</v>
      </c>
      <c r="K27" s="241"/>
      <c r="L27" s="1277">
        <v>452</v>
      </c>
      <c r="M27" s="241"/>
      <c r="N27" s="1278">
        <v>3.2</v>
      </c>
      <c r="O27" s="241"/>
      <c r="P27" s="1278">
        <f t="shared" si="4"/>
        <v>14.404182301920367</v>
      </c>
      <c r="Q27" s="1278">
        <f t="shared" si="9"/>
        <v>30</v>
      </c>
      <c r="R27" s="244">
        <v>6.1120000000000001</v>
      </c>
      <c r="S27" s="244">
        <v>17.852</v>
      </c>
      <c r="T27" s="1277">
        <v>42.5</v>
      </c>
      <c r="U27" s="1278">
        <f t="shared" si="0"/>
        <v>6.9535340314136125</v>
      </c>
      <c r="V27" s="1278">
        <f t="shared" si="5"/>
        <v>65.762939726641264</v>
      </c>
      <c r="W27" s="1279">
        <v>0.2</v>
      </c>
      <c r="X27" s="1316">
        <v>150</v>
      </c>
      <c r="Y27" s="1277">
        <f t="shared" si="3"/>
        <v>59.506666666666661</v>
      </c>
      <c r="Z27" s="244">
        <f t="shared" si="6"/>
        <v>6.0386560000000005</v>
      </c>
      <c r="AA27" s="244">
        <f t="shared" si="6"/>
        <v>17.637775999999999</v>
      </c>
      <c r="AB27" s="1277">
        <f t="shared" si="6"/>
        <v>41.99</v>
      </c>
      <c r="AC27" s="244">
        <f t="shared" si="10"/>
        <v>6.9535340314136125</v>
      </c>
      <c r="AD27" s="1277">
        <f t="shared" si="7"/>
        <v>65.762939726641264</v>
      </c>
      <c r="AE27" s="241">
        <f t="shared" si="8"/>
        <v>31</v>
      </c>
      <c r="AF27" s="244">
        <f t="shared" si="1"/>
        <v>187.19833600000001</v>
      </c>
      <c r="AG27" s="1281"/>
      <c r="AI27" s="1282">
        <f t="shared" si="2"/>
        <v>14.404182301920367</v>
      </c>
      <c r="AJ27" s="1252">
        <v>0.90690000000000004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528">
        <v>568.20000000000005</v>
      </c>
      <c r="J28" s="1448">
        <v>85</v>
      </c>
      <c r="K28" s="241"/>
      <c r="L28" s="1277">
        <v>342</v>
      </c>
      <c r="M28" s="241"/>
      <c r="N28" s="1278">
        <v>0.1</v>
      </c>
      <c r="O28" s="241"/>
      <c r="P28" s="1278">
        <f t="shared" si="4"/>
        <v>21.708105628310946</v>
      </c>
      <c r="Q28" s="1278">
        <f>J28*14/100</f>
        <v>11.9</v>
      </c>
      <c r="R28" s="244">
        <v>3.8839999999999999</v>
      </c>
      <c r="S28" s="244">
        <v>11.148</v>
      </c>
      <c r="T28" s="1277">
        <v>5</v>
      </c>
      <c r="U28" s="1278">
        <f t="shared" si="0"/>
        <v>1.2873326467559219</v>
      </c>
      <c r="V28" s="1278">
        <f t="shared" si="5"/>
        <v>65.159669895945456</v>
      </c>
      <c r="W28" s="1279">
        <v>0.2</v>
      </c>
      <c r="X28" s="1449">
        <v>85</v>
      </c>
      <c r="Y28" s="1277">
        <f t="shared" si="3"/>
        <v>93.680672268907557</v>
      </c>
      <c r="Z28" s="244">
        <v>2.5</v>
      </c>
      <c r="AA28" s="244">
        <f t="shared" si="6"/>
        <v>11.014224</v>
      </c>
      <c r="AB28" s="1277">
        <f t="shared" si="6"/>
        <v>4.9399999999999995</v>
      </c>
      <c r="AC28" s="244">
        <f t="shared" si="10"/>
        <v>1.2873326467559219</v>
      </c>
      <c r="AD28" s="1277">
        <f t="shared" si="7"/>
        <v>65.159669895945456</v>
      </c>
      <c r="AE28" s="241">
        <v>31</v>
      </c>
      <c r="AF28" s="244">
        <f t="shared" si="1"/>
        <v>77.5</v>
      </c>
      <c r="AG28" s="1281"/>
      <c r="AI28" s="1282">
        <f t="shared" si="2"/>
        <v>21.708105628310946</v>
      </c>
      <c r="AJ28" s="1252">
        <v>0.90039999999999998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528">
        <v>593.29</v>
      </c>
      <c r="J29" s="241">
        <v>300</v>
      </c>
      <c r="K29" s="241"/>
      <c r="L29" s="1277">
        <v>443</v>
      </c>
      <c r="M29" s="241"/>
      <c r="N29" s="1278">
        <v>1.8</v>
      </c>
      <c r="O29" s="241"/>
      <c r="P29" s="1278">
        <f t="shared" si="4"/>
        <v>16.680142909381523</v>
      </c>
      <c r="Q29" s="1278">
        <f>(15/100)*J29</f>
        <v>45</v>
      </c>
      <c r="R29" s="244">
        <v>1.675</v>
      </c>
      <c r="S29" s="244">
        <v>8.5640000000000001</v>
      </c>
      <c r="T29" s="1277">
        <v>30.6</v>
      </c>
      <c r="U29" s="1278">
        <f t="shared" si="0"/>
        <v>18.268656716417912</v>
      </c>
      <c r="V29" s="1278">
        <f t="shared" si="5"/>
        <v>80.441382531527324</v>
      </c>
      <c r="W29" s="1279">
        <v>0.27</v>
      </c>
      <c r="X29" s="1316">
        <v>300</v>
      </c>
      <c r="Y29" s="1277">
        <f t="shared" si="3"/>
        <v>19.031111111111112</v>
      </c>
      <c r="Z29" s="244">
        <f t="shared" ref="Z29:AB43" si="11">R29*0.988</f>
        <v>1.6549</v>
      </c>
      <c r="AA29" s="244">
        <f t="shared" si="6"/>
        <v>8.4612320000000008</v>
      </c>
      <c r="AB29" s="1277">
        <f t="shared" si="6"/>
        <v>30.232800000000001</v>
      </c>
      <c r="AC29" s="244">
        <f t="shared" si="10"/>
        <v>18.268656716417912</v>
      </c>
      <c r="AD29" s="1277">
        <f t="shared" si="7"/>
        <v>80.441382531527324</v>
      </c>
      <c r="AE29" s="241">
        <f t="shared" si="8"/>
        <v>31</v>
      </c>
      <c r="AF29" s="244">
        <f t="shared" si="1"/>
        <v>51.301900000000003</v>
      </c>
      <c r="AG29" s="1285"/>
      <c r="AI29" s="1282">
        <f t="shared" si="2"/>
        <v>16.680142909381523</v>
      </c>
      <c r="AJ29" s="1252">
        <v>0.91620000000000001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528" t="s">
        <v>298</v>
      </c>
      <c r="F30" s="241">
        <v>177.8</v>
      </c>
      <c r="G30" s="241" t="s">
        <v>28</v>
      </c>
      <c r="H30" s="1299" t="s">
        <v>687</v>
      </c>
      <c r="I30" s="1528">
        <v>558.21</v>
      </c>
      <c r="J30" s="1448">
        <v>85</v>
      </c>
      <c r="K30" s="241"/>
      <c r="L30" s="1277">
        <v>251</v>
      </c>
      <c r="M30" s="241"/>
      <c r="N30" s="1278">
        <v>0.4</v>
      </c>
      <c r="O30" s="241"/>
      <c r="P30" s="1278">
        <f t="shared" si="4"/>
        <v>30.231706766127648</v>
      </c>
      <c r="Q30" s="1278">
        <f>20*J30/100</f>
        <v>17</v>
      </c>
      <c r="R30" s="244">
        <v>2.4540000000000002</v>
      </c>
      <c r="S30" s="244">
        <v>16.798999999999999</v>
      </c>
      <c r="T30" s="1277">
        <v>41.4</v>
      </c>
      <c r="U30" s="1278">
        <f t="shared" si="0"/>
        <v>16.87041564792176</v>
      </c>
      <c r="V30" s="1278">
        <f t="shared" si="5"/>
        <v>85.391987618310608</v>
      </c>
      <c r="W30" s="1279">
        <v>0.3</v>
      </c>
      <c r="X30" s="1449">
        <v>85</v>
      </c>
      <c r="Y30" s="1277">
        <f t="shared" si="3"/>
        <v>98.817647058823525</v>
      </c>
      <c r="Z30" s="244">
        <f t="shared" si="11"/>
        <v>2.4245520000000003</v>
      </c>
      <c r="AA30" s="244">
        <f t="shared" si="6"/>
        <v>16.597411999999998</v>
      </c>
      <c r="AB30" s="1277">
        <f t="shared" si="6"/>
        <v>40.903199999999998</v>
      </c>
      <c r="AC30" s="244">
        <f t="shared" si="10"/>
        <v>16.87041564792176</v>
      </c>
      <c r="AD30" s="1277">
        <f t="shared" si="7"/>
        <v>85.391987618310608</v>
      </c>
      <c r="AE30" s="241">
        <f t="shared" si="8"/>
        <v>31</v>
      </c>
      <c r="AF30" s="244">
        <f>Z30*AE30</f>
        <v>75.161112000000003</v>
      </c>
      <c r="AG30" s="1285"/>
      <c r="AI30" s="1282">
        <f t="shared" si="2"/>
        <v>30.231706766127648</v>
      </c>
      <c r="AJ30" s="1252">
        <v>0.93420000000000003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528" t="s">
        <v>79</v>
      </c>
      <c r="F31" s="241">
        <v>177.8</v>
      </c>
      <c r="G31" s="241" t="s">
        <v>28</v>
      </c>
      <c r="H31" s="1299" t="s">
        <v>565</v>
      </c>
      <c r="I31" s="1528">
        <v>526.29</v>
      </c>
      <c r="J31" s="1448">
        <v>290</v>
      </c>
      <c r="K31" s="241"/>
      <c r="L31" s="1277">
        <v>271</v>
      </c>
      <c r="M31" s="241"/>
      <c r="N31" s="1278">
        <v>3.6</v>
      </c>
      <c r="O31" s="241"/>
      <c r="P31" s="1278">
        <f t="shared" si="4"/>
        <v>28.311544002700355</v>
      </c>
      <c r="Q31" s="1278">
        <f>LEFT(H31,(FIND("E",H31,1)-1))*J31/100</f>
        <v>92.8</v>
      </c>
      <c r="R31" s="244">
        <v>15.741</v>
      </c>
      <c r="S31" s="244">
        <v>84.856999999999999</v>
      </c>
      <c r="T31" s="1277">
        <v>347</v>
      </c>
      <c r="U31" s="1278">
        <f t="shared" si="0"/>
        <v>22.04434279905978</v>
      </c>
      <c r="V31" s="1278">
        <f t="shared" si="5"/>
        <v>81.449968770991205</v>
      </c>
      <c r="W31" s="1279">
        <v>0.2</v>
      </c>
      <c r="X31" s="1449">
        <v>290</v>
      </c>
      <c r="Y31" s="1277">
        <f t="shared" si="3"/>
        <v>91.440732758620697</v>
      </c>
      <c r="Z31" s="244">
        <f t="shared" si="11"/>
        <v>15.552107999999999</v>
      </c>
      <c r="AA31" s="244">
        <f t="shared" si="6"/>
        <v>83.838716000000005</v>
      </c>
      <c r="AB31" s="1277">
        <f t="shared" si="6"/>
        <v>342.83600000000001</v>
      </c>
      <c r="AC31" s="244">
        <f t="shared" si="10"/>
        <v>22.04434279905978</v>
      </c>
      <c r="AD31" s="1277">
        <f t="shared" si="7"/>
        <v>81.449968770991205</v>
      </c>
      <c r="AE31" s="241">
        <f t="shared" si="8"/>
        <v>31</v>
      </c>
      <c r="AF31" s="244">
        <f>Z31*AE31</f>
        <v>482.11534799999998</v>
      </c>
      <c r="AG31" s="1281"/>
      <c r="AI31" s="1282">
        <f t="shared" si="2"/>
        <v>28.311544002700355</v>
      </c>
      <c r="AJ31" s="1252">
        <v>0.88449999999999995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528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432</v>
      </c>
      <c r="M32" s="241"/>
      <c r="N32" s="1278">
        <v>5.9</v>
      </c>
      <c r="O32" s="241"/>
      <c r="P32" s="1278">
        <f t="shared" si="4"/>
        <v>14.144060143080765</v>
      </c>
      <c r="Q32" s="1278">
        <f>RIGHT(H32,(FIND("T",H32,1)-0))*J32/100</f>
        <v>56</v>
      </c>
      <c r="R32" s="244">
        <v>12.842000000000001</v>
      </c>
      <c r="S32" s="244">
        <v>33.738999999999997</v>
      </c>
      <c r="T32" s="1277">
        <v>350</v>
      </c>
      <c r="U32" s="1278">
        <f t="shared" si="0"/>
        <v>27.25432175673571</v>
      </c>
      <c r="V32" s="1278">
        <f t="shared" si="5"/>
        <v>61.937223984113345</v>
      </c>
      <c r="W32" s="1279">
        <v>0.2</v>
      </c>
      <c r="X32" s="1316">
        <v>280</v>
      </c>
      <c r="Y32" s="1277">
        <f t="shared" si="3"/>
        <v>60.248214285714283</v>
      </c>
      <c r="Z32" s="244">
        <f t="shared" si="11"/>
        <v>12.687896</v>
      </c>
      <c r="AA32" s="244">
        <f t="shared" si="6"/>
        <v>33.334131999999997</v>
      </c>
      <c r="AB32" s="1277">
        <f t="shared" si="6"/>
        <v>345.8</v>
      </c>
      <c r="AC32" s="244">
        <f t="shared" si="10"/>
        <v>27.25432175673571</v>
      </c>
      <c r="AD32" s="1277">
        <f t="shared" si="7"/>
        <v>61.937223984113345</v>
      </c>
      <c r="AE32" s="241">
        <f t="shared" si="8"/>
        <v>31</v>
      </c>
      <c r="AF32" s="244">
        <f t="shared" si="1"/>
        <v>393.32477599999999</v>
      </c>
      <c r="AG32" s="1281"/>
      <c r="AI32" s="1282">
        <f t="shared" si="2"/>
        <v>14.144060143080765</v>
      </c>
      <c r="AJ32" s="1252">
        <v>0.87939999999999996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528">
        <v>569.99</v>
      </c>
      <c r="J33" s="1448">
        <v>220</v>
      </c>
      <c r="K33" s="241"/>
      <c r="L33" s="1277">
        <v>434</v>
      </c>
      <c r="M33" s="241"/>
      <c r="N33" s="1278">
        <v>3.8</v>
      </c>
      <c r="O33" s="241"/>
      <c r="P33" s="1278">
        <f t="shared" si="4"/>
        <v>16.844610838465147</v>
      </c>
      <c r="Q33" s="1278">
        <f>LEFT(H33,(FIND("K",H33,1)-1))*J33/100</f>
        <v>28.6</v>
      </c>
      <c r="R33" s="244">
        <v>6.9749999999999996</v>
      </c>
      <c r="S33" s="244">
        <v>20.51</v>
      </c>
      <c r="T33" s="1277">
        <v>60.6</v>
      </c>
      <c r="U33" s="1278">
        <f t="shared" si="0"/>
        <v>8.6881720430107539</v>
      </c>
      <c r="V33" s="1278">
        <f t="shared" si="5"/>
        <v>65.992198927352518</v>
      </c>
      <c r="W33" s="1279">
        <v>0.2</v>
      </c>
      <c r="X33" s="1449">
        <v>220</v>
      </c>
      <c r="Y33" s="1277">
        <f t="shared" si="3"/>
        <v>71.71328671328672</v>
      </c>
      <c r="Z33" s="244">
        <f t="shared" si="11"/>
        <v>6.8912999999999993</v>
      </c>
      <c r="AA33" s="244">
        <f t="shared" si="6"/>
        <v>20.26388</v>
      </c>
      <c r="AB33" s="1277">
        <f t="shared" si="6"/>
        <v>59.872799999999998</v>
      </c>
      <c r="AC33" s="244">
        <f t="shared" si="10"/>
        <v>8.6881720430107539</v>
      </c>
      <c r="AD33" s="1277">
        <f t="shared" si="7"/>
        <v>65.992198927352518</v>
      </c>
      <c r="AE33" s="241">
        <f t="shared" si="8"/>
        <v>31</v>
      </c>
      <c r="AF33" s="244">
        <f>Z33*AE33</f>
        <v>213.63029999999998</v>
      </c>
      <c r="AG33" s="1285"/>
      <c r="AI33" s="1282">
        <f t="shared" si="2"/>
        <v>16.844610838465147</v>
      </c>
      <c r="AJ33" s="1252">
        <v>0.91949999999999998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476" t="s">
        <v>540</v>
      </c>
      <c r="I34" s="1274">
        <v>541.78</v>
      </c>
      <c r="J34" s="1274">
        <v>100</v>
      </c>
      <c r="K34" s="1274"/>
      <c r="L34" s="1305">
        <v>46</v>
      </c>
      <c r="M34" s="1274"/>
      <c r="N34" s="1306">
        <v>0.5</v>
      </c>
      <c r="O34" s="1274"/>
      <c r="P34" s="1278">
        <f t="shared" si="4"/>
        <v>49.135763479463733</v>
      </c>
      <c r="Q34" s="1278">
        <f>22*J34/100</f>
        <v>22</v>
      </c>
      <c r="R34" s="1307">
        <v>1.5669999999999999</v>
      </c>
      <c r="S34" s="244">
        <v>20.74</v>
      </c>
      <c r="T34" s="1305">
        <v>0</v>
      </c>
      <c r="U34" s="1278">
        <f t="shared" si="0"/>
        <v>0</v>
      </c>
      <c r="V34" s="1278">
        <f t="shared" si="5"/>
        <v>92.44455159112826</v>
      </c>
      <c r="W34" s="1308">
        <v>0.24</v>
      </c>
      <c r="X34" s="238">
        <v>100</v>
      </c>
      <c r="Y34" s="1277">
        <f t="shared" si="3"/>
        <v>94.272727272727266</v>
      </c>
      <c r="Z34" s="244">
        <f t="shared" si="11"/>
        <v>1.5481959999999999</v>
      </c>
      <c r="AA34" s="244">
        <f t="shared" si="6"/>
        <v>20.491119999999999</v>
      </c>
      <c r="AB34" s="1277">
        <f t="shared" si="6"/>
        <v>0</v>
      </c>
      <c r="AC34" s="1307">
        <f t="shared" si="10"/>
        <v>0</v>
      </c>
      <c r="AD34" s="1305">
        <f t="shared" si="7"/>
        <v>92.44455159112826</v>
      </c>
      <c r="AE34" s="241">
        <f>(DAY(EOMONTH($AH$17,0))-AH34)</f>
        <v>31</v>
      </c>
      <c r="AF34" s="1307">
        <f>Z34*AE34</f>
        <v>47.994076</v>
      </c>
      <c r="AG34" s="1285"/>
      <c r="AI34" s="1282">
        <f t="shared" si="2"/>
        <v>49.135763479463733</v>
      </c>
      <c r="AJ34" s="1252">
        <v>0.90500000000000003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447</v>
      </c>
      <c r="M35" s="241"/>
      <c r="N35" s="1278">
        <v>3.2</v>
      </c>
      <c r="O35" s="241"/>
      <c r="P35" s="1278">
        <f t="shared" si="4"/>
        <v>14.129270109735133</v>
      </c>
      <c r="Q35" s="1278">
        <f>20*J35/100</f>
        <v>19</v>
      </c>
      <c r="R35" s="244">
        <v>3.4540000000000002</v>
      </c>
      <c r="S35" s="244">
        <v>9.0350000000000001</v>
      </c>
      <c r="T35" s="1277">
        <v>16.8</v>
      </c>
      <c r="U35" s="1278">
        <f t="shared" si="0"/>
        <v>4.8639258830341632</v>
      </c>
      <c r="V35" s="1278">
        <f t="shared" si="5"/>
        <v>61.770890979524061</v>
      </c>
      <c r="W35" s="1279">
        <v>0.2</v>
      </c>
      <c r="X35" s="1316">
        <v>95</v>
      </c>
      <c r="Y35" s="1277">
        <f t="shared" si="3"/>
        <v>47.55263157894737</v>
      </c>
      <c r="Z35" s="244">
        <f t="shared" si="11"/>
        <v>3.4125520000000003</v>
      </c>
      <c r="AA35" s="244">
        <f t="shared" si="6"/>
        <v>8.9265799999999995</v>
      </c>
      <c r="AB35" s="1277">
        <f t="shared" si="6"/>
        <v>16.598400000000002</v>
      </c>
      <c r="AC35" s="1307">
        <f t="shared" si="10"/>
        <v>4.8639258830341632</v>
      </c>
      <c r="AD35" s="1305">
        <f t="shared" si="7"/>
        <v>61.770890979524061</v>
      </c>
      <c r="AE35" s="241">
        <f t="shared" si="8"/>
        <v>31</v>
      </c>
      <c r="AF35" s="1307">
        <f>Z35*AE35</f>
        <v>105.789112</v>
      </c>
      <c r="AG35" s="1281"/>
      <c r="AI35" s="1282">
        <f t="shared" si="2"/>
        <v>14.129270109735133</v>
      </c>
      <c r="AJ35" s="1252">
        <v>0.88390000000000002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528">
        <v>564.05999999999995</v>
      </c>
      <c r="J36" s="241">
        <v>260</v>
      </c>
      <c r="K36" s="241"/>
      <c r="L36" s="1277">
        <v>502</v>
      </c>
      <c r="M36" s="241"/>
      <c r="N36" s="1278">
        <v>0</v>
      </c>
      <c r="O36" s="241"/>
      <c r="P36" s="1278">
        <f t="shared" si="4"/>
        <v>5.9414434139262511</v>
      </c>
      <c r="Q36" s="1278">
        <f>LEFT(H36,(FIND("E",H36,1)-1))*J36/100</f>
        <v>33.799999999999997</v>
      </c>
      <c r="R36" s="244">
        <v>2.9689999999999999</v>
      </c>
      <c r="S36" s="244">
        <v>8.6</v>
      </c>
      <c r="T36" s="1277">
        <v>16</v>
      </c>
      <c r="U36" s="1278">
        <f t="shared" si="0"/>
        <v>5.3890198720107785</v>
      </c>
      <c r="V36" s="1278">
        <f t="shared" si="5"/>
        <v>65.476744186046517</v>
      </c>
      <c r="W36" s="1279">
        <v>0.2</v>
      </c>
      <c r="X36" s="1316">
        <v>260</v>
      </c>
      <c r="Y36" s="1277">
        <f t="shared" si="3"/>
        <v>25.443786982248522</v>
      </c>
      <c r="Z36" s="244">
        <f t="shared" si="11"/>
        <v>2.9333719999999999</v>
      </c>
      <c r="AA36" s="244">
        <f t="shared" si="6"/>
        <v>8.4968000000000004</v>
      </c>
      <c r="AB36" s="1277">
        <f t="shared" si="6"/>
        <v>15.808</v>
      </c>
      <c r="AC36" s="244">
        <f t="shared" si="10"/>
        <v>5.3890198720107785</v>
      </c>
      <c r="AD36" s="1305">
        <f t="shared" si="7"/>
        <v>65.476744186046517</v>
      </c>
      <c r="AE36" s="241">
        <f t="shared" si="8"/>
        <v>31</v>
      </c>
      <c r="AF36" s="244">
        <f t="shared" si="1"/>
        <v>90.93453199999999</v>
      </c>
      <c r="AG36" s="1281"/>
      <c r="AI36" s="1282">
        <f t="shared" si="2"/>
        <v>5.9414434139262511</v>
      </c>
      <c r="AJ36" s="1252">
        <v>0.91639999999999999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528">
        <v>551</v>
      </c>
      <c r="J37" s="1448">
        <v>145</v>
      </c>
      <c r="K37" s="241"/>
      <c r="L37" s="1277">
        <v>458</v>
      </c>
      <c r="M37" s="241"/>
      <c r="N37" s="1278">
        <v>2.9</v>
      </c>
      <c r="O37" s="241"/>
      <c r="P37" s="1278">
        <f t="shared" si="4"/>
        <v>11.519457620893458</v>
      </c>
      <c r="Q37" s="1278">
        <f>14*J37/100</f>
        <v>20.3</v>
      </c>
      <c r="R37" s="244">
        <v>6.3310000000000004</v>
      </c>
      <c r="S37" s="244">
        <v>12.677</v>
      </c>
      <c r="T37" s="1277">
        <v>24</v>
      </c>
      <c r="U37" s="1278">
        <f t="shared" si="0"/>
        <v>3.7908703206444478</v>
      </c>
      <c r="V37" s="1278">
        <f t="shared" si="5"/>
        <v>50.059162262364907</v>
      </c>
      <c r="W37" s="1279">
        <v>0.2</v>
      </c>
      <c r="X37" s="1449">
        <v>145</v>
      </c>
      <c r="Y37" s="1277">
        <f t="shared" si="3"/>
        <v>62.448275862068961</v>
      </c>
      <c r="Z37" s="244">
        <f t="shared" si="11"/>
        <v>6.2550280000000003</v>
      </c>
      <c r="AA37" s="244">
        <f t="shared" si="11"/>
        <v>12.524875999999999</v>
      </c>
      <c r="AB37" s="1277">
        <f t="shared" si="11"/>
        <v>23.712</v>
      </c>
      <c r="AC37" s="244">
        <f t="shared" si="10"/>
        <v>3.7908703206444478</v>
      </c>
      <c r="AD37" s="1305">
        <f t="shared" si="10"/>
        <v>50.059162262364907</v>
      </c>
      <c r="AE37" s="241">
        <f t="shared" si="8"/>
        <v>31</v>
      </c>
      <c r="AF37" s="244">
        <f t="shared" si="1"/>
        <v>193.905868</v>
      </c>
      <c r="AG37" s="1450"/>
      <c r="AI37" s="1282">
        <f t="shared" si="2"/>
        <v>11.519457620893458</v>
      </c>
      <c r="AJ37" s="1252">
        <v>0.88239999999999996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28">
        <v>565.36</v>
      </c>
      <c r="J38" s="241">
        <v>100</v>
      </c>
      <c r="K38" s="241"/>
      <c r="L38" s="1277">
        <v>357</v>
      </c>
      <c r="M38" s="241"/>
      <c r="N38" s="1278">
        <v>3</v>
      </c>
      <c r="O38" s="241"/>
      <c r="P38" s="1278">
        <f t="shared" si="4"/>
        <v>23.056009022925277</v>
      </c>
      <c r="Q38" s="1278">
        <f>13*J38/100</f>
        <v>13</v>
      </c>
      <c r="R38" s="244">
        <v>2.0369999999999999</v>
      </c>
      <c r="S38" s="244">
        <v>9.6219999999999999</v>
      </c>
      <c r="T38" s="1277">
        <v>14</v>
      </c>
      <c r="U38" s="1278">
        <f>IF(R38=0,0,T38/R38)</f>
        <v>6.8728522336769764</v>
      </c>
      <c r="V38" s="1278">
        <f t="shared" si="5"/>
        <v>78.829765121596338</v>
      </c>
      <c r="W38" s="1279">
        <v>0.2</v>
      </c>
      <c r="X38" s="1316">
        <v>100</v>
      </c>
      <c r="Y38" s="1277">
        <f t="shared" si="3"/>
        <v>74.015384615384619</v>
      </c>
      <c r="Z38" s="244">
        <f t="shared" si="11"/>
        <v>2.012556</v>
      </c>
      <c r="AA38" s="244">
        <f t="shared" si="11"/>
        <v>9.5065360000000005</v>
      </c>
      <c r="AB38" s="1277">
        <f t="shared" si="11"/>
        <v>13.832000000000001</v>
      </c>
      <c r="AC38" s="244">
        <f t="shared" si="10"/>
        <v>6.8728522336769764</v>
      </c>
      <c r="AD38" s="1305">
        <v>70</v>
      </c>
      <c r="AE38" s="241">
        <f t="shared" si="8"/>
        <v>31</v>
      </c>
      <c r="AF38" s="244">
        <f>Z38*AE38</f>
        <v>62.389235999999997</v>
      </c>
      <c r="AG38" s="1285"/>
      <c r="AI38" s="1282">
        <f t="shared" si="2"/>
        <v>23.056009022925277</v>
      </c>
      <c r="AJ38" s="1252">
        <v>0.91810000000000003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528">
        <v>535.91</v>
      </c>
      <c r="J39" s="1448">
        <v>300</v>
      </c>
      <c r="K39" s="241"/>
      <c r="L39" s="1277">
        <v>447</v>
      </c>
      <c r="M39" s="241"/>
      <c r="N39" s="1278">
        <v>3</v>
      </c>
      <c r="O39" s="241"/>
      <c r="P39" s="1278">
        <f t="shared" si="4"/>
        <v>11.210036895615191</v>
      </c>
      <c r="Q39" s="1278">
        <f>(20/100)*J39</f>
        <v>60</v>
      </c>
      <c r="R39" s="244">
        <v>7.89</v>
      </c>
      <c r="S39" s="244">
        <v>12.826000000000001</v>
      </c>
      <c r="T39" s="1277">
        <v>131</v>
      </c>
      <c r="U39" s="1278">
        <f t="shared" ref="U39:U86" si="12">IF(R39=0,0,T39/R39)</f>
        <v>16.603295310519645</v>
      </c>
      <c r="V39" s="1278">
        <f t="shared" si="5"/>
        <v>38.484328707313274</v>
      </c>
      <c r="W39" s="1279">
        <v>0.2</v>
      </c>
      <c r="X39" s="1449">
        <v>300</v>
      </c>
      <c r="Y39" s="1277">
        <f t="shared" si="3"/>
        <v>21.376666666666669</v>
      </c>
      <c r="Z39" s="244">
        <f t="shared" si="11"/>
        <v>7.7953199999999994</v>
      </c>
      <c r="AA39" s="244">
        <f t="shared" si="11"/>
        <v>12.672088</v>
      </c>
      <c r="AB39" s="1277">
        <f t="shared" si="11"/>
        <v>129.428</v>
      </c>
      <c r="AC39" s="244">
        <v>89.536086956521729</v>
      </c>
      <c r="AD39" s="1305">
        <f>V39</f>
        <v>38.484328707313274</v>
      </c>
      <c r="AE39" s="241">
        <f t="shared" si="8"/>
        <v>31</v>
      </c>
      <c r="AF39" s="244">
        <f t="shared" si="1"/>
        <v>241.65491999999998</v>
      </c>
      <c r="AG39" s="1314"/>
      <c r="AI39" s="1282">
        <f t="shared" si="2"/>
        <v>11.210036895615191</v>
      </c>
      <c r="AJ39" s="1252">
        <v>0.90390000000000004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528">
        <v>565.11</v>
      </c>
      <c r="J40" s="1448">
        <v>280</v>
      </c>
      <c r="K40" s="241"/>
      <c r="L40" s="1277">
        <v>153</v>
      </c>
      <c r="M40" s="241"/>
      <c r="N40" s="1278">
        <v>4.2</v>
      </c>
      <c r="O40" s="241"/>
      <c r="P40" s="1278">
        <f t="shared" si="4"/>
        <v>44.229518017228195</v>
      </c>
      <c r="Q40" s="1278">
        <f>LEFT(H40,(FIND("K",H40,1)-1))*J40/100</f>
        <v>64.400000000000006</v>
      </c>
      <c r="R40" s="244">
        <v>3.73</v>
      </c>
      <c r="S40" s="244">
        <v>18.988</v>
      </c>
      <c r="T40" s="1277">
        <v>25.1</v>
      </c>
      <c r="U40" s="1278">
        <f t="shared" si="12"/>
        <v>6.7292225201072391</v>
      </c>
      <c r="V40" s="1278">
        <f t="shared" si="5"/>
        <v>80.356014324836735</v>
      </c>
      <c r="W40" s="1279">
        <v>0.3</v>
      </c>
      <c r="X40" s="1449">
        <v>280</v>
      </c>
      <c r="Y40" s="1277">
        <f t="shared" si="3"/>
        <v>29.484472049689437</v>
      </c>
      <c r="Z40" s="244">
        <f t="shared" si="11"/>
        <v>3.6852399999999998</v>
      </c>
      <c r="AA40" s="244">
        <f t="shared" si="11"/>
        <v>18.760144</v>
      </c>
      <c r="AB40" s="1277">
        <f t="shared" si="11"/>
        <v>24.7988</v>
      </c>
      <c r="AC40" s="244">
        <f>U40</f>
        <v>6.7292225201072391</v>
      </c>
      <c r="AD40" s="1277">
        <f>V40</f>
        <v>80.356014324836735</v>
      </c>
      <c r="AE40" s="241">
        <f t="shared" si="8"/>
        <v>31</v>
      </c>
      <c r="AF40" s="244">
        <f t="shared" si="1"/>
        <v>114.24244</v>
      </c>
      <c r="AG40" s="1285"/>
      <c r="AI40" s="1282">
        <f t="shared" si="2"/>
        <v>44.229518017228195</v>
      </c>
      <c r="AJ40" s="1252">
        <v>0.91690000000000005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380</v>
      </c>
      <c r="M41" s="241"/>
      <c r="N41" s="1278">
        <v>1.2</v>
      </c>
      <c r="O41" s="241"/>
      <c r="P41" s="1278">
        <f t="shared" si="4"/>
        <v>18.934705438044109</v>
      </c>
      <c r="Q41" s="1278">
        <f>14*J41/100</f>
        <v>11.9</v>
      </c>
      <c r="R41" s="244">
        <v>1.9319999999999999</v>
      </c>
      <c r="S41" s="244">
        <v>10.638999999999999</v>
      </c>
      <c r="T41" s="1277">
        <v>12</v>
      </c>
      <c r="U41" s="1278">
        <f t="shared" si="12"/>
        <v>6.2111801242236027</v>
      </c>
      <c r="V41" s="1278">
        <f t="shared" si="5"/>
        <v>81.840398533696771</v>
      </c>
      <c r="W41" s="1279">
        <v>0.2</v>
      </c>
      <c r="X41" s="1316">
        <v>85</v>
      </c>
      <c r="Y41" s="1277">
        <f t="shared" si="3"/>
        <v>89.403361344537799</v>
      </c>
      <c r="Z41" s="244">
        <f t="shared" si="11"/>
        <v>1.9088159999999998</v>
      </c>
      <c r="AA41" s="244">
        <f t="shared" si="11"/>
        <v>10.511331999999999</v>
      </c>
      <c r="AB41" s="1277">
        <f t="shared" si="11"/>
        <v>11.856</v>
      </c>
      <c r="AC41" s="244">
        <f>U41</f>
        <v>6.2111801242236027</v>
      </c>
      <c r="AD41" s="1277">
        <f>V41</f>
        <v>81.840398533696771</v>
      </c>
      <c r="AE41" s="241">
        <f t="shared" si="8"/>
        <v>31</v>
      </c>
      <c r="AF41" s="244">
        <f t="shared" si="1"/>
        <v>59.173295999999993</v>
      </c>
      <c r="AG41" s="1285"/>
      <c r="AI41" s="1282">
        <f t="shared" si="2"/>
        <v>18.934705438044109</v>
      </c>
      <c r="AJ41" s="1252">
        <v>0.90100000000000002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100</v>
      </c>
      <c r="K42" s="241"/>
      <c r="L42" s="1277">
        <v>95</v>
      </c>
      <c r="M42" s="241"/>
      <c r="N42" s="1278">
        <v>1.583</v>
      </c>
      <c r="O42" s="241"/>
      <c r="P42" s="1278">
        <f t="shared" si="4"/>
        <v>49.109534733129514</v>
      </c>
      <c r="Q42" s="1278">
        <f>(32/100)*J42</f>
        <v>32</v>
      </c>
      <c r="R42" s="244">
        <v>2.641</v>
      </c>
      <c r="S42" s="244">
        <v>34.246000000000002</v>
      </c>
      <c r="T42" s="1277">
        <v>64</v>
      </c>
      <c r="U42" s="1278">
        <f t="shared" si="12"/>
        <v>24.233244982961001</v>
      </c>
      <c r="V42" s="1278">
        <f t="shared" si="5"/>
        <v>92.28815044092741</v>
      </c>
      <c r="W42" s="1279">
        <v>0.1</v>
      </c>
      <c r="X42" s="1316">
        <v>100</v>
      </c>
      <c r="Y42" s="1277">
        <f t="shared" si="3"/>
        <v>107.01875000000001</v>
      </c>
      <c r="Z42" s="244">
        <f t="shared" si="11"/>
        <v>2.609308</v>
      </c>
      <c r="AA42" s="244">
        <f t="shared" si="11"/>
        <v>33.835048</v>
      </c>
      <c r="AB42" s="1277">
        <f t="shared" si="11"/>
        <v>63.231999999999999</v>
      </c>
      <c r="AC42" s="244">
        <f>U42</f>
        <v>24.233244982961001</v>
      </c>
      <c r="AD42" s="1277">
        <f>V42</f>
        <v>92.28815044092741</v>
      </c>
      <c r="AE42" s="241">
        <f t="shared" si="8"/>
        <v>31</v>
      </c>
      <c r="AF42" s="244">
        <f t="shared" si="1"/>
        <v>80.888548</v>
      </c>
      <c r="AG42" s="1281"/>
      <c r="AI42" s="1282">
        <f t="shared" si="2"/>
        <v>49.109534733129514</v>
      </c>
      <c r="AJ42" s="1252">
        <v>0.89100000000000001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28">
        <v>554.16999999999996</v>
      </c>
      <c r="J43" s="1448">
        <v>125</v>
      </c>
      <c r="K43" s="241"/>
      <c r="L43" s="1277">
        <v>381</v>
      </c>
      <c r="M43" s="241"/>
      <c r="N43" s="1278">
        <v>5.0999999999999996</v>
      </c>
      <c r="O43" s="241"/>
      <c r="P43" s="1278">
        <f t="shared" si="4"/>
        <v>21.491692364764177</v>
      </c>
      <c r="Q43" s="1278">
        <f>(32/100)*J43</f>
        <v>40</v>
      </c>
      <c r="R43" s="244">
        <v>14.821999999999999</v>
      </c>
      <c r="S43" s="244">
        <v>40.375</v>
      </c>
      <c r="T43" s="1277">
        <v>78</v>
      </c>
      <c r="U43" s="1278">
        <f t="shared" si="12"/>
        <v>5.2624477128592639</v>
      </c>
      <c r="V43" s="1278">
        <f t="shared" si="5"/>
        <v>63.289164086687308</v>
      </c>
      <c r="W43" s="1279">
        <v>0.2</v>
      </c>
      <c r="X43" s="1449">
        <v>125</v>
      </c>
      <c r="Y43" s="1277">
        <f t="shared" si="3"/>
        <v>100.93749999999999</v>
      </c>
      <c r="Z43" s="244">
        <f t="shared" si="11"/>
        <v>14.644136</v>
      </c>
      <c r="AA43" s="244">
        <f t="shared" si="11"/>
        <v>39.890500000000003</v>
      </c>
      <c r="AB43" s="1277">
        <f t="shared" si="11"/>
        <v>77.063999999999993</v>
      </c>
      <c r="AC43" s="244">
        <f>U43</f>
        <v>5.2624477128592639</v>
      </c>
      <c r="AD43" s="1277">
        <f>V43</f>
        <v>63.289164086687308</v>
      </c>
      <c r="AE43" s="241">
        <f>(DAY(EOMONTH($AH$17,0))-AH43)</f>
        <v>31</v>
      </c>
      <c r="AF43" s="244">
        <f t="shared" si="1"/>
        <v>453.96821599999998</v>
      </c>
      <c r="AG43" s="1477"/>
      <c r="AI43" s="1282">
        <f t="shared" si="2"/>
        <v>21.491692364764177</v>
      </c>
      <c r="AJ43" s="1252">
        <v>0.89349999999999996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528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3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528">
        <v>544.70000000000005</v>
      </c>
      <c r="J45" s="241">
        <v>85</v>
      </c>
      <c r="K45" s="241"/>
      <c r="L45" s="1277">
        <v>136</v>
      </c>
      <c r="M45" s="241"/>
      <c r="N45" s="1278">
        <v>3.9</v>
      </c>
      <c r="O45" s="241"/>
      <c r="P45" s="1278">
        <f t="shared" si="4"/>
        <v>42.989203608510493</v>
      </c>
      <c r="Q45" s="1278">
        <f>J45*20/100</f>
        <v>17</v>
      </c>
      <c r="R45" s="244">
        <v>5.2549999999999999</v>
      </c>
      <c r="S45" s="244">
        <v>21.047000000000001</v>
      </c>
      <c r="T45" s="1277">
        <v>16.773</v>
      </c>
      <c r="U45" s="1278">
        <f t="shared" si="12"/>
        <v>3.1918173168411039</v>
      </c>
      <c r="V45" s="1278">
        <f t="shared" si="5"/>
        <v>75.032071079013633</v>
      </c>
      <c r="W45" s="1279">
        <v>0.2</v>
      </c>
      <c r="X45" s="1316">
        <v>85</v>
      </c>
      <c r="Y45" s="1277">
        <f t="shared" si="3"/>
        <v>123.80588235294118</v>
      </c>
      <c r="Z45" s="244">
        <f t="shared" ref="Z45:AB49" si="13">R45*0.988</f>
        <v>5.1919399999999998</v>
      </c>
      <c r="AA45" s="244">
        <f t="shared" si="13"/>
        <v>20.794436000000001</v>
      </c>
      <c r="AB45" s="1277">
        <f t="shared" si="13"/>
        <v>16.571724</v>
      </c>
      <c r="AC45" s="244">
        <f t="shared" ref="AC45:AD51" si="14">U45</f>
        <v>3.1918173168411039</v>
      </c>
      <c r="AD45" s="1277">
        <f t="shared" si="14"/>
        <v>75.032071079013633</v>
      </c>
      <c r="AE45" s="241">
        <f t="shared" ref="AE45:AE86" si="15">(DAY(EOMONTH($AH$17,0))-AH45)</f>
        <v>31</v>
      </c>
      <c r="AF45" s="244">
        <f t="shared" si="1"/>
        <v>160.95014</v>
      </c>
      <c r="AG45" s="1281"/>
      <c r="AI45" s="1282">
        <f t="shared" si="2"/>
        <v>42.989203608510493</v>
      </c>
      <c r="AJ45" s="1252">
        <v>0.89929999999999999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528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528">
        <v>553.30999999999995</v>
      </c>
      <c r="J46" s="1528">
        <v>220</v>
      </c>
      <c r="K46" s="1528"/>
      <c r="L46" s="1319">
        <v>411</v>
      </c>
      <c r="M46" s="1528"/>
      <c r="N46" s="1278">
        <v>1.5</v>
      </c>
      <c r="O46" s="1528"/>
      <c r="P46" s="1278">
        <f t="shared" si="4"/>
        <v>14.952206008406788</v>
      </c>
      <c r="Q46" s="1278">
        <f>J46*32/100</f>
        <v>70.400000000000006</v>
      </c>
      <c r="R46" s="244">
        <v>8.2620000000000005</v>
      </c>
      <c r="S46" s="244">
        <v>22.812000000000001</v>
      </c>
      <c r="T46" s="1319">
        <v>69</v>
      </c>
      <c r="U46" s="1278">
        <f t="shared" si="12"/>
        <v>8.3514887436456053</v>
      </c>
      <c r="V46" s="1278">
        <f t="shared" si="5"/>
        <v>63.782219884271441</v>
      </c>
      <c r="W46" s="1279">
        <v>0.2</v>
      </c>
      <c r="X46" s="1410">
        <v>220</v>
      </c>
      <c r="Y46" s="1277">
        <f t="shared" si="3"/>
        <v>32.403409090909093</v>
      </c>
      <c r="Z46" s="244">
        <f t="shared" si="13"/>
        <v>8.1628559999999997</v>
      </c>
      <c r="AA46" s="244">
        <f t="shared" si="13"/>
        <v>22.538256000000001</v>
      </c>
      <c r="AB46" s="1277">
        <f t="shared" si="13"/>
        <v>68.171999999999997</v>
      </c>
      <c r="AC46" s="244">
        <f t="shared" si="14"/>
        <v>8.3514887436456053</v>
      </c>
      <c r="AD46" s="1277">
        <f t="shared" si="14"/>
        <v>63.782219884271441</v>
      </c>
      <c r="AE46" s="241">
        <f t="shared" si="15"/>
        <v>31</v>
      </c>
      <c r="AF46" s="244">
        <f t="shared" si="1"/>
        <v>253.04853599999998</v>
      </c>
      <c r="AG46" s="1285"/>
      <c r="AI46" s="1282">
        <f t="shared" si="2"/>
        <v>14.952206008406788</v>
      </c>
      <c r="AJ46" s="1252">
        <v>0.88949999999999996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528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528">
        <v>550.59</v>
      </c>
      <c r="J47" s="1373">
        <v>105</v>
      </c>
      <c r="K47" s="1528"/>
      <c r="L47" s="1277">
        <v>420</v>
      </c>
      <c r="M47" s="1528"/>
      <c r="N47" s="1278">
        <v>0</v>
      </c>
      <c r="O47" s="1528"/>
      <c r="P47" s="1278">
        <f t="shared" si="4"/>
        <v>12.260726753623896</v>
      </c>
      <c r="Q47" s="1278">
        <f>RIGHT(H47,(FIND("T",H47,1)-0))*J47/100</f>
        <v>14.7</v>
      </c>
      <c r="R47" s="244">
        <v>1.115</v>
      </c>
      <c r="S47" s="244">
        <v>2.2930000000000001</v>
      </c>
      <c r="T47" s="1319">
        <v>1</v>
      </c>
      <c r="U47" s="1278">
        <f t="shared" si="12"/>
        <v>0.89686098654708524</v>
      </c>
      <c r="V47" s="1278">
        <f t="shared" si="5"/>
        <v>51.373746184038382</v>
      </c>
      <c r="W47" s="1279">
        <v>0.2</v>
      </c>
      <c r="X47" s="1452">
        <v>105</v>
      </c>
      <c r="Y47" s="1277">
        <f t="shared" si="3"/>
        <v>15.598639455782315</v>
      </c>
      <c r="Z47" s="244">
        <f t="shared" si="13"/>
        <v>1.10162</v>
      </c>
      <c r="AA47" s="244">
        <f t="shared" si="13"/>
        <v>2.2654840000000003</v>
      </c>
      <c r="AB47" s="1277">
        <f t="shared" si="13"/>
        <v>0.98799999999999999</v>
      </c>
      <c r="AC47" s="244">
        <f t="shared" si="14"/>
        <v>0.89686098654708524</v>
      </c>
      <c r="AD47" s="1277">
        <f t="shared" si="14"/>
        <v>51.373746184038382</v>
      </c>
      <c r="AE47" s="241">
        <f t="shared" si="15"/>
        <v>31</v>
      </c>
      <c r="AF47" s="244">
        <f t="shared" si="1"/>
        <v>34.150220000000004</v>
      </c>
      <c r="AG47" s="1285"/>
      <c r="AI47" s="1282">
        <f t="shared" si="2"/>
        <v>12.260726753623896</v>
      </c>
      <c r="AJ47" s="1252">
        <v>0.90820000000000001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528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528">
        <v>551.54999999999995</v>
      </c>
      <c r="J48" s="1528">
        <v>130</v>
      </c>
      <c r="K48" s="1528"/>
      <c r="L48" s="1319">
        <v>428</v>
      </c>
      <c r="M48" s="1528"/>
      <c r="N48" s="1278">
        <v>0.3</v>
      </c>
      <c r="O48" s="1528"/>
      <c r="P48" s="1278">
        <f t="shared" si="4"/>
        <v>11.390152930709684</v>
      </c>
      <c r="Q48" s="1278">
        <f>14*J48/100</f>
        <v>18.2</v>
      </c>
      <c r="R48" s="244">
        <v>5.0119999999999996</v>
      </c>
      <c r="S48" s="244">
        <v>6.6580000000000004</v>
      </c>
      <c r="T48" s="1319">
        <v>7</v>
      </c>
      <c r="U48" s="1278">
        <f t="shared" si="12"/>
        <v>1.3966480446927376</v>
      </c>
      <c r="V48" s="1278">
        <f t="shared" si="5"/>
        <v>24.72213878041455</v>
      </c>
      <c r="W48" s="1279">
        <v>0.2</v>
      </c>
      <c r="X48" s="1410">
        <v>130</v>
      </c>
      <c r="Y48" s="1277">
        <f t="shared" si="3"/>
        <v>36.582417582417584</v>
      </c>
      <c r="Z48" s="244">
        <f t="shared" si="13"/>
        <v>4.9518559999999994</v>
      </c>
      <c r="AA48" s="244">
        <f t="shared" si="13"/>
        <v>6.5781040000000006</v>
      </c>
      <c r="AB48" s="1277">
        <f t="shared" si="13"/>
        <v>6.9160000000000004</v>
      </c>
      <c r="AC48" s="244">
        <f t="shared" si="14"/>
        <v>1.3966480446927376</v>
      </c>
      <c r="AD48" s="1277">
        <f t="shared" si="14"/>
        <v>24.72213878041455</v>
      </c>
      <c r="AE48" s="241">
        <f t="shared" si="15"/>
        <v>31</v>
      </c>
      <c r="AF48" s="244">
        <f t="shared" si="1"/>
        <v>153.50753599999999</v>
      </c>
      <c r="AG48" s="1285"/>
      <c r="AI48" s="1282">
        <f t="shared" si="2"/>
        <v>11.390152930709684</v>
      </c>
      <c r="AJ48" s="1252">
        <v>0.89559999999999995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528">
        <v>539.24</v>
      </c>
      <c r="J49" s="241">
        <v>310</v>
      </c>
      <c r="K49" s="241"/>
      <c r="L49" s="1277">
        <v>442</v>
      </c>
      <c r="M49" s="241"/>
      <c r="N49" s="1278">
        <v>4</v>
      </c>
      <c r="O49" s="241"/>
      <c r="P49" s="1278">
        <f t="shared" si="4"/>
        <v>12.992729497401156</v>
      </c>
      <c r="Q49" s="1278">
        <f>20*J49/100</f>
        <v>62</v>
      </c>
      <c r="R49" s="244">
        <v>3.585</v>
      </c>
      <c r="S49" s="244">
        <v>6.3390000000000004</v>
      </c>
      <c r="T49" s="1277">
        <v>5</v>
      </c>
      <c r="U49" s="1278">
        <f t="shared" si="12"/>
        <v>1.394700139470014</v>
      </c>
      <c r="V49" s="1278">
        <f t="shared" si="5"/>
        <v>43.445338381448181</v>
      </c>
      <c r="W49" s="1279">
        <v>0.2</v>
      </c>
      <c r="X49" s="1316">
        <v>310</v>
      </c>
      <c r="Y49" s="1277">
        <f t="shared" si="3"/>
        <v>10.224193548387097</v>
      </c>
      <c r="Z49" s="244">
        <f t="shared" si="13"/>
        <v>3.5419800000000001</v>
      </c>
      <c r="AA49" s="244">
        <f t="shared" si="13"/>
        <v>6.2629320000000002</v>
      </c>
      <c r="AB49" s="1277">
        <f t="shared" si="13"/>
        <v>4.9399999999999995</v>
      </c>
      <c r="AC49" s="244">
        <f t="shared" si="14"/>
        <v>1.394700139470014</v>
      </c>
      <c r="AD49" s="1277">
        <f t="shared" si="14"/>
        <v>43.445338381448181</v>
      </c>
      <c r="AE49" s="241">
        <f t="shared" si="15"/>
        <v>31</v>
      </c>
      <c r="AF49" s="244">
        <f t="shared" si="1"/>
        <v>109.80138000000001</v>
      </c>
      <c r="AG49" s="1285"/>
      <c r="AI49" s="1282">
        <f t="shared" si="2"/>
        <v>12.992729497401156</v>
      </c>
      <c r="AJ49" s="1252">
        <v>0.90149999999999997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528">
        <v>571.19000000000005</v>
      </c>
      <c r="J50" s="241">
        <v>330</v>
      </c>
      <c r="K50" s="241"/>
      <c r="L50" s="1277">
        <v>337</v>
      </c>
      <c r="M50" s="241"/>
      <c r="N50" s="1278">
        <v>2.9</v>
      </c>
      <c r="O50" s="241"/>
      <c r="P50" s="1278">
        <f t="shared" si="4"/>
        <v>25.40962208379883</v>
      </c>
      <c r="Q50" s="1278">
        <f>LEFT(H50,(FIND("E",H50,1)-1))*J50/100</f>
        <v>42.9</v>
      </c>
      <c r="R50" s="244">
        <v>5.266</v>
      </c>
      <c r="S50" s="244">
        <v>19.582000000000001</v>
      </c>
      <c r="T50" s="1277">
        <v>25</v>
      </c>
      <c r="U50" s="1278">
        <f t="shared" si="12"/>
        <v>4.7474363843524499</v>
      </c>
      <c r="V50" s="1278">
        <f t="shared" si="5"/>
        <v>73.107956286385459</v>
      </c>
      <c r="W50" s="1279">
        <v>0.3</v>
      </c>
      <c r="X50" s="1316">
        <v>330</v>
      </c>
      <c r="Y50" s="1277">
        <f t="shared" si="3"/>
        <v>45.645687645687651</v>
      </c>
      <c r="Z50" s="244">
        <v>5.38</v>
      </c>
      <c r="AA50" s="244">
        <f>S50*0.988</f>
        <v>19.347016</v>
      </c>
      <c r="AB50" s="1277">
        <f>T50*0.988</f>
        <v>24.7</v>
      </c>
      <c r="AC50" s="244">
        <f t="shared" si="14"/>
        <v>4.7474363843524499</v>
      </c>
      <c r="AD50" s="1277">
        <f t="shared" si="14"/>
        <v>73.107956286385459</v>
      </c>
      <c r="AE50" s="241">
        <v>31</v>
      </c>
      <c r="AF50" s="244">
        <f t="shared" si="1"/>
        <v>166.78</v>
      </c>
      <c r="AG50" s="1285"/>
      <c r="AI50" s="1282">
        <f t="shared" si="2"/>
        <v>25.40962208379883</v>
      </c>
      <c r="AJ50" s="1252">
        <v>0.90359999999999996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528" t="s">
        <v>600</v>
      </c>
      <c r="F51" s="241">
        <v>177.8</v>
      </c>
      <c r="G51" s="241" t="s">
        <v>28</v>
      </c>
      <c r="H51" s="1299" t="s">
        <v>687</v>
      </c>
      <c r="I51" s="1528">
        <v>546.08000000000004</v>
      </c>
      <c r="J51" s="241">
        <v>100</v>
      </c>
      <c r="K51" s="241"/>
      <c r="L51" s="1322">
        <v>200</v>
      </c>
      <c r="M51" s="241"/>
      <c r="N51" s="1306">
        <v>3.7</v>
      </c>
      <c r="O51" s="241"/>
      <c r="P51" s="1278">
        <f t="shared" si="4"/>
        <v>37.347983561147082</v>
      </c>
      <c r="Q51" s="1278">
        <v>20</v>
      </c>
      <c r="R51" s="244">
        <v>4.5590000000000002</v>
      </c>
      <c r="S51" s="244">
        <v>20.25</v>
      </c>
      <c r="T51" s="1277">
        <v>54.5</v>
      </c>
      <c r="U51" s="1278">
        <f t="shared" si="12"/>
        <v>11.954375959640272</v>
      </c>
      <c r="V51" s="1278">
        <f t="shared" si="5"/>
        <v>77.486419753086409</v>
      </c>
      <c r="W51" s="1279">
        <v>0.2</v>
      </c>
      <c r="X51" s="1316">
        <v>100</v>
      </c>
      <c r="Y51" s="1277">
        <f t="shared" si="3"/>
        <v>101.25</v>
      </c>
      <c r="Z51" s="244">
        <f>R51*0.988</f>
        <v>4.5042920000000004</v>
      </c>
      <c r="AA51" s="244">
        <f>S51*0.988</f>
        <v>20.007000000000001</v>
      </c>
      <c r="AB51" s="1277">
        <f>T51*0.988</f>
        <v>53.845999999999997</v>
      </c>
      <c r="AC51" s="244">
        <f t="shared" si="14"/>
        <v>11.954375959640272</v>
      </c>
      <c r="AD51" s="1277">
        <f t="shared" si="14"/>
        <v>77.486419753086409</v>
      </c>
      <c r="AE51" s="241">
        <f t="shared" si="15"/>
        <v>31</v>
      </c>
      <c r="AF51" s="244">
        <f t="shared" si="1"/>
        <v>139.63305200000002</v>
      </c>
      <c r="AG51" s="1285"/>
      <c r="AI51" s="1282">
        <f t="shared" si="2"/>
        <v>37.347983561147082</v>
      </c>
      <c r="AJ51" s="1252">
        <v>0.9204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528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3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528">
        <v>532.98</v>
      </c>
      <c r="J53" s="1448">
        <v>320</v>
      </c>
      <c r="K53" s="241"/>
      <c r="L53" s="1277">
        <v>445</v>
      </c>
      <c r="M53" s="241"/>
      <c r="N53" s="1278">
        <v>3.4</v>
      </c>
      <c r="O53" s="241"/>
      <c r="P53" s="1278">
        <f t="shared" si="4"/>
        <v>11.722298188499686</v>
      </c>
      <c r="Q53" s="1278">
        <f>RIGHT(H53,(FIND("T",H53,1)-0))*J53/100</f>
        <v>44.8</v>
      </c>
      <c r="R53" s="244">
        <v>5.125</v>
      </c>
      <c r="S53" s="244">
        <v>14.45</v>
      </c>
      <c r="T53" s="1277">
        <v>81.2</v>
      </c>
      <c r="U53" s="1278">
        <f t="shared" si="12"/>
        <v>15.84390243902439</v>
      </c>
      <c r="V53" s="1278">
        <f t="shared" si="5"/>
        <v>64.532871972318333</v>
      </c>
      <c r="W53" s="1279">
        <v>0.2</v>
      </c>
      <c r="X53" s="1449">
        <v>320</v>
      </c>
      <c r="Y53" s="1277">
        <f t="shared" si="3"/>
        <v>32.254464285714285</v>
      </c>
      <c r="Z53" s="244">
        <f>R53*0.988</f>
        <v>5.0635000000000003</v>
      </c>
      <c r="AA53" s="244">
        <f>S53*0.988</f>
        <v>14.276599999999998</v>
      </c>
      <c r="AB53" s="1277">
        <f>T53*0.988</f>
        <v>80.2256</v>
      </c>
      <c r="AC53" s="244">
        <f>U53</f>
        <v>15.84390243902439</v>
      </c>
      <c r="AD53" s="1277">
        <f>V53</f>
        <v>64.532871972318333</v>
      </c>
      <c r="AE53" s="241">
        <f t="shared" si="15"/>
        <v>31</v>
      </c>
      <c r="AF53" s="244">
        <f t="shared" si="1"/>
        <v>156.96850000000001</v>
      </c>
      <c r="AG53" s="1285"/>
      <c r="AI53" s="1282">
        <f t="shared" si="2"/>
        <v>11.722298188499686</v>
      </c>
      <c r="AJ53" s="1252">
        <v>0.88219999999999998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528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3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528" t="s">
        <v>442</v>
      </c>
      <c r="F55" s="241">
        <v>177.8</v>
      </c>
      <c r="G55" s="241" t="s">
        <v>28</v>
      </c>
      <c r="H55" s="1299" t="s">
        <v>52</v>
      </c>
      <c r="I55" s="1528">
        <v>517.84</v>
      </c>
      <c r="J55" s="241">
        <v>310</v>
      </c>
      <c r="K55" s="241"/>
      <c r="L55" s="1277">
        <v>391</v>
      </c>
      <c r="M55" s="241"/>
      <c r="N55" s="1278">
        <v>0</v>
      </c>
      <c r="O55" s="241"/>
      <c r="P55" s="1278">
        <f t="shared" si="4"/>
        <v>12.201909213660894</v>
      </c>
      <c r="Q55" s="1278">
        <f>LEFT(H55,(FIND("K",H55,1)-1))*J55/100</f>
        <v>68.2</v>
      </c>
      <c r="R55" s="244">
        <v>5.2759999999999998</v>
      </c>
      <c r="S55" s="244">
        <v>18.088999999999999</v>
      </c>
      <c r="T55" s="1277">
        <v>42</v>
      </c>
      <c r="U55" s="1278">
        <f t="shared" si="12"/>
        <v>7.9605761940864292</v>
      </c>
      <c r="V55" s="1278">
        <f t="shared" si="5"/>
        <v>70.83310299076787</v>
      </c>
      <c r="W55" s="1279">
        <v>0.2</v>
      </c>
      <c r="X55" s="1316">
        <v>310</v>
      </c>
      <c r="Y55" s="1277">
        <f t="shared" si="3"/>
        <v>26.523460410557181</v>
      </c>
      <c r="Z55" s="244">
        <f>R55*0.988</f>
        <v>5.212688</v>
      </c>
      <c r="AA55" s="244">
        <f>S55*0.988</f>
        <v>17.871931999999997</v>
      </c>
      <c r="AB55" s="1277">
        <f>T55*0.988</f>
        <v>41.496000000000002</v>
      </c>
      <c r="AC55" s="244">
        <f>U55</f>
        <v>7.9605761940864292</v>
      </c>
      <c r="AD55" s="1277">
        <f>V55</f>
        <v>70.83310299076787</v>
      </c>
      <c r="AE55" s="241">
        <f t="shared" si="15"/>
        <v>31</v>
      </c>
      <c r="AF55" s="244">
        <f t="shared" si="1"/>
        <v>161.59332799999999</v>
      </c>
      <c r="AG55" s="1285"/>
      <c r="AI55" s="1282">
        <f t="shared" si="2"/>
        <v>12.201909213660894</v>
      </c>
      <c r="AJ55" s="1252">
        <v>0.91839999999999999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528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110</v>
      </c>
      <c r="K57" s="1275"/>
      <c r="L57" s="1323">
        <v>430</v>
      </c>
      <c r="M57" s="1275"/>
      <c r="N57" s="1278">
        <v>1.6</v>
      </c>
      <c r="O57" s="1275"/>
      <c r="P57" s="1278">
        <f t="shared" si="4"/>
        <v>14.536399314934657</v>
      </c>
      <c r="Q57" s="1278">
        <f>J57*14/100</f>
        <v>15.4</v>
      </c>
      <c r="R57" s="1459">
        <v>4.41</v>
      </c>
      <c r="S57" s="244">
        <v>8.3529999999999998</v>
      </c>
      <c r="T57" s="1323">
        <v>10</v>
      </c>
      <c r="U57" s="1278">
        <f t="shared" si="12"/>
        <v>2.2675736961451247</v>
      </c>
      <c r="V57" s="1278">
        <f t="shared" ref="V57:V86" si="16">(S57-R57)/S57*100</f>
        <v>47.20459715072429</v>
      </c>
      <c r="W57" s="1460">
        <v>0.2</v>
      </c>
      <c r="X57" s="1453">
        <v>110</v>
      </c>
      <c r="Y57" s="1277">
        <f t="shared" si="3"/>
        <v>54.240259740259731</v>
      </c>
      <c r="Z57" s="244">
        <f t="shared" ref="Z57:AB61" si="17">R57*0.988</f>
        <v>4.3570799999999998</v>
      </c>
      <c r="AA57" s="244">
        <f t="shared" si="17"/>
        <v>8.2527639999999991</v>
      </c>
      <c r="AB57" s="1277">
        <f t="shared" si="17"/>
        <v>9.879999999999999</v>
      </c>
      <c r="AC57" s="1459">
        <f t="shared" ref="AC57:AD59" si="18">U57</f>
        <v>2.2675736961451247</v>
      </c>
      <c r="AD57" s="1277">
        <f t="shared" si="18"/>
        <v>47.20459715072429</v>
      </c>
      <c r="AE57" s="241">
        <f t="shared" si="15"/>
        <v>31</v>
      </c>
      <c r="AF57" s="1459">
        <f t="shared" si="1"/>
        <v>135.06948</v>
      </c>
      <c r="AG57" s="1285"/>
      <c r="AI57" s="1282">
        <f t="shared" si="2"/>
        <v>14.536399314934657</v>
      </c>
      <c r="AJ57" s="1252">
        <v>0.9083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528">
        <v>589.64</v>
      </c>
      <c r="J58" s="1448">
        <v>100</v>
      </c>
      <c r="K58" s="241"/>
      <c r="L58" s="1277">
        <v>354</v>
      </c>
      <c r="M58" s="241"/>
      <c r="N58" s="1278">
        <v>3.5</v>
      </c>
      <c r="O58" s="241"/>
      <c r="P58" s="1278">
        <f t="shared" si="4"/>
        <v>26.621164892454196</v>
      </c>
      <c r="Q58" s="1325">
        <f>J58*20/100</f>
        <v>20</v>
      </c>
      <c r="R58" s="244">
        <v>3.02</v>
      </c>
      <c r="S58" s="244">
        <v>22.175999999999998</v>
      </c>
      <c r="T58" s="1277">
        <v>6</v>
      </c>
      <c r="U58" s="1278">
        <f t="shared" si="12"/>
        <v>1.9867549668874172</v>
      </c>
      <c r="V58" s="1278">
        <f t="shared" si="16"/>
        <v>86.381673881673876</v>
      </c>
      <c r="W58" s="1279">
        <v>0.2</v>
      </c>
      <c r="X58" s="1449">
        <v>100</v>
      </c>
      <c r="Y58" s="1277">
        <f t="shared" si="3"/>
        <v>110.88</v>
      </c>
      <c r="Z58" s="244">
        <f t="shared" si="17"/>
        <v>2.9837600000000002</v>
      </c>
      <c r="AA58" s="244">
        <f t="shared" si="17"/>
        <v>21.909887999999999</v>
      </c>
      <c r="AB58" s="1277">
        <f t="shared" si="17"/>
        <v>5.9279999999999999</v>
      </c>
      <c r="AC58" s="244">
        <f t="shared" si="18"/>
        <v>1.9867549668874172</v>
      </c>
      <c r="AD58" s="1277">
        <f t="shared" si="18"/>
        <v>86.381673881673876</v>
      </c>
      <c r="AE58" s="241">
        <f t="shared" si="15"/>
        <v>31</v>
      </c>
      <c r="AF58" s="244">
        <f t="shared" si="1"/>
        <v>92.496560000000002</v>
      </c>
      <c r="AG58" s="1285"/>
      <c r="AI58" s="1282">
        <f t="shared" si="2"/>
        <v>26.621164892454196</v>
      </c>
      <c r="AJ58" s="1252">
        <v>0.91739999999999999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28">
        <v>560.83000000000004</v>
      </c>
      <c r="J59" s="241">
        <v>100</v>
      </c>
      <c r="K59" s="241"/>
      <c r="L59" s="1277">
        <v>360</v>
      </c>
      <c r="M59" s="241"/>
      <c r="N59" s="1278">
        <v>0.6</v>
      </c>
      <c r="O59" s="241"/>
      <c r="P59" s="1278">
        <f t="shared" si="4"/>
        <v>19.848401289851569</v>
      </c>
      <c r="Q59" s="1325">
        <f>J59*15/100</f>
        <v>15</v>
      </c>
      <c r="R59" s="244">
        <v>3.9470000000000001</v>
      </c>
      <c r="S59" s="244">
        <v>10.307</v>
      </c>
      <c r="T59" s="1277">
        <v>3.1360000000000001</v>
      </c>
      <c r="U59" s="1278">
        <f t="shared" si="12"/>
        <v>0.79452748923232841</v>
      </c>
      <c r="V59" s="1278">
        <f t="shared" si="16"/>
        <v>61.705636945765022</v>
      </c>
      <c r="W59" s="1279">
        <v>0.2</v>
      </c>
      <c r="X59" s="1316">
        <v>100</v>
      </c>
      <c r="Y59" s="1277">
        <f t="shared" si="3"/>
        <v>68.713333333333338</v>
      </c>
      <c r="Z59" s="244">
        <f t="shared" si="17"/>
        <v>3.8996360000000001</v>
      </c>
      <c r="AA59" s="244">
        <f t="shared" si="17"/>
        <v>10.183316</v>
      </c>
      <c r="AB59" s="1277">
        <f t="shared" si="17"/>
        <v>3.0983680000000002</v>
      </c>
      <c r="AC59" s="244">
        <f t="shared" si="18"/>
        <v>0.79452748923232841</v>
      </c>
      <c r="AD59" s="1277">
        <f t="shared" si="18"/>
        <v>61.705636945765022</v>
      </c>
      <c r="AE59" s="241">
        <f t="shared" si="15"/>
        <v>31</v>
      </c>
      <c r="AF59" s="244">
        <f t="shared" si="1"/>
        <v>120.888716</v>
      </c>
      <c r="AG59" s="1281"/>
      <c r="AI59" s="1282">
        <f t="shared" si="2"/>
        <v>19.848401289851569</v>
      </c>
      <c r="AJ59" s="1252">
        <v>0.91620000000000001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28">
        <v>556.55999999999995</v>
      </c>
      <c r="J60" s="241">
        <v>155</v>
      </c>
      <c r="K60" s="241"/>
      <c r="L60" s="1277">
        <v>216</v>
      </c>
      <c r="M60" s="241"/>
      <c r="N60" s="1278">
        <v>3.5</v>
      </c>
      <c r="O60" s="241"/>
      <c r="P60" s="1278">
        <f t="shared" si="4"/>
        <v>36.78242535460091</v>
      </c>
      <c r="Q60" s="1278">
        <f>J60*22/100</f>
        <v>34.1</v>
      </c>
      <c r="R60" s="244">
        <v>3.5590000000000002</v>
      </c>
      <c r="S60" s="244">
        <v>26.43</v>
      </c>
      <c r="T60" s="1277">
        <v>6.1</v>
      </c>
      <c r="U60" s="1278">
        <f t="shared" si="12"/>
        <v>1.7139645967968529</v>
      </c>
      <c r="V60" s="1278">
        <f t="shared" si="16"/>
        <v>86.534241392357174</v>
      </c>
      <c r="W60" s="1279">
        <v>0.2</v>
      </c>
      <c r="X60" s="1316">
        <v>155</v>
      </c>
      <c r="Y60" s="1277">
        <f t="shared" si="3"/>
        <v>77.507331378299114</v>
      </c>
      <c r="Z60" s="244">
        <f t="shared" si="17"/>
        <v>3.516292</v>
      </c>
      <c r="AA60" s="244">
        <f t="shared" si="17"/>
        <v>26.112839999999998</v>
      </c>
      <c r="AB60" s="1277">
        <f t="shared" si="17"/>
        <v>6.0267999999999997</v>
      </c>
      <c r="AC60" s="244">
        <f>U60</f>
        <v>1.7139645967968529</v>
      </c>
      <c r="AD60" s="1277">
        <v>0</v>
      </c>
      <c r="AE60" s="241">
        <f t="shared" si="15"/>
        <v>31</v>
      </c>
      <c r="AF60" s="244">
        <f t="shared" si="1"/>
        <v>109.00505200000001</v>
      </c>
      <c r="AG60" s="1281"/>
      <c r="AI60" s="1282">
        <f t="shared" si="2"/>
        <v>36.78242535460091</v>
      </c>
      <c r="AJ60" s="1252">
        <v>0.92549999999999999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528">
        <v>549.65</v>
      </c>
      <c r="J61" s="241">
        <v>125</v>
      </c>
      <c r="K61" s="241"/>
      <c r="L61" s="1277">
        <v>434</v>
      </c>
      <c r="M61" s="241"/>
      <c r="N61" s="1278">
        <v>0.8</v>
      </c>
      <c r="O61" s="241"/>
      <c r="P61" s="1278">
        <f t="shared" si="4"/>
        <v>12.060286194553534</v>
      </c>
      <c r="Q61" s="1278">
        <f>14*J61/100</f>
        <v>17.5</v>
      </c>
      <c r="R61" s="244">
        <v>1.72</v>
      </c>
      <c r="S61" s="244">
        <v>6.0439999999999996</v>
      </c>
      <c r="T61" s="1277">
        <v>23</v>
      </c>
      <c r="U61" s="1278">
        <f t="shared" si="12"/>
        <v>13.372093023255815</v>
      </c>
      <c r="V61" s="1278">
        <f t="shared" si="16"/>
        <v>71.54202514890801</v>
      </c>
      <c r="W61" s="1279">
        <v>0.2</v>
      </c>
      <c r="X61" s="1316">
        <v>125</v>
      </c>
      <c r="Y61" s="1277">
        <f t="shared" si="3"/>
        <v>34.537142857142854</v>
      </c>
      <c r="Z61" s="244">
        <f t="shared" si="17"/>
        <v>1.69936</v>
      </c>
      <c r="AA61" s="244">
        <f t="shared" si="17"/>
        <v>5.9714719999999994</v>
      </c>
      <c r="AB61" s="1277">
        <f t="shared" si="17"/>
        <v>22.724</v>
      </c>
      <c r="AC61" s="244">
        <f>U61</f>
        <v>13.372093023255815</v>
      </c>
      <c r="AD61" s="1277">
        <f>V61</f>
        <v>71.54202514890801</v>
      </c>
      <c r="AE61" s="241">
        <f t="shared" si="15"/>
        <v>31</v>
      </c>
      <c r="AF61" s="244">
        <f t="shared" si="1"/>
        <v>52.680160000000001</v>
      </c>
      <c r="AG61" s="1281"/>
      <c r="AI61" s="1282">
        <f t="shared" si="2"/>
        <v>12.060286194553534</v>
      </c>
      <c r="AJ61" s="1252">
        <v>0.89419999999999999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528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3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528" t="s">
        <v>692</v>
      </c>
      <c r="F63" s="241">
        <v>177.8</v>
      </c>
      <c r="G63" s="241" t="s">
        <v>28</v>
      </c>
      <c r="H63" s="1299" t="s">
        <v>466</v>
      </c>
      <c r="I63" s="1528">
        <v>534.71</v>
      </c>
      <c r="J63" s="241">
        <v>260</v>
      </c>
      <c r="K63" s="241"/>
      <c r="L63" s="1277">
        <v>27</v>
      </c>
      <c r="M63" s="241">
        <v>0</v>
      </c>
      <c r="N63" s="1278">
        <v>4.5</v>
      </c>
      <c r="O63" s="241"/>
      <c r="P63" s="1278">
        <f t="shared" si="4"/>
        <v>51.353696557414629</v>
      </c>
      <c r="Q63" s="1278">
        <f>J63*13/100</f>
        <v>33.799999999999997</v>
      </c>
      <c r="R63" s="244">
        <v>2.21</v>
      </c>
      <c r="S63" s="244">
        <v>3.6469999999999998</v>
      </c>
      <c r="T63" s="1277">
        <v>27</v>
      </c>
      <c r="U63" s="1278">
        <f>IF(R63=0,0,T63/R63)</f>
        <v>12.217194570135748</v>
      </c>
      <c r="V63" s="1278">
        <f t="shared" si="16"/>
        <v>39.402248423361662</v>
      </c>
      <c r="W63" s="1279">
        <v>0.2</v>
      </c>
      <c r="X63" s="1316">
        <v>260</v>
      </c>
      <c r="Y63" s="1277">
        <f t="shared" si="3"/>
        <v>10.789940828402367</v>
      </c>
      <c r="Z63" s="244">
        <f t="shared" ref="Z63:AB75" si="19">R63*0.988</f>
        <v>2.1834799999999999</v>
      </c>
      <c r="AA63" s="244">
        <f t="shared" si="19"/>
        <v>3.6032359999999999</v>
      </c>
      <c r="AB63" s="1277">
        <f t="shared" si="19"/>
        <v>26.675999999999998</v>
      </c>
      <c r="AC63" s="244">
        <f t="shared" ref="AC63:AD70" si="20">U63</f>
        <v>12.217194570135748</v>
      </c>
      <c r="AD63" s="1277">
        <f t="shared" si="20"/>
        <v>39.402248423361662</v>
      </c>
      <c r="AE63" s="241">
        <f t="shared" si="15"/>
        <v>31</v>
      </c>
      <c r="AF63" s="244">
        <f t="shared" si="1"/>
        <v>67.687879999999993</v>
      </c>
      <c r="AG63" s="1281"/>
      <c r="AI63" s="1282">
        <f t="shared" si="2"/>
        <v>51.353696557414629</v>
      </c>
      <c r="AJ63" s="1252">
        <v>0.91049999999999998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528">
        <v>674.45</v>
      </c>
      <c r="E64" s="1528" t="s">
        <v>232</v>
      </c>
      <c r="F64" s="241">
        <v>177.8</v>
      </c>
      <c r="G64" s="241" t="s">
        <v>28</v>
      </c>
      <c r="H64" s="1299" t="s">
        <v>464</v>
      </c>
      <c r="I64" s="1528">
        <v>542.6</v>
      </c>
      <c r="J64" s="1528">
        <v>130</v>
      </c>
      <c r="K64" s="1528"/>
      <c r="L64" s="1319">
        <v>460</v>
      </c>
      <c r="M64" s="1528"/>
      <c r="N64" s="1278">
        <v>2.9</v>
      </c>
      <c r="O64" s="1528"/>
      <c r="P64" s="1278">
        <f t="shared" si="4"/>
        <v>10.581069717284937</v>
      </c>
      <c r="Q64" s="1278">
        <f>RIGHT(H64,(FIND("T",H64,1)-0))*J64/100</f>
        <v>18.2</v>
      </c>
      <c r="R64" s="244">
        <v>4.5</v>
      </c>
      <c r="S64" s="244">
        <v>6.468</v>
      </c>
      <c r="T64" s="1319">
        <v>42</v>
      </c>
      <c r="U64" s="1278">
        <f t="shared" si="12"/>
        <v>9.3333333333333339</v>
      </c>
      <c r="V64" s="1278">
        <f t="shared" si="16"/>
        <v>30.426716141001855</v>
      </c>
      <c r="W64" s="1279">
        <v>0.2</v>
      </c>
      <c r="X64" s="1410">
        <v>130</v>
      </c>
      <c r="Y64" s="1277">
        <f t="shared" si="3"/>
        <v>35.53846153846154</v>
      </c>
      <c r="Z64" s="244">
        <f t="shared" si="19"/>
        <v>4.4459999999999997</v>
      </c>
      <c r="AA64" s="244">
        <f t="shared" si="19"/>
        <v>6.3903840000000001</v>
      </c>
      <c r="AB64" s="1277">
        <f t="shared" si="19"/>
        <v>41.496000000000002</v>
      </c>
      <c r="AC64" s="244">
        <f t="shared" si="20"/>
        <v>9.3333333333333339</v>
      </c>
      <c r="AD64" s="1277">
        <f t="shared" si="20"/>
        <v>30.426716141001855</v>
      </c>
      <c r="AE64" s="241">
        <f t="shared" si="15"/>
        <v>31</v>
      </c>
      <c r="AF64" s="244">
        <f>Z64*AE64</f>
        <v>137.82599999999999</v>
      </c>
      <c r="AG64" s="1342"/>
      <c r="AI64" s="1282">
        <f t="shared" si="2"/>
        <v>10.581069717284937</v>
      </c>
      <c r="AJ64" s="1252">
        <v>0.88649999999999995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528">
        <v>678.47</v>
      </c>
      <c r="E65" s="1528" t="s">
        <v>606</v>
      </c>
      <c r="F65" s="241">
        <v>177.8</v>
      </c>
      <c r="G65" s="241" t="s">
        <v>28</v>
      </c>
      <c r="H65" s="1299" t="s">
        <v>466</v>
      </c>
      <c r="I65" s="1528">
        <v>574.4</v>
      </c>
      <c r="J65" s="1373">
        <v>145</v>
      </c>
      <c r="K65" s="1528"/>
      <c r="L65" s="1319">
        <v>116</v>
      </c>
      <c r="M65" s="1528"/>
      <c r="N65" s="1278">
        <v>0.6</v>
      </c>
      <c r="O65" s="1528"/>
      <c r="P65" s="1278">
        <f t="shared" si="4"/>
        <v>45.193410115367953</v>
      </c>
      <c r="Q65" s="1278">
        <f>LEFT(H65,(FIND("E",H65,1)-1))*J65/100</f>
        <v>18.850000000000001</v>
      </c>
      <c r="R65" s="244">
        <v>3.0339999999999998</v>
      </c>
      <c r="S65" s="244">
        <v>19.449000000000002</v>
      </c>
      <c r="T65" s="1277">
        <v>23</v>
      </c>
      <c r="U65" s="1278">
        <f t="shared" si="12"/>
        <v>7.5807514831905083</v>
      </c>
      <c r="V65" s="1278">
        <f t="shared" si="16"/>
        <v>84.400226232711191</v>
      </c>
      <c r="W65" s="1279">
        <v>0.2</v>
      </c>
      <c r="X65" s="1452">
        <v>145</v>
      </c>
      <c r="Y65" s="1277">
        <f t="shared" si="3"/>
        <v>103.17771883289124</v>
      </c>
      <c r="Z65" s="244">
        <f t="shared" si="19"/>
        <v>2.9975919999999996</v>
      </c>
      <c r="AA65" s="244">
        <f t="shared" si="19"/>
        <v>19.215612</v>
      </c>
      <c r="AB65" s="1277">
        <f t="shared" si="19"/>
        <v>22.724</v>
      </c>
      <c r="AC65" s="244">
        <f t="shared" si="20"/>
        <v>7.5807514831905083</v>
      </c>
      <c r="AD65" s="1277">
        <f t="shared" si="20"/>
        <v>84.400226232711191</v>
      </c>
      <c r="AE65" s="241">
        <f t="shared" si="15"/>
        <v>31</v>
      </c>
      <c r="AF65" s="244">
        <f t="shared" ref="AF65:AF75" si="21">Z65*AE65</f>
        <v>92.92535199999999</v>
      </c>
      <c r="AG65" s="1281"/>
      <c r="AI65" s="1282">
        <f t="shared" si="2"/>
        <v>45.193410115367953</v>
      </c>
      <c r="AJ65" s="1252">
        <v>0.9234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528">
        <v>541.12</v>
      </c>
      <c r="J66" s="241">
        <v>175</v>
      </c>
      <c r="K66" s="241"/>
      <c r="L66" s="1277">
        <v>443</v>
      </c>
      <c r="M66" s="241"/>
      <c r="N66" s="1278">
        <v>3.9</v>
      </c>
      <c r="O66" s="241"/>
      <c r="P66" s="1278">
        <f t="shared" si="4"/>
        <v>13.416875636411378</v>
      </c>
      <c r="Q66" s="1278">
        <f>20*J66/100</f>
        <v>35</v>
      </c>
      <c r="R66" s="244">
        <v>7.9290000000000003</v>
      </c>
      <c r="S66" s="244">
        <v>23.334</v>
      </c>
      <c r="T66" s="1277">
        <v>65</v>
      </c>
      <c r="U66" s="1278">
        <f t="shared" si="12"/>
        <v>8.1977550763021814</v>
      </c>
      <c r="V66" s="1278">
        <f t="shared" si="16"/>
        <v>66.01954229879145</v>
      </c>
      <c r="W66" s="1279">
        <v>0.2</v>
      </c>
      <c r="X66" s="1316">
        <v>175</v>
      </c>
      <c r="Y66" s="1277">
        <f t="shared" si="3"/>
        <v>66.668571428571425</v>
      </c>
      <c r="Z66" s="244">
        <f t="shared" si="19"/>
        <v>7.8338520000000003</v>
      </c>
      <c r="AA66" s="244">
        <f t="shared" si="19"/>
        <v>23.053992000000001</v>
      </c>
      <c r="AB66" s="1277">
        <f t="shared" si="19"/>
        <v>64.22</v>
      </c>
      <c r="AC66" s="244">
        <f t="shared" si="20"/>
        <v>8.1977550763021814</v>
      </c>
      <c r="AD66" s="1277">
        <f t="shared" si="20"/>
        <v>66.01954229879145</v>
      </c>
      <c r="AE66" s="241">
        <f t="shared" si="15"/>
        <v>31</v>
      </c>
      <c r="AF66" s="244">
        <f t="shared" si="21"/>
        <v>242.849412</v>
      </c>
      <c r="AG66" s="1285"/>
      <c r="AI66" s="1282">
        <f t="shared" si="2"/>
        <v>13.416875636411378</v>
      </c>
      <c r="AJ66" s="1252">
        <v>0.88929999999999998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528">
        <v>521.42999999999995</v>
      </c>
      <c r="J67" s="241">
        <v>300</v>
      </c>
      <c r="K67" s="241"/>
      <c r="L67" s="1277">
        <v>456</v>
      </c>
      <c r="M67" s="241"/>
      <c r="N67" s="1278">
        <v>6.1</v>
      </c>
      <c r="O67" s="241"/>
      <c r="P67" s="1278">
        <f t="shared" si="4"/>
        <v>12.245739321036265</v>
      </c>
      <c r="Q67" s="1278">
        <f>J67*14/100</f>
        <v>42</v>
      </c>
      <c r="R67" s="244">
        <v>8.5250000000000004</v>
      </c>
      <c r="S67" s="244">
        <v>13.625</v>
      </c>
      <c r="T67" s="1277">
        <v>162</v>
      </c>
      <c r="U67" s="1278">
        <f t="shared" si="12"/>
        <v>19.002932551319649</v>
      </c>
      <c r="V67" s="1278">
        <f t="shared" si="16"/>
        <v>37.431192660550458</v>
      </c>
      <c r="W67" s="1279">
        <v>0.2</v>
      </c>
      <c r="X67" s="1316">
        <v>300</v>
      </c>
      <c r="Y67" s="1277">
        <f t="shared" si="3"/>
        <v>32.44047619047619</v>
      </c>
      <c r="Z67" s="244">
        <f t="shared" si="19"/>
        <v>8.4227000000000007</v>
      </c>
      <c r="AA67" s="244">
        <f t="shared" si="19"/>
        <v>13.461499999999999</v>
      </c>
      <c r="AB67" s="1277">
        <f t="shared" si="19"/>
        <v>160.05600000000001</v>
      </c>
      <c r="AC67" s="244">
        <f t="shared" si="20"/>
        <v>19.002932551319649</v>
      </c>
      <c r="AD67" s="1277">
        <f t="shared" si="20"/>
        <v>37.431192660550458</v>
      </c>
      <c r="AE67" s="241">
        <f t="shared" si="15"/>
        <v>31</v>
      </c>
      <c r="AF67" s="244">
        <f t="shared" si="21"/>
        <v>261.1037</v>
      </c>
      <c r="AG67" s="1285"/>
      <c r="AI67" s="1282">
        <f t="shared" si="2"/>
        <v>12.245739321036265</v>
      </c>
      <c r="AJ67" s="1252">
        <v>0.87360000000000004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528" t="s">
        <v>607</v>
      </c>
      <c r="F68" s="241">
        <v>177.8</v>
      </c>
      <c r="G68" s="241" t="s">
        <v>28</v>
      </c>
      <c r="H68" s="241" t="s">
        <v>464</v>
      </c>
      <c r="I68" s="1528">
        <v>512.28</v>
      </c>
      <c r="J68" s="241">
        <v>175</v>
      </c>
      <c r="K68" s="241"/>
      <c r="L68" s="1277">
        <v>424</v>
      </c>
      <c r="M68" s="241"/>
      <c r="N68" s="1278">
        <v>3.5</v>
      </c>
      <c r="O68" s="241"/>
      <c r="P68" s="1278">
        <f t="shared" si="4"/>
        <v>12.007881800897193</v>
      </c>
      <c r="Q68" s="1278">
        <f>J68*14/100</f>
        <v>24.5</v>
      </c>
      <c r="R68" s="244">
        <v>6.35</v>
      </c>
      <c r="S68" s="244">
        <v>14.86</v>
      </c>
      <c r="T68" s="1277">
        <v>34</v>
      </c>
      <c r="U68" s="1278">
        <f t="shared" si="12"/>
        <v>5.3543307086614176</v>
      </c>
      <c r="V68" s="1278">
        <f t="shared" si="16"/>
        <v>57.267833109017495</v>
      </c>
      <c r="W68" s="1279">
        <v>0.2</v>
      </c>
      <c r="X68" s="1316">
        <v>175</v>
      </c>
      <c r="Y68" s="1277">
        <f t="shared" si="3"/>
        <v>60.65306122448979</v>
      </c>
      <c r="Z68" s="244">
        <f t="shared" si="19"/>
        <v>6.2737999999999996</v>
      </c>
      <c r="AA68" s="244">
        <f t="shared" si="19"/>
        <v>14.68168</v>
      </c>
      <c r="AB68" s="1277">
        <f t="shared" si="19"/>
        <v>33.591999999999999</v>
      </c>
      <c r="AC68" s="244">
        <f t="shared" si="20"/>
        <v>5.3543307086614176</v>
      </c>
      <c r="AD68" s="1277">
        <f t="shared" si="20"/>
        <v>57.267833109017495</v>
      </c>
      <c r="AE68" s="241">
        <f t="shared" si="15"/>
        <v>31</v>
      </c>
      <c r="AF68" s="244">
        <f t="shared" si="21"/>
        <v>194.48779999999999</v>
      </c>
      <c r="AG68" s="1285"/>
      <c r="AI68" s="1282">
        <f t="shared" si="2"/>
        <v>12.007881800897193</v>
      </c>
      <c r="AJ68" s="1252">
        <v>0.89659999999999995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528">
        <v>539.28</v>
      </c>
      <c r="J69" s="241">
        <v>120</v>
      </c>
      <c r="K69" s="241"/>
      <c r="L69" s="1277">
        <v>225</v>
      </c>
      <c r="M69" s="241"/>
      <c r="N69" s="1278">
        <v>4</v>
      </c>
      <c r="O69" s="241"/>
      <c r="P69" s="1278">
        <f t="shared" si="4"/>
        <v>34.382666442495413</v>
      </c>
      <c r="Q69" s="1278">
        <f>J69*13/100</f>
        <v>15.6</v>
      </c>
      <c r="R69" s="244">
        <v>2.16</v>
      </c>
      <c r="S69" s="244">
        <v>11.15</v>
      </c>
      <c r="T69" s="1277">
        <v>14.5</v>
      </c>
      <c r="U69" s="1278">
        <f t="shared" si="12"/>
        <v>6.7129629629629628</v>
      </c>
      <c r="V69" s="1278">
        <f t="shared" si="16"/>
        <v>80.627802690582968</v>
      </c>
      <c r="W69" s="1279">
        <v>0.2</v>
      </c>
      <c r="X69" s="1316">
        <v>120</v>
      </c>
      <c r="Y69" s="1277">
        <f t="shared" si="3"/>
        <v>71.474358974358978</v>
      </c>
      <c r="Z69" s="244">
        <f t="shared" si="19"/>
        <v>2.13408</v>
      </c>
      <c r="AA69" s="244">
        <f t="shared" si="19"/>
        <v>11.0162</v>
      </c>
      <c r="AB69" s="1277">
        <f t="shared" si="19"/>
        <v>14.326000000000001</v>
      </c>
      <c r="AC69" s="244">
        <f t="shared" si="20"/>
        <v>6.7129629629629628</v>
      </c>
      <c r="AD69" s="1277">
        <f t="shared" si="20"/>
        <v>80.627802690582968</v>
      </c>
      <c r="AE69" s="241">
        <f t="shared" si="15"/>
        <v>31</v>
      </c>
      <c r="AF69" s="244">
        <f>Z69*AE69</f>
        <v>66.156480000000002</v>
      </c>
      <c r="AG69" s="1285"/>
      <c r="AI69" s="1282">
        <f t="shared" si="2"/>
        <v>34.382666442495413</v>
      </c>
      <c r="AJ69" s="1252">
        <v>0.89490000000000003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528">
        <v>541.46</v>
      </c>
      <c r="J70" s="241">
        <v>100</v>
      </c>
      <c r="K70" s="241"/>
      <c r="L70" s="1277">
        <v>227</v>
      </c>
      <c r="M70" s="241"/>
      <c r="N70" s="1278">
        <v>6.6</v>
      </c>
      <c r="O70" s="241"/>
      <c r="P70" s="1278">
        <f t="shared" si="4"/>
        <v>37.06232209487748</v>
      </c>
      <c r="Q70" s="1278">
        <f>(32/100)*J70</f>
        <v>32</v>
      </c>
      <c r="R70" s="244">
        <v>6.5940000000000003</v>
      </c>
      <c r="S70" s="244">
        <v>37.168999999999997</v>
      </c>
      <c r="T70" s="1277">
        <v>40</v>
      </c>
      <c r="U70" s="1278">
        <f t="shared" si="12"/>
        <v>6.0661207158022439</v>
      </c>
      <c r="V70" s="1278">
        <f t="shared" si="16"/>
        <v>82.259409723156381</v>
      </c>
      <c r="W70" s="1279">
        <v>0.2</v>
      </c>
      <c r="X70" s="1316">
        <v>100</v>
      </c>
      <c r="Y70" s="1277">
        <f t="shared" si="3"/>
        <v>116.15312499999999</v>
      </c>
      <c r="Z70" s="244">
        <v>6</v>
      </c>
      <c r="AA70" s="244">
        <f t="shared" si="19"/>
        <v>36.722971999999999</v>
      </c>
      <c r="AB70" s="1277">
        <f t="shared" si="19"/>
        <v>39.519999999999996</v>
      </c>
      <c r="AC70" s="244">
        <f>U70</f>
        <v>6.0661207158022439</v>
      </c>
      <c r="AD70" s="1277">
        <f t="shared" si="20"/>
        <v>82.259409723156381</v>
      </c>
      <c r="AE70" s="241">
        <f t="shared" si="15"/>
        <v>31</v>
      </c>
      <c r="AF70" s="244">
        <f t="shared" si="21"/>
        <v>186</v>
      </c>
      <c r="AG70" s="1285"/>
      <c r="AI70" s="1282">
        <f t="shared" si="2"/>
        <v>37.06232209487748</v>
      </c>
      <c r="AJ70" s="1252">
        <v>0.89490000000000003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528">
        <v>539.83000000000004</v>
      </c>
      <c r="J71" s="1448">
        <v>95</v>
      </c>
      <c r="K71" s="241"/>
      <c r="L71" s="1277">
        <v>131</v>
      </c>
      <c r="M71" s="1278"/>
      <c r="N71" s="1278">
        <v>9.3000000000000007</v>
      </c>
      <c r="O71" s="241"/>
      <c r="P71" s="1278">
        <f t="shared" si="4"/>
        <v>49.140807826479957</v>
      </c>
      <c r="Q71" s="1278">
        <f>(32/100)*J71</f>
        <v>30.400000000000002</v>
      </c>
      <c r="R71" s="244">
        <v>3.67</v>
      </c>
      <c r="S71" s="244">
        <v>33.963000000000001</v>
      </c>
      <c r="T71" s="1277">
        <v>48</v>
      </c>
      <c r="U71" s="1278">
        <f t="shared" si="12"/>
        <v>13.079019073569482</v>
      </c>
      <c r="V71" s="1278">
        <f t="shared" si="16"/>
        <v>89.194123016223543</v>
      </c>
      <c r="W71" s="1279">
        <v>0.3</v>
      </c>
      <c r="X71" s="1449">
        <v>95</v>
      </c>
      <c r="Y71" s="1277">
        <f t="shared" si="3"/>
        <v>111.7203947368421</v>
      </c>
      <c r="Z71" s="244">
        <f t="shared" ref="Z71:AA75" si="22">R71*0.988</f>
        <v>3.6259600000000001</v>
      </c>
      <c r="AA71" s="244">
        <f t="shared" si="22"/>
        <v>33.555444000000001</v>
      </c>
      <c r="AB71" s="1277">
        <f t="shared" si="19"/>
        <v>47.423999999999999</v>
      </c>
      <c r="AC71" s="244">
        <f>U71</f>
        <v>13.079019073569482</v>
      </c>
      <c r="AD71" s="1277">
        <f>V71</f>
        <v>89.194123016223543</v>
      </c>
      <c r="AE71" s="241">
        <v>0</v>
      </c>
      <c r="AF71" s="244">
        <f t="shared" si="21"/>
        <v>0</v>
      </c>
      <c r="AG71" s="1343"/>
      <c r="AI71" s="1282">
        <f t="shared" si="2"/>
        <v>49.140807826479957</v>
      </c>
      <c r="AJ71" s="1252">
        <v>0.89390000000000003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528">
        <v>512.47</v>
      </c>
      <c r="J72" s="1277">
        <v>245</v>
      </c>
      <c r="K72" s="241"/>
      <c r="L72" s="1277">
        <v>463</v>
      </c>
      <c r="M72" s="241"/>
      <c r="N72" s="1278">
        <v>5.9</v>
      </c>
      <c r="O72" s="241"/>
      <c r="P72" s="1278">
        <f t="shared" si="4"/>
        <v>10.475431425817684</v>
      </c>
      <c r="Q72" s="1278">
        <f>(32*J72)/100</f>
        <v>78.400000000000006</v>
      </c>
      <c r="R72" s="244">
        <v>13.885</v>
      </c>
      <c r="S72" s="244">
        <v>17.212</v>
      </c>
      <c r="T72" s="1277">
        <v>326</v>
      </c>
      <c r="U72" s="1278">
        <f t="shared" si="12"/>
        <v>23.478574000720201</v>
      </c>
      <c r="V72" s="1278">
        <f t="shared" si="16"/>
        <v>19.32953753195445</v>
      </c>
      <c r="W72" s="1279">
        <v>0.2</v>
      </c>
      <c r="X72" s="1454">
        <v>245</v>
      </c>
      <c r="Y72" s="1277">
        <f t="shared" si="3"/>
        <v>21.954081632653057</v>
      </c>
      <c r="Z72" s="244">
        <f t="shared" si="22"/>
        <v>13.71838</v>
      </c>
      <c r="AA72" s="244">
        <f t="shared" si="22"/>
        <v>17.005455999999999</v>
      </c>
      <c r="AB72" s="1277">
        <f t="shared" si="19"/>
        <v>322.08800000000002</v>
      </c>
      <c r="AC72" s="244">
        <f>U72</f>
        <v>23.478574000720201</v>
      </c>
      <c r="AD72" s="1277">
        <f>V72</f>
        <v>19.32953753195445</v>
      </c>
      <c r="AE72" s="241">
        <f t="shared" si="15"/>
        <v>31</v>
      </c>
      <c r="AF72" s="244">
        <f t="shared" si="21"/>
        <v>425.26977999999997</v>
      </c>
      <c r="AG72" s="1281"/>
      <c r="AI72" s="1282">
        <f t="shared" si="2"/>
        <v>10.475431425817684</v>
      </c>
      <c r="AJ72" s="1252">
        <v>0.86950000000000005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609</v>
      </c>
      <c r="F73" s="241">
        <v>178.8</v>
      </c>
      <c r="G73" s="241" t="s">
        <v>28</v>
      </c>
      <c r="H73" s="1299" t="s">
        <v>565</v>
      </c>
      <c r="I73" s="1528">
        <v>500.41</v>
      </c>
      <c r="J73" s="1448">
        <v>235</v>
      </c>
      <c r="K73" s="241"/>
      <c r="L73" s="1277">
        <v>483</v>
      </c>
      <c r="M73" s="241"/>
      <c r="N73" s="1278">
        <v>3.9</v>
      </c>
      <c r="O73" s="241"/>
      <c r="P73" s="1278">
        <f t="shared" si="4"/>
        <v>5.7125526016361379</v>
      </c>
      <c r="Q73" s="1278">
        <f>J73*32/100</f>
        <v>75.2</v>
      </c>
      <c r="R73" s="244">
        <v>10.928000000000001</v>
      </c>
      <c r="S73" s="244">
        <v>17.353000000000002</v>
      </c>
      <c r="T73" s="1277">
        <v>109</v>
      </c>
      <c r="U73" s="1278">
        <f t="shared" si="12"/>
        <v>9.9743777452415809</v>
      </c>
      <c r="V73" s="1278">
        <f t="shared" si="16"/>
        <v>37.025298219328072</v>
      </c>
      <c r="W73" s="1279">
        <v>0.2</v>
      </c>
      <c r="X73" s="1449">
        <v>235</v>
      </c>
      <c r="Y73" s="1277">
        <f t="shared" si="3"/>
        <v>23.075797872340427</v>
      </c>
      <c r="Z73" s="244">
        <f t="shared" si="22"/>
        <v>10.796864000000001</v>
      </c>
      <c r="AA73" s="244">
        <f t="shared" si="22"/>
        <v>17.144764000000002</v>
      </c>
      <c r="AB73" s="1277">
        <f t="shared" si="19"/>
        <v>107.69199999999999</v>
      </c>
      <c r="AC73" s="244">
        <v>20</v>
      </c>
      <c r="AD73" s="1277">
        <v>17</v>
      </c>
      <c r="AE73" s="241">
        <f t="shared" si="15"/>
        <v>31</v>
      </c>
      <c r="AF73" s="244">
        <f t="shared" si="21"/>
        <v>334.70278400000001</v>
      </c>
      <c r="AG73" s="1281"/>
      <c r="AI73" s="1282">
        <f t="shared" si="2"/>
        <v>5.7125526016361379</v>
      </c>
      <c r="AJ73" s="1252">
        <v>0.84030000000000005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528">
        <v>549.1</v>
      </c>
      <c r="J74" s="1448">
        <v>185</v>
      </c>
      <c r="K74" s="241"/>
      <c r="L74" s="1277">
        <v>446</v>
      </c>
      <c r="M74" s="241"/>
      <c r="N74" s="1278">
        <v>8.3000000000000007</v>
      </c>
      <c r="O74" s="241"/>
      <c r="P74" s="1278">
        <f t="shared" si="4"/>
        <v>18.067680808627543</v>
      </c>
      <c r="Q74" s="1278">
        <f>LEFT(H74,(FIND("E",H74,1)-1))*J74/100</f>
        <v>40.700000000000003</v>
      </c>
      <c r="R74" s="244">
        <v>12.204000000000001</v>
      </c>
      <c r="S74" s="244">
        <v>26.134</v>
      </c>
      <c r="T74" s="1277">
        <v>343</v>
      </c>
      <c r="U74" s="1278">
        <f t="shared" si="12"/>
        <v>28.105539167486068</v>
      </c>
      <c r="V74" s="1278">
        <f t="shared" si="16"/>
        <v>53.302211678273515</v>
      </c>
      <c r="W74" s="1279">
        <v>0.2</v>
      </c>
      <c r="X74" s="1449">
        <v>185</v>
      </c>
      <c r="Y74" s="1277">
        <f t="shared" si="3"/>
        <v>64.211302211302211</v>
      </c>
      <c r="Z74" s="244">
        <f t="shared" si="22"/>
        <v>12.057552000000001</v>
      </c>
      <c r="AA74" s="244">
        <f t="shared" si="22"/>
        <v>25.820392000000002</v>
      </c>
      <c r="AB74" s="1277">
        <f t="shared" si="19"/>
        <v>338.88400000000001</v>
      </c>
      <c r="AC74" s="244">
        <f>U74</f>
        <v>28.105539167486068</v>
      </c>
      <c r="AD74" s="1277">
        <f>V74</f>
        <v>53.302211678273515</v>
      </c>
      <c r="AE74" s="241">
        <f t="shared" si="15"/>
        <v>31</v>
      </c>
      <c r="AF74" s="244">
        <f t="shared" si="21"/>
        <v>373.78411200000005</v>
      </c>
      <c r="AG74" s="1285"/>
      <c r="AI74" s="1282">
        <f t="shared" si="2"/>
        <v>18.067680808627543</v>
      </c>
      <c r="AJ74" s="1252">
        <v>0.877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310</v>
      </c>
      <c r="I75" s="1528">
        <v>537.29</v>
      </c>
      <c r="J75" s="1448">
        <v>350</v>
      </c>
      <c r="K75" s="241"/>
      <c r="L75" s="1277">
        <v>290</v>
      </c>
      <c r="M75" s="241"/>
      <c r="N75" s="1278">
        <v>2.2999999999999998</v>
      </c>
      <c r="O75" s="241"/>
      <c r="P75" s="1278">
        <f t="shared" si="4"/>
        <v>25.184128527000425</v>
      </c>
      <c r="Q75" s="1278">
        <f t="shared" ref="Q75" si="23">LEFT(H75,(FIND("K",H75,1)-1))*J75/100</f>
        <v>77</v>
      </c>
      <c r="R75" s="244">
        <v>12.135</v>
      </c>
      <c r="S75" s="244">
        <v>22.21</v>
      </c>
      <c r="T75" s="1277">
        <v>51</v>
      </c>
      <c r="U75" s="1278">
        <f t="shared" si="12"/>
        <v>4.2027194066749072</v>
      </c>
      <c r="V75" s="1278">
        <f t="shared" si="16"/>
        <v>45.362449347140931</v>
      </c>
      <c r="W75" s="1279">
        <v>0.2</v>
      </c>
      <c r="X75" s="1449">
        <v>350</v>
      </c>
      <c r="Y75" s="1277">
        <f t="shared" si="3"/>
        <v>28.844155844155843</v>
      </c>
      <c r="Z75" s="244">
        <f t="shared" si="22"/>
        <v>11.989379999999999</v>
      </c>
      <c r="AA75" s="244">
        <f t="shared" si="22"/>
        <v>21.943480000000001</v>
      </c>
      <c r="AB75" s="1277">
        <f t="shared" si="19"/>
        <v>50.387999999999998</v>
      </c>
      <c r="AC75" s="244">
        <f>U75</f>
        <v>4.2027194066749072</v>
      </c>
      <c r="AD75" s="1277">
        <f>V75</f>
        <v>45.362449347140931</v>
      </c>
      <c r="AE75" s="241">
        <f t="shared" si="15"/>
        <v>31</v>
      </c>
      <c r="AF75" s="244">
        <f t="shared" si="21"/>
        <v>371.67077999999998</v>
      </c>
      <c r="AG75" s="1285"/>
      <c r="AI75" s="1282">
        <f t="shared" si="2"/>
        <v>25.184128527000425</v>
      </c>
      <c r="AJ75" s="1252">
        <v>0.8911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528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3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752</v>
      </c>
      <c r="F77" s="241">
        <v>177.8</v>
      </c>
      <c r="G77" s="241" t="s">
        <v>28</v>
      </c>
      <c r="H77" s="1299" t="s">
        <v>687</v>
      </c>
      <c r="I77" s="1528">
        <v>566.73</v>
      </c>
      <c r="J77" s="1448">
        <v>85</v>
      </c>
      <c r="K77" s="241"/>
      <c r="L77" s="1277">
        <v>268</v>
      </c>
      <c r="M77" s="241"/>
      <c r="N77" s="1278">
        <v>1</v>
      </c>
      <c r="O77" s="241"/>
      <c r="P77" s="1278">
        <f t="shared" si="4"/>
        <v>29.892554860018912</v>
      </c>
      <c r="Q77" s="1278">
        <f>(20*J77)/100</f>
        <v>17</v>
      </c>
      <c r="R77" s="244">
        <v>4.1379999999999999</v>
      </c>
      <c r="S77" s="244">
        <v>16.216000000000001</v>
      </c>
      <c r="T77" s="1277">
        <v>0</v>
      </c>
      <c r="U77" s="1278">
        <f t="shared" si="12"/>
        <v>0</v>
      </c>
      <c r="V77" s="1278">
        <f t="shared" si="16"/>
        <v>74.481993093241243</v>
      </c>
      <c r="W77" s="1279">
        <v>0.2</v>
      </c>
      <c r="X77" s="1449">
        <v>85</v>
      </c>
      <c r="Y77" s="1277">
        <f t="shared" si="3"/>
        <v>95.388235294117649</v>
      </c>
      <c r="Z77" s="244">
        <f t="shared" ref="Z77:AB81" si="24">R77*0.988</f>
        <v>4.0883440000000002</v>
      </c>
      <c r="AA77" s="244">
        <f t="shared" si="24"/>
        <v>16.021408000000001</v>
      </c>
      <c r="AB77" s="1277">
        <f t="shared" si="24"/>
        <v>0</v>
      </c>
      <c r="AC77" s="244">
        <f t="shared" ref="AC77:AD81" si="25">U77</f>
        <v>0</v>
      </c>
      <c r="AD77" s="1277">
        <f t="shared" si="25"/>
        <v>74.481993093241243</v>
      </c>
      <c r="AE77" s="241">
        <f t="shared" si="15"/>
        <v>31</v>
      </c>
      <c r="AF77" s="244">
        <f t="shared" ref="AF77:AF83" si="26">Z77*AE77</f>
        <v>126.738664</v>
      </c>
      <c r="AG77" s="1285"/>
      <c r="AI77" s="1282">
        <f t="shared" si="2"/>
        <v>29.892554860018912</v>
      </c>
      <c r="AJ77" s="1252">
        <v>0.92200000000000004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565</v>
      </c>
      <c r="I78" s="1528">
        <v>531.94000000000005</v>
      </c>
      <c r="J78" s="1448">
        <v>355</v>
      </c>
      <c r="K78" s="241"/>
      <c r="L78" s="1277">
        <v>320</v>
      </c>
      <c r="M78" s="241"/>
      <c r="N78" s="1278">
        <v>8.5</v>
      </c>
      <c r="O78" s="241"/>
      <c r="P78" s="1278">
        <f t="shared" si="4"/>
        <v>28.570136299365402</v>
      </c>
      <c r="Q78" s="1278">
        <f>(32*J78)/100</f>
        <v>113.6</v>
      </c>
      <c r="R78" s="244">
        <v>13.667</v>
      </c>
      <c r="S78" s="244">
        <v>37.823</v>
      </c>
      <c r="T78" s="1277">
        <v>170</v>
      </c>
      <c r="U78" s="1278">
        <f t="shared" si="12"/>
        <v>12.438721006804712</v>
      </c>
      <c r="V78" s="1278">
        <f t="shared" si="16"/>
        <v>63.865901700023784</v>
      </c>
      <c r="W78" s="1279">
        <v>0.2</v>
      </c>
      <c r="X78" s="1449">
        <v>355</v>
      </c>
      <c r="Y78" s="1277">
        <f t="shared" si="3"/>
        <v>33.294894366197184</v>
      </c>
      <c r="Z78" s="244">
        <f t="shared" si="24"/>
        <v>13.502996</v>
      </c>
      <c r="AA78" s="244">
        <f t="shared" si="24"/>
        <v>37.369123999999999</v>
      </c>
      <c r="AB78" s="1277">
        <f t="shared" si="24"/>
        <v>167.96</v>
      </c>
      <c r="AC78" s="244">
        <f t="shared" si="25"/>
        <v>12.438721006804712</v>
      </c>
      <c r="AD78" s="1277">
        <f t="shared" si="25"/>
        <v>63.865901700023784</v>
      </c>
      <c r="AE78" s="241">
        <v>31</v>
      </c>
      <c r="AF78" s="244">
        <f t="shared" si="26"/>
        <v>418.59287599999999</v>
      </c>
      <c r="AG78" s="1285"/>
      <c r="AI78" s="1282">
        <f t="shared" si="2"/>
        <v>28.570136299365402</v>
      </c>
      <c r="AJ78" s="1252">
        <v>0.8821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528">
        <v>533.89</v>
      </c>
      <c r="J79" s="1448">
        <v>85</v>
      </c>
      <c r="K79" s="241"/>
      <c r="L79" s="1277">
        <v>58</v>
      </c>
      <c r="M79" s="241"/>
      <c r="N79" s="1278">
        <v>0.9</v>
      </c>
      <c r="O79" s="241"/>
      <c r="P79" s="1278">
        <f t="shared" si="4"/>
        <v>46.826637115453835</v>
      </c>
      <c r="Q79" s="1278">
        <f>(20/100)*J79</f>
        <v>17</v>
      </c>
      <c r="R79" s="244">
        <v>3.14</v>
      </c>
      <c r="S79" s="244">
        <v>16.738</v>
      </c>
      <c r="T79" s="1277">
        <v>44</v>
      </c>
      <c r="U79" s="1278">
        <f t="shared" si="12"/>
        <v>14.012738853503183</v>
      </c>
      <c r="V79" s="1278">
        <f t="shared" si="16"/>
        <v>81.240291552156762</v>
      </c>
      <c r="W79" s="1279">
        <v>0.2</v>
      </c>
      <c r="X79" s="1449">
        <v>85</v>
      </c>
      <c r="Y79" s="1277">
        <f t="shared" si="3"/>
        <v>98.45882352941176</v>
      </c>
      <c r="Z79" s="244">
        <f t="shared" si="24"/>
        <v>3.1023200000000002</v>
      </c>
      <c r="AA79" s="244">
        <f t="shared" si="24"/>
        <v>16.537143999999998</v>
      </c>
      <c r="AB79" s="1277">
        <f t="shared" si="24"/>
        <v>43.472000000000001</v>
      </c>
      <c r="AC79" s="244">
        <f t="shared" si="25"/>
        <v>14.012738853503183</v>
      </c>
      <c r="AD79" s="1277">
        <f t="shared" si="25"/>
        <v>81.240291552156762</v>
      </c>
      <c r="AE79" s="241">
        <f t="shared" si="15"/>
        <v>31</v>
      </c>
      <c r="AF79" s="244">
        <f t="shared" si="26"/>
        <v>96.17192</v>
      </c>
      <c r="AG79" s="1285"/>
      <c r="AI79" s="1282">
        <f t="shared" si="2"/>
        <v>46.826637115453835</v>
      </c>
      <c r="AJ79" s="1252">
        <v>0.90100000000000002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546</v>
      </c>
      <c r="F80" s="241">
        <v>179.8</v>
      </c>
      <c r="G80" s="241" t="s">
        <v>28</v>
      </c>
      <c r="H80" s="1299" t="s">
        <v>565</v>
      </c>
      <c r="I80" s="1528">
        <v>571.08000000000004</v>
      </c>
      <c r="J80" s="1448">
        <v>195</v>
      </c>
      <c r="K80" s="241"/>
      <c r="L80" s="1277">
        <v>455</v>
      </c>
      <c r="M80" s="241"/>
      <c r="N80" s="1278">
        <v>6.1</v>
      </c>
      <c r="O80" s="241"/>
      <c r="P80" s="1278">
        <f t="shared" si="4"/>
        <v>15.865865833108575</v>
      </c>
      <c r="Q80" s="1278">
        <f>(32/100)*J80</f>
        <v>62.4</v>
      </c>
      <c r="R80" s="244">
        <v>10.936</v>
      </c>
      <c r="S80" s="244">
        <v>11.755000000000001</v>
      </c>
      <c r="T80" s="1277">
        <v>387</v>
      </c>
      <c r="U80" s="1278">
        <f t="shared" si="12"/>
        <v>35.387710314557424</v>
      </c>
      <c r="V80" s="1278">
        <f t="shared" si="16"/>
        <v>6.9672479795831634</v>
      </c>
      <c r="W80" s="1279">
        <v>0.2</v>
      </c>
      <c r="X80" s="1449">
        <v>195</v>
      </c>
      <c r="Y80" s="1277">
        <f t="shared" si="3"/>
        <v>18.838141025641029</v>
      </c>
      <c r="Z80" s="244">
        <f t="shared" si="24"/>
        <v>10.804767999999999</v>
      </c>
      <c r="AA80" s="244">
        <f t="shared" si="24"/>
        <v>11.613940000000001</v>
      </c>
      <c r="AB80" s="1277">
        <f t="shared" si="24"/>
        <v>382.35599999999999</v>
      </c>
      <c r="AC80" s="244">
        <f t="shared" si="25"/>
        <v>35.387710314557424</v>
      </c>
      <c r="AD80" s="1277">
        <f t="shared" si="25"/>
        <v>6.9672479795831634</v>
      </c>
      <c r="AE80" s="1288">
        <v>0</v>
      </c>
      <c r="AF80" s="244">
        <f t="shared" si="26"/>
        <v>0</v>
      </c>
      <c r="AG80" s="1285"/>
      <c r="AI80" s="1282">
        <f t="shared" si="2"/>
        <v>15.865865833108575</v>
      </c>
      <c r="AJ80" s="1252">
        <v>0.83209999999999995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528">
        <v>664.19</v>
      </c>
      <c r="J81" s="1448">
        <v>165</v>
      </c>
      <c r="K81" s="241"/>
      <c r="L81" s="1277">
        <v>78</v>
      </c>
      <c r="M81" s="241"/>
      <c r="N81" s="1278">
        <v>3.1</v>
      </c>
      <c r="O81" s="241"/>
      <c r="P81" s="1278">
        <f t="shared" si="4"/>
        <v>55.138762978590627</v>
      </c>
      <c r="Q81" s="1278">
        <f>14*J81/100</f>
        <v>23.1</v>
      </c>
      <c r="R81" s="244">
        <v>5.5309999999999997</v>
      </c>
      <c r="S81" s="244">
        <v>5.6840000000000002</v>
      </c>
      <c r="T81" s="1277">
        <v>191</v>
      </c>
      <c r="U81" s="1278">
        <f t="shared" si="12"/>
        <v>34.532634243355631</v>
      </c>
      <c r="V81" s="1278">
        <f t="shared" si="16"/>
        <v>2.6917663617171086</v>
      </c>
      <c r="W81" s="1279">
        <v>0.2</v>
      </c>
      <c r="X81" s="1449">
        <v>165</v>
      </c>
      <c r="Y81" s="1277">
        <f t="shared" si="3"/>
        <v>24.606060606060606</v>
      </c>
      <c r="Z81" s="244">
        <f t="shared" si="24"/>
        <v>5.4646279999999994</v>
      </c>
      <c r="AA81" s="244">
        <f t="shared" si="24"/>
        <v>5.6157919999999999</v>
      </c>
      <c r="AB81" s="1277">
        <f t="shared" si="24"/>
        <v>188.708</v>
      </c>
      <c r="AC81" s="244">
        <f t="shared" si="25"/>
        <v>34.532634243355631</v>
      </c>
      <c r="AD81" s="1277">
        <f t="shared" si="25"/>
        <v>2.6917663617171086</v>
      </c>
      <c r="AE81" s="1288">
        <v>0</v>
      </c>
      <c r="AF81" s="244">
        <f t="shared" si="26"/>
        <v>0</v>
      </c>
      <c r="AG81" s="1281"/>
      <c r="AI81" s="1282">
        <f t="shared" si="2"/>
        <v>55.138762978590627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528">
        <v>700</v>
      </c>
      <c r="E82" s="1528" t="s">
        <v>547</v>
      </c>
      <c r="F82" s="241">
        <v>177.8</v>
      </c>
      <c r="G82" s="241" t="s">
        <v>28</v>
      </c>
      <c r="H82" s="241" t="s">
        <v>464</v>
      </c>
      <c r="I82" s="1528">
        <v>608.22</v>
      </c>
      <c r="J82" s="1528">
        <v>0</v>
      </c>
      <c r="K82" s="1528"/>
      <c r="L82" s="1319">
        <v>0</v>
      </c>
      <c r="M82" s="1528"/>
      <c r="N82" s="1278">
        <v>0</v>
      </c>
      <c r="O82" s="1528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3"/>
        <v>0</v>
      </c>
      <c r="Z82" s="244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528">
        <v>619.66</v>
      </c>
      <c r="E83" s="1528" t="s">
        <v>613</v>
      </c>
      <c r="F83" s="241">
        <v>177.8</v>
      </c>
      <c r="G83" s="241" t="s">
        <v>28</v>
      </c>
      <c r="H83" s="1299" t="s">
        <v>687</v>
      </c>
      <c r="I83" s="1528">
        <v>595.26</v>
      </c>
      <c r="J83" s="1528">
        <v>60</v>
      </c>
      <c r="K83" s="1528"/>
      <c r="L83" s="1319">
        <v>109</v>
      </c>
      <c r="M83" s="1528"/>
      <c r="N83" s="1278">
        <v>0.8</v>
      </c>
      <c r="O83" s="1528"/>
      <c r="P83" s="1278">
        <f t="shared" si="4"/>
        <v>43.503870679544768</v>
      </c>
      <c r="Q83" s="1278">
        <f>(20/100)*J83</f>
        <v>12</v>
      </c>
      <c r="R83" s="244">
        <v>2.7919999999999998</v>
      </c>
      <c r="S83" s="244">
        <v>2.8570000000000002</v>
      </c>
      <c r="T83" s="1319">
        <v>0</v>
      </c>
      <c r="U83" s="244">
        <f t="shared" si="12"/>
        <v>0</v>
      </c>
      <c r="V83" s="1278">
        <f t="shared" si="16"/>
        <v>2.2751137556877978</v>
      </c>
      <c r="W83" s="1279">
        <v>0.2</v>
      </c>
      <c r="X83" s="1410">
        <v>60</v>
      </c>
      <c r="Y83" s="1277">
        <f t="shared" si="3"/>
        <v>23.808333333333334</v>
      </c>
      <c r="Z83" s="244">
        <v>4.5</v>
      </c>
      <c r="AA83" s="244">
        <f>S83*0.988</f>
        <v>2.8227160000000002</v>
      </c>
      <c r="AB83" s="1277">
        <f>T83*0.988</f>
        <v>0</v>
      </c>
      <c r="AC83" s="244">
        <f>U83</f>
        <v>0</v>
      </c>
      <c r="AD83" s="244">
        <f>V83</f>
        <v>2.2751137556877978</v>
      </c>
      <c r="AE83" s="1288">
        <v>0</v>
      </c>
      <c r="AF83" s="244">
        <f t="shared" si="26"/>
        <v>0</v>
      </c>
      <c r="AG83" s="1281"/>
      <c r="AI83" s="1282">
        <f t="shared" ref="AI83:AI86" si="27">(9.81*(AJ83*(100%-(V83/100))+AK83*(V83/100))*(I83-L83)+N83*101.325+9.81*(AL83)*L83)/101.325</f>
        <v>43.503870679544768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528">
        <v>689.4</v>
      </c>
      <c r="E84" s="1528" t="s">
        <v>616</v>
      </c>
      <c r="F84" s="241">
        <v>177.8</v>
      </c>
      <c r="G84" s="241" t="s">
        <v>28</v>
      </c>
      <c r="H84" s="1299" t="s">
        <v>466</v>
      </c>
      <c r="I84" s="1528">
        <v>604.96</v>
      </c>
      <c r="J84" s="1528">
        <v>0</v>
      </c>
      <c r="K84" s="1528"/>
      <c r="L84" s="1319"/>
      <c r="M84" s="1528"/>
      <c r="N84" s="1278"/>
      <c r="O84" s="1528"/>
      <c r="P84" s="1278">
        <f t="shared" si="4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8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7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28">
        <v>577.12</v>
      </c>
      <c r="E85" s="1528" t="s">
        <v>614</v>
      </c>
      <c r="F85" s="241">
        <v>177.8</v>
      </c>
      <c r="G85" s="241" t="s">
        <v>28</v>
      </c>
      <c r="H85" s="241" t="s">
        <v>464</v>
      </c>
      <c r="I85" s="1528">
        <v>537.30999999999995</v>
      </c>
      <c r="J85" s="1528">
        <v>255</v>
      </c>
      <c r="K85" s="1528"/>
      <c r="L85" s="1319">
        <v>480</v>
      </c>
      <c r="M85" s="1528"/>
      <c r="N85" s="1278">
        <v>0.1</v>
      </c>
      <c r="O85" s="1528"/>
      <c r="P85" s="1278">
        <f t="shared" ref="P85:P86" si="29">AI85</f>
        <v>5.6192608611329593</v>
      </c>
      <c r="Q85" s="1278">
        <f>RIGHT(H85,(FIND("T",H85,1)-0))*J85/100</f>
        <v>35.700000000000003</v>
      </c>
      <c r="R85" s="244">
        <v>5.1120000000000001</v>
      </c>
      <c r="S85" s="244">
        <v>8.1790000000000003</v>
      </c>
      <c r="T85" s="1319">
        <v>4</v>
      </c>
      <c r="U85" s="244">
        <f t="shared" ref="U85" si="30">IF(R85=0,0,T85/R85)</f>
        <v>0.78247261345852892</v>
      </c>
      <c r="V85" s="1278">
        <f t="shared" si="16"/>
        <v>37.498471695806337</v>
      </c>
      <c r="W85" s="1279">
        <v>0.2</v>
      </c>
      <c r="X85" s="1410">
        <v>255</v>
      </c>
      <c r="Y85" s="1277">
        <f t="shared" si="28"/>
        <v>22.910364145658264</v>
      </c>
      <c r="Z85" s="244">
        <f t="shared" ref="Z85:AB86" si="31">R85*0.988</f>
        <v>5.050656</v>
      </c>
      <c r="AA85" s="244">
        <f t="shared" si="31"/>
        <v>8.0808520000000001</v>
      </c>
      <c r="AB85" s="1277">
        <f t="shared" si="31"/>
        <v>3.952</v>
      </c>
      <c r="AC85" s="244">
        <f>U85</f>
        <v>0.78247261345852892</v>
      </c>
      <c r="AD85" s="244">
        <v>24.363</v>
      </c>
      <c r="AE85" s="241">
        <f t="shared" si="15"/>
        <v>31</v>
      </c>
      <c r="AF85" s="244">
        <f>Z85*AE85</f>
        <v>156.570336</v>
      </c>
      <c r="AG85" s="1281"/>
      <c r="AI85" s="1282">
        <f t="shared" si="27"/>
        <v>5.6192608611329593</v>
      </c>
      <c r="AJ85" s="1252">
        <v>0.89900000000000002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528">
        <v>576.27</v>
      </c>
      <c r="J86" s="1448">
        <v>130</v>
      </c>
      <c r="K86" s="241"/>
      <c r="L86" s="1277">
        <v>0</v>
      </c>
      <c r="M86" s="241"/>
      <c r="N86" s="1278">
        <v>5.4</v>
      </c>
      <c r="O86" s="241"/>
      <c r="P86" s="1278">
        <f t="shared" si="29"/>
        <v>61.716292844184579</v>
      </c>
      <c r="Q86" s="1278">
        <f>14*J86/100</f>
        <v>18.2</v>
      </c>
      <c r="R86" s="244">
        <v>2.165</v>
      </c>
      <c r="S86" s="244">
        <v>23.791</v>
      </c>
      <c r="T86" s="1277">
        <v>6</v>
      </c>
      <c r="U86" s="1278">
        <f t="shared" si="12"/>
        <v>2.7713625866050808</v>
      </c>
      <c r="V86" s="1278">
        <f t="shared" si="16"/>
        <v>90.899920137867269</v>
      </c>
      <c r="W86" s="1279">
        <v>0.5</v>
      </c>
      <c r="X86" s="1449">
        <v>130</v>
      </c>
      <c r="Y86" s="1277">
        <f t="shared" si="28"/>
        <v>130.71978021978023</v>
      </c>
      <c r="Z86" s="244">
        <f t="shared" si="31"/>
        <v>2.1390199999999999</v>
      </c>
      <c r="AA86" s="244">
        <f t="shared" si="31"/>
        <v>23.505507999999999</v>
      </c>
      <c r="AB86" s="1277">
        <f t="shared" si="31"/>
        <v>5.9279999999999999</v>
      </c>
      <c r="AC86" s="244">
        <f>U86</f>
        <v>2.7713625866050808</v>
      </c>
      <c r="AD86" s="1277">
        <f>V86</f>
        <v>90.899920137867269</v>
      </c>
      <c r="AE86" s="241">
        <f t="shared" si="15"/>
        <v>31</v>
      </c>
      <c r="AF86" s="244">
        <f>Z86*AE86</f>
        <v>66.309619999999995</v>
      </c>
      <c r="AG86" s="1285"/>
      <c r="AI86" s="1282">
        <f t="shared" si="27"/>
        <v>61.716292844184579</v>
      </c>
      <c r="AJ86" s="1252">
        <v>0.92330000000000001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528"/>
      <c r="E87" s="1528"/>
      <c r="F87" s="1274"/>
      <c r="G87" s="241"/>
      <c r="H87" s="241"/>
      <c r="I87" s="1528"/>
      <c r="J87" s="1528"/>
      <c r="K87" s="1528"/>
      <c r="L87" s="1528"/>
      <c r="M87" s="1528"/>
      <c r="N87" s="241"/>
      <c r="O87" s="1528"/>
      <c r="P87" s="1278"/>
      <c r="Q87" s="1269"/>
      <c r="R87" s="1348">
        <f>SUM(R19:R86)</f>
        <v>339.97299999999996</v>
      </c>
      <c r="S87" s="1348">
        <f>SUM(S19:S86)</f>
        <v>1027.231</v>
      </c>
      <c r="T87" s="1349">
        <f>SUM(T19:T86)</f>
        <v>3981.3089999999993</v>
      </c>
      <c r="U87" s="1348">
        <f>T87/R87</f>
        <v>11.710662317301667</v>
      </c>
      <c r="V87" s="1348"/>
      <c r="W87" s="1350"/>
      <c r="X87" s="1410"/>
      <c r="Y87" s="1348"/>
      <c r="Z87" s="1348">
        <f>SUM(Z19:Z86)</f>
        <v>335.95975599999997</v>
      </c>
      <c r="AA87" s="1348">
        <f>SUM(AA19:AA86)</f>
        <v>1014.9042279999999</v>
      </c>
      <c r="AB87" s="1351">
        <f>SUM(AB19:AB86)</f>
        <v>3933.5332920000014</v>
      </c>
      <c r="AC87" s="1348">
        <f>AB87/Z87</f>
        <v>11.708346674713033</v>
      </c>
      <c r="AD87" s="1348"/>
      <c r="AE87" s="1302"/>
      <c r="AF87" s="1348">
        <f>SUM(AF19:AF86)</f>
        <v>9658.4964000000018</v>
      </c>
      <c r="AG87" s="1281"/>
      <c r="AI87" s="1282"/>
    </row>
    <row r="88" spans="1:38" ht="18.75" customHeight="1" x14ac:dyDescent="0.2">
      <c r="A88" s="1347"/>
      <c r="B88" s="241"/>
      <c r="C88" s="241"/>
      <c r="D88" s="1528"/>
      <c r="E88" s="1528"/>
      <c r="F88" s="1274"/>
      <c r="G88" s="241"/>
      <c r="H88" s="241"/>
      <c r="I88" s="1528"/>
      <c r="J88" s="1528"/>
      <c r="K88" s="1528"/>
      <c r="L88" s="1528"/>
      <c r="M88" s="1528"/>
      <c r="N88" s="241"/>
      <c r="O88" s="1528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528"/>
      <c r="E89" s="1527" t="s">
        <v>388</v>
      </c>
      <c r="F89" s="1274"/>
      <c r="G89" s="241"/>
      <c r="H89" s="241"/>
      <c r="I89" s="1528"/>
      <c r="J89" s="1528"/>
      <c r="K89" s="1528"/>
      <c r="L89" s="1528"/>
      <c r="M89" s="1528"/>
      <c r="N89" s="241"/>
      <c r="O89" s="1528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528">
        <v>737.21</v>
      </c>
      <c r="E90" s="1528" t="s">
        <v>507</v>
      </c>
      <c r="F90" s="241">
        <v>177.8</v>
      </c>
      <c r="G90" s="241" t="s">
        <v>28</v>
      </c>
      <c r="H90" s="1354" t="s">
        <v>466</v>
      </c>
      <c r="I90" s="1528">
        <v>680.94</v>
      </c>
      <c r="J90" s="1528"/>
      <c r="K90" s="1528"/>
      <c r="L90" s="1528"/>
      <c r="M90" s="1528"/>
      <c r="N90" s="241"/>
      <c r="O90" s="1528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2">R90*0.988</f>
        <v>0</v>
      </c>
      <c r="AA90" s="244">
        <f t="shared" si="32"/>
        <v>0</v>
      </c>
      <c r="AB90" s="1277">
        <f t="shared" si="32"/>
        <v>0</v>
      </c>
      <c r="AC90" s="244">
        <f t="shared" ref="AC90:AD93" si="33">U90</f>
        <v>0</v>
      </c>
      <c r="AD90" s="244">
        <f t="shared" si="33"/>
        <v>0</v>
      </c>
      <c r="AE90" s="241">
        <f>(DAY(EOMONTH($AH$17,0))-AH90)</f>
        <v>31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528">
        <v>695.15</v>
      </c>
      <c r="E91" s="1528" t="s">
        <v>508</v>
      </c>
      <c r="F91" s="1274">
        <v>177.8</v>
      </c>
      <c r="G91" s="241" t="s">
        <v>28</v>
      </c>
      <c r="H91" s="241" t="s">
        <v>491</v>
      </c>
      <c r="I91" s="1528">
        <v>658.9</v>
      </c>
      <c r="J91" s="1528"/>
      <c r="K91" s="1528"/>
      <c r="L91" s="1528"/>
      <c r="M91" s="1528"/>
      <c r="N91" s="241"/>
      <c r="O91" s="1528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2"/>
        <v>0</v>
      </c>
      <c r="AA91" s="244">
        <f t="shared" si="32"/>
        <v>0</v>
      </c>
      <c r="AB91" s="1277">
        <f t="shared" si="32"/>
        <v>0</v>
      </c>
      <c r="AC91" s="244">
        <f t="shared" si="33"/>
        <v>0</v>
      </c>
      <c r="AD91" s="244">
        <f t="shared" si="33"/>
        <v>0</v>
      </c>
      <c r="AE91" s="241">
        <f>(DAY(EOMONTH($AH$17,0))-AH91)</f>
        <v>31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528">
        <v>685.69</v>
      </c>
      <c r="E92" s="1528" t="s">
        <v>579</v>
      </c>
      <c r="F92" s="241">
        <v>177.8</v>
      </c>
      <c r="G92" s="241" t="s">
        <v>28</v>
      </c>
      <c r="H92" s="1299" t="s">
        <v>466</v>
      </c>
      <c r="I92" s="1528">
        <v>639.97</v>
      </c>
      <c r="J92" s="1528"/>
      <c r="K92" s="1528"/>
      <c r="L92" s="1528"/>
      <c r="M92" s="1528"/>
      <c r="N92" s="241"/>
      <c r="O92" s="1528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2"/>
        <v>0</v>
      </c>
      <c r="AA92" s="244">
        <f t="shared" si="32"/>
        <v>0</v>
      </c>
      <c r="AB92" s="1277">
        <f t="shared" si="32"/>
        <v>0</v>
      </c>
      <c r="AC92" s="244">
        <f t="shared" si="33"/>
        <v>0</v>
      </c>
      <c r="AD92" s="244">
        <f t="shared" si="33"/>
        <v>0</v>
      </c>
      <c r="AE92" s="241">
        <f t="shared" ref="AE92:AE93" si="34">(DAY(EOMONTH($AH$17,0))-AH92)</f>
        <v>31</v>
      </c>
      <c r="AF92" s="244">
        <f t="shared" ref="AF92:AF93" si="35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528">
        <v>9.5</v>
      </c>
      <c r="J93" s="1528"/>
      <c r="K93" s="1528"/>
      <c r="L93" s="1528"/>
      <c r="M93" s="1528"/>
      <c r="N93" s="241"/>
      <c r="O93" s="1528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2"/>
        <v>0</v>
      </c>
      <c r="AA93" s="244">
        <f t="shared" si="32"/>
        <v>0</v>
      </c>
      <c r="AB93" s="1277">
        <f t="shared" si="32"/>
        <v>0</v>
      </c>
      <c r="AC93" s="244">
        <f t="shared" si="33"/>
        <v>0</v>
      </c>
      <c r="AD93" s="244">
        <f t="shared" si="33"/>
        <v>0</v>
      </c>
      <c r="AE93" s="241">
        <f t="shared" si="34"/>
        <v>31</v>
      </c>
      <c r="AF93" s="244">
        <f t="shared" si="35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528"/>
      <c r="K94" s="1528"/>
      <c r="L94" s="1528"/>
      <c r="M94" s="1528"/>
      <c r="N94" s="1528"/>
      <c r="O94" s="1528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528"/>
      <c r="K95" s="1528"/>
      <c r="L95" s="1528"/>
      <c r="M95" s="1528"/>
      <c r="N95" s="1528"/>
      <c r="O95" s="1528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528">
        <v>183.38</v>
      </c>
      <c r="J96" s="1528">
        <v>0</v>
      </c>
      <c r="K96" s="241">
        <v>0</v>
      </c>
      <c r="L96" s="241"/>
      <c r="M96" s="241">
        <v>0</v>
      </c>
      <c r="N96" s="241"/>
      <c r="O96" s="241"/>
      <c r="P96" s="1278">
        <f t="shared" ref="P96:P101" si="36">AI96</f>
        <v>16.420982671798672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" si="37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38">R96*0.988</f>
        <v>0</v>
      </c>
      <c r="AA96" s="244">
        <f t="shared" si="38"/>
        <v>0</v>
      </c>
      <c r="AB96" s="244">
        <f t="shared" si="38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39">Z96*AE96</f>
        <v>0</v>
      </c>
      <c r="AG96" s="1285"/>
      <c r="AI96" s="1282">
        <f t="shared" ref="AI96:AI101" si="40">(9.81*(AJ96*(100%-(V96/100))+AK96*(V96/100))*(I96-L96)+N96*101.325+9.81*(AL96)*L96)/101.325</f>
        <v>16.420982671798672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528">
        <v>136.35</v>
      </c>
      <c r="J97" s="1528">
        <v>205</v>
      </c>
      <c r="K97" s="1528"/>
      <c r="L97" s="1319">
        <v>53</v>
      </c>
      <c r="M97" s="1528"/>
      <c r="N97" s="1278">
        <v>0</v>
      </c>
      <c r="O97" s="1528"/>
      <c r="P97" s="1278">
        <f t="shared" si="36"/>
        <v>7.7419378563265875</v>
      </c>
      <c r="Q97" s="1278">
        <f>(22*J97)/100</f>
        <v>45.1</v>
      </c>
      <c r="R97" s="244">
        <v>14.759</v>
      </c>
      <c r="S97" s="244">
        <v>22.786999999999999</v>
      </c>
      <c r="T97" s="1319">
        <v>0</v>
      </c>
      <c r="U97" s="244">
        <f>T97/R97</f>
        <v>0</v>
      </c>
      <c r="V97" s="1278">
        <f t="shared" ref="V97:V100" si="41">(S97-R97)/S97*100</f>
        <v>35.230613946548466</v>
      </c>
      <c r="W97" s="1279">
        <v>0.2</v>
      </c>
      <c r="X97" s="1455">
        <v>205</v>
      </c>
      <c r="Y97" s="1277">
        <f t="shared" ref="Y97:Y105" si="42">IF(S97=0,0,S97/Q97)*100</f>
        <v>50.525498891352548</v>
      </c>
      <c r="Z97" s="244">
        <f t="shared" si="38"/>
        <v>14.581892</v>
      </c>
      <c r="AA97" s="244">
        <f t="shared" si="38"/>
        <v>22.513555999999998</v>
      </c>
      <c r="AB97" s="244">
        <f t="shared" si="38"/>
        <v>0</v>
      </c>
      <c r="AC97" s="244">
        <f>U97</f>
        <v>0</v>
      </c>
      <c r="AD97" s="244">
        <f>V97</f>
        <v>35.230613946548466</v>
      </c>
      <c r="AE97" s="1288">
        <v>0</v>
      </c>
      <c r="AF97" s="244">
        <f>Z97*AE97</f>
        <v>0</v>
      </c>
      <c r="AG97" s="1285"/>
      <c r="AI97" s="1282">
        <f t="shared" si="40"/>
        <v>7.7419378563265875</v>
      </c>
      <c r="AJ97" s="1252">
        <v>0.93130000000000002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528">
        <v>130.11000000000001</v>
      </c>
      <c r="J98" s="1528">
        <v>250</v>
      </c>
      <c r="K98" s="1528"/>
      <c r="L98" s="1319">
        <v>86</v>
      </c>
      <c r="M98" s="1528"/>
      <c r="N98" s="1278">
        <v>0</v>
      </c>
      <c r="O98" s="1528"/>
      <c r="P98" s="1278">
        <f t="shared" si="36"/>
        <v>4.0359588278929586</v>
      </c>
      <c r="Q98" s="1278">
        <f>(15*J98)/100</f>
        <v>37.5</v>
      </c>
      <c r="R98" s="244">
        <v>9.8390000000000004</v>
      </c>
      <c r="S98" s="244">
        <v>10.069000000000001</v>
      </c>
      <c r="T98" s="1319">
        <v>0</v>
      </c>
      <c r="U98" s="244">
        <f>T98/R98</f>
        <v>0</v>
      </c>
      <c r="V98" s="1278">
        <f t="shared" si="41"/>
        <v>2.2842387526070156</v>
      </c>
      <c r="W98" s="1279">
        <v>0.2</v>
      </c>
      <c r="X98" s="1316">
        <v>250</v>
      </c>
      <c r="Y98" s="1277">
        <f t="shared" si="42"/>
        <v>26.850666666666669</v>
      </c>
      <c r="Z98" s="244">
        <f t="shared" si="38"/>
        <v>9.7209319999999995</v>
      </c>
      <c r="AA98" s="244">
        <f t="shared" si="38"/>
        <v>9.9481720000000013</v>
      </c>
      <c r="AB98" s="244">
        <f t="shared" si="38"/>
        <v>0</v>
      </c>
      <c r="AC98" s="244">
        <v>0</v>
      </c>
      <c r="AD98" s="244">
        <f>V98</f>
        <v>2.2842387526070156</v>
      </c>
      <c r="AE98" s="241">
        <f t="shared" ref="AE98:AE101" si="43">(DAY(EOMONTH($AH$17,0))-AH98)</f>
        <v>31</v>
      </c>
      <c r="AF98" s="244">
        <f t="shared" si="39"/>
        <v>301.34889199999998</v>
      </c>
      <c r="AG98" s="1285"/>
      <c r="AI98" s="1282">
        <f t="shared" si="40"/>
        <v>4.0359588278929586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528">
        <v>134.24</v>
      </c>
      <c r="J99" s="1528">
        <v>225</v>
      </c>
      <c r="K99" s="1528"/>
      <c r="L99" s="1319">
        <v>57</v>
      </c>
      <c r="M99" s="1528"/>
      <c r="N99" s="1278">
        <v>0</v>
      </c>
      <c r="O99" s="1528"/>
      <c r="P99" s="1278">
        <f t="shared" si="36"/>
        <v>7.0498664021625395</v>
      </c>
      <c r="Q99" s="1278">
        <f>LEFT(H99,(FIND("E",H99,1)-1))*J99/100</f>
        <v>29.25</v>
      </c>
      <c r="R99" s="244">
        <v>11.353</v>
      </c>
      <c r="S99" s="244">
        <v>12.534000000000001</v>
      </c>
      <c r="T99" s="1319">
        <v>0</v>
      </c>
      <c r="U99" s="244">
        <v>0</v>
      </c>
      <c r="V99" s="1278">
        <f t="shared" si="41"/>
        <v>9.4223711504707257</v>
      </c>
      <c r="W99" s="1279">
        <v>0.2</v>
      </c>
      <c r="X99" s="1316">
        <v>225</v>
      </c>
      <c r="Y99" s="1277">
        <f t="shared" si="42"/>
        <v>42.851282051282055</v>
      </c>
      <c r="Z99" s="244">
        <f t="shared" si="38"/>
        <v>11.216764</v>
      </c>
      <c r="AA99" s="244">
        <f t="shared" si="38"/>
        <v>12.383592</v>
      </c>
      <c r="AB99" s="244">
        <f t="shared" si="38"/>
        <v>0</v>
      </c>
      <c r="AC99" s="244">
        <v>0</v>
      </c>
      <c r="AD99" s="244">
        <v>47</v>
      </c>
      <c r="AE99" s="241">
        <f t="shared" si="43"/>
        <v>31</v>
      </c>
      <c r="AF99" s="244">
        <f t="shared" si="39"/>
        <v>347.71968399999997</v>
      </c>
      <c r="AG99" s="1281"/>
      <c r="AI99" s="1282">
        <f t="shared" si="40"/>
        <v>7.0498664021625395</v>
      </c>
      <c r="AJ99" s="1252">
        <v>0.93179999999999996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28">
        <v>200</v>
      </c>
      <c r="K100" s="1528"/>
      <c r="L100" s="1319">
        <v>105</v>
      </c>
      <c r="M100" s="1528"/>
      <c r="N100" s="1278">
        <v>0.9</v>
      </c>
      <c r="O100" s="1528"/>
      <c r="P100" s="1278">
        <f t="shared" si="36"/>
        <v>5.0388568252437498</v>
      </c>
      <c r="Q100" s="1278">
        <f>(14*J100)/100</f>
        <v>28</v>
      </c>
      <c r="R100" s="244">
        <v>9.2870000000000008</v>
      </c>
      <c r="S100" s="244">
        <v>10.243</v>
      </c>
      <c r="T100" s="1319">
        <v>0</v>
      </c>
      <c r="U100" s="244">
        <f>T100/R100</f>
        <v>0</v>
      </c>
      <c r="V100" s="1278">
        <f t="shared" si="41"/>
        <v>9.3332031631357957</v>
      </c>
      <c r="W100" s="1279">
        <v>0.2</v>
      </c>
      <c r="X100" s="1316">
        <v>200</v>
      </c>
      <c r="Y100" s="1277">
        <f t="shared" si="42"/>
        <v>36.582142857142856</v>
      </c>
      <c r="Z100" s="244">
        <f t="shared" si="38"/>
        <v>9.1755560000000003</v>
      </c>
      <c r="AA100" s="244">
        <f t="shared" si="38"/>
        <v>10.120084</v>
      </c>
      <c r="AB100" s="244">
        <f t="shared" si="38"/>
        <v>0</v>
      </c>
      <c r="AC100" s="244">
        <f>U100</f>
        <v>0</v>
      </c>
      <c r="AD100" s="244">
        <f>V100</f>
        <v>9.3332031631357957</v>
      </c>
      <c r="AE100" s="241">
        <f t="shared" si="43"/>
        <v>31</v>
      </c>
      <c r="AF100" s="244">
        <f t="shared" si="39"/>
        <v>284.44223599999998</v>
      </c>
      <c r="AG100" s="1363"/>
      <c r="AI100" s="1282">
        <f t="shared" si="40"/>
        <v>5.0388568252437498</v>
      </c>
      <c r="AJ100" s="1252">
        <v>0.93220000000000003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140</v>
      </c>
      <c r="K101" s="1302"/>
      <c r="L101" s="1277">
        <v>48</v>
      </c>
      <c r="M101" s="1302"/>
      <c r="N101" s="241">
        <v>1.2</v>
      </c>
      <c r="O101" s="1302"/>
      <c r="P101" s="1278">
        <f t="shared" si="36"/>
        <v>15.762259617440085</v>
      </c>
      <c r="Q101" s="1269">
        <f>(13*J101)/100</f>
        <v>18.2</v>
      </c>
      <c r="R101" s="244">
        <v>6.9660000000000002</v>
      </c>
      <c r="S101" s="244">
        <v>9.4879999999999995</v>
      </c>
      <c r="T101" s="244">
        <v>0</v>
      </c>
      <c r="U101" s="244">
        <f>T101/R101</f>
        <v>0</v>
      </c>
      <c r="V101" s="1278">
        <f>(S101-R101)/S101*100</f>
        <v>26.580944350758845</v>
      </c>
      <c r="W101" s="1355">
        <v>0.2</v>
      </c>
      <c r="X101" s="1316">
        <v>140</v>
      </c>
      <c r="Y101" s="1277">
        <f t="shared" si="42"/>
        <v>52.131868131868131</v>
      </c>
      <c r="Z101" s="244">
        <f t="shared" si="38"/>
        <v>6.8824079999999999</v>
      </c>
      <c r="AA101" s="244">
        <f t="shared" si="38"/>
        <v>9.3741439999999994</v>
      </c>
      <c r="AB101" s="244">
        <f t="shared" si="38"/>
        <v>0</v>
      </c>
      <c r="AC101" s="244">
        <f>U101</f>
        <v>0</v>
      </c>
      <c r="AD101" s="244">
        <f>V101</f>
        <v>26.580944350758845</v>
      </c>
      <c r="AE101" s="241">
        <f t="shared" si="43"/>
        <v>31</v>
      </c>
      <c r="AF101" s="244">
        <f t="shared" si="39"/>
        <v>213.354648</v>
      </c>
      <c r="AG101" s="1363"/>
      <c r="AI101" s="1282">
        <f t="shared" si="40"/>
        <v>15.762259617440085</v>
      </c>
      <c r="AJ101" s="1252">
        <v>0.92779999999999996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2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2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528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4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2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528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4"/>
        <v>0</v>
      </c>
      <c r="V105" s="1278">
        <v>0.3</v>
      </c>
      <c r="W105" s="1279">
        <v>0.3</v>
      </c>
      <c r="X105" s="1449">
        <v>0</v>
      </c>
      <c r="Y105" s="1277">
        <f t="shared" si="42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528"/>
      <c r="G106" s="1525"/>
      <c r="H106" s="1527"/>
      <c r="I106" s="1527"/>
      <c r="J106" s="1528"/>
      <c r="K106" s="1528"/>
      <c r="L106" s="1528"/>
      <c r="M106" s="1528"/>
      <c r="N106" s="1528"/>
      <c r="O106" s="1528"/>
      <c r="P106" s="1269"/>
      <c r="Q106" s="1269"/>
      <c r="R106" s="1348">
        <f>SUM(R97:R103)</f>
        <v>52.204000000000001</v>
      </c>
      <c r="S106" s="1348">
        <f>SUM(S97:S103)</f>
        <v>65.121000000000009</v>
      </c>
      <c r="T106" s="1348">
        <f>SUM(T97:T100)</f>
        <v>0</v>
      </c>
      <c r="U106" s="1348">
        <f>SUM(U97:U100)</f>
        <v>0</v>
      </c>
      <c r="V106" s="1525"/>
      <c r="W106" s="1526"/>
      <c r="X106" s="1410"/>
      <c r="Y106" s="1525"/>
      <c r="Z106" s="1348">
        <f>SUM(Z97:Z103)</f>
        <v>51.577551999999997</v>
      </c>
      <c r="AA106" s="1348">
        <f>SUM(AA97:AA103)</f>
        <v>64.339547999999994</v>
      </c>
      <c r="AB106" s="1348">
        <f>SUM(AB97:AB100)</f>
        <v>0</v>
      </c>
      <c r="AC106" s="1348">
        <f>AB106/Z106</f>
        <v>0</v>
      </c>
      <c r="AD106" s="1525"/>
      <c r="AE106" s="1528"/>
      <c r="AF106" s="1348">
        <f>SUM(AF97:AF103)</f>
        <v>1146.86546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525"/>
      <c r="H108" s="1527"/>
      <c r="I108" s="1527"/>
      <c r="J108" s="1528"/>
      <c r="K108" s="1528"/>
      <c r="L108" s="1528"/>
      <c r="M108" s="1528"/>
      <c r="N108" s="1528"/>
      <c r="O108" s="1528"/>
      <c r="P108" s="1269"/>
      <c r="Q108" s="1269"/>
      <c r="R108" s="1528"/>
      <c r="S108" s="1528"/>
      <c r="T108" s="1528"/>
      <c r="U108" s="1525"/>
      <c r="V108" s="1525"/>
      <c r="W108" s="1526"/>
      <c r="X108" s="1410"/>
      <c r="Y108" s="1525"/>
      <c r="Z108" s="1528"/>
      <c r="AA108" s="1528"/>
      <c r="AB108" s="1528"/>
      <c r="AC108" s="1525"/>
      <c r="AD108" s="1525"/>
      <c r="AE108" s="1528"/>
      <c r="AF108" s="1528"/>
      <c r="AG108" s="1530"/>
    </row>
    <row r="109" spans="1:38" ht="18.75" customHeight="1" x14ac:dyDescent="0.2">
      <c r="A109" s="1273">
        <v>83</v>
      </c>
      <c r="B109" s="1317" t="s">
        <v>107</v>
      </c>
      <c r="C109" s="1528" t="s">
        <v>109</v>
      </c>
      <c r="D109" s="1528"/>
      <c r="E109" s="1528"/>
      <c r="F109" s="1528"/>
      <c r="G109" s="1525"/>
      <c r="H109" s="1527"/>
      <c r="I109" s="1527"/>
      <c r="J109" s="1528"/>
      <c r="K109" s="1528"/>
      <c r="L109" s="1528"/>
      <c r="M109" s="1528"/>
      <c r="N109" s="1528"/>
      <c r="O109" s="1528"/>
      <c r="P109" s="1269"/>
      <c r="Q109" s="1269"/>
      <c r="R109" s="1528"/>
      <c r="S109" s="1528"/>
      <c r="T109" s="1528"/>
      <c r="U109" s="1525"/>
      <c r="V109" s="1525"/>
      <c r="W109" s="1526"/>
      <c r="X109" s="1410"/>
      <c r="Y109" s="1525"/>
      <c r="Z109" s="1527"/>
      <c r="AA109" s="1527"/>
      <c r="AB109" s="1528"/>
      <c r="AC109" s="1525"/>
      <c r="AD109" s="1525"/>
      <c r="AE109" s="1373"/>
      <c r="AF109" s="1528"/>
      <c r="AG109" s="1530"/>
    </row>
    <row r="110" spans="1:38" ht="18.75" customHeight="1" x14ac:dyDescent="0.2">
      <c r="A110" s="1273">
        <v>84</v>
      </c>
      <c r="B110" s="1317" t="s">
        <v>108</v>
      </c>
      <c r="C110" s="1528" t="s">
        <v>109</v>
      </c>
      <c r="D110" s="1528"/>
      <c r="E110" s="1528"/>
      <c r="F110" s="1528"/>
      <c r="G110" s="1525"/>
      <c r="H110" s="1527"/>
      <c r="I110" s="1527"/>
      <c r="J110" s="1528"/>
      <c r="K110" s="1528"/>
      <c r="L110" s="1528"/>
      <c r="M110" s="1528"/>
      <c r="N110" s="1528"/>
      <c r="O110" s="1528"/>
      <c r="P110" s="1269"/>
      <c r="Q110" s="1269"/>
      <c r="R110" s="1301"/>
      <c r="S110" s="1528"/>
      <c r="T110" s="1528"/>
      <c r="U110" s="1525"/>
      <c r="V110" s="1525"/>
      <c r="W110" s="1526"/>
      <c r="X110" s="1410"/>
      <c r="Y110" s="1525"/>
      <c r="Z110" s="1527"/>
      <c r="AA110" s="1527"/>
      <c r="AB110" s="1528"/>
      <c r="AC110" s="1525"/>
      <c r="AD110" s="1525"/>
      <c r="AE110" s="1373"/>
      <c r="AF110" s="1528"/>
      <c r="AG110" s="1530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528"/>
      <c r="E111" s="1528"/>
      <c r="F111" s="1528"/>
      <c r="G111" s="1525"/>
      <c r="H111" s="1527"/>
      <c r="I111" s="1527"/>
      <c r="J111" s="1528"/>
      <c r="K111" s="1528"/>
      <c r="L111" s="1528"/>
      <c r="M111" s="1528"/>
      <c r="N111" s="1528"/>
      <c r="O111" s="1528"/>
      <c r="P111" s="1269"/>
      <c r="Q111" s="1269"/>
      <c r="R111" s="1528"/>
      <c r="S111" s="1528"/>
      <c r="T111" s="1528"/>
      <c r="U111" s="1525"/>
      <c r="V111" s="1525"/>
      <c r="W111" s="1526"/>
      <c r="X111" s="1410"/>
      <c r="Y111" s="1525"/>
      <c r="Z111" s="1527"/>
      <c r="AA111" s="1527"/>
      <c r="AB111" s="1528"/>
      <c r="AC111" s="1525"/>
      <c r="AD111" s="1525"/>
      <c r="AE111" s="1373"/>
      <c r="AF111" s="1528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528"/>
      <c r="E112" s="1528"/>
      <c r="F112" s="1528"/>
      <c r="G112" s="1525"/>
      <c r="H112" s="1527"/>
      <c r="I112" s="1527"/>
      <c r="J112" s="1528"/>
      <c r="K112" s="1528"/>
      <c r="L112" s="1528"/>
      <c r="M112" s="1528"/>
      <c r="N112" s="1528"/>
      <c r="O112" s="1528"/>
      <c r="P112" s="1269"/>
      <c r="Q112" s="1269"/>
      <c r="R112" s="1528"/>
      <c r="S112" s="1528"/>
      <c r="T112" s="1528"/>
      <c r="U112" s="1525"/>
      <c r="V112" s="1525"/>
      <c r="W112" s="1526"/>
      <c r="X112" s="1410"/>
      <c r="Y112" s="1525"/>
      <c r="Z112" s="1527"/>
      <c r="AA112" s="1527"/>
      <c r="AB112" s="1528"/>
      <c r="AC112" s="1525"/>
      <c r="AD112" s="1525"/>
      <c r="AE112" s="1373"/>
      <c r="AF112" s="1528"/>
      <c r="AG112" s="1285"/>
    </row>
    <row r="113" spans="1:33" ht="18.75" customHeight="1" x14ac:dyDescent="0.2">
      <c r="A113" s="1273"/>
      <c r="B113" s="1262"/>
      <c r="C113" s="1371"/>
      <c r="D113" s="1371"/>
      <c r="E113" s="1527" t="s">
        <v>278</v>
      </c>
      <c r="F113" s="1371"/>
      <c r="G113" s="1525"/>
      <c r="H113" s="1527"/>
      <c r="I113" s="1527"/>
      <c r="J113" s="1528"/>
      <c r="K113" s="1528"/>
      <c r="L113" s="1528"/>
      <c r="M113" s="1528"/>
      <c r="N113" s="1528"/>
      <c r="O113" s="1528"/>
      <c r="P113" s="1269"/>
      <c r="Q113" s="1269"/>
      <c r="R113" s="1528"/>
      <c r="S113" s="1528"/>
      <c r="T113" s="1528"/>
      <c r="U113" s="1525"/>
      <c r="V113" s="1525"/>
      <c r="W113" s="1526"/>
      <c r="X113" s="1410"/>
      <c r="Y113" s="1525"/>
      <c r="Z113" s="1301"/>
      <c r="AA113" s="1528"/>
      <c r="AB113" s="1528"/>
      <c r="AC113" s="1525"/>
      <c r="AD113" s="1525"/>
      <c r="AE113" s="1528"/>
      <c r="AF113" s="1528"/>
      <c r="AG113" s="1530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528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528">
        <v>625.1</v>
      </c>
      <c r="E115" s="1528" t="s">
        <v>578</v>
      </c>
      <c r="F115" s="241">
        <v>177.8</v>
      </c>
      <c r="G115" s="241"/>
      <c r="H115" s="241"/>
      <c r="I115" s="244"/>
      <c r="J115" s="1528"/>
      <c r="K115" s="1528"/>
      <c r="L115" s="1528"/>
      <c r="M115" s="1528"/>
      <c r="N115" s="1528"/>
      <c r="O115" s="1528"/>
      <c r="P115" s="1269"/>
      <c r="Q115" s="1269"/>
      <c r="R115" s="1528"/>
      <c r="S115" s="1528"/>
      <c r="T115" s="1528"/>
      <c r="U115" s="1525"/>
      <c r="V115" s="1525"/>
      <c r="W115" s="1526"/>
      <c r="X115" s="1410"/>
      <c r="Y115" s="1376"/>
      <c r="Z115" s="1319"/>
      <c r="AA115" s="1528"/>
      <c r="AB115" s="1528"/>
      <c r="AC115" s="1525"/>
      <c r="AD115" s="1528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528"/>
      <c r="J116" s="1528"/>
      <c r="K116" s="1528"/>
      <c r="L116" s="1528"/>
      <c r="M116" s="1528"/>
      <c r="N116" s="1528"/>
      <c r="O116" s="1528"/>
      <c r="P116" s="1269"/>
      <c r="Q116" s="1270"/>
      <c r="R116" s="1528"/>
      <c r="S116" s="1528"/>
      <c r="T116" s="1528"/>
      <c r="U116" s="1525"/>
      <c r="V116" s="1525"/>
      <c r="W116" s="1526"/>
      <c r="X116" s="1410"/>
      <c r="Y116" s="1376"/>
      <c r="Z116" s="1319"/>
      <c r="AA116" s="1528"/>
      <c r="AB116" s="1528"/>
      <c r="AC116" s="1525"/>
      <c r="AD116" s="1528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528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528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521"/>
      <c r="C119" s="1521"/>
      <c r="D119" s="1521"/>
      <c r="E119" s="1522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392.17699999999996</v>
      </c>
      <c r="S119" s="1386">
        <f>S87+S94+S106</f>
        <v>1092.3520000000001</v>
      </c>
      <c r="T119" s="1387">
        <f>T87+T94+T106</f>
        <v>3981.3089999999993</v>
      </c>
      <c r="U119" s="1386">
        <f>T119/R119</f>
        <v>10.151816654214805</v>
      </c>
      <c r="V119" s="1386"/>
      <c r="W119" s="1388"/>
      <c r="X119" s="1456"/>
      <c r="Y119" s="1386"/>
      <c r="Z119" s="1386">
        <f>Z87+Z94+Z106</f>
        <v>387.53730799999994</v>
      </c>
      <c r="AA119" s="1386">
        <f>AA87+AA106+AA94</f>
        <v>1079.2437759999998</v>
      </c>
      <c r="AB119" s="1387">
        <f>AB87+AB106+AB94</f>
        <v>3933.5332920000014</v>
      </c>
      <c r="AC119" s="1386">
        <f>AC87+AC106+AC94</f>
        <v>11.708346674713033</v>
      </c>
      <c r="AD119" s="1386"/>
      <c r="AE119" s="1386"/>
      <c r="AF119" s="1390">
        <f>AF87+AF94+AF106</f>
        <v>10805.361860000001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529"/>
      <c r="D121" s="148"/>
      <c r="E121" s="1394">
        <v>0.95</v>
      </c>
      <c r="F121" s="148"/>
      <c r="G121" s="148" t="s">
        <v>102</v>
      </c>
      <c r="H121" s="1529"/>
      <c r="I121" s="1395"/>
      <c r="J121" s="148"/>
      <c r="K121" s="1983">
        <f>AF119*E121</f>
        <v>10265.093767</v>
      </c>
      <c r="L121" s="1984"/>
      <c r="M121" s="1984"/>
      <c r="N121" s="1529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529"/>
      <c r="D122" s="148"/>
      <c r="E122" s="154"/>
      <c r="F122" s="148"/>
      <c r="G122" s="148" t="s">
        <v>733</v>
      </c>
      <c r="H122" s="1529"/>
      <c r="I122" s="1395"/>
      <c r="J122" s="148"/>
      <c r="K122" s="1529"/>
      <c r="L122" s="1397"/>
      <c r="M122" s="148">
        <f>K121*0.89</f>
        <v>9135.9334526300008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524"/>
      <c r="Z122" s="1524"/>
      <c r="AA122" s="150"/>
      <c r="AB122" s="1524"/>
      <c r="AC122" s="1524"/>
      <c r="AD122" s="1524"/>
      <c r="AE122" s="1524"/>
      <c r="AF122" s="1524"/>
      <c r="AG122" s="1400"/>
    </row>
    <row r="123" spans="1:33" ht="15" x14ac:dyDescent="0.2">
      <c r="B123" s="148"/>
      <c r="C123" s="1529"/>
      <c r="D123" s="148"/>
      <c r="E123" s="154"/>
      <c r="F123" s="148"/>
      <c r="G123" s="148"/>
      <c r="H123" s="1529"/>
      <c r="I123" s="1395"/>
      <c r="J123" s="148"/>
      <c r="K123" s="1529"/>
      <c r="L123" s="1397"/>
      <c r="M123" s="148">
        <v>9150</v>
      </c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524"/>
      <c r="Z123" s="1524"/>
      <c r="AA123" s="1524"/>
      <c r="AB123" s="1524"/>
      <c r="AC123" s="1524"/>
      <c r="AD123" s="1524"/>
      <c r="AE123" s="1524"/>
      <c r="AF123" s="1524"/>
      <c r="AG123" s="1400"/>
    </row>
    <row r="124" spans="1:33" ht="15" x14ac:dyDescent="0.2">
      <c r="B124" s="148"/>
      <c r="C124" s="1529"/>
      <c r="D124" s="148"/>
      <c r="E124" s="154"/>
      <c r="F124" s="148"/>
      <c r="G124" s="148"/>
      <c r="H124" s="1529"/>
      <c r="I124" s="1395"/>
      <c r="J124" s="148"/>
      <c r="K124" s="1529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524"/>
      <c r="Z124" s="1524"/>
      <c r="AA124" s="1524"/>
      <c r="AB124" s="1524"/>
      <c r="AC124" s="1524"/>
      <c r="AD124" s="1524"/>
      <c r="AE124" s="1524"/>
      <c r="AF124" s="1524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529"/>
      <c r="L125" s="1529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524" t="s">
        <v>561</v>
      </c>
      <c r="AD125" s="1524"/>
      <c r="AE125" s="1524"/>
      <c r="AF125" s="1524"/>
      <c r="AG125" s="1524"/>
    </row>
    <row r="126" spans="1:33" x14ac:dyDescent="0.2">
      <c r="R126" s="1282"/>
    </row>
    <row r="127" spans="1:33" x14ac:dyDescent="0.2">
      <c r="AA127" s="1282"/>
    </row>
    <row r="128" spans="1:33" x14ac:dyDescent="0.2">
      <c r="E128" s="1297" t="s">
        <v>756</v>
      </c>
    </row>
    <row r="129" spans="5:5" x14ac:dyDescent="0.2">
      <c r="E129" s="1267"/>
    </row>
  </sheetData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2AF9-4E8B-40AF-8918-054F46CF6ED2}">
  <dimension ref="A1:AQ129"/>
  <sheetViews>
    <sheetView zoomScale="70" zoomScaleNormal="70" workbookViewId="0">
      <selection sqref="A1:D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539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539"/>
      <c r="F2" s="1539"/>
      <c r="G2" s="1532"/>
      <c r="H2" s="1538"/>
      <c r="I2" s="1538"/>
      <c r="J2" s="1538"/>
      <c r="K2" s="1538"/>
      <c r="L2" s="1538"/>
      <c r="M2" s="1538"/>
      <c r="N2" s="1538"/>
      <c r="O2" s="1538"/>
      <c r="P2" s="1538"/>
      <c r="Q2" s="1256"/>
      <c r="R2" s="1539"/>
      <c r="S2" s="1539"/>
      <c r="T2" s="1539"/>
      <c r="U2" s="1539"/>
      <c r="V2" s="1557"/>
      <c r="W2" s="1539"/>
      <c r="X2" s="1538"/>
      <c r="Y2" s="1539"/>
      <c r="Z2" s="1539"/>
      <c r="AA2" s="1539"/>
      <c r="AC2" s="1539"/>
      <c r="AD2" s="1539"/>
      <c r="AE2" s="1539"/>
      <c r="AF2" s="1998" t="s">
        <v>750</v>
      </c>
      <c r="AG2" s="1998"/>
    </row>
    <row r="3" spans="1:38" ht="15.75" x14ac:dyDescent="0.25">
      <c r="A3" s="1408" t="s">
        <v>751</v>
      </c>
      <c r="B3" s="1533"/>
      <c r="C3" s="1533"/>
      <c r="D3" s="1533"/>
      <c r="E3" s="1539"/>
      <c r="F3" s="1539"/>
      <c r="G3" s="1532"/>
      <c r="H3" s="1538"/>
      <c r="I3" s="1538"/>
      <c r="J3" s="1538"/>
      <c r="K3" s="1538"/>
      <c r="L3" s="1538"/>
      <c r="M3" s="1538"/>
      <c r="N3" s="1538"/>
      <c r="O3" s="1538"/>
      <c r="P3" s="1538"/>
      <c r="Q3" s="1256"/>
      <c r="R3" s="1539"/>
      <c r="S3" s="1539"/>
      <c r="T3" s="1539"/>
      <c r="U3" s="1539"/>
      <c r="V3" s="1557"/>
      <c r="W3" s="1539"/>
      <c r="X3" s="1538"/>
      <c r="Y3" s="1539"/>
      <c r="Z3" s="1539"/>
      <c r="AA3" s="1539"/>
      <c r="AB3" s="1539"/>
      <c r="AC3" s="1260"/>
      <c r="AE3" s="1222"/>
      <c r="AF3" s="1538" t="s">
        <v>739</v>
      </c>
      <c r="AG3" s="1494"/>
    </row>
    <row r="4" spans="1:38" ht="15" x14ac:dyDescent="0.25">
      <c r="A4" s="1976"/>
      <c r="B4" s="1976"/>
      <c r="C4" s="1976"/>
      <c r="D4" s="1976"/>
      <c r="E4" s="1534"/>
      <c r="F4" s="1539"/>
      <c r="G4" s="1532"/>
      <c r="H4" s="1532"/>
      <c r="I4" s="1538"/>
      <c r="J4" s="1538"/>
      <c r="K4" s="1538"/>
      <c r="L4" s="1538"/>
      <c r="M4" s="1538"/>
      <c r="N4" s="1538"/>
      <c r="O4" s="1538"/>
      <c r="P4" s="1538"/>
      <c r="Q4" s="1256"/>
      <c r="R4" s="1531"/>
      <c r="S4" s="1531"/>
      <c r="T4" s="1531"/>
      <c r="U4" s="1531"/>
      <c r="V4" s="1554"/>
      <c r="W4" s="1531"/>
      <c r="X4" s="1538"/>
      <c r="Y4" s="1539"/>
      <c r="Z4" s="1539"/>
      <c r="AB4" s="1539"/>
      <c r="AD4" s="1539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539"/>
      <c r="F5" s="1539"/>
      <c r="G5" s="1532"/>
      <c r="H5" s="1532"/>
      <c r="I5" s="1539"/>
      <c r="J5" s="1539"/>
      <c r="K5" s="1532"/>
      <c r="L5" s="1532"/>
      <c r="M5" s="1539"/>
      <c r="N5" s="1539"/>
      <c r="O5" s="1539"/>
      <c r="P5" s="149"/>
      <c r="Q5" s="1257"/>
      <c r="R5" s="1539"/>
      <c r="S5" s="1539"/>
      <c r="T5" s="1539"/>
      <c r="U5" s="1539"/>
      <c r="V5" s="1557"/>
      <c r="W5" s="1539"/>
      <c r="X5" s="1539"/>
      <c r="Y5" s="1539"/>
      <c r="Z5" s="1539"/>
      <c r="AA5" s="1539"/>
      <c r="AB5" s="1539"/>
      <c r="AC5" s="1539"/>
      <c r="AD5" s="1539"/>
      <c r="AG5" s="151"/>
    </row>
    <row r="6" spans="1:38" ht="27" customHeight="1" x14ac:dyDescent="0.2">
      <c r="A6" s="1942"/>
      <c r="B6" s="1942"/>
      <c r="C6" s="1942"/>
      <c r="D6" s="1942"/>
      <c r="E6" s="1539"/>
      <c r="F6" s="1539"/>
      <c r="G6" s="1532"/>
      <c r="H6" s="1532"/>
      <c r="I6" s="1539"/>
      <c r="J6" s="1539"/>
      <c r="K6" s="1532"/>
      <c r="L6" s="1532"/>
      <c r="M6" s="1539"/>
      <c r="N6" s="1539"/>
      <c r="O6" s="1539"/>
      <c r="P6" s="149"/>
      <c r="Q6" s="1257"/>
      <c r="R6" s="1539"/>
      <c r="S6" s="1539"/>
      <c r="T6" s="1539"/>
      <c r="U6" s="1539"/>
      <c r="V6" s="1557"/>
      <c r="W6" s="1539"/>
      <c r="X6" s="1539"/>
      <c r="Y6" s="1539"/>
      <c r="Z6" s="1539"/>
      <c r="AA6" s="1539"/>
      <c r="AB6" s="1539"/>
      <c r="AC6" s="1539"/>
      <c r="AD6" s="1539"/>
      <c r="AE6" s="1539"/>
      <c r="AF6" s="1539"/>
    </row>
    <row r="7" spans="1:38" ht="27" customHeight="1" x14ac:dyDescent="0.2">
      <c r="A7" s="1942" t="s">
        <v>54</v>
      </c>
      <c r="B7" s="1942"/>
      <c r="C7" s="1942"/>
      <c r="D7" s="1942"/>
      <c r="E7" s="1539"/>
      <c r="F7" s="1539"/>
      <c r="G7" s="1532"/>
      <c r="H7" s="1532"/>
      <c r="I7" s="1539"/>
      <c r="J7" s="1539"/>
      <c r="K7" s="1532"/>
      <c r="L7" s="1532"/>
      <c r="M7" s="1539"/>
      <c r="N7" s="1539"/>
      <c r="O7" s="1539"/>
      <c r="P7" s="149"/>
      <c r="Q7" s="1257"/>
      <c r="R7" s="1539"/>
      <c r="S7" s="1539"/>
      <c r="T7" s="1539"/>
      <c r="U7" s="1539"/>
      <c r="V7" s="1557"/>
      <c r="W7" s="1539"/>
      <c r="X7" s="1539"/>
      <c r="Y7" s="1539"/>
      <c r="Z7" s="1539"/>
      <c r="AA7" s="1539"/>
      <c r="AB7" s="1539"/>
      <c r="AC7" s="1539"/>
      <c r="AD7" s="1539"/>
      <c r="AE7" s="1539"/>
      <c r="AF7" s="1539"/>
    </row>
    <row r="8" spans="1:38" ht="27" customHeight="1" x14ac:dyDescent="0.2">
      <c r="A8" s="1977" t="s">
        <v>736</v>
      </c>
      <c r="B8" s="1977"/>
      <c r="C8" s="1977"/>
      <c r="D8" s="1977"/>
      <c r="E8" s="1539"/>
      <c r="F8" s="1539"/>
      <c r="G8" s="1532"/>
      <c r="H8" s="1532"/>
      <c r="I8" s="1539"/>
      <c r="J8" s="1539"/>
      <c r="K8" s="1532"/>
      <c r="L8" s="1532"/>
      <c r="M8" s="1539"/>
      <c r="N8" s="1539"/>
      <c r="O8" s="1539"/>
      <c r="P8" s="149"/>
      <c r="Q8" s="1257"/>
      <c r="R8" s="1539"/>
      <c r="S8" s="1539"/>
      <c r="T8" s="1539"/>
      <c r="U8" s="1539"/>
      <c r="V8" s="1557"/>
      <c r="W8" s="1539"/>
      <c r="X8" s="1539"/>
      <c r="Y8" s="1539"/>
      <c r="Z8" s="1539"/>
      <c r="AA8" s="1539"/>
      <c r="AB8" s="1539"/>
      <c r="AC8" s="1539"/>
      <c r="AD8" s="1539"/>
      <c r="AE8" s="1539"/>
      <c r="AF8" s="1539"/>
    </row>
    <row r="9" spans="1:38" ht="27" customHeight="1" x14ac:dyDescent="0.2">
      <c r="A9" s="1408" t="s">
        <v>737</v>
      </c>
      <c r="B9" s="1533"/>
      <c r="C9" s="1533"/>
      <c r="D9" s="1533"/>
      <c r="E9" s="1539"/>
      <c r="F9" s="1539"/>
      <c r="G9" s="1532"/>
      <c r="H9" s="1532"/>
      <c r="I9" s="1539"/>
      <c r="J9" s="1539"/>
      <c r="K9" s="1532"/>
      <c r="L9" s="1532"/>
      <c r="M9" s="1539"/>
      <c r="N9" s="1539"/>
      <c r="O9" s="1539"/>
      <c r="P9" s="149"/>
      <c r="Q9" s="1257"/>
      <c r="R9" s="1539"/>
      <c r="S9" s="1539"/>
      <c r="T9" s="1539"/>
      <c r="U9" s="1539"/>
      <c r="V9" s="1557"/>
      <c r="W9" s="1539"/>
      <c r="X9" s="1539"/>
      <c r="Y9" s="1539"/>
      <c r="Z9" s="1539"/>
      <c r="AA9" s="1539"/>
      <c r="AB9" s="1539"/>
      <c r="AC9" s="1539"/>
      <c r="AD9" s="1539"/>
      <c r="AE9" s="1539"/>
      <c r="AF9" s="1539"/>
    </row>
    <row r="10" spans="1:38" ht="27" customHeight="1" x14ac:dyDescent="0.2">
      <c r="A10" s="1976"/>
      <c r="B10" s="1976"/>
      <c r="C10" s="1976"/>
      <c r="D10" s="1976"/>
      <c r="E10" s="1534"/>
      <c r="F10" s="1539"/>
      <c r="G10" s="1532"/>
      <c r="H10" s="1532"/>
      <c r="I10" s="1539"/>
      <c r="J10" s="1539"/>
      <c r="K10" s="1532"/>
      <c r="L10" s="1532"/>
      <c r="M10" s="1539"/>
      <c r="N10" s="1539"/>
      <c r="O10" s="1539"/>
      <c r="P10" s="149"/>
      <c r="Q10" s="1257"/>
      <c r="R10" s="1539"/>
      <c r="S10" s="1539"/>
      <c r="T10" s="1539"/>
      <c r="U10" s="1539"/>
      <c r="V10" s="1557"/>
      <c r="W10" s="1539"/>
      <c r="X10" s="1539"/>
      <c r="Y10" s="1539"/>
      <c r="Z10" s="1539"/>
      <c r="AA10" s="1539"/>
      <c r="AB10" s="1539"/>
      <c r="AC10" s="1539"/>
      <c r="AD10" s="1539"/>
      <c r="AE10" s="1539"/>
      <c r="AF10" s="1539"/>
    </row>
    <row r="11" spans="1:38" ht="27" customHeight="1" x14ac:dyDescent="0.2">
      <c r="A11" s="1976" t="s">
        <v>740</v>
      </c>
      <c r="B11" s="1976"/>
      <c r="C11" s="1976"/>
      <c r="D11" s="1976"/>
      <c r="E11" s="1539"/>
      <c r="F11" s="1539"/>
      <c r="G11" s="1532"/>
      <c r="H11" s="1532"/>
      <c r="I11" s="1539"/>
      <c r="J11" s="1539"/>
      <c r="K11" s="1532"/>
      <c r="L11" s="1532"/>
      <c r="M11" s="1539"/>
      <c r="N11" s="1539"/>
      <c r="O11" s="1539"/>
      <c r="P11" s="149"/>
      <c r="Q11" s="1257"/>
      <c r="R11" s="1539"/>
      <c r="S11" s="1539"/>
      <c r="T11" s="1539"/>
      <c r="U11" s="1539"/>
      <c r="V11" s="1557"/>
      <c r="W11" s="1539"/>
      <c r="X11" s="1539"/>
      <c r="Y11" s="1539"/>
      <c r="Z11" s="1539"/>
      <c r="AA11" s="1539"/>
      <c r="AB11" s="1539"/>
      <c r="AC11" s="1539"/>
      <c r="AD11" s="1539"/>
      <c r="AE11" s="1539"/>
      <c r="AF11" s="1539"/>
    </row>
    <row r="12" spans="1:38" ht="27" customHeight="1" x14ac:dyDescent="0.2">
      <c r="A12" s="1535"/>
      <c r="B12" s="1535"/>
      <c r="C12" s="1535"/>
      <c r="D12" s="1535"/>
      <c r="E12" s="1539"/>
      <c r="F12" s="1539"/>
      <c r="G12" s="1532"/>
      <c r="H12" s="1532"/>
      <c r="I12" s="1539"/>
      <c r="J12" s="1539"/>
      <c r="K12" s="1532"/>
      <c r="L12" s="1532"/>
      <c r="M12" s="1539"/>
      <c r="N12" s="1539"/>
      <c r="O12" s="1539"/>
      <c r="P12" s="149"/>
      <c r="Q12" s="1257"/>
      <c r="R12" s="1539"/>
      <c r="S12" s="1539"/>
      <c r="T12" s="1539"/>
      <c r="U12" s="1539"/>
      <c r="V12" s="1557"/>
      <c r="W12" s="1539"/>
      <c r="X12" s="1539"/>
      <c r="Y12" s="1539"/>
      <c r="Z12" s="1539"/>
      <c r="AA12" s="1539"/>
      <c r="AB12" s="1539"/>
      <c r="AC12" s="1539"/>
      <c r="AD12" s="1539"/>
      <c r="AE12" s="1539"/>
      <c r="AF12" s="1539"/>
    </row>
    <row r="13" spans="1:38" ht="32.25" customHeight="1" x14ac:dyDescent="0.25">
      <c r="A13" s="1976"/>
      <c r="B13" s="1976"/>
      <c r="C13" s="1976"/>
      <c r="D13" s="1976"/>
      <c r="E13" s="1534"/>
      <c r="F13" s="1539"/>
      <c r="G13" s="1532"/>
      <c r="H13" s="1532"/>
      <c r="I13" s="140"/>
      <c r="J13" s="1539"/>
      <c r="K13" s="1532"/>
      <c r="L13" s="1532"/>
      <c r="M13" s="1539"/>
      <c r="N13" s="1539"/>
      <c r="O13" s="1539"/>
      <c r="P13" s="149"/>
      <c r="Q13" s="1257"/>
      <c r="R13" s="1539"/>
      <c r="S13" s="1539"/>
      <c r="T13" s="1539"/>
      <c r="U13" s="1539"/>
      <c r="V13" s="1557"/>
      <c r="W13" s="147"/>
      <c r="X13" s="1539"/>
      <c r="Y13" s="1539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532"/>
      <c r="C14" s="1532"/>
      <c r="D14" s="1532"/>
      <c r="E14" s="1539"/>
      <c r="F14" s="1539"/>
      <c r="G14" s="1532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539"/>
      <c r="Z14" s="148"/>
      <c r="AA14" s="148"/>
      <c r="AB14" s="148"/>
      <c r="AC14" s="148"/>
    </row>
    <row r="15" spans="1:38" ht="31.5" customHeight="1" thickBot="1" x14ac:dyDescent="0.25">
      <c r="B15" s="1532"/>
      <c r="C15" s="1532"/>
      <c r="D15" s="1532"/>
      <c r="E15" s="1539"/>
      <c r="F15" s="1539"/>
      <c r="G15" s="1532"/>
      <c r="H15" s="1532"/>
      <c r="I15" s="140"/>
      <c r="J15" s="1964" t="s">
        <v>759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539"/>
      <c r="Y15" s="1539"/>
      <c r="Z15" s="148"/>
      <c r="AA15" s="148"/>
      <c r="AB15" s="148"/>
      <c r="AC15" s="148"/>
      <c r="AD15" s="1539"/>
      <c r="AE15" s="1539"/>
      <c r="AF15" s="1539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540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540" t="s">
        <v>18</v>
      </c>
      <c r="AF17" s="1540" t="s">
        <v>20</v>
      </c>
      <c r="AG17" s="1967" t="s">
        <v>21</v>
      </c>
      <c r="AH17" s="1267">
        <v>45017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543" t="s">
        <v>3</v>
      </c>
      <c r="J18" s="1543" t="s">
        <v>7</v>
      </c>
      <c r="K18" s="1543" t="s">
        <v>30</v>
      </c>
      <c r="L18" s="1543" t="s">
        <v>29</v>
      </c>
      <c r="M18" s="1543" t="s">
        <v>31</v>
      </c>
      <c r="N18" s="1543" t="s">
        <v>32</v>
      </c>
      <c r="O18" s="1543" t="s">
        <v>12</v>
      </c>
      <c r="P18" s="1269" t="s">
        <v>673</v>
      </c>
      <c r="Q18" s="1270" t="s">
        <v>26</v>
      </c>
      <c r="R18" s="1543" t="s">
        <v>675</v>
      </c>
      <c r="S18" s="1543" t="s">
        <v>25</v>
      </c>
      <c r="T18" s="1543" t="s">
        <v>676</v>
      </c>
      <c r="U18" s="1968"/>
      <c r="V18" s="1968"/>
      <c r="W18" s="1987"/>
      <c r="X18" s="1410" t="s">
        <v>7</v>
      </c>
      <c r="Y18" s="1968"/>
      <c r="Z18" s="1543" t="s">
        <v>14</v>
      </c>
      <c r="AA18" s="1543" t="s">
        <v>679</v>
      </c>
      <c r="AB18" s="1543" t="s">
        <v>113</v>
      </c>
      <c r="AC18" s="1968"/>
      <c r="AD18" s="1968"/>
      <c r="AE18" s="1543" t="s">
        <v>19</v>
      </c>
      <c r="AF18" s="1543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543">
        <v>557.80999999999995</v>
      </c>
      <c r="J19" s="1448">
        <v>195</v>
      </c>
      <c r="K19" s="241"/>
      <c r="L19" s="1277">
        <v>428</v>
      </c>
      <c r="M19" s="241"/>
      <c r="N19" s="1278">
        <v>1.8</v>
      </c>
      <c r="O19" s="241"/>
      <c r="P19" s="1278">
        <f>AI19</f>
        <v>14.313688554073032</v>
      </c>
      <c r="Q19" s="1278">
        <f>LEFT(H19,(FIND("Е",H19,1)-1))*J19/100</f>
        <v>25.35</v>
      </c>
      <c r="R19" s="244">
        <v>3.673</v>
      </c>
      <c r="S19" s="244">
        <v>16.3</v>
      </c>
      <c r="T19" s="1277">
        <v>28</v>
      </c>
      <c r="U19" s="1278">
        <f t="shared" ref="U19:U37" si="0">IF(R19=0,0,T19/R19)</f>
        <v>7.6231962973046556</v>
      </c>
      <c r="V19" s="1278">
        <f>(S19-R19)/S19*100</f>
        <v>77.466257668711663</v>
      </c>
      <c r="W19" s="1279">
        <v>0.2</v>
      </c>
      <c r="X19" s="1449">
        <v>195</v>
      </c>
      <c r="Y19" s="1277">
        <f>IF(S19=0,0,S19/Q19)*100</f>
        <v>64.299802761341212</v>
      </c>
      <c r="Z19" s="244">
        <f>R19*0.988</f>
        <v>3.628924</v>
      </c>
      <c r="AA19" s="244">
        <f>S19*0.988</f>
        <v>16.104400000000002</v>
      </c>
      <c r="AB19" s="1277">
        <f>T19*0.988</f>
        <v>27.664000000000001</v>
      </c>
      <c r="AC19" s="244">
        <f>U19</f>
        <v>7.6231962973046556</v>
      </c>
      <c r="AD19" s="1277">
        <f>V19</f>
        <v>77.466257668711663</v>
      </c>
      <c r="AE19" s="241">
        <f>(DAY(EOMONTH($AH$17,0))-AH19)</f>
        <v>30</v>
      </c>
      <c r="AF19" s="244">
        <f t="shared" ref="AF19:AF63" si="1">Z19*AE19</f>
        <v>108.86772000000001</v>
      </c>
      <c r="AG19" s="1281"/>
      <c r="AI19" s="1282">
        <f t="shared" ref="AI19:AI82" si="2">(9.81*(AJ19*(100%-(V19/100))+AK19*(V19/100))*(I19-L19)+N19*101.325+9.81*(AL19)*L19)/101.325</f>
        <v>14.313688554073032</v>
      </c>
      <c r="AJ19" s="1252">
        <v>0.90790000000000004</v>
      </c>
      <c r="AK19" s="1252">
        <v>1.018</v>
      </c>
      <c r="AL19" s="1252">
        <v>7.5858300000000007E-4</v>
      </c>
      <c r="AM19" s="1252">
        <f>DAY(EOMONTH($AH$17,0))</f>
        <v>30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543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3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556">
        <v>528.5</v>
      </c>
      <c r="J21" s="241">
        <v>85</v>
      </c>
      <c r="K21" s="241"/>
      <c r="L21" s="1277">
        <v>460</v>
      </c>
      <c r="M21" s="241"/>
      <c r="N21" s="1278">
        <v>7.5</v>
      </c>
      <c r="O21" s="241"/>
      <c r="P21" s="1278">
        <f t="shared" ref="P21:P84" si="4">AI21</f>
        <v>13.791534333431109</v>
      </c>
      <c r="Q21" s="1278">
        <f>RIGHT(H21,(FIND("T",H21,1)-0))*J21/100</f>
        <v>17</v>
      </c>
      <c r="R21" s="244">
        <v>4.766</v>
      </c>
      <c r="S21" s="244">
        <v>8.3789999999999996</v>
      </c>
      <c r="T21" s="1277">
        <v>15.333</v>
      </c>
      <c r="U21" s="1278">
        <f t="shared" si="0"/>
        <v>3.217163239613932</v>
      </c>
      <c r="V21" s="1278">
        <f t="shared" ref="V21:V55" si="5">(S21-R21)/S21*100</f>
        <v>43.119704021959663</v>
      </c>
      <c r="W21" s="1279">
        <v>0.2</v>
      </c>
      <c r="X21" s="1316">
        <v>85</v>
      </c>
      <c r="Y21" s="1277">
        <f t="shared" si="3"/>
        <v>49.288235294117641</v>
      </c>
      <c r="Z21" s="244">
        <f t="shared" ref="Z21:AB36" si="6">R21*0.988</f>
        <v>4.7088080000000003</v>
      </c>
      <c r="AA21" s="244">
        <f t="shared" si="6"/>
        <v>8.2784519999999997</v>
      </c>
      <c r="AB21" s="1277">
        <f t="shared" si="6"/>
        <v>15.149004</v>
      </c>
      <c r="AC21" s="244">
        <f t="shared" ref="AC21:AD36" si="7">U21</f>
        <v>3.217163239613932</v>
      </c>
      <c r="AD21" s="1277">
        <f t="shared" si="7"/>
        <v>43.119704021959663</v>
      </c>
      <c r="AE21" s="241">
        <f t="shared" ref="AE21:AE42" si="8">(DAY(EOMONTH($AH$17,0))-AH21)</f>
        <v>30</v>
      </c>
      <c r="AF21" s="244">
        <f t="shared" si="1"/>
        <v>141.26424</v>
      </c>
      <c r="AG21" s="1281"/>
      <c r="AI21" s="1282">
        <f t="shared" si="2"/>
        <v>13.791534333431109</v>
      </c>
      <c r="AJ21" s="1252">
        <v>0.87260000000000004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543">
        <v>544.29999999999995</v>
      </c>
      <c r="J22" s="241">
        <v>195</v>
      </c>
      <c r="K22" s="241"/>
      <c r="L22" s="1277">
        <v>457</v>
      </c>
      <c r="M22" s="241"/>
      <c r="N22" s="1278">
        <v>5.5</v>
      </c>
      <c r="O22" s="241"/>
      <c r="P22" s="1278">
        <f t="shared" si="4"/>
        <v>13.647432235411218</v>
      </c>
      <c r="Q22" s="1278">
        <f t="shared" ref="Q22:Q27" si="9">RIGHT(H22,(FIND("T",H22,1)-0))*J22/100</f>
        <v>27.3</v>
      </c>
      <c r="R22" s="244">
        <v>6.5289999999999999</v>
      </c>
      <c r="S22" s="244">
        <v>13.916</v>
      </c>
      <c r="T22" s="1277">
        <v>118</v>
      </c>
      <c r="U22" s="1278">
        <f t="shared" si="0"/>
        <v>18.073211824169093</v>
      </c>
      <c r="V22" s="1278">
        <f t="shared" si="5"/>
        <v>53.082782408738147</v>
      </c>
      <c r="W22" s="1279">
        <v>0.23</v>
      </c>
      <c r="X22" s="1316">
        <v>195</v>
      </c>
      <c r="Y22" s="1277">
        <f t="shared" si="3"/>
        <v>50.974358974358978</v>
      </c>
      <c r="Z22" s="244">
        <f t="shared" si="6"/>
        <v>6.4506519999999998</v>
      </c>
      <c r="AA22" s="244">
        <f t="shared" si="6"/>
        <v>13.749008</v>
      </c>
      <c r="AB22" s="1277">
        <f t="shared" si="6"/>
        <v>116.584</v>
      </c>
      <c r="AC22" s="244">
        <f t="shared" si="7"/>
        <v>18.073211824169093</v>
      </c>
      <c r="AD22" s="1277">
        <f t="shared" si="7"/>
        <v>53.082782408738147</v>
      </c>
      <c r="AE22" s="241">
        <f t="shared" si="8"/>
        <v>30</v>
      </c>
      <c r="AF22" s="244">
        <f t="shared" si="1"/>
        <v>193.51955999999998</v>
      </c>
      <c r="AG22" s="1281"/>
      <c r="AI22" s="1282">
        <f t="shared" si="2"/>
        <v>13.647432235411218</v>
      </c>
      <c r="AJ22" s="1252">
        <v>0.89459999999999995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543">
        <v>548.32000000000005</v>
      </c>
      <c r="J23" s="241">
        <v>135</v>
      </c>
      <c r="K23" s="241"/>
      <c r="L23" s="1277">
        <v>427</v>
      </c>
      <c r="M23" s="241"/>
      <c r="N23" s="1278">
        <v>2.5</v>
      </c>
      <c r="O23" s="241"/>
      <c r="P23" s="1278">
        <f t="shared" si="4"/>
        <v>13.35930747311574</v>
      </c>
      <c r="Q23" s="1278">
        <f t="shared" si="9"/>
        <v>18.899999999999999</v>
      </c>
      <c r="R23" s="244">
        <v>4.069</v>
      </c>
      <c r="S23" s="244">
        <v>4.7460000000000004</v>
      </c>
      <c r="T23" s="1277">
        <v>57</v>
      </c>
      <c r="U23" s="1278">
        <f t="shared" si="0"/>
        <v>14.008355861391005</v>
      </c>
      <c r="V23" s="1278">
        <f t="shared" si="5"/>
        <v>14.264643910661617</v>
      </c>
      <c r="W23" s="1279">
        <v>0.2</v>
      </c>
      <c r="X23" s="1316">
        <v>135</v>
      </c>
      <c r="Y23" s="1277">
        <f t="shared" si="3"/>
        <v>25.111111111111118</v>
      </c>
      <c r="Z23" s="244">
        <f t="shared" si="6"/>
        <v>4.0201719999999996</v>
      </c>
      <c r="AA23" s="244">
        <f t="shared" si="6"/>
        <v>4.6890480000000005</v>
      </c>
      <c r="AB23" s="1277">
        <f t="shared" si="6"/>
        <v>56.316000000000003</v>
      </c>
      <c r="AC23" s="244">
        <f t="shared" si="7"/>
        <v>14.008355861391005</v>
      </c>
      <c r="AD23" s="1277">
        <f t="shared" si="7"/>
        <v>14.264643910661617</v>
      </c>
      <c r="AE23" s="241">
        <f t="shared" si="8"/>
        <v>30</v>
      </c>
      <c r="AF23" s="244">
        <f t="shared" si="1"/>
        <v>120.60515999999998</v>
      </c>
      <c r="AG23" s="1281"/>
      <c r="AI23" s="1282">
        <f t="shared" si="2"/>
        <v>13.35930747311574</v>
      </c>
      <c r="AJ23" s="1252">
        <v>0.90529999999999999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543">
        <v>563.03</v>
      </c>
      <c r="J24" s="241">
        <v>135</v>
      </c>
      <c r="K24" s="241"/>
      <c r="L24" s="1277">
        <v>415</v>
      </c>
      <c r="M24" s="241"/>
      <c r="N24" s="1278">
        <v>0.9</v>
      </c>
      <c r="O24" s="241"/>
      <c r="P24" s="1278">
        <f t="shared" si="4"/>
        <v>14.621419615300864</v>
      </c>
      <c r="Q24" s="1278">
        <f t="shared" si="9"/>
        <v>18.899999999999999</v>
      </c>
      <c r="R24" s="244">
        <v>4.3419999999999996</v>
      </c>
      <c r="S24" s="244">
        <v>6.01</v>
      </c>
      <c r="T24" s="1277">
        <v>39</v>
      </c>
      <c r="U24" s="1278">
        <f t="shared" si="0"/>
        <v>8.9820359281437128</v>
      </c>
      <c r="V24" s="1278">
        <f t="shared" si="5"/>
        <v>27.753743760399335</v>
      </c>
      <c r="W24" s="1279">
        <v>0.2</v>
      </c>
      <c r="X24" s="1316">
        <v>135</v>
      </c>
      <c r="Y24" s="1277">
        <f t="shared" si="3"/>
        <v>31.798941798941797</v>
      </c>
      <c r="Z24" s="244">
        <f t="shared" si="6"/>
        <v>4.2898959999999997</v>
      </c>
      <c r="AA24" s="244">
        <f t="shared" si="6"/>
        <v>5.9378799999999998</v>
      </c>
      <c r="AB24" s="1277">
        <f t="shared" si="6"/>
        <v>38.531999999999996</v>
      </c>
      <c r="AC24" s="244">
        <f t="shared" si="7"/>
        <v>8.9820359281437128</v>
      </c>
      <c r="AD24" s="1277">
        <f t="shared" si="7"/>
        <v>27.753743760399335</v>
      </c>
      <c r="AE24" s="241">
        <f t="shared" si="8"/>
        <v>30</v>
      </c>
      <c r="AF24" s="244">
        <f t="shared" si="1"/>
        <v>128.69687999999999</v>
      </c>
      <c r="AG24" s="1281"/>
      <c r="AI24" s="1282">
        <f t="shared" si="2"/>
        <v>14.621419615300864</v>
      </c>
      <c r="AJ24" s="1252">
        <v>0.92600000000000005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543">
        <v>556.79999999999995</v>
      </c>
      <c r="J25" s="241">
        <v>100</v>
      </c>
      <c r="K25" s="241"/>
      <c r="L25" s="1277">
        <v>441</v>
      </c>
      <c r="M25" s="241"/>
      <c r="N25" s="1278">
        <v>2.7</v>
      </c>
      <c r="O25" s="241"/>
      <c r="P25" s="1278">
        <f t="shared" si="4"/>
        <v>13.242805305093645</v>
      </c>
      <c r="Q25" s="1278">
        <f t="shared" si="9"/>
        <v>14</v>
      </c>
      <c r="R25" s="244">
        <v>5.633</v>
      </c>
      <c r="S25" s="244">
        <v>7.9630000000000001</v>
      </c>
      <c r="T25" s="1277">
        <v>9.9</v>
      </c>
      <c r="U25" s="1278">
        <f t="shared" si="0"/>
        <v>1.7575004438132436</v>
      </c>
      <c r="V25" s="1278">
        <f t="shared" si="5"/>
        <v>29.260329021725479</v>
      </c>
      <c r="W25" s="1279">
        <v>0.2</v>
      </c>
      <c r="X25" s="1316">
        <v>0</v>
      </c>
      <c r="Y25" s="1277">
        <v>0</v>
      </c>
      <c r="Z25" s="244">
        <v>0</v>
      </c>
      <c r="AA25" s="244">
        <v>0</v>
      </c>
      <c r="AB25" s="1277">
        <v>0</v>
      </c>
      <c r="AC25" s="244">
        <v>0</v>
      </c>
      <c r="AD25" s="1277">
        <v>0</v>
      </c>
      <c r="AE25" s="241">
        <v>0</v>
      </c>
      <c r="AF25" s="244">
        <f t="shared" si="1"/>
        <v>0</v>
      </c>
      <c r="AG25" s="1281" t="s">
        <v>760</v>
      </c>
      <c r="AI25" s="1282">
        <f t="shared" si="2"/>
        <v>13.242805305093645</v>
      </c>
      <c r="AJ25" s="1252">
        <v>0.90329999999999999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450</v>
      </c>
      <c r="M26" s="1302"/>
      <c r="N26" s="1278">
        <v>4.8</v>
      </c>
      <c r="O26" s="1302"/>
      <c r="P26" s="1278">
        <f t="shared" si="4"/>
        <v>14.611143008180902</v>
      </c>
      <c r="Q26" s="1278">
        <f t="shared" si="9"/>
        <v>20</v>
      </c>
      <c r="R26" s="244">
        <v>5.18</v>
      </c>
      <c r="S26" s="244">
        <v>18.018000000000001</v>
      </c>
      <c r="T26" s="1277">
        <v>53</v>
      </c>
      <c r="U26" s="1278">
        <f t="shared" si="0"/>
        <v>10.231660231660232</v>
      </c>
      <c r="V26" s="1278">
        <f t="shared" si="5"/>
        <v>71.250971250971247</v>
      </c>
      <c r="W26" s="1279">
        <v>0.2</v>
      </c>
      <c r="X26" s="1316">
        <v>100</v>
      </c>
      <c r="Y26" s="1277">
        <f t="shared" si="3"/>
        <v>90.09</v>
      </c>
      <c r="Z26" s="244">
        <f t="shared" si="6"/>
        <v>5.1178399999999993</v>
      </c>
      <c r="AA26" s="244">
        <f t="shared" si="6"/>
        <v>17.801784000000001</v>
      </c>
      <c r="AB26" s="1277">
        <f t="shared" si="6"/>
        <v>52.363999999999997</v>
      </c>
      <c r="AC26" s="244">
        <f t="shared" ref="AC26:AD38" si="10">U26</f>
        <v>10.231660231660232</v>
      </c>
      <c r="AD26" s="1277">
        <f t="shared" si="7"/>
        <v>71.250971250971247</v>
      </c>
      <c r="AE26" s="241">
        <f t="shared" si="8"/>
        <v>30</v>
      </c>
      <c r="AF26" s="244">
        <f t="shared" si="1"/>
        <v>153.53519999999997</v>
      </c>
      <c r="AG26" s="1281"/>
      <c r="AI26" s="1282">
        <f t="shared" si="2"/>
        <v>14.611143008180902</v>
      </c>
      <c r="AJ26" s="1252">
        <v>0.89549999999999996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543">
        <v>569.48</v>
      </c>
      <c r="J27" s="241">
        <v>150</v>
      </c>
      <c r="K27" s="241"/>
      <c r="L27" s="1277">
        <v>455</v>
      </c>
      <c r="M27" s="241"/>
      <c r="N27" s="1278">
        <v>3.5</v>
      </c>
      <c r="O27" s="241"/>
      <c r="P27" s="1278">
        <f t="shared" si="4"/>
        <v>14.374282551663569</v>
      </c>
      <c r="Q27" s="1278">
        <f t="shared" si="9"/>
        <v>30</v>
      </c>
      <c r="R27" s="244">
        <v>6.6310000000000002</v>
      </c>
      <c r="S27" s="244">
        <v>17.547000000000001</v>
      </c>
      <c r="T27" s="1277">
        <v>48.8</v>
      </c>
      <c r="U27" s="1278">
        <f t="shared" si="0"/>
        <v>7.3593726436434919</v>
      </c>
      <c r="V27" s="1278">
        <f t="shared" si="5"/>
        <v>62.210064398472674</v>
      </c>
      <c r="W27" s="1279">
        <v>0.2</v>
      </c>
      <c r="X27" s="1316">
        <v>150</v>
      </c>
      <c r="Y27" s="1277">
        <f t="shared" si="3"/>
        <v>58.489999999999995</v>
      </c>
      <c r="Z27" s="244">
        <f t="shared" si="6"/>
        <v>6.5514280000000005</v>
      </c>
      <c r="AA27" s="244">
        <f t="shared" si="6"/>
        <v>17.336435999999999</v>
      </c>
      <c r="AB27" s="1277">
        <f t="shared" si="6"/>
        <v>48.214399999999998</v>
      </c>
      <c r="AC27" s="244">
        <f t="shared" si="10"/>
        <v>7.3593726436434919</v>
      </c>
      <c r="AD27" s="1277">
        <f t="shared" si="7"/>
        <v>62.210064398472674</v>
      </c>
      <c r="AE27" s="241">
        <f t="shared" si="8"/>
        <v>30</v>
      </c>
      <c r="AF27" s="244">
        <f t="shared" si="1"/>
        <v>196.54284000000001</v>
      </c>
      <c r="AG27" s="1281"/>
      <c r="AI27" s="1282">
        <f t="shared" si="2"/>
        <v>14.374282551663569</v>
      </c>
      <c r="AJ27" s="1252">
        <v>0.90690000000000004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543">
        <v>566.99</v>
      </c>
      <c r="J28" s="1448">
        <v>85</v>
      </c>
      <c r="K28" s="241"/>
      <c r="L28" s="1277">
        <v>405</v>
      </c>
      <c r="M28" s="241"/>
      <c r="N28" s="1278">
        <v>3.2</v>
      </c>
      <c r="O28" s="241"/>
      <c r="P28" s="1278">
        <f t="shared" si="4"/>
        <v>18.704398025456669</v>
      </c>
      <c r="Q28" s="1278">
        <f>J28*14/100</f>
        <v>11.9</v>
      </c>
      <c r="R28" s="244">
        <v>3.907</v>
      </c>
      <c r="S28" s="244">
        <v>11.505000000000001</v>
      </c>
      <c r="T28" s="1277">
        <v>2</v>
      </c>
      <c r="U28" s="1278">
        <f t="shared" si="0"/>
        <v>0.51190171487074476</v>
      </c>
      <c r="V28" s="1278">
        <f t="shared" si="5"/>
        <v>66.040851803563669</v>
      </c>
      <c r="W28" s="1279">
        <v>0.2</v>
      </c>
      <c r="X28" s="1449">
        <v>85</v>
      </c>
      <c r="Y28" s="1277">
        <f t="shared" si="3"/>
        <v>96.680672268907557</v>
      </c>
      <c r="Z28" s="244">
        <v>2.5</v>
      </c>
      <c r="AA28" s="244">
        <f t="shared" si="6"/>
        <v>11.366940000000001</v>
      </c>
      <c r="AB28" s="1277">
        <f t="shared" si="6"/>
        <v>1.976</v>
      </c>
      <c r="AC28" s="244">
        <f t="shared" si="10"/>
        <v>0.51190171487074476</v>
      </c>
      <c r="AD28" s="1277">
        <f t="shared" si="7"/>
        <v>66.040851803563669</v>
      </c>
      <c r="AE28" s="241">
        <f t="shared" si="8"/>
        <v>30</v>
      </c>
      <c r="AF28" s="244">
        <f t="shared" si="1"/>
        <v>75</v>
      </c>
      <c r="AG28" s="1281"/>
      <c r="AI28" s="1282">
        <f t="shared" si="2"/>
        <v>18.704398025456669</v>
      </c>
      <c r="AJ28" s="1252">
        <v>0.90039999999999998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543">
        <v>593.29</v>
      </c>
      <c r="J29" s="241">
        <v>280</v>
      </c>
      <c r="K29" s="241"/>
      <c r="L29" s="1277">
        <v>449</v>
      </c>
      <c r="M29" s="241"/>
      <c r="N29" s="1278">
        <v>2.5</v>
      </c>
      <c r="O29" s="241"/>
      <c r="P29" s="1278">
        <f t="shared" si="4"/>
        <v>16.818135103197932</v>
      </c>
      <c r="Q29" s="1278">
        <f>(15/100)*J29</f>
        <v>42</v>
      </c>
      <c r="R29" s="244">
        <v>1.64</v>
      </c>
      <c r="S29" s="244">
        <v>9.1620000000000008</v>
      </c>
      <c r="T29" s="1277">
        <v>13.5</v>
      </c>
      <c r="U29" s="1278">
        <f t="shared" si="0"/>
        <v>8.2317073170731714</v>
      </c>
      <c r="V29" s="1278">
        <f t="shared" si="5"/>
        <v>82.099978170705086</v>
      </c>
      <c r="W29" s="1279">
        <v>0.27</v>
      </c>
      <c r="X29" s="1316">
        <v>280</v>
      </c>
      <c r="Y29" s="1277">
        <f t="shared" si="3"/>
        <v>21.814285714285717</v>
      </c>
      <c r="Z29" s="244">
        <f t="shared" ref="Z29:AB43" si="11">R29*0.988</f>
        <v>1.62032</v>
      </c>
      <c r="AA29" s="244">
        <f t="shared" si="6"/>
        <v>9.0520560000000003</v>
      </c>
      <c r="AB29" s="1277">
        <f t="shared" si="6"/>
        <v>13.337999999999999</v>
      </c>
      <c r="AC29" s="244">
        <f t="shared" si="10"/>
        <v>8.2317073170731714</v>
      </c>
      <c r="AD29" s="1277">
        <f t="shared" si="7"/>
        <v>82.099978170705086</v>
      </c>
      <c r="AE29" s="241">
        <f t="shared" si="8"/>
        <v>30</v>
      </c>
      <c r="AF29" s="244">
        <f t="shared" si="1"/>
        <v>48.6096</v>
      </c>
      <c r="AG29" s="1285"/>
      <c r="AI29" s="1282">
        <f t="shared" si="2"/>
        <v>16.818135103197932</v>
      </c>
      <c r="AJ29" s="1252">
        <v>0.91620000000000001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543" t="s">
        <v>298</v>
      </c>
      <c r="F30" s="241">
        <v>177.8</v>
      </c>
      <c r="G30" s="241" t="s">
        <v>28</v>
      </c>
      <c r="H30" s="1299" t="s">
        <v>687</v>
      </c>
      <c r="I30" s="1543">
        <v>558.21</v>
      </c>
      <c r="J30" s="1448">
        <v>85</v>
      </c>
      <c r="K30" s="241"/>
      <c r="L30" s="1277">
        <v>258</v>
      </c>
      <c r="M30" s="241"/>
      <c r="N30" s="1278">
        <v>0.8</v>
      </c>
      <c r="O30" s="241"/>
      <c r="P30" s="1278">
        <f t="shared" si="4"/>
        <v>30.023559535418034</v>
      </c>
      <c r="Q30" s="1278">
        <f>20*J30/100</f>
        <v>17</v>
      </c>
      <c r="R30" s="244">
        <v>1.9890000000000001</v>
      </c>
      <c r="S30" s="244">
        <v>17.202000000000002</v>
      </c>
      <c r="T30" s="1277">
        <v>19.600000000000001</v>
      </c>
      <c r="U30" s="1278">
        <f t="shared" si="0"/>
        <v>9.8541980894922077</v>
      </c>
      <c r="V30" s="1278">
        <f t="shared" si="5"/>
        <v>88.437391001046379</v>
      </c>
      <c r="W30" s="1279">
        <v>0.3</v>
      </c>
      <c r="X30" s="1449">
        <v>85</v>
      </c>
      <c r="Y30" s="1277">
        <f t="shared" si="3"/>
        <v>101.18823529411767</v>
      </c>
      <c r="Z30" s="244">
        <f t="shared" si="11"/>
        <v>1.9651320000000001</v>
      </c>
      <c r="AA30" s="244">
        <f t="shared" si="6"/>
        <v>16.995576</v>
      </c>
      <c r="AB30" s="1277">
        <f t="shared" si="6"/>
        <v>19.364800000000002</v>
      </c>
      <c r="AC30" s="244">
        <f t="shared" si="10"/>
        <v>9.8541980894922077</v>
      </c>
      <c r="AD30" s="1277">
        <f t="shared" si="7"/>
        <v>88.437391001046379</v>
      </c>
      <c r="AE30" s="241">
        <f t="shared" si="8"/>
        <v>30</v>
      </c>
      <c r="AF30" s="244">
        <f>Z30*AE30</f>
        <v>58.953960000000002</v>
      </c>
      <c r="AG30" s="1285"/>
      <c r="AI30" s="1282">
        <f t="shared" si="2"/>
        <v>30.023559535418034</v>
      </c>
      <c r="AJ30" s="1252">
        <v>0.93420000000000003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543" t="s">
        <v>79</v>
      </c>
      <c r="F31" s="241">
        <v>177.8</v>
      </c>
      <c r="G31" s="241" t="s">
        <v>28</v>
      </c>
      <c r="H31" s="1299" t="s">
        <v>565</v>
      </c>
      <c r="I31" s="1543">
        <v>526.29</v>
      </c>
      <c r="J31" s="1448">
        <v>290</v>
      </c>
      <c r="K31" s="241"/>
      <c r="L31" s="1277">
        <v>263</v>
      </c>
      <c r="M31" s="241"/>
      <c r="N31" s="1278">
        <v>3.5</v>
      </c>
      <c r="O31" s="241"/>
      <c r="P31" s="1278">
        <f t="shared" si="4"/>
        <v>29.011878642903998</v>
      </c>
      <c r="Q31" s="1278">
        <f>LEFT(H31,(FIND("E",H31,1)-1))*J31/100</f>
        <v>92.8</v>
      </c>
      <c r="R31" s="244">
        <v>15.679</v>
      </c>
      <c r="S31" s="244">
        <v>88.138000000000005</v>
      </c>
      <c r="T31" s="1277">
        <v>321</v>
      </c>
      <c r="U31" s="1278">
        <f t="shared" si="0"/>
        <v>20.473244467121628</v>
      </c>
      <c r="V31" s="1278">
        <f t="shared" si="5"/>
        <v>82.210851165218173</v>
      </c>
      <c r="W31" s="1279">
        <v>0.2</v>
      </c>
      <c r="X31" s="1449">
        <v>250</v>
      </c>
      <c r="Y31" s="1277">
        <f t="shared" si="3"/>
        <v>94.976293103448285</v>
      </c>
      <c r="Z31" s="244">
        <f t="shared" si="11"/>
        <v>15.490852</v>
      </c>
      <c r="AA31" s="244">
        <f t="shared" si="6"/>
        <v>87.080344000000011</v>
      </c>
      <c r="AB31" s="1277">
        <f t="shared" si="6"/>
        <v>317.14800000000002</v>
      </c>
      <c r="AC31" s="244">
        <f t="shared" si="10"/>
        <v>20.473244467121628</v>
      </c>
      <c r="AD31" s="1277">
        <f t="shared" si="7"/>
        <v>82.210851165218173</v>
      </c>
      <c r="AE31" s="241">
        <f t="shared" si="8"/>
        <v>30</v>
      </c>
      <c r="AF31" s="244">
        <f>Z31*AE31</f>
        <v>464.72556000000003</v>
      </c>
      <c r="AG31" s="1281"/>
      <c r="AI31" s="1282">
        <f t="shared" si="2"/>
        <v>29.011878642903998</v>
      </c>
      <c r="AJ31" s="1252">
        <v>0.88449999999999995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543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445</v>
      </c>
      <c r="M32" s="241"/>
      <c r="N32" s="1278">
        <v>6.4</v>
      </c>
      <c r="O32" s="241"/>
      <c r="P32" s="1278">
        <f t="shared" si="4"/>
        <v>13.449008103624012</v>
      </c>
      <c r="Q32" s="1278">
        <f>RIGHT(H32,(FIND("T",H32,1)-0))*J32/100</f>
        <v>56</v>
      </c>
      <c r="R32" s="244">
        <v>10.773</v>
      </c>
      <c r="S32" s="244">
        <v>30.225999999999999</v>
      </c>
      <c r="T32" s="1277">
        <v>295</v>
      </c>
      <c r="U32" s="1278">
        <f t="shared" si="0"/>
        <v>27.383272997308087</v>
      </c>
      <c r="V32" s="1278">
        <f t="shared" si="5"/>
        <v>64.358499305233906</v>
      </c>
      <c r="W32" s="1279">
        <v>0.2</v>
      </c>
      <c r="X32" s="1316">
        <v>280</v>
      </c>
      <c r="Y32" s="1277">
        <f t="shared" si="3"/>
        <v>53.974999999999994</v>
      </c>
      <c r="Z32" s="244">
        <f t="shared" si="11"/>
        <v>10.643723999999999</v>
      </c>
      <c r="AA32" s="244">
        <f t="shared" si="6"/>
        <v>29.863287999999997</v>
      </c>
      <c r="AB32" s="1277">
        <f t="shared" si="6"/>
        <v>291.45999999999998</v>
      </c>
      <c r="AC32" s="244">
        <f t="shared" si="10"/>
        <v>27.383272997308087</v>
      </c>
      <c r="AD32" s="1277">
        <f t="shared" si="7"/>
        <v>64.358499305233906</v>
      </c>
      <c r="AE32" s="241">
        <f t="shared" si="8"/>
        <v>30</v>
      </c>
      <c r="AF32" s="244">
        <f t="shared" si="1"/>
        <v>319.31171999999998</v>
      </c>
      <c r="AG32" s="1281"/>
      <c r="AI32" s="1282">
        <f t="shared" si="2"/>
        <v>13.449008103624012</v>
      </c>
      <c r="AJ32" s="1252">
        <v>0.87939999999999996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543">
        <v>569.99</v>
      </c>
      <c r="J33" s="1448">
        <v>220</v>
      </c>
      <c r="K33" s="241"/>
      <c r="L33" s="1277">
        <v>436</v>
      </c>
      <c r="M33" s="241"/>
      <c r="N33" s="1278">
        <v>3.9</v>
      </c>
      <c r="O33" s="241"/>
      <c r="P33" s="1278">
        <f t="shared" si="4"/>
        <v>16.79916931310288</v>
      </c>
      <c r="Q33" s="1278">
        <f>LEFT(H33,(FIND("K",H33,1)-1))*J33/100</f>
        <v>28.6</v>
      </c>
      <c r="R33" s="244">
        <v>6.5019999999999998</v>
      </c>
      <c r="S33" s="244">
        <v>21.228999999999999</v>
      </c>
      <c r="T33" s="1277">
        <v>75.417000000000002</v>
      </c>
      <c r="U33" s="1278">
        <f t="shared" si="0"/>
        <v>11.599046447247002</v>
      </c>
      <c r="V33" s="1278">
        <f t="shared" si="5"/>
        <v>69.372085354939003</v>
      </c>
      <c r="W33" s="1279">
        <v>0.2</v>
      </c>
      <c r="X33" s="1449">
        <v>220</v>
      </c>
      <c r="Y33" s="1277">
        <f t="shared" si="3"/>
        <v>74.22727272727272</v>
      </c>
      <c r="Z33" s="244">
        <f t="shared" si="11"/>
        <v>6.4239759999999997</v>
      </c>
      <c r="AA33" s="244">
        <f t="shared" si="6"/>
        <v>20.974252</v>
      </c>
      <c r="AB33" s="1277">
        <f t="shared" si="6"/>
        <v>74.511995999999996</v>
      </c>
      <c r="AC33" s="244">
        <f t="shared" si="10"/>
        <v>11.599046447247002</v>
      </c>
      <c r="AD33" s="1277">
        <f t="shared" si="7"/>
        <v>69.372085354939003</v>
      </c>
      <c r="AE33" s="241">
        <f t="shared" si="8"/>
        <v>30</v>
      </c>
      <c r="AF33" s="244">
        <f>Z33*AE33</f>
        <v>192.71928</v>
      </c>
      <c r="AG33" s="1285"/>
      <c r="AI33" s="1282">
        <f t="shared" si="2"/>
        <v>16.79916931310288</v>
      </c>
      <c r="AJ33" s="1252">
        <v>0.91949999999999998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100</v>
      </c>
      <c r="K34" s="1274"/>
      <c r="L34" s="1305">
        <v>45</v>
      </c>
      <c r="M34" s="1274"/>
      <c r="N34" s="1306">
        <v>0.3</v>
      </c>
      <c r="O34" s="1274"/>
      <c r="P34" s="1278">
        <f t="shared" si="4"/>
        <v>49.079279624185979</v>
      </c>
      <c r="Q34" s="1278">
        <f>22*J34/100</f>
        <v>22</v>
      </c>
      <c r="R34" s="1307">
        <v>1.4450000000000001</v>
      </c>
      <c r="S34" s="244">
        <v>21.417999999999999</v>
      </c>
      <c r="T34" s="1305">
        <v>0</v>
      </c>
      <c r="U34" s="1278">
        <f t="shared" si="0"/>
        <v>0</v>
      </c>
      <c r="V34" s="1278">
        <f t="shared" si="5"/>
        <v>93.253338313568022</v>
      </c>
      <c r="W34" s="1308">
        <v>0.24</v>
      </c>
      <c r="X34" s="238">
        <v>100</v>
      </c>
      <c r="Y34" s="1277">
        <f t="shared" si="3"/>
        <v>97.354545454545445</v>
      </c>
      <c r="Z34" s="244">
        <f t="shared" si="11"/>
        <v>1.4276600000000002</v>
      </c>
      <c r="AA34" s="244">
        <f t="shared" si="6"/>
        <v>21.160983999999999</v>
      </c>
      <c r="AB34" s="1277">
        <f t="shared" si="6"/>
        <v>0</v>
      </c>
      <c r="AC34" s="1307">
        <f t="shared" si="10"/>
        <v>0</v>
      </c>
      <c r="AD34" s="1305">
        <f t="shared" si="7"/>
        <v>93.253338313568022</v>
      </c>
      <c r="AE34" s="241">
        <f>(DAY(EOMONTH($AH$17,0))-AH34)</f>
        <v>30</v>
      </c>
      <c r="AF34" s="1307">
        <f>Z34*AE34</f>
        <v>42.829800000000006</v>
      </c>
      <c r="AG34" s="1285"/>
      <c r="AI34" s="1282">
        <f t="shared" si="2"/>
        <v>49.079279624185979</v>
      </c>
      <c r="AJ34" s="1252">
        <v>0.90500000000000003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443</v>
      </c>
      <c r="M35" s="241"/>
      <c r="N35" s="1278">
        <v>3.3</v>
      </c>
      <c r="O35" s="241"/>
      <c r="P35" s="1278">
        <f t="shared" si="4"/>
        <v>14.626878941370647</v>
      </c>
      <c r="Q35" s="1278">
        <f>20*J35/100</f>
        <v>19</v>
      </c>
      <c r="R35" s="244">
        <v>3.7690000000000001</v>
      </c>
      <c r="S35" s="244">
        <v>10.183999999999999</v>
      </c>
      <c r="T35" s="1277">
        <v>24</v>
      </c>
      <c r="U35" s="1278">
        <f t="shared" si="0"/>
        <v>6.3677368002122581</v>
      </c>
      <c r="V35" s="1278">
        <f t="shared" si="5"/>
        <v>62.990966221523962</v>
      </c>
      <c r="W35" s="1279">
        <v>0.2</v>
      </c>
      <c r="X35" s="1316">
        <v>95</v>
      </c>
      <c r="Y35" s="1277">
        <f t="shared" si="3"/>
        <v>53.599999999999994</v>
      </c>
      <c r="Z35" s="244">
        <f t="shared" si="11"/>
        <v>3.7237720000000003</v>
      </c>
      <c r="AA35" s="244">
        <f t="shared" si="6"/>
        <v>10.061791999999999</v>
      </c>
      <c r="AB35" s="1277">
        <f t="shared" si="6"/>
        <v>23.712</v>
      </c>
      <c r="AC35" s="1307">
        <f t="shared" si="10"/>
        <v>6.3677368002122581</v>
      </c>
      <c r="AD35" s="1305">
        <f t="shared" si="7"/>
        <v>62.990966221523962</v>
      </c>
      <c r="AE35" s="241">
        <f t="shared" si="8"/>
        <v>30</v>
      </c>
      <c r="AF35" s="1307">
        <f>Z35*AE35</f>
        <v>111.71316000000002</v>
      </c>
      <c r="AG35" s="1281"/>
      <c r="AI35" s="1282">
        <f t="shared" si="2"/>
        <v>14.626878941370647</v>
      </c>
      <c r="AJ35" s="1252">
        <v>0.88390000000000002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543">
        <v>564.05999999999995</v>
      </c>
      <c r="J36" s="241">
        <v>260</v>
      </c>
      <c r="K36" s="241"/>
      <c r="L36" s="1277">
        <v>512</v>
      </c>
      <c r="M36" s="241"/>
      <c r="N36" s="1278">
        <v>0.2</v>
      </c>
      <c r="O36" s="241"/>
      <c r="P36" s="1278">
        <f t="shared" si="4"/>
        <v>5.2486882258177721</v>
      </c>
      <c r="Q36" s="1278">
        <f>LEFT(H36,(FIND("E",H36,1)-1))*J36/100</f>
        <v>33.799999999999997</v>
      </c>
      <c r="R36" s="244">
        <v>1.823</v>
      </c>
      <c r="S36" s="244">
        <v>7.8609999999999998</v>
      </c>
      <c r="T36" s="1277">
        <v>10</v>
      </c>
      <c r="U36" s="1278">
        <f t="shared" si="0"/>
        <v>5.4854635216675813</v>
      </c>
      <c r="V36" s="1278">
        <f t="shared" si="5"/>
        <v>76.809566212950003</v>
      </c>
      <c r="W36" s="1279">
        <v>0.2</v>
      </c>
      <c r="X36" s="1316">
        <v>260</v>
      </c>
      <c r="Y36" s="1277">
        <f t="shared" si="3"/>
        <v>23.257396449704142</v>
      </c>
      <c r="Z36" s="244">
        <f t="shared" si="11"/>
        <v>1.8011239999999999</v>
      </c>
      <c r="AA36" s="244">
        <f t="shared" si="6"/>
        <v>7.7666680000000001</v>
      </c>
      <c r="AB36" s="1277">
        <f t="shared" si="6"/>
        <v>9.879999999999999</v>
      </c>
      <c r="AC36" s="244">
        <f t="shared" si="10"/>
        <v>5.4854635216675813</v>
      </c>
      <c r="AD36" s="1305">
        <f t="shared" si="7"/>
        <v>76.809566212950003</v>
      </c>
      <c r="AE36" s="241">
        <f t="shared" si="8"/>
        <v>30</v>
      </c>
      <c r="AF36" s="244">
        <f t="shared" si="1"/>
        <v>54.033719999999995</v>
      </c>
      <c r="AG36" s="1281"/>
      <c r="AI36" s="1282">
        <f t="shared" si="2"/>
        <v>5.2486882258177721</v>
      </c>
      <c r="AJ36" s="1252">
        <v>0.91639999999999999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543">
        <v>551</v>
      </c>
      <c r="J37" s="1448">
        <v>165</v>
      </c>
      <c r="K37" s="241"/>
      <c r="L37" s="1277">
        <v>475</v>
      </c>
      <c r="M37" s="241"/>
      <c r="N37" s="1278">
        <v>3.7</v>
      </c>
      <c r="O37" s="241"/>
      <c r="P37" s="1278">
        <f t="shared" si="4"/>
        <v>10.752627430554792</v>
      </c>
      <c r="Q37" s="1278">
        <f>14*J37/100</f>
        <v>23.1</v>
      </c>
      <c r="R37" s="244">
        <v>6.2759999999999998</v>
      </c>
      <c r="S37" s="244">
        <v>12.587</v>
      </c>
      <c r="T37" s="1277">
        <v>50.7</v>
      </c>
      <c r="U37" s="1278">
        <f t="shared" si="0"/>
        <v>8.078393881453156</v>
      </c>
      <c r="V37" s="1278">
        <f t="shared" si="5"/>
        <v>50.139032334948752</v>
      </c>
      <c r="W37" s="1279">
        <v>0.2</v>
      </c>
      <c r="X37" s="1449">
        <v>165</v>
      </c>
      <c r="Y37" s="1277">
        <f t="shared" si="3"/>
        <v>54.489177489177486</v>
      </c>
      <c r="Z37" s="244">
        <f t="shared" si="11"/>
        <v>6.2006879999999995</v>
      </c>
      <c r="AA37" s="244">
        <f t="shared" si="11"/>
        <v>12.435955999999999</v>
      </c>
      <c r="AB37" s="1277">
        <f t="shared" si="11"/>
        <v>50.0916</v>
      </c>
      <c r="AC37" s="244">
        <f t="shared" si="10"/>
        <v>8.078393881453156</v>
      </c>
      <c r="AD37" s="1305">
        <f t="shared" si="10"/>
        <v>50.139032334948752</v>
      </c>
      <c r="AE37" s="241">
        <f t="shared" si="8"/>
        <v>30</v>
      </c>
      <c r="AF37" s="244">
        <f t="shared" si="1"/>
        <v>186.02063999999999</v>
      </c>
      <c r="AG37" s="1450"/>
      <c r="AI37" s="1282">
        <f t="shared" si="2"/>
        <v>10.752627430554792</v>
      </c>
      <c r="AJ37" s="1252">
        <v>0.88239999999999996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43">
        <v>565.36</v>
      </c>
      <c r="J38" s="241">
        <v>115</v>
      </c>
      <c r="K38" s="241"/>
      <c r="L38" s="1277">
        <v>359</v>
      </c>
      <c r="M38" s="241"/>
      <c r="N38" s="1278">
        <v>2.9</v>
      </c>
      <c r="O38" s="241"/>
      <c r="P38" s="1278">
        <f t="shared" si="4"/>
        <v>22.724321880150249</v>
      </c>
      <c r="Q38" s="1278">
        <f>13*J38/100</f>
        <v>14.95</v>
      </c>
      <c r="R38" s="244">
        <v>2.4289999999999998</v>
      </c>
      <c r="S38" s="244">
        <v>10.444000000000001</v>
      </c>
      <c r="T38" s="1277">
        <v>8.6669999999999998</v>
      </c>
      <c r="U38" s="1278">
        <f>IF(R38=0,0,T38/R38)</f>
        <v>3.568135034993825</v>
      </c>
      <c r="V38" s="1278">
        <f t="shared" si="5"/>
        <v>76.742627345844511</v>
      </c>
      <c r="W38" s="1279">
        <v>0.2</v>
      </c>
      <c r="X38" s="1316">
        <v>115</v>
      </c>
      <c r="Y38" s="1277">
        <f t="shared" si="3"/>
        <v>69.859531772575252</v>
      </c>
      <c r="Z38" s="244">
        <f t="shared" si="11"/>
        <v>2.3998519999999997</v>
      </c>
      <c r="AA38" s="244">
        <f t="shared" si="11"/>
        <v>10.318672000000001</v>
      </c>
      <c r="AB38" s="1277">
        <f t="shared" si="11"/>
        <v>8.5629960000000001</v>
      </c>
      <c r="AC38" s="244">
        <f t="shared" si="10"/>
        <v>3.568135034993825</v>
      </c>
      <c r="AD38" s="1305">
        <v>70</v>
      </c>
      <c r="AE38" s="241">
        <f t="shared" si="8"/>
        <v>30</v>
      </c>
      <c r="AF38" s="244">
        <f>Z38*AE38</f>
        <v>71.995559999999983</v>
      </c>
      <c r="AG38" s="1285"/>
      <c r="AI38" s="1282">
        <f t="shared" si="2"/>
        <v>22.724321880150249</v>
      </c>
      <c r="AJ38" s="1252">
        <v>0.91810000000000003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543">
        <v>535.91</v>
      </c>
      <c r="J39" s="1448">
        <v>300</v>
      </c>
      <c r="K39" s="241"/>
      <c r="L39" s="1277">
        <v>448</v>
      </c>
      <c r="M39" s="241"/>
      <c r="N39" s="1278">
        <v>3.2</v>
      </c>
      <c r="O39" s="241"/>
      <c r="P39" s="1278">
        <f t="shared" si="4"/>
        <v>11.330385151435673</v>
      </c>
      <c r="Q39" s="1278">
        <f>(20/100)*J39</f>
        <v>60</v>
      </c>
      <c r="R39" s="244">
        <v>8.1310000000000002</v>
      </c>
      <c r="S39" s="244">
        <v>13.481999999999999</v>
      </c>
      <c r="T39" s="1277">
        <v>123.5</v>
      </c>
      <c r="U39" s="1278">
        <f t="shared" ref="U39:U86" si="12">IF(R39=0,0,T39/R39)</f>
        <v>15.188783667445579</v>
      </c>
      <c r="V39" s="1278">
        <f t="shared" si="5"/>
        <v>39.689956979676602</v>
      </c>
      <c r="W39" s="1279">
        <v>0.2</v>
      </c>
      <c r="X39" s="1449">
        <v>300</v>
      </c>
      <c r="Y39" s="1277">
        <f t="shared" si="3"/>
        <v>22.47</v>
      </c>
      <c r="Z39" s="244">
        <f t="shared" si="11"/>
        <v>8.0334280000000007</v>
      </c>
      <c r="AA39" s="244">
        <f t="shared" si="11"/>
        <v>13.320215999999999</v>
      </c>
      <c r="AB39" s="1277">
        <f t="shared" si="11"/>
        <v>122.018</v>
      </c>
      <c r="AC39" s="244">
        <v>89.536086956521729</v>
      </c>
      <c r="AD39" s="1305">
        <f>V39</f>
        <v>39.689956979676602</v>
      </c>
      <c r="AE39" s="241">
        <f t="shared" si="8"/>
        <v>30</v>
      </c>
      <c r="AF39" s="244">
        <f t="shared" si="1"/>
        <v>241.00284000000002</v>
      </c>
      <c r="AG39" s="1314"/>
      <c r="AI39" s="1282">
        <f t="shared" si="2"/>
        <v>11.330385151435673</v>
      </c>
      <c r="AJ39" s="1252">
        <v>0.90390000000000004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556">
        <v>565.11</v>
      </c>
      <c r="J40" s="1448">
        <v>280</v>
      </c>
      <c r="K40" s="241"/>
      <c r="L40" s="1277">
        <v>149</v>
      </c>
      <c r="M40" s="241"/>
      <c r="N40" s="1278">
        <v>4.5</v>
      </c>
      <c r="O40" s="241"/>
      <c r="P40" s="1278">
        <f t="shared" si="4"/>
        <v>45.007372892901792</v>
      </c>
      <c r="Q40" s="1278">
        <f>LEFT(H40,(FIND("K",H40,1)-1))*J40/100</f>
        <v>64.400000000000006</v>
      </c>
      <c r="R40" s="244">
        <v>3.0150000000000001</v>
      </c>
      <c r="S40" s="244">
        <v>17.166</v>
      </c>
      <c r="T40" s="1277">
        <v>28</v>
      </c>
      <c r="U40" s="1278">
        <f t="shared" si="12"/>
        <v>9.2868988391376455</v>
      </c>
      <c r="V40" s="1278">
        <f t="shared" si="5"/>
        <v>82.436211114994748</v>
      </c>
      <c r="W40" s="1279">
        <v>0.3</v>
      </c>
      <c r="X40" s="1449">
        <v>280</v>
      </c>
      <c r="Y40" s="1277">
        <f t="shared" si="3"/>
        <v>26.655279503105589</v>
      </c>
      <c r="Z40" s="244">
        <f t="shared" si="11"/>
        <v>2.9788200000000002</v>
      </c>
      <c r="AA40" s="244">
        <f t="shared" si="11"/>
        <v>16.960007999999998</v>
      </c>
      <c r="AB40" s="1277">
        <f t="shared" si="11"/>
        <v>27.664000000000001</v>
      </c>
      <c r="AC40" s="244">
        <f>U40</f>
        <v>9.2868988391376455</v>
      </c>
      <c r="AD40" s="1277">
        <f>V40</f>
        <v>82.436211114994748</v>
      </c>
      <c r="AE40" s="241">
        <f t="shared" si="8"/>
        <v>30</v>
      </c>
      <c r="AF40" s="244">
        <f t="shared" si="1"/>
        <v>89.36460000000001</v>
      </c>
      <c r="AG40" s="1285"/>
      <c r="AI40" s="1282">
        <f t="shared" si="2"/>
        <v>45.007372892901792</v>
      </c>
      <c r="AJ40" s="1252">
        <v>0.91690000000000005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379</v>
      </c>
      <c r="M41" s="241"/>
      <c r="N41" s="1278">
        <v>1.2</v>
      </c>
      <c r="O41" s="241"/>
      <c r="P41" s="1278">
        <f t="shared" si="4"/>
        <v>19.001639483836481</v>
      </c>
      <c r="Q41" s="1278">
        <f>14*J41/100</f>
        <v>11.9</v>
      </c>
      <c r="R41" s="244">
        <v>2.1349999999999998</v>
      </c>
      <c r="S41" s="244">
        <v>10.904999999999999</v>
      </c>
      <c r="T41" s="1277">
        <v>15</v>
      </c>
      <c r="U41" s="1278">
        <f t="shared" si="12"/>
        <v>7.0257611241217806</v>
      </c>
      <c r="V41" s="1278">
        <f t="shared" si="5"/>
        <v>80.421824850985786</v>
      </c>
      <c r="W41" s="1279">
        <v>0.2</v>
      </c>
      <c r="X41" s="1316">
        <v>85</v>
      </c>
      <c r="Y41" s="1277">
        <f t="shared" si="3"/>
        <v>91.638655462184872</v>
      </c>
      <c r="Z41" s="244">
        <f t="shared" si="11"/>
        <v>2.1093799999999998</v>
      </c>
      <c r="AA41" s="244">
        <f t="shared" si="11"/>
        <v>10.774139999999999</v>
      </c>
      <c r="AB41" s="1277">
        <f t="shared" si="11"/>
        <v>14.82</v>
      </c>
      <c r="AC41" s="244">
        <f>U41</f>
        <v>7.0257611241217806</v>
      </c>
      <c r="AD41" s="1277">
        <f>V41</f>
        <v>80.421824850985786</v>
      </c>
      <c r="AE41" s="241">
        <f t="shared" si="8"/>
        <v>30</v>
      </c>
      <c r="AF41" s="244">
        <f t="shared" si="1"/>
        <v>63.281399999999991</v>
      </c>
      <c r="AG41" s="1285"/>
      <c r="AI41" s="1282">
        <f t="shared" si="2"/>
        <v>19.001639483836481</v>
      </c>
      <c r="AJ41" s="1252">
        <v>0.90100000000000002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100</v>
      </c>
      <c r="K42" s="241"/>
      <c r="L42" s="1277">
        <v>98</v>
      </c>
      <c r="M42" s="241"/>
      <c r="N42" s="1278">
        <v>2.2000000000000002</v>
      </c>
      <c r="O42" s="241"/>
      <c r="P42" s="1278">
        <f t="shared" si="4"/>
        <v>49.451076582200564</v>
      </c>
      <c r="Q42" s="1278">
        <f>(32/100)*J42</f>
        <v>32</v>
      </c>
      <c r="R42" s="244">
        <v>2.585</v>
      </c>
      <c r="S42" s="244">
        <v>34.863999999999997</v>
      </c>
      <c r="T42" s="1277">
        <v>80</v>
      </c>
      <c r="U42" s="1278">
        <f t="shared" si="12"/>
        <v>30.947775628626694</v>
      </c>
      <c r="V42" s="1278">
        <f t="shared" si="5"/>
        <v>92.58547498852684</v>
      </c>
      <c r="W42" s="1279">
        <v>0.1</v>
      </c>
      <c r="X42" s="1316">
        <v>100</v>
      </c>
      <c r="Y42" s="1277">
        <f t="shared" si="3"/>
        <v>108.94999999999999</v>
      </c>
      <c r="Z42" s="244">
        <f t="shared" si="11"/>
        <v>2.5539800000000001</v>
      </c>
      <c r="AA42" s="244">
        <f t="shared" si="11"/>
        <v>34.445631999999996</v>
      </c>
      <c r="AB42" s="1277">
        <f t="shared" si="11"/>
        <v>79.039999999999992</v>
      </c>
      <c r="AC42" s="244">
        <f>U42</f>
        <v>30.947775628626694</v>
      </c>
      <c r="AD42" s="1277">
        <f>V42</f>
        <v>92.58547498852684</v>
      </c>
      <c r="AE42" s="241">
        <f t="shared" si="8"/>
        <v>30</v>
      </c>
      <c r="AF42" s="244">
        <f t="shared" si="1"/>
        <v>76.619399999999999</v>
      </c>
      <c r="AG42" s="1281"/>
      <c r="AI42" s="1282">
        <f t="shared" si="2"/>
        <v>49.451076582200564</v>
      </c>
      <c r="AJ42" s="1252">
        <v>0.89100000000000001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56">
        <v>554.16999999999996</v>
      </c>
      <c r="J43" s="1448">
        <v>125</v>
      </c>
      <c r="K43" s="241"/>
      <c r="L43" s="1277">
        <v>377</v>
      </c>
      <c r="M43" s="241"/>
      <c r="N43" s="1278">
        <v>5.5</v>
      </c>
      <c r="O43" s="241"/>
      <c r="P43" s="1278">
        <f t="shared" si="4"/>
        <v>22.298564879741953</v>
      </c>
      <c r="Q43" s="1278">
        <f>(32/100)*J43</f>
        <v>40</v>
      </c>
      <c r="R43" s="244">
        <v>13.932</v>
      </c>
      <c r="S43" s="244">
        <v>39.345999999999997</v>
      </c>
      <c r="T43" s="1277">
        <v>71</v>
      </c>
      <c r="U43" s="1278">
        <f t="shared" si="12"/>
        <v>5.0961814527706002</v>
      </c>
      <c r="V43" s="1278">
        <f t="shared" si="5"/>
        <v>64.591063894677987</v>
      </c>
      <c r="W43" s="1279">
        <v>0.2</v>
      </c>
      <c r="X43" s="1449">
        <v>125</v>
      </c>
      <c r="Y43" s="1277">
        <f t="shared" si="3"/>
        <v>98.364999999999995</v>
      </c>
      <c r="Z43" s="244">
        <f t="shared" si="11"/>
        <v>13.764816</v>
      </c>
      <c r="AA43" s="244">
        <f t="shared" si="11"/>
        <v>38.873847999999995</v>
      </c>
      <c r="AB43" s="1277">
        <f t="shared" si="11"/>
        <v>70.147999999999996</v>
      </c>
      <c r="AC43" s="244">
        <f>U43</f>
        <v>5.0961814527706002</v>
      </c>
      <c r="AD43" s="1277">
        <f>V43</f>
        <v>64.591063894677987</v>
      </c>
      <c r="AE43" s="241">
        <f>(DAY(EOMONTH($AH$17,0))-AH43)</f>
        <v>30</v>
      </c>
      <c r="AF43" s="244">
        <f t="shared" si="1"/>
        <v>412.94448</v>
      </c>
      <c r="AG43" s="1477"/>
      <c r="AI43" s="1282">
        <f t="shared" si="2"/>
        <v>22.298564879741953</v>
      </c>
      <c r="AJ43" s="1252">
        <v>0.89349999999999996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543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3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556">
        <v>544.70000000000005</v>
      </c>
      <c r="J45" s="241">
        <v>85</v>
      </c>
      <c r="K45" s="241"/>
      <c r="L45" s="1277">
        <v>139</v>
      </c>
      <c r="M45" s="241"/>
      <c r="N45" s="1278">
        <v>4.0999999999999996</v>
      </c>
      <c r="O45" s="241"/>
      <c r="P45" s="1278">
        <f t="shared" si="4"/>
        <v>42.896763084623821</v>
      </c>
      <c r="Q45" s="1278">
        <f>J45*20/100</f>
        <v>17</v>
      </c>
      <c r="R45" s="244">
        <v>5.4269999999999996</v>
      </c>
      <c r="S45" s="244">
        <v>21.626999999999999</v>
      </c>
      <c r="T45" s="1277">
        <v>33.200000000000003</v>
      </c>
      <c r="U45" s="1278">
        <f t="shared" si="12"/>
        <v>6.1175603464160684</v>
      </c>
      <c r="V45" s="1278">
        <f t="shared" si="5"/>
        <v>74.906367041198507</v>
      </c>
      <c r="W45" s="1279">
        <v>0.2</v>
      </c>
      <c r="X45" s="1316">
        <v>85</v>
      </c>
      <c r="Y45" s="1277">
        <f t="shared" si="3"/>
        <v>127.21764705882353</v>
      </c>
      <c r="Z45" s="244">
        <f t="shared" ref="Z45:AB49" si="13">R45*0.988</f>
        <v>5.3618759999999996</v>
      </c>
      <c r="AA45" s="244">
        <f t="shared" si="13"/>
        <v>21.367476</v>
      </c>
      <c r="AB45" s="1277">
        <f t="shared" si="13"/>
        <v>32.801600000000001</v>
      </c>
      <c r="AC45" s="244">
        <f t="shared" ref="AC45:AD51" si="14">U45</f>
        <v>6.1175603464160684</v>
      </c>
      <c r="AD45" s="1277">
        <f t="shared" si="14"/>
        <v>74.906367041198507</v>
      </c>
      <c r="AE45" s="241">
        <f t="shared" ref="AE45:AE86" si="15">(DAY(EOMONTH($AH$17,0))-AH45)</f>
        <v>30</v>
      </c>
      <c r="AF45" s="244">
        <f t="shared" si="1"/>
        <v>160.85628</v>
      </c>
      <c r="AG45" s="1281"/>
      <c r="AI45" s="1282">
        <f t="shared" si="2"/>
        <v>42.896763084623821</v>
      </c>
      <c r="AJ45" s="1252">
        <v>0.89929999999999999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556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556">
        <v>553.30999999999995</v>
      </c>
      <c r="J46" s="1556">
        <v>220</v>
      </c>
      <c r="K46" s="1556"/>
      <c r="L46" s="1319">
        <v>399</v>
      </c>
      <c r="M46" s="1556"/>
      <c r="N46" s="1278">
        <v>2.6</v>
      </c>
      <c r="O46" s="1556"/>
      <c r="P46" s="1278">
        <f t="shared" si="4"/>
        <v>17.283600947536932</v>
      </c>
      <c r="Q46" s="1278">
        <f>J46*32/100</f>
        <v>70.400000000000006</v>
      </c>
      <c r="R46" s="244">
        <v>7.4850000000000003</v>
      </c>
      <c r="S46" s="244">
        <v>24.114000000000001</v>
      </c>
      <c r="T46" s="1319">
        <v>77</v>
      </c>
      <c r="U46" s="1278">
        <f t="shared" si="12"/>
        <v>10.287241148964595</v>
      </c>
      <c r="V46" s="1278">
        <f t="shared" si="5"/>
        <v>68.959940283652656</v>
      </c>
      <c r="W46" s="1279">
        <v>0.2</v>
      </c>
      <c r="X46" s="1410">
        <v>220</v>
      </c>
      <c r="Y46" s="1277">
        <f t="shared" si="3"/>
        <v>34.252840909090907</v>
      </c>
      <c r="Z46" s="244">
        <f t="shared" si="13"/>
        <v>7.3951799999999999</v>
      </c>
      <c r="AA46" s="244">
        <f t="shared" si="13"/>
        <v>23.824632000000001</v>
      </c>
      <c r="AB46" s="1277">
        <f t="shared" si="13"/>
        <v>76.075999999999993</v>
      </c>
      <c r="AC46" s="244">
        <f t="shared" si="14"/>
        <v>10.287241148964595</v>
      </c>
      <c r="AD46" s="1277">
        <f t="shared" si="14"/>
        <v>68.959940283652656</v>
      </c>
      <c r="AE46" s="241">
        <f t="shared" si="15"/>
        <v>30</v>
      </c>
      <c r="AF46" s="244">
        <f t="shared" si="1"/>
        <v>221.8554</v>
      </c>
      <c r="AG46" s="1285"/>
      <c r="AI46" s="1282">
        <f t="shared" si="2"/>
        <v>17.283600947536932</v>
      </c>
      <c r="AJ46" s="1252">
        <v>0.88949999999999996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556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556">
        <v>550.59</v>
      </c>
      <c r="J47" s="1373">
        <v>105</v>
      </c>
      <c r="K47" s="1556"/>
      <c r="L47" s="1277">
        <v>432</v>
      </c>
      <c r="M47" s="1556"/>
      <c r="N47" s="1278">
        <v>0</v>
      </c>
      <c r="O47" s="1556"/>
      <c r="P47" s="1278">
        <f t="shared" si="4"/>
        <v>11.17619773019536</v>
      </c>
      <c r="Q47" s="1278">
        <f>RIGHT(H47,(FIND("T",H47,1)-0))*J47/100</f>
        <v>14.7</v>
      </c>
      <c r="R47" s="244">
        <v>0.94699999999999995</v>
      </c>
      <c r="S47" s="244">
        <v>2.0710000000000002</v>
      </c>
      <c r="T47" s="1319">
        <v>2</v>
      </c>
      <c r="U47" s="1278">
        <f t="shared" si="12"/>
        <v>2.1119324181626191</v>
      </c>
      <c r="V47" s="1278">
        <f t="shared" si="5"/>
        <v>54.273297923708355</v>
      </c>
      <c r="W47" s="1279">
        <v>0.2</v>
      </c>
      <c r="X47" s="1452">
        <v>85</v>
      </c>
      <c r="Y47" s="1277">
        <f t="shared" si="3"/>
        <v>14.088435374149661</v>
      </c>
      <c r="Z47" s="244">
        <f t="shared" si="13"/>
        <v>0.93563599999999991</v>
      </c>
      <c r="AA47" s="244">
        <f t="shared" si="13"/>
        <v>2.0461480000000001</v>
      </c>
      <c r="AB47" s="1277">
        <f t="shared" si="13"/>
        <v>1.976</v>
      </c>
      <c r="AC47" s="244">
        <f t="shared" si="14"/>
        <v>2.1119324181626191</v>
      </c>
      <c r="AD47" s="1277">
        <f t="shared" si="14"/>
        <v>54.273297923708355</v>
      </c>
      <c r="AE47" s="241">
        <v>19</v>
      </c>
      <c r="AF47" s="244">
        <f t="shared" si="1"/>
        <v>17.777083999999999</v>
      </c>
      <c r="AG47" s="1285" t="s">
        <v>764</v>
      </c>
      <c r="AI47" s="1282">
        <f t="shared" si="2"/>
        <v>11.17619773019536</v>
      </c>
      <c r="AJ47" s="1252">
        <v>0.90820000000000001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556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556">
        <v>547.75</v>
      </c>
      <c r="J48" s="1556">
        <v>85</v>
      </c>
      <c r="K48" s="1556"/>
      <c r="L48" s="1319">
        <v>436</v>
      </c>
      <c r="M48" s="1556"/>
      <c r="N48" s="1278">
        <v>0.4</v>
      </c>
      <c r="O48" s="1556"/>
      <c r="P48" s="1278">
        <f t="shared" si="4"/>
        <v>10.525666163620087</v>
      </c>
      <c r="Q48" s="1278">
        <f>14*J48/100</f>
        <v>11.9</v>
      </c>
      <c r="R48" s="244">
        <v>4.1459999999999999</v>
      </c>
      <c r="S48" s="244">
        <v>6.0919999999999996</v>
      </c>
      <c r="T48" s="1319">
        <v>7</v>
      </c>
      <c r="U48" s="1278">
        <f t="shared" si="12"/>
        <v>1.6883743367100821</v>
      </c>
      <c r="V48" s="1278">
        <f t="shared" si="5"/>
        <v>31.943532501641496</v>
      </c>
      <c r="W48" s="1279">
        <v>0.2</v>
      </c>
      <c r="X48" s="1410">
        <v>85</v>
      </c>
      <c r="Y48" s="1277">
        <f t="shared" si="3"/>
        <v>51.193277310924366</v>
      </c>
      <c r="Z48" s="244">
        <f t="shared" si="13"/>
        <v>4.0962480000000001</v>
      </c>
      <c r="AA48" s="244">
        <f t="shared" si="13"/>
        <v>6.0188959999999998</v>
      </c>
      <c r="AB48" s="1277">
        <f t="shared" si="13"/>
        <v>6.9160000000000004</v>
      </c>
      <c r="AC48" s="244">
        <f t="shared" si="14"/>
        <v>1.6883743367100821</v>
      </c>
      <c r="AD48" s="1277">
        <f t="shared" si="14"/>
        <v>31.943532501641496</v>
      </c>
      <c r="AE48" s="241">
        <f t="shared" si="15"/>
        <v>30</v>
      </c>
      <c r="AF48" s="244">
        <f t="shared" si="1"/>
        <v>122.88744</v>
      </c>
      <c r="AG48" s="1285"/>
      <c r="AI48" s="1282">
        <f t="shared" si="2"/>
        <v>10.525666163620087</v>
      </c>
      <c r="AJ48" s="1252">
        <v>0.89559999999999995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556">
        <v>539.24</v>
      </c>
      <c r="J49" s="241">
        <v>310</v>
      </c>
      <c r="K49" s="241"/>
      <c r="L49" s="1277">
        <v>435</v>
      </c>
      <c r="M49" s="241"/>
      <c r="N49" s="1278">
        <v>2.1</v>
      </c>
      <c r="O49" s="241"/>
      <c r="P49" s="1278">
        <f t="shared" si="4"/>
        <v>11.80023561012186</v>
      </c>
      <c r="Q49" s="1278">
        <f>20*J49/100</f>
        <v>62</v>
      </c>
      <c r="R49" s="244">
        <v>3.5289999999999999</v>
      </c>
      <c r="S49" s="244">
        <v>6.9</v>
      </c>
      <c r="T49" s="1277">
        <v>8</v>
      </c>
      <c r="U49" s="1278">
        <f t="shared" si="12"/>
        <v>2.266931141966563</v>
      </c>
      <c r="V49" s="1278">
        <f t="shared" si="5"/>
        <v>48.855072463768117</v>
      </c>
      <c r="W49" s="1279">
        <v>0.2</v>
      </c>
      <c r="X49" s="1316">
        <v>310</v>
      </c>
      <c r="Y49" s="1277">
        <f t="shared" si="3"/>
        <v>11.129032258064516</v>
      </c>
      <c r="Z49" s="244">
        <f t="shared" si="13"/>
        <v>3.4866519999999999</v>
      </c>
      <c r="AA49" s="244">
        <f t="shared" si="13"/>
        <v>6.8172000000000006</v>
      </c>
      <c r="AB49" s="1277">
        <f t="shared" si="13"/>
        <v>7.9039999999999999</v>
      </c>
      <c r="AC49" s="244">
        <f t="shared" si="14"/>
        <v>2.266931141966563</v>
      </c>
      <c r="AD49" s="1277">
        <f t="shared" si="14"/>
        <v>48.855072463768117</v>
      </c>
      <c r="AE49" s="241">
        <f t="shared" si="15"/>
        <v>30</v>
      </c>
      <c r="AF49" s="244">
        <f t="shared" si="1"/>
        <v>104.59956</v>
      </c>
      <c r="AG49" s="1285"/>
      <c r="AI49" s="1282">
        <f t="shared" si="2"/>
        <v>11.80023561012186</v>
      </c>
      <c r="AJ49" s="1252">
        <v>0.90149999999999997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556">
        <v>571.19000000000005</v>
      </c>
      <c r="J50" s="241">
        <v>330</v>
      </c>
      <c r="K50" s="241"/>
      <c r="L50" s="1277">
        <v>328</v>
      </c>
      <c r="M50" s="241"/>
      <c r="N50" s="1278">
        <v>3.1</v>
      </c>
      <c r="O50" s="241"/>
      <c r="P50" s="1278">
        <f t="shared" si="4"/>
        <v>26.607780653283037</v>
      </c>
      <c r="Q50" s="1278">
        <f>LEFT(H50,(FIND("E",H50,1)-1))*J50/100</f>
        <v>42.9</v>
      </c>
      <c r="R50" s="244">
        <v>3.8079999999999998</v>
      </c>
      <c r="S50" s="244">
        <v>17.202000000000002</v>
      </c>
      <c r="T50" s="1277">
        <v>22</v>
      </c>
      <c r="U50" s="1278">
        <f t="shared" si="12"/>
        <v>5.7773109243697478</v>
      </c>
      <c r="V50" s="1278">
        <f t="shared" si="5"/>
        <v>77.863039181490521</v>
      </c>
      <c r="W50" s="1279">
        <v>0.3</v>
      </c>
      <c r="X50" s="1316">
        <v>330</v>
      </c>
      <c r="Y50" s="1277">
        <f t="shared" si="3"/>
        <v>40.097902097902107</v>
      </c>
      <c r="Z50" s="244">
        <v>5.38</v>
      </c>
      <c r="AA50" s="244">
        <f>S50*0.988</f>
        <v>16.995576</v>
      </c>
      <c r="AB50" s="1277">
        <f>T50*0.988</f>
        <v>21.736000000000001</v>
      </c>
      <c r="AC50" s="244">
        <f t="shared" si="14"/>
        <v>5.7773109243697478</v>
      </c>
      <c r="AD50" s="1277">
        <f t="shared" si="14"/>
        <v>77.863039181490521</v>
      </c>
      <c r="AE50" s="241">
        <f t="shared" si="15"/>
        <v>30</v>
      </c>
      <c r="AF50" s="244">
        <f t="shared" si="1"/>
        <v>161.4</v>
      </c>
      <c r="AG50" s="1285"/>
      <c r="AI50" s="1282">
        <f t="shared" si="2"/>
        <v>26.607780653283037</v>
      </c>
      <c r="AJ50" s="1252">
        <v>0.90359999999999996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556" t="s">
        <v>600</v>
      </c>
      <c r="F51" s="241">
        <v>177.8</v>
      </c>
      <c r="G51" s="241" t="s">
        <v>28</v>
      </c>
      <c r="H51" s="1299" t="s">
        <v>687</v>
      </c>
      <c r="I51" s="1556">
        <v>546.08000000000004</v>
      </c>
      <c r="J51" s="241">
        <v>100</v>
      </c>
      <c r="K51" s="241"/>
      <c r="L51" s="1322">
        <v>198</v>
      </c>
      <c r="M51" s="241"/>
      <c r="N51" s="1306">
        <v>4.0999999999999996</v>
      </c>
      <c r="O51" s="241"/>
      <c r="P51" s="1278">
        <f t="shared" si="4"/>
        <v>38.084135210127258</v>
      </c>
      <c r="Q51" s="1278">
        <v>20</v>
      </c>
      <c r="R51" s="244">
        <v>4.0579999999999998</v>
      </c>
      <c r="S51" s="244">
        <v>21.818000000000001</v>
      </c>
      <c r="T51" s="1277">
        <v>80</v>
      </c>
      <c r="U51" s="1278">
        <f t="shared" si="12"/>
        <v>19.714144898965007</v>
      </c>
      <c r="V51" s="1278">
        <f t="shared" si="5"/>
        <v>81.400678338986168</v>
      </c>
      <c r="W51" s="1279">
        <v>0.2</v>
      </c>
      <c r="X51" s="1316">
        <v>100</v>
      </c>
      <c r="Y51" s="1277">
        <f t="shared" si="3"/>
        <v>109.09</v>
      </c>
      <c r="Z51" s="244">
        <f>R51*0.988</f>
        <v>4.0093040000000002</v>
      </c>
      <c r="AA51" s="244">
        <f>S51*0.988</f>
        <v>21.556184000000002</v>
      </c>
      <c r="AB51" s="1277">
        <f>T51*0.988</f>
        <v>79.039999999999992</v>
      </c>
      <c r="AC51" s="244">
        <f t="shared" si="14"/>
        <v>19.714144898965007</v>
      </c>
      <c r="AD51" s="1277">
        <f t="shared" si="14"/>
        <v>81.400678338986168</v>
      </c>
      <c r="AE51" s="241">
        <f t="shared" si="15"/>
        <v>30</v>
      </c>
      <c r="AF51" s="244">
        <f t="shared" si="1"/>
        <v>120.27912000000001</v>
      </c>
      <c r="AG51" s="1285"/>
      <c r="AI51" s="1282">
        <f t="shared" si="2"/>
        <v>38.084135210127258</v>
      </c>
      <c r="AJ51" s="1252">
        <v>0.9204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556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3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556">
        <v>532.98</v>
      </c>
      <c r="J53" s="1448">
        <v>320</v>
      </c>
      <c r="K53" s="241"/>
      <c r="L53" s="1277">
        <v>445</v>
      </c>
      <c r="M53" s="241"/>
      <c r="N53" s="1278">
        <v>3.2</v>
      </c>
      <c r="O53" s="241"/>
      <c r="P53" s="1278">
        <f t="shared" si="4"/>
        <v>11.58256467421706</v>
      </c>
      <c r="Q53" s="1278">
        <f>RIGHT(H53,(FIND("T",H53,1)-0))*J53/100</f>
        <v>44.8</v>
      </c>
      <c r="R53" s="244">
        <v>4.4580000000000002</v>
      </c>
      <c r="S53" s="244">
        <v>14.696999999999999</v>
      </c>
      <c r="T53" s="1277">
        <v>160</v>
      </c>
      <c r="U53" s="1278">
        <f t="shared" si="12"/>
        <v>35.890533871691339</v>
      </c>
      <c r="V53" s="1278">
        <f t="shared" si="5"/>
        <v>69.667279036538062</v>
      </c>
      <c r="W53" s="1279">
        <v>0.2</v>
      </c>
      <c r="X53" s="1449">
        <v>320</v>
      </c>
      <c r="Y53" s="1277">
        <f t="shared" si="3"/>
        <v>32.805803571428569</v>
      </c>
      <c r="Z53" s="244">
        <f>R53*0.988</f>
        <v>4.4045040000000002</v>
      </c>
      <c r="AA53" s="244">
        <f>S53*0.988</f>
        <v>14.520636</v>
      </c>
      <c r="AB53" s="1277">
        <f>T53*0.988</f>
        <v>158.07999999999998</v>
      </c>
      <c r="AC53" s="244">
        <f>U53</f>
        <v>35.890533871691339</v>
      </c>
      <c r="AD53" s="1277">
        <f>V53</f>
        <v>69.667279036538062</v>
      </c>
      <c r="AE53" s="241">
        <f t="shared" si="15"/>
        <v>30</v>
      </c>
      <c r="AF53" s="244">
        <f t="shared" si="1"/>
        <v>132.13512</v>
      </c>
      <c r="AG53" s="1285"/>
      <c r="AI53" s="1282">
        <f t="shared" si="2"/>
        <v>11.58256467421706</v>
      </c>
      <c r="AJ53" s="1252">
        <v>0.88219999999999998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556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3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556" t="s">
        <v>442</v>
      </c>
      <c r="F55" s="241">
        <v>177.8</v>
      </c>
      <c r="G55" s="241" t="s">
        <v>28</v>
      </c>
      <c r="H55" s="1299" t="s">
        <v>52</v>
      </c>
      <c r="I55" s="1556">
        <v>517.84</v>
      </c>
      <c r="J55" s="241">
        <v>310</v>
      </c>
      <c r="K55" s="241"/>
      <c r="L55" s="1277">
        <v>402</v>
      </c>
      <c r="M55" s="241"/>
      <c r="N55" s="1278">
        <v>1.4</v>
      </c>
      <c r="O55" s="241"/>
      <c r="P55" s="1278">
        <f t="shared" si="4"/>
        <v>12.487062958360379</v>
      </c>
      <c r="Q55" s="1278">
        <f>LEFT(H55,(FIND("K",H55,1)-1))*J55/100</f>
        <v>68.2</v>
      </c>
      <c r="R55" s="244">
        <v>6.266</v>
      </c>
      <c r="S55" s="244">
        <v>18.213999999999999</v>
      </c>
      <c r="T55" s="1277">
        <v>14</v>
      </c>
      <c r="U55" s="1278">
        <f t="shared" si="12"/>
        <v>2.2342802425789978</v>
      </c>
      <c r="V55" s="1278">
        <f t="shared" si="5"/>
        <v>65.597891731635002</v>
      </c>
      <c r="W55" s="1279">
        <v>0.2</v>
      </c>
      <c r="X55" s="1316">
        <v>0</v>
      </c>
      <c r="Y55" s="1277">
        <v>0</v>
      </c>
      <c r="Z55" s="244">
        <v>0</v>
      </c>
      <c r="AA55" s="244">
        <v>0</v>
      </c>
      <c r="AB55" s="1277">
        <v>0</v>
      </c>
      <c r="AC55" s="244">
        <v>0</v>
      </c>
      <c r="AD55" s="1277">
        <v>0</v>
      </c>
      <c r="AE55" s="241">
        <v>0</v>
      </c>
      <c r="AF55" s="244">
        <f t="shared" si="1"/>
        <v>0</v>
      </c>
      <c r="AG55" s="1281" t="s">
        <v>761</v>
      </c>
      <c r="AI55" s="1282">
        <f t="shared" si="2"/>
        <v>12.487062958360379</v>
      </c>
      <c r="AJ55" s="1252">
        <v>0.91839999999999999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543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85</v>
      </c>
      <c r="K57" s="1275"/>
      <c r="L57" s="1323">
        <v>441</v>
      </c>
      <c r="M57" s="1275"/>
      <c r="N57" s="1278">
        <v>4.0999999999999996</v>
      </c>
      <c r="O57" s="1275"/>
      <c r="P57" s="1278">
        <f t="shared" si="4"/>
        <v>16.107777796559766</v>
      </c>
      <c r="Q57" s="1278">
        <f>J57*14/100</f>
        <v>11.9</v>
      </c>
      <c r="R57" s="1459">
        <v>4.5540000000000003</v>
      </c>
      <c r="S57" s="244">
        <v>9.8490000000000002</v>
      </c>
      <c r="T57" s="1323">
        <v>10</v>
      </c>
      <c r="U57" s="1278">
        <f t="shared" si="12"/>
        <v>2.1958717610891521</v>
      </c>
      <c r="V57" s="1278">
        <f t="shared" ref="V57:V86" si="16">(S57-R57)/S57*100</f>
        <v>53.761803228754189</v>
      </c>
      <c r="W57" s="1460">
        <v>0.2</v>
      </c>
      <c r="X57" s="1453">
        <v>85</v>
      </c>
      <c r="Y57" s="1277">
        <f t="shared" si="3"/>
        <v>82.764705882352942</v>
      </c>
      <c r="Z57" s="244">
        <f t="shared" ref="Z57:AB61" si="17">R57*0.988</f>
        <v>4.499352</v>
      </c>
      <c r="AA57" s="244">
        <f t="shared" si="17"/>
        <v>9.7308120000000002</v>
      </c>
      <c r="AB57" s="1277">
        <f t="shared" si="17"/>
        <v>9.879999999999999</v>
      </c>
      <c r="AC57" s="1459">
        <f t="shared" ref="AC57:AD59" si="18">U57</f>
        <v>2.1958717610891521</v>
      </c>
      <c r="AD57" s="1277">
        <f t="shared" si="18"/>
        <v>53.761803228754189</v>
      </c>
      <c r="AE57" s="241">
        <f t="shared" si="15"/>
        <v>30</v>
      </c>
      <c r="AF57" s="1459">
        <f t="shared" si="1"/>
        <v>134.98056</v>
      </c>
      <c r="AG57" s="1285"/>
      <c r="AI57" s="1282">
        <f t="shared" si="2"/>
        <v>16.107777796559766</v>
      </c>
      <c r="AJ57" s="1252">
        <v>0.9083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556">
        <v>589.64</v>
      </c>
      <c r="J58" s="1448">
        <v>100</v>
      </c>
      <c r="K58" s="241"/>
      <c r="L58" s="1277">
        <v>332</v>
      </c>
      <c r="M58" s="241"/>
      <c r="N58" s="1278">
        <v>3.7</v>
      </c>
      <c r="O58" s="241"/>
      <c r="P58" s="1278">
        <f t="shared" si="4"/>
        <v>28.90087989606803</v>
      </c>
      <c r="Q58" s="1325">
        <f>J58*20/100</f>
        <v>20</v>
      </c>
      <c r="R58" s="244">
        <v>2.9630000000000001</v>
      </c>
      <c r="S58" s="244">
        <v>19.155000000000001</v>
      </c>
      <c r="T58" s="1277">
        <v>14</v>
      </c>
      <c r="U58" s="1278">
        <f t="shared" si="12"/>
        <v>4.7249409382382721</v>
      </c>
      <c r="V58" s="1278">
        <f t="shared" si="16"/>
        <v>84.5314539284782</v>
      </c>
      <c r="W58" s="1279">
        <v>0.2</v>
      </c>
      <c r="X58" s="1449">
        <v>100</v>
      </c>
      <c r="Y58" s="1277">
        <f t="shared" si="3"/>
        <v>95.775000000000006</v>
      </c>
      <c r="Z58" s="244">
        <f t="shared" si="17"/>
        <v>2.9274439999999999</v>
      </c>
      <c r="AA58" s="244">
        <f t="shared" si="17"/>
        <v>18.925140000000003</v>
      </c>
      <c r="AB58" s="1277">
        <f t="shared" si="17"/>
        <v>13.832000000000001</v>
      </c>
      <c r="AC58" s="244">
        <f t="shared" si="18"/>
        <v>4.7249409382382721</v>
      </c>
      <c r="AD58" s="1277">
        <f t="shared" si="18"/>
        <v>84.5314539284782</v>
      </c>
      <c r="AE58" s="241">
        <f t="shared" si="15"/>
        <v>30</v>
      </c>
      <c r="AF58" s="244">
        <f t="shared" si="1"/>
        <v>87.823319999999995</v>
      </c>
      <c r="AG58" s="1285"/>
      <c r="AI58" s="1282">
        <f t="shared" si="2"/>
        <v>28.90087989606803</v>
      </c>
      <c r="AJ58" s="1252">
        <v>0.91739999999999999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56">
        <v>560.83000000000004</v>
      </c>
      <c r="J59" s="241">
        <v>115</v>
      </c>
      <c r="K59" s="241"/>
      <c r="L59" s="1277">
        <v>367</v>
      </c>
      <c r="M59" s="241"/>
      <c r="N59" s="1278">
        <v>0.6</v>
      </c>
      <c r="O59" s="241"/>
      <c r="P59" s="1278">
        <f t="shared" si="4"/>
        <v>19.267024911528733</v>
      </c>
      <c r="Q59" s="1325">
        <f>J59*15/100</f>
        <v>17.25</v>
      </c>
      <c r="R59" s="244">
        <v>4.2439999999999998</v>
      </c>
      <c r="S59" s="244">
        <v>12.404999999999999</v>
      </c>
      <c r="T59" s="1277">
        <v>7</v>
      </c>
      <c r="U59" s="1278">
        <f t="shared" si="12"/>
        <v>1.6493873704052782</v>
      </c>
      <c r="V59" s="1278">
        <f t="shared" si="16"/>
        <v>65.787988714228135</v>
      </c>
      <c r="W59" s="1279">
        <v>0.2</v>
      </c>
      <c r="X59" s="1316">
        <v>115</v>
      </c>
      <c r="Y59" s="1277">
        <f t="shared" si="3"/>
        <v>71.91304347826086</v>
      </c>
      <c r="Z59" s="244">
        <f t="shared" si="17"/>
        <v>4.1930719999999999</v>
      </c>
      <c r="AA59" s="244">
        <f t="shared" si="17"/>
        <v>12.256139999999998</v>
      </c>
      <c r="AB59" s="1277">
        <f t="shared" si="17"/>
        <v>6.9160000000000004</v>
      </c>
      <c r="AC59" s="244">
        <f t="shared" si="18"/>
        <v>1.6493873704052782</v>
      </c>
      <c r="AD59" s="1277">
        <f t="shared" si="18"/>
        <v>65.787988714228135</v>
      </c>
      <c r="AE59" s="241">
        <f t="shared" si="15"/>
        <v>30</v>
      </c>
      <c r="AF59" s="244">
        <f t="shared" si="1"/>
        <v>125.79216</v>
      </c>
      <c r="AG59" s="1281"/>
      <c r="AI59" s="1282">
        <f t="shared" si="2"/>
        <v>19.267024911528733</v>
      </c>
      <c r="AJ59" s="1252">
        <v>0.91620000000000001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56">
        <v>556.55999999999995</v>
      </c>
      <c r="J60" s="241">
        <v>155</v>
      </c>
      <c r="K60" s="241"/>
      <c r="L60" s="1277">
        <v>216</v>
      </c>
      <c r="M60" s="241"/>
      <c r="N60" s="1278">
        <v>4</v>
      </c>
      <c r="O60" s="241"/>
      <c r="P60" s="1278">
        <f t="shared" si="4"/>
        <v>37.295157613534016</v>
      </c>
      <c r="Q60" s="1278">
        <f>J60*22/100</f>
        <v>34.1</v>
      </c>
      <c r="R60" s="244">
        <v>3.415</v>
      </c>
      <c r="S60" s="244">
        <v>26.172000000000001</v>
      </c>
      <c r="T60" s="1277">
        <v>10</v>
      </c>
      <c r="U60" s="1278">
        <f t="shared" si="12"/>
        <v>2.9282576866764276</v>
      </c>
      <c r="V60" s="1278">
        <f t="shared" si="16"/>
        <v>86.95170411126395</v>
      </c>
      <c r="W60" s="1279">
        <v>0.2</v>
      </c>
      <c r="X60" s="1316">
        <v>155</v>
      </c>
      <c r="Y60" s="1277">
        <f t="shared" si="3"/>
        <v>76.750733137829911</v>
      </c>
      <c r="Z60" s="244">
        <f t="shared" si="17"/>
        <v>3.3740199999999998</v>
      </c>
      <c r="AA60" s="244">
        <f t="shared" si="17"/>
        <v>25.857935999999999</v>
      </c>
      <c r="AB60" s="1277">
        <f t="shared" si="17"/>
        <v>9.879999999999999</v>
      </c>
      <c r="AC60" s="244">
        <f>U60</f>
        <v>2.9282576866764276</v>
      </c>
      <c r="AD60" s="1277">
        <v>0</v>
      </c>
      <c r="AE60" s="241">
        <f t="shared" si="15"/>
        <v>30</v>
      </c>
      <c r="AF60" s="244">
        <f t="shared" si="1"/>
        <v>101.22059999999999</v>
      </c>
      <c r="AG60" s="1281"/>
      <c r="AI60" s="1282">
        <f t="shared" si="2"/>
        <v>37.295157613534016</v>
      </c>
      <c r="AJ60" s="1252">
        <v>0.92549999999999999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556">
        <v>549.65</v>
      </c>
      <c r="J61" s="241">
        <v>140</v>
      </c>
      <c r="K61" s="241"/>
      <c r="L61" s="1277">
        <v>435</v>
      </c>
      <c r="M61" s="241"/>
      <c r="N61" s="1278">
        <v>0.9</v>
      </c>
      <c r="O61" s="241"/>
      <c r="P61" s="1278">
        <f t="shared" si="4"/>
        <v>12.127951728453002</v>
      </c>
      <c r="Q61" s="1278">
        <f>14*J61/100</f>
        <v>19.600000000000001</v>
      </c>
      <c r="R61" s="244">
        <v>2.0630000000000002</v>
      </c>
      <c r="S61" s="244">
        <v>8.6210000000000004</v>
      </c>
      <c r="T61" s="1277">
        <v>23</v>
      </c>
      <c r="U61" s="1278">
        <f t="shared" si="12"/>
        <v>11.148812409112942</v>
      </c>
      <c r="V61" s="1278">
        <f t="shared" si="16"/>
        <v>76.070061477786794</v>
      </c>
      <c r="W61" s="1279">
        <v>0.2</v>
      </c>
      <c r="X61" s="1316">
        <v>140</v>
      </c>
      <c r="Y61" s="1277">
        <f t="shared" si="3"/>
        <v>43.984693877551017</v>
      </c>
      <c r="Z61" s="244">
        <f t="shared" si="17"/>
        <v>2.0382440000000002</v>
      </c>
      <c r="AA61" s="244">
        <f t="shared" si="17"/>
        <v>8.5175479999999997</v>
      </c>
      <c r="AB61" s="1277">
        <f t="shared" si="17"/>
        <v>22.724</v>
      </c>
      <c r="AC61" s="244">
        <f>U61</f>
        <v>11.148812409112942</v>
      </c>
      <c r="AD61" s="1277">
        <f>V61</f>
        <v>76.070061477786794</v>
      </c>
      <c r="AE61" s="241">
        <f t="shared" si="15"/>
        <v>30</v>
      </c>
      <c r="AF61" s="244">
        <f t="shared" si="1"/>
        <v>61.147320000000008</v>
      </c>
      <c r="AG61" s="1281"/>
      <c r="AI61" s="1282">
        <f t="shared" si="2"/>
        <v>12.127951728453002</v>
      </c>
      <c r="AJ61" s="1252">
        <v>0.89419999999999999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543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3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556" t="s">
        <v>692</v>
      </c>
      <c r="F63" s="241">
        <v>177.8</v>
      </c>
      <c r="G63" s="241" t="s">
        <v>28</v>
      </c>
      <c r="H63" s="1299" t="s">
        <v>683</v>
      </c>
      <c r="I63" s="1556">
        <v>535.88</v>
      </c>
      <c r="J63" s="241">
        <v>85</v>
      </c>
      <c r="K63" s="241"/>
      <c r="L63" s="1277">
        <v>148</v>
      </c>
      <c r="M63" s="241">
        <v>0</v>
      </c>
      <c r="N63" s="1278">
        <v>0.6</v>
      </c>
      <c r="O63" s="241"/>
      <c r="P63" s="1278">
        <f t="shared" si="4"/>
        <v>37.017018575423961</v>
      </c>
      <c r="Q63" s="1278">
        <f>J63*13/100</f>
        <v>11.05</v>
      </c>
      <c r="R63" s="244">
        <v>3.4569999999999999</v>
      </c>
      <c r="S63" s="244">
        <v>7.3460000000000001</v>
      </c>
      <c r="T63" s="1277">
        <v>49.5</v>
      </c>
      <c r="U63" s="1278">
        <f>IF(R63=0,0,T63/R63)</f>
        <v>14.318773503037317</v>
      </c>
      <c r="V63" s="1278">
        <f t="shared" si="16"/>
        <v>52.940375714674659</v>
      </c>
      <c r="W63" s="1279">
        <v>0.2</v>
      </c>
      <c r="X63" s="1316">
        <v>85</v>
      </c>
      <c r="Y63" s="1277">
        <f t="shared" si="3"/>
        <v>66.479638009049765</v>
      </c>
      <c r="Z63" s="244">
        <f t="shared" ref="Z63:AB75" si="19">R63*0.988</f>
        <v>3.4155159999999998</v>
      </c>
      <c r="AA63" s="244">
        <f t="shared" si="19"/>
        <v>7.2578480000000001</v>
      </c>
      <c r="AB63" s="1277">
        <f t="shared" si="19"/>
        <v>48.905999999999999</v>
      </c>
      <c r="AC63" s="244">
        <f t="shared" ref="AC63:AD70" si="20">U63</f>
        <v>14.318773503037317</v>
      </c>
      <c r="AD63" s="1277">
        <f t="shared" si="20"/>
        <v>52.940375714674659</v>
      </c>
      <c r="AE63" s="241">
        <v>15</v>
      </c>
      <c r="AF63" s="244">
        <f t="shared" si="1"/>
        <v>51.23274</v>
      </c>
      <c r="AG63" s="1281" t="s">
        <v>761</v>
      </c>
      <c r="AI63" s="1282">
        <f t="shared" si="2"/>
        <v>37.017018575423961</v>
      </c>
      <c r="AJ63" s="1252">
        <v>0.91049999999999998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556">
        <v>674.45</v>
      </c>
      <c r="E64" s="1556" t="s">
        <v>232</v>
      </c>
      <c r="F64" s="241">
        <v>177.8</v>
      </c>
      <c r="G64" s="241" t="s">
        <v>28</v>
      </c>
      <c r="H64" s="1299" t="s">
        <v>464</v>
      </c>
      <c r="I64" s="1556">
        <v>542.6</v>
      </c>
      <c r="J64" s="1556">
        <v>130</v>
      </c>
      <c r="K64" s="1556"/>
      <c r="L64" s="1319">
        <v>457</v>
      </c>
      <c r="M64" s="1556"/>
      <c r="N64" s="1278">
        <v>2.6</v>
      </c>
      <c r="O64" s="1556"/>
      <c r="P64" s="1278">
        <f t="shared" si="4"/>
        <v>10.547969629234458</v>
      </c>
      <c r="Q64" s="1278">
        <f>RIGHT(H64,(FIND("T",H64,1)-0))*J64/100</f>
        <v>18.2</v>
      </c>
      <c r="R64" s="244">
        <v>5.4889999999999999</v>
      </c>
      <c r="S64" s="244">
        <v>7.8849999999999998</v>
      </c>
      <c r="T64" s="1319">
        <v>51</v>
      </c>
      <c r="U64" s="1278">
        <f t="shared" si="12"/>
        <v>9.291309892512297</v>
      </c>
      <c r="V64" s="1278">
        <f t="shared" si="16"/>
        <v>30.38681039949271</v>
      </c>
      <c r="W64" s="1279">
        <v>0.2</v>
      </c>
      <c r="X64" s="1410">
        <v>130</v>
      </c>
      <c r="Y64" s="1277">
        <f t="shared" si="3"/>
        <v>43.324175824175825</v>
      </c>
      <c r="Z64" s="244">
        <f t="shared" si="19"/>
        <v>5.4231319999999998</v>
      </c>
      <c r="AA64" s="244">
        <f t="shared" si="19"/>
        <v>7.7903799999999999</v>
      </c>
      <c r="AB64" s="1277">
        <f t="shared" si="19"/>
        <v>50.387999999999998</v>
      </c>
      <c r="AC64" s="244">
        <f t="shared" si="20"/>
        <v>9.291309892512297</v>
      </c>
      <c r="AD64" s="1277">
        <f t="shared" si="20"/>
        <v>30.38681039949271</v>
      </c>
      <c r="AE64" s="241">
        <f t="shared" si="15"/>
        <v>30</v>
      </c>
      <c r="AF64" s="244">
        <f>Z64*AE64</f>
        <v>162.69396</v>
      </c>
      <c r="AG64" s="1342"/>
      <c r="AI64" s="1282">
        <f t="shared" si="2"/>
        <v>10.547969629234458</v>
      </c>
      <c r="AJ64" s="1252">
        <v>0.88649999999999995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556">
        <v>678.47</v>
      </c>
      <c r="E65" s="1556" t="s">
        <v>606</v>
      </c>
      <c r="F65" s="241">
        <v>177.8</v>
      </c>
      <c r="G65" s="241" t="s">
        <v>28</v>
      </c>
      <c r="H65" s="1299" t="s">
        <v>466</v>
      </c>
      <c r="I65" s="1556">
        <v>574.4</v>
      </c>
      <c r="J65" s="1373">
        <v>145</v>
      </c>
      <c r="K65" s="1556"/>
      <c r="L65" s="1319">
        <v>94</v>
      </c>
      <c r="M65" s="1556"/>
      <c r="N65" s="1278">
        <v>2.6</v>
      </c>
      <c r="O65" s="1556"/>
      <c r="P65" s="1278">
        <f t="shared" si="4"/>
        <v>49.282530453040771</v>
      </c>
      <c r="Q65" s="1278">
        <f>LEFT(H65,(FIND("E",H65,1)-1))*J65/100</f>
        <v>18.850000000000001</v>
      </c>
      <c r="R65" s="244">
        <v>3.2389999999999999</v>
      </c>
      <c r="S65" s="244">
        <v>19.762</v>
      </c>
      <c r="T65" s="1277">
        <v>51</v>
      </c>
      <c r="U65" s="1278">
        <f t="shared" si="12"/>
        <v>15.745600493979625</v>
      </c>
      <c r="V65" s="1278">
        <f t="shared" si="16"/>
        <v>83.609958506224061</v>
      </c>
      <c r="W65" s="1279">
        <v>0.2</v>
      </c>
      <c r="X65" s="1452">
        <v>145</v>
      </c>
      <c r="Y65" s="1277">
        <f t="shared" si="3"/>
        <v>104.83819628647215</v>
      </c>
      <c r="Z65" s="244">
        <f t="shared" si="19"/>
        <v>3.200132</v>
      </c>
      <c r="AA65" s="244">
        <f t="shared" si="19"/>
        <v>19.524856</v>
      </c>
      <c r="AB65" s="1277">
        <f t="shared" si="19"/>
        <v>50.387999999999998</v>
      </c>
      <c r="AC65" s="244">
        <f t="shared" si="20"/>
        <v>15.745600493979625</v>
      </c>
      <c r="AD65" s="1277">
        <f t="shared" si="20"/>
        <v>83.609958506224061</v>
      </c>
      <c r="AE65" s="241">
        <f t="shared" si="15"/>
        <v>30</v>
      </c>
      <c r="AF65" s="244">
        <f t="shared" ref="AF65:AF75" si="21">Z65*AE65</f>
        <v>96.003960000000006</v>
      </c>
      <c r="AG65" s="1281"/>
      <c r="AI65" s="1282">
        <f t="shared" si="2"/>
        <v>49.282530453040771</v>
      </c>
      <c r="AJ65" s="1252">
        <v>0.9234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556">
        <v>541.12</v>
      </c>
      <c r="J66" s="241">
        <v>175</v>
      </c>
      <c r="K66" s="241"/>
      <c r="L66" s="1277">
        <v>444</v>
      </c>
      <c r="M66" s="241"/>
      <c r="N66" s="1278">
        <v>4.0999999999999996</v>
      </c>
      <c r="O66" s="241"/>
      <c r="P66" s="1278">
        <f t="shared" si="4"/>
        <v>13.606983491880969</v>
      </c>
      <c r="Q66" s="1278">
        <f>20*J66/100</f>
        <v>35</v>
      </c>
      <c r="R66" s="244">
        <v>6.9569999999999999</v>
      </c>
      <c r="S66" s="244">
        <v>25.716999999999999</v>
      </c>
      <c r="T66" s="1277">
        <v>74</v>
      </c>
      <c r="U66" s="1278">
        <f t="shared" si="12"/>
        <v>10.636768722150352</v>
      </c>
      <c r="V66" s="1278">
        <f t="shared" si="16"/>
        <v>72.947855504141216</v>
      </c>
      <c r="W66" s="1279">
        <v>0.2</v>
      </c>
      <c r="X66" s="1316">
        <v>175</v>
      </c>
      <c r="Y66" s="1277">
        <f t="shared" si="3"/>
        <v>73.477142857142852</v>
      </c>
      <c r="Z66" s="244">
        <f t="shared" si="19"/>
        <v>6.8735159999999995</v>
      </c>
      <c r="AA66" s="244">
        <f t="shared" si="19"/>
        <v>25.408396</v>
      </c>
      <c r="AB66" s="1277">
        <f t="shared" si="19"/>
        <v>73.111999999999995</v>
      </c>
      <c r="AC66" s="244">
        <f t="shared" si="20"/>
        <v>10.636768722150352</v>
      </c>
      <c r="AD66" s="1277">
        <f t="shared" si="20"/>
        <v>72.947855504141216</v>
      </c>
      <c r="AE66" s="241">
        <f t="shared" si="15"/>
        <v>30</v>
      </c>
      <c r="AF66" s="244">
        <f t="shared" si="21"/>
        <v>206.20547999999999</v>
      </c>
      <c r="AG66" s="1285"/>
      <c r="AI66" s="1282">
        <f t="shared" si="2"/>
        <v>13.606983491880969</v>
      </c>
      <c r="AJ66" s="1252">
        <v>0.88929999999999998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556">
        <v>521.42999999999995</v>
      </c>
      <c r="J67" s="241">
        <v>300</v>
      </c>
      <c r="K67" s="241"/>
      <c r="L67" s="1277">
        <v>458</v>
      </c>
      <c r="M67" s="241"/>
      <c r="N67" s="1278">
        <v>5.5</v>
      </c>
      <c r="O67" s="241"/>
      <c r="P67" s="1278">
        <f t="shared" si="4"/>
        <v>11.505041646341722</v>
      </c>
      <c r="Q67" s="1278">
        <f>J67*14/100</f>
        <v>42</v>
      </c>
      <c r="R67" s="244">
        <v>8.5269999999999992</v>
      </c>
      <c r="S67" s="244">
        <v>14.622999999999999</v>
      </c>
      <c r="T67" s="1277">
        <v>159</v>
      </c>
      <c r="U67" s="1278">
        <f t="shared" si="12"/>
        <v>18.64665181189164</v>
      </c>
      <c r="V67" s="1278">
        <f t="shared" si="16"/>
        <v>41.687752171237094</v>
      </c>
      <c r="W67" s="1279">
        <v>0.2</v>
      </c>
      <c r="X67" s="1316">
        <v>300</v>
      </c>
      <c r="Y67" s="1277">
        <f t="shared" si="3"/>
        <v>34.816666666666663</v>
      </c>
      <c r="Z67" s="244">
        <f t="shared" si="19"/>
        <v>8.4246759999999998</v>
      </c>
      <c r="AA67" s="244">
        <f t="shared" si="19"/>
        <v>14.447524</v>
      </c>
      <c r="AB67" s="1277">
        <f t="shared" si="19"/>
        <v>157.09199999999998</v>
      </c>
      <c r="AC67" s="244">
        <f t="shared" si="20"/>
        <v>18.64665181189164</v>
      </c>
      <c r="AD67" s="1277">
        <f t="shared" si="20"/>
        <v>41.687752171237094</v>
      </c>
      <c r="AE67" s="241">
        <f t="shared" si="15"/>
        <v>30</v>
      </c>
      <c r="AF67" s="244">
        <f t="shared" si="21"/>
        <v>252.74027999999998</v>
      </c>
      <c r="AG67" s="1285"/>
      <c r="AI67" s="1282">
        <f t="shared" si="2"/>
        <v>11.505041646341722</v>
      </c>
      <c r="AJ67" s="1252">
        <v>0.87360000000000004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556" t="s">
        <v>607</v>
      </c>
      <c r="F68" s="241">
        <v>177.8</v>
      </c>
      <c r="G68" s="241" t="s">
        <v>28</v>
      </c>
      <c r="H68" s="241" t="s">
        <v>464</v>
      </c>
      <c r="I68" s="1556">
        <v>512.28</v>
      </c>
      <c r="J68" s="241">
        <v>175</v>
      </c>
      <c r="K68" s="241"/>
      <c r="L68" s="1277">
        <v>415</v>
      </c>
      <c r="M68" s="241"/>
      <c r="N68" s="1278">
        <v>3.1</v>
      </c>
      <c r="O68" s="241"/>
      <c r="P68" s="1278">
        <f t="shared" si="4"/>
        <v>12.479847364730336</v>
      </c>
      <c r="Q68" s="1278">
        <f>J68*14/100</f>
        <v>24.5</v>
      </c>
      <c r="R68" s="244">
        <v>5.883</v>
      </c>
      <c r="S68" s="244">
        <v>14.843999999999999</v>
      </c>
      <c r="T68" s="1277">
        <v>65</v>
      </c>
      <c r="U68" s="1278">
        <f t="shared" si="12"/>
        <v>11.048784633690294</v>
      </c>
      <c r="V68" s="1278">
        <f t="shared" si="16"/>
        <v>60.367825383993519</v>
      </c>
      <c r="W68" s="1279">
        <v>0.2</v>
      </c>
      <c r="X68" s="1316">
        <v>175</v>
      </c>
      <c r="Y68" s="1277">
        <f t="shared" si="3"/>
        <v>60.587755102040816</v>
      </c>
      <c r="Z68" s="244">
        <f t="shared" si="19"/>
        <v>5.8124039999999999</v>
      </c>
      <c r="AA68" s="244">
        <f t="shared" si="19"/>
        <v>14.665871999999998</v>
      </c>
      <c r="AB68" s="1277">
        <f t="shared" si="19"/>
        <v>64.22</v>
      </c>
      <c r="AC68" s="244">
        <f t="shared" si="20"/>
        <v>11.048784633690294</v>
      </c>
      <c r="AD68" s="1277">
        <f t="shared" si="20"/>
        <v>60.367825383993519</v>
      </c>
      <c r="AE68" s="241">
        <f t="shared" si="15"/>
        <v>30</v>
      </c>
      <c r="AF68" s="244">
        <f t="shared" si="21"/>
        <v>174.37212</v>
      </c>
      <c r="AG68" s="1285"/>
      <c r="AI68" s="1282">
        <f t="shared" si="2"/>
        <v>12.479847364730336</v>
      </c>
      <c r="AJ68" s="1252">
        <v>0.89659999999999995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556">
        <v>539.28</v>
      </c>
      <c r="J69" s="241">
        <v>120</v>
      </c>
      <c r="K69" s="241"/>
      <c r="L69" s="1277">
        <v>224</v>
      </c>
      <c r="M69" s="241"/>
      <c r="N69" s="1278">
        <v>4.5999999999999996</v>
      </c>
      <c r="O69" s="241"/>
      <c r="P69" s="1278">
        <f t="shared" si="4"/>
        <v>35.204990453966211</v>
      </c>
      <c r="Q69" s="1278">
        <f>J69*13/100</f>
        <v>15.6</v>
      </c>
      <c r="R69" s="244">
        <v>1.96</v>
      </c>
      <c r="S69" s="244">
        <v>12.249000000000001</v>
      </c>
      <c r="T69" s="1277">
        <v>48</v>
      </c>
      <c r="U69" s="1278">
        <f t="shared" si="12"/>
        <v>24.489795918367346</v>
      </c>
      <c r="V69" s="1278">
        <f t="shared" si="16"/>
        <v>83.998693770920084</v>
      </c>
      <c r="W69" s="1279">
        <v>0.2</v>
      </c>
      <c r="X69" s="1316">
        <v>120</v>
      </c>
      <c r="Y69" s="1277">
        <f t="shared" si="3"/>
        <v>78.519230769230774</v>
      </c>
      <c r="Z69" s="244">
        <f t="shared" si="19"/>
        <v>1.93648</v>
      </c>
      <c r="AA69" s="244">
        <f t="shared" si="19"/>
        <v>12.102012</v>
      </c>
      <c r="AB69" s="1277">
        <f t="shared" si="19"/>
        <v>47.423999999999999</v>
      </c>
      <c r="AC69" s="244">
        <f t="shared" si="20"/>
        <v>24.489795918367346</v>
      </c>
      <c r="AD69" s="1277">
        <f t="shared" si="20"/>
        <v>83.998693770920084</v>
      </c>
      <c r="AE69" s="241">
        <f t="shared" si="15"/>
        <v>30</v>
      </c>
      <c r="AF69" s="244">
        <f>Z69*AE69</f>
        <v>58.0944</v>
      </c>
      <c r="AG69" s="1285"/>
      <c r="AI69" s="1282">
        <f t="shared" si="2"/>
        <v>35.204990453966211</v>
      </c>
      <c r="AJ69" s="1252">
        <v>0.89490000000000003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556">
        <v>541.46</v>
      </c>
      <c r="J70" s="241">
        <v>100</v>
      </c>
      <c r="K70" s="241"/>
      <c r="L70" s="1277">
        <v>212</v>
      </c>
      <c r="M70" s="241"/>
      <c r="N70" s="1278">
        <v>5.6</v>
      </c>
      <c r="O70" s="241"/>
      <c r="P70" s="1278">
        <f t="shared" si="4"/>
        <v>37.5339944387093</v>
      </c>
      <c r="Q70" s="1278">
        <f>(32/100)*J70</f>
        <v>32</v>
      </c>
      <c r="R70" s="244">
        <v>6.492</v>
      </c>
      <c r="S70" s="244">
        <v>38.463000000000001</v>
      </c>
      <c r="T70" s="1277">
        <v>79</v>
      </c>
      <c r="U70" s="1278">
        <f t="shared" si="12"/>
        <v>12.168823166974738</v>
      </c>
      <c r="V70" s="1278">
        <f t="shared" si="16"/>
        <v>83.121441385227357</v>
      </c>
      <c r="W70" s="1279">
        <v>0.2</v>
      </c>
      <c r="X70" s="1316">
        <v>100</v>
      </c>
      <c r="Y70" s="1277">
        <f t="shared" si="3"/>
        <v>120.19687500000001</v>
      </c>
      <c r="Z70" s="244">
        <v>6</v>
      </c>
      <c r="AA70" s="244">
        <f t="shared" si="19"/>
        <v>38.001443999999999</v>
      </c>
      <c r="AB70" s="1277">
        <f t="shared" si="19"/>
        <v>78.051999999999992</v>
      </c>
      <c r="AC70" s="244">
        <f>U70</f>
        <v>12.168823166974738</v>
      </c>
      <c r="AD70" s="1277">
        <f t="shared" si="20"/>
        <v>83.121441385227357</v>
      </c>
      <c r="AE70" s="241">
        <f t="shared" si="15"/>
        <v>30</v>
      </c>
      <c r="AF70" s="244">
        <f t="shared" si="21"/>
        <v>180</v>
      </c>
      <c r="AG70" s="1285"/>
      <c r="AI70" s="1282">
        <f t="shared" si="2"/>
        <v>37.5339944387093</v>
      </c>
      <c r="AJ70" s="1252">
        <v>0.89490000000000003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556">
        <v>539.83000000000004</v>
      </c>
      <c r="J71" s="1448">
        <v>95</v>
      </c>
      <c r="K71" s="241"/>
      <c r="L71" s="1277">
        <v>104</v>
      </c>
      <c r="M71" s="1278"/>
      <c r="N71" s="1278">
        <v>6</v>
      </c>
      <c r="O71" s="241"/>
      <c r="P71" s="1278">
        <f t="shared" si="4"/>
        <v>48.462516146648646</v>
      </c>
      <c r="Q71" s="1278">
        <f>(32/100)*J71</f>
        <v>30.400000000000002</v>
      </c>
      <c r="R71" s="244">
        <v>3.839</v>
      </c>
      <c r="S71" s="244">
        <v>36.270000000000003</v>
      </c>
      <c r="T71" s="1277">
        <v>92</v>
      </c>
      <c r="U71" s="1278">
        <f t="shared" si="12"/>
        <v>23.964574107840583</v>
      </c>
      <c r="V71" s="1278">
        <f t="shared" si="16"/>
        <v>89.415494899365882</v>
      </c>
      <c r="W71" s="1279">
        <v>0.3</v>
      </c>
      <c r="X71" s="1449">
        <v>95</v>
      </c>
      <c r="Y71" s="1277">
        <f t="shared" si="3"/>
        <v>119.30921052631579</v>
      </c>
      <c r="Z71" s="244">
        <f t="shared" ref="Z71:AA75" si="22">R71*0.988</f>
        <v>3.792932</v>
      </c>
      <c r="AA71" s="244">
        <f t="shared" si="22"/>
        <v>35.834760000000003</v>
      </c>
      <c r="AB71" s="1277">
        <f t="shared" si="19"/>
        <v>90.896000000000001</v>
      </c>
      <c r="AC71" s="244">
        <f>U71</f>
        <v>23.964574107840583</v>
      </c>
      <c r="AD71" s="1277">
        <f>V71</f>
        <v>89.415494899365882</v>
      </c>
      <c r="AE71" s="241">
        <f t="shared" si="15"/>
        <v>30</v>
      </c>
      <c r="AF71" s="244">
        <f t="shared" si="21"/>
        <v>113.78796</v>
      </c>
      <c r="AG71" s="1343"/>
      <c r="AI71" s="1282">
        <f t="shared" si="2"/>
        <v>48.462516146648646</v>
      </c>
      <c r="AJ71" s="1252">
        <v>0.89390000000000003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556">
        <v>512.47</v>
      </c>
      <c r="J72" s="1277">
        <v>245</v>
      </c>
      <c r="K72" s="241"/>
      <c r="L72" s="1277">
        <v>466</v>
      </c>
      <c r="M72" s="241"/>
      <c r="N72" s="1278">
        <v>5.5</v>
      </c>
      <c r="O72" s="241"/>
      <c r="P72" s="1278">
        <f t="shared" si="4"/>
        <v>9.8535016822759669</v>
      </c>
      <c r="Q72" s="1278">
        <f>(32*J72)/100</f>
        <v>78.400000000000006</v>
      </c>
      <c r="R72" s="244">
        <v>14.119</v>
      </c>
      <c r="S72" s="244">
        <v>18.798999999999999</v>
      </c>
      <c r="T72" s="1277">
        <v>387</v>
      </c>
      <c r="U72" s="1278">
        <f t="shared" si="12"/>
        <v>27.409873220483039</v>
      </c>
      <c r="V72" s="1278">
        <f t="shared" si="16"/>
        <v>24.894941220277676</v>
      </c>
      <c r="W72" s="1279">
        <v>0.2</v>
      </c>
      <c r="X72" s="1454">
        <v>245</v>
      </c>
      <c r="Y72" s="1277">
        <f t="shared" si="3"/>
        <v>23.97831632653061</v>
      </c>
      <c r="Z72" s="244">
        <f t="shared" si="22"/>
        <v>13.949572</v>
      </c>
      <c r="AA72" s="244">
        <f t="shared" si="22"/>
        <v>18.573411999999998</v>
      </c>
      <c r="AB72" s="1277">
        <f t="shared" si="19"/>
        <v>382.35599999999999</v>
      </c>
      <c r="AC72" s="244">
        <f>U72</f>
        <v>27.409873220483039</v>
      </c>
      <c r="AD72" s="1277">
        <f>V72</f>
        <v>24.894941220277676</v>
      </c>
      <c r="AE72" s="241">
        <f t="shared" si="15"/>
        <v>30</v>
      </c>
      <c r="AF72" s="244">
        <f t="shared" si="21"/>
        <v>418.48716000000002</v>
      </c>
      <c r="AG72" s="1281"/>
      <c r="AI72" s="1282">
        <f t="shared" si="2"/>
        <v>9.8535016822759669</v>
      </c>
      <c r="AJ72" s="1252">
        <v>0.86950000000000005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556">
        <v>500.41</v>
      </c>
      <c r="J73" s="1448">
        <v>235</v>
      </c>
      <c r="K73" s="241"/>
      <c r="L73" s="1277">
        <v>483</v>
      </c>
      <c r="M73" s="241"/>
      <c r="N73" s="1278">
        <v>3.4</v>
      </c>
      <c r="O73" s="241"/>
      <c r="P73" s="1278">
        <f t="shared" si="4"/>
        <v>5.260350636643742</v>
      </c>
      <c r="Q73" s="1278">
        <f>J73*32/100</f>
        <v>75.2</v>
      </c>
      <c r="R73" s="244">
        <v>6.21</v>
      </c>
      <c r="S73" s="244">
        <v>13.208</v>
      </c>
      <c r="T73" s="1277">
        <v>131</v>
      </c>
      <c r="U73" s="1278">
        <f t="shared" si="12"/>
        <v>21.095008051529792</v>
      </c>
      <c r="V73" s="1278">
        <f t="shared" si="16"/>
        <v>52.983040581465779</v>
      </c>
      <c r="W73" s="1279">
        <v>0.2</v>
      </c>
      <c r="X73" s="1449">
        <v>235</v>
      </c>
      <c r="Y73" s="1277">
        <f t="shared" si="3"/>
        <v>17.563829787234042</v>
      </c>
      <c r="Z73" s="244">
        <f t="shared" si="22"/>
        <v>6.1354800000000003</v>
      </c>
      <c r="AA73" s="244">
        <f t="shared" si="22"/>
        <v>13.049504000000001</v>
      </c>
      <c r="AB73" s="1277">
        <f t="shared" si="19"/>
        <v>129.428</v>
      </c>
      <c r="AC73" s="244">
        <v>20</v>
      </c>
      <c r="AD73" s="1277">
        <v>17</v>
      </c>
      <c r="AE73" s="241">
        <f t="shared" si="15"/>
        <v>30</v>
      </c>
      <c r="AF73" s="244">
        <f t="shared" si="21"/>
        <v>184.06440000000001</v>
      </c>
      <c r="AG73" s="1281"/>
      <c r="AI73" s="1282">
        <f t="shared" si="2"/>
        <v>5.260350636643742</v>
      </c>
      <c r="AJ73" s="1252">
        <v>0.84030000000000005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556">
        <v>549.1</v>
      </c>
      <c r="J74" s="1448">
        <v>185</v>
      </c>
      <c r="K74" s="241"/>
      <c r="L74" s="1277">
        <v>456</v>
      </c>
      <c r="M74" s="241"/>
      <c r="N74" s="1278">
        <v>8.5</v>
      </c>
      <c r="O74" s="241"/>
      <c r="P74" s="1278">
        <f t="shared" si="4"/>
        <v>17.359239422474086</v>
      </c>
      <c r="Q74" s="1278">
        <f>LEFT(H74,(FIND("E",H74,1)-1))*J74/100</f>
        <v>40.700000000000003</v>
      </c>
      <c r="R74" s="244">
        <v>11.531000000000001</v>
      </c>
      <c r="S74" s="244">
        <v>25.009</v>
      </c>
      <c r="T74" s="1277">
        <v>269</v>
      </c>
      <c r="U74" s="1278">
        <f t="shared" si="12"/>
        <v>23.328419044315321</v>
      </c>
      <c r="V74" s="1278">
        <f t="shared" si="16"/>
        <v>53.892598664480786</v>
      </c>
      <c r="W74" s="1279">
        <v>0.2</v>
      </c>
      <c r="X74" s="1449">
        <v>185</v>
      </c>
      <c r="Y74" s="1277">
        <f t="shared" si="3"/>
        <v>61.447174447174447</v>
      </c>
      <c r="Z74" s="244">
        <f t="shared" si="22"/>
        <v>11.392628</v>
      </c>
      <c r="AA74" s="244">
        <f t="shared" si="22"/>
        <v>24.708891999999999</v>
      </c>
      <c r="AB74" s="1277">
        <f t="shared" si="19"/>
        <v>265.77199999999999</v>
      </c>
      <c r="AC74" s="244">
        <f>U74</f>
        <v>23.328419044315321</v>
      </c>
      <c r="AD74" s="1277">
        <f>V74</f>
        <v>53.892598664480786</v>
      </c>
      <c r="AE74" s="241">
        <f t="shared" si="15"/>
        <v>30</v>
      </c>
      <c r="AF74" s="244">
        <f t="shared" si="21"/>
        <v>341.77884</v>
      </c>
      <c r="AG74" s="1285"/>
      <c r="AI74" s="1282">
        <f t="shared" si="2"/>
        <v>17.359239422474086</v>
      </c>
      <c r="AJ74" s="1252">
        <v>0.877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556">
        <v>542.46</v>
      </c>
      <c r="J75" s="1448">
        <v>85</v>
      </c>
      <c r="K75" s="241"/>
      <c r="L75" s="1277">
        <v>218</v>
      </c>
      <c r="M75" s="241"/>
      <c r="N75" s="1278">
        <v>4.0999999999999996</v>
      </c>
      <c r="O75" s="241"/>
      <c r="P75" s="1278">
        <f t="shared" si="4"/>
        <v>35.196196803905586</v>
      </c>
      <c r="Q75" s="1278">
        <f>(20/100)*J75</f>
        <v>17</v>
      </c>
      <c r="R75" s="244">
        <v>5.984</v>
      </c>
      <c r="S75" s="244">
        <v>23.588000000000001</v>
      </c>
      <c r="T75" s="1277">
        <v>76</v>
      </c>
      <c r="U75" s="1278">
        <f t="shared" si="12"/>
        <v>12.700534759358289</v>
      </c>
      <c r="V75" s="1278">
        <f t="shared" si="16"/>
        <v>74.631168390707131</v>
      </c>
      <c r="W75" s="1279">
        <v>0.2</v>
      </c>
      <c r="X75" s="1449">
        <v>85</v>
      </c>
      <c r="Y75" s="1277">
        <f t="shared" si="3"/>
        <v>138.75294117647059</v>
      </c>
      <c r="Z75" s="244">
        <f t="shared" si="22"/>
        <v>5.9121920000000001</v>
      </c>
      <c r="AA75" s="244">
        <f t="shared" si="22"/>
        <v>23.304943999999999</v>
      </c>
      <c r="AB75" s="1277">
        <f t="shared" si="19"/>
        <v>75.087999999999994</v>
      </c>
      <c r="AC75" s="244">
        <f>U75</f>
        <v>12.700534759358289</v>
      </c>
      <c r="AD75" s="1277">
        <f>V75</f>
        <v>74.631168390707131</v>
      </c>
      <c r="AE75" s="241">
        <f t="shared" si="15"/>
        <v>30</v>
      </c>
      <c r="AF75" s="244">
        <f t="shared" si="21"/>
        <v>177.36575999999999</v>
      </c>
      <c r="AG75" s="1285"/>
      <c r="AI75" s="1282">
        <f t="shared" si="2"/>
        <v>35.196196803905586</v>
      </c>
      <c r="AJ75" s="1252">
        <v>0.8911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543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3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752</v>
      </c>
      <c r="F77" s="241">
        <v>177.8</v>
      </c>
      <c r="G77" s="241" t="s">
        <v>28</v>
      </c>
      <c r="H77" s="1299" t="s">
        <v>687</v>
      </c>
      <c r="I77" s="1556">
        <v>566.73</v>
      </c>
      <c r="J77" s="1448">
        <v>85</v>
      </c>
      <c r="K77" s="241"/>
      <c r="L77" s="1277">
        <v>267</v>
      </c>
      <c r="M77" s="241"/>
      <c r="N77" s="1278">
        <v>0.3</v>
      </c>
      <c r="O77" s="241"/>
      <c r="P77" s="1278">
        <f t="shared" si="4"/>
        <v>29.264617116054072</v>
      </c>
      <c r="Q77" s="1278">
        <f>(20*J77)/100</f>
        <v>17</v>
      </c>
      <c r="R77" s="244">
        <v>4.1589999999999998</v>
      </c>
      <c r="S77" s="244">
        <v>15.776</v>
      </c>
      <c r="T77" s="1277">
        <v>52</v>
      </c>
      <c r="U77" s="1278">
        <f t="shared" si="12"/>
        <v>12.503005530175523</v>
      </c>
      <c r="V77" s="1278">
        <f t="shared" si="16"/>
        <v>73.637170385395549</v>
      </c>
      <c r="W77" s="1279">
        <v>0.2</v>
      </c>
      <c r="X77" s="1449">
        <v>85</v>
      </c>
      <c r="Y77" s="1277">
        <f t="shared" si="3"/>
        <v>92.8</v>
      </c>
      <c r="Z77" s="244">
        <f t="shared" ref="Z77:AB81" si="23">R77*0.988</f>
        <v>4.1090919999999995</v>
      </c>
      <c r="AA77" s="244">
        <f t="shared" si="23"/>
        <v>15.586687999999999</v>
      </c>
      <c r="AB77" s="1277">
        <f t="shared" si="23"/>
        <v>51.375999999999998</v>
      </c>
      <c r="AC77" s="244">
        <f t="shared" ref="AC77:AD81" si="24">U77</f>
        <v>12.503005530175523</v>
      </c>
      <c r="AD77" s="1277">
        <f t="shared" si="24"/>
        <v>73.637170385395549</v>
      </c>
      <c r="AE77" s="241">
        <f t="shared" si="15"/>
        <v>30</v>
      </c>
      <c r="AF77" s="244">
        <f t="shared" ref="AF77:AF83" si="25">Z77*AE77</f>
        <v>123.27275999999999</v>
      </c>
      <c r="AG77" s="1285"/>
      <c r="AI77" s="1282">
        <f t="shared" si="2"/>
        <v>29.264617116054072</v>
      </c>
      <c r="AJ77" s="1252">
        <v>0.92200000000000004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556">
        <v>531.27</v>
      </c>
      <c r="J78" s="1448">
        <v>125</v>
      </c>
      <c r="K78" s="241"/>
      <c r="L78" s="1277">
        <v>315</v>
      </c>
      <c r="M78" s="241"/>
      <c r="N78" s="1278">
        <v>8.6999999999999993</v>
      </c>
      <c r="O78" s="241"/>
      <c r="P78" s="1278">
        <f t="shared" si="4"/>
        <v>29.120595594647916</v>
      </c>
      <c r="Q78" s="1278">
        <f>(32*J78)/100</f>
        <v>40</v>
      </c>
      <c r="R78" s="244">
        <v>12.464</v>
      </c>
      <c r="S78" s="244">
        <v>32.81</v>
      </c>
      <c r="T78" s="1277">
        <v>177</v>
      </c>
      <c r="U78" s="1278">
        <f t="shared" si="12"/>
        <v>14.200898587933247</v>
      </c>
      <c r="V78" s="1278">
        <f t="shared" si="16"/>
        <v>62.011581834806471</v>
      </c>
      <c r="W78" s="1279">
        <v>0.2</v>
      </c>
      <c r="X78" s="1449">
        <v>125</v>
      </c>
      <c r="Y78" s="1277">
        <f t="shared" si="3"/>
        <v>82.025000000000006</v>
      </c>
      <c r="Z78" s="244">
        <f t="shared" si="23"/>
        <v>12.314432</v>
      </c>
      <c r="AA78" s="244">
        <f t="shared" si="23"/>
        <v>32.41628</v>
      </c>
      <c r="AB78" s="1277">
        <f t="shared" si="23"/>
        <v>174.876</v>
      </c>
      <c r="AC78" s="244">
        <f t="shared" si="24"/>
        <v>14.200898587933247</v>
      </c>
      <c r="AD78" s="1277">
        <f t="shared" si="24"/>
        <v>62.011581834806471</v>
      </c>
      <c r="AE78" s="241">
        <f t="shared" si="15"/>
        <v>30</v>
      </c>
      <c r="AF78" s="244">
        <f t="shared" si="25"/>
        <v>369.43295999999998</v>
      </c>
      <c r="AG78" s="1285"/>
      <c r="AI78" s="1282">
        <f t="shared" si="2"/>
        <v>29.120595594647916</v>
      </c>
      <c r="AJ78" s="1252">
        <v>0.8821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556">
        <v>533.89</v>
      </c>
      <c r="J79" s="1448">
        <v>85</v>
      </c>
      <c r="K79" s="241"/>
      <c r="L79" s="1277">
        <v>55</v>
      </c>
      <c r="M79" s="241"/>
      <c r="N79" s="1278">
        <v>0.5</v>
      </c>
      <c r="O79" s="241"/>
      <c r="P79" s="1278">
        <f t="shared" si="4"/>
        <v>47.008979741670089</v>
      </c>
      <c r="Q79" s="1278">
        <f>(20/100)*J79</f>
        <v>17</v>
      </c>
      <c r="R79" s="244">
        <v>2.2669999999999999</v>
      </c>
      <c r="S79" s="244">
        <v>17.013000000000002</v>
      </c>
      <c r="T79" s="1277">
        <v>94</v>
      </c>
      <c r="U79" s="1278">
        <f t="shared" si="12"/>
        <v>41.464490516100575</v>
      </c>
      <c r="V79" s="1278">
        <f t="shared" si="16"/>
        <v>86.674895668018578</v>
      </c>
      <c r="W79" s="1279">
        <v>0.2</v>
      </c>
      <c r="X79" s="1449">
        <v>85</v>
      </c>
      <c r="Y79" s="1277">
        <f t="shared" si="3"/>
        <v>100.0764705882353</v>
      </c>
      <c r="Z79" s="244">
        <f t="shared" si="23"/>
        <v>2.2397959999999997</v>
      </c>
      <c r="AA79" s="244">
        <f t="shared" si="23"/>
        <v>16.808844000000001</v>
      </c>
      <c r="AB79" s="1277">
        <f t="shared" si="23"/>
        <v>92.872</v>
      </c>
      <c r="AC79" s="244">
        <f t="shared" si="24"/>
        <v>41.464490516100575</v>
      </c>
      <c r="AD79" s="1277">
        <f t="shared" si="24"/>
        <v>86.674895668018578</v>
      </c>
      <c r="AE79" s="241">
        <f t="shared" si="15"/>
        <v>30</v>
      </c>
      <c r="AF79" s="244">
        <f t="shared" si="25"/>
        <v>67.193879999999993</v>
      </c>
      <c r="AG79" s="1285"/>
      <c r="AI79" s="1282">
        <f t="shared" si="2"/>
        <v>47.008979741670089</v>
      </c>
      <c r="AJ79" s="1252">
        <v>0.90100000000000002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556">
        <v>571.08000000000004</v>
      </c>
      <c r="J80" s="1448">
        <v>195</v>
      </c>
      <c r="K80" s="241"/>
      <c r="L80" s="1277">
        <v>461</v>
      </c>
      <c r="M80" s="241"/>
      <c r="N80" s="1278">
        <v>19.899999999999999</v>
      </c>
      <c r="O80" s="241"/>
      <c r="P80" s="1278">
        <f t="shared" si="4"/>
        <v>29.067367191281477</v>
      </c>
      <c r="Q80" s="1278">
        <f>(32/100)*J80</f>
        <v>62.4</v>
      </c>
      <c r="R80" s="244">
        <v>11.12</v>
      </c>
      <c r="S80" s="244">
        <v>11.273</v>
      </c>
      <c r="T80" s="1277">
        <v>617</v>
      </c>
      <c r="U80" s="1278">
        <f t="shared" si="12"/>
        <v>55.485611510791372</v>
      </c>
      <c r="V80" s="1278">
        <f t="shared" si="16"/>
        <v>1.3572252284218973</v>
      </c>
      <c r="W80" s="1279">
        <v>0.2</v>
      </c>
      <c r="X80" s="1449">
        <v>195</v>
      </c>
      <c r="Y80" s="1277">
        <f t="shared" si="3"/>
        <v>18.065705128205128</v>
      </c>
      <c r="Z80" s="244">
        <f t="shared" si="23"/>
        <v>10.986559999999999</v>
      </c>
      <c r="AA80" s="244">
        <f t="shared" si="23"/>
        <v>11.137724</v>
      </c>
      <c r="AB80" s="1277">
        <f t="shared" si="23"/>
        <v>609.596</v>
      </c>
      <c r="AC80" s="244">
        <f t="shared" si="24"/>
        <v>55.485611510791372</v>
      </c>
      <c r="AD80" s="1277">
        <f t="shared" si="24"/>
        <v>1.3572252284218973</v>
      </c>
      <c r="AE80" s="241">
        <f t="shared" si="15"/>
        <v>30</v>
      </c>
      <c r="AF80" s="244">
        <f t="shared" si="25"/>
        <v>329.59679999999997</v>
      </c>
      <c r="AG80" s="1285"/>
      <c r="AI80" s="1282">
        <f t="shared" si="2"/>
        <v>29.067367191281477</v>
      </c>
      <c r="AJ80" s="1252">
        <v>0.83209999999999995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556">
        <v>664.19</v>
      </c>
      <c r="J81" s="1448">
        <v>165</v>
      </c>
      <c r="K81" s="241"/>
      <c r="L81" s="1277">
        <v>37</v>
      </c>
      <c r="M81" s="241"/>
      <c r="N81" s="1278">
        <v>0.4</v>
      </c>
      <c r="O81" s="241"/>
      <c r="P81" s="1278">
        <f t="shared" si="4"/>
        <v>56.702875834113158</v>
      </c>
      <c r="Q81" s="1278">
        <f>14*J81/100</f>
        <v>23.1</v>
      </c>
      <c r="R81" s="244">
        <v>5.0510000000000002</v>
      </c>
      <c r="S81" s="244">
        <v>5.8019999999999996</v>
      </c>
      <c r="T81" s="1277">
        <v>191</v>
      </c>
      <c r="U81" s="1278">
        <f t="shared" si="12"/>
        <v>37.814294199168479</v>
      </c>
      <c r="V81" s="1278">
        <f t="shared" si="16"/>
        <v>12.943812478455696</v>
      </c>
      <c r="W81" s="1279">
        <v>0.2</v>
      </c>
      <c r="X81" s="1449">
        <v>165</v>
      </c>
      <c r="Y81" s="1277">
        <f t="shared" si="3"/>
        <v>25.116883116883116</v>
      </c>
      <c r="Z81" s="244">
        <f t="shared" si="23"/>
        <v>4.9903880000000003</v>
      </c>
      <c r="AA81" s="244">
        <f t="shared" si="23"/>
        <v>5.7323759999999995</v>
      </c>
      <c r="AB81" s="1277">
        <f t="shared" si="23"/>
        <v>188.708</v>
      </c>
      <c r="AC81" s="244">
        <f t="shared" si="24"/>
        <v>37.814294199168479</v>
      </c>
      <c r="AD81" s="1277">
        <f t="shared" si="24"/>
        <v>12.943812478455696</v>
      </c>
      <c r="AE81" s="241">
        <f t="shared" si="15"/>
        <v>30</v>
      </c>
      <c r="AF81" s="244">
        <f t="shared" si="25"/>
        <v>149.71164000000002</v>
      </c>
      <c r="AG81" s="1281"/>
      <c r="AI81" s="1282">
        <f t="shared" si="2"/>
        <v>56.702875834113158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556">
        <v>700</v>
      </c>
      <c r="E82" s="1556" t="s">
        <v>547</v>
      </c>
      <c r="F82" s="241">
        <v>177.8</v>
      </c>
      <c r="G82" s="241" t="s">
        <v>28</v>
      </c>
      <c r="H82" s="241" t="s">
        <v>464</v>
      </c>
      <c r="I82" s="1556">
        <v>608.22</v>
      </c>
      <c r="J82" s="1556">
        <v>0</v>
      </c>
      <c r="K82" s="1556"/>
      <c r="L82" s="1319">
        <v>0</v>
      </c>
      <c r="M82" s="1556"/>
      <c r="N82" s="1278">
        <v>0</v>
      </c>
      <c r="O82" s="1556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3"/>
        <v>0</v>
      </c>
      <c r="Z82" s="244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556">
        <v>619.66</v>
      </c>
      <c r="E83" s="1556" t="s">
        <v>613</v>
      </c>
      <c r="F83" s="241">
        <v>177.8</v>
      </c>
      <c r="G83" s="241" t="s">
        <v>28</v>
      </c>
      <c r="H83" s="1299" t="s">
        <v>687</v>
      </c>
      <c r="I83" s="1556">
        <v>595.26</v>
      </c>
      <c r="J83" s="1556">
        <v>60</v>
      </c>
      <c r="K83" s="1556"/>
      <c r="L83" s="1319">
        <v>23</v>
      </c>
      <c r="M83" s="1556"/>
      <c r="N83" s="1278">
        <v>1.6</v>
      </c>
      <c r="O83" s="1556"/>
      <c r="P83" s="1278">
        <f t="shared" si="4"/>
        <v>51.903770903808521</v>
      </c>
      <c r="Q83" s="1278">
        <f>(20/100)*J83</f>
        <v>12</v>
      </c>
      <c r="R83" s="244">
        <v>2.86</v>
      </c>
      <c r="S83" s="244">
        <v>2.9790000000000001</v>
      </c>
      <c r="T83" s="1319">
        <v>150</v>
      </c>
      <c r="U83" s="244">
        <f t="shared" si="12"/>
        <v>52.447552447552447</v>
      </c>
      <c r="V83" s="1278">
        <f t="shared" si="16"/>
        <v>3.9946290701577785</v>
      </c>
      <c r="W83" s="1279">
        <v>0.2</v>
      </c>
      <c r="X83" s="1410">
        <v>60</v>
      </c>
      <c r="Y83" s="1277">
        <f t="shared" si="3"/>
        <v>24.824999999999999</v>
      </c>
      <c r="Z83" s="244">
        <v>4.5</v>
      </c>
      <c r="AA83" s="244">
        <f>S83*0.988</f>
        <v>2.9432520000000002</v>
      </c>
      <c r="AB83" s="1277">
        <f>T83*0.988</f>
        <v>148.19999999999999</v>
      </c>
      <c r="AC83" s="244">
        <f>U83</f>
        <v>52.447552447552447</v>
      </c>
      <c r="AD83" s="244">
        <f>V83</f>
        <v>3.9946290701577785</v>
      </c>
      <c r="AE83" s="241">
        <f t="shared" si="15"/>
        <v>30</v>
      </c>
      <c r="AF83" s="244">
        <f t="shared" si="25"/>
        <v>135</v>
      </c>
      <c r="AG83" s="1281"/>
      <c r="AI83" s="1282">
        <f t="shared" ref="AI83:AI86" si="26">(9.81*(AJ83*(100%-(V83/100))+AK83*(V83/100))*(I83-L83)+N83*101.325+9.81*(AL83)*L83)/101.325</f>
        <v>51.903770903808521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543">
        <v>689.4</v>
      </c>
      <c r="E84" s="1543" t="s">
        <v>616</v>
      </c>
      <c r="F84" s="241">
        <v>177.8</v>
      </c>
      <c r="G84" s="241" t="s">
        <v>28</v>
      </c>
      <c r="H84" s="1299" t="s">
        <v>466</v>
      </c>
      <c r="I84" s="1543">
        <v>604.96</v>
      </c>
      <c r="J84" s="1543">
        <v>0</v>
      </c>
      <c r="K84" s="1543"/>
      <c r="L84" s="1319"/>
      <c r="M84" s="1543"/>
      <c r="N84" s="1278"/>
      <c r="O84" s="1543"/>
      <c r="P84" s="1278">
        <f t="shared" si="4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7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6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56">
        <v>577.12</v>
      </c>
      <c r="E85" s="1556" t="s">
        <v>614</v>
      </c>
      <c r="F85" s="241">
        <v>177.8</v>
      </c>
      <c r="G85" s="241" t="s">
        <v>28</v>
      </c>
      <c r="H85" s="241" t="s">
        <v>464</v>
      </c>
      <c r="I85" s="1556">
        <v>537.30999999999995</v>
      </c>
      <c r="J85" s="1556">
        <v>255</v>
      </c>
      <c r="K85" s="1556"/>
      <c r="L85" s="1319">
        <v>480</v>
      </c>
      <c r="M85" s="1556"/>
      <c r="N85" s="1278">
        <v>0.4</v>
      </c>
      <c r="O85" s="1556"/>
      <c r="P85" s="1278">
        <f t="shared" ref="P85:P86" si="28">AI85</f>
        <v>5.9461589464857578</v>
      </c>
      <c r="Q85" s="1278">
        <f>RIGHT(H85,(FIND("T",H85,1)-0))*J85/100</f>
        <v>35.700000000000003</v>
      </c>
      <c r="R85" s="244">
        <v>3.9169999999999998</v>
      </c>
      <c r="S85" s="244">
        <v>6.7039999999999997</v>
      </c>
      <c r="T85" s="1319">
        <v>17</v>
      </c>
      <c r="U85" s="244">
        <f t="shared" ref="U85" si="29">IF(R85=0,0,T85/R85)</f>
        <v>4.3400561654327294</v>
      </c>
      <c r="V85" s="1278">
        <f t="shared" si="16"/>
        <v>41.572195704057279</v>
      </c>
      <c r="W85" s="1279">
        <v>0.2</v>
      </c>
      <c r="X85" s="1410">
        <v>255</v>
      </c>
      <c r="Y85" s="1277">
        <f t="shared" si="27"/>
        <v>18.778711484593835</v>
      </c>
      <c r="Z85" s="244">
        <f t="shared" ref="Z85:AB86" si="30">R85*0.988</f>
        <v>3.869996</v>
      </c>
      <c r="AA85" s="244">
        <f t="shared" si="30"/>
        <v>6.6235520000000001</v>
      </c>
      <c r="AB85" s="1277">
        <f t="shared" si="30"/>
        <v>16.795999999999999</v>
      </c>
      <c r="AC85" s="244">
        <f>U85</f>
        <v>4.3400561654327294</v>
      </c>
      <c r="AD85" s="244">
        <v>24.363</v>
      </c>
      <c r="AE85" s="241">
        <f t="shared" si="15"/>
        <v>30</v>
      </c>
      <c r="AF85" s="244">
        <f>Z85*AE85</f>
        <v>116.09988</v>
      </c>
      <c r="AG85" s="1281"/>
      <c r="AI85" s="1282">
        <f t="shared" si="26"/>
        <v>5.9461589464857578</v>
      </c>
      <c r="AJ85" s="1252">
        <v>0.89900000000000002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543">
        <v>576.27</v>
      </c>
      <c r="J86" s="1448">
        <v>130</v>
      </c>
      <c r="K86" s="241"/>
      <c r="L86" s="1277">
        <v>0</v>
      </c>
      <c r="M86" s="241"/>
      <c r="N86" s="1278">
        <v>0</v>
      </c>
      <c r="O86" s="241"/>
      <c r="P86" s="1278">
        <f t="shared" si="28"/>
        <v>56.310108171767851</v>
      </c>
      <c r="Q86" s="1278">
        <f>14*J86/100</f>
        <v>18.2</v>
      </c>
      <c r="R86" s="244">
        <v>2.1840000000000002</v>
      </c>
      <c r="S86" s="244">
        <v>23.695</v>
      </c>
      <c r="T86" s="1277">
        <v>84</v>
      </c>
      <c r="U86" s="1278">
        <f t="shared" si="12"/>
        <v>38.46153846153846</v>
      </c>
      <c r="V86" s="1278">
        <f t="shared" si="16"/>
        <v>90.782865583456413</v>
      </c>
      <c r="W86" s="1279">
        <v>0.5</v>
      </c>
      <c r="X86" s="1449">
        <v>130</v>
      </c>
      <c r="Y86" s="1277">
        <f t="shared" si="27"/>
        <v>130.19230769230771</v>
      </c>
      <c r="Z86" s="244">
        <f t="shared" si="30"/>
        <v>2.1577920000000002</v>
      </c>
      <c r="AA86" s="244">
        <f t="shared" si="30"/>
        <v>23.41066</v>
      </c>
      <c r="AB86" s="1277">
        <f t="shared" si="30"/>
        <v>82.992000000000004</v>
      </c>
      <c r="AC86" s="244">
        <f>U86</f>
        <v>38.46153846153846</v>
      </c>
      <c r="AD86" s="1277">
        <f>V86</f>
        <v>90.782865583456413</v>
      </c>
      <c r="AE86" s="241">
        <f t="shared" si="15"/>
        <v>30</v>
      </c>
      <c r="AF86" s="244">
        <f>Z86*AE86</f>
        <v>64.733760000000004</v>
      </c>
      <c r="AG86" s="1285"/>
      <c r="AI86" s="1282">
        <f t="shared" si="26"/>
        <v>56.310108171767851</v>
      </c>
      <c r="AJ86" s="1252">
        <v>0.92330000000000001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543"/>
      <c r="E87" s="1543"/>
      <c r="F87" s="1274"/>
      <c r="G87" s="241"/>
      <c r="H87" s="241"/>
      <c r="I87" s="1543"/>
      <c r="J87" s="1543"/>
      <c r="K87" s="1543"/>
      <c r="L87" s="1543"/>
      <c r="M87" s="1543"/>
      <c r="N87" s="241"/>
      <c r="O87" s="1543"/>
      <c r="P87" s="1278"/>
      <c r="Q87" s="1269"/>
      <c r="R87" s="1348">
        <f>SUM(R19:R86)</f>
        <v>311.9249999999999</v>
      </c>
      <c r="S87" s="1348">
        <f>SUM(S19:S86)</f>
        <v>1031.3499999999999</v>
      </c>
      <c r="T87" s="1349">
        <f>SUM(T19:T86)</f>
        <v>4887.1170000000002</v>
      </c>
      <c r="U87" s="1348">
        <f>T87/R87</f>
        <v>15.667602789132008</v>
      </c>
      <c r="V87" s="1348"/>
      <c r="W87" s="1350"/>
      <c r="X87" s="1410"/>
      <c r="Y87" s="1348"/>
      <c r="Z87" s="1348">
        <f>SUM(Z19:Z86)</f>
        <v>297.94349199999988</v>
      </c>
      <c r="AA87" s="1348">
        <f>SUM(AA19:AA86)</f>
        <v>993.11092400000018</v>
      </c>
      <c r="AB87" s="1351">
        <f>SUM(AB19:AB86)</f>
        <v>4804.8583960000014</v>
      </c>
      <c r="AC87" s="1348">
        <f>AB87/Z87</f>
        <v>16.126743912902796</v>
      </c>
      <c r="AD87" s="1348"/>
      <c r="AE87" s="1302"/>
      <c r="AF87" s="1348">
        <f>SUM(AF19:AF86)</f>
        <v>8876.780023999996</v>
      </c>
      <c r="AG87" s="1281"/>
      <c r="AI87" s="1282"/>
    </row>
    <row r="88" spans="1:38" ht="18.75" customHeight="1" x14ac:dyDescent="0.2">
      <c r="A88" s="1347"/>
      <c r="B88" s="241"/>
      <c r="C88" s="241"/>
      <c r="D88" s="1543"/>
      <c r="E88" s="1543"/>
      <c r="F88" s="1274"/>
      <c r="G88" s="241"/>
      <c r="H88" s="241"/>
      <c r="I88" s="1543"/>
      <c r="J88" s="1543"/>
      <c r="K88" s="1543"/>
      <c r="L88" s="1543"/>
      <c r="M88" s="1543"/>
      <c r="N88" s="241"/>
      <c r="O88" s="1543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543"/>
      <c r="E89" s="1542" t="s">
        <v>388</v>
      </c>
      <c r="F89" s="1274"/>
      <c r="G89" s="241"/>
      <c r="H89" s="241"/>
      <c r="I89" s="1543"/>
      <c r="J89" s="1543"/>
      <c r="K89" s="1543"/>
      <c r="L89" s="1543"/>
      <c r="M89" s="1543"/>
      <c r="N89" s="241"/>
      <c r="O89" s="1543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543">
        <v>737.21</v>
      </c>
      <c r="E90" s="1543" t="s">
        <v>507</v>
      </c>
      <c r="F90" s="241">
        <v>177.8</v>
      </c>
      <c r="G90" s="241" t="s">
        <v>28</v>
      </c>
      <c r="H90" s="1354" t="s">
        <v>466</v>
      </c>
      <c r="I90" s="1543">
        <v>680.94</v>
      </c>
      <c r="J90" s="1543"/>
      <c r="K90" s="1543"/>
      <c r="L90" s="1543"/>
      <c r="M90" s="1543"/>
      <c r="N90" s="241"/>
      <c r="O90" s="1543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1">R90*0.988</f>
        <v>0</v>
      </c>
      <c r="AA90" s="244">
        <f t="shared" si="31"/>
        <v>0</v>
      </c>
      <c r="AB90" s="1277">
        <f t="shared" si="31"/>
        <v>0</v>
      </c>
      <c r="AC90" s="244">
        <f t="shared" ref="AC90:AD93" si="32">U90</f>
        <v>0</v>
      </c>
      <c r="AD90" s="244">
        <f t="shared" si="32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543">
        <v>695.15</v>
      </c>
      <c r="E91" s="1543" t="s">
        <v>508</v>
      </c>
      <c r="F91" s="1274">
        <v>177.8</v>
      </c>
      <c r="G91" s="241" t="s">
        <v>28</v>
      </c>
      <c r="H91" s="241" t="s">
        <v>491</v>
      </c>
      <c r="I91" s="1543">
        <v>658.9</v>
      </c>
      <c r="J91" s="1543"/>
      <c r="K91" s="1543"/>
      <c r="L91" s="1543"/>
      <c r="M91" s="1543"/>
      <c r="N91" s="241"/>
      <c r="O91" s="1543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1"/>
        <v>0</v>
      </c>
      <c r="AA91" s="244">
        <f t="shared" si="31"/>
        <v>0</v>
      </c>
      <c r="AB91" s="1277">
        <f t="shared" si="31"/>
        <v>0</v>
      </c>
      <c r="AC91" s="244">
        <f t="shared" si="32"/>
        <v>0</v>
      </c>
      <c r="AD91" s="244">
        <f t="shared" si="32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543">
        <v>685.69</v>
      </c>
      <c r="E92" s="1543" t="s">
        <v>579</v>
      </c>
      <c r="F92" s="241">
        <v>177.8</v>
      </c>
      <c r="G92" s="241" t="s">
        <v>28</v>
      </c>
      <c r="H92" s="1299" t="s">
        <v>466</v>
      </c>
      <c r="I92" s="1543">
        <v>639.97</v>
      </c>
      <c r="J92" s="1543"/>
      <c r="K92" s="1543"/>
      <c r="L92" s="1543"/>
      <c r="M92" s="1543"/>
      <c r="N92" s="241"/>
      <c r="O92" s="1543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1"/>
        <v>0</v>
      </c>
      <c r="AA92" s="244">
        <f t="shared" si="31"/>
        <v>0</v>
      </c>
      <c r="AB92" s="1277">
        <f t="shared" si="31"/>
        <v>0</v>
      </c>
      <c r="AC92" s="244">
        <f t="shared" si="32"/>
        <v>0</v>
      </c>
      <c r="AD92" s="244">
        <f t="shared" si="32"/>
        <v>0</v>
      </c>
      <c r="AE92" s="241">
        <v>0</v>
      </c>
      <c r="AF92" s="244">
        <f t="shared" ref="AF92:AF93" si="33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543">
        <v>9.5</v>
      </c>
      <c r="J93" s="1543"/>
      <c r="K93" s="1543"/>
      <c r="L93" s="1543"/>
      <c r="M93" s="1543"/>
      <c r="N93" s="241"/>
      <c r="O93" s="1543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1"/>
        <v>0</v>
      </c>
      <c r="AA93" s="244">
        <f t="shared" si="31"/>
        <v>0</v>
      </c>
      <c r="AB93" s="1277">
        <f t="shared" si="31"/>
        <v>0</v>
      </c>
      <c r="AC93" s="244">
        <f t="shared" si="32"/>
        <v>0</v>
      </c>
      <c r="AD93" s="244">
        <f t="shared" si="32"/>
        <v>0</v>
      </c>
      <c r="AE93" s="241">
        <v>0</v>
      </c>
      <c r="AF93" s="244">
        <f t="shared" si="33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543"/>
      <c r="K94" s="1543"/>
      <c r="L94" s="1543"/>
      <c r="M94" s="1543"/>
      <c r="N94" s="1543"/>
      <c r="O94" s="1543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543"/>
      <c r="K95" s="1543"/>
      <c r="L95" s="1543"/>
      <c r="M95" s="1543"/>
      <c r="N95" s="1543"/>
      <c r="O95" s="1543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543">
        <v>183.38</v>
      </c>
      <c r="J96" s="1543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4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5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96" si="36">R96*0.988</f>
        <v>0</v>
      </c>
      <c r="AA96" s="244">
        <f t="shared" si="36"/>
        <v>0</v>
      </c>
      <c r="AB96" s="244">
        <f t="shared" si="36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37">Z96*AE96</f>
        <v>0</v>
      </c>
      <c r="AG96" s="1285"/>
      <c r="AI96" s="1282">
        <f t="shared" ref="AI96:AI101" si="38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543">
        <v>136.35</v>
      </c>
      <c r="J97" s="1543">
        <v>0</v>
      </c>
      <c r="K97" s="1543"/>
      <c r="L97" s="1319">
        <v>27</v>
      </c>
      <c r="M97" s="1543"/>
      <c r="N97" s="1278">
        <v>0</v>
      </c>
      <c r="O97" s="1543"/>
      <c r="P97" s="1278">
        <f t="shared" si="34"/>
        <v>9.8755795958549228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5"/>
        <v>0</v>
      </c>
      <c r="V97" s="1278">
        <v>0</v>
      </c>
      <c r="W97" s="1279">
        <v>0.2</v>
      </c>
      <c r="X97" s="1410">
        <v>0</v>
      </c>
      <c r="Y97" s="1277">
        <f t="shared" ref="Y97:Y101" si="39">IF(S97=0,0,S97/Q97)*100</f>
        <v>0</v>
      </c>
      <c r="Z97" s="244">
        <f t="shared" ref="Z97:Z101" si="40">R97*0.988</f>
        <v>0</v>
      </c>
      <c r="AA97" s="244">
        <f t="shared" ref="AA97:AA101" si="41">S97*0.988</f>
        <v>0</v>
      </c>
      <c r="AB97" s="244">
        <f t="shared" ref="AB97:AB101" si="42">T97*0.988</f>
        <v>0</v>
      </c>
      <c r="AC97" s="244">
        <f t="shared" ref="AC97:AC101" si="43">U97</f>
        <v>0</v>
      </c>
      <c r="AD97" s="244">
        <f t="shared" ref="AD97:AD101" si="44">V97</f>
        <v>0</v>
      </c>
      <c r="AE97" s="241">
        <v>0</v>
      </c>
      <c r="AF97" s="244">
        <f>Z97*AE97</f>
        <v>0</v>
      </c>
      <c r="AG97" s="1285"/>
      <c r="AI97" s="1282">
        <f t="shared" si="38"/>
        <v>9.8755795958549228</v>
      </c>
      <c r="AJ97" s="1252">
        <v>0.93130000000000002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543">
        <v>130.11000000000001</v>
      </c>
      <c r="J98" s="1543">
        <v>0</v>
      </c>
      <c r="K98" s="1543"/>
      <c r="L98" s="1319">
        <v>32</v>
      </c>
      <c r="M98" s="1543"/>
      <c r="N98" s="1278">
        <v>0</v>
      </c>
      <c r="O98" s="1543"/>
      <c r="P98" s="1278">
        <f t="shared" si="34"/>
        <v>8.8679181797187283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5"/>
        <v>0</v>
      </c>
      <c r="V98" s="1278">
        <v>0</v>
      </c>
      <c r="W98" s="1279">
        <v>0.2</v>
      </c>
      <c r="X98" s="1410">
        <v>0</v>
      </c>
      <c r="Y98" s="1277">
        <f t="shared" si="39"/>
        <v>0</v>
      </c>
      <c r="Z98" s="244">
        <f t="shared" si="40"/>
        <v>0</v>
      </c>
      <c r="AA98" s="244">
        <f t="shared" si="41"/>
        <v>0</v>
      </c>
      <c r="AB98" s="244">
        <f t="shared" si="42"/>
        <v>0</v>
      </c>
      <c r="AC98" s="244">
        <f t="shared" si="43"/>
        <v>0</v>
      </c>
      <c r="AD98" s="244">
        <f t="shared" si="44"/>
        <v>0</v>
      </c>
      <c r="AE98" s="241">
        <v>0</v>
      </c>
      <c r="AF98" s="244">
        <f t="shared" si="37"/>
        <v>0</v>
      </c>
      <c r="AG98" s="1285"/>
      <c r="AI98" s="1282">
        <f t="shared" si="38"/>
        <v>8.8679181797187283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543">
        <v>134.24</v>
      </c>
      <c r="J99" s="1543">
        <v>0</v>
      </c>
      <c r="K99" s="1543"/>
      <c r="L99" s="1319">
        <v>25</v>
      </c>
      <c r="M99" s="1543"/>
      <c r="N99" s="1278">
        <v>0.2</v>
      </c>
      <c r="O99" s="1543"/>
      <c r="P99" s="1278">
        <f t="shared" si="34"/>
        <v>10.069768338712064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5"/>
        <v>0</v>
      </c>
      <c r="V99" s="1278">
        <v>0</v>
      </c>
      <c r="W99" s="1279">
        <v>0.2</v>
      </c>
      <c r="X99" s="1410">
        <v>0</v>
      </c>
      <c r="Y99" s="1277">
        <f t="shared" si="39"/>
        <v>0</v>
      </c>
      <c r="Z99" s="244">
        <f t="shared" si="40"/>
        <v>0</v>
      </c>
      <c r="AA99" s="244">
        <f t="shared" si="41"/>
        <v>0</v>
      </c>
      <c r="AB99" s="244">
        <f t="shared" si="42"/>
        <v>0</v>
      </c>
      <c r="AC99" s="244">
        <f t="shared" si="43"/>
        <v>0</v>
      </c>
      <c r="AD99" s="244">
        <f t="shared" si="44"/>
        <v>0</v>
      </c>
      <c r="AE99" s="241">
        <v>0</v>
      </c>
      <c r="AF99" s="244">
        <f t="shared" si="37"/>
        <v>0</v>
      </c>
      <c r="AG99" s="1281"/>
      <c r="AI99" s="1282">
        <f t="shared" si="38"/>
        <v>10.069768338712064</v>
      </c>
      <c r="AJ99" s="1252">
        <v>0.93179999999999996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43">
        <v>0</v>
      </c>
      <c r="K100" s="1543"/>
      <c r="L100" s="1319">
        <v>30</v>
      </c>
      <c r="M100" s="1543"/>
      <c r="N100" s="1278">
        <v>0.7</v>
      </c>
      <c r="O100" s="1543"/>
      <c r="P100" s="1278">
        <f t="shared" si="34"/>
        <v>11.533633248260548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5"/>
        <v>0</v>
      </c>
      <c r="V100" s="1278">
        <v>0</v>
      </c>
      <c r="W100" s="1279">
        <v>0.2</v>
      </c>
      <c r="X100" s="1410">
        <v>0</v>
      </c>
      <c r="Y100" s="1277">
        <f t="shared" si="39"/>
        <v>0</v>
      </c>
      <c r="Z100" s="244">
        <f t="shared" si="40"/>
        <v>0</v>
      </c>
      <c r="AA100" s="244">
        <f t="shared" si="41"/>
        <v>0</v>
      </c>
      <c r="AB100" s="244">
        <f t="shared" si="42"/>
        <v>0</v>
      </c>
      <c r="AC100" s="244">
        <f t="shared" si="43"/>
        <v>0</v>
      </c>
      <c r="AD100" s="244">
        <f t="shared" si="44"/>
        <v>0</v>
      </c>
      <c r="AE100" s="241">
        <v>0</v>
      </c>
      <c r="AF100" s="244">
        <f t="shared" si="37"/>
        <v>0</v>
      </c>
      <c r="AG100" s="1363"/>
      <c r="AI100" s="1282">
        <f t="shared" si="38"/>
        <v>11.533633248260548</v>
      </c>
      <c r="AJ100" s="1252">
        <v>0.93220000000000003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4"/>
        <v>16.292374481717246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5"/>
        <v>0</v>
      </c>
      <c r="V101" s="1278">
        <v>0</v>
      </c>
      <c r="W101" s="1355">
        <v>0.2</v>
      </c>
      <c r="X101" s="1410">
        <v>0</v>
      </c>
      <c r="Y101" s="1277">
        <f t="shared" si="39"/>
        <v>0</v>
      </c>
      <c r="Z101" s="244">
        <f t="shared" si="40"/>
        <v>0</v>
      </c>
      <c r="AA101" s="244">
        <f t="shared" si="41"/>
        <v>0</v>
      </c>
      <c r="AB101" s="244">
        <f t="shared" si="42"/>
        <v>0</v>
      </c>
      <c r="AC101" s="244">
        <f t="shared" si="43"/>
        <v>0</v>
      </c>
      <c r="AD101" s="244">
        <f t="shared" si="44"/>
        <v>0</v>
      </c>
      <c r="AE101" s="241">
        <v>0</v>
      </c>
      <c r="AF101" s="244">
        <f t="shared" si="37"/>
        <v>0</v>
      </c>
      <c r="AG101" s="1363"/>
      <c r="AI101" s="1282">
        <f t="shared" si="38"/>
        <v>16.292374481717246</v>
      </c>
      <c r="AJ101" s="1252">
        <v>0.92779999999999996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ref="Y102:Y105" si="45">IF(S102=0,0,S102/Q102)*100</f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5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543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6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5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543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6"/>
        <v>0</v>
      </c>
      <c r="V105" s="1278">
        <v>0.3</v>
      </c>
      <c r="W105" s="1279">
        <v>0.3</v>
      </c>
      <c r="X105" s="1449">
        <v>0</v>
      </c>
      <c r="Y105" s="1277">
        <f t="shared" si="45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543"/>
      <c r="G106" s="1540"/>
      <c r="H106" s="1542"/>
      <c r="I106" s="1542"/>
      <c r="J106" s="1543"/>
      <c r="K106" s="1543"/>
      <c r="L106" s="1543"/>
      <c r="M106" s="1543"/>
      <c r="N106" s="1543"/>
      <c r="O106" s="1543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555"/>
      <c r="W106" s="1541"/>
      <c r="X106" s="1410"/>
      <c r="Y106" s="1540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540"/>
      <c r="AE106" s="1543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540"/>
      <c r="H108" s="1542"/>
      <c r="I108" s="1542"/>
      <c r="J108" s="1543"/>
      <c r="K108" s="1543"/>
      <c r="L108" s="1543"/>
      <c r="M108" s="1543"/>
      <c r="N108" s="1543"/>
      <c r="O108" s="1543"/>
      <c r="P108" s="1269"/>
      <c r="Q108" s="1269"/>
      <c r="R108" s="1543"/>
      <c r="S108" s="1543"/>
      <c r="T108" s="1543"/>
      <c r="U108" s="1540"/>
      <c r="V108" s="1555"/>
      <c r="W108" s="1541"/>
      <c r="X108" s="1410"/>
      <c r="Y108" s="1540"/>
      <c r="Z108" s="1543"/>
      <c r="AA108" s="1543"/>
      <c r="AB108" s="1543"/>
      <c r="AC108" s="1540"/>
      <c r="AD108" s="1540"/>
      <c r="AE108" s="1543"/>
      <c r="AF108" s="1543"/>
      <c r="AG108" s="1545"/>
    </row>
    <row r="109" spans="1:38" ht="18.75" customHeight="1" x14ac:dyDescent="0.2">
      <c r="A109" s="1273">
        <v>83</v>
      </c>
      <c r="B109" s="1317" t="s">
        <v>107</v>
      </c>
      <c r="C109" s="1543" t="s">
        <v>109</v>
      </c>
      <c r="D109" s="1543"/>
      <c r="E109" s="1543"/>
      <c r="F109" s="1543"/>
      <c r="G109" s="1540"/>
      <c r="H109" s="1542"/>
      <c r="I109" s="1542"/>
      <c r="J109" s="1543"/>
      <c r="K109" s="1543"/>
      <c r="L109" s="1543"/>
      <c r="M109" s="1543"/>
      <c r="N109" s="1543"/>
      <c r="O109" s="1543"/>
      <c r="P109" s="1269"/>
      <c r="Q109" s="1269"/>
      <c r="R109" s="1543"/>
      <c r="S109" s="1543"/>
      <c r="T109" s="1543"/>
      <c r="U109" s="1540"/>
      <c r="V109" s="1555"/>
      <c r="W109" s="1541"/>
      <c r="X109" s="1410"/>
      <c r="Y109" s="1540"/>
      <c r="Z109" s="1542"/>
      <c r="AA109" s="1542"/>
      <c r="AB109" s="1543"/>
      <c r="AC109" s="1540"/>
      <c r="AD109" s="1540"/>
      <c r="AE109" s="1373"/>
      <c r="AF109" s="1543"/>
      <c r="AG109" s="1545"/>
    </row>
    <row r="110" spans="1:38" ht="18.75" customHeight="1" x14ac:dyDescent="0.2">
      <c r="A110" s="1273">
        <v>84</v>
      </c>
      <c r="B110" s="1317" t="s">
        <v>108</v>
      </c>
      <c r="C110" s="1543" t="s">
        <v>109</v>
      </c>
      <c r="D110" s="1543"/>
      <c r="E110" s="1543"/>
      <c r="F110" s="1543"/>
      <c r="G110" s="1540"/>
      <c r="H110" s="1542"/>
      <c r="I110" s="1542"/>
      <c r="J110" s="1543"/>
      <c r="K110" s="1543"/>
      <c r="L110" s="1543"/>
      <c r="M110" s="1543"/>
      <c r="N110" s="1543"/>
      <c r="O110" s="1543"/>
      <c r="P110" s="1269"/>
      <c r="Q110" s="1269"/>
      <c r="R110" s="1301"/>
      <c r="S110" s="1543"/>
      <c r="T110" s="1543"/>
      <c r="U110" s="1540"/>
      <c r="V110" s="1555"/>
      <c r="W110" s="1541"/>
      <c r="X110" s="1410"/>
      <c r="Y110" s="1540"/>
      <c r="Z110" s="1542"/>
      <c r="AA110" s="1542"/>
      <c r="AB110" s="1543"/>
      <c r="AC110" s="1540"/>
      <c r="AD110" s="1540"/>
      <c r="AE110" s="1373"/>
      <c r="AF110" s="1543"/>
      <c r="AG110" s="1545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543"/>
      <c r="E111" s="1543"/>
      <c r="F111" s="1543"/>
      <c r="G111" s="1540"/>
      <c r="H111" s="1542"/>
      <c r="I111" s="1542"/>
      <c r="J111" s="1543"/>
      <c r="K111" s="1543"/>
      <c r="L111" s="1543"/>
      <c r="M111" s="1543"/>
      <c r="N111" s="1543"/>
      <c r="O111" s="1543"/>
      <c r="P111" s="1269"/>
      <c r="Q111" s="1269"/>
      <c r="R111" s="1543"/>
      <c r="S111" s="1543"/>
      <c r="T111" s="1543"/>
      <c r="U111" s="1540"/>
      <c r="V111" s="1555"/>
      <c r="W111" s="1541"/>
      <c r="X111" s="1410"/>
      <c r="Y111" s="1540"/>
      <c r="Z111" s="1542"/>
      <c r="AA111" s="1542"/>
      <c r="AB111" s="1543"/>
      <c r="AC111" s="1540"/>
      <c r="AD111" s="1540"/>
      <c r="AE111" s="1373"/>
      <c r="AF111" s="1543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543"/>
      <c r="E112" s="1543"/>
      <c r="F112" s="1543"/>
      <c r="G112" s="1540"/>
      <c r="H112" s="1542"/>
      <c r="I112" s="1542"/>
      <c r="J112" s="1543"/>
      <c r="K112" s="1543"/>
      <c r="L112" s="1543"/>
      <c r="M112" s="1543"/>
      <c r="N112" s="1543"/>
      <c r="O112" s="1543"/>
      <c r="P112" s="1269"/>
      <c r="Q112" s="1269"/>
      <c r="R112" s="1543"/>
      <c r="S112" s="1543"/>
      <c r="T112" s="1543"/>
      <c r="U112" s="1540"/>
      <c r="V112" s="1555"/>
      <c r="W112" s="1541"/>
      <c r="X112" s="1410"/>
      <c r="Y112" s="1540"/>
      <c r="Z112" s="1542"/>
      <c r="AA112" s="1542"/>
      <c r="AB112" s="1543"/>
      <c r="AC112" s="1540"/>
      <c r="AD112" s="1540"/>
      <c r="AE112" s="1373"/>
      <c r="AF112" s="1543"/>
      <c r="AG112" s="1285"/>
    </row>
    <row r="113" spans="1:33" ht="18.75" customHeight="1" x14ac:dyDescent="0.2">
      <c r="A113" s="1273"/>
      <c r="B113" s="1262"/>
      <c r="C113" s="1371"/>
      <c r="D113" s="1371"/>
      <c r="E113" s="1542" t="s">
        <v>278</v>
      </c>
      <c r="F113" s="1371"/>
      <c r="G113" s="1540"/>
      <c r="H113" s="1542"/>
      <c r="I113" s="1542"/>
      <c r="J113" s="1543"/>
      <c r="K113" s="1543"/>
      <c r="L113" s="1543"/>
      <c r="M113" s="1543"/>
      <c r="N113" s="1543"/>
      <c r="O113" s="1543"/>
      <c r="P113" s="1269"/>
      <c r="Q113" s="1269"/>
      <c r="R113" s="1543"/>
      <c r="S113" s="1543"/>
      <c r="T113" s="1543"/>
      <c r="U113" s="1540"/>
      <c r="V113" s="1555"/>
      <c r="W113" s="1541"/>
      <c r="X113" s="1410"/>
      <c r="Y113" s="1540"/>
      <c r="Z113" s="1301"/>
      <c r="AA113" s="1543"/>
      <c r="AB113" s="1543"/>
      <c r="AC113" s="1540"/>
      <c r="AD113" s="1540"/>
      <c r="AE113" s="1543"/>
      <c r="AF113" s="1543"/>
      <c r="AG113" s="1545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543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543">
        <v>625.1</v>
      </c>
      <c r="E115" s="1543" t="s">
        <v>578</v>
      </c>
      <c r="F115" s="241">
        <v>177.8</v>
      </c>
      <c r="G115" s="241"/>
      <c r="H115" s="241"/>
      <c r="I115" s="244"/>
      <c r="J115" s="1543"/>
      <c r="K115" s="1543"/>
      <c r="L115" s="1543"/>
      <c r="M115" s="1543"/>
      <c r="N115" s="1543"/>
      <c r="O115" s="1543"/>
      <c r="P115" s="1269"/>
      <c r="Q115" s="1269"/>
      <c r="R115" s="1543"/>
      <c r="S115" s="1543"/>
      <c r="T115" s="1543"/>
      <c r="U115" s="1540"/>
      <c r="V115" s="1555"/>
      <c r="W115" s="1541"/>
      <c r="X115" s="1410"/>
      <c r="Y115" s="1376"/>
      <c r="Z115" s="1319"/>
      <c r="AA115" s="1543"/>
      <c r="AB115" s="1543"/>
      <c r="AC115" s="1540"/>
      <c r="AD115" s="1543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543"/>
      <c r="J116" s="1543"/>
      <c r="K116" s="1543"/>
      <c r="L116" s="1543"/>
      <c r="M116" s="1543"/>
      <c r="N116" s="1543"/>
      <c r="O116" s="1543"/>
      <c r="P116" s="1269"/>
      <c r="Q116" s="1270"/>
      <c r="R116" s="1543"/>
      <c r="S116" s="1543"/>
      <c r="T116" s="1543"/>
      <c r="U116" s="1540"/>
      <c r="V116" s="1555"/>
      <c r="W116" s="1541"/>
      <c r="X116" s="1410"/>
      <c r="Y116" s="1376"/>
      <c r="Z116" s="1319"/>
      <c r="AA116" s="1543"/>
      <c r="AB116" s="1543"/>
      <c r="AC116" s="1540"/>
      <c r="AD116" s="1543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543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543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536"/>
      <c r="C119" s="1536"/>
      <c r="D119" s="1536"/>
      <c r="E119" s="1537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311.9249999999999</v>
      </c>
      <c r="S119" s="1386">
        <f>S87+S94+S106</f>
        <v>1031.3499999999999</v>
      </c>
      <c r="T119" s="1387">
        <f>T87+T94+T106</f>
        <v>4887.1170000000002</v>
      </c>
      <c r="U119" s="1386">
        <f>T119/R119</f>
        <v>15.667602789132008</v>
      </c>
      <c r="V119" s="1386"/>
      <c r="W119" s="1388"/>
      <c r="X119" s="1456"/>
      <c r="Y119" s="1386"/>
      <c r="Z119" s="1386">
        <f>Z87+Z94+Z106</f>
        <v>297.94349199999988</v>
      </c>
      <c r="AA119" s="1386">
        <f>AA87+AA106+AA94</f>
        <v>993.11092400000018</v>
      </c>
      <c r="AB119" s="1387">
        <f>AB87+AB106+AB94</f>
        <v>4804.8583960000014</v>
      </c>
      <c r="AC119" s="1386">
        <f>AC87+AC106+AC94</f>
        <v>16.126743912902796</v>
      </c>
      <c r="AD119" s="1386"/>
      <c r="AE119" s="1386"/>
      <c r="AF119" s="1390">
        <f>AF87+AF94+AF106</f>
        <v>8876.780023999996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544"/>
      <c r="D121" s="148"/>
      <c r="E121" s="1394">
        <v>0.95</v>
      </c>
      <c r="F121" s="148"/>
      <c r="G121" s="148" t="s">
        <v>102</v>
      </c>
      <c r="H121" s="1544"/>
      <c r="I121" s="1395"/>
      <c r="J121" s="148"/>
      <c r="K121" s="1983">
        <f>AF119*E121</f>
        <v>8432.9410227999961</v>
      </c>
      <c r="L121" s="1984"/>
      <c r="M121" s="1984"/>
      <c r="N121" s="1544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544"/>
      <c r="D122" s="148"/>
      <c r="E122" s="154"/>
      <c r="F122" s="148"/>
      <c r="G122" s="148" t="s">
        <v>733</v>
      </c>
      <c r="H122" s="1544"/>
      <c r="I122" s="1395"/>
      <c r="J122" s="148"/>
      <c r="K122" s="1544"/>
      <c r="L122" s="1397"/>
      <c r="M122" s="148">
        <f>K121*0.89</f>
        <v>7505.3175102919968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539"/>
      <c r="Z122" s="1539"/>
      <c r="AA122" s="150"/>
      <c r="AB122" s="1539"/>
      <c r="AC122" s="1539"/>
      <c r="AD122" s="1539"/>
      <c r="AE122" s="1539"/>
      <c r="AF122" s="1539"/>
      <c r="AG122" s="1400"/>
    </row>
    <row r="123" spans="1:33" ht="15" x14ac:dyDescent="0.2">
      <c r="B123" s="148"/>
      <c r="C123" s="1544"/>
      <c r="D123" s="148"/>
      <c r="E123" s="154"/>
      <c r="F123" s="148"/>
      <c r="G123" s="148"/>
      <c r="H123" s="1544"/>
      <c r="I123" s="1395"/>
      <c r="J123" s="148"/>
      <c r="K123" s="1544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539"/>
      <c r="Z123" s="1539"/>
      <c r="AA123" s="1539"/>
      <c r="AB123" s="1539"/>
      <c r="AC123" s="1539"/>
      <c r="AD123" s="1539"/>
      <c r="AE123" s="1539"/>
      <c r="AF123" s="1539"/>
      <c r="AG123" s="1400"/>
    </row>
    <row r="124" spans="1:33" ht="15" x14ac:dyDescent="0.2">
      <c r="B124" s="148"/>
      <c r="C124" s="1544"/>
      <c r="D124" s="148"/>
      <c r="E124" s="154"/>
      <c r="F124" s="148"/>
      <c r="G124" s="148"/>
      <c r="H124" s="1544"/>
      <c r="I124" s="1395"/>
      <c r="J124" s="148"/>
      <c r="K124" s="1544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539"/>
      <c r="Z124" s="1539"/>
      <c r="AA124" s="1539"/>
      <c r="AB124" s="1539"/>
      <c r="AC124" s="1539"/>
      <c r="AD124" s="1539"/>
      <c r="AE124" s="1539"/>
      <c r="AF124" s="1539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544"/>
      <c r="L125" s="1544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539" t="s">
        <v>561</v>
      </c>
      <c r="AD125" s="1539"/>
      <c r="AE125" s="1539"/>
      <c r="AF125" s="1539"/>
      <c r="AG125" s="1539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FB51-20DA-4FB5-A3B6-6CED81C02C72}">
  <dimension ref="A1:AQ129"/>
  <sheetViews>
    <sheetView topLeftCell="A13" zoomScaleNormal="100" workbookViewId="0">
      <pane xSplit="9" ySplit="5" topLeftCell="O78" activePane="bottomRight" state="frozen"/>
      <selection activeCell="A13" sqref="A13"/>
      <selection pane="topRight" activeCell="J13" sqref="J13"/>
      <selection pane="bottomLeft" activeCell="A18" sqref="A18"/>
      <selection pane="bottomRight" activeCell="R83" sqref="R83:T8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571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571"/>
      <c r="F2" s="1571"/>
      <c r="G2" s="1559"/>
      <c r="H2" s="1570"/>
      <c r="I2" s="1570"/>
      <c r="J2" s="1570"/>
      <c r="K2" s="1570"/>
      <c r="L2" s="1570"/>
      <c r="M2" s="1570"/>
      <c r="N2" s="1570"/>
      <c r="O2" s="1570"/>
      <c r="P2" s="1570"/>
      <c r="Q2" s="1256"/>
      <c r="R2" s="1576"/>
      <c r="S2" s="1571"/>
      <c r="T2" s="1571"/>
      <c r="U2" s="1571"/>
      <c r="V2" s="1576"/>
      <c r="W2" s="1576"/>
      <c r="X2" s="1570"/>
      <c r="Y2" s="1571"/>
      <c r="Z2" s="1601"/>
      <c r="AA2" s="1571"/>
      <c r="AC2" s="1571"/>
      <c r="AD2" s="1576"/>
      <c r="AE2" s="1571"/>
      <c r="AF2" s="1998" t="s">
        <v>750</v>
      </c>
      <c r="AG2" s="1998"/>
    </row>
    <row r="3" spans="1:38" ht="15.75" x14ac:dyDescent="0.25">
      <c r="A3" s="1408" t="s">
        <v>751</v>
      </c>
      <c r="B3" s="1560"/>
      <c r="C3" s="1560"/>
      <c r="D3" s="1560"/>
      <c r="E3" s="1571"/>
      <c r="F3" s="1571"/>
      <c r="G3" s="1559"/>
      <c r="H3" s="1570"/>
      <c r="I3" s="1570"/>
      <c r="J3" s="1570"/>
      <c r="K3" s="1570"/>
      <c r="L3" s="1570"/>
      <c r="M3" s="1570"/>
      <c r="N3" s="1570"/>
      <c r="O3" s="1570"/>
      <c r="P3" s="1570"/>
      <c r="Q3" s="1256"/>
      <c r="R3" s="1576"/>
      <c r="S3" s="1571"/>
      <c r="T3" s="1571"/>
      <c r="U3" s="1571"/>
      <c r="V3" s="1576"/>
      <c r="W3" s="1576"/>
      <c r="X3" s="1570"/>
      <c r="Y3" s="1571"/>
      <c r="Z3" s="1601"/>
      <c r="AA3" s="1571"/>
      <c r="AB3" s="1571"/>
      <c r="AC3" s="1260"/>
      <c r="AE3" s="1222"/>
      <c r="AF3" s="1570" t="s">
        <v>739</v>
      </c>
      <c r="AG3" s="1494"/>
    </row>
    <row r="4" spans="1:38" ht="15" x14ac:dyDescent="0.25">
      <c r="A4" s="1976"/>
      <c r="B4" s="1976"/>
      <c r="C4" s="1976"/>
      <c r="D4" s="1976"/>
      <c r="E4" s="1561"/>
      <c r="F4" s="1571"/>
      <c r="G4" s="1559"/>
      <c r="H4" s="1559"/>
      <c r="I4" s="1570"/>
      <c r="J4" s="1570"/>
      <c r="K4" s="1570"/>
      <c r="L4" s="1570"/>
      <c r="M4" s="1570"/>
      <c r="N4" s="1570"/>
      <c r="O4" s="1570"/>
      <c r="P4" s="1570"/>
      <c r="Q4" s="1256"/>
      <c r="R4" s="1575"/>
      <c r="S4" s="1558"/>
      <c r="T4" s="1558"/>
      <c r="U4" s="1558"/>
      <c r="V4" s="1575"/>
      <c r="W4" s="1575"/>
      <c r="X4" s="1570"/>
      <c r="Y4" s="1571"/>
      <c r="Z4" s="1601"/>
      <c r="AB4" s="1571"/>
      <c r="AD4" s="1576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571"/>
      <c r="F5" s="1571"/>
      <c r="G5" s="1559"/>
      <c r="H5" s="1559"/>
      <c r="I5" s="1571"/>
      <c r="J5" s="1571"/>
      <c r="K5" s="1559"/>
      <c r="L5" s="1559"/>
      <c r="M5" s="1571"/>
      <c r="N5" s="1571"/>
      <c r="O5" s="1571"/>
      <c r="P5" s="149"/>
      <c r="Q5" s="1257"/>
      <c r="R5" s="1576"/>
      <c r="S5" s="1571"/>
      <c r="T5" s="1571"/>
      <c r="U5" s="1571"/>
      <c r="V5" s="1576"/>
      <c r="W5" s="1576"/>
      <c r="X5" s="1571"/>
      <c r="Y5" s="1571"/>
      <c r="Z5" s="1601"/>
      <c r="AA5" s="1571"/>
      <c r="AB5" s="1571"/>
      <c r="AC5" s="1571"/>
      <c r="AD5" s="1576"/>
      <c r="AG5" s="151"/>
    </row>
    <row r="6" spans="1:38" ht="27" customHeight="1" x14ac:dyDescent="0.2">
      <c r="A6" s="1942"/>
      <c r="B6" s="1942"/>
      <c r="C6" s="1942"/>
      <c r="D6" s="1942"/>
      <c r="E6" s="1571"/>
      <c r="F6" s="1571"/>
      <c r="G6" s="1559"/>
      <c r="H6" s="1559"/>
      <c r="I6" s="1571"/>
      <c r="J6" s="1571"/>
      <c r="K6" s="1559"/>
      <c r="L6" s="1559"/>
      <c r="M6" s="1571"/>
      <c r="N6" s="1571"/>
      <c r="O6" s="1571"/>
      <c r="P6" s="149"/>
      <c r="Q6" s="1257"/>
      <c r="R6" s="1576"/>
      <c r="S6" s="1571"/>
      <c r="T6" s="1571"/>
      <c r="U6" s="1571"/>
      <c r="V6" s="1576"/>
      <c r="W6" s="1576"/>
      <c r="X6" s="1571"/>
      <c r="Y6" s="1571"/>
      <c r="Z6" s="1601"/>
      <c r="AA6" s="1571"/>
      <c r="AB6" s="1571"/>
      <c r="AC6" s="1571"/>
      <c r="AD6" s="1576"/>
      <c r="AE6" s="1571"/>
      <c r="AF6" s="1571"/>
    </row>
    <row r="7" spans="1:38" ht="27" customHeight="1" x14ac:dyDescent="0.2">
      <c r="A7" s="1942" t="s">
        <v>54</v>
      </c>
      <c r="B7" s="1942"/>
      <c r="C7" s="1942"/>
      <c r="D7" s="1942"/>
      <c r="E7" s="1571"/>
      <c r="F7" s="1571"/>
      <c r="G7" s="1559"/>
      <c r="H7" s="1559"/>
      <c r="I7" s="1571"/>
      <c r="J7" s="1571"/>
      <c r="K7" s="1559"/>
      <c r="L7" s="1559"/>
      <c r="M7" s="1571"/>
      <c r="N7" s="1571"/>
      <c r="O7" s="1571"/>
      <c r="P7" s="149"/>
      <c r="Q7" s="1257"/>
      <c r="R7" s="1576"/>
      <c r="S7" s="1571"/>
      <c r="T7" s="1571"/>
      <c r="U7" s="1571"/>
      <c r="V7" s="1576"/>
      <c r="W7" s="1576"/>
      <c r="X7" s="1571"/>
      <c r="Y7" s="1571"/>
      <c r="Z7" s="1601"/>
      <c r="AA7" s="1571"/>
      <c r="AB7" s="1571"/>
      <c r="AC7" s="1571"/>
      <c r="AD7" s="1576"/>
      <c r="AE7" s="1571"/>
      <c r="AF7" s="1571"/>
    </row>
    <row r="8" spans="1:38" ht="27" customHeight="1" x14ac:dyDescent="0.2">
      <c r="A8" s="1977" t="s">
        <v>736</v>
      </c>
      <c r="B8" s="1977"/>
      <c r="C8" s="1977"/>
      <c r="D8" s="1977"/>
      <c r="E8" s="1571"/>
      <c r="F8" s="1571"/>
      <c r="G8" s="1559"/>
      <c r="H8" s="1559"/>
      <c r="I8" s="1571"/>
      <c r="J8" s="1571"/>
      <c r="K8" s="1559"/>
      <c r="L8" s="1559"/>
      <c r="M8" s="1571"/>
      <c r="N8" s="1571"/>
      <c r="O8" s="1571"/>
      <c r="P8" s="149"/>
      <c r="Q8" s="1257"/>
      <c r="R8" s="1576"/>
      <c r="S8" s="1571"/>
      <c r="T8" s="1571"/>
      <c r="U8" s="1571"/>
      <c r="V8" s="1576"/>
      <c r="W8" s="1576"/>
      <c r="X8" s="1571"/>
      <c r="Y8" s="1571"/>
      <c r="Z8" s="1601"/>
      <c r="AA8" s="1571"/>
      <c r="AB8" s="1571"/>
      <c r="AC8" s="1571"/>
      <c r="AD8" s="1576"/>
      <c r="AE8" s="1571"/>
      <c r="AF8" s="1571"/>
    </row>
    <row r="9" spans="1:38" ht="27" customHeight="1" x14ac:dyDescent="0.2">
      <c r="A9" s="1408" t="s">
        <v>737</v>
      </c>
      <c r="B9" s="1560"/>
      <c r="C9" s="1560"/>
      <c r="D9" s="1560"/>
      <c r="E9" s="1571"/>
      <c r="F9" s="1571"/>
      <c r="G9" s="1559"/>
      <c r="H9" s="1559"/>
      <c r="I9" s="1571"/>
      <c r="J9" s="1571"/>
      <c r="K9" s="1559"/>
      <c r="L9" s="1559"/>
      <c r="M9" s="1571"/>
      <c r="N9" s="1571"/>
      <c r="O9" s="1571"/>
      <c r="P9" s="149"/>
      <c r="Q9" s="1257"/>
      <c r="R9" s="1576"/>
      <c r="S9" s="1571"/>
      <c r="T9" s="1571"/>
      <c r="U9" s="1571"/>
      <c r="V9" s="1576"/>
      <c r="W9" s="1576"/>
      <c r="X9" s="1571"/>
      <c r="Y9" s="1571"/>
      <c r="Z9" s="1601"/>
      <c r="AA9" s="1571"/>
      <c r="AB9" s="1571"/>
      <c r="AC9" s="1571"/>
      <c r="AD9" s="1576"/>
      <c r="AE9" s="1571"/>
      <c r="AF9" s="1571"/>
    </row>
    <row r="10" spans="1:38" ht="27" customHeight="1" x14ac:dyDescent="0.2">
      <c r="A10" s="1976"/>
      <c r="B10" s="1976"/>
      <c r="C10" s="1976"/>
      <c r="D10" s="1976"/>
      <c r="E10" s="1561"/>
      <c r="F10" s="1571"/>
      <c r="G10" s="1559"/>
      <c r="H10" s="1559"/>
      <c r="I10" s="1571"/>
      <c r="J10" s="1571"/>
      <c r="K10" s="1559"/>
      <c r="L10" s="1559"/>
      <c r="M10" s="1571"/>
      <c r="N10" s="1571"/>
      <c r="O10" s="1571"/>
      <c r="P10" s="149"/>
      <c r="Q10" s="1257"/>
      <c r="R10" s="1576"/>
      <c r="S10" s="1571"/>
      <c r="T10" s="1571"/>
      <c r="U10" s="1571"/>
      <c r="V10" s="1576"/>
      <c r="W10" s="1576"/>
      <c r="X10" s="1571"/>
      <c r="Y10" s="1571"/>
      <c r="Z10" s="1601"/>
      <c r="AA10" s="1571"/>
      <c r="AB10" s="1571"/>
      <c r="AC10" s="1571"/>
      <c r="AD10" s="1576"/>
      <c r="AE10" s="1571"/>
      <c r="AF10" s="1571"/>
    </row>
    <row r="11" spans="1:38" ht="27" customHeight="1" x14ac:dyDescent="0.2">
      <c r="A11" s="1976" t="s">
        <v>740</v>
      </c>
      <c r="B11" s="1976"/>
      <c r="C11" s="1976"/>
      <c r="D11" s="1976"/>
      <c r="E11" s="1571"/>
      <c r="F11" s="1571"/>
      <c r="G11" s="1559"/>
      <c r="H11" s="1559"/>
      <c r="I11" s="1571"/>
      <c r="J11" s="1571"/>
      <c r="K11" s="1559"/>
      <c r="L11" s="1559"/>
      <c r="M11" s="1571"/>
      <c r="N11" s="1571"/>
      <c r="O11" s="1571"/>
      <c r="P11" s="149"/>
      <c r="Q11" s="1257"/>
      <c r="R11" s="1576"/>
      <c r="S11" s="1571"/>
      <c r="T11" s="1571"/>
      <c r="U11" s="1571"/>
      <c r="V11" s="1576"/>
      <c r="W11" s="1576"/>
      <c r="X11" s="1571"/>
      <c r="Y11" s="1571"/>
      <c r="Z11" s="1601"/>
      <c r="AA11" s="1571"/>
      <c r="AB11" s="1571"/>
      <c r="AC11" s="1571"/>
      <c r="AD11" s="1576"/>
      <c r="AE11" s="1571"/>
      <c r="AF11" s="1571"/>
    </row>
    <row r="12" spans="1:38" ht="27" customHeight="1" x14ac:dyDescent="0.2">
      <c r="A12" s="1562"/>
      <c r="B12" s="1562"/>
      <c r="C12" s="1562"/>
      <c r="D12" s="1562"/>
      <c r="E12" s="1571"/>
      <c r="F12" s="1571"/>
      <c r="G12" s="1559"/>
      <c r="H12" s="1559"/>
      <c r="I12" s="1571"/>
      <c r="J12" s="1571"/>
      <c r="K12" s="1559"/>
      <c r="L12" s="1559"/>
      <c r="M12" s="1571"/>
      <c r="N12" s="1571"/>
      <c r="O12" s="1571"/>
      <c r="P12" s="149"/>
      <c r="Q12" s="1257"/>
      <c r="R12" s="1576"/>
      <c r="S12" s="1571"/>
      <c r="T12" s="1571"/>
      <c r="U12" s="1571"/>
      <c r="V12" s="1576"/>
      <c r="W12" s="1576"/>
      <c r="X12" s="1571"/>
      <c r="Y12" s="1571"/>
      <c r="Z12" s="1601"/>
      <c r="AA12" s="1571"/>
      <c r="AB12" s="1571"/>
      <c r="AC12" s="1571"/>
      <c r="AD12" s="1576"/>
      <c r="AE12" s="1571"/>
      <c r="AF12" s="1571"/>
    </row>
    <row r="13" spans="1:38" ht="32.25" customHeight="1" x14ac:dyDescent="0.25">
      <c r="A13" s="1976"/>
      <c r="B13" s="1976"/>
      <c r="C13" s="1976"/>
      <c r="D13" s="1976"/>
      <c r="E13" s="1561"/>
      <c r="F13" s="1571"/>
      <c r="G13" s="1559"/>
      <c r="H13" s="1559"/>
      <c r="I13" s="140"/>
      <c r="J13" s="1571"/>
      <c r="K13" s="1559"/>
      <c r="L13" s="1559"/>
      <c r="M13" s="1571"/>
      <c r="N13" s="1571"/>
      <c r="O13" s="1571"/>
      <c r="P13" s="149"/>
      <c r="Q13" s="1257"/>
      <c r="R13" s="1576"/>
      <c r="S13" s="1571"/>
      <c r="T13" s="1571"/>
      <c r="U13" s="1571"/>
      <c r="V13" s="1576"/>
      <c r="W13" s="147"/>
      <c r="X13" s="1571"/>
      <c r="Y13" s="1571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559"/>
      <c r="C14" s="1559"/>
      <c r="D14" s="1559"/>
      <c r="E14" s="1571"/>
      <c r="F14" s="1571"/>
      <c r="G14" s="1559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571"/>
      <c r="Z14" s="148"/>
      <c r="AA14" s="148"/>
      <c r="AB14" s="148"/>
      <c r="AC14" s="148"/>
    </row>
    <row r="15" spans="1:38" ht="31.5" customHeight="1" thickBot="1" x14ac:dyDescent="0.25">
      <c r="B15" s="1559"/>
      <c r="C15" s="1559"/>
      <c r="D15" s="1559"/>
      <c r="E15" s="1571"/>
      <c r="F15" s="1571"/>
      <c r="G15" s="1559"/>
      <c r="H15" s="1559"/>
      <c r="I15" s="140"/>
      <c r="J15" s="1964" t="s">
        <v>765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571"/>
      <c r="Y15" s="1571"/>
      <c r="Z15" s="148"/>
      <c r="AA15" s="148"/>
      <c r="AB15" s="148"/>
      <c r="AC15" s="148"/>
      <c r="AD15" s="1576"/>
      <c r="AE15" s="1571"/>
      <c r="AF15" s="1571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564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564" t="s">
        <v>18</v>
      </c>
      <c r="AF17" s="1564" t="s">
        <v>20</v>
      </c>
      <c r="AG17" s="1967" t="s">
        <v>21</v>
      </c>
      <c r="AH17" s="1267">
        <v>45047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566" t="s">
        <v>3</v>
      </c>
      <c r="J18" s="1566" t="s">
        <v>7</v>
      </c>
      <c r="K18" s="1566" t="s">
        <v>30</v>
      </c>
      <c r="L18" s="1566" t="s">
        <v>29</v>
      </c>
      <c r="M18" s="1566" t="s">
        <v>31</v>
      </c>
      <c r="N18" s="1566" t="s">
        <v>32</v>
      </c>
      <c r="O18" s="1566" t="s">
        <v>12</v>
      </c>
      <c r="P18" s="1269" t="s">
        <v>673</v>
      </c>
      <c r="Q18" s="1270" t="s">
        <v>26</v>
      </c>
      <c r="R18" s="1579" t="s">
        <v>675</v>
      </c>
      <c r="S18" s="1566" t="s">
        <v>25</v>
      </c>
      <c r="T18" s="1566" t="s">
        <v>676</v>
      </c>
      <c r="U18" s="1968"/>
      <c r="V18" s="1968"/>
      <c r="W18" s="1987"/>
      <c r="X18" s="1410" t="s">
        <v>7</v>
      </c>
      <c r="Y18" s="1968"/>
      <c r="Z18" s="1603" t="s">
        <v>14</v>
      </c>
      <c r="AA18" s="1566" t="s">
        <v>679</v>
      </c>
      <c r="AB18" s="1566" t="s">
        <v>113</v>
      </c>
      <c r="AC18" s="1968"/>
      <c r="AD18" s="1968"/>
      <c r="AE18" s="1566" t="s">
        <v>19</v>
      </c>
      <c r="AF18" s="1566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03">
        <v>557.80999999999995</v>
      </c>
      <c r="J19" s="1448">
        <v>195</v>
      </c>
      <c r="K19" s="241"/>
      <c r="L19" s="1277">
        <v>428</v>
      </c>
      <c r="M19" s="241"/>
      <c r="N19" s="1278">
        <v>1.8</v>
      </c>
      <c r="O19" s="241"/>
      <c r="P19" s="1278">
        <f>AI19</f>
        <v>14.330009181806828</v>
      </c>
      <c r="Q19" s="1278">
        <f>LEFT(H19,(FIND("Е",H19,1)-1))*J19/100</f>
        <v>25.35</v>
      </c>
      <c r="R19" s="244">
        <v>3.54</v>
      </c>
      <c r="S19" s="244">
        <v>15.388</v>
      </c>
      <c r="T19" s="1277">
        <v>25</v>
      </c>
      <c r="U19" s="1278">
        <f t="shared" ref="U19:U37" si="0">IF(R19=0,0,T19/R19)</f>
        <v>7.0621468926553668</v>
      </c>
      <c r="V19" s="1278">
        <f>(S19-R19)/S19*100</f>
        <v>76.995061086560952</v>
      </c>
      <c r="W19" s="1279">
        <v>0.2</v>
      </c>
      <c r="X19" s="1449">
        <v>195</v>
      </c>
      <c r="Y19" s="1277">
        <f>IF(S19=0,0,S19/Q19)*100</f>
        <v>60.702169625246547</v>
      </c>
      <c r="Z19" s="244">
        <f>R19*0.996</f>
        <v>3.5258400000000001</v>
      </c>
      <c r="AA19" s="244">
        <f>S19*0.996</f>
        <v>15.326447999999999</v>
      </c>
      <c r="AB19" s="1277">
        <f>T19*0.996</f>
        <v>24.9</v>
      </c>
      <c r="AC19" s="244">
        <f>U19</f>
        <v>7.0621468926553668</v>
      </c>
      <c r="AD19" s="1277">
        <f>V19</f>
        <v>76.995061086560952</v>
      </c>
      <c r="AE19" s="241">
        <v>4</v>
      </c>
      <c r="AF19" s="244">
        <f t="shared" ref="AF19:AF63" si="1">Z19*AE19</f>
        <v>14.10336</v>
      </c>
      <c r="AG19" s="1281" t="s">
        <v>768</v>
      </c>
      <c r="AI19" s="1282">
        <f t="shared" ref="AI19:AI82" si="2">(9.81*(AJ19*(100%-(V19/100))+AK19*(V19/100))*(I19-L19)+N19*101.325+9.81*(AL19)*L19)/101.325</f>
        <v>14.330009181806828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566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3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566">
        <v>528.5</v>
      </c>
      <c r="J21" s="241">
        <v>85</v>
      </c>
      <c r="K21" s="241"/>
      <c r="L21" s="1277">
        <v>449</v>
      </c>
      <c r="M21" s="241"/>
      <c r="N21" s="1278">
        <v>7.3</v>
      </c>
      <c r="O21" s="241"/>
      <c r="P21" s="1278">
        <f t="shared" ref="P21:P84" si="4">AI21</f>
        <v>14.689356151927573</v>
      </c>
      <c r="Q21" s="1278">
        <f>RIGHT(H21,(FIND("T",H21,1)-0))*J21/100</f>
        <v>17</v>
      </c>
      <c r="R21" s="244">
        <v>6.218</v>
      </c>
      <c r="S21" s="244">
        <v>12.53</v>
      </c>
      <c r="T21" s="1277">
        <v>6</v>
      </c>
      <c r="U21" s="1278">
        <f t="shared" si="0"/>
        <v>0.96494049533612092</v>
      </c>
      <c r="V21" s="1278">
        <f t="shared" ref="V21:V55" si="5">(S21-R21)/S21*100</f>
        <v>50.375099760574614</v>
      </c>
      <c r="W21" s="1279">
        <v>0.2</v>
      </c>
      <c r="X21" s="1316">
        <v>85</v>
      </c>
      <c r="Y21" s="1277">
        <f t="shared" si="3"/>
        <v>73.705882352941174</v>
      </c>
      <c r="Z21" s="244">
        <f>R21*0.996</f>
        <v>6.1931279999999997</v>
      </c>
      <c r="AA21" s="244">
        <f>S21*0.996</f>
        <v>12.47988</v>
      </c>
      <c r="AB21" s="1277">
        <f>T21*0.996</f>
        <v>5.976</v>
      </c>
      <c r="AC21" s="244">
        <f t="shared" ref="AC21:AD36" si="6">U21</f>
        <v>0.96494049533612092</v>
      </c>
      <c r="AD21" s="1277">
        <f t="shared" si="6"/>
        <v>50.375099760574614</v>
      </c>
      <c r="AE21" s="241">
        <f t="shared" ref="AE21:AE41" si="7">(DAY(EOMONTH($AH$17,0))-AH21)</f>
        <v>31</v>
      </c>
      <c r="AF21" s="244">
        <f t="shared" si="1"/>
        <v>191.98696799999999</v>
      </c>
      <c r="AG21" s="1281"/>
      <c r="AI21" s="1282">
        <f t="shared" si="2"/>
        <v>14.689356151927573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572">
        <v>544.29999999999995</v>
      </c>
      <c r="J22" s="241">
        <v>195</v>
      </c>
      <c r="K22" s="241"/>
      <c r="L22" s="1277">
        <v>457</v>
      </c>
      <c r="M22" s="241"/>
      <c r="N22" s="1278">
        <v>5.5</v>
      </c>
      <c r="O22" s="241"/>
      <c r="P22" s="1278">
        <f t="shared" si="4"/>
        <v>13.644691507236343</v>
      </c>
      <c r="Q22" s="1278">
        <f t="shared" ref="Q22:Q27" si="8">RIGHT(H22,(FIND("T",H22,1)-0))*J22/100</f>
        <v>27.3</v>
      </c>
      <c r="R22" s="244">
        <v>7.5460000000000003</v>
      </c>
      <c r="S22" s="244">
        <v>15.683</v>
      </c>
      <c r="T22" s="1277">
        <v>164</v>
      </c>
      <c r="U22" s="1278">
        <f t="shared" si="0"/>
        <v>21.733368672144181</v>
      </c>
      <c r="V22" s="1278">
        <f t="shared" si="5"/>
        <v>51.884205827966589</v>
      </c>
      <c r="W22" s="1279">
        <v>0.23</v>
      </c>
      <c r="X22" s="1316">
        <v>195</v>
      </c>
      <c r="Y22" s="1277">
        <f t="shared" si="3"/>
        <v>57.446886446886445</v>
      </c>
      <c r="Z22" s="244">
        <f t="shared" ref="Z22:Z35" si="9">R22*0.996</f>
        <v>7.5158160000000001</v>
      </c>
      <c r="AA22" s="244">
        <f t="shared" ref="AA22:AA35" si="10">S22*0.996</f>
        <v>15.620267999999999</v>
      </c>
      <c r="AB22" s="1277">
        <f t="shared" ref="AB22:AB53" si="11">T22*0.996</f>
        <v>163.34399999999999</v>
      </c>
      <c r="AC22" s="244">
        <f t="shared" si="6"/>
        <v>21.733368672144181</v>
      </c>
      <c r="AD22" s="1277">
        <f t="shared" si="6"/>
        <v>51.884205827966589</v>
      </c>
      <c r="AE22" s="241">
        <f t="shared" si="7"/>
        <v>31</v>
      </c>
      <c r="AF22" s="244">
        <f t="shared" si="1"/>
        <v>232.990296</v>
      </c>
      <c r="AG22" s="1281"/>
      <c r="AI22" s="1282">
        <f t="shared" si="2"/>
        <v>13.644691507236343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572">
        <v>548.32000000000005</v>
      </c>
      <c r="J23" s="241">
        <v>135</v>
      </c>
      <c r="K23" s="241"/>
      <c r="L23" s="1277">
        <v>427</v>
      </c>
      <c r="M23" s="241"/>
      <c r="N23" s="1278">
        <v>2.9</v>
      </c>
      <c r="O23" s="241"/>
      <c r="P23" s="1278">
        <f t="shared" si="4"/>
        <v>13.788175958263087</v>
      </c>
      <c r="Q23" s="1278">
        <f t="shared" si="8"/>
        <v>18.899999999999999</v>
      </c>
      <c r="R23" s="244">
        <v>3.5990000000000002</v>
      </c>
      <c r="S23" s="244">
        <v>4.1440000000000001</v>
      </c>
      <c r="T23" s="1277">
        <v>14</v>
      </c>
      <c r="U23" s="1278">
        <f t="shared" si="0"/>
        <v>3.8899694359544315</v>
      </c>
      <c r="V23" s="1278">
        <f t="shared" si="5"/>
        <v>13.151544401544399</v>
      </c>
      <c r="W23" s="1279">
        <v>0.2</v>
      </c>
      <c r="X23" s="1316">
        <v>135</v>
      </c>
      <c r="Y23" s="1277">
        <f t="shared" si="3"/>
        <v>21.925925925925931</v>
      </c>
      <c r="Z23" s="244">
        <f t="shared" si="9"/>
        <v>3.5846040000000001</v>
      </c>
      <c r="AA23" s="244">
        <f t="shared" si="10"/>
        <v>4.1274240000000004</v>
      </c>
      <c r="AB23" s="1277">
        <f t="shared" si="11"/>
        <v>13.943999999999999</v>
      </c>
      <c r="AC23" s="244">
        <f t="shared" si="6"/>
        <v>3.8899694359544315</v>
      </c>
      <c r="AD23" s="1277">
        <f t="shared" si="6"/>
        <v>13.151544401544399</v>
      </c>
      <c r="AE23" s="241">
        <f t="shared" si="7"/>
        <v>31</v>
      </c>
      <c r="AF23" s="244">
        <f t="shared" si="1"/>
        <v>111.12272400000001</v>
      </c>
      <c r="AG23" s="1281"/>
      <c r="AI23" s="1282">
        <f t="shared" si="2"/>
        <v>13.788175958263087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572">
        <v>563.03</v>
      </c>
      <c r="J24" s="241">
        <v>135</v>
      </c>
      <c r="K24" s="241"/>
      <c r="L24" s="1277">
        <v>413</v>
      </c>
      <c r="M24" s="241"/>
      <c r="N24" s="1278">
        <v>0.8</v>
      </c>
      <c r="O24" s="241"/>
      <c r="P24" s="1278">
        <f t="shared" si="4"/>
        <v>14.537566045873287</v>
      </c>
      <c r="Q24" s="1278">
        <f t="shared" si="8"/>
        <v>18.899999999999999</v>
      </c>
      <c r="R24" s="244">
        <v>5.5590000000000002</v>
      </c>
      <c r="S24" s="244">
        <v>6.5049999999999999</v>
      </c>
      <c r="T24" s="1277">
        <v>8</v>
      </c>
      <c r="U24" s="1278">
        <f t="shared" si="0"/>
        <v>1.4391077531930203</v>
      </c>
      <c r="V24" s="1278">
        <f t="shared" si="5"/>
        <v>14.54265949269792</v>
      </c>
      <c r="W24" s="1279">
        <v>0.2</v>
      </c>
      <c r="X24" s="1316">
        <v>135</v>
      </c>
      <c r="Y24" s="1277">
        <f t="shared" si="3"/>
        <v>34.417989417989418</v>
      </c>
      <c r="Z24" s="244">
        <f t="shared" si="9"/>
        <v>5.5367639999999998</v>
      </c>
      <c r="AA24" s="244">
        <f t="shared" si="10"/>
        <v>6.47898</v>
      </c>
      <c r="AB24" s="1277">
        <f t="shared" si="11"/>
        <v>7.968</v>
      </c>
      <c r="AC24" s="244">
        <f t="shared" si="6"/>
        <v>1.4391077531930203</v>
      </c>
      <c r="AD24" s="1277">
        <f t="shared" si="6"/>
        <v>14.54265949269792</v>
      </c>
      <c r="AE24" s="241">
        <f t="shared" si="7"/>
        <v>31</v>
      </c>
      <c r="AF24" s="244">
        <f t="shared" si="1"/>
        <v>171.63968399999999</v>
      </c>
      <c r="AG24" s="1281"/>
      <c r="AI24" s="1282">
        <f t="shared" si="2"/>
        <v>14.537566045873287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572">
        <v>557.6</v>
      </c>
      <c r="J25" s="241">
        <v>85</v>
      </c>
      <c r="K25" s="241"/>
      <c r="L25" s="1277">
        <v>505</v>
      </c>
      <c r="M25" s="241"/>
      <c r="N25" s="1278">
        <v>3.7</v>
      </c>
      <c r="O25" s="241"/>
      <c r="P25" s="1278">
        <f t="shared" si="4"/>
        <v>8.7250347524458363</v>
      </c>
      <c r="Q25" s="1278">
        <f t="shared" si="8"/>
        <v>11.9</v>
      </c>
      <c r="R25" s="244">
        <v>4.4560000000000004</v>
      </c>
      <c r="S25" s="244">
        <v>11.795</v>
      </c>
      <c r="T25" s="1277">
        <v>48</v>
      </c>
      <c r="U25" s="1278">
        <f t="shared" si="0"/>
        <v>10.771992818671453</v>
      </c>
      <c r="V25" s="1278">
        <f t="shared" si="5"/>
        <v>62.221280203476049</v>
      </c>
      <c r="W25" s="1279">
        <v>0.2</v>
      </c>
      <c r="X25" s="1316">
        <v>85</v>
      </c>
      <c r="Y25" s="1277">
        <f t="shared" si="3"/>
        <v>99.117647058823522</v>
      </c>
      <c r="Z25" s="244">
        <f t="shared" si="9"/>
        <v>4.4381760000000003</v>
      </c>
      <c r="AA25" s="244">
        <f t="shared" si="10"/>
        <v>11.747819999999999</v>
      </c>
      <c r="AB25" s="1277">
        <f t="shared" si="11"/>
        <v>47.808</v>
      </c>
      <c r="AC25" s="244">
        <f t="shared" si="6"/>
        <v>10.771992818671453</v>
      </c>
      <c r="AD25" s="1277">
        <f t="shared" si="6"/>
        <v>62.221280203476049</v>
      </c>
      <c r="AE25" s="241">
        <v>26</v>
      </c>
      <c r="AF25" s="244">
        <f t="shared" si="1"/>
        <v>115.39257600000001</v>
      </c>
      <c r="AG25" s="1281" t="s">
        <v>766</v>
      </c>
      <c r="AI25" s="1282">
        <f t="shared" si="2"/>
        <v>8.7250347524458363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455</v>
      </c>
      <c r="M26" s="1302"/>
      <c r="N26" s="1278">
        <v>3.9</v>
      </c>
      <c r="O26" s="1302"/>
      <c r="P26" s="1278">
        <f t="shared" si="4"/>
        <v>13.260734267532428</v>
      </c>
      <c r="Q26" s="1278">
        <f t="shared" si="8"/>
        <v>20</v>
      </c>
      <c r="R26" s="244">
        <v>3.8410000000000002</v>
      </c>
      <c r="S26" s="244">
        <v>14.089</v>
      </c>
      <c r="T26" s="1277">
        <v>22</v>
      </c>
      <c r="U26" s="1278">
        <f t="shared" si="0"/>
        <v>5.7276750846133817</v>
      </c>
      <c r="V26" s="1278">
        <f t="shared" si="5"/>
        <v>72.737596706650592</v>
      </c>
      <c r="W26" s="1279">
        <v>0.2</v>
      </c>
      <c r="X26" s="1316">
        <v>100</v>
      </c>
      <c r="Y26" s="1277">
        <f t="shared" si="3"/>
        <v>70.445000000000007</v>
      </c>
      <c r="Z26" s="244">
        <f t="shared" si="9"/>
        <v>3.8256360000000003</v>
      </c>
      <c r="AA26" s="244">
        <f t="shared" si="10"/>
        <v>14.032644000000001</v>
      </c>
      <c r="AB26" s="1277">
        <f t="shared" si="11"/>
        <v>21.911999999999999</v>
      </c>
      <c r="AC26" s="244">
        <f t="shared" ref="AC26:AD38" si="12">U26</f>
        <v>5.7276750846133817</v>
      </c>
      <c r="AD26" s="1277">
        <f t="shared" si="6"/>
        <v>72.737596706650592</v>
      </c>
      <c r="AE26" s="241">
        <f t="shared" si="7"/>
        <v>31</v>
      </c>
      <c r="AF26" s="244">
        <f t="shared" si="1"/>
        <v>118.59471600000001</v>
      </c>
      <c r="AG26" s="1281"/>
      <c r="AI26" s="1282">
        <f t="shared" si="2"/>
        <v>13.260734267532428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572">
        <v>569.48</v>
      </c>
      <c r="J27" s="241">
        <v>150</v>
      </c>
      <c r="K27" s="241"/>
      <c r="L27" s="1277">
        <v>455</v>
      </c>
      <c r="M27" s="241"/>
      <c r="N27" s="1278">
        <v>3.5</v>
      </c>
      <c r="O27" s="241"/>
      <c r="P27" s="1278">
        <f t="shared" si="4"/>
        <v>14.354712253247861</v>
      </c>
      <c r="Q27" s="1278">
        <f t="shared" si="8"/>
        <v>30</v>
      </c>
      <c r="R27" s="244">
        <v>6.7149999999999999</v>
      </c>
      <c r="S27" s="244">
        <v>17.548999999999999</v>
      </c>
      <c r="T27" s="1277">
        <v>36</v>
      </c>
      <c r="U27" s="1278">
        <f t="shared" si="0"/>
        <v>5.3611317944899479</v>
      </c>
      <c r="V27" s="1278">
        <f t="shared" si="5"/>
        <v>61.735711436549089</v>
      </c>
      <c r="W27" s="1279">
        <v>0.2</v>
      </c>
      <c r="X27" s="1316">
        <v>150</v>
      </c>
      <c r="Y27" s="1277">
        <f t="shared" si="3"/>
        <v>58.496666666666663</v>
      </c>
      <c r="Z27" s="244">
        <f t="shared" si="9"/>
        <v>6.6881399999999998</v>
      </c>
      <c r="AA27" s="244">
        <f t="shared" si="10"/>
        <v>17.478804</v>
      </c>
      <c r="AB27" s="1277">
        <f t="shared" si="11"/>
        <v>35.856000000000002</v>
      </c>
      <c r="AC27" s="244">
        <f t="shared" si="12"/>
        <v>5.3611317944899479</v>
      </c>
      <c r="AD27" s="1277">
        <f t="shared" si="6"/>
        <v>61.735711436549089</v>
      </c>
      <c r="AE27" s="241">
        <f t="shared" si="7"/>
        <v>31</v>
      </c>
      <c r="AF27" s="244">
        <f t="shared" si="1"/>
        <v>207.33233999999999</v>
      </c>
      <c r="AG27" s="1281"/>
      <c r="AI27" s="1282">
        <f t="shared" si="2"/>
        <v>14.354712253247861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572">
        <v>566.99</v>
      </c>
      <c r="J28" s="1448">
        <v>85</v>
      </c>
      <c r="K28" s="241"/>
      <c r="L28" s="1277">
        <v>427</v>
      </c>
      <c r="M28" s="241"/>
      <c r="N28" s="1278">
        <v>3.7</v>
      </c>
      <c r="O28" s="241"/>
      <c r="P28" s="1278">
        <f t="shared" si="4"/>
        <v>17.032248306315029</v>
      </c>
      <c r="Q28" s="1278">
        <f>J28*14/100</f>
        <v>11.9</v>
      </c>
      <c r="R28" s="244">
        <v>4.4939999999999998</v>
      </c>
      <c r="S28" s="244">
        <v>10.927</v>
      </c>
      <c r="T28" s="1277">
        <v>5</v>
      </c>
      <c r="U28" s="1278">
        <f t="shared" si="0"/>
        <v>1.1125945705384959</v>
      </c>
      <c r="V28" s="1278">
        <f t="shared" si="5"/>
        <v>58.872517616912234</v>
      </c>
      <c r="W28" s="1279">
        <v>0.2</v>
      </c>
      <c r="X28" s="1449">
        <v>85</v>
      </c>
      <c r="Y28" s="1277">
        <f t="shared" si="3"/>
        <v>91.82352941176471</v>
      </c>
      <c r="Z28" s="244">
        <f t="shared" si="9"/>
        <v>4.4760239999999998</v>
      </c>
      <c r="AA28" s="244">
        <f t="shared" si="10"/>
        <v>10.883291999999999</v>
      </c>
      <c r="AB28" s="1277">
        <f t="shared" si="11"/>
        <v>4.9800000000000004</v>
      </c>
      <c r="AC28" s="244">
        <f t="shared" si="12"/>
        <v>1.1125945705384959</v>
      </c>
      <c r="AD28" s="1277">
        <f t="shared" si="6"/>
        <v>58.872517616912234</v>
      </c>
      <c r="AE28" s="241">
        <f t="shared" si="7"/>
        <v>31</v>
      </c>
      <c r="AF28" s="244">
        <f t="shared" si="1"/>
        <v>138.756744</v>
      </c>
      <c r="AG28" s="1281"/>
      <c r="AI28" s="1282">
        <f t="shared" si="2"/>
        <v>17.032248306315029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572">
        <v>593.29</v>
      </c>
      <c r="J29" s="241">
        <v>280</v>
      </c>
      <c r="K29" s="241"/>
      <c r="L29" s="1277">
        <v>449</v>
      </c>
      <c r="M29" s="241"/>
      <c r="N29" s="1278">
        <v>2.5</v>
      </c>
      <c r="O29" s="241"/>
      <c r="P29" s="1278">
        <f t="shared" si="4"/>
        <v>16.807636694712922</v>
      </c>
      <c r="Q29" s="1278">
        <f>(15/100)*J29</f>
        <v>42</v>
      </c>
      <c r="R29" s="244">
        <v>1.5309999999999999</v>
      </c>
      <c r="S29" s="244">
        <v>8.1029999999999998</v>
      </c>
      <c r="T29" s="1277">
        <v>28</v>
      </c>
      <c r="U29" s="1278">
        <f t="shared" si="0"/>
        <v>18.288700195950359</v>
      </c>
      <c r="V29" s="1278">
        <f t="shared" si="5"/>
        <v>81.105763297544115</v>
      </c>
      <c r="W29" s="1279">
        <v>0.27</v>
      </c>
      <c r="X29" s="1316">
        <v>280</v>
      </c>
      <c r="Y29" s="1277">
        <f t="shared" si="3"/>
        <v>19.292857142857141</v>
      </c>
      <c r="Z29" s="244">
        <f t="shared" si="9"/>
        <v>1.5248759999999999</v>
      </c>
      <c r="AA29" s="244">
        <f t="shared" si="10"/>
        <v>8.070587999999999</v>
      </c>
      <c r="AB29" s="1277">
        <f t="shared" si="11"/>
        <v>27.887999999999998</v>
      </c>
      <c r="AC29" s="244">
        <f t="shared" si="12"/>
        <v>18.288700195950359</v>
      </c>
      <c r="AD29" s="1277">
        <f t="shared" si="6"/>
        <v>81.105763297544115</v>
      </c>
      <c r="AE29" s="241">
        <f t="shared" si="7"/>
        <v>31</v>
      </c>
      <c r="AF29" s="244">
        <f t="shared" si="1"/>
        <v>47.271155999999998</v>
      </c>
      <c r="AG29" s="1285"/>
      <c r="AI29" s="1282">
        <f t="shared" si="2"/>
        <v>16.807636694712922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572" t="s">
        <v>298</v>
      </c>
      <c r="F30" s="241">
        <v>177.8</v>
      </c>
      <c r="G30" s="241" t="s">
        <v>28</v>
      </c>
      <c r="H30" s="1299" t="s">
        <v>687</v>
      </c>
      <c r="I30" s="1572">
        <v>558.21</v>
      </c>
      <c r="J30" s="1448">
        <v>85</v>
      </c>
      <c r="K30" s="241"/>
      <c r="L30" s="1277">
        <v>251</v>
      </c>
      <c r="M30" s="241"/>
      <c r="N30" s="1278">
        <v>0.6</v>
      </c>
      <c r="O30" s="241"/>
      <c r="P30" s="1278">
        <f t="shared" si="4"/>
        <v>30.389931843185472</v>
      </c>
      <c r="Q30" s="1278">
        <f>20*J30/100</f>
        <v>17</v>
      </c>
      <c r="R30" s="244">
        <v>2.121</v>
      </c>
      <c r="S30" s="244">
        <v>15.263999999999999</v>
      </c>
      <c r="T30" s="1277">
        <v>10</v>
      </c>
      <c r="U30" s="1278">
        <f t="shared" si="0"/>
        <v>4.7147571900047147</v>
      </c>
      <c r="V30" s="1278">
        <f t="shared" si="5"/>
        <v>86.104559748427661</v>
      </c>
      <c r="W30" s="1279">
        <v>0.3</v>
      </c>
      <c r="X30" s="1449">
        <v>85</v>
      </c>
      <c r="Y30" s="1277">
        <f t="shared" si="3"/>
        <v>89.788235294117641</v>
      </c>
      <c r="Z30" s="244">
        <f t="shared" si="9"/>
        <v>2.1125159999999998</v>
      </c>
      <c r="AA30" s="244">
        <f t="shared" si="10"/>
        <v>15.202943999999999</v>
      </c>
      <c r="AB30" s="1277">
        <f t="shared" si="11"/>
        <v>9.9600000000000009</v>
      </c>
      <c r="AC30" s="244">
        <f t="shared" si="12"/>
        <v>4.7147571900047147</v>
      </c>
      <c r="AD30" s="1277">
        <f t="shared" si="6"/>
        <v>86.104559748427661</v>
      </c>
      <c r="AE30" s="241">
        <f t="shared" si="7"/>
        <v>31</v>
      </c>
      <c r="AF30" s="244">
        <f>Z30*AE30</f>
        <v>65.487995999999995</v>
      </c>
      <c r="AG30" s="1285"/>
      <c r="AI30" s="1282">
        <f t="shared" si="2"/>
        <v>30.389931843185472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572" t="s">
        <v>79</v>
      </c>
      <c r="F31" s="241">
        <v>177.8</v>
      </c>
      <c r="G31" s="241" t="s">
        <v>28</v>
      </c>
      <c r="H31" s="1299" t="s">
        <v>565</v>
      </c>
      <c r="I31" s="1572">
        <v>526.29</v>
      </c>
      <c r="J31" s="1448">
        <v>250</v>
      </c>
      <c r="K31" s="241"/>
      <c r="L31" s="1277">
        <v>256</v>
      </c>
      <c r="M31" s="241"/>
      <c r="N31" s="1278">
        <v>3.4</v>
      </c>
      <c r="O31" s="241"/>
      <c r="P31" s="1278">
        <f t="shared" si="4"/>
        <v>29.639671273746156</v>
      </c>
      <c r="Q31" s="1278">
        <f>LEFT(H31,(FIND("E",H31,1)-1))*J31/100</f>
        <v>80</v>
      </c>
      <c r="R31" s="244">
        <v>13.099</v>
      </c>
      <c r="S31" s="244">
        <v>76.516999999999996</v>
      </c>
      <c r="T31" s="1277">
        <v>389</v>
      </c>
      <c r="U31" s="1278">
        <f t="shared" si="0"/>
        <v>29.696923429269411</v>
      </c>
      <c r="V31" s="1278">
        <f t="shared" si="5"/>
        <v>82.880928421135167</v>
      </c>
      <c r="W31" s="1279">
        <v>0.2</v>
      </c>
      <c r="X31" s="1449">
        <v>250</v>
      </c>
      <c r="Y31" s="1277">
        <f t="shared" si="3"/>
        <v>95.646249999999995</v>
      </c>
      <c r="Z31" s="244">
        <f t="shared" si="9"/>
        <v>13.046604</v>
      </c>
      <c r="AA31" s="244">
        <f t="shared" si="10"/>
        <v>76.210932</v>
      </c>
      <c r="AB31" s="1277">
        <f t="shared" si="11"/>
        <v>387.44400000000002</v>
      </c>
      <c r="AC31" s="244">
        <f t="shared" si="12"/>
        <v>29.696923429269411</v>
      </c>
      <c r="AD31" s="1277">
        <f t="shared" si="6"/>
        <v>82.880928421135167</v>
      </c>
      <c r="AE31" s="241">
        <f t="shared" si="7"/>
        <v>31</v>
      </c>
      <c r="AF31" s="244">
        <f>Z31*AE31</f>
        <v>404.44472400000001</v>
      </c>
      <c r="AG31" s="1281"/>
      <c r="AI31" s="1282">
        <f t="shared" si="2"/>
        <v>29.639671273746156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572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449</v>
      </c>
      <c r="M32" s="241"/>
      <c r="N32" s="1278">
        <v>6</v>
      </c>
      <c r="O32" s="241"/>
      <c r="P32" s="1278">
        <f t="shared" si="4"/>
        <v>12.672455892295288</v>
      </c>
      <c r="Q32" s="1278">
        <f>RIGHT(H32,(FIND("T",H32,1)-0))*J32/100</f>
        <v>56</v>
      </c>
      <c r="R32" s="244">
        <v>9.8119999999999994</v>
      </c>
      <c r="S32" s="244">
        <v>27.303000000000001</v>
      </c>
      <c r="T32" s="1277">
        <v>427</v>
      </c>
      <c r="U32" s="1278">
        <f t="shared" si="0"/>
        <v>43.518141051773341</v>
      </c>
      <c r="V32" s="1278">
        <f t="shared" si="5"/>
        <v>64.062557228143419</v>
      </c>
      <c r="W32" s="1279">
        <v>0.2</v>
      </c>
      <c r="X32" s="1316">
        <v>280</v>
      </c>
      <c r="Y32" s="1277">
        <f t="shared" si="3"/>
        <v>48.755357142857143</v>
      </c>
      <c r="Z32" s="244">
        <f t="shared" si="9"/>
        <v>9.7727519999999988</v>
      </c>
      <c r="AA32" s="244">
        <f t="shared" si="10"/>
        <v>27.193788000000001</v>
      </c>
      <c r="AB32" s="1277">
        <f t="shared" si="11"/>
        <v>425.29199999999997</v>
      </c>
      <c r="AC32" s="244">
        <f t="shared" si="12"/>
        <v>43.518141051773341</v>
      </c>
      <c r="AD32" s="1277">
        <f t="shared" si="6"/>
        <v>64.062557228143419</v>
      </c>
      <c r="AE32" s="241">
        <f t="shared" si="7"/>
        <v>31</v>
      </c>
      <c r="AF32" s="244">
        <f t="shared" si="1"/>
        <v>302.95531199999994</v>
      </c>
      <c r="AG32" s="1281"/>
      <c r="AI32" s="1282">
        <f t="shared" si="2"/>
        <v>12.672455892295288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572">
        <v>569.99</v>
      </c>
      <c r="J33" s="1448">
        <v>220</v>
      </c>
      <c r="K33" s="241"/>
      <c r="L33" s="1277">
        <v>434</v>
      </c>
      <c r="M33" s="241"/>
      <c r="N33" s="1278">
        <v>3.7</v>
      </c>
      <c r="O33" s="241"/>
      <c r="P33" s="1278">
        <f t="shared" si="4"/>
        <v>16.766079834631125</v>
      </c>
      <c r="Q33" s="1278">
        <f>LEFT(H33,(FIND("K",H33,1)-1))*J33/100</f>
        <v>28.6</v>
      </c>
      <c r="R33" s="244">
        <v>7.2590000000000003</v>
      </c>
      <c r="S33" s="244">
        <v>22.393000000000001</v>
      </c>
      <c r="T33" s="1277">
        <v>52</v>
      </c>
      <c r="U33" s="1278">
        <f t="shared" si="0"/>
        <v>7.163521146163383</v>
      </c>
      <c r="V33" s="1278">
        <f t="shared" si="5"/>
        <v>67.583619881212869</v>
      </c>
      <c r="W33" s="1279">
        <v>0.2</v>
      </c>
      <c r="X33" s="1449">
        <v>220</v>
      </c>
      <c r="Y33" s="1277">
        <f t="shared" si="3"/>
        <v>78.297202797202786</v>
      </c>
      <c r="Z33" s="244">
        <f t="shared" si="9"/>
        <v>7.2299640000000007</v>
      </c>
      <c r="AA33" s="244">
        <f t="shared" si="10"/>
        <v>22.303428</v>
      </c>
      <c r="AB33" s="1277">
        <f t="shared" si="11"/>
        <v>51.792000000000002</v>
      </c>
      <c r="AC33" s="244">
        <f t="shared" si="12"/>
        <v>7.163521146163383</v>
      </c>
      <c r="AD33" s="1277">
        <f t="shared" si="6"/>
        <v>67.583619881212869</v>
      </c>
      <c r="AE33" s="241">
        <f t="shared" si="7"/>
        <v>31</v>
      </c>
      <c r="AF33" s="244">
        <f>Z33*AE33</f>
        <v>224.12888400000003</v>
      </c>
      <c r="AG33" s="1285"/>
      <c r="AI33" s="1282">
        <f t="shared" si="2"/>
        <v>16.766079834631125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100</v>
      </c>
      <c r="K34" s="1274"/>
      <c r="L34" s="1305">
        <v>48</v>
      </c>
      <c r="M34" s="1274"/>
      <c r="N34" s="1306">
        <v>0.6</v>
      </c>
      <c r="O34" s="1274"/>
      <c r="P34" s="1278">
        <f t="shared" si="4"/>
        <v>49.085459749888969</v>
      </c>
      <c r="Q34" s="1278">
        <f>22*J34/100</f>
        <v>22</v>
      </c>
      <c r="R34" s="1307">
        <v>1.742</v>
      </c>
      <c r="S34" s="244">
        <v>22.626000000000001</v>
      </c>
      <c r="T34" s="1305">
        <v>0</v>
      </c>
      <c r="U34" s="1278">
        <f t="shared" si="0"/>
        <v>0</v>
      </c>
      <c r="V34" s="1278">
        <f t="shared" si="5"/>
        <v>92.300892778219747</v>
      </c>
      <c r="W34" s="1308">
        <v>0.24</v>
      </c>
      <c r="X34" s="238">
        <v>100</v>
      </c>
      <c r="Y34" s="1277">
        <f t="shared" si="3"/>
        <v>102.84545454545454</v>
      </c>
      <c r="Z34" s="244">
        <f t="shared" si="9"/>
        <v>1.7350319999999999</v>
      </c>
      <c r="AA34" s="244">
        <f t="shared" si="10"/>
        <v>22.535496000000002</v>
      </c>
      <c r="AB34" s="1277">
        <f t="shared" si="11"/>
        <v>0</v>
      </c>
      <c r="AC34" s="1307">
        <f t="shared" si="12"/>
        <v>0</v>
      </c>
      <c r="AD34" s="1305">
        <f t="shared" si="6"/>
        <v>92.300892778219747</v>
      </c>
      <c r="AE34" s="241">
        <v>4</v>
      </c>
      <c r="AF34" s="1307">
        <f>Z34*AE34</f>
        <v>6.9401279999999996</v>
      </c>
      <c r="AG34" s="1281" t="s">
        <v>769</v>
      </c>
      <c r="AI34" s="1282">
        <f t="shared" si="2"/>
        <v>49.085459749888969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442</v>
      </c>
      <c r="M35" s="241"/>
      <c r="N35" s="1278">
        <v>4</v>
      </c>
      <c r="O35" s="241"/>
      <c r="P35" s="1278">
        <f t="shared" si="4"/>
        <v>15.494708744043585</v>
      </c>
      <c r="Q35" s="1278">
        <f>20*J35/100</f>
        <v>19</v>
      </c>
      <c r="R35" s="244">
        <v>3.7080000000000002</v>
      </c>
      <c r="S35" s="244">
        <v>10.856999999999999</v>
      </c>
      <c r="T35" s="1277">
        <v>28</v>
      </c>
      <c r="U35" s="1278">
        <f t="shared" si="0"/>
        <v>7.5512405609492985</v>
      </c>
      <c r="V35" s="1278">
        <f t="shared" si="5"/>
        <v>65.846919038408387</v>
      </c>
      <c r="W35" s="1279">
        <v>0.2</v>
      </c>
      <c r="X35" s="1316">
        <v>95</v>
      </c>
      <c r="Y35" s="1277">
        <f t="shared" si="3"/>
        <v>57.142105263157895</v>
      </c>
      <c r="Z35" s="244">
        <f t="shared" si="9"/>
        <v>3.693168</v>
      </c>
      <c r="AA35" s="244">
        <f t="shared" si="10"/>
        <v>10.813571999999999</v>
      </c>
      <c r="AB35" s="1277">
        <f t="shared" si="11"/>
        <v>27.887999999999998</v>
      </c>
      <c r="AC35" s="1307">
        <f t="shared" si="12"/>
        <v>7.5512405609492985</v>
      </c>
      <c r="AD35" s="1305">
        <f t="shared" si="6"/>
        <v>65.846919038408387</v>
      </c>
      <c r="AE35" s="241">
        <f t="shared" si="7"/>
        <v>31</v>
      </c>
      <c r="AF35" s="1307">
        <f>Z35*AE35</f>
        <v>114.488208</v>
      </c>
      <c r="AG35" s="1281"/>
      <c r="AI35" s="1282">
        <f t="shared" si="2"/>
        <v>15.494708744043585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572">
        <v>564.05999999999995</v>
      </c>
      <c r="J36" s="241">
        <v>260</v>
      </c>
      <c r="K36" s="241"/>
      <c r="L36" s="1277">
        <v>505</v>
      </c>
      <c r="M36" s="241"/>
      <c r="N36" s="1278">
        <v>0</v>
      </c>
      <c r="O36" s="241"/>
      <c r="P36" s="1278">
        <f t="shared" si="4"/>
        <v>5.7012878854040858</v>
      </c>
      <c r="Q36" s="1278">
        <f>LEFT(H36,(FIND("E",H36,1)-1))*J36/100</f>
        <v>33.799999999999997</v>
      </c>
      <c r="R36" s="244">
        <v>3.004</v>
      </c>
      <c r="S36" s="244">
        <v>10.663</v>
      </c>
      <c r="T36" s="1277">
        <v>13</v>
      </c>
      <c r="U36" s="1278">
        <f t="shared" si="0"/>
        <v>4.3275632490013312</v>
      </c>
      <c r="V36" s="1278">
        <f t="shared" si="5"/>
        <v>71.827815811685269</v>
      </c>
      <c r="W36" s="1279">
        <v>0.2</v>
      </c>
      <c r="X36" s="1316">
        <v>260</v>
      </c>
      <c r="Y36" s="1277">
        <f t="shared" si="3"/>
        <v>31.547337278106514</v>
      </c>
      <c r="Z36" s="244">
        <f t="shared" ref="Z36:Z41" si="13">R36*0.996</f>
        <v>2.991984</v>
      </c>
      <c r="AA36" s="244">
        <f t="shared" ref="AA36:AA53" si="14">S36*0.996</f>
        <v>10.620348</v>
      </c>
      <c r="AB36" s="1277">
        <f t="shared" si="11"/>
        <v>12.948</v>
      </c>
      <c r="AC36" s="244">
        <f t="shared" si="12"/>
        <v>4.3275632490013312</v>
      </c>
      <c r="AD36" s="1305">
        <f t="shared" si="6"/>
        <v>71.827815811685269</v>
      </c>
      <c r="AE36" s="241">
        <v>4</v>
      </c>
      <c r="AF36" s="244">
        <f t="shared" si="1"/>
        <v>11.967936</v>
      </c>
      <c r="AG36" s="1281" t="s">
        <v>771</v>
      </c>
      <c r="AI36" s="1282">
        <f t="shared" si="2"/>
        <v>5.7012878854040858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572">
        <v>551</v>
      </c>
      <c r="J37" s="1448">
        <v>165</v>
      </c>
      <c r="K37" s="241"/>
      <c r="L37" s="1277">
        <v>472</v>
      </c>
      <c r="M37" s="241"/>
      <c r="N37" s="1278">
        <v>3.5</v>
      </c>
      <c r="O37" s="241"/>
      <c r="P37" s="1278">
        <f t="shared" si="4"/>
        <v>10.866841257819393</v>
      </c>
      <c r="Q37" s="1278">
        <f>14*J37/100</f>
        <v>23.1</v>
      </c>
      <c r="R37" s="244">
        <v>5.1159999999999997</v>
      </c>
      <c r="S37" s="244">
        <v>10.77</v>
      </c>
      <c r="T37" s="1277">
        <v>49</v>
      </c>
      <c r="U37" s="1278">
        <f t="shared" si="0"/>
        <v>9.5777951524628619</v>
      </c>
      <c r="V37" s="1278">
        <f t="shared" si="5"/>
        <v>52.497678737233059</v>
      </c>
      <c r="W37" s="1279">
        <v>0.2</v>
      </c>
      <c r="X37" s="1449">
        <v>165</v>
      </c>
      <c r="Y37" s="1277">
        <f t="shared" si="3"/>
        <v>46.623376623376615</v>
      </c>
      <c r="Z37" s="244">
        <f t="shared" si="13"/>
        <v>5.0955360000000001</v>
      </c>
      <c r="AA37" s="244">
        <f t="shared" si="14"/>
        <v>10.72692</v>
      </c>
      <c r="AB37" s="1277">
        <f t="shared" si="11"/>
        <v>48.804000000000002</v>
      </c>
      <c r="AC37" s="244">
        <f t="shared" si="12"/>
        <v>9.5777951524628619</v>
      </c>
      <c r="AD37" s="1305">
        <f t="shared" si="12"/>
        <v>52.497678737233059</v>
      </c>
      <c r="AE37" s="241">
        <f t="shared" si="7"/>
        <v>31</v>
      </c>
      <c r="AF37" s="244">
        <f t="shared" si="1"/>
        <v>157.96161599999999</v>
      </c>
      <c r="AG37" s="1450"/>
      <c r="AI37" s="1282">
        <f t="shared" si="2"/>
        <v>10.866841257819393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72">
        <v>565.36</v>
      </c>
      <c r="J38" s="241">
        <v>115</v>
      </c>
      <c r="K38" s="241"/>
      <c r="L38" s="1277">
        <v>360</v>
      </c>
      <c r="M38" s="241"/>
      <c r="N38" s="1278">
        <v>2.9</v>
      </c>
      <c r="O38" s="241"/>
      <c r="P38" s="1278">
        <f t="shared" si="4"/>
        <v>22.704803575027579</v>
      </c>
      <c r="Q38" s="1278">
        <f>13*J38/100</f>
        <v>14.95</v>
      </c>
      <c r="R38" s="244">
        <v>2.1120000000000001</v>
      </c>
      <c r="S38" s="244">
        <v>11.04</v>
      </c>
      <c r="T38" s="1277">
        <v>12</v>
      </c>
      <c r="U38" s="1278">
        <f>IF(R38=0,0,T38/R38)</f>
        <v>5.6818181818181817</v>
      </c>
      <c r="V38" s="1278">
        <f t="shared" si="5"/>
        <v>80.869565217391298</v>
      </c>
      <c r="W38" s="1279">
        <v>0.2</v>
      </c>
      <c r="X38" s="1316">
        <v>115</v>
      </c>
      <c r="Y38" s="1277">
        <f t="shared" si="3"/>
        <v>73.84615384615384</v>
      </c>
      <c r="Z38" s="244">
        <f t="shared" si="13"/>
        <v>2.1035520000000001</v>
      </c>
      <c r="AA38" s="244">
        <f t="shared" si="14"/>
        <v>10.995839999999999</v>
      </c>
      <c r="AB38" s="1277">
        <f t="shared" si="11"/>
        <v>11.952</v>
      </c>
      <c r="AC38" s="244">
        <f t="shared" si="12"/>
        <v>5.6818181818181817</v>
      </c>
      <c r="AD38" s="1305">
        <v>70</v>
      </c>
      <c r="AE38" s="241">
        <v>5</v>
      </c>
      <c r="AF38" s="244">
        <f>Z38*AE38</f>
        <v>10.517760000000001</v>
      </c>
      <c r="AG38" s="1281" t="s">
        <v>771</v>
      </c>
      <c r="AI38" s="1282">
        <f t="shared" si="2"/>
        <v>22.704803575027579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572">
        <v>535.91</v>
      </c>
      <c r="J39" s="1448">
        <v>300</v>
      </c>
      <c r="K39" s="241"/>
      <c r="L39" s="1277">
        <v>446</v>
      </c>
      <c r="M39" s="241"/>
      <c r="N39" s="1278">
        <v>2.8</v>
      </c>
      <c r="O39" s="241"/>
      <c r="P39" s="1278">
        <f t="shared" si="4"/>
        <v>11.061034681735883</v>
      </c>
      <c r="Q39" s="1278">
        <f>(20/100)*J39</f>
        <v>60</v>
      </c>
      <c r="R39" s="244">
        <v>7.2880000000000003</v>
      </c>
      <c r="S39" s="244">
        <v>12.507999999999999</v>
      </c>
      <c r="T39" s="1277">
        <v>200</v>
      </c>
      <c r="U39" s="1278">
        <f t="shared" ref="U39:U86" si="15">IF(R39=0,0,T39/R39)</f>
        <v>27.4423710208562</v>
      </c>
      <c r="V39" s="1278">
        <f t="shared" si="5"/>
        <v>41.733290693955858</v>
      </c>
      <c r="W39" s="1279">
        <v>0.2</v>
      </c>
      <c r="X39" s="1449">
        <v>300</v>
      </c>
      <c r="Y39" s="1277">
        <f t="shared" si="3"/>
        <v>20.846666666666668</v>
      </c>
      <c r="Z39" s="244">
        <f t="shared" si="13"/>
        <v>7.2588480000000004</v>
      </c>
      <c r="AA39" s="244">
        <f t="shared" si="14"/>
        <v>12.457967999999999</v>
      </c>
      <c r="AB39" s="1277">
        <f t="shared" si="11"/>
        <v>199.2</v>
      </c>
      <c r="AC39" s="244">
        <v>89.536086956521729</v>
      </c>
      <c r="AD39" s="1305">
        <f>V39</f>
        <v>41.733290693955858</v>
      </c>
      <c r="AE39" s="241">
        <f t="shared" si="7"/>
        <v>31</v>
      </c>
      <c r="AF39" s="244">
        <f t="shared" si="1"/>
        <v>225.02428800000001</v>
      </c>
      <c r="AG39" s="1314"/>
      <c r="AI39" s="1282">
        <f t="shared" si="2"/>
        <v>11.061034681735883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572">
        <v>565.11</v>
      </c>
      <c r="J40" s="1448">
        <v>280</v>
      </c>
      <c r="K40" s="241"/>
      <c r="L40" s="1277">
        <v>124</v>
      </c>
      <c r="M40" s="241"/>
      <c r="N40" s="1278">
        <v>3.4</v>
      </c>
      <c r="O40" s="241"/>
      <c r="P40" s="1278">
        <f t="shared" si="4"/>
        <v>46.032664016040933</v>
      </c>
      <c r="Q40" s="1278">
        <f>LEFT(H40,(FIND("K",H40,1)-1))*J40/100</f>
        <v>64.400000000000006</v>
      </c>
      <c r="R40" s="244">
        <v>4.9610000000000003</v>
      </c>
      <c r="S40" s="244">
        <v>20.382999999999999</v>
      </c>
      <c r="T40" s="1277">
        <v>21</v>
      </c>
      <c r="U40" s="1278">
        <f t="shared" si="15"/>
        <v>4.2330175367869378</v>
      </c>
      <c r="V40" s="1278">
        <f t="shared" si="5"/>
        <v>75.661090124123049</v>
      </c>
      <c r="W40" s="1279">
        <v>0.3</v>
      </c>
      <c r="X40" s="1449">
        <v>280</v>
      </c>
      <c r="Y40" s="1277">
        <f t="shared" si="3"/>
        <v>31.650621118012417</v>
      </c>
      <c r="Z40" s="244">
        <f t="shared" si="13"/>
        <v>4.9411560000000003</v>
      </c>
      <c r="AA40" s="244">
        <f t="shared" si="14"/>
        <v>20.301468</v>
      </c>
      <c r="AB40" s="1277">
        <f t="shared" si="11"/>
        <v>20.916</v>
      </c>
      <c r="AC40" s="244">
        <f>U40</f>
        <v>4.2330175367869378</v>
      </c>
      <c r="AD40" s="1277">
        <f>V40</f>
        <v>75.661090124123049</v>
      </c>
      <c r="AE40" s="241">
        <v>4</v>
      </c>
      <c r="AF40" s="244">
        <f t="shared" si="1"/>
        <v>19.764624000000001</v>
      </c>
      <c r="AG40" s="1281" t="s">
        <v>771</v>
      </c>
      <c r="AI40" s="1282">
        <f t="shared" si="2"/>
        <v>46.032664016040933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379</v>
      </c>
      <c r="M41" s="241"/>
      <c r="N41" s="1278">
        <v>1.2</v>
      </c>
      <c r="O41" s="241"/>
      <c r="P41" s="1278">
        <f t="shared" si="4"/>
        <v>18.981222427331922</v>
      </c>
      <c r="Q41" s="1278">
        <f>14*J41/100</f>
        <v>11.9</v>
      </c>
      <c r="R41" s="244">
        <v>2.5249999999999999</v>
      </c>
      <c r="S41" s="244">
        <v>12.163</v>
      </c>
      <c r="T41" s="1277">
        <v>13</v>
      </c>
      <c r="U41" s="1278">
        <f t="shared" si="15"/>
        <v>5.1485148514851486</v>
      </c>
      <c r="V41" s="1278">
        <f t="shared" si="5"/>
        <v>79.240319000246657</v>
      </c>
      <c r="W41" s="1279">
        <v>0.2</v>
      </c>
      <c r="X41" s="1316">
        <v>85</v>
      </c>
      <c r="Y41" s="1277">
        <f t="shared" si="3"/>
        <v>102.21008403361344</v>
      </c>
      <c r="Z41" s="244">
        <f t="shared" si="13"/>
        <v>2.5148999999999999</v>
      </c>
      <c r="AA41" s="244">
        <f t="shared" si="14"/>
        <v>12.114348</v>
      </c>
      <c r="AB41" s="1277">
        <f t="shared" si="11"/>
        <v>12.948</v>
      </c>
      <c r="AC41" s="244">
        <f>U41</f>
        <v>5.1485148514851486</v>
      </c>
      <c r="AD41" s="1277">
        <f>V41</f>
        <v>79.240319000246657</v>
      </c>
      <c r="AE41" s="241">
        <f t="shared" si="7"/>
        <v>31</v>
      </c>
      <c r="AF41" s="244">
        <f t="shared" si="1"/>
        <v>77.9619</v>
      </c>
      <c r="AG41" s="1285"/>
      <c r="AI41" s="1282">
        <f t="shared" si="2"/>
        <v>18.981222427331922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100</v>
      </c>
      <c r="K42" s="241"/>
      <c r="L42" s="1277">
        <v>96</v>
      </c>
      <c r="M42" s="241"/>
      <c r="N42" s="1278">
        <v>2.1</v>
      </c>
      <c r="O42" s="241"/>
      <c r="P42" s="1278">
        <f t="shared" si="4"/>
        <v>49.606768074948349</v>
      </c>
      <c r="Q42" s="1278">
        <f>(32/100)*J42</f>
        <v>32</v>
      </c>
      <c r="R42" s="244">
        <v>2.3159999999999998</v>
      </c>
      <c r="S42" s="244">
        <v>32.177</v>
      </c>
      <c r="T42" s="1277">
        <v>61</v>
      </c>
      <c r="U42" s="1278">
        <f t="shared" si="15"/>
        <v>26.338514680483595</v>
      </c>
      <c r="V42" s="1278">
        <f t="shared" si="5"/>
        <v>92.8023122105852</v>
      </c>
      <c r="W42" s="1279">
        <v>0.1</v>
      </c>
      <c r="X42" s="1316">
        <v>100</v>
      </c>
      <c r="Y42" s="1277">
        <f t="shared" si="3"/>
        <v>100.55312499999999</v>
      </c>
      <c r="Z42" s="244">
        <v>0</v>
      </c>
      <c r="AA42" s="244">
        <v>0</v>
      </c>
      <c r="AB42" s="1277">
        <v>0</v>
      </c>
      <c r="AC42" s="244">
        <v>0</v>
      </c>
      <c r="AD42" s="1277">
        <v>0</v>
      </c>
      <c r="AE42" s="241">
        <v>0</v>
      </c>
      <c r="AF42" s="244">
        <f t="shared" si="1"/>
        <v>0</v>
      </c>
      <c r="AG42" s="1281" t="s">
        <v>769</v>
      </c>
      <c r="AI42" s="1282">
        <f t="shared" si="2"/>
        <v>49.606768074948349</v>
      </c>
      <c r="AJ42" s="1252">
        <v>0.90480000000000005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72">
        <v>554.16999999999996</v>
      </c>
      <c r="J43" s="1448">
        <v>105</v>
      </c>
      <c r="K43" s="241"/>
      <c r="L43" s="1277">
        <v>337</v>
      </c>
      <c r="M43" s="241"/>
      <c r="N43" s="1278">
        <v>5.2</v>
      </c>
      <c r="O43" s="241"/>
      <c r="P43" s="1278">
        <f t="shared" si="4"/>
        <v>26.342456456974961</v>
      </c>
      <c r="Q43" s="1278">
        <f>(32/100)*J43</f>
        <v>33.6</v>
      </c>
      <c r="R43" s="244">
        <v>6.2640000000000002</v>
      </c>
      <c r="S43" s="244">
        <v>39.682000000000002</v>
      </c>
      <c r="T43" s="1277">
        <v>88</v>
      </c>
      <c r="U43" s="1278">
        <f t="shared" si="15"/>
        <v>14.048531289910599</v>
      </c>
      <c r="V43" s="1278">
        <f t="shared" si="5"/>
        <v>84.214505317272298</v>
      </c>
      <c r="W43" s="1279">
        <v>0.2</v>
      </c>
      <c r="X43" s="1449">
        <v>105</v>
      </c>
      <c r="Y43" s="1277">
        <f t="shared" si="3"/>
        <v>118.10119047619048</v>
      </c>
      <c r="Z43" s="244">
        <f>R43*0.996</f>
        <v>6.238944</v>
      </c>
      <c r="AA43" s="244">
        <f t="shared" si="14"/>
        <v>39.523271999999999</v>
      </c>
      <c r="AB43" s="1277">
        <f t="shared" si="11"/>
        <v>87.647999999999996</v>
      </c>
      <c r="AC43" s="244">
        <f>U43</f>
        <v>14.048531289910599</v>
      </c>
      <c r="AD43" s="1277">
        <f>V43</f>
        <v>84.214505317272298</v>
      </c>
      <c r="AE43" s="241">
        <f>(DAY(EOMONTH($AH$17,0))-AH43)</f>
        <v>31</v>
      </c>
      <c r="AF43" s="244">
        <f t="shared" si="1"/>
        <v>193.407264</v>
      </c>
      <c r="AG43" s="1477"/>
      <c r="AI43" s="1282">
        <f t="shared" si="2"/>
        <v>26.342456456974961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566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3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572">
        <v>544.70000000000005</v>
      </c>
      <c r="J45" s="241">
        <v>85</v>
      </c>
      <c r="K45" s="241"/>
      <c r="L45" s="1277">
        <v>139</v>
      </c>
      <c r="M45" s="241"/>
      <c r="N45" s="1278">
        <v>4.0999999999999996</v>
      </c>
      <c r="O45" s="241"/>
      <c r="P45" s="1278">
        <f t="shared" si="4"/>
        <v>42.922236632604893</v>
      </c>
      <c r="Q45" s="1278">
        <f>J45*20/100</f>
        <v>17</v>
      </c>
      <c r="R45" s="244">
        <v>5.7939999999999996</v>
      </c>
      <c r="S45" s="244">
        <v>21.902999999999999</v>
      </c>
      <c r="T45" s="1277">
        <v>26</v>
      </c>
      <c r="U45" s="1278">
        <f t="shared" si="15"/>
        <v>4.4874007594062828</v>
      </c>
      <c r="V45" s="1278">
        <f t="shared" si="5"/>
        <v>73.547002693694921</v>
      </c>
      <c r="W45" s="1279">
        <v>0.2</v>
      </c>
      <c r="X45" s="1316">
        <v>85</v>
      </c>
      <c r="Y45" s="1277">
        <f t="shared" si="3"/>
        <v>128.84117647058824</v>
      </c>
      <c r="Z45" s="244">
        <f t="shared" ref="Z45:Z51" si="16">R45*0.996</f>
        <v>5.7708239999999993</v>
      </c>
      <c r="AA45" s="244">
        <f t="shared" si="14"/>
        <v>21.815387999999999</v>
      </c>
      <c r="AB45" s="1277">
        <f t="shared" si="11"/>
        <v>25.896000000000001</v>
      </c>
      <c r="AC45" s="244">
        <f t="shared" ref="AC45:AD51" si="17">U45</f>
        <v>4.4874007594062828</v>
      </c>
      <c r="AD45" s="1277">
        <f t="shared" si="17"/>
        <v>73.547002693694921</v>
      </c>
      <c r="AE45" s="241">
        <f t="shared" ref="AE45:AE85" si="18">(DAY(EOMONTH($AH$17,0))-AH45)</f>
        <v>31</v>
      </c>
      <c r="AF45" s="244">
        <f t="shared" si="1"/>
        <v>178.89554399999997</v>
      </c>
      <c r="AG45" s="1281"/>
      <c r="AI45" s="1282">
        <f t="shared" si="2"/>
        <v>42.922236632604893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572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572">
        <v>553.30999999999995</v>
      </c>
      <c r="J46" s="1572">
        <v>220</v>
      </c>
      <c r="K46" s="1572"/>
      <c r="L46" s="1319">
        <v>418</v>
      </c>
      <c r="M46" s="1572"/>
      <c r="N46" s="1278">
        <v>2.2999999999999998</v>
      </c>
      <c r="O46" s="1572"/>
      <c r="P46" s="1278">
        <f t="shared" si="4"/>
        <v>15.236415114123396</v>
      </c>
      <c r="Q46" s="1278">
        <f>J46*32/100</f>
        <v>70.400000000000006</v>
      </c>
      <c r="R46" s="244">
        <v>7.38</v>
      </c>
      <c r="S46" s="244">
        <v>24.655999999999999</v>
      </c>
      <c r="T46" s="1319">
        <v>179</v>
      </c>
      <c r="U46" s="1278">
        <f t="shared" si="15"/>
        <v>24.254742547425476</v>
      </c>
      <c r="V46" s="1278">
        <f t="shared" si="5"/>
        <v>70.068137573004535</v>
      </c>
      <c r="W46" s="1279">
        <v>0.2</v>
      </c>
      <c r="X46" s="1410">
        <v>220</v>
      </c>
      <c r="Y46" s="1277">
        <f t="shared" si="3"/>
        <v>35.022727272727266</v>
      </c>
      <c r="Z46" s="244">
        <f t="shared" si="16"/>
        <v>7.3504800000000001</v>
      </c>
      <c r="AA46" s="244">
        <f t="shared" si="14"/>
        <v>24.557375999999998</v>
      </c>
      <c r="AB46" s="1277">
        <f t="shared" si="11"/>
        <v>178.28399999999999</v>
      </c>
      <c r="AC46" s="244">
        <f t="shared" si="17"/>
        <v>24.254742547425476</v>
      </c>
      <c r="AD46" s="1277">
        <f t="shared" si="17"/>
        <v>70.068137573004535</v>
      </c>
      <c r="AE46" s="241">
        <f t="shared" si="18"/>
        <v>31</v>
      </c>
      <c r="AF46" s="244">
        <f t="shared" si="1"/>
        <v>227.86488</v>
      </c>
      <c r="AG46" s="1285"/>
      <c r="AI46" s="1282">
        <f t="shared" si="2"/>
        <v>15.236415114123396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566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566">
        <v>550.59</v>
      </c>
      <c r="J47" s="1373">
        <v>65</v>
      </c>
      <c r="K47" s="1566"/>
      <c r="L47" s="1277">
        <v>394</v>
      </c>
      <c r="M47" s="1566"/>
      <c r="N47" s="1278">
        <v>0.5</v>
      </c>
      <c r="O47" s="1566"/>
      <c r="P47" s="1278">
        <f t="shared" si="4"/>
        <v>15.209614316511814</v>
      </c>
      <c r="Q47" s="1278">
        <f>RIGHT(H47,(FIND("T",H47,1)-0))*J47/100</f>
        <v>9.1</v>
      </c>
      <c r="R47" s="244">
        <v>1.5740000000000001</v>
      </c>
      <c r="S47" s="244">
        <v>3.3090000000000002</v>
      </c>
      <c r="T47" s="1319">
        <v>5</v>
      </c>
      <c r="U47" s="1278">
        <f t="shared" si="15"/>
        <v>3.1766200762388817</v>
      </c>
      <c r="V47" s="1278">
        <f t="shared" si="5"/>
        <v>52.432759141734664</v>
      </c>
      <c r="W47" s="1279">
        <v>0.2</v>
      </c>
      <c r="X47" s="1452">
        <v>65</v>
      </c>
      <c r="Y47" s="1277">
        <f t="shared" si="3"/>
        <v>36.362637362637365</v>
      </c>
      <c r="Z47" s="244">
        <f t="shared" si="16"/>
        <v>1.567704</v>
      </c>
      <c r="AA47" s="244">
        <f t="shared" si="14"/>
        <v>3.2957640000000001</v>
      </c>
      <c r="AB47" s="1277">
        <f t="shared" si="11"/>
        <v>4.9800000000000004</v>
      </c>
      <c r="AC47" s="244">
        <f t="shared" si="17"/>
        <v>3.1766200762388817</v>
      </c>
      <c r="AD47" s="1277">
        <f t="shared" si="17"/>
        <v>52.432759141734664</v>
      </c>
      <c r="AE47" s="241">
        <f t="shared" si="18"/>
        <v>31</v>
      </c>
      <c r="AF47" s="244">
        <f t="shared" si="1"/>
        <v>48.598824</v>
      </c>
      <c r="AG47" s="1285"/>
      <c r="AI47" s="1282">
        <f t="shared" si="2"/>
        <v>15.209614316511814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572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572">
        <v>548.82000000000005</v>
      </c>
      <c r="J48" s="1572">
        <v>85</v>
      </c>
      <c r="K48" s="1572"/>
      <c r="L48" s="1574">
        <v>458</v>
      </c>
      <c r="M48" s="1572"/>
      <c r="N48" s="1278">
        <v>0.6</v>
      </c>
      <c r="O48" s="1572"/>
      <c r="P48" s="1278">
        <f t="shared" si="4"/>
        <v>8.8572607041743847</v>
      </c>
      <c r="Q48" s="1278">
        <f>14*J48/100</f>
        <v>11.9</v>
      </c>
      <c r="R48" s="244">
        <v>4.2539999999999996</v>
      </c>
      <c r="S48" s="244">
        <v>6.1210000000000004</v>
      </c>
      <c r="T48" s="1319">
        <v>12</v>
      </c>
      <c r="U48" s="1278">
        <f t="shared" si="15"/>
        <v>2.8208744710860372</v>
      </c>
      <c r="V48" s="1278">
        <f t="shared" si="5"/>
        <v>30.501552033981387</v>
      </c>
      <c r="W48" s="1279">
        <v>0.2</v>
      </c>
      <c r="X48" s="1410">
        <v>85</v>
      </c>
      <c r="Y48" s="1277">
        <f t="shared" si="3"/>
        <v>51.436974789915965</v>
      </c>
      <c r="Z48" s="244">
        <f t="shared" si="16"/>
        <v>4.2369839999999996</v>
      </c>
      <c r="AA48" s="244">
        <f t="shared" si="14"/>
        <v>6.0965160000000003</v>
      </c>
      <c r="AB48" s="1277">
        <f t="shared" si="11"/>
        <v>11.952</v>
      </c>
      <c r="AC48" s="244">
        <f t="shared" si="17"/>
        <v>2.8208744710860372</v>
      </c>
      <c r="AD48" s="1277">
        <f t="shared" si="17"/>
        <v>30.501552033981387</v>
      </c>
      <c r="AE48" s="241">
        <f t="shared" si="18"/>
        <v>31</v>
      </c>
      <c r="AF48" s="244">
        <f t="shared" si="1"/>
        <v>131.34650399999998</v>
      </c>
      <c r="AG48" s="1285"/>
      <c r="AI48" s="1298">
        <f t="shared" si="2"/>
        <v>8.8572607041743847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572">
        <v>539.24</v>
      </c>
      <c r="J49" s="241">
        <v>310</v>
      </c>
      <c r="K49" s="241"/>
      <c r="L49" s="1277">
        <v>435</v>
      </c>
      <c r="M49" s="241"/>
      <c r="N49" s="1278">
        <v>2.1</v>
      </c>
      <c r="O49" s="241"/>
      <c r="P49" s="1278">
        <f t="shared" si="4"/>
        <v>11.821689733734932</v>
      </c>
      <c r="Q49" s="1278">
        <f>20*J49/100</f>
        <v>62</v>
      </c>
      <c r="R49" s="244">
        <v>4.7919999999999998</v>
      </c>
      <c r="S49" s="244">
        <v>9.1470000000000002</v>
      </c>
      <c r="T49" s="1277">
        <v>10</v>
      </c>
      <c r="U49" s="1278">
        <f t="shared" si="15"/>
        <v>2.0868113522537564</v>
      </c>
      <c r="V49" s="1278">
        <f t="shared" si="5"/>
        <v>47.611238657483327</v>
      </c>
      <c r="W49" s="1279">
        <v>0.2</v>
      </c>
      <c r="X49" s="1316">
        <v>310</v>
      </c>
      <c r="Y49" s="1277">
        <f t="shared" si="3"/>
        <v>14.753225806451614</v>
      </c>
      <c r="Z49" s="244">
        <f t="shared" si="16"/>
        <v>4.7728320000000002</v>
      </c>
      <c r="AA49" s="244">
        <f t="shared" si="14"/>
        <v>9.1104120000000002</v>
      </c>
      <c r="AB49" s="1277">
        <f t="shared" si="11"/>
        <v>9.9600000000000009</v>
      </c>
      <c r="AC49" s="244">
        <f t="shared" si="17"/>
        <v>2.0868113522537564</v>
      </c>
      <c r="AD49" s="1277">
        <f t="shared" si="17"/>
        <v>47.611238657483327</v>
      </c>
      <c r="AE49" s="241">
        <f t="shared" si="18"/>
        <v>31</v>
      </c>
      <c r="AF49" s="244">
        <f t="shared" si="1"/>
        <v>147.95779200000001</v>
      </c>
      <c r="AG49" s="1285"/>
      <c r="AI49" s="1282">
        <f t="shared" si="2"/>
        <v>11.821689733734932</v>
      </c>
      <c r="AJ49" s="1252">
        <v>0.9083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572">
        <v>571.19000000000005</v>
      </c>
      <c r="J50" s="241">
        <v>330</v>
      </c>
      <c r="K50" s="241"/>
      <c r="L50" s="1277">
        <v>328</v>
      </c>
      <c r="M50" s="241"/>
      <c r="N50" s="1278">
        <v>3.2</v>
      </c>
      <c r="O50" s="241"/>
      <c r="P50" s="1278">
        <f t="shared" si="4"/>
        <v>26.678469062219808</v>
      </c>
      <c r="Q50" s="1278">
        <f>LEFT(H50,(FIND("E",H50,1)-1))*J50/100</f>
        <v>42.9</v>
      </c>
      <c r="R50" s="244">
        <v>4.4660000000000002</v>
      </c>
      <c r="S50" s="244">
        <v>17.113</v>
      </c>
      <c r="T50" s="1277">
        <v>10</v>
      </c>
      <c r="U50" s="1278">
        <f t="shared" si="15"/>
        <v>2.2391401701746529</v>
      </c>
      <c r="V50" s="1278">
        <f t="shared" si="5"/>
        <v>73.902880850815166</v>
      </c>
      <c r="W50" s="1279">
        <v>0.3</v>
      </c>
      <c r="X50" s="1316">
        <v>330</v>
      </c>
      <c r="Y50" s="1277">
        <f t="shared" si="3"/>
        <v>39.890442890442891</v>
      </c>
      <c r="Z50" s="244">
        <f t="shared" si="16"/>
        <v>4.4481359999999999</v>
      </c>
      <c r="AA50" s="244">
        <f t="shared" si="14"/>
        <v>17.044547999999999</v>
      </c>
      <c r="AB50" s="1277">
        <f t="shared" si="11"/>
        <v>9.9600000000000009</v>
      </c>
      <c r="AC50" s="244">
        <f t="shared" si="17"/>
        <v>2.2391401701746529</v>
      </c>
      <c r="AD50" s="1277">
        <f t="shared" si="17"/>
        <v>73.902880850815166</v>
      </c>
      <c r="AE50" s="241">
        <f t="shared" si="18"/>
        <v>31</v>
      </c>
      <c r="AF50" s="244">
        <f t="shared" si="1"/>
        <v>137.89221599999999</v>
      </c>
      <c r="AG50" s="1285"/>
      <c r="AI50" s="1282">
        <f t="shared" si="2"/>
        <v>26.678469062219808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572" t="s">
        <v>600</v>
      </c>
      <c r="F51" s="241">
        <v>177.8</v>
      </c>
      <c r="G51" s="241" t="s">
        <v>28</v>
      </c>
      <c r="H51" s="1299" t="s">
        <v>687</v>
      </c>
      <c r="I51" s="1572">
        <v>546.08000000000004</v>
      </c>
      <c r="J51" s="241">
        <v>100</v>
      </c>
      <c r="K51" s="241"/>
      <c r="L51" s="1322">
        <v>203</v>
      </c>
      <c r="M51" s="241"/>
      <c r="N51" s="1306">
        <v>3.8</v>
      </c>
      <c r="O51" s="241"/>
      <c r="P51" s="1278">
        <f t="shared" si="4"/>
        <v>37.192541758088588</v>
      </c>
      <c r="Q51" s="1278">
        <v>20</v>
      </c>
      <c r="R51" s="244">
        <v>4.4029999999999996</v>
      </c>
      <c r="S51" s="244">
        <v>21.344999999999999</v>
      </c>
      <c r="T51" s="1277">
        <v>75</v>
      </c>
      <c r="U51" s="1278">
        <f t="shared" si="15"/>
        <v>17.03384056325233</v>
      </c>
      <c r="V51" s="1278">
        <f t="shared" si="5"/>
        <v>79.372218318107286</v>
      </c>
      <c r="W51" s="1279">
        <v>0.2</v>
      </c>
      <c r="X51" s="1316">
        <v>100</v>
      </c>
      <c r="Y51" s="1277">
        <f t="shared" si="3"/>
        <v>106.72500000000001</v>
      </c>
      <c r="Z51" s="244">
        <f t="shared" si="16"/>
        <v>4.3853879999999998</v>
      </c>
      <c r="AA51" s="244">
        <f t="shared" si="14"/>
        <v>21.259619999999998</v>
      </c>
      <c r="AB51" s="1277">
        <f t="shared" si="11"/>
        <v>74.7</v>
      </c>
      <c r="AC51" s="244">
        <f t="shared" si="17"/>
        <v>17.03384056325233</v>
      </c>
      <c r="AD51" s="1277">
        <f t="shared" si="17"/>
        <v>79.372218318107286</v>
      </c>
      <c r="AE51" s="241">
        <v>13</v>
      </c>
      <c r="AF51" s="244">
        <f t="shared" si="1"/>
        <v>57.010044000000001</v>
      </c>
      <c r="AG51" s="1285" t="s">
        <v>773</v>
      </c>
      <c r="AI51" s="1282">
        <f t="shared" si="2"/>
        <v>37.192541758088588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566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3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572">
        <v>532.98</v>
      </c>
      <c r="J53" s="1448">
        <v>320</v>
      </c>
      <c r="K53" s="241"/>
      <c r="L53" s="1277">
        <v>445</v>
      </c>
      <c r="M53" s="241"/>
      <c r="N53" s="1278">
        <v>3.2</v>
      </c>
      <c r="O53" s="241"/>
      <c r="P53" s="1278">
        <f t="shared" si="4"/>
        <v>11.620140516098067</v>
      </c>
      <c r="Q53" s="1278">
        <f>RIGHT(H53,(FIND("T",H53,1)-0))*J53/100</f>
        <v>44.8</v>
      </c>
      <c r="R53" s="244">
        <v>2.6539999999999999</v>
      </c>
      <c r="S53" s="244">
        <v>9.2780000000000005</v>
      </c>
      <c r="T53" s="1277">
        <v>196</v>
      </c>
      <c r="U53" s="1278">
        <f t="shared" si="15"/>
        <v>73.85079125847777</v>
      </c>
      <c r="V53" s="1278">
        <f t="shared" si="5"/>
        <v>71.394697133002808</v>
      </c>
      <c r="W53" s="1279">
        <v>0.2</v>
      </c>
      <c r="X53" s="1449">
        <v>320</v>
      </c>
      <c r="Y53" s="1277">
        <f t="shared" si="3"/>
        <v>20.709821428571431</v>
      </c>
      <c r="Z53" s="244">
        <f>R53*0.996</f>
        <v>2.6433839999999997</v>
      </c>
      <c r="AA53" s="244">
        <f t="shared" si="14"/>
        <v>9.240888</v>
      </c>
      <c r="AB53" s="1277">
        <f t="shared" si="11"/>
        <v>195.21600000000001</v>
      </c>
      <c r="AC53" s="244">
        <f>U53</f>
        <v>73.85079125847777</v>
      </c>
      <c r="AD53" s="1277">
        <f>V53</f>
        <v>71.394697133002808</v>
      </c>
      <c r="AE53" s="241">
        <f t="shared" si="18"/>
        <v>31</v>
      </c>
      <c r="AF53" s="244">
        <f t="shared" si="1"/>
        <v>81.944903999999994</v>
      </c>
      <c r="AG53" s="1285"/>
      <c r="AI53" s="1282">
        <f t="shared" si="2"/>
        <v>11.620140516098067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566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3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572" t="s">
        <v>442</v>
      </c>
      <c r="F55" s="241">
        <v>177.8</v>
      </c>
      <c r="G55" s="241" t="s">
        <v>28</v>
      </c>
      <c r="H55" s="1299" t="s">
        <v>52</v>
      </c>
      <c r="I55" s="1572">
        <v>517.84</v>
      </c>
      <c r="J55" s="241">
        <v>0</v>
      </c>
      <c r="K55" s="241"/>
      <c r="L55" s="1277">
        <v>402</v>
      </c>
      <c r="M55" s="241"/>
      <c r="N55" s="1278">
        <v>1.4</v>
      </c>
      <c r="O55" s="241"/>
      <c r="P55" s="1278" t="e">
        <f t="shared" si="4"/>
        <v>#DIV/0!</v>
      </c>
      <c r="Q55" s="1278">
        <f>LEFT(H55,(FIND("K",H55,1)-1))*J55/100</f>
        <v>0</v>
      </c>
      <c r="R55" s="244">
        <v>0</v>
      </c>
      <c r="S55" s="244">
        <v>0</v>
      </c>
      <c r="T55" s="1277">
        <v>0</v>
      </c>
      <c r="U55" s="1278">
        <f t="shared" si="15"/>
        <v>0</v>
      </c>
      <c r="V55" s="1278" t="e">
        <f t="shared" si="5"/>
        <v>#DIV/0!</v>
      </c>
      <c r="W55" s="1279">
        <v>0</v>
      </c>
      <c r="X55" s="1316">
        <v>0</v>
      </c>
      <c r="Y55" s="1277">
        <v>0</v>
      </c>
      <c r="Z55" s="244">
        <v>0</v>
      </c>
      <c r="AA55" s="244">
        <v>0</v>
      </c>
      <c r="AB55" s="1277">
        <v>0</v>
      </c>
      <c r="AC55" s="244">
        <v>0</v>
      </c>
      <c r="AD55" s="1277">
        <v>0</v>
      </c>
      <c r="AE55" s="241">
        <v>0</v>
      </c>
      <c r="AF55" s="244">
        <f t="shared" si="1"/>
        <v>0</v>
      </c>
      <c r="AG55" s="1281" t="s">
        <v>767</v>
      </c>
      <c r="AI55" s="1282" t="e">
        <f t="shared" si="2"/>
        <v>#DIV/0!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566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85</v>
      </c>
      <c r="K57" s="1275"/>
      <c r="L57" s="1323">
        <v>441</v>
      </c>
      <c r="M57" s="1275"/>
      <c r="N57" s="1278">
        <v>4.0999999999999996</v>
      </c>
      <c r="O57" s="1275"/>
      <c r="P57" s="1278">
        <f t="shared" si="4"/>
        <v>16.128989706785191</v>
      </c>
      <c r="Q57" s="1278">
        <f>J57*14/100</f>
        <v>11.9</v>
      </c>
      <c r="R57" s="1459">
        <v>4.242</v>
      </c>
      <c r="S57" s="244">
        <v>9.077</v>
      </c>
      <c r="T57" s="1323">
        <v>8</v>
      </c>
      <c r="U57" s="1278">
        <f t="shared" si="15"/>
        <v>1.8859028760018859</v>
      </c>
      <c r="V57" s="1278">
        <f t="shared" ref="V57:V86" si="19">(S57-R57)/S57*100</f>
        <v>53.266497741544562</v>
      </c>
      <c r="W57" s="1460">
        <v>0.2</v>
      </c>
      <c r="X57" s="1453">
        <v>85</v>
      </c>
      <c r="Y57" s="1277">
        <f t="shared" si="3"/>
        <v>76.277310924369743</v>
      </c>
      <c r="Z57" s="244">
        <f>R57*0.996</f>
        <v>4.2250319999999997</v>
      </c>
      <c r="AA57" s="244">
        <f t="shared" ref="AA57:AB75" si="20">S57*0.996</f>
        <v>9.040692</v>
      </c>
      <c r="AB57" s="1277">
        <f t="shared" si="20"/>
        <v>7.968</v>
      </c>
      <c r="AC57" s="1459">
        <f t="shared" ref="AC57:AD59" si="21">U57</f>
        <v>1.8859028760018859</v>
      </c>
      <c r="AD57" s="1277">
        <f t="shared" si="21"/>
        <v>53.266497741544562</v>
      </c>
      <c r="AE57" s="241">
        <f t="shared" si="18"/>
        <v>31</v>
      </c>
      <c r="AF57" s="1459">
        <f t="shared" si="1"/>
        <v>130.97599199999999</v>
      </c>
      <c r="AG57" s="1285"/>
      <c r="AI57" s="1282">
        <f t="shared" si="2"/>
        <v>16.128989706785191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572">
        <v>589.64</v>
      </c>
      <c r="J58" s="1448">
        <v>100</v>
      </c>
      <c r="K58" s="241"/>
      <c r="L58" s="1277">
        <v>332</v>
      </c>
      <c r="M58" s="241"/>
      <c r="N58" s="1278">
        <v>3.7</v>
      </c>
      <c r="O58" s="241"/>
      <c r="P58" s="1278">
        <f t="shared" si="4"/>
        <v>28.881203121459485</v>
      </c>
      <c r="Q58" s="1325">
        <f>J58*20/100</f>
        <v>20</v>
      </c>
      <c r="R58" s="244">
        <v>2.6509999999999998</v>
      </c>
      <c r="S58" s="244">
        <v>16.829999999999998</v>
      </c>
      <c r="T58" s="1277">
        <v>6</v>
      </c>
      <c r="U58" s="1278">
        <f t="shared" si="15"/>
        <v>2.2632968691059978</v>
      </c>
      <c r="V58" s="1278">
        <f t="shared" si="19"/>
        <v>84.248366013071902</v>
      </c>
      <c r="W58" s="1279">
        <v>0.2</v>
      </c>
      <c r="X58" s="1449">
        <v>100</v>
      </c>
      <c r="Y58" s="1277">
        <f t="shared" si="3"/>
        <v>84.149999999999991</v>
      </c>
      <c r="Z58" s="244">
        <f>R58*0.996</f>
        <v>2.640396</v>
      </c>
      <c r="AA58" s="244">
        <f t="shared" si="20"/>
        <v>16.76268</v>
      </c>
      <c r="AB58" s="1277">
        <f t="shared" si="20"/>
        <v>5.976</v>
      </c>
      <c r="AC58" s="244">
        <f t="shared" si="21"/>
        <v>2.2632968691059978</v>
      </c>
      <c r="AD58" s="1277">
        <f t="shared" si="21"/>
        <v>84.248366013071902</v>
      </c>
      <c r="AE58" s="241">
        <v>5</v>
      </c>
      <c r="AF58" s="244">
        <f t="shared" si="1"/>
        <v>13.201979999999999</v>
      </c>
      <c r="AG58" s="1281" t="s">
        <v>771</v>
      </c>
      <c r="AI58" s="1282">
        <f t="shared" si="2"/>
        <v>28.881203121459485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72">
        <v>560.83000000000004</v>
      </c>
      <c r="J59" s="241">
        <v>115</v>
      </c>
      <c r="K59" s="241"/>
      <c r="L59" s="1277">
        <v>367</v>
      </c>
      <c r="M59" s="241"/>
      <c r="N59" s="1278">
        <v>0.6</v>
      </c>
      <c r="O59" s="241"/>
      <c r="P59" s="1278">
        <f t="shared" si="4"/>
        <v>19.24153703293047</v>
      </c>
      <c r="Q59" s="1325">
        <f>J59*15/100</f>
        <v>17.25</v>
      </c>
      <c r="R59" s="244">
        <v>3.3130000000000002</v>
      </c>
      <c r="S59" s="244">
        <v>9.5399999999999991</v>
      </c>
      <c r="T59" s="1277">
        <v>12</v>
      </c>
      <c r="U59" s="1278">
        <f t="shared" si="15"/>
        <v>3.6220947781466948</v>
      </c>
      <c r="V59" s="1278">
        <f t="shared" si="19"/>
        <v>65.272536687631018</v>
      </c>
      <c r="W59" s="1279">
        <v>0.2</v>
      </c>
      <c r="X59" s="1316">
        <v>115</v>
      </c>
      <c r="Y59" s="1277">
        <f t="shared" si="3"/>
        <v>55.304347826086953</v>
      </c>
      <c r="Z59" s="244">
        <f>R59*0.996</f>
        <v>3.2997480000000001</v>
      </c>
      <c r="AA59" s="244">
        <f t="shared" si="20"/>
        <v>9.5018399999999996</v>
      </c>
      <c r="AB59" s="1277">
        <f t="shared" si="20"/>
        <v>11.952</v>
      </c>
      <c r="AC59" s="244">
        <f t="shared" si="21"/>
        <v>3.6220947781466948</v>
      </c>
      <c r="AD59" s="1277">
        <f t="shared" si="21"/>
        <v>65.272536687631018</v>
      </c>
      <c r="AE59" s="241">
        <v>5</v>
      </c>
      <c r="AF59" s="244">
        <f t="shared" si="1"/>
        <v>16.498740000000002</v>
      </c>
      <c r="AG59" s="1281" t="s">
        <v>771</v>
      </c>
      <c r="AI59" s="1282">
        <f t="shared" si="2"/>
        <v>19.24153703293047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72">
        <v>556.55999999999995</v>
      </c>
      <c r="J60" s="241">
        <v>155</v>
      </c>
      <c r="K60" s="241"/>
      <c r="L60" s="1277">
        <v>216</v>
      </c>
      <c r="M60" s="241"/>
      <c r="N60" s="1278">
        <v>4</v>
      </c>
      <c r="O60" s="241"/>
      <c r="P60" s="1278">
        <f t="shared" si="4"/>
        <v>37.28717586356894</v>
      </c>
      <c r="Q60" s="1278">
        <f>J60*22/100</f>
        <v>34.1</v>
      </c>
      <c r="R60" s="244">
        <v>3.4319999999999999</v>
      </c>
      <c r="S60" s="244">
        <v>25.812999999999999</v>
      </c>
      <c r="T60" s="1277">
        <v>13</v>
      </c>
      <c r="U60" s="1278">
        <f t="shared" si="15"/>
        <v>3.7878787878787881</v>
      </c>
      <c r="V60" s="1278">
        <f t="shared" si="19"/>
        <v>86.704373765157101</v>
      </c>
      <c r="W60" s="1279">
        <v>0.2</v>
      </c>
      <c r="X60" s="1316">
        <v>155</v>
      </c>
      <c r="Y60" s="1277">
        <f t="shared" si="3"/>
        <v>75.697947214076251</v>
      </c>
      <c r="Z60" s="244">
        <f>R60*0.996</f>
        <v>3.418272</v>
      </c>
      <c r="AA60" s="244">
        <f t="shared" si="20"/>
        <v>25.709747999999998</v>
      </c>
      <c r="AB60" s="1277">
        <f t="shared" si="20"/>
        <v>12.948</v>
      </c>
      <c r="AC60" s="244">
        <f>U60</f>
        <v>3.7878787878787881</v>
      </c>
      <c r="AD60" s="1277">
        <v>0</v>
      </c>
      <c r="AE60" s="241">
        <v>4</v>
      </c>
      <c r="AF60" s="244">
        <f t="shared" si="1"/>
        <v>13.673088</v>
      </c>
      <c r="AG60" s="1281" t="s">
        <v>771</v>
      </c>
      <c r="AI60" s="1282">
        <f t="shared" si="2"/>
        <v>37.28717586356894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572">
        <v>551.66</v>
      </c>
      <c r="J61" s="241">
        <v>140</v>
      </c>
      <c r="K61" s="241"/>
      <c r="L61" s="1277">
        <v>438</v>
      </c>
      <c r="M61" s="241"/>
      <c r="N61" s="1278">
        <v>1.1000000000000001</v>
      </c>
      <c r="O61" s="241"/>
      <c r="P61" s="1278">
        <f t="shared" si="4"/>
        <v>12.282904506636493</v>
      </c>
      <c r="Q61" s="1278">
        <f>14*J61/100</f>
        <v>19.600000000000001</v>
      </c>
      <c r="R61" s="244">
        <v>1.851</v>
      </c>
      <c r="S61" s="244">
        <v>8.9580000000000002</v>
      </c>
      <c r="T61" s="1277">
        <v>21</v>
      </c>
      <c r="U61" s="1278">
        <f t="shared" si="15"/>
        <v>11.345218800648299</v>
      </c>
      <c r="V61" s="1278">
        <f t="shared" si="19"/>
        <v>79.33690555927663</v>
      </c>
      <c r="W61" s="1279">
        <v>0.2</v>
      </c>
      <c r="X61" s="1316">
        <v>140</v>
      </c>
      <c r="Y61" s="1277">
        <f t="shared" si="3"/>
        <v>45.704081632653057</v>
      </c>
      <c r="Z61" s="244">
        <f>R61*0.996</f>
        <v>1.843596</v>
      </c>
      <c r="AA61" s="244">
        <f t="shared" si="20"/>
        <v>8.922168000000001</v>
      </c>
      <c r="AB61" s="1277">
        <f t="shared" si="20"/>
        <v>20.916</v>
      </c>
      <c r="AC61" s="244">
        <f>U61</f>
        <v>11.345218800648299</v>
      </c>
      <c r="AD61" s="1277">
        <f>V61</f>
        <v>79.33690555927663</v>
      </c>
      <c r="AE61" s="241">
        <v>4</v>
      </c>
      <c r="AF61" s="244">
        <f t="shared" si="1"/>
        <v>7.3743840000000001</v>
      </c>
      <c r="AG61" s="1281" t="s">
        <v>771</v>
      </c>
      <c r="AI61" s="1282">
        <f t="shared" si="2"/>
        <v>12.282904506636493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572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3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572" t="s">
        <v>692</v>
      </c>
      <c r="F63" s="241">
        <v>177.8</v>
      </c>
      <c r="G63" s="241" t="s">
        <v>28</v>
      </c>
      <c r="H63" s="1299" t="s">
        <v>683</v>
      </c>
      <c r="I63" s="1623">
        <v>545.4</v>
      </c>
      <c r="J63" s="241">
        <v>60</v>
      </c>
      <c r="K63" s="241"/>
      <c r="L63" s="1277">
        <v>36</v>
      </c>
      <c r="M63" s="241">
        <v>0</v>
      </c>
      <c r="N63" s="1278">
        <v>0</v>
      </c>
      <c r="O63" s="241"/>
      <c r="P63" s="1278">
        <f t="shared" si="4"/>
        <v>45.419707461718033</v>
      </c>
      <c r="Q63" s="1278">
        <f>J63*13/100</f>
        <v>7.8</v>
      </c>
      <c r="R63" s="244">
        <v>1.3560000000000001</v>
      </c>
      <c r="S63" s="244">
        <v>1.69</v>
      </c>
      <c r="T63" s="1277">
        <v>40</v>
      </c>
      <c r="U63" s="1278">
        <f>IF(R63=0,0,T63/R63)</f>
        <v>29.498525073746311</v>
      </c>
      <c r="V63" s="1278">
        <f t="shared" si="19"/>
        <v>19.763313609467449</v>
      </c>
      <c r="W63" s="1279">
        <v>0.2</v>
      </c>
      <c r="X63" s="1316">
        <v>60</v>
      </c>
      <c r="Y63" s="1277">
        <f t="shared" si="3"/>
        <v>21.666666666666668</v>
      </c>
      <c r="Z63" s="244">
        <f t="shared" ref="Z63:Z70" si="22">R63*0.996</f>
        <v>1.350576</v>
      </c>
      <c r="AA63" s="244">
        <f t="shared" si="20"/>
        <v>1.6832399999999998</v>
      </c>
      <c r="AB63" s="1277">
        <f t="shared" si="20"/>
        <v>39.840000000000003</v>
      </c>
      <c r="AC63" s="244">
        <f t="shared" ref="AC63:AD70" si="23">U63</f>
        <v>29.498525073746311</v>
      </c>
      <c r="AD63" s="1277">
        <f t="shared" si="23"/>
        <v>19.763313609467449</v>
      </c>
      <c r="AE63" s="241">
        <v>31</v>
      </c>
      <c r="AF63" s="244">
        <f t="shared" si="1"/>
        <v>41.867856000000003</v>
      </c>
      <c r="AG63" s="1281"/>
      <c r="AI63" s="1282">
        <f t="shared" si="2"/>
        <v>45.419707461718033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572">
        <v>674.45</v>
      </c>
      <c r="E64" s="1572" t="s">
        <v>232</v>
      </c>
      <c r="F64" s="241">
        <v>177.8</v>
      </c>
      <c r="G64" s="241" t="s">
        <v>28</v>
      </c>
      <c r="H64" s="1299" t="s">
        <v>464</v>
      </c>
      <c r="I64" s="1572">
        <v>542.6</v>
      </c>
      <c r="J64" s="1572">
        <v>130</v>
      </c>
      <c r="K64" s="1572"/>
      <c r="L64" s="1319">
        <v>459</v>
      </c>
      <c r="M64" s="1572"/>
      <c r="N64" s="1278">
        <v>2.4</v>
      </c>
      <c r="O64" s="1572"/>
      <c r="P64" s="1278">
        <f t="shared" si="4"/>
        <v>10.200639256470085</v>
      </c>
      <c r="Q64" s="1278">
        <f>RIGHT(H64,(FIND("T",H64,1)-0))*J64/100</f>
        <v>18.2</v>
      </c>
      <c r="R64" s="244">
        <v>5.86</v>
      </c>
      <c r="S64" s="244">
        <v>8.41</v>
      </c>
      <c r="T64" s="1319">
        <v>24</v>
      </c>
      <c r="U64" s="1278">
        <f t="shared" si="15"/>
        <v>4.0955631399317403</v>
      </c>
      <c r="V64" s="1278">
        <f t="shared" si="19"/>
        <v>30.321046373365039</v>
      </c>
      <c r="W64" s="1279">
        <v>0.2</v>
      </c>
      <c r="X64" s="1410">
        <v>130</v>
      </c>
      <c r="Y64" s="1277">
        <f t="shared" si="3"/>
        <v>46.208791208791212</v>
      </c>
      <c r="Z64" s="244">
        <f t="shared" si="22"/>
        <v>5.8365600000000004</v>
      </c>
      <c r="AA64" s="244">
        <f t="shared" si="20"/>
        <v>8.37636</v>
      </c>
      <c r="AB64" s="1277">
        <f t="shared" si="20"/>
        <v>23.904</v>
      </c>
      <c r="AC64" s="244">
        <f t="shared" si="23"/>
        <v>4.0955631399317403</v>
      </c>
      <c r="AD64" s="1277">
        <f t="shared" si="23"/>
        <v>30.321046373365039</v>
      </c>
      <c r="AE64" s="241">
        <f t="shared" si="18"/>
        <v>31</v>
      </c>
      <c r="AF64" s="244">
        <f>Z64*AE64</f>
        <v>180.93336000000002</v>
      </c>
      <c r="AG64" s="1342"/>
      <c r="AI64" s="1282">
        <f t="shared" si="2"/>
        <v>10.200639256470085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572">
        <v>678.47</v>
      </c>
      <c r="E65" s="1572" t="s">
        <v>606</v>
      </c>
      <c r="F65" s="241">
        <v>177.8</v>
      </c>
      <c r="G65" s="241" t="s">
        <v>28</v>
      </c>
      <c r="H65" s="1299" t="s">
        <v>466</v>
      </c>
      <c r="I65" s="1572">
        <v>574.4</v>
      </c>
      <c r="J65" s="1373">
        <v>145</v>
      </c>
      <c r="K65" s="1572"/>
      <c r="L65" s="1319">
        <v>103</v>
      </c>
      <c r="M65" s="1572"/>
      <c r="N65" s="1278">
        <v>2.7</v>
      </c>
      <c r="O65" s="1572"/>
      <c r="P65" s="1278">
        <f t="shared" si="4"/>
        <v>48.438461171308596</v>
      </c>
      <c r="Q65" s="1278">
        <f>LEFT(H65,(FIND("E",H65,1)-1))*J65/100</f>
        <v>18.850000000000001</v>
      </c>
      <c r="R65" s="244">
        <v>3.45</v>
      </c>
      <c r="S65" s="244">
        <v>20.378</v>
      </c>
      <c r="T65" s="1277">
        <v>31</v>
      </c>
      <c r="U65" s="1278">
        <f t="shared" si="15"/>
        <v>8.9855072463768106</v>
      </c>
      <c r="V65" s="1278">
        <f t="shared" si="19"/>
        <v>83.069977426636569</v>
      </c>
      <c r="W65" s="1279">
        <v>0.2</v>
      </c>
      <c r="X65" s="1452">
        <v>145</v>
      </c>
      <c r="Y65" s="1277">
        <f t="shared" si="3"/>
        <v>108.10610079575595</v>
      </c>
      <c r="Z65" s="244">
        <f t="shared" si="22"/>
        <v>3.4362000000000004</v>
      </c>
      <c r="AA65" s="244">
        <f t="shared" si="20"/>
        <v>20.296488</v>
      </c>
      <c r="AB65" s="1277">
        <f t="shared" si="20"/>
        <v>30.876000000000001</v>
      </c>
      <c r="AC65" s="244">
        <f t="shared" si="23"/>
        <v>8.9855072463768106</v>
      </c>
      <c r="AD65" s="1277">
        <f t="shared" si="23"/>
        <v>83.069977426636569</v>
      </c>
      <c r="AE65" s="241">
        <v>4</v>
      </c>
      <c r="AF65" s="244">
        <f t="shared" ref="AF65:AF75" si="24">Z65*AE65</f>
        <v>13.744800000000001</v>
      </c>
      <c r="AG65" s="1281" t="s">
        <v>771</v>
      </c>
      <c r="AI65" s="1282">
        <f t="shared" si="2"/>
        <v>48.438461171308596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572">
        <v>541.12</v>
      </c>
      <c r="J66" s="241">
        <v>175</v>
      </c>
      <c r="K66" s="241"/>
      <c r="L66" s="1277">
        <v>447</v>
      </c>
      <c r="M66" s="241"/>
      <c r="N66" s="1278">
        <v>3.8</v>
      </c>
      <c r="O66" s="241"/>
      <c r="P66" s="1278">
        <f t="shared" si="4"/>
        <v>12.999529318090984</v>
      </c>
      <c r="Q66" s="1278">
        <f>20*J66/100</f>
        <v>35</v>
      </c>
      <c r="R66" s="244">
        <v>6.8869999999999996</v>
      </c>
      <c r="S66" s="244">
        <v>22.992000000000001</v>
      </c>
      <c r="T66" s="1277">
        <v>75</v>
      </c>
      <c r="U66" s="1278">
        <f t="shared" si="15"/>
        <v>10.890082764629012</v>
      </c>
      <c r="V66" s="1278">
        <f t="shared" si="19"/>
        <v>70.046102992345155</v>
      </c>
      <c r="W66" s="1279">
        <v>0.2</v>
      </c>
      <c r="X66" s="1316">
        <v>175</v>
      </c>
      <c r="Y66" s="1277">
        <f t="shared" si="3"/>
        <v>65.691428571428574</v>
      </c>
      <c r="Z66" s="244">
        <f t="shared" si="22"/>
        <v>6.8594519999999992</v>
      </c>
      <c r="AA66" s="244">
        <f t="shared" si="20"/>
        <v>22.900031999999999</v>
      </c>
      <c r="AB66" s="1277">
        <f t="shared" si="20"/>
        <v>74.7</v>
      </c>
      <c r="AC66" s="244">
        <f t="shared" si="23"/>
        <v>10.890082764629012</v>
      </c>
      <c r="AD66" s="1277">
        <f t="shared" si="23"/>
        <v>70.046102992345155</v>
      </c>
      <c r="AE66" s="241">
        <f t="shared" si="18"/>
        <v>31</v>
      </c>
      <c r="AF66" s="244">
        <f t="shared" si="24"/>
        <v>212.64301199999997</v>
      </c>
      <c r="AG66" s="1285"/>
      <c r="AI66" s="1282">
        <f t="shared" si="2"/>
        <v>12.999529318090984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573">
        <v>521.42999999999995</v>
      </c>
      <c r="J67" s="241">
        <v>300</v>
      </c>
      <c r="K67" s="241"/>
      <c r="L67" s="1277">
        <v>456</v>
      </c>
      <c r="M67" s="241"/>
      <c r="N67" s="1278">
        <v>5.5</v>
      </c>
      <c r="O67" s="241"/>
      <c r="P67" s="1278">
        <f t="shared" si="4"/>
        <v>11.703835407026878</v>
      </c>
      <c r="Q67" s="1278">
        <f>J67*14/100</f>
        <v>42</v>
      </c>
      <c r="R67" s="244">
        <v>8.7949999999999999</v>
      </c>
      <c r="S67" s="244">
        <v>15.092000000000001</v>
      </c>
      <c r="T67" s="1277">
        <v>224</v>
      </c>
      <c r="U67" s="1278">
        <f t="shared" si="15"/>
        <v>25.469016486640136</v>
      </c>
      <c r="V67" s="1278">
        <f t="shared" si="19"/>
        <v>41.724092234296315</v>
      </c>
      <c r="W67" s="1279">
        <v>0.2</v>
      </c>
      <c r="X67" s="1316">
        <v>300</v>
      </c>
      <c r="Y67" s="1277">
        <f t="shared" si="3"/>
        <v>35.933333333333337</v>
      </c>
      <c r="Z67" s="244">
        <f t="shared" si="22"/>
        <v>8.7598199999999995</v>
      </c>
      <c r="AA67" s="244">
        <f t="shared" si="20"/>
        <v>15.031632</v>
      </c>
      <c r="AB67" s="1277">
        <f t="shared" si="20"/>
        <v>223.10399999999998</v>
      </c>
      <c r="AC67" s="244">
        <f t="shared" si="23"/>
        <v>25.469016486640136</v>
      </c>
      <c r="AD67" s="1277">
        <f t="shared" si="23"/>
        <v>41.724092234296315</v>
      </c>
      <c r="AE67" s="241">
        <f t="shared" si="18"/>
        <v>31</v>
      </c>
      <c r="AF67" s="244">
        <f t="shared" si="24"/>
        <v>271.55441999999999</v>
      </c>
      <c r="AG67" s="1285"/>
      <c r="AI67" s="1282">
        <f t="shared" si="2"/>
        <v>11.703835407026878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573" t="s">
        <v>607</v>
      </c>
      <c r="F68" s="241">
        <v>177.8</v>
      </c>
      <c r="G68" s="241" t="s">
        <v>28</v>
      </c>
      <c r="H68" s="241" t="s">
        <v>464</v>
      </c>
      <c r="I68" s="1573">
        <v>512.28</v>
      </c>
      <c r="J68" s="241">
        <v>175</v>
      </c>
      <c r="K68" s="241"/>
      <c r="L68" s="1277">
        <v>418</v>
      </c>
      <c r="M68" s="241"/>
      <c r="N68" s="1278">
        <v>3.2</v>
      </c>
      <c r="O68" s="241"/>
      <c r="P68" s="1278">
        <f t="shared" si="4"/>
        <v>12.337495509674845</v>
      </c>
      <c r="Q68" s="1278">
        <f>J68*14/100</f>
        <v>24.5</v>
      </c>
      <c r="R68" s="244">
        <v>5.6349999999999998</v>
      </c>
      <c r="S68" s="244">
        <v>13.935</v>
      </c>
      <c r="T68" s="1277">
        <v>45</v>
      </c>
      <c r="U68" s="1278">
        <f t="shared" si="15"/>
        <v>7.9858030168589176</v>
      </c>
      <c r="V68" s="1278">
        <f t="shared" si="19"/>
        <v>59.562253318980986</v>
      </c>
      <c r="W68" s="1279">
        <v>0.2</v>
      </c>
      <c r="X68" s="1316">
        <v>175</v>
      </c>
      <c r="Y68" s="1277">
        <f t="shared" si="3"/>
        <v>56.87755102040817</v>
      </c>
      <c r="Z68" s="244">
        <f t="shared" si="22"/>
        <v>5.6124599999999996</v>
      </c>
      <c r="AA68" s="244">
        <f t="shared" si="20"/>
        <v>13.87926</v>
      </c>
      <c r="AB68" s="1277">
        <f t="shared" si="20"/>
        <v>44.82</v>
      </c>
      <c r="AC68" s="244">
        <f t="shared" si="23"/>
        <v>7.9858030168589176</v>
      </c>
      <c r="AD68" s="1277">
        <f t="shared" si="23"/>
        <v>59.562253318980986</v>
      </c>
      <c r="AE68" s="241">
        <f t="shared" si="18"/>
        <v>31</v>
      </c>
      <c r="AF68" s="244">
        <f t="shared" si="24"/>
        <v>173.98625999999999</v>
      </c>
      <c r="AG68" s="1285"/>
      <c r="AI68" s="1282">
        <f t="shared" si="2"/>
        <v>12.337495509674845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573">
        <v>539.28</v>
      </c>
      <c r="J69" s="241">
        <v>120</v>
      </c>
      <c r="K69" s="241"/>
      <c r="L69" s="1277">
        <v>223</v>
      </c>
      <c r="M69" s="241"/>
      <c r="N69" s="1278">
        <v>5</v>
      </c>
      <c r="O69" s="241"/>
      <c r="P69" s="1278">
        <f t="shared" si="4"/>
        <v>35.743206900655821</v>
      </c>
      <c r="Q69" s="1278">
        <f>J69*13/100</f>
        <v>15.6</v>
      </c>
      <c r="R69" s="244">
        <v>1.704</v>
      </c>
      <c r="S69" s="244">
        <v>10.295999999999999</v>
      </c>
      <c r="T69" s="1277">
        <v>15</v>
      </c>
      <c r="U69" s="1278">
        <f t="shared" si="15"/>
        <v>8.8028169014084501</v>
      </c>
      <c r="V69" s="1278">
        <f t="shared" si="19"/>
        <v>83.449883449883444</v>
      </c>
      <c r="W69" s="1279">
        <v>0.2</v>
      </c>
      <c r="X69" s="1316">
        <v>120</v>
      </c>
      <c r="Y69" s="1277">
        <f t="shared" si="3"/>
        <v>65.999999999999986</v>
      </c>
      <c r="Z69" s="244">
        <f t="shared" si="22"/>
        <v>1.697184</v>
      </c>
      <c r="AA69" s="244">
        <f t="shared" si="20"/>
        <v>10.254816</v>
      </c>
      <c r="AB69" s="1277">
        <f t="shared" si="20"/>
        <v>14.94</v>
      </c>
      <c r="AC69" s="244">
        <f t="shared" si="23"/>
        <v>8.8028169014084501</v>
      </c>
      <c r="AD69" s="1277">
        <f t="shared" si="23"/>
        <v>83.449883449883444</v>
      </c>
      <c r="AE69" s="241">
        <v>4</v>
      </c>
      <c r="AF69" s="244">
        <f>Z69*AE69</f>
        <v>6.7887360000000001</v>
      </c>
      <c r="AG69" s="1281" t="s">
        <v>771</v>
      </c>
      <c r="AI69" s="1282">
        <f t="shared" si="2"/>
        <v>35.743206900655821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573">
        <v>541.46</v>
      </c>
      <c r="J70" s="241">
        <v>100</v>
      </c>
      <c r="K70" s="241"/>
      <c r="L70" s="1277">
        <v>212</v>
      </c>
      <c r="M70" s="241"/>
      <c r="N70" s="1278">
        <v>6.5</v>
      </c>
      <c r="O70" s="241"/>
      <c r="P70" s="1278">
        <f t="shared" si="4"/>
        <v>38.407257607975545</v>
      </c>
      <c r="Q70" s="1278">
        <f>(32/100)*J70</f>
        <v>32</v>
      </c>
      <c r="R70" s="244">
        <v>6.6790000000000003</v>
      </c>
      <c r="S70" s="244">
        <v>36.337000000000003</v>
      </c>
      <c r="T70" s="1277">
        <v>36</v>
      </c>
      <c r="U70" s="1278">
        <f t="shared" si="15"/>
        <v>5.3900284473723605</v>
      </c>
      <c r="V70" s="1278">
        <f t="shared" si="19"/>
        <v>81.619286127088088</v>
      </c>
      <c r="W70" s="1279">
        <v>0.2</v>
      </c>
      <c r="X70" s="1316">
        <v>100</v>
      </c>
      <c r="Y70" s="1277">
        <f t="shared" si="3"/>
        <v>113.55312500000001</v>
      </c>
      <c r="Z70" s="244">
        <f t="shared" si="22"/>
        <v>6.6522839999999999</v>
      </c>
      <c r="AA70" s="244">
        <f t="shared" si="20"/>
        <v>36.191652000000005</v>
      </c>
      <c r="AB70" s="1277">
        <f t="shared" si="20"/>
        <v>35.856000000000002</v>
      </c>
      <c r="AC70" s="244">
        <f>U70</f>
        <v>5.3900284473723605</v>
      </c>
      <c r="AD70" s="1277">
        <f t="shared" si="23"/>
        <v>81.619286127088088</v>
      </c>
      <c r="AE70" s="241">
        <f t="shared" si="18"/>
        <v>31</v>
      </c>
      <c r="AF70" s="244">
        <f t="shared" si="24"/>
        <v>206.22080399999999</v>
      </c>
      <c r="AG70" s="1285"/>
      <c r="AI70" s="1282">
        <f t="shared" si="2"/>
        <v>38.407257607975545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573">
        <v>539.83000000000004</v>
      </c>
      <c r="J71" s="1448">
        <v>95</v>
      </c>
      <c r="K71" s="241"/>
      <c r="L71" s="1277">
        <v>110</v>
      </c>
      <c r="M71" s="1278"/>
      <c r="N71" s="1278">
        <v>6.7</v>
      </c>
      <c r="O71" s="241"/>
      <c r="P71" s="1278">
        <f t="shared" si="4"/>
        <v>48.674581176250349</v>
      </c>
      <c r="Q71" s="1278">
        <f>(32/100)*J71</f>
        <v>30.400000000000002</v>
      </c>
      <c r="R71" s="244">
        <v>3.4249999999999998</v>
      </c>
      <c r="S71" s="244">
        <v>34.819000000000003</v>
      </c>
      <c r="T71" s="1277">
        <v>91</v>
      </c>
      <c r="U71" s="1278">
        <f t="shared" si="15"/>
        <v>26.569343065693431</v>
      </c>
      <c r="V71" s="1278">
        <f t="shared" si="19"/>
        <v>90.163416525460235</v>
      </c>
      <c r="W71" s="1279">
        <v>0.3</v>
      </c>
      <c r="X71" s="1449">
        <v>95</v>
      </c>
      <c r="Y71" s="1277">
        <f t="shared" si="3"/>
        <v>114.53618421052632</v>
      </c>
      <c r="Z71" s="244">
        <v>0</v>
      </c>
      <c r="AA71" s="244">
        <v>0</v>
      </c>
      <c r="AB71" s="1277">
        <f t="shared" si="20"/>
        <v>90.635999999999996</v>
      </c>
      <c r="AC71" s="244">
        <v>0</v>
      </c>
      <c r="AD71" s="1277">
        <v>0</v>
      </c>
      <c r="AE71" s="241">
        <v>0</v>
      </c>
      <c r="AF71" s="244">
        <f t="shared" si="24"/>
        <v>0</v>
      </c>
      <c r="AG71" s="1281" t="s">
        <v>769</v>
      </c>
      <c r="AI71" s="1282">
        <f t="shared" si="2"/>
        <v>48.674581176250349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573">
        <v>512.47</v>
      </c>
      <c r="J72" s="1277">
        <v>245</v>
      </c>
      <c r="K72" s="241"/>
      <c r="L72" s="1277">
        <v>463</v>
      </c>
      <c r="M72" s="241"/>
      <c r="N72" s="1278">
        <v>5.4</v>
      </c>
      <c r="O72" s="241"/>
      <c r="P72" s="1278">
        <f t="shared" si="4"/>
        <v>9.999872342048862</v>
      </c>
      <c r="Q72" s="1278">
        <f>(32*J72)/100</f>
        <v>78.400000000000006</v>
      </c>
      <c r="R72" s="244">
        <v>14.115</v>
      </c>
      <c r="S72" s="244">
        <v>18.091000000000001</v>
      </c>
      <c r="T72" s="1277">
        <v>466</v>
      </c>
      <c r="U72" s="1278">
        <f t="shared" si="15"/>
        <v>33.01452355650018</v>
      </c>
      <c r="V72" s="1278">
        <f t="shared" si="19"/>
        <v>21.977779006135652</v>
      </c>
      <c r="W72" s="1279">
        <v>0.2</v>
      </c>
      <c r="X72" s="1454">
        <v>245</v>
      </c>
      <c r="Y72" s="1277">
        <f t="shared" si="3"/>
        <v>23.075255102040813</v>
      </c>
      <c r="Z72" s="244">
        <f>R72*0.996</f>
        <v>14.058540000000001</v>
      </c>
      <c r="AA72" s="244">
        <f t="shared" si="20"/>
        <v>18.018636000000001</v>
      </c>
      <c r="AB72" s="1277">
        <f t="shared" si="20"/>
        <v>464.13600000000002</v>
      </c>
      <c r="AC72" s="244">
        <f>U72</f>
        <v>33.01452355650018</v>
      </c>
      <c r="AD72" s="1277">
        <f>V72</f>
        <v>21.977779006135652</v>
      </c>
      <c r="AE72" s="241">
        <f t="shared" si="18"/>
        <v>31</v>
      </c>
      <c r="AF72" s="244">
        <f t="shared" si="24"/>
        <v>435.81474000000003</v>
      </c>
      <c r="AG72" s="1281"/>
      <c r="AI72" s="1282">
        <f t="shared" si="2"/>
        <v>9.999872342048862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573">
        <v>500.41</v>
      </c>
      <c r="J73" s="1448">
        <v>235</v>
      </c>
      <c r="K73" s="241"/>
      <c r="L73" s="1277">
        <v>477</v>
      </c>
      <c r="M73" s="241"/>
      <c r="N73" s="1278">
        <v>2.8</v>
      </c>
      <c r="O73" s="241"/>
      <c r="P73" s="1278">
        <f t="shared" si="4"/>
        <v>5.1909106733757691</v>
      </c>
      <c r="Q73" s="1278">
        <f>J73*32/100</f>
        <v>75.2</v>
      </c>
      <c r="R73" s="244">
        <v>7.2779999999999996</v>
      </c>
      <c r="S73" s="244">
        <v>11.875</v>
      </c>
      <c r="T73" s="1277">
        <v>129</v>
      </c>
      <c r="U73" s="1278">
        <f t="shared" si="15"/>
        <v>17.724649629018963</v>
      </c>
      <c r="V73" s="1278">
        <f t="shared" si="19"/>
        <v>38.711578947368423</v>
      </c>
      <c r="W73" s="1279">
        <v>0.2</v>
      </c>
      <c r="X73" s="1449">
        <v>235</v>
      </c>
      <c r="Y73" s="1277">
        <f t="shared" si="3"/>
        <v>15.791223404255319</v>
      </c>
      <c r="Z73" s="244">
        <f>R73*0.996</f>
        <v>7.248888</v>
      </c>
      <c r="AA73" s="244">
        <f t="shared" si="20"/>
        <v>11.827500000000001</v>
      </c>
      <c r="AB73" s="1277">
        <f t="shared" si="20"/>
        <v>128.48400000000001</v>
      </c>
      <c r="AC73" s="244">
        <v>20</v>
      </c>
      <c r="AD73" s="1277">
        <f>V73</f>
        <v>38.711578947368423</v>
      </c>
      <c r="AE73" s="241">
        <f t="shared" si="18"/>
        <v>31</v>
      </c>
      <c r="AF73" s="244">
        <f t="shared" si="24"/>
        <v>224.71552800000001</v>
      </c>
      <c r="AG73" s="1281"/>
      <c r="AI73" s="1282">
        <f t="shared" si="2"/>
        <v>5.1909106733757691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573">
        <v>549.1</v>
      </c>
      <c r="J74" s="1448">
        <v>185</v>
      </c>
      <c r="K74" s="241"/>
      <c r="L74" s="1277">
        <v>460</v>
      </c>
      <c r="M74" s="241"/>
      <c r="N74" s="1278">
        <v>8.6</v>
      </c>
      <c r="O74" s="241"/>
      <c r="P74" s="1278">
        <f t="shared" si="4"/>
        <v>17.124410494245669</v>
      </c>
      <c r="Q74" s="1278">
        <f>LEFT(H74,(FIND("E",H74,1)-1))*J74/100</f>
        <v>40.700000000000003</v>
      </c>
      <c r="R74" s="244">
        <v>12.952999999999999</v>
      </c>
      <c r="S74" s="244">
        <v>27.61</v>
      </c>
      <c r="T74" s="1277">
        <v>360</v>
      </c>
      <c r="U74" s="1278">
        <f t="shared" si="15"/>
        <v>27.792789315216552</v>
      </c>
      <c r="V74" s="1278">
        <f t="shared" si="19"/>
        <v>53.085838464324517</v>
      </c>
      <c r="W74" s="1279">
        <v>0.2</v>
      </c>
      <c r="X74" s="1449">
        <v>185</v>
      </c>
      <c r="Y74" s="1277">
        <f t="shared" si="3"/>
        <v>67.837837837837839</v>
      </c>
      <c r="Z74" s="244">
        <f>R74*0.996</f>
        <v>12.901187999999999</v>
      </c>
      <c r="AA74" s="244">
        <f t="shared" si="20"/>
        <v>27.499559999999999</v>
      </c>
      <c r="AB74" s="1277">
        <f t="shared" si="20"/>
        <v>358.56</v>
      </c>
      <c r="AC74" s="244">
        <f>U74</f>
        <v>27.792789315216552</v>
      </c>
      <c r="AD74" s="1277">
        <f>V74</f>
        <v>53.085838464324517</v>
      </c>
      <c r="AE74" s="241">
        <f t="shared" si="18"/>
        <v>31</v>
      </c>
      <c r="AF74" s="244">
        <f t="shared" si="24"/>
        <v>399.93682799999999</v>
      </c>
      <c r="AG74" s="1285"/>
      <c r="AI74" s="1282">
        <f t="shared" si="2"/>
        <v>17.124410494245669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23">
        <v>542.46</v>
      </c>
      <c r="J75" s="1448">
        <v>85</v>
      </c>
      <c r="K75" s="241"/>
      <c r="L75" s="1277">
        <v>299</v>
      </c>
      <c r="M75" s="241"/>
      <c r="N75" s="1278">
        <v>3.7</v>
      </c>
      <c r="O75" s="241"/>
      <c r="P75" s="1278">
        <f t="shared" si="4"/>
        <v>26.77569346921279</v>
      </c>
      <c r="Q75" s="1278">
        <f>(20/100)*J75</f>
        <v>17</v>
      </c>
      <c r="R75" s="244">
        <v>7.1820000000000004</v>
      </c>
      <c r="S75" s="244">
        <v>19.04</v>
      </c>
      <c r="T75" s="1277">
        <v>76</v>
      </c>
      <c r="U75" s="1278">
        <f t="shared" si="15"/>
        <v>10.582010582010582</v>
      </c>
      <c r="V75" s="1278">
        <f t="shared" si="19"/>
        <v>62.279411764705884</v>
      </c>
      <c r="W75" s="1279">
        <v>0.2</v>
      </c>
      <c r="X75" s="1449">
        <v>85</v>
      </c>
      <c r="Y75" s="1277">
        <f t="shared" si="3"/>
        <v>111.99999999999999</v>
      </c>
      <c r="Z75" s="244">
        <f>R75*0.996</f>
        <v>7.1532720000000003</v>
      </c>
      <c r="AA75" s="244">
        <f t="shared" si="20"/>
        <v>18.963839999999998</v>
      </c>
      <c r="AB75" s="1277">
        <f t="shared" si="20"/>
        <v>75.695999999999998</v>
      </c>
      <c r="AC75" s="244">
        <f>U75</f>
        <v>10.582010582010582</v>
      </c>
      <c r="AD75" s="1277">
        <f>V75</f>
        <v>62.279411764705884</v>
      </c>
      <c r="AE75" s="241">
        <f t="shared" si="18"/>
        <v>31</v>
      </c>
      <c r="AF75" s="244">
        <f t="shared" si="24"/>
        <v>221.75143200000002</v>
      </c>
      <c r="AG75" s="1285"/>
      <c r="AI75" s="1282">
        <f t="shared" si="2"/>
        <v>26.77569346921279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566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3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774</v>
      </c>
      <c r="F77" s="241">
        <v>177.8</v>
      </c>
      <c r="G77" s="241" t="s">
        <v>28</v>
      </c>
      <c r="H77" s="1299" t="s">
        <v>687</v>
      </c>
      <c r="I77" s="1585">
        <v>584.41999999999996</v>
      </c>
      <c r="J77" s="1448">
        <v>85</v>
      </c>
      <c r="K77" s="241"/>
      <c r="L77" s="1277">
        <v>178</v>
      </c>
      <c r="M77" s="241"/>
      <c r="N77" s="1278">
        <v>0.1</v>
      </c>
      <c r="O77" s="241"/>
      <c r="P77" s="1278">
        <f t="shared" si="4"/>
        <v>39.986413791286708</v>
      </c>
      <c r="Q77" s="1278">
        <f>(20*J77)/100</f>
        <v>17</v>
      </c>
      <c r="R77" s="244">
        <v>0.45500000000000002</v>
      </c>
      <c r="S77" s="244">
        <v>6.351</v>
      </c>
      <c r="T77" s="1277">
        <v>33</v>
      </c>
      <c r="U77" s="1278">
        <f t="shared" si="15"/>
        <v>72.527472527472526</v>
      </c>
      <c r="V77" s="1278">
        <f t="shared" si="19"/>
        <v>92.835773893874986</v>
      </c>
      <c r="W77" s="1279">
        <v>0.2</v>
      </c>
      <c r="X77" s="1449">
        <v>85</v>
      </c>
      <c r="Y77" s="1277">
        <f t="shared" si="3"/>
        <v>37.358823529411765</v>
      </c>
      <c r="Z77" s="244">
        <v>0</v>
      </c>
      <c r="AA77" s="244">
        <v>0</v>
      </c>
      <c r="AB77" s="1277">
        <v>0</v>
      </c>
      <c r="AC77" s="244">
        <v>0</v>
      </c>
      <c r="AD77" s="1277">
        <v>0</v>
      </c>
      <c r="AE77" s="241">
        <v>0</v>
      </c>
      <c r="AF77" s="244">
        <f t="shared" ref="AF77:AF83" si="25">Z77*AE77</f>
        <v>0</v>
      </c>
      <c r="AG77" s="1285" t="s">
        <v>770</v>
      </c>
      <c r="AI77" s="1282">
        <f t="shared" si="2"/>
        <v>39.986413791286708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573">
        <v>531.27</v>
      </c>
      <c r="J78" s="1448">
        <v>125</v>
      </c>
      <c r="K78" s="241"/>
      <c r="L78" s="1277">
        <v>306</v>
      </c>
      <c r="M78" s="241"/>
      <c r="N78" s="1278">
        <v>8.8000000000000007</v>
      </c>
      <c r="O78" s="241"/>
      <c r="P78" s="1278">
        <f t="shared" si="4"/>
        <v>30.321715146856064</v>
      </c>
      <c r="Q78" s="1278">
        <f>(32*J78)/100</f>
        <v>40</v>
      </c>
      <c r="R78" s="244">
        <v>10.561</v>
      </c>
      <c r="S78" s="244">
        <v>33.042999999999999</v>
      </c>
      <c r="T78" s="1277">
        <v>158</v>
      </c>
      <c r="U78" s="1278">
        <f t="shared" si="15"/>
        <v>14.960704478742544</v>
      </c>
      <c r="V78" s="1278">
        <f t="shared" si="19"/>
        <v>68.038616348394527</v>
      </c>
      <c r="W78" s="1279">
        <v>0.2</v>
      </c>
      <c r="X78" s="1449">
        <v>125</v>
      </c>
      <c r="Y78" s="1277">
        <f t="shared" si="3"/>
        <v>82.607500000000002</v>
      </c>
      <c r="Z78" s="244">
        <f>R78*0.996</f>
        <v>10.518756</v>
      </c>
      <c r="AA78" s="244">
        <f t="shared" ref="AA78:AB86" si="26">S78*0.996</f>
        <v>32.910828000000002</v>
      </c>
      <c r="AB78" s="1277">
        <f t="shared" si="26"/>
        <v>157.36799999999999</v>
      </c>
      <c r="AC78" s="244">
        <f t="shared" ref="AC78:AD81" si="27">U78</f>
        <v>14.960704478742544</v>
      </c>
      <c r="AD78" s="1277">
        <f t="shared" si="27"/>
        <v>68.038616348394527</v>
      </c>
      <c r="AE78" s="241">
        <f t="shared" si="18"/>
        <v>31</v>
      </c>
      <c r="AF78" s="244">
        <f t="shared" si="25"/>
        <v>326.081436</v>
      </c>
      <c r="AG78" s="1285"/>
      <c r="AI78" s="1282">
        <f t="shared" si="2"/>
        <v>30.321715146856064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573">
        <v>533.89</v>
      </c>
      <c r="J79" s="1448">
        <v>85</v>
      </c>
      <c r="K79" s="241"/>
      <c r="L79" s="1277">
        <v>55</v>
      </c>
      <c r="M79" s="241"/>
      <c r="N79" s="1278">
        <v>0.5</v>
      </c>
      <c r="O79" s="241"/>
      <c r="P79" s="1278">
        <f t="shared" si="4"/>
        <v>46.926575673335329</v>
      </c>
      <c r="Q79" s="1278">
        <f>(20/100)*J79</f>
        <v>17</v>
      </c>
      <c r="R79" s="244">
        <v>2.8820000000000001</v>
      </c>
      <c r="S79" s="244">
        <v>17.291</v>
      </c>
      <c r="T79" s="1277">
        <v>113</v>
      </c>
      <c r="U79" s="1278">
        <f t="shared" si="15"/>
        <v>39.208882720333101</v>
      </c>
      <c r="V79" s="1278">
        <f t="shared" si="19"/>
        <v>83.332369440749517</v>
      </c>
      <c r="W79" s="1279">
        <v>0.2</v>
      </c>
      <c r="X79" s="1449">
        <v>85</v>
      </c>
      <c r="Y79" s="1277">
        <f t="shared" si="3"/>
        <v>101.71176470588235</v>
      </c>
      <c r="Z79" s="244">
        <f>R79*0.996</f>
        <v>2.8704719999999999</v>
      </c>
      <c r="AA79" s="244">
        <f t="shared" si="26"/>
        <v>17.221836</v>
      </c>
      <c r="AB79" s="1277">
        <f t="shared" si="26"/>
        <v>112.548</v>
      </c>
      <c r="AC79" s="244">
        <f t="shared" si="27"/>
        <v>39.208882720333101</v>
      </c>
      <c r="AD79" s="1277">
        <f t="shared" si="27"/>
        <v>83.332369440749517</v>
      </c>
      <c r="AE79" s="241">
        <v>5</v>
      </c>
      <c r="AF79" s="244">
        <f t="shared" si="25"/>
        <v>14.352359999999999</v>
      </c>
      <c r="AG79" s="1281" t="s">
        <v>772</v>
      </c>
      <c r="AI79" s="1282">
        <f t="shared" si="2"/>
        <v>46.926575673335329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573">
        <v>571.08000000000004</v>
      </c>
      <c r="J80" s="1448">
        <v>195</v>
      </c>
      <c r="K80" s="241"/>
      <c r="L80" s="1277">
        <v>456</v>
      </c>
      <c r="M80" s="241"/>
      <c r="N80" s="1278">
        <v>25.6</v>
      </c>
      <c r="O80" s="241"/>
      <c r="P80" s="1278">
        <f t="shared" si="4"/>
        <v>35.121471218809411</v>
      </c>
      <c r="Q80" s="1278">
        <f>(32/100)*J80</f>
        <v>62.4</v>
      </c>
      <c r="R80" s="244">
        <v>8.2360000000000007</v>
      </c>
      <c r="S80" s="244">
        <v>8.2889999999999997</v>
      </c>
      <c r="T80" s="1277">
        <v>568</v>
      </c>
      <c r="U80" s="1278">
        <f t="shared" si="15"/>
        <v>68.965517241379303</v>
      </c>
      <c r="V80" s="1278">
        <f t="shared" si="19"/>
        <v>0.63940161660030215</v>
      </c>
      <c r="W80" s="1279">
        <v>0.2</v>
      </c>
      <c r="X80" s="1449">
        <v>195</v>
      </c>
      <c r="Y80" s="1277">
        <f t="shared" si="3"/>
        <v>13.283653846153845</v>
      </c>
      <c r="Z80" s="244">
        <f>R80*0.996</f>
        <v>8.2030560000000001</v>
      </c>
      <c r="AA80" s="244">
        <f t="shared" si="26"/>
        <v>8.2558439999999997</v>
      </c>
      <c r="AB80" s="1277">
        <f t="shared" si="26"/>
        <v>565.72799999999995</v>
      </c>
      <c r="AC80" s="244">
        <f t="shared" si="27"/>
        <v>68.965517241379303</v>
      </c>
      <c r="AD80" s="1277">
        <f t="shared" si="27"/>
        <v>0.63940161660030215</v>
      </c>
      <c r="AE80" s="241">
        <f t="shared" si="18"/>
        <v>31</v>
      </c>
      <c r="AF80" s="244">
        <f t="shared" si="25"/>
        <v>254.294736</v>
      </c>
      <c r="AG80" s="1285"/>
      <c r="AI80" s="1282">
        <f t="shared" si="2"/>
        <v>35.121471218809411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573">
        <v>664.19</v>
      </c>
      <c r="J81" s="1448">
        <v>165</v>
      </c>
      <c r="K81" s="241"/>
      <c r="L81" s="1277">
        <v>25</v>
      </c>
      <c r="M81" s="241"/>
      <c r="N81" s="1278">
        <v>0.2</v>
      </c>
      <c r="O81" s="241"/>
      <c r="P81" s="1278">
        <f t="shared" si="4"/>
        <v>56.816155864909476</v>
      </c>
      <c r="Q81" s="1278">
        <f>14*J81/100</f>
        <v>23.1</v>
      </c>
      <c r="R81" s="244">
        <v>4.9020000000000001</v>
      </c>
      <c r="S81" s="244">
        <v>4.9649999999999999</v>
      </c>
      <c r="T81" s="1277">
        <v>413</v>
      </c>
      <c r="U81" s="1278">
        <f t="shared" si="15"/>
        <v>84.251325989392086</v>
      </c>
      <c r="V81" s="1278">
        <f t="shared" si="19"/>
        <v>1.2688821752265806</v>
      </c>
      <c r="W81" s="1279">
        <v>0.2</v>
      </c>
      <c r="X81" s="1449">
        <v>165</v>
      </c>
      <c r="Y81" s="1277">
        <f t="shared" si="3"/>
        <v>21.493506493506491</v>
      </c>
      <c r="Z81" s="244">
        <f>R81*0.996</f>
        <v>4.8823920000000003</v>
      </c>
      <c r="AA81" s="244">
        <f t="shared" si="26"/>
        <v>4.9451399999999994</v>
      </c>
      <c r="AB81" s="1277">
        <f t="shared" si="26"/>
        <v>411.34800000000001</v>
      </c>
      <c r="AC81" s="244">
        <f t="shared" si="27"/>
        <v>84.251325989392086</v>
      </c>
      <c r="AD81" s="1277">
        <f t="shared" si="27"/>
        <v>1.2688821752265806</v>
      </c>
      <c r="AE81" s="241">
        <f t="shared" si="18"/>
        <v>31</v>
      </c>
      <c r="AF81" s="244">
        <f t="shared" si="25"/>
        <v>151.354152</v>
      </c>
      <c r="AG81" s="1281"/>
      <c r="AI81" s="1282">
        <f t="shared" si="2"/>
        <v>56.816155864909476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566">
        <v>700</v>
      </c>
      <c r="E82" s="1566" t="s">
        <v>547</v>
      </c>
      <c r="F82" s="241">
        <v>177.8</v>
      </c>
      <c r="G82" s="241" t="s">
        <v>28</v>
      </c>
      <c r="H82" s="241" t="s">
        <v>464</v>
      </c>
      <c r="I82" s="1566">
        <v>608.22</v>
      </c>
      <c r="J82" s="1566">
        <v>0</v>
      </c>
      <c r="K82" s="1566"/>
      <c r="L82" s="1319">
        <v>0</v>
      </c>
      <c r="M82" s="1566"/>
      <c r="N82" s="1278">
        <v>0</v>
      </c>
      <c r="O82" s="1566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3"/>
        <v>0</v>
      </c>
      <c r="Z82" s="244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573">
        <v>619.66</v>
      </c>
      <c r="E83" s="1573" t="s">
        <v>613</v>
      </c>
      <c r="F83" s="241">
        <v>177.8</v>
      </c>
      <c r="G83" s="241" t="s">
        <v>28</v>
      </c>
      <c r="H83" s="1299" t="s">
        <v>687</v>
      </c>
      <c r="I83" s="1573">
        <v>595.26</v>
      </c>
      <c r="J83" s="1573">
        <v>60</v>
      </c>
      <c r="K83" s="1573"/>
      <c r="L83" s="1319">
        <v>28</v>
      </c>
      <c r="M83" s="1573"/>
      <c r="N83" s="1278">
        <v>1.4</v>
      </c>
      <c r="O83" s="1573"/>
      <c r="P83" s="1278">
        <f t="shared" si="4"/>
        <v>51.040659150769351</v>
      </c>
      <c r="Q83" s="1278">
        <f>(20/100)*J83</f>
        <v>12</v>
      </c>
      <c r="R83" s="244">
        <v>2.226</v>
      </c>
      <c r="S83" s="244">
        <v>2.2349999999999999</v>
      </c>
      <c r="T83" s="1319">
        <v>0</v>
      </c>
      <c r="U83" s="244">
        <f t="shared" si="15"/>
        <v>0</v>
      </c>
      <c r="V83" s="1278">
        <f t="shared" si="19"/>
        <v>0.40268456375838468</v>
      </c>
      <c r="W83" s="1279">
        <v>0.2</v>
      </c>
      <c r="X83" s="1410">
        <v>60</v>
      </c>
      <c r="Y83" s="1277">
        <f t="shared" si="3"/>
        <v>18.625</v>
      </c>
      <c r="Z83" s="244">
        <f>R83*0.996</f>
        <v>2.2170960000000002</v>
      </c>
      <c r="AA83" s="244">
        <f t="shared" si="26"/>
        <v>2.2260599999999999</v>
      </c>
      <c r="AB83" s="1277">
        <f t="shared" si="26"/>
        <v>0</v>
      </c>
      <c r="AC83" s="244">
        <f>U83</f>
        <v>0</v>
      </c>
      <c r="AD83" s="244">
        <f>V83</f>
        <v>0.40268456375838468</v>
      </c>
      <c r="AE83" s="241">
        <f t="shared" si="18"/>
        <v>31</v>
      </c>
      <c r="AF83" s="244">
        <f t="shared" si="25"/>
        <v>68.729976000000008</v>
      </c>
      <c r="AG83" s="1281"/>
      <c r="AI83" s="1282">
        <f t="shared" ref="AI83:AI86" si="28">(9.81*(AJ83*(100%-(V83/100))+AK83*(V83/100))*(I83-L83)+N83*101.325+9.81*(AL83)*L83)/101.325</f>
        <v>51.040659150769351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566">
        <v>689.4</v>
      </c>
      <c r="E84" s="1566" t="s">
        <v>616</v>
      </c>
      <c r="F84" s="241">
        <v>177.8</v>
      </c>
      <c r="G84" s="241" t="s">
        <v>28</v>
      </c>
      <c r="H84" s="1299" t="s">
        <v>466</v>
      </c>
      <c r="I84" s="1566">
        <v>604.96</v>
      </c>
      <c r="J84" s="1566">
        <v>0</v>
      </c>
      <c r="K84" s="1566"/>
      <c r="L84" s="1319"/>
      <c r="M84" s="1566"/>
      <c r="N84" s="1278"/>
      <c r="O84" s="1566"/>
      <c r="P84" s="1278">
        <f t="shared" si="4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9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8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66">
        <v>577.12</v>
      </c>
      <c r="E85" s="1566" t="s">
        <v>614</v>
      </c>
      <c r="F85" s="241">
        <v>177.8</v>
      </c>
      <c r="G85" s="241" t="s">
        <v>28</v>
      </c>
      <c r="H85" s="241" t="s">
        <v>464</v>
      </c>
      <c r="I85" s="1566">
        <v>537.30999999999995</v>
      </c>
      <c r="J85" s="1566">
        <v>255</v>
      </c>
      <c r="K85" s="1566"/>
      <c r="L85" s="1319">
        <v>444</v>
      </c>
      <c r="M85" s="1566"/>
      <c r="N85" s="1278">
        <v>0</v>
      </c>
      <c r="O85" s="1566"/>
      <c r="P85" s="1278">
        <f t="shared" ref="P85:P86" si="30">AI85</f>
        <v>8.9347283850619306</v>
      </c>
      <c r="Q85" s="1278">
        <f>RIGHT(H85,(FIND("T",H85,1)-0))*J85/100</f>
        <v>35.700000000000003</v>
      </c>
      <c r="R85" s="244">
        <v>4.9379999999999997</v>
      </c>
      <c r="S85" s="244">
        <v>9.2520000000000007</v>
      </c>
      <c r="T85" s="1319">
        <v>3</v>
      </c>
      <c r="U85" s="244">
        <f t="shared" ref="U85" si="31">IF(R85=0,0,T85/R85)</f>
        <v>0.60753341433778862</v>
      </c>
      <c r="V85" s="1278">
        <f t="shared" si="19"/>
        <v>46.627756160830096</v>
      </c>
      <c r="W85" s="1279">
        <v>0.2</v>
      </c>
      <c r="X85" s="1410">
        <v>255</v>
      </c>
      <c r="Y85" s="1277">
        <f t="shared" si="29"/>
        <v>25.915966386554622</v>
      </c>
      <c r="Z85" s="244">
        <f>R85*0.996</f>
        <v>4.9182479999999993</v>
      </c>
      <c r="AA85" s="244">
        <f t="shared" si="26"/>
        <v>9.2149920000000005</v>
      </c>
      <c r="AB85" s="1277">
        <f t="shared" si="26"/>
        <v>2.988</v>
      </c>
      <c r="AC85" s="244">
        <f>U85</f>
        <v>0.60753341433778862</v>
      </c>
      <c r="AD85" s="244">
        <v>24.363</v>
      </c>
      <c r="AE85" s="241">
        <f t="shared" si="18"/>
        <v>31</v>
      </c>
      <c r="AF85" s="244">
        <f>Z85*AE85</f>
        <v>152.46568799999997</v>
      </c>
      <c r="AG85" s="1281"/>
      <c r="AI85" s="1282">
        <f t="shared" si="28"/>
        <v>8.9347283850619306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03">
        <v>576.27</v>
      </c>
      <c r="J86" s="1448">
        <v>130</v>
      </c>
      <c r="K86" s="241"/>
      <c r="L86" s="1277">
        <v>0</v>
      </c>
      <c r="M86" s="241"/>
      <c r="N86" s="1278">
        <v>0</v>
      </c>
      <c r="O86" s="241"/>
      <c r="P86" s="1278">
        <f t="shared" si="30"/>
        <v>56.228997140560075</v>
      </c>
      <c r="Q86" s="1278">
        <f>14*J86/100</f>
        <v>18.2</v>
      </c>
      <c r="R86" s="244">
        <v>2.218</v>
      </c>
      <c r="S86" s="244">
        <v>22.85</v>
      </c>
      <c r="T86" s="1277">
        <v>16</v>
      </c>
      <c r="U86" s="1278">
        <f t="shared" si="15"/>
        <v>7.2137060414788099</v>
      </c>
      <c r="V86" s="1278">
        <f t="shared" si="19"/>
        <v>90.293216630196937</v>
      </c>
      <c r="W86" s="1279">
        <v>0.5</v>
      </c>
      <c r="X86" s="1449">
        <v>130</v>
      </c>
      <c r="Y86" s="1277">
        <f t="shared" si="29"/>
        <v>125.54945054945057</v>
      </c>
      <c r="Z86" s="244">
        <f>R86*0.996</f>
        <v>2.2091279999999998</v>
      </c>
      <c r="AA86" s="244">
        <f t="shared" si="26"/>
        <v>22.758600000000001</v>
      </c>
      <c r="AB86" s="1277">
        <f t="shared" si="26"/>
        <v>15.936</v>
      </c>
      <c r="AC86" s="244">
        <f>U86</f>
        <v>7.2137060414788099</v>
      </c>
      <c r="AD86" s="1277">
        <f>V86</f>
        <v>90.293216630196937</v>
      </c>
      <c r="AE86" s="241">
        <v>4</v>
      </c>
      <c r="AF86" s="244">
        <f>Z86*AE86</f>
        <v>8.836511999999999</v>
      </c>
      <c r="AG86" s="1281" t="s">
        <v>771</v>
      </c>
      <c r="AI86" s="1282">
        <f t="shared" si="28"/>
        <v>56.228997140560075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566"/>
      <c r="E87" s="1566"/>
      <c r="F87" s="1274"/>
      <c r="G87" s="241"/>
      <c r="H87" s="241"/>
      <c r="I87" s="1566"/>
      <c r="J87" s="1566"/>
      <c r="K87" s="1566"/>
      <c r="L87" s="1566"/>
      <c r="M87" s="1566"/>
      <c r="N87" s="241"/>
      <c r="O87" s="1566"/>
      <c r="P87" s="1278"/>
      <c r="Q87" s="1269"/>
      <c r="R87" s="1348">
        <f>SUM(R19:R86)</f>
        <v>291.36899999999997</v>
      </c>
      <c r="S87" s="1348">
        <f>SUM(S19:S86)</f>
        <v>968.99</v>
      </c>
      <c r="T87" s="1349">
        <f>SUM(T19:T86)</f>
        <v>5208</v>
      </c>
      <c r="U87" s="1348">
        <f>T87/R87</f>
        <v>17.874241940631983</v>
      </c>
      <c r="V87" s="1348"/>
      <c r="W87" s="1350"/>
      <c r="X87" s="1410"/>
      <c r="Y87" s="1348"/>
      <c r="Z87" s="1348">
        <f>SUM(Z19:Z86)</f>
        <v>284.032308</v>
      </c>
      <c r="AA87" s="1348">
        <f>SUM(AA19:AA86)</f>
        <v>892.06042800000023</v>
      </c>
      <c r="AB87" s="1351">
        <f>SUM(AB19:AB86)</f>
        <v>5093.5439999999999</v>
      </c>
      <c r="AC87" s="1348">
        <f>AB87/Z87</f>
        <v>17.932974019279524</v>
      </c>
      <c r="AD87" s="1348"/>
      <c r="AE87" s="1302"/>
      <c r="AF87" s="1348">
        <f>SUM(AF19:AF86)</f>
        <v>7723.5487319999993</v>
      </c>
      <c r="AG87" s="1281"/>
      <c r="AI87" s="1282"/>
    </row>
    <row r="88" spans="1:38" ht="18.75" customHeight="1" x14ac:dyDescent="0.2">
      <c r="A88" s="1347"/>
      <c r="B88" s="241"/>
      <c r="C88" s="241"/>
      <c r="D88" s="1566"/>
      <c r="E88" s="1566"/>
      <c r="F88" s="1274"/>
      <c r="G88" s="241"/>
      <c r="H88" s="241"/>
      <c r="I88" s="1566"/>
      <c r="J88" s="1566"/>
      <c r="K88" s="1566"/>
      <c r="L88" s="1566"/>
      <c r="M88" s="1566"/>
      <c r="N88" s="241"/>
      <c r="O88" s="1566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>
        <v>7704.7362839999987</v>
      </c>
      <c r="AI88" s="1282"/>
    </row>
    <row r="89" spans="1:38" ht="18.75" customHeight="1" x14ac:dyDescent="0.2">
      <c r="A89" s="1347"/>
      <c r="B89" s="241"/>
      <c r="C89" s="241"/>
      <c r="D89" s="1566"/>
      <c r="E89" s="1565" t="s">
        <v>388</v>
      </c>
      <c r="F89" s="1274"/>
      <c r="G89" s="241"/>
      <c r="H89" s="241"/>
      <c r="I89" s="1566"/>
      <c r="J89" s="1566"/>
      <c r="K89" s="1566"/>
      <c r="L89" s="1566"/>
      <c r="M89" s="1566"/>
      <c r="N89" s="241"/>
      <c r="O89" s="1566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566">
        <v>737.21</v>
      </c>
      <c r="E90" s="1566" t="s">
        <v>507</v>
      </c>
      <c r="F90" s="241">
        <v>177.8</v>
      </c>
      <c r="G90" s="241" t="s">
        <v>28</v>
      </c>
      <c r="H90" s="1354" t="s">
        <v>466</v>
      </c>
      <c r="I90" s="1566">
        <v>680.94</v>
      </c>
      <c r="J90" s="1566"/>
      <c r="K90" s="1566"/>
      <c r="L90" s="1566"/>
      <c r="M90" s="1566"/>
      <c r="N90" s="241"/>
      <c r="O90" s="1566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2">R90*0.988</f>
        <v>0</v>
      </c>
      <c r="AA90" s="244">
        <f t="shared" si="32"/>
        <v>0</v>
      </c>
      <c r="AB90" s="1277">
        <f t="shared" si="32"/>
        <v>0</v>
      </c>
      <c r="AC90" s="244">
        <f t="shared" ref="AC90:AD93" si="33">U90</f>
        <v>0</v>
      </c>
      <c r="AD90" s="244">
        <f t="shared" si="33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566">
        <v>695.15</v>
      </c>
      <c r="E91" s="1566" t="s">
        <v>508</v>
      </c>
      <c r="F91" s="1274">
        <v>177.8</v>
      </c>
      <c r="G91" s="241" t="s">
        <v>28</v>
      </c>
      <c r="H91" s="241" t="s">
        <v>491</v>
      </c>
      <c r="I91" s="1566">
        <v>658.9</v>
      </c>
      <c r="J91" s="1566"/>
      <c r="K91" s="1566"/>
      <c r="L91" s="1566"/>
      <c r="M91" s="1566"/>
      <c r="N91" s="241"/>
      <c r="O91" s="1566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2"/>
        <v>0</v>
      </c>
      <c r="AA91" s="244">
        <f t="shared" si="32"/>
        <v>0</v>
      </c>
      <c r="AB91" s="1277">
        <f t="shared" si="32"/>
        <v>0</v>
      </c>
      <c r="AC91" s="244">
        <f t="shared" si="33"/>
        <v>0</v>
      </c>
      <c r="AD91" s="244">
        <f t="shared" si="33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566">
        <v>685.69</v>
      </c>
      <c r="E92" s="1566" t="s">
        <v>579</v>
      </c>
      <c r="F92" s="241">
        <v>177.8</v>
      </c>
      <c r="G92" s="241" t="s">
        <v>28</v>
      </c>
      <c r="H92" s="1299" t="s">
        <v>466</v>
      </c>
      <c r="I92" s="1566">
        <v>639.97</v>
      </c>
      <c r="J92" s="1566"/>
      <c r="K92" s="1566"/>
      <c r="L92" s="1566"/>
      <c r="M92" s="1566"/>
      <c r="N92" s="241"/>
      <c r="O92" s="1566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2"/>
        <v>0</v>
      </c>
      <c r="AA92" s="244">
        <f t="shared" si="32"/>
        <v>0</v>
      </c>
      <c r="AB92" s="1277">
        <f t="shared" si="32"/>
        <v>0</v>
      </c>
      <c r="AC92" s="244">
        <f t="shared" si="33"/>
        <v>0</v>
      </c>
      <c r="AD92" s="244">
        <f t="shared" si="33"/>
        <v>0</v>
      </c>
      <c r="AE92" s="241">
        <v>0</v>
      </c>
      <c r="AF92" s="244">
        <f t="shared" ref="AF92:AF93" si="34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566">
        <v>9.5</v>
      </c>
      <c r="J93" s="1566"/>
      <c r="K93" s="1566"/>
      <c r="L93" s="1566"/>
      <c r="M93" s="1566"/>
      <c r="N93" s="241"/>
      <c r="O93" s="1566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2"/>
        <v>0</v>
      </c>
      <c r="AA93" s="244">
        <f t="shared" si="32"/>
        <v>0</v>
      </c>
      <c r="AB93" s="1277">
        <f t="shared" si="32"/>
        <v>0</v>
      </c>
      <c r="AC93" s="244">
        <f t="shared" si="33"/>
        <v>0</v>
      </c>
      <c r="AD93" s="244">
        <f t="shared" si="33"/>
        <v>0</v>
      </c>
      <c r="AE93" s="241">
        <v>0</v>
      </c>
      <c r="AF93" s="244">
        <f t="shared" si="34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566"/>
      <c r="K94" s="1566"/>
      <c r="L94" s="1566"/>
      <c r="M94" s="1566"/>
      <c r="N94" s="1566"/>
      <c r="O94" s="1566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566"/>
      <c r="K95" s="1566"/>
      <c r="L95" s="1566"/>
      <c r="M95" s="1566"/>
      <c r="N95" s="1566"/>
      <c r="O95" s="1566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566">
        <v>183.38</v>
      </c>
      <c r="J96" s="1566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5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6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37">R96*0.988</f>
        <v>0</v>
      </c>
      <c r="AA96" s="244">
        <f t="shared" si="37"/>
        <v>0</v>
      </c>
      <c r="AB96" s="244">
        <f t="shared" si="37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38">Z96*AE96</f>
        <v>0</v>
      </c>
      <c r="AG96" s="1285"/>
      <c r="AI96" s="1282">
        <f t="shared" ref="AI96:AI101" si="39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566">
        <v>136.35</v>
      </c>
      <c r="J97" s="1566">
        <v>0</v>
      </c>
      <c r="K97" s="1566"/>
      <c r="L97" s="1319">
        <v>27</v>
      </c>
      <c r="M97" s="1566"/>
      <c r="N97" s="1278">
        <v>0</v>
      </c>
      <c r="O97" s="1566"/>
      <c r="P97" s="1278">
        <f t="shared" si="35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6"/>
        <v>0</v>
      </c>
      <c r="V97" s="1278">
        <v>0</v>
      </c>
      <c r="W97" s="1279">
        <v>0.2</v>
      </c>
      <c r="X97" s="1410">
        <v>0</v>
      </c>
      <c r="Y97" s="1277">
        <f t="shared" ref="Y97:Y105" si="40">IF(S97=0,0,S97/Q97)*100</f>
        <v>0</v>
      </c>
      <c r="Z97" s="244">
        <f t="shared" si="37"/>
        <v>0</v>
      </c>
      <c r="AA97" s="244">
        <f t="shared" si="37"/>
        <v>0</v>
      </c>
      <c r="AB97" s="244">
        <f t="shared" si="37"/>
        <v>0</v>
      </c>
      <c r="AC97" s="244">
        <f t="shared" ref="AC97:AD101" si="41">U97</f>
        <v>0</v>
      </c>
      <c r="AD97" s="244">
        <f t="shared" si="41"/>
        <v>0</v>
      </c>
      <c r="AE97" s="241">
        <v>0</v>
      </c>
      <c r="AF97" s="244">
        <f>Z97*AE97</f>
        <v>0</v>
      </c>
      <c r="AG97" s="1285"/>
      <c r="AI97" s="1282">
        <f t="shared" si="39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566">
        <v>130.11000000000001</v>
      </c>
      <c r="J98" s="1566">
        <v>0</v>
      </c>
      <c r="K98" s="1566"/>
      <c r="L98" s="1319">
        <v>32</v>
      </c>
      <c r="M98" s="1566"/>
      <c r="N98" s="1278">
        <v>0</v>
      </c>
      <c r="O98" s="1566"/>
      <c r="P98" s="1278">
        <f t="shared" si="35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6"/>
        <v>0</v>
      </c>
      <c r="V98" s="1278">
        <v>0</v>
      </c>
      <c r="W98" s="1279">
        <v>0.2</v>
      </c>
      <c r="X98" s="1410">
        <v>0</v>
      </c>
      <c r="Y98" s="1277">
        <f t="shared" si="40"/>
        <v>0</v>
      </c>
      <c r="Z98" s="244">
        <f t="shared" si="37"/>
        <v>0</v>
      </c>
      <c r="AA98" s="244">
        <f t="shared" si="37"/>
        <v>0</v>
      </c>
      <c r="AB98" s="244">
        <f t="shared" si="37"/>
        <v>0</v>
      </c>
      <c r="AC98" s="244">
        <f t="shared" si="41"/>
        <v>0</v>
      </c>
      <c r="AD98" s="244">
        <f t="shared" si="41"/>
        <v>0</v>
      </c>
      <c r="AE98" s="241">
        <v>0</v>
      </c>
      <c r="AF98" s="244">
        <f t="shared" si="38"/>
        <v>0</v>
      </c>
      <c r="AG98" s="1285"/>
      <c r="AI98" s="1282">
        <f t="shared" si="39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566">
        <v>134.24</v>
      </c>
      <c r="J99" s="1566">
        <v>0</v>
      </c>
      <c r="K99" s="1566"/>
      <c r="L99" s="1319">
        <v>25</v>
      </c>
      <c r="M99" s="1566"/>
      <c r="N99" s="1278">
        <v>0.2</v>
      </c>
      <c r="O99" s="1566"/>
      <c r="P99" s="1278">
        <f t="shared" si="35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6"/>
        <v>0</v>
      </c>
      <c r="V99" s="1278">
        <v>0</v>
      </c>
      <c r="W99" s="1279">
        <v>0.2</v>
      </c>
      <c r="X99" s="1410">
        <v>0</v>
      </c>
      <c r="Y99" s="1277">
        <f t="shared" si="40"/>
        <v>0</v>
      </c>
      <c r="Z99" s="244">
        <f t="shared" si="37"/>
        <v>0</v>
      </c>
      <c r="AA99" s="244">
        <f t="shared" si="37"/>
        <v>0</v>
      </c>
      <c r="AB99" s="244">
        <f t="shared" si="37"/>
        <v>0</v>
      </c>
      <c r="AC99" s="244">
        <f t="shared" si="41"/>
        <v>0</v>
      </c>
      <c r="AD99" s="244">
        <f t="shared" si="41"/>
        <v>0</v>
      </c>
      <c r="AE99" s="241">
        <v>0</v>
      </c>
      <c r="AF99" s="244">
        <f t="shared" si="38"/>
        <v>0</v>
      </c>
      <c r="AG99" s="1281"/>
      <c r="AI99" s="1282">
        <f t="shared" si="39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66">
        <v>0</v>
      </c>
      <c r="K100" s="1566"/>
      <c r="L100" s="1319">
        <v>30</v>
      </c>
      <c r="M100" s="1566"/>
      <c r="N100" s="1278">
        <v>0.7</v>
      </c>
      <c r="O100" s="1566"/>
      <c r="P100" s="1278">
        <f t="shared" si="35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6"/>
        <v>0</v>
      </c>
      <c r="V100" s="1278">
        <v>0</v>
      </c>
      <c r="W100" s="1279">
        <v>0.2</v>
      </c>
      <c r="X100" s="1410">
        <v>0</v>
      </c>
      <c r="Y100" s="1277">
        <f t="shared" si="40"/>
        <v>0</v>
      </c>
      <c r="Z100" s="244">
        <f t="shared" si="37"/>
        <v>0</v>
      </c>
      <c r="AA100" s="244">
        <f t="shared" si="37"/>
        <v>0</v>
      </c>
      <c r="AB100" s="244">
        <f t="shared" si="37"/>
        <v>0</v>
      </c>
      <c r="AC100" s="244">
        <f t="shared" si="41"/>
        <v>0</v>
      </c>
      <c r="AD100" s="244">
        <f t="shared" si="41"/>
        <v>0</v>
      </c>
      <c r="AE100" s="241">
        <v>0</v>
      </c>
      <c r="AF100" s="244">
        <f t="shared" si="38"/>
        <v>0</v>
      </c>
      <c r="AG100" s="1363"/>
      <c r="AI100" s="1282">
        <f t="shared" si="39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5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6"/>
        <v>0</v>
      </c>
      <c r="V101" s="1278">
        <v>0</v>
      </c>
      <c r="W101" s="1355">
        <v>0.2</v>
      </c>
      <c r="X101" s="1410">
        <v>0</v>
      </c>
      <c r="Y101" s="1277">
        <f t="shared" si="40"/>
        <v>0</v>
      </c>
      <c r="Z101" s="244">
        <f t="shared" si="37"/>
        <v>0</v>
      </c>
      <c r="AA101" s="244">
        <f t="shared" si="37"/>
        <v>0</v>
      </c>
      <c r="AB101" s="244">
        <f t="shared" si="37"/>
        <v>0</v>
      </c>
      <c r="AC101" s="244">
        <f t="shared" si="41"/>
        <v>0</v>
      </c>
      <c r="AD101" s="244">
        <f t="shared" si="41"/>
        <v>0</v>
      </c>
      <c r="AE101" s="241">
        <v>0</v>
      </c>
      <c r="AF101" s="244">
        <f t="shared" si="38"/>
        <v>0</v>
      </c>
      <c r="AG101" s="1363"/>
      <c r="AI101" s="1282">
        <f t="shared" si="39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0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0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566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2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0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566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2"/>
        <v>0</v>
      </c>
      <c r="V105" s="1278">
        <v>0.3</v>
      </c>
      <c r="W105" s="1279">
        <v>0.3</v>
      </c>
      <c r="X105" s="1449">
        <v>0</v>
      </c>
      <c r="Y105" s="1277">
        <f t="shared" si="40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566"/>
      <c r="G106" s="1564"/>
      <c r="H106" s="1565"/>
      <c r="I106" s="1565"/>
      <c r="J106" s="1566"/>
      <c r="K106" s="1566"/>
      <c r="L106" s="1566"/>
      <c r="M106" s="1566"/>
      <c r="N106" s="1566"/>
      <c r="O106" s="1566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577"/>
      <c r="W106" s="1578"/>
      <c r="X106" s="1410"/>
      <c r="Y106" s="1564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577"/>
      <c r="AE106" s="1566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564"/>
      <c r="H108" s="1565"/>
      <c r="I108" s="1565"/>
      <c r="J108" s="1566"/>
      <c r="K108" s="1566"/>
      <c r="L108" s="1566"/>
      <c r="M108" s="1566"/>
      <c r="N108" s="1566"/>
      <c r="O108" s="1566"/>
      <c r="P108" s="1269"/>
      <c r="Q108" s="1269"/>
      <c r="R108" s="1579"/>
      <c r="S108" s="1566"/>
      <c r="T108" s="1566"/>
      <c r="U108" s="1564"/>
      <c r="V108" s="1577"/>
      <c r="W108" s="1578"/>
      <c r="X108" s="1410"/>
      <c r="Y108" s="1564"/>
      <c r="Z108" s="1603"/>
      <c r="AA108" s="1566"/>
      <c r="AB108" s="1566"/>
      <c r="AC108" s="1564"/>
      <c r="AD108" s="1577"/>
      <c r="AE108" s="1566"/>
      <c r="AF108" s="1566"/>
      <c r="AG108" s="1563"/>
    </row>
    <row r="109" spans="1:38" ht="18.75" customHeight="1" x14ac:dyDescent="0.2">
      <c r="A109" s="1273">
        <v>83</v>
      </c>
      <c r="B109" s="1317" t="s">
        <v>107</v>
      </c>
      <c r="C109" s="1566" t="s">
        <v>109</v>
      </c>
      <c r="D109" s="1566"/>
      <c r="E109" s="1566"/>
      <c r="F109" s="1566"/>
      <c r="G109" s="1564"/>
      <c r="H109" s="1565"/>
      <c r="I109" s="1565"/>
      <c r="J109" s="1566"/>
      <c r="K109" s="1566"/>
      <c r="L109" s="1566"/>
      <c r="M109" s="1566"/>
      <c r="N109" s="1566"/>
      <c r="O109" s="1566"/>
      <c r="P109" s="1269"/>
      <c r="Q109" s="1269"/>
      <c r="R109" s="1579"/>
      <c r="S109" s="1566"/>
      <c r="T109" s="1566"/>
      <c r="U109" s="1564"/>
      <c r="V109" s="1577"/>
      <c r="W109" s="1578"/>
      <c r="X109" s="1410"/>
      <c r="Y109" s="1564"/>
      <c r="Z109" s="1602"/>
      <c r="AA109" s="1565"/>
      <c r="AB109" s="1566"/>
      <c r="AC109" s="1564"/>
      <c r="AD109" s="1577"/>
      <c r="AE109" s="1373"/>
      <c r="AF109" s="1566"/>
      <c r="AG109" s="1563"/>
    </row>
    <row r="110" spans="1:38" ht="18.75" customHeight="1" x14ac:dyDescent="0.2">
      <c r="A110" s="1273">
        <v>84</v>
      </c>
      <c r="B110" s="1317" t="s">
        <v>108</v>
      </c>
      <c r="C110" s="1566" t="s">
        <v>109</v>
      </c>
      <c r="D110" s="1566"/>
      <c r="E110" s="1566"/>
      <c r="F110" s="1566"/>
      <c r="G110" s="1564"/>
      <c r="H110" s="1565"/>
      <c r="I110" s="1565"/>
      <c r="J110" s="1566"/>
      <c r="K110" s="1566"/>
      <c r="L110" s="1566"/>
      <c r="M110" s="1566"/>
      <c r="N110" s="1566"/>
      <c r="O110" s="1566"/>
      <c r="P110" s="1269"/>
      <c r="Q110" s="1269"/>
      <c r="R110" s="1301"/>
      <c r="S110" s="1566"/>
      <c r="T110" s="1566"/>
      <c r="U110" s="1564"/>
      <c r="V110" s="1577"/>
      <c r="W110" s="1578"/>
      <c r="X110" s="1410"/>
      <c r="Y110" s="1564"/>
      <c r="Z110" s="1602"/>
      <c r="AA110" s="1565"/>
      <c r="AB110" s="1566"/>
      <c r="AC110" s="1564"/>
      <c r="AD110" s="1577"/>
      <c r="AE110" s="1373"/>
      <c r="AF110" s="1566"/>
      <c r="AG110" s="1563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566"/>
      <c r="E111" s="1566"/>
      <c r="F111" s="1566"/>
      <c r="G111" s="1564"/>
      <c r="H111" s="1565"/>
      <c r="I111" s="1565"/>
      <c r="J111" s="1566"/>
      <c r="K111" s="1566"/>
      <c r="L111" s="1566"/>
      <c r="M111" s="1566"/>
      <c r="N111" s="1566"/>
      <c r="O111" s="1566"/>
      <c r="P111" s="1269"/>
      <c r="Q111" s="1269"/>
      <c r="R111" s="1579"/>
      <c r="S111" s="1566"/>
      <c r="T111" s="1566"/>
      <c r="U111" s="1564"/>
      <c r="V111" s="1577"/>
      <c r="W111" s="1578"/>
      <c r="X111" s="1410"/>
      <c r="Y111" s="1564"/>
      <c r="Z111" s="1602"/>
      <c r="AA111" s="1565"/>
      <c r="AB111" s="1566"/>
      <c r="AC111" s="1564"/>
      <c r="AD111" s="1577"/>
      <c r="AE111" s="1373"/>
      <c r="AF111" s="1566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566"/>
      <c r="E112" s="1566"/>
      <c r="F112" s="1566"/>
      <c r="G112" s="1564"/>
      <c r="H112" s="1565"/>
      <c r="I112" s="1565"/>
      <c r="J112" s="1566"/>
      <c r="K112" s="1566"/>
      <c r="L112" s="1566"/>
      <c r="M112" s="1566"/>
      <c r="N112" s="1566"/>
      <c r="O112" s="1566"/>
      <c r="P112" s="1269"/>
      <c r="Q112" s="1269"/>
      <c r="R112" s="1579"/>
      <c r="S112" s="1566"/>
      <c r="T112" s="1566"/>
      <c r="U112" s="1564"/>
      <c r="V112" s="1577"/>
      <c r="W112" s="1578"/>
      <c r="X112" s="1410"/>
      <c r="Y112" s="1564"/>
      <c r="Z112" s="1602"/>
      <c r="AA112" s="1565"/>
      <c r="AB112" s="1566"/>
      <c r="AC112" s="1564"/>
      <c r="AD112" s="1577"/>
      <c r="AE112" s="1373"/>
      <c r="AF112" s="1566"/>
      <c r="AG112" s="1285"/>
    </row>
    <row r="113" spans="1:33" ht="18.75" customHeight="1" x14ac:dyDescent="0.2">
      <c r="A113" s="1273"/>
      <c r="B113" s="1262"/>
      <c r="C113" s="1371"/>
      <c r="D113" s="1371"/>
      <c r="E113" s="1565" t="s">
        <v>278</v>
      </c>
      <c r="F113" s="1371"/>
      <c r="G113" s="1564"/>
      <c r="H113" s="1565"/>
      <c r="I113" s="1565"/>
      <c r="J113" s="1566"/>
      <c r="K113" s="1566"/>
      <c r="L113" s="1566"/>
      <c r="M113" s="1566"/>
      <c r="N113" s="1566"/>
      <c r="O113" s="1566"/>
      <c r="P113" s="1269"/>
      <c r="Q113" s="1269"/>
      <c r="R113" s="1579"/>
      <c r="S113" s="1566"/>
      <c r="T113" s="1566"/>
      <c r="U113" s="1564"/>
      <c r="V113" s="1577"/>
      <c r="W113" s="1578"/>
      <c r="X113" s="1410"/>
      <c r="Y113" s="1564"/>
      <c r="Z113" s="1301"/>
      <c r="AA113" s="1566"/>
      <c r="AB113" s="1566"/>
      <c r="AC113" s="1564"/>
      <c r="AD113" s="1577"/>
      <c r="AE113" s="1566"/>
      <c r="AF113" s="1566"/>
      <c r="AG113" s="1563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566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566">
        <v>625.1</v>
      </c>
      <c r="E115" s="1566" t="s">
        <v>578</v>
      </c>
      <c r="F115" s="241">
        <v>177.8</v>
      </c>
      <c r="G115" s="241"/>
      <c r="H115" s="241"/>
      <c r="I115" s="244"/>
      <c r="J115" s="1566"/>
      <c r="K115" s="1566"/>
      <c r="L115" s="1566"/>
      <c r="M115" s="1566"/>
      <c r="N115" s="1566"/>
      <c r="O115" s="1566"/>
      <c r="P115" s="1269"/>
      <c r="Q115" s="1269"/>
      <c r="R115" s="1579"/>
      <c r="S115" s="1566"/>
      <c r="T115" s="1566"/>
      <c r="U115" s="1564"/>
      <c r="V115" s="1577"/>
      <c r="W115" s="1578"/>
      <c r="X115" s="1410"/>
      <c r="Y115" s="1376"/>
      <c r="Z115" s="1319"/>
      <c r="AA115" s="1566"/>
      <c r="AB115" s="1566"/>
      <c r="AC115" s="1564"/>
      <c r="AD115" s="1579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566"/>
      <c r="J116" s="1566"/>
      <c r="K116" s="1566"/>
      <c r="L116" s="1566"/>
      <c r="M116" s="1566"/>
      <c r="N116" s="1566"/>
      <c r="O116" s="1566"/>
      <c r="P116" s="1269"/>
      <c r="Q116" s="1270"/>
      <c r="R116" s="1579"/>
      <c r="S116" s="1566"/>
      <c r="T116" s="1566"/>
      <c r="U116" s="1564"/>
      <c r="V116" s="1577"/>
      <c r="W116" s="1578"/>
      <c r="X116" s="1410"/>
      <c r="Y116" s="1376"/>
      <c r="Z116" s="1319"/>
      <c r="AA116" s="1566"/>
      <c r="AB116" s="1566"/>
      <c r="AC116" s="1564"/>
      <c r="AD116" s="1579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566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566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568"/>
      <c r="C119" s="1568"/>
      <c r="D119" s="1568"/>
      <c r="E119" s="1569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291.36899999999997</v>
      </c>
      <c r="S119" s="1386">
        <f>S87+S94+S106</f>
        <v>968.99</v>
      </c>
      <c r="T119" s="1387">
        <f>T87+T94+T106</f>
        <v>5208</v>
      </c>
      <c r="U119" s="1386">
        <f>T119/R119</f>
        <v>17.874241940631983</v>
      </c>
      <c r="V119" s="1386"/>
      <c r="W119" s="1388"/>
      <c r="X119" s="1456"/>
      <c r="Y119" s="1386"/>
      <c r="Z119" s="1386">
        <f>Z87+Z94+Z106</f>
        <v>284.032308</v>
      </c>
      <c r="AA119" s="1386">
        <f>AA87+AA106+AA94</f>
        <v>892.06042800000023</v>
      </c>
      <c r="AB119" s="1387">
        <f>AB87+AB106+AB94</f>
        <v>5093.5439999999999</v>
      </c>
      <c r="AC119" s="1386">
        <f>AC87+AC106+AC94</f>
        <v>17.932974019279524</v>
      </c>
      <c r="AD119" s="1386"/>
      <c r="AE119" s="1386"/>
      <c r="AF119" s="1390">
        <f>AF87+AF94+AF106</f>
        <v>7723.5487319999993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567"/>
      <c r="D121" s="148"/>
      <c r="E121" s="1394">
        <v>0.98</v>
      </c>
      <c r="F121" s="148"/>
      <c r="G121" s="148" t="s">
        <v>102</v>
      </c>
      <c r="H121" s="1567"/>
      <c r="I121" s="1395"/>
      <c r="J121" s="148"/>
      <c r="K121" s="1983">
        <f>AF119*E121</f>
        <v>7569.0777573599989</v>
      </c>
      <c r="L121" s="1984"/>
      <c r="M121" s="1984"/>
      <c r="N121" s="1567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567"/>
      <c r="D122" s="148"/>
      <c r="E122" s="154"/>
      <c r="F122" s="148"/>
      <c r="G122" s="148" t="s">
        <v>733</v>
      </c>
      <c r="H122" s="1567"/>
      <c r="I122" s="1395"/>
      <c r="J122" s="148"/>
      <c r="K122" s="1567"/>
      <c r="L122" s="1397"/>
      <c r="M122" s="148">
        <f>K121*0.89</f>
        <v>6736.4792040503989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571"/>
      <c r="Z122" s="1601"/>
      <c r="AA122" s="150"/>
      <c r="AB122" s="1571"/>
      <c r="AC122" s="1571"/>
      <c r="AD122" s="1576"/>
      <c r="AE122" s="1571"/>
      <c r="AF122" s="1571"/>
      <c r="AG122" s="1400"/>
    </row>
    <row r="123" spans="1:33" ht="15" x14ac:dyDescent="0.2">
      <c r="B123" s="148"/>
      <c r="C123" s="1567"/>
      <c r="D123" s="148"/>
      <c r="E123" s="154"/>
      <c r="F123" s="148"/>
      <c r="G123" s="148"/>
      <c r="H123" s="1567"/>
      <c r="I123" s="1395"/>
      <c r="J123" s="148"/>
      <c r="K123" s="1567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571"/>
      <c r="Z123" s="1601"/>
      <c r="AA123" s="1571"/>
      <c r="AB123" s="1571"/>
      <c r="AC123" s="1571"/>
      <c r="AD123" s="1576"/>
      <c r="AE123" s="1571"/>
      <c r="AF123" s="1571"/>
      <c r="AG123" s="1400"/>
    </row>
    <row r="124" spans="1:33" ht="15" x14ac:dyDescent="0.2">
      <c r="B124" s="148"/>
      <c r="C124" s="1567"/>
      <c r="D124" s="148"/>
      <c r="E124" s="154"/>
      <c r="F124" s="148"/>
      <c r="G124" s="148"/>
      <c r="H124" s="1567"/>
      <c r="I124" s="1395"/>
      <c r="J124" s="148"/>
      <c r="K124" s="1567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571"/>
      <c r="Z124" s="1601"/>
      <c r="AA124" s="1571"/>
      <c r="AB124" s="1571"/>
      <c r="AC124" s="1571"/>
      <c r="AD124" s="1576"/>
      <c r="AE124" s="1571"/>
      <c r="AF124" s="1571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567"/>
      <c r="L125" s="1567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571" t="s">
        <v>561</v>
      </c>
      <c r="AD125" s="1576"/>
      <c r="AE125" s="1571"/>
      <c r="AF125" s="1571"/>
      <c r="AG125" s="1571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D17:AD18"/>
    <mergeCell ref="AG17:AG18"/>
    <mergeCell ref="AN17:AN18"/>
    <mergeCell ref="AO17:AO18"/>
    <mergeCell ref="X16:AG16"/>
    <mergeCell ref="Y17:Y18"/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F5BC-6FB2-4B67-B844-1AA8B7BAFD29}">
  <dimension ref="A1:AQ129"/>
  <sheetViews>
    <sheetView topLeftCell="A13" zoomScale="80" zoomScaleNormal="8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A13" sqref="A13:D1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594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594"/>
      <c r="F2" s="1594"/>
      <c r="G2" s="1587"/>
      <c r="H2" s="1593"/>
      <c r="I2" s="1593"/>
      <c r="J2" s="1593"/>
      <c r="K2" s="1593"/>
      <c r="L2" s="1593"/>
      <c r="M2" s="1593"/>
      <c r="N2" s="1593"/>
      <c r="O2" s="1593"/>
      <c r="P2" s="1593"/>
      <c r="Q2" s="1256"/>
      <c r="R2" s="1594"/>
      <c r="S2" s="1594"/>
      <c r="T2" s="1594"/>
      <c r="U2" s="1594"/>
      <c r="V2" s="1594"/>
      <c r="W2" s="1594"/>
      <c r="X2" s="1593"/>
      <c r="Y2" s="1594"/>
      <c r="Z2" s="1601"/>
      <c r="AA2" s="1594"/>
      <c r="AC2" s="1594"/>
      <c r="AD2" s="1594"/>
      <c r="AE2" s="1594"/>
      <c r="AF2" s="1998" t="s">
        <v>750</v>
      </c>
      <c r="AG2" s="1998"/>
    </row>
    <row r="3" spans="1:38" ht="15.75" x14ac:dyDescent="0.25">
      <c r="A3" s="1408" t="s">
        <v>751</v>
      </c>
      <c r="B3" s="1588"/>
      <c r="C3" s="1588"/>
      <c r="D3" s="1588"/>
      <c r="E3" s="1594"/>
      <c r="F3" s="1594"/>
      <c r="G3" s="1587"/>
      <c r="H3" s="1593"/>
      <c r="I3" s="1593"/>
      <c r="J3" s="1593"/>
      <c r="K3" s="1593"/>
      <c r="L3" s="1593"/>
      <c r="M3" s="1593"/>
      <c r="N3" s="1593"/>
      <c r="O3" s="1593"/>
      <c r="P3" s="1593"/>
      <c r="Q3" s="1256"/>
      <c r="R3" s="1594"/>
      <c r="S3" s="1594"/>
      <c r="T3" s="1594"/>
      <c r="U3" s="1594"/>
      <c r="V3" s="1594"/>
      <c r="W3" s="1594"/>
      <c r="X3" s="1593"/>
      <c r="Y3" s="1594"/>
      <c r="Z3" s="1601"/>
      <c r="AA3" s="1594"/>
      <c r="AB3" s="1594"/>
      <c r="AC3" s="1260"/>
      <c r="AE3" s="1222"/>
      <c r="AF3" s="1593" t="s">
        <v>739</v>
      </c>
      <c r="AG3" s="1494"/>
    </row>
    <row r="4" spans="1:38" ht="15" x14ac:dyDescent="0.25">
      <c r="A4" s="1976"/>
      <c r="B4" s="1976"/>
      <c r="C4" s="1976"/>
      <c r="D4" s="1976"/>
      <c r="E4" s="1589"/>
      <c r="F4" s="1594"/>
      <c r="G4" s="1587"/>
      <c r="H4" s="1587"/>
      <c r="I4" s="1593"/>
      <c r="J4" s="1593"/>
      <c r="K4" s="1593"/>
      <c r="L4" s="1593"/>
      <c r="M4" s="1593"/>
      <c r="N4" s="1593"/>
      <c r="O4" s="1593"/>
      <c r="P4" s="1593"/>
      <c r="Q4" s="1256"/>
      <c r="R4" s="1586"/>
      <c r="S4" s="1586"/>
      <c r="T4" s="1586"/>
      <c r="U4" s="1586"/>
      <c r="V4" s="1586"/>
      <c r="W4" s="1586"/>
      <c r="X4" s="1593"/>
      <c r="Y4" s="1594"/>
      <c r="Z4" s="1601"/>
      <c r="AB4" s="1594"/>
      <c r="AD4" s="1594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594"/>
      <c r="F5" s="1594"/>
      <c r="G5" s="1587"/>
      <c r="H5" s="1587"/>
      <c r="I5" s="1594"/>
      <c r="J5" s="1594"/>
      <c r="K5" s="1587"/>
      <c r="L5" s="1587"/>
      <c r="M5" s="1594"/>
      <c r="N5" s="1594"/>
      <c r="O5" s="1594"/>
      <c r="P5" s="149"/>
      <c r="Q5" s="1257"/>
      <c r="R5" s="1594"/>
      <c r="S5" s="1594"/>
      <c r="T5" s="1594"/>
      <c r="U5" s="1594"/>
      <c r="V5" s="1594"/>
      <c r="W5" s="1594"/>
      <c r="X5" s="1594"/>
      <c r="Y5" s="1594"/>
      <c r="Z5" s="1601"/>
      <c r="AA5" s="1594"/>
      <c r="AB5" s="1594"/>
      <c r="AC5" s="1594"/>
      <c r="AD5" s="1594"/>
      <c r="AG5" s="151"/>
    </row>
    <row r="6" spans="1:38" ht="27" customHeight="1" x14ac:dyDescent="0.2">
      <c r="A6" s="1942"/>
      <c r="B6" s="1942"/>
      <c r="C6" s="1942"/>
      <c r="D6" s="1942"/>
      <c r="E6" s="1594"/>
      <c r="F6" s="1594"/>
      <c r="G6" s="1587"/>
      <c r="H6" s="1587"/>
      <c r="I6" s="1594"/>
      <c r="J6" s="1594"/>
      <c r="K6" s="1587"/>
      <c r="L6" s="1587"/>
      <c r="M6" s="1594"/>
      <c r="N6" s="1594"/>
      <c r="O6" s="1594"/>
      <c r="P6" s="149"/>
      <c r="Q6" s="1257"/>
      <c r="R6" s="1594"/>
      <c r="S6" s="1594"/>
      <c r="T6" s="1594"/>
      <c r="U6" s="1594"/>
      <c r="V6" s="1594"/>
      <c r="W6" s="1594"/>
      <c r="X6" s="1594"/>
      <c r="Y6" s="1594"/>
      <c r="Z6" s="1601"/>
      <c r="AA6" s="1594"/>
      <c r="AB6" s="1594"/>
      <c r="AC6" s="1594"/>
      <c r="AD6" s="1594"/>
      <c r="AE6" s="1594"/>
      <c r="AF6" s="1594"/>
    </row>
    <row r="7" spans="1:38" ht="27" customHeight="1" x14ac:dyDescent="0.2">
      <c r="A7" s="1942" t="s">
        <v>54</v>
      </c>
      <c r="B7" s="1942"/>
      <c r="C7" s="1942"/>
      <c r="D7" s="1942"/>
      <c r="E7" s="1594"/>
      <c r="F7" s="1594"/>
      <c r="G7" s="1587"/>
      <c r="H7" s="1587"/>
      <c r="I7" s="1594"/>
      <c r="J7" s="1594"/>
      <c r="K7" s="1587"/>
      <c r="L7" s="1587"/>
      <c r="M7" s="1594"/>
      <c r="N7" s="1594"/>
      <c r="O7" s="1594"/>
      <c r="P7" s="149"/>
      <c r="Q7" s="1257"/>
      <c r="R7" s="1594"/>
      <c r="S7" s="1594"/>
      <c r="T7" s="1594"/>
      <c r="U7" s="1594"/>
      <c r="V7" s="1594"/>
      <c r="W7" s="1594"/>
      <c r="X7" s="1594"/>
      <c r="Y7" s="1594"/>
      <c r="Z7" s="1601"/>
      <c r="AA7" s="1594"/>
      <c r="AB7" s="1594"/>
      <c r="AC7" s="1594"/>
      <c r="AD7" s="1594"/>
      <c r="AE7" s="1594"/>
      <c r="AF7" s="1594"/>
    </row>
    <row r="8" spans="1:38" ht="27" customHeight="1" x14ac:dyDescent="0.2">
      <c r="A8" s="1977" t="s">
        <v>736</v>
      </c>
      <c r="B8" s="1977"/>
      <c r="C8" s="1977"/>
      <c r="D8" s="1977"/>
      <c r="E8" s="1594"/>
      <c r="F8" s="1594"/>
      <c r="G8" s="1587"/>
      <c r="H8" s="1587"/>
      <c r="I8" s="1594"/>
      <c r="J8" s="1594"/>
      <c r="K8" s="1587"/>
      <c r="L8" s="1587"/>
      <c r="M8" s="1594"/>
      <c r="N8" s="1594"/>
      <c r="O8" s="1594"/>
      <c r="P8" s="149"/>
      <c r="Q8" s="1257"/>
      <c r="R8" s="1594"/>
      <c r="S8" s="1594"/>
      <c r="T8" s="1594"/>
      <c r="U8" s="1594"/>
      <c r="V8" s="1594"/>
      <c r="W8" s="1594"/>
      <c r="X8" s="1594"/>
      <c r="Y8" s="1594"/>
      <c r="Z8" s="1601"/>
      <c r="AA8" s="1594"/>
      <c r="AB8" s="1594"/>
      <c r="AC8" s="1594"/>
      <c r="AD8" s="1594"/>
      <c r="AE8" s="1594"/>
      <c r="AF8" s="1594"/>
    </row>
    <row r="9" spans="1:38" ht="27" customHeight="1" x14ac:dyDescent="0.2">
      <c r="A9" s="1408" t="s">
        <v>737</v>
      </c>
      <c r="B9" s="1588"/>
      <c r="C9" s="1588"/>
      <c r="D9" s="1588"/>
      <c r="E9" s="1594"/>
      <c r="F9" s="1594"/>
      <c r="G9" s="1587"/>
      <c r="H9" s="1587"/>
      <c r="I9" s="1594"/>
      <c r="J9" s="1594"/>
      <c r="K9" s="1587"/>
      <c r="L9" s="1587"/>
      <c r="M9" s="1594"/>
      <c r="N9" s="1594"/>
      <c r="O9" s="1594"/>
      <c r="P9" s="149"/>
      <c r="Q9" s="1257"/>
      <c r="R9" s="1594"/>
      <c r="S9" s="1594"/>
      <c r="T9" s="1594"/>
      <c r="U9" s="1594"/>
      <c r="V9" s="1594"/>
      <c r="W9" s="1594"/>
      <c r="X9" s="1594"/>
      <c r="Y9" s="1594"/>
      <c r="Z9" s="1601"/>
      <c r="AA9" s="1594"/>
      <c r="AB9" s="1594"/>
      <c r="AC9" s="1594"/>
      <c r="AD9" s="1594"/>
      <c r="AE9" s="1594"/>
      <c r="AF9" s="1594"/>
    </row>
    <row r="10" spans="1:38" ht="27" customHeight="1" x14ac:dyDescent="0.2">
      <c r="A10" s="1976"/>
      <c r="B10" s="1976"/>
      <c r="C10" s="1976"/>
      <c r="D10" s="1976"/>
      <c r="E10" s="1589"/>
      <c r="F10" s="1594"/>
      <c r="G10" s="1587"/>
      <c r="H10" s="1587"/>
      <c r="I10" s="1594"/>
      <c r="J10" s="1594"/>
      <c r="K10" s="1587"/>
      <c r="L10" s="1587"/>
      <c r="M10" s="1594"/>
      <c r="N10" s="1594"/>
      <c r="O10" s="1594"/>
      <c r="P10" s="149"/>
      <c r="Q10" s="1257"/>
      <c r="R10" s="1594"/>
      <c r="S10" s="1594"/>
      <c r="T10" s="1594"/>
      <c r="U10" s="1594"/>
      <c r="V10" s="1594"/>
      <c r="W10" s="1594"/>
      <c r="X10" s="1594"/>
      <c r="Y10" s="1594"/>
      <c r="Z10" s="1601"/>
      <c r="AA10" s="1594"/>
      <c r="AB10" s="1594"/>
      <c r="AC10" s="1594"/>
      <c r="AD10" s="1594"/>
      <c r="AE10" s="1594"/>
      <c r="AF10" s="1594"/>
    </row>
    <row r="11" spans="1:38" ht="27" customHeight="1" x14ac:dyDescent="0.2">
      <c r="A11" s="1976" t="s">
        <v>740</v>
      </c>
      <c r="B11" s="1976"/>
      <c r="C11" s="1976"/>
      <c r="D11" s="1976"/>
      <c r="E11" s="1594"/>
      <c r="F11" s="1594"/>
      <c r="G11" s="1587"/>
      <c r="H11" s="1587"/>
      <c r="I11" s="1594"/>
      <c r="J11" s="1594"/>
      <c r="K11" s="1587"/>
      <c r="L11" s="1587"/>
      <c r="M11" s="1594"/>
      <c r="N11" s="1594"/>
      <c r="O11" s="1594"/>
      <c r="P11" s="149"/>
      <c r="Q11" s="1257"/>
      <c r="R11" s="1594"/>
      <c r="S11" s="1594"/>
      <c r="T11" s="1594"/>
      <c r="U11" s="1594"/>
      <c r="V11" s="1594"/>
      <c r="W11" s="1594"/>
      <c r="X11" s="1594"/>
      <c r="Y11" s="1594"/>
      <c r="Z11" s="1601"/>
      <c r="AA11" s="1594"/>
      <c r="AB11" s="1594"/>
      <c r="AC11" s="1594"/>
      <c r="AD11" s="1594"/>
      <c r="AE11" s="1594"/>
      <c r="AF11" s="1594"/>
    </row>
    <row r="12" spans="1:38" ht="27" customHeight="1" x14ac:dyDescent="0.2">
      <c r="A12" s="1590"/>
      <c r="B12" s="1590"/>
      <c r="C12" s="1590"/>
      <c r="D12" s="1590"/>
      <c r="E12" s="1594"/>
      <c r="F12" s="1594"/>
      <c r="G12" s="1587"/>
      <c r="H12" s="1587"/>
      <c r="I12" s="1594"/>
      <c r="J12" s="1594"/>
      <c r="K12" s="1587"/>
      <c r="L12" s="1587"/>
      <c r="M12" s="1594"/>
      <c r="N12" s="1594"/>
      <c r="O12" s="1594"/>
      <c r="P12" s="149"/>
      <c r="Q12" s="1257"/>
      <c r="R12" s="1594"/>
      <c r="S12" s="1594"/>
      <c r="T12" s="1594"/>
      <c r="U12" s="1594"/>
      <c r="V12" s="1594"/>
      <c r="W12" s="1594"/>
      <c r="X12" s="1594"/>
      <c r="Y12" s="1594"/>
      <c r="Z12" s="1601"/>
      <c r="AA12" s="1594"/>
      <c r="AB12" s="1594"/>
      <c r="AC12" s="1594"/>
      <c r="AD12" s="1594"/>
      <c r="AE12" s="1594"/>
      <c r="AF12" s="1594"/>
    </row>
    <row r="13" spans="1:38" ht="32.25" customHeight="1" x14ac:dyDescent="0.25">
      <c r="A13" s="1976"/>
      <c r="B13" s="1976"/>
      <c r="C13" s="1976"/>
      <c r="D13" s="1976"/>
      <c r="E13" s="1589"/>
      <c r="F13" s="1594"/>
      <c r="G13" s="1587"/>
      <c r="H13" s="1587"/>
      <c r="I13" s="140"/>
      <c r="J13" s="1594"/>
      <c r="K13" s="1587"/>
      <c r="L13" s="1587"/>
      <c r="M13" s="1594"/>
      <c r="N13" s="1594"/>
      <c r="O13" s="1594"/>
      <c r="P13" s="149"/>
      <c r="Q13" s="1257"/>
      <c r="R13" s="1594"/>
      <c r="S13" s="1594"/>
      <c r="T13" s="1594"/>
      <c r="U13" s="1594"/>
      <c r="V13" s="1594"/>
      <c r="W13" s="147"/>
      <c r="X13" s="1594"/>
      <c r="Y13" s="1594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587"/>
      <c r="C14" s="1587"/>
      <c r="D14" s="1587"/>
      <c r="E14" s="1594"/>
      <c r="F14" s="1594"/>
      <c r="G14" s="1587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594"/>
      <c r="Z14" s="148"/>
      <c r="AA14" s="148"/>
      <c r="AB14" s="148"/>
      <c r="AC14" s="148"/>
    </row>
    <row r="15" spans="1:38" ht="31.5" customHeight="1" thickBot="1" x14ac:dyDescent="0.25">
      <c r="B15" s="1587"/>
      <c r="C15" s="1587"/>
      <c r="D15" s="1587"/>
      <c r="E15" s="1594"/>
      <c r="F15" s="1594"/>
      <c r="G15" s="1587"/>
      <c r="H15" s="1587"/>
      <c r="I15" s="140"/>
      <c r="J15" s="1964" t="s">
        <v>775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594"/>
      <c r="Y15" s="1594"/>
      <c r="Z15" s="148"/>
      <c r="AA15" s="148"/>
      <c r="AB15" s="148"/>
      <c r="AC15" s="148"/>
      <c r="AD15" s="1594"/>
      <c r="AE15" s="1594"/>
      <c r="AF15" s="1594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595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595" t="s">
        <v>18</v>
      </c>
      <c r="AF17" s="1595" t="s">
        <v>20</v>
      </c>
      <c r="AG17" s="1967" t="s">
        <v>21</v>
      </c>
      <c r="AH17" s="1267">
        <v>45078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598" t="s">
        <v>3</v>
      </c>
      <c r="J18" s="1598" t="s">
        <v>7</v>
      </c>
      <c r="K18" s="1598" t="s">
        <v>30</v>
      </c>
      <c r="L18" s="1598" t="s">
        <v>29</v>
      </c>
      <c r="M18" s="1598" t="s">
        <v>31</v>
      </c>
      <c r="N18" s="1598" t="s">
        <v>32</v>
      </c>
      <c r="O18" s="1598" t="s">
        <v>12</v>
      </c>
      <c r="P18" s="1269" t="s">
        <v>673</v>
      </c>
      <c r="Q18" s="1270" t="s">
        <v>26</v>
      </c>
      <c r="R18" s="1598" t="s">
        <v>675</v>
      </c>
      <c r="S18" s="1598" t="s">
        <v>25</v>
      </c>
      <c r="T18" s="1598" t="s">
        <v>676</v>
      </c>
      <c r="U18" s="1968"/>
      <c r="V18" s="1968"/>
      <c r="W18" s="1987"/>
      <c r="X18" s="1410" t="s">
        <v>7</v>
      </c>
      <c r="Y18" s="1968"/>
      <c r="Z18" s="1603" t="s">
        <v>14</v>
      </c>
      <c r="AA18" s="1598" t="s">
        <v>679</v>
      </c>
      <c r="AB18" s="1598" t="s">
        <v>113</v>
      </c>
      <c r="AC18" s="1968"/>
      <c r="AD18" s="1968"/>
      <c r="AE18" s="1598" t="s">
        <v>19</v>
      </c>
      <c r="AF18" s="1598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03">
        <v>557.80999999999995</v>
      </c>
      <c r="J19" s="1448">
        <v>180</v>
      </c>
      <c r="K19" s="241"/>
      <c r="L19" s="1277">
        <v>428</v>
      </c>
      <c r="M19" s="241"/>
      <c r="N19" s="1278">
        <v>1.8</v>
      </c>
      <c r="O19" s="241"/>
      <c r="P19" s="1278">
        <f>AI19</f>
        <v>14.331844250504316</v>
      </c>
      <c r="Q19" s="1278">
        <f>LEFT(H19,(FIND("Е",H19,1)-1))*J19/100</f>
        <v>23.4</v>
      </c>
      <c r="R19" s="244">
        <v>3.3149999999999999</v>
      </c>
      <c r="S19" s="244">
        <v>14.5</v>
      </c>
      <c r="T19" s="1277">
        <v>22</v>
      </c>
      <c r="U19" s="1278">
        <f t="shared" ref="U19:U37" si="0">IF(R19=0,0,T19/R19)</f>
        <v>6.6365007541478134</v>
      </c>
      <c r="V19" s="1278">
        <f>(S19-R19)/S19*100</f>
        <v>77.137931034482762</v>
      </c>
      <c r="W19" s="1279">
        <v>0.2</v>
      </c>
      <c r="X19" s="1449">
        <v>180</v>
      </c>
      <c r="Y19" s="1277">
        <f>IF(S19=0,0,S19/Q19)*100</f>
        <v>61.965811965811966</v>
      </c>
      <c r="Z19" s="244">
        <f>R19*0.988</f>
        <v>3.27522</v>
      </c>
      <c r="AA19" s="244">
        <f>S19*0.988</f>
        <v>14.326000000000001</v>
      </c>
      <c r="AB19" s="1277">
        <f>T19*0.988</f>
        <v>21.736000000000001</v>
      </c>
      <c r="AC19" s="244">
        <f>U19</f>
        <v>6.6365007541478134</v>
      </c>
      <c r="AD19" s="1277">
        <f>V19</f>
        <v>77.137931034482762</v>
      </c>
      <c r="AE19" s="241">
        <v>25</v>
      </c>
      <c r="AF19" s="244">
        <f t="shared" ref="AF19:AF63" si="1">Z19*AE19</f>
        <v>81.880499999999998</v>
      </c>
      <c r="AG19" s="1281" t="s">
        <v>776</v>
      </c>
      <c r="AI19" s="1282">
        <f t="shared" ref="AI19:AI82" si="2">(9.81*(AJ19*(100%-(V19/100))+AK19*(V19/100))*(I19-L19)+N19*101.325+9.81*(AL19)*L19)/101.325</f>
        <v>14.331844250504316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30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598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3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2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598">
        <v>528.5</v>
      </c>
      <c r="J21" s="241">
        <v>85</v>
      </c>
      <c r="K21" s="241"/>
      <c r="L21" s="1277">
        <v>437</v>
      </c>
      <c r="M21" s="241"/>
      <c r="N21" s="1278">
        <v>6.4</v>
      </c>
      <c r="O21" s="241"/>
      <c r="P21" s="1278">
        <f t="shared" ref="P21:P84" si="4">AI21</f>
        <v>14.880222430293992</v>
      </c>
      <c r="Q21" s="1278">
        <f>RIGHT(H21,(FIND("T",H21,1)-0))*J21/100</f>
        <v>17</v>
      </c>
      <c r="R21" s="244">
        <v>5.8959999999999999</v>
      </c>
      <c r="S21" s="244">
        <v>11.593999999999999</v>
      </c>
      <c r="T21" s="1277">
        <v>11</v>
      </c>
      <c r="U21" s="1278">
        <f t="shared" si="0"/>
        <v>1.8656716417910448</v>
      </c>
      <c r="V21" s="1278">
        <f t="shared" ref="V21:V55" si="5">(S21-R21)/S21*100</f>
        <v>49.146110056925998</v>
      </c>
      <c r="W21" s="1279">
        <v>0.2</v>
      </c>
      <c r="X21" s="1316">
        <v>85</v>
      </c>
      <c r="Y21" s="1277">
        <f t="shared" si="3"/>
        <v>68.199999999999989</v>
      </c>
      <c r="Z21" s="244">
        <f t="shared" ref="Z21:AB35" si="6">R21*0.988</f>
        <v>5.8252480000000002</v>
      </c>
      <c r="AA21" s="244">
        <f t="shared" si="6"/>
        <v>11.454872</v>
      </c>
      <c r="AB21" s="1277">
        <f t="shared" si="6"/>
        <v>10.868</v>
      </c>
      <c r="AC21" s="244">
        <f t="shared" ref="AC21:AD35" si="7">U21</f>
        <v>1.8656716417910448</v>
      </c>
      <c r="AD21" s="1277">
        <f t="shared" si="7"/>
        <v>49.146110056925998</v>
      </c>
      <c r="AE21" s="241">
        <f t="shared" ref="AE21:AE41" si="8">(DAY(EOMONTH($AH$17,0))-AH21)</f>
        <v>30</v>
      </c>
      <c r="AF21" s="244">
        <f t="shared" si="1"/>
        <v>174.75744</v>
      </c>
      <c r="AG21" s="1281"/>
      <c r="AI21" s="1282">
        <f t="shared" si="2"/>
        <v>14.880222430293992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03">
        <v>544.29999999999995</v>
      </c>
      <c r="J22" s="241">
        <v>195</v>
      </c>
      <c r="K22" s="241"/>
      <c r="L22" s="1277">
        <v>451</v>
      </c>
      <c r="M22" s="241"/>
      <c r="N22" s="1278">
        <v>4.7</v>
      </c>
      <c r="O22" s="241"/>
      <c r="P22" s="1278">
        <f t="shared" si="4"/>
        <v>13.356533811679498</v>
      </c>
      <c r="Q22" s="1278">
        <f t="shared" ref="Q22:Q27" si="9">RIGHT(H22,(FIND("T",H22,1)-0))*J22/100</f>
        <v>27.3</v>
      </c>
      <c r="R22" s="244">
        <v>8.3330000000000002</v>
      </c>
      <c r="S22" s="244">
        <v>15.946</v>
      </c>
      <c r="T22" s="1277">
        <v>189</v>
      </c>
      <c r="U22" s="1278">
        <f t="shared" si="0"/>
        <v>22.68090723628945</v>
      </c>
      <c r="V22" s="1278">
        <f t="shared" si="5"/>
        <v>47.742380534303273</v>
      </c>
      <c r="W22" s="1279">
        <v>0.23</v>
      </c>
      <c r="X22" s="1316">
        <v>195</v>
      </c>
      <c r="Y22" s="1277">
        <f t="shared" si="3"/>
        <v>58.410256410256409</v>
      </c>
      <c r="Z22" s="244">
        <f t="shared" si="6"/>
        <v>8.2330039999999993</v>
      </c>
      <c r="AA22" s="244">
        <f t="shared" si="6"/>
        <v>15.754648</v>
      </c>
      <c r="AB22" s="1277">
        <f t="shared" si="6"/>
        <v>186.732</v>
      </c>
      <c r="AC22" s="244">
        <f t="shared" si="7"/>
        <v>22.68090723628945</v>
      </c>
      <c r="AD22" s="1277">
        <f t="shared" si="7"/>
        <v>47.742380534303273</v>
      </c>
      <c r="AE22" s="241">
        <f t="shared" si="8"/>
        <v>30</v>
      </c>
      <c r="AF22" s="244">
        <f t="shared" si="1"/>
        <v>246.99011999999999</v>
      </c>
      <c r="AG22" s="1281"/>
      <c r="AI22" s="1282">
        <f t="shared" si="2"/>
        <v>13.356533811679498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03">
        <v>548.32000000000005</v>
      </c>
      <c r="J23" s="241">
        <v>135</v>
      </c>
      <c r="K23" s="241"/>
      <c r="L23" s="1277">
        <v>425</v>
      </c>
      <c r="M23" s="241"/>
      <c r="N23" s="1278">
        <v>2.6</v>
      </c>
      <c r="O23" s="241"/>
      <c r="P23" s="1278">
        <f t="shared" si="4"/>
        <v>13.628326921263136</v>
      </c>
      <c r="Q23" s="1278">
        <f t="shared" si="9"/>
        <v>18.899999999999999</v>
      </c>
      <c r="R23" s="244">
        <v>2.7669999999999999</v>
      </c>
      <c r="S23" s="244">
        <v>3.0819999999999999</v>
      </c>
      <c r="T23" s="1277">
        <v>55</v>
      </c>
      <c r="U23" s="1278">
        <f t="shared" si="0"/>
        <v>19.877123238164078</v>
      </c>
      <c r="V23" s="1278">
        <f t="shared" si="5"/>
        <v>10.220635950681373</v>
      </c>
      <c r="W23" s="1279">
        <v>0.2</v>
      </c>
      <c r="X23" s="1316">
        <v>135</v>
      </c>
      <c r="Y23" s="1277">
        <f t="shared" si="3"/>
        <v>16.306878306878307</v>
      </c>
      <c r="Z23" s="244">
        <f t="shared" si="6"/>
        <v>2.7337959999999999</v>
      </c>
      <c r="AA23" s="244">
        <f t="shared" si="6"/>
        <v>3.0450159999999999</v>
      </c>
      <c r="AB23" s="1277">
        <f t="shared" si="6"/>
        <v>54.339999999999996</v>
      </c>
      <c r="AC23" s="244">
        <f t="shared" si="7"/>
        <v>19.877123238164078</v>
      </c>
      <c r="AD23" s="1277">
        <f t="shared" si="7"/>
        <v>10.220635950681373</v>
      </c>
      <c r="AE23" s="241">
        <v>15</v>
      </c>
      <c r="AF23" s="244">
        <f t="shared" si="1"/>
        <v>41.00694</v>
      </c>
      <c r="AG23" s="1285" t="s">
        <v>779</v>
      </c>
      <c r="AI23" s="1282">
        <f t="shared" si="2"/>
        <v>13.628326921263136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03">
        <v>563.03</v>
      </c>
      <c r="J24" s="241">
        <v>135</v>
      </c>
      <c r="K24" s="241"/>
      <c r="L24" s="1277">
        <v>411</v>
      </c>
      <c r="M24" s="241"/>
      <c r="N24" s="1278">
        <v>0.8</v>
      </c>
      <c r="O24" s="241"/>
      <c r="P24" s="1278">
        <f t="shared" si="4"/>
        <v>14.781122465647407</v>
      </c>
      <c r="Q24" s="1278">
        <f t="shared" si="9"/>
        <v>18.899999999999999</v>
      </c>
      <c r="R24" s="244">
        <v>5.5739999999999998</v>
      </c>
      <c r="S24" s="244">
        <v>6.8570000000000002</v>
      </c>
      <c r="T24" s="1277">
        <v>10</v>
      </c>
      <c r="U24" s="1278">
        <f t="shared" si="0"/>
        <v>1.7940437746681019</v>
      </c>
      <c r="V24" s="1278">
        <f t="shared" si="5"/>
        <v>18.710806475134902</v>
      </c>
      <c r="W24" s="1279">
        <v>0.2</v>
      </c>
      <c r="X24" s="1316">
        <v>135</v>
      </c>
      <c r="Y24" s="1277">
        <f t="shared" si="3"/>
        <v>36.280423280423285</v>
      </c>
      <c r="Z24" s="244">
        <f t="shared" si="6"/>
        <v>5.5071120000000002</v>
      </c>
      <c r="AA24" s="244">
        <f t="shared" si="6"/>
        <v>6.7747159999999997</v>
      </c>
      <c r="AB24" s="1277">
        <f t="shared" si="6"/>
        <v>9.879999999999999</v>
      </c>
      <c r="AC24" s="244">
        <f t="shared" si="7"/>
        <v>1.7940437746681019</v>
      </c>
      <c r="AD24" s="1277">
        <f t="shared" si="7"/>
        <v>18.710806475134902</v>
      </c>
      <c r="AE24" s="241">
        <f t="shared" si="8"/>
        <v>30</v>
      </c>
      <c r="AF24" s="244">
        <f t="shared" si="1"/>
        <v>165.21335999999999</v>
      </c>
      <c r="AG24" s="1281"/>
      <c r="AI24" s="1282">
        <f t="shared" si="2"/>
        <v>14.781122465647407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23">
        <v>548.85</v>
      </c>
      <c r="J25" s="241">
        <v>60</v>
      </c>
      <c r="K25" s="241"/>
      <c r="L25" s="1277">
        <v>421</v>
      </c>
      <c r="M25" s="241"/>
      <c r="N25" s="1278">
        <v>3.6</v>
      </c>
      <c r="O25" s="241"/>
      <c r="P25" s="1278">
        <f t="shared" si="4"/>
        <v>15.679258109539687</v>
      </c>
      <c r="Q25" s="1278">
        <f t="shared" si="9"/>
        <v>8.4</v>
      </c>
      <c r="R25" s="244">
        <v>3.9039999999999999</v>
      </c>
      <c r="S25" s="244">
        <v>8.91</v>
      </c>
      <c r="T25" s="1277">
        <v>15.5</v>
      </c>
      <c r="U25" s="1278">
        <f t="shared" si="0"/>
        <v>3.9702868852459017</v>
      </c>
      <c r="V25" s="1278">
        <f t="shared" si="5"/>
        <v>56.184062850729518</v>
      </c>
      <c r="W25" s="1279">
        <v>0.2</v>
      </c>
      <c r="X25" s="1316">
        <v>60</v>
      </c>
      <c r="Y25" s="1277">
        <f t="shared" si="3"/>
        <v>106.07142857142857</v>
      </c>
      <c r="Z25" s="244">
        <f t="shared" si="6"/>
        <v>3.8571519999999997</v>
      </c>
      <c r="AA25" s="244">
        <f t="shared" si="6"/>
        <v>8.8030799999999996</v>
      </c>
      <c r="AB25" s="1277">
        <f t="shared" si="6"/>
        <v>15.314</v>
      </c>
      <c r="AC25" s="244">
        <f t="shared" si="7"/>
        <v>3.9702868852459017</v>
      </c>
      <c r="AD25" s="1277">
        <f t="shared" si="7"/>
        <v>56.184062850729518</v>
      </c>
      <c r="AE25" s="241">
        <f t="shared" si="8"/>
        <v>30</v>
      </c>
      <c r="AF25" s="244">
        <f t="shared" si="1"/>
        <v>115.71455999999999</v>
      </c>
      <c r="AG25" s="1281"/>
      <c r="AI25" s="1282">
        <f t="shared" si="2"/>
        <v>15.679258109539687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449</v>
      </c>
      <c r="M26" s="1302"/>
      <c r="N26" s="1278">
        <v>4.7</v>
      </c>
      <c r="O26" s="1302"/>
      <c r="P26" s="1278">
        <f t="shared" si="4"/>
        <v>14.582041626344603</v>
      </c>
      <c r="Q26" s="1278">
        <f t="shared" si="9"/>
        <v>20</v>
      </c>
      <c r="R26" s="244">
        <v>4.0579999999999998</v>
      </c>
      <c r="S26" s="244">
        <v>12.874000000000001</v>
      </c>
      <c r="T26" s="1277">
        <v>22</v>
      </c>
      <c r="U26" s="1278">
        <f t="shared" si="0"/>
        <v>5.4213898472153774</v>
      </c>
      <c r="V26" s="1278">
        <f t="shared" si="5"/>
        <v>68.479105173217334</v>
      </c>
      <c r="W26" s="1279">
        <v>0.2</v>
      </c>
      <c r="X26" s="1316">
        <v>100</v>
      </c>
      <c r="Y26" s="1277">
        <f t="shared" si="3"/>
        <v>64.37</v>
      </c>
      <c r="Z26" s="244">
        <f t="shared" si="6"/>
        <v>4.0093040000000002</v>
      </c>
      <c r="AA26" s="244">
        <f t="shared" si="6"/>
        <v>12.719512</v>
      </c>
      <c r="AB26" s="1277">
        <f t="shared" si="6"/>
        <v>21.736000000000001</v>
      </c>
      <c r="AC26" s="244">
        <f t="shared" si="7"/>
        <v>5.4213898472153774</v>
      </c>
      <c r="AD26" s="1277">
        <f t="shared" si="7"/>
        <v>68.479105173217334</v>
      </c>
      <c r="AE26" s="241">
        <f t="shared" si="8"/>
        <v>30</v>
      </c>
      <c r="AF26" s="244">
        <f t="shared" si="1"/>
        <v>120.27912000000001</v>
      </c>
      <c r="AG26" s="1281"/>
      <c r="AI26" s="1282">
        <f t="shared" si="2"/>
        <v>14.582041626344603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604">
        <v>569.48</v>
      </c>
      <c r="J27" s="241">
        <v>150</v>
      </c>
      <c r="K27" s="241"/>
      <c r="L27" s="1277">
        <v>455</v>
      </c>
      <c r="M27" s="241"/>
      <c r="N27" s="1278">
        <v>3.5</v>
      </c>
      <c r="O27" s="241"/>
      <c r="P27" s="1278">
        <f t="shared" si="4"/>
        <v>14.325176800795175</v>
      </c>
      <c r="Q27" s="1278">
        <f t="shared" si="9"/>
        <v>30</v>
      </c>
      <c r="R27" s="244">
        <v>6.5940000000000003</v>
      </c>
      <c r="S27" s="244">
        <v>16.266999999999999</v>
      </c>
      <c r="T27" s="1277">
        <v>41</v>
      </c>
      <c r="U27" s="1278">
        <f t="shared" si="0"/>
        <v>6.2177737336973005</v>
      </c>
      <c r="V27" s="1278">
        <f t="shared" si="5"/>
        <v>59.463945410954686</v>
      </c>
      <c r="W27" s="1279">
        <v>0.2</v>
      </c>
      <c r="X27" s="1316">
        <v>150</v>
      </c>
      <c r="Y27" s="1277">
        <f t="shared" si="3"/>
        <v>54.223333333333336</v>
      </c>
      <c r="Z27" s="244">
        <f t="shared" si="6"/>
        <v>6.5148720000000004</v>
      </c>
      <c r="AA27" s="244">
        <f t="shared" si="6"/>
        <v>16.071795999999999</v>
      </c>
      <c r="AB27" s="1277">
        <f t="shared" si="6"/>
        <v>40.508000000000003</v>
      </c>
      <c r="AC27" s="244">
        <f t="shared" si="7"/>
        <v>6.2177737336973005</v>
      </c>
      <c r="AD27" s="1277">
        <f t="shared" si="7"/>
        <v>59.463945410954686</v>
      </c>
      <c r="AE27" s="241">
        <f t="shared" si="8"/>
        <v>30</v>
      </c>
      <c r="AF27" s="244">
        <f t="shared" si="1"/>
        <v>195.44616000000002</v>
      </c>
      <c r="AG27" s="1281"/>
      <c r="AI27" s="1282">
        <f t="shared" si="2"/>
        <v>14.325176800795175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04">
        <v>566.99</v>
      </c>
      <c r="J28" s="1448">
        <v>85</v>
      </c>
      <c r="K28" s="241"/>
      <c r="L28" s="1277">
        <v>436</v>
      </c>
      <c r="M28" s="241"/>
      <c r="N28" s="1278">
        <v>3.9</v>
      </c>
      <c r="O28" s="241"/>
      <c r="P28" s="1278">
        <f t="shared" si="4"/>
        <v>16.32190927986505</v>
      </c>
      <c r="Q28" s="1278">
        <f>J28*14/100</f>
        <v>11.9</v>
      </c>
      <c r="R28" s="244">
        <v>4.4939999999999998</v>
      </c>
      <c r="S28" s="244">
        <v>10.036</v>
      </c>
      <c r="T28" s="1277">
        <v>8.3230000000000004</v>
      </c>
      <c r="U28" s="1278">
        <f t="shared" si="0"/>
        <v>1.8520249221183802</v>
      </c>
      <c r="V28" s="1278">
        <f t="shared" si="5"/>
        <v>55.221203666799525</v>
      </c>
      <c r="W28" s="1279">
        <v>0.2</v>
      </c>
      <c r="X28" s="1449">
        <v>85</v>
      </c>
      <c r="Y28" s="1277">
        <f t="shared" si="3"/>
        <v>84.336134453781511</v>
      </c>
      <c r="Z28" s="244">
        <f t="shared" si="6"/>
        <v>4.4400719999999998</v>
      </c>
      <c r="AA28" s="244">
        <f t="shared" si="6"/>
        <v>9.9155679999999986</v>
      </c>
      <c r="AB28" s="1277">
        <f t="shared" si="6"/>
        <v>8.2231240000000003</v>
      </c>
      <c r="AC28" s="244">
        <f t="shared" si="7"/>
        <v>1.8520249221183802</v>
      </c>
      <c r="AD28" s="1277">
        <f t="shared" si="7"/>
        <v>55.221203666799525</v>
      </c>
      <c r="AE28" s="241">
        <f t="shared" si="8"/>
        <v>30</v>
      </c>
      <c r="AF28" s="244">
        <f t="shared" si="1"/>
        <v>133.20215999999999</v>
      </c>
      <c r="AG28" s="1281"/>
      <c r="AI28" s="1282">
        <f t="shared" si="2"/>
        <v>16.32190927986505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04">
        <v>593.29</v>
      </c>
      <c r="J29" s="241">
        <v>280</v>
      </c>
      <c r="K29" s="241"/>
      <c r="L29" s="1277">
        <v>451</v>
      </c>
      <c r="M29" s="241"/>
      <c r="N29" s="1278">
        <v>3.9</v>
      </c>
      <c r="O29" s="241"/>
      <c r="P29" s="1278">
        <f t="shared" si="4"/>
        <v>17.821398296277081</v>
      </c>
      <c r="Q29" s="1278">
        <f>(15/100)*J29</f>
        <v>42</v>
      </c>
      <c r="R29" s="244">
        <v>1.8460000000000001</v>
      </c>
      <c r="S29" s="244">
        <v>6.202</v>
      </c>
      <c r="T29" s="1277">
        <v>35</v>
      </c>
      <c r="U29" s="1278">
        <f t="shared" si="0"/>
        <v>18.95991332611051</v>
      </c>
      <c r="V29" s="1278">
        <f t="shared" si="5"/>
        <v>70.235407932924858</v>
      </c>
      <c r="W29" s="1279">
        <v>0.27</v>
      </c>
      <c r="X29" s="1316">
        <v>280</v>
      </c>
      <c r="Y29" s="1277">
        <f t="shared" si="3"/>
        <v>14.766666666666667</v>
      </c>
      <c r="Z29" s="244">
        <f t="shared" si="6"/>
        <v>1.8238480000000001</v>
      </c>
      <c r="AA29" s="244">
        <f t="shared" si="6"/>
        <v>6.1275759999999995</v>
      </c>
      <c r="AB29" s="1277">
        <f t="shared" si="6"/>
        <v>34.58</v>
      </c>
      <c r="AC29" s="244">
        <f t="shared" si="7"/>
        <v>18.95991332611051</v>
      </c>
      <c r="AD29" s="1277">
        <f t="shared" si="7"/>
        <v>70.235407932924858</v>
      </c>
      <c r="AE29" s="241">
        <f t="shared" si="8"/>
        <v>30</v>
      </c>
      <c r="AF29" s="244">
        <f t="shared" si="1"/>
        <v>54.715440000000001</v>
      </c>
      <c r="AG29" s="1285"/>
      <c r="AI29" s="1282">
        <f t="shared" si="2"/>
        <v>17.821398296277081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04" t="s">
        <v>298</v>
      </c>
      <c r="F30" s="241">
        <v>177.8</v>
      </c>
      <c r="G30" s="241" t="s">
        <v>28</v>
      </c>
      <c r="H30" s="1299" t="s">
        <v>687</v>
      </c>
      <c r="I30" s="1604">
        <v>558.21</v>
      </c>
      <c r="J30" s="1448">
        <v>85</v>
      </c>
      <c r="K30" s="241"/>
      <c r="L30" s="1277">
        <v>249</v>
      </c>
      <c r="M30" s="241"/>
      <c r="N30" s="1278">
        <v>0.6</v>
      </c>
      <c r="O30" s="241"/>
      <c r="P30" s="1278">
        <f t="shared" si="4"/>
        <v>30.579559943074464</v>
      </c>
      <c r="Q30" s="1278">
        <f>20*J30/100</f>
        <v>17</v>
      </c>
      <c r="R30" s="244">
        <v>2.1779999999999999</v>
      </c>
      <c r="S30" s="244">
        <v>15.513999999999999</v>
      </c>
      <c r="T30" s="1277">
        <v>18</v>
      </c>
      <c r="U30" s="1278">
        <f t="shared" si="0"/>
        <v>8.2644628099173563</v>
      </c>
      <c r="V30" s="1278">
        <f t="shared" si="5"/>
        <v>85.961067422972789</v>
      </c>
      <c r="W30" s="1279">
        <v>0.3</v>
      </c>
      <c r="X30" s="1449">
        <v>85</v>
      </c>
      <c r="Y30" s="1277">
        <f t="shared" si="3"/>
        <v>91.258823529411757</v>
      </c>
      <c r="Z30" s="244">
        <f t="shared" si="6"/>
        <v>2.1518639999999998</v>
      </c>
      <c r="AA30" s="244">
        <f t="shared" si="6"/>
        <v>15.327831999999999</v>
      </c>
      <c r="AB30" s="1277">
        <f t="shared" si="6"/>
        <v>17.783999999999999</v>
      </c>
      <c r="AC30" s="244">
        <f t="shared" si="7"/>
        <v>8.2644628099173563</v>
      </c>
      <c r="AD30" s="1277">
        <f t="shared" si="7"/>
        <v>85.961067422972789</v>
      </c>
      <c r="AE30" s="241">
        <v>20</v>
      </c>
      <c r="AF30" s="244">
        <f>Z30*AE30</f>
        <v>43.037279999999996</v>
      </c>
      <c r="AG30" s="1285" t="s">
        <v>779</v>
      </c>
      <c r="AI30" s="1282">
        <f t="shared" si="2"/>
        <v>30.579559943074464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04" t="s">
        <v>79</v>
      </c>
      <c r="F31" s="241">
        <v>177.8</v>
      </c>
      <c r="G31" s="241" t="s">
        <v>28</v>
      </c>
      <c r="H31" s="1299" t="s">
        <v>565</v>
      </c>
      <c r="I31" s="1604">
        <v>526.29</v>
      </c>
      <c r="J31" s="1448">
        <v>250</v>
      </c>
      <c r="K31" s="241"/>
      <c r="L31" s="1277">
        <v>256</v>
      </c>
      <c r="M31" s="241"/>
      <c r="N31" s="1278">
        <v>3</v>
      </c>
      <c r="O31" s="241"/>
      <c r="P31" s="1278">
        <f t="shared" si="4"/>
        <v>29.2679927425587</v>
      </c>
      <c r="Q31" s="1278">
        <f>LEFT(H31,(FIND("E",H31,1)-1))*J31/100</f>
        <v>80</v>
      </c>
      <c r="R31" s="244">
        <v>11.401999999999999</v>
      </c>
      <c r="S31" s="244">
        <v>69.884</v>
      </c>
      <c r="T31" s="1277">
        <v>429</v>
      </c>
      <c r="U31" s="1278">
        <f t="shared" si="0"/>
        <v>37.624978074022103</v>
      </c>
      <c r="V31" s="1278">
        <f t="shared" si="5"/>
        <v>83.684391276973273</v>
      </c>
      <c r="W31" s="1279">
        <v>0.2</v>
      </c>
      <c r="X31" s="1449">
        <v>250</v>
      </c>
      <c r="Y31" s="1277">
        <f t="shared" si="3"/>
        <v>87.355000000000004</v>
      </c>
      <c r="Z31" s="244">
        <f t="shared" si="6"/>
        <v>11.265175999999999</v>
      </c>
      <c r="AA31" s="244">
        <f t="shared" si="6"/>
        <v>69.045391999999993</v>
      </c>
      <c r="AB31" s="1277">
        <f t="shared" si="6"/>
        <v>423.85199999999998</v>
      </c>
      <c r="AC31" s="244">
        <f t="shared" si="7"/>
        <v>37.624978074022103</v>
      </c>
      <c r="AD31" s="1277">
        <f t="shared" si="7"/>
        <v>83.684391276973273</v>
      </c>
      <c r="AE31" s="241">
        <f t="shared" si="8"/>
        <v>30</v>
      </c>
      <c r="AF31" s="244">
        <f>Z31*AE31</f>
        <v>337.95527999999996</v>
      </c>
      <c r="AG31" s="1281"/>
      <c r="AI31" s="1282">
        <f t="shared" si="2"/>
        <v>29.2679927425587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04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448</v>
      </c>
      <c r="M32" s="241"/>
      <c r="N32" s="1278">
        <v>5.3</v>
      </c>
      <c r="O32" s="241"/>
      <c r="P32" s="1278">
        <f t="shared" si="4"/>
        <v>12.018637133995082</v>
      </c>
      <c r="Q32" s="1278">
        <f>RIGHT(H32,(FIND("T",H32,1)-0))*J32/100</f>
        <v>56</v>
      </c>
      <c r="R32" s="244">
        <v>10.843</v>
      </c>
      <c r="S32" s="244">
        <v>26.640999999999998</v>
      </c>
      <c r="T32" s="1277">
        <v>494</v>
      </c>
      <c r="U32" s="1278">
        <f t="shared" si="0"/>
        <v>45.559347044175965</v>
      </c>
      <c r="V32" s="1278">
        <f t="shared" si="5"/>
        <v>59.299575841747675</v>
      </c>
      <c r="W32" s="1279">
        <v>0.2</v>
      </c>
      <c r="X32" s="1316">
        <v>280</v>
      </c>
      <c r="Y32" s="1277">
        <f t="shared" si="3"/>
        <v>47.573214285714286</v>
      </c>
      <c r="Z32" s="244">
        <f t="shared" si="6"/>
        <v>10.712884000000001</v>
      </c>
      <c r="AA32" s="244">
        <f t="shared" si="6"/>
        <v>26.321307999999998</v>
      </c>
      <c r="AB32" s="1277">
        <f t="shared" si="6"/>
        <v>488.072</v>
      </c>
      <c r="AC32" s="244">
        <f t="shared" si="7"/>
        <v>45.559347044175965</v>
      </c>
      <c r="AD32" s="1277">
        <f t="shared" si="7"/>
        <v>59.299575841747675</v>
      </c>
      <c r="AE32" s="241">
        <f t="shared" si="8"/>
        <v>30</v>
      </c>
      <c r="AF32" s="244">
        <f t="shared" si="1"/>
        <v>321.38652000000002</v>
      </c>
      <c r="AG32" s="1281"/>
      <c r="AI32" s="1282">
        <f t="shared" si="2"/>
        <v>12.018637133995082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04">
        <v>569.99</v>
      </c>
      <c r="J33" s="1448">
        <v>220</v>
      </c>
      <c r="K33" s="241"/>
      <c r="L33" s="1277">
        <v>436</v>
      </c>
      <c r="M33" s="241"/>
      <c r="N33" s="1278">
        <v>3.8</v>
      </c>
      <c r="O33" s="241"/>
      <c r="P33" s="1278">
        <f t="shared" si="4"/>
        <v>16.66933898752632</v>
      </c>
      <c r="Q33" s="1278">
        <f>LEFT(H33,(FIND("K",H33,1)-1))*J33/100</f>
        <v>28.6</v>
      </c>
      <c r="R33" s="244">
        <v>7.2770000000000001</v>
      </c>
      <c r="S33" s="244">
        <v>22.187999999999999</v>
      </c>
      <c r="T33" s="1277">
        <v>60</v>
      </c>
      <c r="U33" s="1278">
        <f t="shared" si="0"/>
        <v>8.2451559708671152</v>
      </c>
      <c r="V33" s="1278">
        <f t="shared" si="5"/>
        <v>67.202992608617265</v>
      </c>
      <c r="W33" s="1279">
        <v>0.2</v>
      </c>
      <c r="X33" s="1449">
        <v>220</v>
      </c>
      <c r="Y33" s="1277">
        <f t="shared" si="3"/>
        <v>77.580419580419573</v>
      </c>
      <c r="Z33" s="244">
        <f t="shared" si="6"/>
        <v>7.1896760000000004</v>
      </c>
      <c r="AA33" s="244">
        <f t="shared" si="6"/>
        <v>21.921744</v>
      </c>
      <c r="AB33" s="1277">
        <f t="shared" si="6"/>
        <v>59.28</v>
      </c>
      <c r="AC33" s="244">
        <f t="shared" si="7"/>
        <v>8.2451559708671152</v>
      </c>
      <c r="AD33" s="1277">
        <f t="shared" si="7"/>
        <v>67.202992608617265</v>
      </c>
      <c r="AE33" s="241">
        <f t="shared" si="8"/>
        <v>30</v>
      </c>
      <c r="AF33" s="244">
        <f>Z33*AE33</f>
        <v>215.69028</v>
      </c>
      <c r="AG33" s="1285"/>
      <c r="AI33" s="1282">
        <f t="shared" si="2"/>
        <v>16.66933898752632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4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5"/>
        <v>#DIV/0!</v>
      </c>
      <c r="W34" s="1308">
        <v>0</v>
      </c>
      <c r="X34" s="238">
        <v>0</v>
      </c>
      <c r="Y34" s="1277">
        <f t="shared" si="3"/>
        <v>0</v>
      </c>
      <c r="Z34" s="244">
        <v>0</v>
      </c>
      <c r="AA34" s="244">
        <v>0</v>
      </c>
      <c r="AB34" s="1277">
        <f t="shared" si="6"/>
        <v>0</v>
      </c>
      <c r="AC34" s="1307">
        <f t="shared" si="7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2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439</v>
      </c>
      <c r="M35" s="241"/>
      <c r="N35" s="1278">
        <v>3.3</v>
      </c>
      <c r="O35" s="241"/>
      <c r="P35" s="1278">
        <f t="shared" si="4"/>
        <v>14.986201954696559</v>
      </c>
      <c r="Q35" s="1278">
        <f>20*J35/100</f>
        <v>19</v>
      </c>
      <c r="R35" s="244">
        <v>3.4340000000000002</v>
      </c>
      <c r="S35" s="244">
        <v>8.64</v>
      </c>
      <c r="T35" s="1277">
        <v>31</v>
      </c>
      <c r="U35" s="1278">
        <f t="shared" si="0"/>
        <v>9.0273733255678508</v>
      </c>
      <c r="V35" s="1278">
        <f t="shared" si="5"/>
        <v>60.254629629629633</v>
      </c>
      <c r="W35" s="1279">
        <v>0.2</v>
      </c>
      <c r="X35" s="1316">
        <v>95</v>
      </c>
      <c r="Y35" s="1277">
        <f t="shared" si="3"/>
        <v>45.473684210526315</v>
      </c>
      <c r="Z35" s="244">
        <f t="shared" si="6"/>
        <v>3.392792</v>
      </c>
      <c r="AA35" s="244">
        <f t="shared" si="6"/>
        <v>8.5363199999999999</v>
      </c>
      <c r="AB35" s="1277">
        <f t="shared" si="6"/>
        <v>30.628</v>
      </c>
      <c r="AC35" s="1307">
        <f t="shared" si="7"/>
        <v>9.0273733255678508</v>
      </c>
      <c r="AD35" s="1305">
        <f t="shared" si="7"/>
        <v>60.254629629629633</v>
      </c>
      <c r="AE35" s="241">
        <v>6</v>
      </c>
      <c r="AF35" s="1307">
        <f>Z35*AE35</f>
        <v>20.356752</v>
      </c>
      <c r="AG35" s="1285" t="s">
        <v>779</v>
      </c>
      <c r="AI35" s="1282">
        <f t="shared" si="2"/>
        <v>14.986201954696559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04">
        <v>564.05999999999995</v>
      </c>
      <c r="J36" s="241">
        <v>0</v>
      </c>
      <c r="K36" s="241"/>
      <c r="L36" s="1277">
        <v>0</v>
      </c>
      <c r="M36" s="241"/>
      <c r="N36" s="1278">
        <v>0</v>
      </c>
      <c r="O36" s="241"/>
      <c r="P36" s="1278" t="e">
        <f t="shared" si="4"/>
        <v>#DIV/0!</v>
      </c>
      <c r="Q36" s="1278">
        <f>LEFT(H36,(FIND("E",H36,1)-1))*J36/100</f>
        <v>0</v>
      </c>
      <c r="R36" s="244">
        <v>0</v>
      </c>
      <c r="S36" s="244">
        <v>0</v>
      </c>
      <c r="T36" s="1277">
        <v>0</v>
      </c>
      <c r="U36" s="1278">
        <f t="shared" si="0"/>
        <v>0</v>
      </c>
      <c r="V36" s="1278" t="e">
        <f t="shared" si="5"/>
        <v>#DIV/0!</v>
      </c>
      <c r="W36" s="1279">
        <v>0</v>
      </c>
      <c r="X36" s="1316">
        <v>150</v>
      </c>
      <c r="Y36" s="1277">
        <f t="shared" si="3"/>
        <v>0</v>
      </c>
      <c r="Z36" s="244">
        <v>3.2149999999999999</v>
      </c>
      <c r="AA36" s="244">
        <v>9.2829999999999995</v>
      </c>
      <c r="AB36" s="1277">
        <v>17</v>
      </c>
      <c r="AC36" s="244">
        <f>AB36/Z36</f>
        <v>5.2877138413685847</v>
      </c>
      <c r="AD36" s="1278">
        <f t="shared" ref="AD36" si="10">(AA36-Z36)/AA36*100</f>
        <v>65.366799526015299</v>
      </c>
      <c r="AE36" s="241">
        <v>30</v>
      </c>
      <c r="AF36" s="244">
        <f t="shared" si="1"/>
        <v>96.449999999999989</v>
      </c>
      <c r="AG36" s="1281" t="s">
        <v>776</v>
      </c>
      <c r="AI36" s="1282" t="e">
        <f t="shared" si="2"/>
        <v>#DIV/0!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04">
        <v>551</v>
      </c>
      <c r="J37" s="1448">
        <v>165</v>
      </c>
      <c r="K37" s="241"/>
      <c r="L37" s="1277">
        <v>462</v>
      </c>
      <c r="M37" s="241"/>
      <c r="N37" s="1278">
        <v>2.7</v>
      </c>
      <c r="O37" s="241"/>
      <c r="P37" s="1278">
        <f t="shared" si="4"/>
        <v>10.923113001229586</v>
      </c>
      <c r="Q37" s="1278">
        <f>14*J37/100</f>
        <v>23.1</v>
      </c>
      <c r="R37" s="244">
        <v>5.4779999999999998</v>
      </c>
      <c r="S37" s="244">
        <v>10.250999999999999</v>
      </c>
      <c r="T37" s="1277">
        <v>59</v>
      </c>
      <c r="U37" s="1278">
        <f t="shared" si="0"/>
        <v>10.77035414384812</v>
      </c>
      <c r="V37" s="1278">
        <f t="shared" si="5"/>
        <v>46.561311091600821</v>
      </c>
      <c r="W37" s="1279">
        <v>0.2</v>
      </c>
      <c r="X37" s="1449">
        <v>165</v>
      </c>
      <c r="Y37" s="1277">
        <f t="shared" si="3"/>
        <v>44.376623376623371</v>
      </c>
      <c r="Z37" s="244">
        <f t="shared" ref="Z37:AB43" si="11">R37*0.988</f>
        <v>5.4122639999999995</v>
      </c>
      <c r="AA37" s="244">
        <f t="shared" si="11"/>
        <v>10.127988</v>
      </c>
      <c r="AB37" s="1277">
        <f t="shared" si="11"/>
        <v>58.292000000000002</v>
      </c>
      <c r="AC37" s="244">
        <f t="shared" ref="AC37:AD38" si="12">U37</f>
        <v>10.77035414384812</v>
      </c>
      <c r="AD37" s="1305">
        <f t="shared" si="12"/>
        <v>46.561311091600821</v>
      </c>
      <c r="AE37" s="241">
        <f t="shared" si="8"/>
        <v>30</v>
      </c>
      <c r="AF37" s="244">
        <f t="shared" si="1"/>
        <v>162.36792</v>
      </c>
      <c r="AG37" s="1450"/>
      <c r="AI37" s="1282">
        <f t="shared" si="2"/>
        <v>10.923113001229586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598">
        <v>565.36</v>
      </c>
      <c r="J38" s="241">
        <v>0</v>
      </c>
      <c r="K38" s="241"/>
      <c r="L38" s="1277">
        <v>0</v>
      </c>
      <c r="M38" s="241"/>
      <c r="N38" s="1278">
        <v>0</v>
      </c>
      <c r="O38" s="241"/>
      <c r="P38" s="1278" t="e">
        <f t="shared" si="4"/>
        <v>#DIV/0!</v>
      </c>
      <c r="Q38" s="1278">
        <f>13*J38/100</f>
        <v>0</v>
      </c>
      <c r="R38" s="244">
        <v>0</v>
      </c>
      <c r="S38" s="244">
        <v>0</v>
      </c>
      <c r="T38" s="1277">
        <v>0</v>
      </c>
      <c r="U38" s="1278">
        <f>IF(R38=0,0,T38/R38)</f>
        <v>0</v>
      </c>
      <c r="V38" s="1278" t="e">
        <f t="shared" si="5"/>
        <v>#DIV/0!</v>
      </c>
      <c r="W38" s="1279">
        <v>0.2</v>
      </c>
      <c r="X38" s="1316">
        <v>0</v>
      </c>
      <c r="Y38" s="1277">
        <f t="shared" si="3"/>
        <v>0</v>
      </c>
      <c r="Z38" s="244">
        <f t="shared" si="11"/>
        <v>0</v>
      </c>
      <c r="AA38" s="244">
        <f t="shared" si="11"/>
        <v>0</v>
      </c>
      <c r="AB38" s="1277">
        <f t="shared" si="11"/>
        <v>0</v>
      </c>
      <c r="AC38" s="244">
        <f t="shared" si="12"/>
        <v>0</v>
      </c>
      <c r="AD38" s="1305">
        <v>0</v>
      </c>
      <c r="AE38" s="241">
        <v>0</v>
      </c>
      <c r="AF38" s="244">
        <f>Z38*AE38</f>
        <v>0</v>
      </c>
      <c r="AG38" s="1281" t="s">
        <v>771</v>
      </c>
      <c r="AI38" s="1282" t="e">
        <f t="shared" si="2"/>
        <v>#DIV/0!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04">
        <v>535.91</v>
      </c>
      <c r="J39" s="1448">
        <v>300</v>
      </c>
      <c r="K39" s="241"/>
      <c r="L39" s="1277">
        <v>447</v>
      </c>
      <c r="M39" s="241"/>
      <c r="N39" s="1278">
        <v>2.6</v>
      </c>
      <c r="O39" s="241"/>
      <c r="P39" s="1278">
        <f t="shared" si="4"/>
        <v>10.699186409546531</v>
      </c>
      <c r="Q39" s="1278">
        <f>(20/100)*J39</f>
        <v>60</v>
      </c>
      <c r="R39" s="244">
        <v>9.1479999999999997</v>
      </c>
      <c r="S39" s="244">
        <v>14.209</v>
      </c>
      <c r="T39" s="1277">
        <v>286</v>
      </c>
      <c r="U39" s="1278">
        <f t="shared" ref="U39:U86" si="13">IF(R39=0,0,T39/R39)</f>
        <v>31.263664188893749</v>
      </c>
      <c r="V39" s="1278">
        <f t="shared" si="5"/>
        <v>35.618270110493349</v>
      </c>
      <c r="W39" s="1279">
        <v>0.2</v>
      </c>
      <c r="X39" s="1449">
        <v>300</v>
      </c>
      <c r="Y39" s="1277">
        <f t="shared" si="3"/>
        <v>23.681666666666665</v>
      </c>
      <c r="Z39" s="244">
        <f t="shared" si="11"/>
        <v>9.0382239999999996</v>
      </c>
      <c r="AA39" s="244">
        <f t="shared" si="11"/>
        <v>14.038492</v>
      </c>
      <c r="AB39" s="1277">
        <f t="shared" si="11"/>
        <v>282.56799999999998</v>
      </c>
      <c r="AC39" s="244">
        <v>89.536086956521729</v>
      </c>
      <c r="AD39" s="1305">
        <f>V39</f>
        <v>35.618270110493349</v>
      </c>
      <c r="AE39" s="241">
        <f t="shared" si="8"/>
        <v>30</v>
      </c>
      <c r="AF39" s="244">
        <f t="shared" si="1"/>
        <v>271.14671999999996</v>
      </c>
      <c r="AG39" s="1314"/>
      <c r="AI39" s="1282">
        <f t="shared" si="2"/>
        <v>10.699186409546531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04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4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3"/>
        <v>0</v>
      </c>
      <c r="V40" s="1278" t="e">
        <f t="shared" si="5"/>
        <v>#DIV/0!</v>
      </c>
      <c r="W40" s="1279">
        <v>0</v>
      </c>
      <c r="X40" s="1449">
        <v>0</v>
      </c>
      <c r="Y40" s="1277">
        <f t="shared" si="3"/>
        <v>0</v>
      </c>
      <c r="Z40" s="244">
        <f t="shared" si="11"/>
        <v>0</v>
      </c>
      <c r="AA40" s="244">
        <f t="shared" si="11"/>
        <v>0</v>
      </c>
      <c r="AB40" s="1277">
        <f t="shared" si="11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1"/>
        <v>0</v>
      </c>
      <c r="AG40" s="1281" t="s">
        <v>771</v>
      </c>
      <c r="AI40" s="1282" t="e">
        <f t="shared" si="2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379</v>
      </c>
      <c r="M41" s="241"/>
      <c r="N41" s="1278">
        <v>1.2</v>
      </c>
      <c r="O41" s="241"/>
      <c r="P41" s="1278">
        <f t="shared" si="4"/>
        <v>18.947751414864804</v>
      </c>
      <c r="Q41" s="1278">
        <f>14*J41/100</f>
        <v>11.9</v>
      </c>
      <c r="R41" s="244">
        <v>2.367</v>
      </c>
      <c r="S41" s="244">
        <v>10.571999999999999</v>
      </c>
      <c r="T41" s="1277">
        <v>8.25</v>
      </c>
      <c r="U41" s="1278">
        <f t="shared" si="13"/>
        <v>3.4854245880861852</v>
      </c>
      <c r="V41" s="1278">
        <f t="shared" si="5"/>
        <v>77.61066969353007</v>
      </c>
      <c r="W41" s="1279">
        <v>0.2</v>
      </c>
      <c r="X41" s="1316">
        <v>85</v>
      </c>
      <c r="Y41" s="1277">
        <f t="shared" si="3"/>
        <v>88.840336134453764</v>
      </c>
      <c r="Z41" s="244">
        <f t="shared" si="11"/>
        <v>2.3385959999999999</v>
      </c>
      <c r="AA41" s="244">
        <f t="shared" si="11"/>
        <v>10.445136</v>
      </c>
      <c r="AB41" s="1277">
        <f t="shared" si="11"/>
        <v>8.1509999999999998</v>
      </c>
      <c r="AC41" s="244">
        <f>U41</f>
        <v>3.4854245880861852</v>
      </c>
      <c r="AD41" s="1277">
        <f>V41</f>
        <v>77.61066969353007</v>
      </c>
      <c r="AE41" s="241">
        <f t="shared" si="8"/>
        <v>30</v>
      </c>
      <c r="AF41" s="244">
        <f t="shared" si="1"/>
        <v>70.157879999999992</v>
      </c>
      <c r="AG41" s="1285"/>
      <c r="AI41" s="1282">
        <f t="shared" si="2"/>
        <v>18.947751414864804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4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3"/>
        <v>0</v>
      </c>
      <c r="V42" s="1278" t="e">
        <f t="shared" si="5"/>
        <v>#DIV/0!</v>
      </c>
      <c r="W42" s="1279">
        <v>0</v>
      </c>
      <c r="X42" s="1316">
        <v>0</v>
      </c>
      <c r="Y42" s="1277">
        <f t="shared" si="3"/>
        <v>0</v>
      </c>
      <c r="Z42" s="244">
        <f t="shared" si="11"/>
        <v>0</v>
      </c>
      <c r="AA42" s="244">
        <f t="shared" si="11"/>
        <v>0</v>
      </c>
      <c r="AB42" s="1277">
        <f t="shared" si="11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1"/>
        <v>0</v>
      </c>
      <c r="AG42" s="1281" t="s">
        <v>769</v>
      </c>
      <c r="AI42" s="1282" t="e">
        <f t="shared" si="2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598">
        <v>554.16999999999996</v>
      </c>
      <c r="J43" s="1448">
        <v>105</v>
      </c>
      <c r="K43" s="241"/>
      <c r="L43" s="1277">
        <v>294</v>
      </c>
      <c r="M43" s="241"/>
      <c r="N43" s="1278">
        <v>4.5999999999999996</v>
      </c>
      <c r="O43" s="241"/>
      <c r="P43" s="1278">
        <f t="shared" si="4"/>
        <v>29.853255473944973</v>
      </c>
      <c r="Q43" s="1278">
        <f>(32/100)*J43</f>
        <v>33.6</v>
      </c>
      <c r="R43" s="244">
        <v>6.4169999999999998</v>
      </c>
      <c r="S43" s="244">
        <v>35.74</v>
      </c>
      <c r="T43" s="1277">
        <v>94</v>
      </c>
      <c r="U43" s="1278">
        <f t="shared" si="13"/>
        <v>14.648589683652798</v>
      </c>
      <c r="V43" s="1278">
        <f t="shared" si="5"/>
        <v>82.045327364297705</v>
      </c>
      <c r="W43" s="1279">
        <v>0.2</v>
      </c>
      <c r="X43" s="1449">
        <v>105</v>
      </c>
      <c r="Y43" s="1277">
        <f t="shared" si="3"/>
        <v>106.36904761904762</v>
      </c>
      <c r="Z43" s="244">
        <f t="shared" si="11"/>
        <v>6.3399960000000002</v>
      </c>
      <c r="AA43" s="244">
        <f t="shared" si="11"/>
        <v>35.311120000000003</v>
      </c>
      <c r="AB43" s="1277">
        <f t="shared" si="11"/>
        <v>92.872</v>
      </c>
      <c r="AC43" s="244">
        <f>U43</f>
        <v>14.648589683652798</v>
      </c>
      <c r="AD43" s="1277">
        <f>V43</f>
        <v>82.045327364297705</v>
      </c>
      <c r="AE43" s="241">
        <f>(DAY(EOMONTH($AH$17,0))-AH43)</f>
        <v>30</v>
      </c>
      <c r="AF43" s="244">
        <f t="shared" si="1"/>
        <v>190.19988000000001</v>
      </c>
      <c r="AG43" s="1477"/>
      <c r="AI43" s="1282">
        <f t="shared" si="2"/>
        <v>29.853255473944973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598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3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2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04">
        <v>544.70000000000005</v>
      </c>
      <c r="J45" s="241">
        <v>85</v>
      </c>
      <c r="K45" s="241"/>
      <c r="L45" s="1277">
        <v>139</v>
      </c>
      <c r="M45" s="241"/>
      <c r="N45" s="1278">
        <v>4.0999999999999996</v>
      </c>
      <c r="O45" s="241"/>
      <c r="P45" s="1278">
        <f t="shared" si="4"/>
        <v>42.846784840033166</v>
      </c>
      <c r="Q45" s="1278">
        <f>J45*20/100</f>
        <v>17</v>
      </c>
      <c r="R45" s="244">
        <v>5.1929999999999996</v>
      </c>
      <c r="S45" s="244">
        <v>18.407</v>
      </c>
      <c r="T45" s="1277">
        <v>32</v>
      </c>
      <c r="U45" s="1278">
        <f t="shared" si="13"/>
        <v>6.1621413441170807</v>
      </c>
      <c r="V45" s="1278">
        <f t="shared" si="5"/>
        <v>71.787906774596621</v>
      </c>
      <c r="W45" s="1279">
        <v>0.2</v>
      </c>
      <c r="X45" s="1316">
        <v>85</v>
      </c>
      <c r="Y45" s="1277">
        <f t="shared" si="3"/>
        <v>108.27647058823528</v>
      </c>
      <c r="Z45" s="244">
        <f t="shared" ref="Z45:AB50" si="14">R45*0.988</f>
        <v>5.1306839999999996</v>
      </c>
      <c r="AA45" s="244">
        <f t="shared" si="14"/>
        <v>18.186115999999998</v>
      </c>
      <c r="AB45" s="1277">
        <f t="shared" si="14"/>
        <v>31.616</v>
      </c>
      <c r="AC45" s="244">
        <f t="shared" ref="AC45:AD51" si="15">U45</f>
        <v>6.1621413441170807</v>
      </c>
      <c r="AD45" s="1277">
        <f t="shared" si="15"/>
        <v>71.787906774596621</v>
      </c>
      <c r="AE45" s="241">
        <f t="shared" ref="AE45:AE85" si="16">(DAY(EOMONTH($AH$17,0))-AH45)</f>
        <v>30</v>
      </c>
      <c r="AF45" s="244">
        <f t="shared" si="1"/>
        <v>153.92051999999998</v>
      </c>
      <c r="AG45" s="1281"/>
      <c r="AI45" s="1282">
        <f t="shared" si="2"/>
        <v>42.846784840033166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04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04">
        <v>553.30999999999995</v>
      </c>
      <c r="J46" s="1604">
        <v>220</v>
      </c>
      <c r="K46" s="1604"/>
      <c r="L46" s="1319">
        <v>418</v>
      </c>
      <c r="M46" s="1604"/>
      <c r="N46" s="1278">
        <v>2.2000000000000002</v>
      </c>
      <c r="O46" s="1604"/>
      <c r="P46" s="1278">
        <f t="shared" si="4"/>
        <v>15.070468918197683</v>
      </c>
      <c r="Q46" s="1278">
        <f>J46*32/100</f>
        <v>70.400000000000006</v>
      </c>
      <c r="R46" s="244">
        <v>7.843</v>
      </c>
      <c r="S46" s="244">
        <v>23.042000000000002</v>
      </c>
      <c r="T46" s="1319">
        <v>202</v>
      </c>
      <c r="U46" s="1278">
        <f t="shared" si="13"/>
        <v>25.755450720387607</v>
      </c>
      <c r="V46" s="1278">
        <f t="shared" si="5"/>
        <v>65.962156062841771</v>
      </c>
      <c r="W46" s="1279">
        <v>0.2</v>
      </c>
      <c r="X46" s="1410">
        <v>220</v>
      </c>
      <c r="Y46" s="1277">
        <f t="shared" si="3"/>
        <v>32.730113636363633</v>
      </c>
      <c r="Z46" s="244">
        <f t="shared" si="14"/>
        <v>7.7488840000000003</v>
      </c>
      <c r="AA46" s="244">
        <f t="shared" si="14"/>
        <v>22.765496000000002</v>
      </c>
      <c r="AB46" s="1277">
        <f t="shared" si="14"/>
        <v>199.57599999999999</v>
      </c>
      <c r="AC46" s="244">
        <f t="shared" si="15"/>
        <v>25.755450720387607</v>
      </c>
      <c r="AD46" s="1277">
        <f t="shared" si="15"/>
        <v>65.962156062841771</v>
      </c>
      <c r="AE46" s="241">
        <f t="shared" si="16"/>
        <v>30</v>
      </c>
      <c r="AF46" s="244">
        <f t="shared" si="1"/>
        <v>232.46652</v>
      </c>
      <c r="AG46" s="1285"/>
      <c r="AI46" s="1282">
        <f t="shared" si="2"/>
        <v>15.070468918197683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04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04">
        <v>550.59</v>
      </c>
      <c r="J47" s="1373">
        <v>65</v>
      </c>
      <c r="K47" s="1604"/>
      <c r="L47" s="1277">
        <v>396</v>
      </c>
      <c r="M47" s="1604"/>
      <c r="N47" s="1278">
        <v>0.4</v>
      </c>
      <c r="O47" s="1604"/>
      <c r="P47" s="1278">
        <f t="shared" si="4"/>
        <v>14.798771389388211</v>
      </c>
      <c r="Q47" s="1278">
        <f>RIGHT(H47,(FIND("T",H47,1)-0))*J47/100</f>
        <v>9.1</v>
      </c>
      <c r="R47" s="244">
        <v>1.04</v>
      </c>
      <c r="S47" s="244">
        <v>1.9</v>
      </c>
      <c r="T47" s="1319">
        <v>8</v>
      </c>
      <c r="U47" s="1278">
        <f t="shared" si="13"/>
        <v>7.6923076923076916</v>
      </c>
      <c r="V47" s="1278">
        <f t="shared" si="5"/>
        <v>45.263157894736835</v>
      </c>
      <c r="W47" s="1279">
        <v>0.2</v>
      </c>
      <c r="X47" s="1452">
        <v>65</v>
      </c>
      <c r="Y47" s="1277">
        <f t="shared" si="3"/>
        <v>20.87912087912088</v>
      </c>
      <c r="Z47" s="244">
        <f t="shared" si="14"/>
        <v>1.02752</v>
      </c>
      <c r="AA47" s="244">
        <f t="shared" si="14"/>
        <v>1.8772</v>
      </c>
      <c r="AB47" s="1277">
        <f t="shared" si="14"/>
        <v>7.9039999999999999</v>
      </c>
      <c r="AC47" s="244">
        <f t="shared" si="15"/>
        <v>7.6923076923076916</v>
      </c>
      <c r="AD47" s="1277">
        <f t="shared" si="15"/>
        <v>45.263157894736835</v>
      </c>
      <c r="AE47" s="241">
        <v>30</v>
      </c>
      <c r="AF47" s="244">
        <f t="shared" si="1"/>
        <v>30.825600000000001</v>
      </c>
      <c r="AG47" s="1285"/>
      <c r="AI47" s="1282">
        <f t="shared" si="2"/>
        <v>14.798771389388211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04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04">
        <v>548.82000000000005</v>
      </c>
      <c r="J48" s="1604">
        <v>85</v>
      </c>
      <c r="K48" s="1604"/>
      <c r="L48" s="1319">
        <v>476</v>
      </c>
      <c r="M48" s="1604"/>
      <c r="N48" s="1278">
        <v>0.6</v>
      </c>
      <c r="O48" s="1604"/>
      <c r="P48" s="1278">
        <f t="shared" si="4"/>
        <v>7.1975531472549612</v>
      </c>
      <c r="Q48" s="1278">
        <f>14*J48/100</f>
        <v>11.9</v>
      </c>
      <c r="R48" s="244">
        <v>4.6109999999999998</v>
      </c>
      <c r="S48" s="244">
        <v>6.27</v>
      </c>
      <c r="T48" s="1319">
        <v>15</v>
      </c>
      <c r="U48" s="1278">
        <f t="shared" si="13"/>
        <v>3.2530904359141184</v>
      </c>
      <c r="V48" s="1278">
        <f t="shared" si="5"/>
        <v>26.459330143540672</v>
      </c>
      <c r="W48" s="1279">
        <v>0.2</v>
      </c>
      <c r="X48" s="1410">
        <v>85</v>
      </c>
      <c r="Y48" s="1277">
        <f t="shared" si="3"/>
        <v>52.689075630252091</v>
      </c>
      <c r="Z48" s="244">
        <f t="shared" si="14"/>
        <v>4.5556679999999998</v>
      </c>
      <c r="AA48" s="244">
        <f t="shared" si="14"/>
        <v>6.1947599999999996</v>
      </c>
      <c r="AB48" s="1277">
        <f t="shared" si="14"/>
        <v>14.82</v>
      </c>
      <c r="AC48" s="244">
        <f t="shared" si="15"/>
        <v>3.2530904359141184</v>
      </c>
      <c r="AD48" s="1277">
        <f t="shared" si="15"/>
        <v>26.459330143540672</v>
      </c>
      <c r="AE48" s="241">
        <f t="shared" si="16"/>
        <v>30</v>
      </c>
      <c r="AF48" s="244">
        <f t="shared" si="1"/>
        <v>136.67004</v>
      </c>
      <c r="AG48" s="1285"/>
      <c r="AI48" s="1282">
        <f t="shared" si="2"/>
        <v>7.1975531472549612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04">
        <v>539.24</v>
      </c>
      <c r="J49" s="241">
        <v>310</v>
      </c>
      <c r="K49" s="241"/>
      <c r="L49" s="1277">
        <v>435</v>
      </c>
      <c r="M49" s="241"/>
      <c r="N49" s="1278">
        <v>2.1</v>
      </c>
      <c r="O49" s="241"/>
      <c r="P49" s="1278">
        <f t="shared" si="4"/>
        <v>11.745445866083019</v>
      </c>
      <c r="Q49" s="1278">
        <f>20*J49/100</f>
        <v>62</v>
      </c>
      <c r="R49" s="244">
        <v>4.6130000000000004</v>
      </c>
      <c r="S49" s="244">
        <v>7.774</v>
      </c>
      <c r="T49" s="1277">
        <v>15</v>
      </c>
      <c r="U49" s="1278">
        <f t="shared" si="13"/>
        <v>3.2516800346845867</v>
      </c>
      <c r="V49" s="1278">
        <f t="shared" si="5"/>
        <v>40.661178286596339</v>
      </c>
      <c r="W49" s="1279">
        <v>0.2</v>
      </c>
      <c r="X49" s="1316">
        <v>310</v>
      </c>
      <c r="Y49" s="1277">
        <f t="shared" si="3"/>
        <v>12.538709677419355</v>
      </c>
      <c r="Z49" s="244">
        <f t="shared" si="14"/>
        <v>4.5576440000000007</v>
      </c>
      <c r="AA49" s="244">
        <f t="shared" si="14"/>
        <v>7.6807119999999998</v>
      </c>
      <c r="AB49" s="1277">
        <f t="shared" si="14"/>
        <v>14.82</v>
      </c>
      <c r="AC49" s="244">
        <f t="shared" si="15"/>
        <v>3.2516800346845867</v>
      </c>
      <c r="AD49" s="1277">
        <f t="shared" si="15"/>
        <v>40.661178286596339</v>
      </c>
      <c r="AE49" s="241">
        <v>10</v>
      </c>
      <c r="AF49" s="244">
        <f t="shared" si="1"/>
        <v>45.576440000000005</v>
      </c>
      <c r="AG49" s="1285" t="s">
        <v>779</v>
      </c>
      <c r="AI49" s="1282">
        <f t="shared" si="2"/>
        <v>11.745445866083019</v>
      </c>
      <c r="AJ49" s="1252">
        <v>0.9083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604">
        <v>571.19000000000005</v>
      </c>
      <c r="J50" s="241">
        <v>330</v>
      </c>
      <c r="K50" s="241"/>
      <c r="L50" s="1277">
        <v>327</v>
      </c>
      <c r="M50" s="241"/>
      <c r="N50" s="1278">
        <v>3</v>
      </c>
      <c r="O50" s="241"/>
      <c r="P50" s="1278">
        <f t="shared" si="4"/>
        <v>26.468192043414742</v>
      </c>
      <c r="Q50" s="1278">
        <f>LEFT(H50,(FIND("E",H50,1)-1))*J50/100</f>
        <v>42.9</v>
      </c>
      <c r="R50" s="244">
        <v>4.5289999999999999</v>
      </c>
      <c r="S50" s="244">
        <v>14.939</v>
      </c>
      <c r="T50" s="1277">
        <v>14</v>
      </c>
      <c r="U50" s="1278">
        <f t="shared" si="13"/>
        <v>3.091190108191654</v>
      </c>
      <c r="V50" s="1278">
        <f t="shared" si="5"/>
        <v>69.683379074904622</v>
      </c>
      <c r="W50" s="1279">
        <v>0.3</v>
      </c>
      <c r="X50" s="1316">
        <v>330</v>
      </c>
      <c r="Y50" s="1277">
        <f t="shared" si="3"/>
        <v>34.822843822843822</v>
      </c>
      <c r="Z50" s="244">
        <f t="shared" si="14"/>
        <v>4.4746519999999999</v>
      </c>
      <c r="AA50" s="244">
        <f>S50*0.988</f>
        <v>14.759732</v>
      </c>
      <c r="AB50" s="1277">
        <f>T50*0.988</f>
        <v>13.832000000000001</v>
      </c>
      <c r="AC50" s="244">
        <f t="shared" si="15"/>
        <v>3.091190108191654</v>
      </c>
      <c r="AD50" s="1277">
        <f t="shared" si="15"/>
        <v>69.683379074904622</v>
      </c>
      <c r="AE50" s="241">
        <f t="shared" si="16"/>
        <v>30</v>
      </c>
      <c r="AF50" s="244">
        <f t="shared" si="1"/>
        <v>134.23955999999998</v>
      </c>
      <c r="AG50" s="1285"/>
      <c r="AI50" s="1282">
        <f t="shared" si="2"/>
        <v>26.468192043414742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04" t="s">
        <v>600</v>
      </c>
      <c r="F51" s="241">
        <v>177.8</v>
      </c>
      <c r="G51" s="241" t="s">
        <v>28</v>
      </c>
      <c r="H51" s="1299" t="s">
        <v>687</v>
      </c>
      <c r="I51" s="1604">
        <v>546.08000000000004</v>
      </c>
      <c r="J51" s="241">
        <v>100</v>
      </c>
      <c r="K51" s="241"/>
      <c r="L51" s="1322">
        <v>197</v>
      </c>
      <c r="M51" s="241"/>
      <c r="N51" s="1306">
        <v>3.7</v>
      </c>
      <c r="O51" s="241"/>
      <c r="P51" s="1278">
        <f t="shared" si="4"/>
        <v>37.675815546362813</v>
      </c>
      <c r="Q51" s="1278">
        <v>20</v>
      </c>
      <c r="R51" s="244">
        <v>4.4029999999999996</v>
      </c>
      <c r="S51" s="244">
        <v>21.344999999999999</v>
      </c>
      <c r="T51" s="1277">
        <v>75</v>
      </c>
      <c r="U51" s="1278">
        <f t="shared" si="13"/>
        <v>17.03384056325233</v>
      </c>
      <c r="V51" s="1278">
        <f t="shared" si="5"/>
        <v>79.372218318107286</v>
      </c>
      <c r="W51" s="1279">
        <v>0.2</v>
      </c>
      <c r="X51" s="1316">
        <v>100</v>
      </c>
      <c r="Y51" s="1277">
        <f t="shared" si="3"/>
        <v>106.72500000000001</v>
      </c>
      <c r="Z51" s="244">
        <v>4.0819999999999999</v>
      </c>
      <c r="AA51" s="244">
        <v>21.193999999999999</v>
      </c>
      <c r="AB51" s="1277">
        <v>85</v>
      </c>
      <c r="AC51" s="244">
        <f t="shared" si="15"/>
        <v>17.03384056325233</v>
      </c>
      <c r="AD51" s="1277">
        <f t="shared" si="15"/>
        <v>79.372218318107286</v>
      </c>
      <c r="AE51" s="241">
        <v>25</v>
      </c>
      <c r="AF51" s="244">
        <f t="shared" si="1"/>
        <v>102.05</v>
      </c>
      <c r="AG51" s="1285" t="s">
        <v>784</v>
      </c>
      <c r="AI51" s="1282">
        <f t="shared" si="2"/>
        <v>37.675815546362813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598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4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3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2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04">
        <v>532.98</v>
      </c>
      <c r="J53" s="1448">
        <v>0</v>
      </c>
      <c r="K53" s="241"/>
      <c r="L53" s="1277">
        <v>0</v>
      </c>
      <c r="M53" s="241"/>
      <c r="N53" s="1278">
        <v>0</v>
      </c>
      <c r="O53" s="241"/>
      <c r="P53" s="1278" t="e">
        <f t="shared" si="4"/>
        <v>#DIV/0!</v>
      </c>
      <c r="Q53" s="1278">
        <f>RIGHT(H53,(FIND("T",H53,1)-0))*J53/100</f>
        <v>0</v>
      </c>
      <c r="R53" s="244">
        <v>0</v>
      </c>
      <c r="S53" s="244">
        <v>0</v>
      </c>
      <c r="T53" s="1277">
        <v>0</v>
      </c>
      <c r="U53" s="1278">
        <f t="shared" si="13"/>
        <v>0</v>
      </c>
      <c r="V53" s="1278" t="e">
        <f t="shared" si="5"/>
        <v>#DIV/0!</v>
      </c>
      <c r="W53" s="1279">
        <v>0</v>
      </c>
      <c r="X53" s="1449">
        <v>0</v>
      </c>
      <c r="Y53" s="1277">
        <f t="shared" si="3"/>
        <v>0</v>
      </c>
      <c r="Z53" s="244">
        <f>R53*0.988</f>
        <v>0</v>
      </c>
      <c r="AA53" s="244">
        <f>S53*0.988</f>
        <v>0</v>
      </c>
      <c r="AB53" s="1277">
        <f>T53*0.988</f>
        <v>0</v>
      </c>
      <c r="AC53" s="244">
        <f>U53</f>
        <v>0</v>
      </c>
      <c r="AD53" s="1277" t="e">
        <f>V53</f>
        <v>#DIV/0!</v>
      </c>
      <c r="AE53" s="241">
        <v>0</v>
      </c>
      <c r="AF53" s="244">
        <f t="shared" si="1"/>
        <v>0</v>
      </c>
      <c r="AG53" s="1281" t="s">
        <v>760</v>
      </c>
      <c r="AI53" s="1282" t="e">
        <f t="shared" si="2"/>
        <v>#DIV/0!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598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4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3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2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04" t="s">
        <v>442</v>
      </c>
      <c r="F55" s="241">
        <v>177.8</v>
      </c>
      <c r="G55" s="241" t="s">
        <v>28</v>
      </c>
      <c r="H55" s="1299" t="s">
        <v>52</v>
      </c>
      <c r="I55" s="1604">
        <v>517.84</v>
      </c>
      <c r="J55" s="241">
        <v>0</v>
      </c>
      <c r="K55" s="241"/>
      <c r="L55" s="1277">
        <v>402</v>
      </c>
      <c r="M55" s="241"/>
      <c r="N55" s="1278">
        <v>1.4</v>
      </c>
      <c r="O55" s="241"/>
      <c r="P55" s="1278" t="e">
        <f t="shared" si="4"/>
        <v>#DIV/0!</v>
      </c>
      <c r="Q55" s="1278">
        <f>LEFT(H55,(FIND("K",H55,1)-1))*J55/100</f>
        <v>0</v>
      </c>
      <c r="R55" s="244">
        <v>0</v>
      </c>
      <c r="S55" s="244">
        <v>0</v>
      </c>
      <c r="T55" s="1277">
        <v>0</v>
      </c>
      <c r="U55" s="1278">
        <f t="shared" si="13"/>
        <v>0</v>
      </c>
      <c r="V55" s="1278" t="e">
        <f t="shared" si="5"/>
        <v>#DIV/0!</v>
      </c>
      <c r="W55" s="1279">
        <v>0</v>
      </c>
      <c r="X55" s="1316">
        <v>0</v>
      </c>
      <c r="Y55" s="1277">
        <v>0</v>
      </c>
      <c r="Z55" s="244">
        <v>0</v>
      </c>
      <c r="AA55" s="244">
        <v>0</v>
      </c>
      <c r="AB55" s="1277">
        <v>0</v>
      </c>
      <c r="AC55" s="244">
        <v>0</v>
      </c>
      <c r="AD55" s="1277">
        <v>0</v>
      </c>
      <c r="AE55" s="241">
        <v>0</v>
      </c>
      <c r="AF55" s="244">
        <f t="shared" si="1"/>
        <v>0</v>
      </c>
      <c r="AG55" s="1281" t="s">
        <v>780</v>
      </c>
      <c r="AI55" s="1282" t="e">
        <f t="shared" si="2"/>
        <v>#DIV/0!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598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4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3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2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85</v>
      </c>
      <c r="K57" s="1275"/>
      <c r="L57" s="1323">
        <v>441</v>
      </c>
      <c r="M57" s="1275"/>
      <c r="N57" s="1278">
        <v>3.5</v>
      </c>
      <c r="O57" s="1275"/>
      <c r="P57" s="1278">
        <f t="shared" si="4"/>
        <v>15.43565609193019</v>
      </c>
      <c r="Q57" s="1278">
        <f>J57*14/100</f>
        <v>11.9</v>
      </c>
      <c r="R57" s="1459">
        <v>4.8860000000000001</v>
      </c>
      <c r="S57" s="244">
        <v>9.0370000000000008</v>
      </c>
      <c r="T57" s="1323">
        <v>17</v>
      </c>
      <c r="U57" s="1278">
        <f t="shared" si="13"/>
        <v>3.4793286942284074</v>
      </c>
      <c r="V57" s="1278">
        <f t="shared" ref="V57:V86" si="17">(S57-R57)/S57*100</f>
        <v>45.933384972889236</v>
      </c>
      <c r="W57" s="1460">
        <v>0.2</v>
      </c>
      <c r="X57" s="1453">
        <v>85</v>
      </c>
      <c r="Y57" s="1277">
        <f t="shared" si="3"/>
        <v>75.941176470588246</v>
      </c>
      <c r="Z57" s="244">
        <f t="shared" ref="Z57:AB61" si="18">R57*0.988</f>
        <v>4.8273679999999999</v>
      </c>
      <c r="AA57" s="244">
        <f t="shared" si="18"/>
        <v>8.9285560000000004</v>
      </c>
      <c r="AB57" s="1277">
        <f t="shared" si="18"/>
        <v>16.795999999999999</v>
      </c>
      <c r="AC57" s="1459">
        <f t="shared" ref="AC57:AD59" si="19">U57</f>
        <v>3.4793286942284074</v>
      </c>
      <c r="AD57" s="1277">
        <f t="shared" si="19"/>
        <v>45.933384972889236</v>
      </c>
      <c r="AE57" s="241">
        <v>20</v>
      </c>
      <c r="AF57" s="1459">
        <f t="shared" si="1"/>
        <v>96.547359999999998</v>
      </c>
      <c r="AG57" s="1285" t="s">
        <v>778</v>
      </c>
      <c r="AI57" s="1282">
        <f t="shared" si="2"/>
        <v>15.43565609193019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04">
        <v>589.64</v>
      </c>
      <c r="J58" s="1448">
        <v>0</v>
      </c>
      <c r="K58" s="241"/>
      <c r="L58" s="1277">
        <v>0</v>
      </c>
      <c r="M58" s="241"/>
      <c r="N58" s="1278">
        <v>0</v>
      </c>
      <c r="O58" s="241"/>
      <c r="P58" s="1278" t="e">
        <f t="shared" si="4"/>
        <v>#DIV/0!</v>
      </c>
      <c r="Q58" s="1325">
        <f>J58*20/100</f>
        <v>0</v>
      </c>
      <c r="R58" s="244">
        <v>0</v>
      </c>
      <c r="S58" s="244">
        <v>0</v>
      </c>
      <c r="T58" s="1277">
        <v>0</v>
      </c>
      <c r="U58" s="1278">
        <f t="shared" si="13"/>
        <v>0</v>
      </c>
      <c r="V58" s="1278" t="e">
        <f t="shared" si="17"/>
        <v>#DIV/0!</v>
      </c>
      <c r="W58" s="1279">
        <v>0</v>
      </c>
      <c r="X58" s="1449">
        <v>0</v>
      </c>
      <c r="Y58" s="1277">
        <f t="shared" si="3"/>
        <v>0</v>
      </c>
      <c r="Z58" s="244">
        <f t="shared" si="18"/>
        <v>0</v>
      </c>
      <c r="AA58" s="244">
        <f t="shared" si="18"/>
        <v>0</v>
      </c>
      <c r="AB58" s="1277">
        <f t="shared" si="18"/>
        <v>0</v>
      </c>
      <c r="AC58" s="244">
        <f t="shared" si="19"/>
        <v>0</v>
      </c>
      <c r="AD58" s="1277" t="e">
        <f t="shared" si="19"/>
        <v>#DIV/0!</v>
      </c>
      <c r="AE58" s="241">
        <v>0</v>
      </c>
      <c r="AF58" s="244">
        <f t="shared" si="1"/>
        <v>0</v>
      </c>
      <c r="AG58" s="1281" t="s">
        <v>771</v>
      </c>
      <c r="AI58" s="1282" t="e">
        <f t="shared" si="2"/>
        <v>#DIV/0!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598">
        <v>560.83000000000004</v>
      </c>
      <c r="J59" s="241">
        <v>115</v>
      </c>
      <c r="K59" s="241"/>
      <c r="L59" s="1277">
        <v>367</v>
      </c>
      <c r="M59" s="241"/>
      <c r="N59" s="1278">
        <v>0.6</v>
      </c>
      <c r="O59" s="241"/>
      <c r="P59" s="1278">
        <f t="shared" si="4"/>
        <v>19.281904421695437</v>
      </c>
      <c r="Q59" s="1325">
        <f>J59*15/100</f>
        <v>17.25</v>
      </c>
      <c r="R59" s="244">
        <v>3.5249999999999999</v>
      </c>
      <c r="S59" s="244">
        <v>10.792</v>
      </c>
      <c r="T59" s="1277">
        <v>13</v>
      </c>
      <c r="U59" s="1278">
        <f t="shared" si="13"/>
        <v>3.6879432624113475</v>
      </c>
      <c r="V59" s="1278">
        <f t="shared" si="17"/>
        <v>67.336916234247596</v>
      </c>
      <c r="W59" s="1279">
        <v>0.2</v>
      </c>
      <c r="X59" s="1316">
        <v>115</v>
      </c>
      <c r="Y59" s="1277">
        <f t="shared" si="3"/>
        <v>62.562318840579714</v>
      </c>
      <c r="Z59" s="244">
        <f t="shared" si="18"/>
        <v>3.4826999999999999</v>
      </c>
      <c r="AA59" s="244">
        <f t="shared" si="18"/>
        <v>10.662495999999999</v>
      </c>
      <c r="AB59" s="1277">
        <f t="shared" si="18"/>
        <v>12.843999999999999</v>
      </c>
      <c r="AC59" s="244">
        <f t="shared" si="19"/>
        <v>3.6879432624113475</v>
      </c>
      <c r="AD59" s="1277">
        <f t="shared" si="19"/>
        <v>67.336916234247596</v>
      </c>
      <c r="AE59" s="241">
        <f t="shared" si="16"/>
        <v>30</v>
      </c>
      <c r="AF59" s="244">
        <f t="shared" si="1"/>
        <v>104.48099999999999</v>
      </c>
      <c r="AG59" s="1281" t="s">
        <v>781</v>
      </c>
      <c r="AI59" s="1282">
        <f t="shared" si="2"/>
        <v>19.281904421695437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598">
        <v>556.55999999999995</v>
      </c>
      <c r="J60" s="241">
        <v>155</v>
      </c>
      <c r="K60" s="241"/>
      <c r="L60" s="1277">
        <v>216</v>
      </c>
      <c r="M60" s="241"/>
      <c r="N60" s="1278">
        <v>4</v>
      </c>
      <c r="O60" s="241"/>
      <c r="P60" s="1278">
        <f t="shared" si="4"/>
        <v>37.28717586356894</v>
      </c>
      <c r="Q60" s="1278">
        <f>J60*22/100</f>
        <v>34.1</v>
      </c>
      <c r="R60" s="244">
        <v>3.4319999999999999</v>
      </c>
      <c r="S60" s="244">
        <v>25.812999999999999</v>
      </c>
      <c r="T60" s="1277">
        <v>13</v>
      </c>
      <c r="U60" s="1278">
        <f t="shared" si="13"/>
        <v>3.7878787878787881</v>
      </c>
      <c r="V60" s="1278">
        <f t="shared" si="17"/>
        <v>86.704373765157101</v>
      </c>
      <c r="W60" s="1279">
        <v>0.2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1"/>
        <v>0</v>
      </c>
      <c r="AG60" s="1281" t="s">
        <v>771</v>
      </c>
      <c r="AI60" s="1282">
        <f t="shared" si="2"/>
        <v>37.28717586356894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04">
        <v>551.66</v>
      </c>
      <c r="J61" s="241">
        <v>140</v>
      </c>
      <c r="K61" s="241"/>
      <c r="L61" s="1277">
        <v>440</v>
      </c>
      <c r="M61" s="241"/>
      <c r="N61" s="1278">
        <v>1.2</v>
      </c>
      <c r="O61" s="241"/>
      <c r="P61" s="1278">
        <f t="shared" si="4"/>
        <v>12.154400528495662</v>
      </c>
      <c r="Q61" s="1278">
        <f>14*J61/100</f>
        <v>19.600000000000001</v>
      </c>
      <c r="R61" s="244">
        <v>1.8360000000000001</v>
      </c>
      <c r="S61" s="244">
        <v>7.8140000000000001</v>
      </c>
      <c r="T61" s="1277">
        <v>24</v>
      </c>
      <c r="U61" s="1278">
        <f t="shared" si="13"/>
        <v>13.071895424836601</v>
      </c>
      <c r="V61" s="1278">
        <f t="shared" si="17"/>
        <v>76.503711287432807</v>
      </c>
      <c r="W61" s="1279">
        <v>0.2</v>
      </c>
      <c r="X61" s="1316">
        <v>140</v>
      </c>
      <c r="Y61" s="1277">
        <f t="shared" si="3"/>
        <v>39.867346938775505</v>
      </c>
      <c r="Z61" s="244">
        <f t="shared" si="18"/>
        <v>1.813968</v>
      </c>
      <c r="AA61" s="244">
        <f t="shared" si="18"/>
        <v>7.7202320000000002</v>
      </c>
      <c r="AB61" s="1277">
        <f t="shared" si="18"/>
        <v>23.712</v>
      </c>
      <c r="AC61" s="244">
        <f>U61</f>
        <v>13.071895424836601</v>
      </c>
      <c r="AD61" s="1277">
        <f>V61</f>
        <v>76.503711287432807</v>
      </c>
      <c r="AE61" s="241">
        <v>30</v>
      </c>
      <c r="AF61" s="244">
        <f t="shared" si="1"/>
        <v>54.419040000000003</v>
      </c>
      <c r="AG61" s="1281" t="s">
        <v>781</v>
      </c>
      <c r="AI61" s="1282">
        <f t="shared" si="2"/>
        <v>12.154400528495662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598">
        <v>506.61000000000013</v>
      </c>
      <c r="J62" s="241"/>
      <c r="K62" s="241"/>
      <c r="L62" s="1319"/>
      <c r="M62" s="1278"/>
      <c r="N62" s="1278"/>
      <c r="O62" s="241"/>
      <c r="P62" s="1278">
        <f t="shared" si="4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3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2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04" t="s">
        <v>692</v>
      </c>
      <c r="F63" s="241">
        <v>177.8</v>
      </c>
      <c r="G63" s="241" t="s">
        <v>28</v>
      </c>
      <c r="H63" s="1299" t="s">
        <v>683</v>
      </c>
      <c r="I63" s="1623">
        <v>545.4</v>
      </c>
      <c r="J63" s="241">
        <v>60</v>
      </c>
      <c r="K63" s="241"/>
      <c r="L63" s="1277">
        <v>44</v>
      </c>
      <c r="M63" s="241">
        <v>0</v>
      </c>
      <c r="N63" s="1278">
        <v>0</v>
      </c>
      <c r="O63" s="241"/>
      <c r="P63" s="1278">
        <f t="shared" si="4"/>
        <v>44.564275235932797</v>
      </c>
      <c r="Q63" s="1278">
        <f>J63*13/100</f>
        <v>7.8</v>
      </c>
      <c r="R63" s="244">
        <v>1.0780000000000001</v>
      </c>
      <c r="S63" s="244">
        <v>1.3029999999999999</v>
      </c>
      <c r="T63" s="1277">
        <v>24</v>
      </c>
      <c r="U63" s="1278">
        <f>IF(R63=0,0,T63/R63)</f>
        <v>22.263450834879404</v>
      </c>
      <c r="V63" s="1278">
        <f t="shared" si="17"/>
        <v>17.267843438219487</v>
      </c>
      <c r="W63" s="1279">
        <v>0.2</v>
      </c>
      <c r="X63" s="1316">
        <v>60</v>
      </c>
      <c r="Y63" s="1277">
        <f t="shared" si="3"/>
        <v>16.705128205128204</v>
      </c>
      <c r="Z63" s="244">
        <f t="shared" ref="Z63:AB75" si="20">R63*0.988</f>
        <v>1.065064</v>
      </c>
      <c r="AA63" s="244">
        <f t="shared" si="20"/>
        <v>1.287364</v>
      </c>
      <c r="AB63" s="1277">
        <f t="shared" si="20"/>
        <v>23.712</v>
      </c>
      <c r="AC63" s="244">
        <f t="shared" ref="AC63:AD70" si="21">U63</f>
        <v>22.263450834879404</v>
      </c>
      <c r="AD63" s="1277">
        <f t="shared" si="21"/>
        <v>17.267843438219487</v>
      </c>
      <c r="AE63" s="241">
        <f t="shared" si="16"/>
        <v>30</v>
      </c>
      <c r="AF63" s="244">
        <f t="shared" si="1"/>
        <v>31.951920000000001</v>
      </c>
      <c r="AG63" s="1281"/>
      <c r="AI63" s="1282">
        <f t="shared" si="2"/>
        <v>44.564275235932797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04">
        <v>674.45</v>
      </c>
      <c r="E64" s="1604" t="s">
        <v>232</v>
      </c>
      <c r="F64" s="241">
        <v>177.8</v>
      </c>
      <c r="G64" s="241" t="s">
        <v>28</v>
      </c>
      <c r="H64" s="1299" t="s">
        <v>464</v>
      </c>
      <c r="I64" s="1604">
        <v>542.6</v>
      </c>
      <c r="J64" s="1604">
        <v>130</v>
      </c>
      <c r="K64" s="1604"/>
      <c r="L64" s="1319">
        <v>464</v>
      </c>
      <c r="M64" s="1604"/>
      <c r="N64" s="1278">
        <v>2.5</v>
      </c>
      <c r="O64" s="1604"/>
      <c r="P64" s="1278">
        <f t="shared" si="4"/>
        <v>9.8576325191820384</v>
      </c>
      <c r="Q64" s="1278">
        <f>RIGHT(H64,(FIND("T",H64,1)-0))*J64/100</f>
        <v>18.2</v>
      </c>
      <c r="R64" s="244">
        <v>5.8140000000000001</v>
      </c>
      <c r="S64" s="244">
        <v>8.3989999999999991</v>
      </c>
      <c r="T64" s="1319">
        <v>25</v>
      </c>
      <c r="U64" s="1278">
        <f t="shared" si="13"/>
        <v>4.2999656002751978</v>
      </c>
      <c r="V64" s="1278">
        <f t="shared" si="17"/>
        <v>30.777473508751036</v>
      </c>
      <c r="W64" s="1279">
        <v>0.2</v>
      </c>
      <c r="X64" s="1410">
        <v>130</v>
      </c>
      <c r="Y64" s="1277">
        <f t="shared" si="3"/>
        <v>46.148351648351642</v>
      </c>
      <c r="Z64" s="244">
        <f t="shared" si="20"/>
        <v>5.7442320000000002</v>
      </c>
      <c r="AA64" s="244">
        <f t="shared" si="20"/>
        <v>8.2982119999999995</v>
      </c>
      <c r="AB64" s="1277">
        <f t="shared" si="20"/>
        <v>24.7</v>
      </c>
      <c r="AC64" s="244">
        <f t="shared" si="21"/>
        <v>4.2999656002751978</v>
      </c>
      <c r="AD64" s="1277">
        <f t="shared" si="21"/>
        <v>30.777473508751036</v>
      </c>
      <c r="AE64" s="241">
        <f t="shared" si="16"/>
        <v>30</v>
      </c>
      <c r="AF64" s="244">
        <f>Z64*AE64</f>
        <v>172.32696000000001</v>
      </c>
      <c r="AG64" s="1342"/>
      <c r="AI64" s="1282">
        <f t="shared" si="2"/>
        <v>9.8576325191820384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04">
        <v>678.47</v>
      </c>
      <c r="E65" s="1604" t="s">
        <v>606</v>
      </c>
      <c r="F65" s="241">
        <v>177.8</v>
      </c>
      <c r="G65" s="241" t="s">
        <v>28</v>
      </c>
      <c r="H65" s="1299" t="s">
        <v>466</v>
      </c>
      <c r="I65" s="1604">
        <v>574.4</v>
      </c>
      <c r="J65" s="1373">
        <v>145</v>
      </c>
      <c r="K65" s="1604"/>
      <c r="L65" s="1319">
        <v>109</v>
      </c>
      <c r="M65" s="1604"/>
      <c r="N65" s="1278">
        <v>2.5</v>
      </c>
      <c r="O65" s="1604"/>
      <c r="P65" s="1278">
        <f t="shared" si="4"/>
        <v>47.650123561262255</v>
      </c>
      <c r="Q65" s="1278">
        <f>LEFT(H65,(FIND("E",H65,1)-1))*J65/100</f>
        <v>18.850000000000001</v>
      </c>
      <c r="R65" s="244">
        <v>3.6659999999999999</v>
      </c>
      <c r="S65" s="244">
        <v>21.364000000000001</v>
      </c>
      <c r="T65" s="1277">
        <v>35</v>
      </c>
      <c r="U65" s="1278">
        <f t="shared" si="13"/>
        <v>9.5471903982542283</v>
      </c>
      <c r="V65" s="1278">
        <f t="shared" si="17"/>
        <v>82.840292080134802</v>
      </c>
      <c r="W65" s="1279">
        <v>0.2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2">Z65*AE65</f>
        <v>0</v>
      </c>
      <c r="AG65" s="1281" t="s">
        <v>771</v>
      </c>
      <c r="AI65" s="1282">
        <f t="shared" si="2"/>
        <v>47.650123561262255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04">
        <v>541.12</v>
      </c>
      <c r="J66" s="241">
        <v>175</v>
      </c>
      <c r="K66" s="241"/>
      <c r="L66" s="1277">
        <v>445</v>
      </c>
      <c r="M66" s="241"/>
      <c r="N66" s="1278">
        <v>3.8</v>
      </c>
      <c r="O66" s="241"/>
      <c r="P66" s="1278">
        <f t="shared" si="4"/>
        <v>13.147331158113385</v>
      </c>
      <c r="Q66" s="1278">
        <f>20*J66/100</f>
        <v>35</v>
      </c>
      <c r="R66" s="244">
        <v>7.4</v>
      </c>
      <c r="S66" s="244">
        <v>22.108000000000001</v>
      </c>
      <c r="T66" s="1277">
        <v>86</v>
      </c>
      <c r="U66" s="1278">
        <f t="shared" si="13"/>
        <v>11.621621621621621</v>
      </c>
      <c r="V66" s="1278">
        <f t="shared" si="17"/>
        <v>66.527953681925084</v>
      </c>
      <c r="W66" s="1279">
        <v>0.2</v>
      </c>
      <c r="X66" s="1316">
        <v>175</v>
      </c>
      <c r="Y66" s="1277">
        <f t="shared" si="3"/>
        <v>63.165714285714294</v>
      </c>
      <c r="Z66" s="244">
        <f t="shared" si="20"/>
        <v>7.3112000000000004</v>
      </c>
      <c r="AA66" s="244">
        <f t="shared" si="20"/>
        <v>21.842704000000001</v>
      </c>
      <c r="AB66" s="1277">
        <f t="shared" si="20"/>
        <v>84.968000000000004</v>
      </c>
      <c r="AC66" s="244">
        <f t="shared" si="21"/>
        <v>11.621621621621621</v>
      </c>
      <c r="AD66" s="1277">
        <f t="shared" si="21"/>
        <v>66.527953681925084</v>
      </c>
      <c r="AE66" s="241">
        <f t="shared" si="16"/>
        <v>30</v>
      </c>
      <c r="AF66" s="244">
        <f t="shared" si="22"/>
        <v>219.33600000000001</v>
      </c>
      <c r="AG66" s="1285"/>
      <c r="AI66" s="1282">
        <f t="shared" si="2"/>
        <v>13.147331158113385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04">
        <v>521.42999999999995</v>
      </c>
      <c r="J67" s="241">
        <v>300</v>
      </c>
      <c r="K67" s="241"/>
      <c r="L67" s="1277">
        <v>457</v>
      </c>
      <c r="M67" s="241"/>
      <c r="N67" s="1278">
        <v>5.6</v>
      </c>
      <c r="O67" s="241"/>
      <c r="P67" s="1278">
        <f t="shared" si="4"/>
        <v>11.683870365306975</v>
      </c>
      <c r="Q67" s="1278">
        <f>J67*14/100</f>
        <v>42</v>
      </c>
      <c r="R67" s="244">
        <v>8.4939999999999998</v>
      </c>
      <c r="S67" s="244">
        <v>13.763999999999999</v>
      </c>
      <c r="T67" s="1277">
        <v>290</v>
      </c>
      <c r="U67" s="1278">
        <f t="shared" si="13"/>
        <v>34.141747115611018</v>
      </c>
      <c r="V67" s="1278">
        <f t="shared" si="17"/>
        <v>38.288288288288285</v>
      </c>
      <c r="W67" s="1279">
        <v>0.2</v>
      </c>
      <c r="X67" s="1316">
        <v>300</v>
      </c>
      <c r="Y67" s="1277">
        <f t="shared" si="3"/>
        <v>32.771428571428565</v>
      </c>
      <c r="Z67" s="244">
        <f t="shared" si="20"/>
        <v>8.3920719999999989</v>
      </c>
      <c r="AA67" s="244">
        <f t="shared" si="20"/>
        <v>13.598832</v>
      </c>
      <c r="AB67" s="1277">
        <f t="shared" si="20"/>
        <v>286.52</v>
      </c>
      <c r="AC67" s="244">
        <f t="shared" si="21"/>
        <v>34.141747115611018</v>
      </c>
      <c r="AD67" s="1277">
        <f t="shared" si="21"/>
        <v>38.288288288288285</v>
      </c>
      <c r="AE67" s="241">
        <f t="shared" si="16"/>
        <v>30</v>
      </c>
      <c r="AF67" s="244">
        <f t="shared" si="22"/>
        <v>251.76215999999997</v>
      </c>
      <c r="AG67" s="1285"/>
      <c r="AI67" s="1282">
        <f t="shared" si="2"/>
        <v>11.683870365306975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04" t="s">
        <v>607</v>
      </c>
      <c r="F68" s="241">
        <v>177.8</v>
      </c>
      <c r="G68" s="241" t="s">
        <v>28</v>
      </c>
      <c r="H68" s="241" t="s">
        <v>464</v>
      </c>
      <c r="I68" s="1604">
        <v>512.28</v>
      </c>
      <c r="J68" s="241">
        <v>175</v>
      </c>
      <c r="K68" s="241"/>
      <c r="L68" s="1277">
        <v>416</v>
      </c>
      <c r="M68" s="241"/>
      <c r="N68" s="1278">
        <v>3.1</v>
      </c>
      <c r="O68" s="241"/>
      <c r="P68" s="1278">
        <f t="shared" si="4"/>
        <v>12.421629599510064</v>
      </c>
      <c r="Q68" s="1278">
        <f>J68*14/100</f>
        <v>24.5</v>
      </c>
      <c r="R68" s="244">
        <v>4.9020000000000001</v>
      </c>
      <c r="S68" s="244">
        <v>12.026</v>
      </c>
      <c r="T68" s="1277">
        <v>54</v>
      </c>
      <c r="U68" s="1278">
        <f t="shared" si="13"/>
        <v>11.015911872705018</v>
      </c>
      <c r="V68" s="1278">
        <f t="shared" si="17"/>
        <v>59.238316979876927</v>
      </c>
      <c r="W68" s="1279">
        <v>0.2</v>
      </c>
      <c r="X68" s="1316">
        <v>175</v>
      </c>
      <c r="Y68" s="1277">
        <f t="shared" si="3"/>
        <v>49.085714285714282</v>
      </c>
      <c r="Z68" s="244">
        <f t="shared" si="20"/>
        <v>4.8431759999999997</v>
      </c>
      <c r="AA68" s="244">
        <f t="shared" si="20"/>
        <v>11.881688</v>
      </c>
      <c r="AB68" s="1277">
        <f t="shared" si="20"/>
        <v>53.351999999999997</v>
      </c>
      <c r="AC68" s="244">
        <f t="shared" si="21"/>
        <v>11.015911872705018</v>
      </c>
      <c r="AD68" s="1277">
        <f t="shared" si="21"/>
        <v>59.238316979876927</v>
      </c>
      <c r="AE68" s="241">
        <f t="shared" si="16"/>
        <v>30</v>
      </c>
      <c r="AF68" s="244">
        <f t="shared" si="22"/>
        <v>145.29527999999999</v>
      </c>
      <c r="AG68" s="1285"/>
      <c r="AI68" s="1282">
        <f t="shared" si="2"/>
        <v>12.421629599510064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04">
        <v>539.28</v>
      </c>
      <c r="J69" s="241">
        <v>120</v>
      </c>
      <c r="K69" s="241"/>
      <c r="L69" s="1277">
        <v>223</v>
      </c>
      <c r="M69" s="241"/>
      <c r="N69" s="1278">
        <v>5</v>
      </c>
      <c r="O69" s="241"/>
      <c r="P69" s="1278">
        <f t="shared" si="4"/>
        <v>35.748435721949164</v>
      </c>
      <c r="Q69" s="1278">
        <f>J69*13/100</f>
        <v>15.6</v>
      </c>
      <c r="R69" s="244">
        <v>1.776</v>
      </c>
      <c r="S69" s="244">
        <v>10.832000000000001</v>
      </c>
      <c r="T69" s="1277">
        <v>12</v>
      </c>
      <c r="U69" s="1278">
        <f t="shared" si="13"/>
        <v>6.756756756756757</v>
      </c>
      <c r="V69" s="1278">
        <f t="shared" si="17"/>
        <v>83.604135893648461</v>
      </c>
      <c r="W69" s="1279">
        <v>0.2</v>
      </c>
      <c r="X69" s="1316">
        <v>0</v>
      </c>
      <c r="Y69" s="1277">
        <f t="shared" si="3"/>
        <v>69.435897435897445</v>
      </c>
      <c r="Z69" s="244">
        <v>0</v>
      </c>
      <c r="AA69" s="244">
        <v>0</v>
      </c>
      <c r="AB69" s="1277">
        <v>0</v>
      </c>
      <c r="AC69" s="244">
        <v>0</v>
      </c>
      <c r="AD69" s="1277">
        <v>0</v>
      </c>
      <c r="AE69" s="241">
        <v>0</v>
      </c>
      <c r="AF69" s="244">
        <f>Z69*AE69</f>
        <v>0</v>
      </c>
      <c r="AG69" s="1281" t="s">
        <v>771</v>
      </c>
      <c r="AI69" s="1282">
        <f t="shared" si="2"/>
        <v>35.748435721949164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04">
        <v>541.46</v>
      </c>
      <c r="J70" s="241">
        <v>100</v>
      </c>
      <c r="K70" s="241"/>
      <c r="L70" s="1277">
        <v>227</v>
      </c>
      <c r="M70" s="241"/>
      <c r="N70" s="1278">
        <v>6.5</v>
      </c>
      <c r="O70" s="241"/>
      <c r="P70" s="1278">
        <f t="shared" si="4"/>
        <v>37.015955816464626</v>
      </c>
      <c r="Q70" s="1278">
        <f>(32/100)*J70</f>
        <v>32</v>
      </c>
      <c r="R70" s="244">
        <v>5.6820000000000004</v>
      </c>
      <c r="S70" s="244">
        <v>33.281999999999996</v>
      </c>
      <c r="T70" s="1277">
        <v>38</v>
      </c>
      <c r="U70" s="1278">
        <f t="shared" si="13"/>
        <v>6.6877859908482922</v>
      </c>
      <c r="V70" s="1278">
        <f t="shared" si="17"/>
        <v>82.927708671353869</v>
      </c>
      <c r="W70" s="1279">
        <v>0.2</v>
      </c>
      <c r="X70" s="1316">
        <v>100</v>
      </c>
      <c r="Y70" s="1277">
        <f t="shared" si="3"/>
        <v>104.00624999999999</v>
      </c>
      <c r="Z70" s="244">
        <v>6</v>
      </c>
      <c r="AA70" s="244">
        <f t="shared" si="20"/>
        <v>32.882615999999999</v>
      </c>
      <c r="AB70" s="1277">
        <f t="shared" si="20"/>
        <v>37.543999999999997</v>
      </c>
      <c r="AC70" s="244">
        <f>U70</f>
        <v>6.6877859908482922</v>
      </c>
      <c r="AD70" s="1277">
        <f t="shared" si="21"/>
        <v>82.927708671353869</v>
      </c>
      <c r="AE70" s="241">
        <f t="shared" si="16"/>
        <v>30</v>
      </c>
      <c r="AF70" s="244">
        <f t="shared" si="22"/>
        <v>180</v>
      </c>
      <c r="AG70" s="1285"/>
      <c r="AI70" s="1282">
        <f t="shared" si="2"/>
        <v>37.015955816464626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04">
        <v>539.83000000000004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4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3"/>
        <v>0</v>
      </c>
      <c r="V71" s="1278" t="e">
        <f t="shared" si="17"/>
        <v>#DIV/0!</v>
      </c>
      <c r="W71" s="1279">
        <v>0</v>
      </c>
      <c r="X71" s="1449">
        <v>0</v>
      </c>
      <c r="Y71" s="1277">
        <f t="shared" si="3"/>
        <v>0</v>
      </c>
      <c r="Z71" s="244">
        <f t="shared" ref="Z71:AA75" si="23">R71*0.988</f>
        <v>0</v>
      </c>
      <c r="AA71" s="244">
        <f t="shared" si="23"/>
        <v>0</v>
      </c>
      <c r="AB71" s="1277">
        <f t="shared" si="20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2"/>
        <v>0</v>
      </c>
      <c r="AG71" s="1281" t="s">
        <v>769</v>
      </c>
      <c r="AI71" s="1282" t="e">
        <f t="shared" si="2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04">
        <v>512.47</v>
      </c>
      <c r="J72" s="1277">
        <v>245</v>
      </c>
      <c r="K72" s="241"/>
      <c r="L72" s="1277">
        <v>460</v>
      </c>
      <c r="M72" s="241"/>
      <c r="N72" s="1278">
        <v>5.0999999999999996</v>
      </c>
      <c r="O72" s="241"/>
      <c r="P72" s="1278">
        <f t="shared" si="4"/>
        <v>9.9535078587867645</v>
      </c>
      <c r="Q72" s="1278">
        <f>(32*J72)/100</f>
        <v>78.400000000000006</v>
      </c>
      <c r="R72" s="244">
        <v>13.363</v>
      </c>
      <c r="S72" s="244">
        <v>16.925000000000001</v>
      </c>
      <c r="T72" s="1277">
        <v>601</v>
      </c>
      <c r="U72" s="1278">
        <f t="shared" si="13"/>
        <v>44.974930779016688</v>
      </c>
      <c r="V72" s="1278">
        <f t="shared" si="17"/>
        <v>21.045790251107835</v>
      </c>
      <c r="W72" s="1279">
        <v>0.2</v>
      </c>
      <c r="X72" s="1454">
        <v>245</v>
      </c>
      <c r="Y72" s="1277">
        <f t="shared" si="3"/>
        <v>21.58801020408163</v>
      </c>
      <c r="Z72" s="244">
        <f t="shared" si="23"/>
        <v>13.202643999999999</v>
      </c>
      <c r="AA72" s="244">
        <f t="shared" si="23"/>
        <v>16.721900000000002</v>
      </c>
      <c r="AB72" s="1277">
        <f t="shared" si="20"/>
        <v>593.78800000000001</v>
      </c>
      <c r="AC72" s="244">
        <f>U72</f>
        <v>44.974930779016688</v>
      </c>
      <c r="AD72" s="1277">
        <f>V72</f>
        <v>21.045790251107835</v>
      </c>
      <c r="AE72" s="241">
        <f t="shared" si="16"/>
        <v>30</v>
      </c>
      <c r="AF72" s="244">
        <f t="shared" si="22"/>
        <v>396.07932</v>
      </c>
      <c r="AG72" s="1281"/>
      <c r="AI72" s="1282">
        <f t="shared" si="2"/>
        <v>9.9535078587867645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04">
        <v>500.41</v>
      </c>
      <c r="J73" s="1448">
        <v>185</v>
      </c>
      <c r="K73" s="241"/>
      <c r="L73" s="1277">
        <v>480</v>
      </c>
      <c r="M73" s="241"/>
      <c r="N73" s="1278">
        <v>3.3</v>
      </c>
      <c r="O73" s="241"/>
      <c r="P73" s="1278">
        <f t="shared" si="4"/>
        <v>5.4300004384310014</v>
      </c>
      <c r="Q73" s="1278">
        <f>J73*32/100</f>
        <v>59.2</v>
      </c>
      <c r="R73" s="244">
        <v>9.0950000000000006</v>
      </c>
      <c r="S73" s="244">
        <v>15.523999999999999</v>
      </c>
      <c r="T73" s="1277">
        <v>107</v>
      </c>
      <c r="U73" s="1278">
        <f t="shared" si="13"/>
        <v>11.76470588235294</v>
      </c>
      <c r="V73" s="1278">
        <f t="shared" si="17"/>
        <v>41.413295542385974</v>
      </c>
      <c r="W73" s="1279">
        <v>0.2</v>
      </c>
      <c r="X73" s="1449">
        <v>185</v>
      </c>
      <c r="Y73" s="1277">
        <f t="shared" si="3"/>
        <v>26.222972972972968</v>
      </c>
      <c r="Z73" s="244">
        <f t="shared" si="23"/>
        <v>8.9858600000000006</v>
      </c>
      <c r="AA73" s="244">
        <f t="shared" si="23"/>
        <v>15.337712</v>
      </c>
      <c r="AB73" s="1277">
        <f t="shared" si="20"/>
        <v>105.71599999999999</v>
      </c>
      <c r="AC73" s="244">
        <v>20</v>
      </c>
      <c r="AD73" s="1277">
        <v>17</v>
      </c>
      <c r="AE73" s="241">
        <f t="shared" si="16"/>
        <v>30</v>
      </c>
      <c r="AF73" s="244">
        <f t="shared" si="22"/>
        <v>269.57580000000002</v>
      </c>
      <c r="AG73" s="1281"/>
      <c r="AI73" s="1282">
        <f t="shared" si="2"/>
        <v>5.4300004384310014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04">
        <v>549.1</v>
      </c>
      <c r="J74" s="1448">
        <v>185</v>
      </c>
      <c r="K74" s="241"/>
      <c r="L74" s="1277">
        <v>449</v>
      </c>
      <c r="M74" s="241"/>
      <c r="N74" s="1278">
        <v>7.6</v>
      </c>
      <c r="O74" s="241"/>
      <c r="P74" s="1278">
        <f t="shared" si="4"/>
        <v>17.131892933986045</v>
      </c>
      <c r="Q74" s="1278">
        <f>LEFT(H74,(FIND("E",H74,1)-1))*J74/100</f>
        <v>40.700000000000003</v>
      </c>
      <c r="R74" s="244">
        <v>13.249000000000001</v>
      </c>
      <c r="S74" s="244">
        <v>28.010999999999999</v>
      </c>
      <c r="T74" s="1277">
        <v>360</v>
      </c>
      <c r="U74" s="1278">
        <f t="shared" si="13"/>
        <v>27.171862027322817</v>
      </c>
      <c r="V74" s="1278">
        <f t="shared" si="17"/>
        <v>52.700724715290413</v>
      </c>
      <c r="W74" s="1279">
        <v>0.2</v>
      </c>
      <c r="X74" s="1449">
        <v>185</v>
      </c>
      <c r="Y74" s="1277">
        <f t="shared" si="3"/>
        <v>68.823095823095812</v>
      </c>
      <c r="Z74" s="244">
        <f t="shared" si="23"/>
        <v>13.090012</v>
      </c>
      <c r="AA74" s="244">
        <f t="shared" si="23"/>
        <v>27.674868</v>
      </c>
      <c r="AB74" s="1277">
        <f t="shared" si="20"/>
        <v>355.68</v>
      </c>
      <c r="AC74" s="244">
        <f>U74</f>
        <v>27.171862027322817</v>
      </c>
      <c r="AD74" s="1277">
        <f>V74</f>
        <v>52.700724715290413</v>
      </c>
      <c r="AE74" s="241">
        <f t="shared" si="16"/>
        <v>30</v>
      </c>
      <c r="AF74" s="244">
        <f t="shared" si="22"/>
        <v>392.70035999999999</v>
      </c>
      <c r="AG74" s="1285"/>
      <c r="AI74" s="1282">
        <f t="shared" si="2"/>
        <v>17.131892933986045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04">
        <v>542.46</v>
      </c>
      <c r="J75" s="1448">
        <v>85</v>
      </c>
      <c r="K75" s="241"/>
      <c r="L75" s="1277">
        <v>299</v>
      </c>
      <c r="M75" s="241"/>
      <c r="N75" s="1278">
        <v>3.7</v>
      </c>
      <c r="O75" s="241"/>
      <c r="P75" s="1278">
        <f t="shared" si="4"/>
        <v>26.387147084753575</v>
      </c>
      <c r="Q75" s="1278">
        <f>(20/100)*J75</f>
        <v>17</v>
      </c>
      <c r="R75" s="244">
        <v>9.4009999999999998</v>
      </c>
      <c r="S75" s="244">
        <v>18.401</v>
      </c>
      <c r="T75" s="1277">
        <v>74</v>
      </c>
      <c r="U75" s="1278">
        <f t="shared" si="13"/>
        <v>7.8715030315923835</v>
      </c>
      <c r="V75" s="1278">
        <f t="shared" si="17"/>
        <v>48.910385305146455</v>
      </c>
      <c r="W75" s="1279">
        <v>0.2</v>
      </c>
      <c r="X75" s="1449">
        <v>85</v>
      </c>
      <c r="Y75" s="1277">
        <f t="shared" si="3"/>
        <v>108.24117647058824</v>
      </c>
      <c r="Z75" s="244">
        <f t="shared" si="23"/>
        <v>9.2881879999999999</v>
      </c>
      <c r="AA75" s="244">
        <f t="shared" si="23"/>
        <v>18.180188000000001</v>
      </c>
      <c r="AB75" s="1277">
        <f t="shared" si="20"/>
        <v>73.111999999999995</v>
      </c>
      <c r="AC75" s="244">
        <f>U75</f>
        <v>7.8715030315923835</v>
      </c>
      <c r="AD75" s="1277">
        <f>V75</f>
        <v>48.910385305146455</v>
      </c>
      <c r="AE75" s="241">
        <f t="shared" si="16"/>
        <v>30</v>
      </c>
      <c r="AF75" s="244">
        <f t="shared" si="22"/>
        <v>278.64564000000001</v>
      </c>
      <c r="AG75" s="1285"/>
      <c r="AI75" s="1282">
        <f t="shared" si="2"/>
        <v>26.387147084753575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598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4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3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2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774</v>
      </c>
      <c r="F77" s="241">
        <v>177.8</v>
      </c>
      <c r="G77" s="241" t="s">
        <v>28</v>
      </c>
      <c r="H77" s="1299" t="s">
        <v>687</v>
      </c>
      <c r="I77" s="1598">
        <v>584.41999999999996</v>
      </c>
      <c r="J77" s="1448">
        <v>0</v>
      </c>
      <c r="K77" s="241"/>
      <c r="L77" s="1277">
        <v>0</v>
      </c>
      <c r="M77" s="241"/>
      <c r="N77" s="1278">
        <v>0</v>
      </c>
      <c r="O77" s="241"/>
      <c r="P77" s="1278" t="e">
        <f t="shared" si="4"/>
        <v>#DIV/0!</v>
      </c>
      <c r="Q77" s="1278">
        <f>(20*J77)/100</f>
        <v>0</v>
      </c>
      <c r="R77" s="244">
        <v>0</v>
      </c>
      <c r="S77" s="244">
        <v>0</v>
      </c>
      <c r="T77" s="1277">
        <v>0</v>
      </c>
      <c r="U77" s="1278">
        <f t="shared" si="13"/>
        <v>0</v>
      </c>
      <c r="V77" s="1278" t="e">
        <f t="shared" si="17"/>
        <v>#DIV/0!</v>
      </c>
      <c r="W77" s="1279">
        <v>0</v>
      </c>
      <c r="X77" s="1449">
        <v>0</v>
      </c>
      <c r="Y77" s="1277">
        <f t="shared" si="3"/>
        <v>0</v>
      </c>
      <c r="Z77" s="244">
        <f t="shared" ref="Z77:AB83" si="24">R77*0.988</f>
        <v>0</v>
      </c>
      <c r="AA77" s="244">
        <f t="shared" si="24"/>
        <v>0</v>
      </c>
      <c r="AB77" s="1277">
        <f t="shared" si="24"/>
        <v>0</v>
      </c>
      <c r="AC77" s="244">
        <f t="shared" ref="AC77:AD81" si="25">U77</f>
        <v>0</v>
      </c>
      <c r="AD77" s="1277" t="e">
        <f t="shared" si="25"/>
        <v>#DIV/0!</v>
      </c>
      <c r="AE77" s="241">
        <v>0</v>
      </c>
      <c r="AF77" s="244">
        <f t="shared" ref="AF77:AF83" si="26">Z77*AE77</f>
        <v>0</v>
      </c>
      <c r="AG77" s="1281" t="s">
        <v>780</v>
      </c>
      <c r="AI77" s="1282" t="e">
        <f t="shared" si="2"/>
        <v>#DIV/0!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04">
        <v>531.27</v>
      </c>
      <c r="J78" s="1448">
        <v>125</v>
      </c>
      <c r="K78" s="241"/>
      <c r="L78" s="1277">
        <v>295</v>
      </c>
      <c r="M78" s="241"/>
      <c r="N78" s="1278">
        <v>7.8</v>
      </c>
      <c r="O78" s="241"/>
      <c r="P78" s="1278">
        <f t="shared" si="4"/>
        <v>30.075538272244689</v>
      </c>
      <c r="Q78" s="1278">
        <f>(32*J78)/100</f>
        <v>40</v>
      </c>
      <c r="R78" s="244">
        <v>12.849</v>
      </c>
      <c r="S78" s="244">
        <v>30.646000000000001</v>
      </c>
      <c r="T78" s="1277">
        <v>183</v>
      </c>
      <c r="U78" s="1278">
        <f t="shared" si="13"/>
        <v>14.24235349054401</v>
      </c>
      <c r="V78" s="1278">
        <f t="shared" si="17"/>
        <v>58.072831690922143</v>
      </c>
      <c r="W78" s="1279">
        <v>0.2</v>
      </c>
      <c r="X78" s="1449">
        <v>125</v>
      </c>
      <c r="Y78" s="1277">
        <f t="shared" si="3"/>
        <v>76.614999999999995</v>
      </c>
      <c r="Z78" s="244">
        <f t="shared" si="24"/>
        <v>12.694812000000001</v>
      </c>
      <c r="AA78" s="244">
        <f t="shared" si="24"/>
        <v>30.278248000000001</v>
      </c>
      <c r="AB78" s="1277">
        <f t="shared" si="24"/>
        <v>180.804</v>
      </c>
      <c r="AC78" s="244">
        <f t="shared" si="25"/>
        <v>14.24235349054401</v>
      </c>
      <c r="AD78" s="1277">
        <f t="shared" si="25"/>
        <v>58.072831690922143</v>
      </c>
      <c r="AE78" s="241">
        <f t="shared" si="16"/>
        <v>30</v>
      </c>
      <c r="AF78" s="244">
        <f t="shared" si="26"/>
        <v>380.84435999999999</v>
      </c>
      <c r="AG78" s="1285"/>
      <c r="AI78" s="1282">
        <f t="shared" si="2"/>
        <v>30.075538272244689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04">
        <v>533.89</v>
      </c>
      <c r="J79" s="1448">
        <v>85</v>
      </c>
      <c r="K79" s="241"/>
      <c r="L79" s="1277">
        <v>55</v>
      </c>
      <c r="M79" s="241"/>
      <c r="N79" s="1278">
        <v>0.5</v>
      </c>
      <c r="O79" s="241"/>
      <c r="P79" s="1278">
        <f t="shared" si="4"/>
        <v>47.015790151444726</v>
      </c>
      <c r="Q79" s="1278">
        <f>(20/100)*J79</f>
        <v>17</v>
      </c>
      <c r="R79" s="244">
        <v>2.484</v>
      </c>
      <c r="S79" s="244">
        <v>16.760000000000002</v>
      </c>
      <c r="T79" s="1277">
        <v>127</v>
      </c>
      <c r="U79" s="1278">
        <f t="shared" si="13"/>
        <v>51.127214170692433</v>
      </c>
      <c r="V79" s="1278">
        <f t="shared" si="17"/>
        <v>85.178997613365155</v>
      </c>
      <c r="W79" s="1279">
        <v>0.2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26"/>
        <v>0</v>
      </c>
      <c r="AG79" s="1281" t="s">
        <v>772</v>
      </c>
      <c r="AI79" s="1282">
        <f t="shared" si="2"/>
        <v>47.015790151444726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04">
        <v>571.08000000000004</v>
      </c>
      <c r="J80" s="1448">
        <v>195</v>
      </c>
      <c r="K80" s="241"/>
      <c r="L80" s="1277">
        <v>414</v>
      </c>
      <c r="M80" s="241"/>
      <c r="N80" s="1278">
        <v>20.3</v>
      </c>
      <c r="O80" s="241"/>
      <c r="P80" s="1278">
        <f t="shared" si="4"/>
        <v>33.18294194901852</v>
      </c>
      <c r="Q80" s="1278">
        <f>(32/100)*J80</f>
        <v>62.4</v>
      </c>
      <c r="R80" s="244">
        <v>9.4670000000000005</v>
      </c>
      <c r="S80" s="244">
        <v>9.56</v>
      </c>
      <c r="T80" s="1277">
        <v>733</v>
      </c>
      <c r="U80" s="1278">
        <f t="shared" si="13"/>
        <v>77.426851167212419</v>
      </c>
      <c r="V80" s="1278">
        <f t="shared" si="17"/>
        <v>0.97280334728033435</v>
      </c>
      <c r="W80" s="1279">
        <v>0.2</v>
      </c>
      <c r="X80" s="1449">
        <v>175</v>
      </c>
      <c r="Y80" s="1277">
        <f t="shared" si="3"/>
        <v>15.320512820512821</v>
      </c>
      <c r="Z80" s="244">
        <f t="shared" si="24"/>
        <v>9.353396</v>
      </c>
      <c r="AA80" s="244">
        <f t="shared" si="24"/>
        <v>9.4452800000000003</v>
      </c>
      <c r="AB80" s="1277">
        <f t="shared" si="24"/>
        <v>724.20399999999995</v>
      </c>
      <c r="AC80" s="244">
        <f t="shared" si="25"/>
        <v>77.426851167212419</v>
      </c>
      <c r="AD80" s="1277">
        <f t="shared" si="25"/>
        <v>0.97280334728033435</v>
      </c>
      <c r="AE80" s="241">
        <f t="shared" si="16"/>
        <v>30</v>
      </c>
      <c r="AF80" s="244">
        <f t="shared" si="26"/>
        <v>280.60187999999999</v>
      </c>
      <c r="AG80" s="1285"/>
      <c r="AI80" s="1282">
        <f t="shared" si="2"/>
        <v>33.18294194901852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04">
        <v>664.19</v>
      </c>
      <c r="J81" s="1448">
        <v>165</v>
      </c>
      <c r="K81" s="241"/>
      <c r="L81" s="1277">
        <v>28</v>
      </c>
      <c r="M81" s="241"/>
      <c r="N81" s="1278">
        <v>0.2</v>
      </c>
      <c r="O81" s="241"/>
      <c r="P81" s="1278">
        <f t="shared" si="4"/>
        <v>56.517949122683028</v>
      </c>
      <c r="Q81" s="1278">
        <f>14*J81/100</f>
        <v>23.1</v>
      </c>
      <c r="R81" s="244">
        <v>5.39</v>
      </c>
      <c r="S81" s="244">
        <v>5.43</v>
      </c>
      <c r="T81" s="1277">
        <v>525</v>
      </c>
      <c r="U81" s="1278">
        <f t="shared" si="13"/>
        <v>97.402597402597408</v>
      </c>
      <c r="V81" s="1278">
        <f t="shared" si="17"/>
        <v>0.73664825046040583</v>
      </c>
      <c r="W81" s="1279">
        <v>0.2</v>
      </c>
      <c r="X81" s="1449">
        <v>165</v>
      </c>
      <c r="Y81" s="1277">
        <f t="shared" si="3"/>
        <v>23.506493506493502</v>
      </c>
      <c r="Z81" s="244">
        <f t="shared" si="24"/>
        <v>5.3253199999999996</v>
      </c>
      <c r="AA81" s="244">
        <f t="shared" si="24"/>
        <v>5.3648400000000001</v>
      </c>
      <c r="AB81" s="1277">
        <f t="shared" si="24"/>
        <v>518.70000000000005</v>
      </c>
      <c r="AC81" s="244">
        <f t="shared" si="25"/>
        <v>97.402597402597408</v>
      </c>
      <c r="AD81" s="1277">
        <f t="shared" si="25"/>
        <v>0.73664825046040583</v>
      </c>
      <c r="AE81" s="241">
        <f t="shared" si="16"/>
        <v>30</v>
      </c>
      <c r="AF81" s="244">
        <f t="shared" si="26"/>
        <v>159.75959999999998</v>
      </c>
      <c r="AG81" s="1281"/>
      <c r="AI81" s="1282">
        <f t="shared" si="2"/>
        <v>56.517949122683028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598">
        <v>700</v>
      </c>
      <c r="E82" s="1598" t="s">
        <v>547</v>
      </c>
      <c r="F82" s="241">
        <v>177.8</v>
      </c>
      <c r="G82" s="241" t="s">
        <v>28</v>
      </c>
      <c r="H82" s="241" t="s">
        <v>464</v>
      </c>
      <c r="I82" s="1598">
        <v>608.22</v>
      </c>
      <c r="J82" s="1598">
        <v>0</v>
      </c>
      <c r="K82" s="1598"/>
      <c r="L82" s="1319">
        <v>0</v>
      </c>
      <c r="M82" s="1598"/>
      <c r="N82" s="1278">
        <v>0</v>
      </c>
      <c r="O82" s="1598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3"/>
        <v>0</v>
      </c>
      <c r="Z82" s="244">
        <f t="shared" si="24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2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04">
        <v>619.66</v>
      </c>
      <c r="E83" s="1604" t="s">
        <v>613</v>
      </c>
      <c r="F83" s="241">
        <v>177.8</v>
      </c>
      <c r="G83" s="241" t="s">
        <v>28</v>
      </c>
      <c r="H83" s="1299" t="s">
        <v>687</v>
      </c>
      <c r="I83" s="1604">
        <v>595.26</v>
      </c>
      <c r="J83" s="1604">
        <v>60</v>
      </c>
      <c r="K83" s="1604"/>
      <c r="L83" s="1319">
        <v>27</v>
      </c>
      <c r="M83" s="1604"/>
      <c r="N83" s="1278">
        <v>0.9</v>
      </c>
      <c r="O83" s="1604"/>
      <c r="P83" s="1278">
        <f t="shared" si="4"/>
        <v>50.624100213175431</v>
      </c>
      <c r="Q83" s="1278">
        <f>(20/100)*J83</f>
        <v>12</v>
      </c>
      <c r="R83" s="244">
        <v>2.29</v>
      </c>
      <c r="S83" s="244">
        <v>2.298</v>
      </c>
      <c r="T83" s="1319">
        <v>2</v>
      </c>
      <c r="U83" s="244">
        <f t="shared" si="13"/>
        <v>0.8733624454148472</v>
      </c>
      <c r="V83" s="1278">
        <f t="shared" si="17"/>
        <v>0.34812880765883408</v>
      </c>
      <c r="W83" s="1279">
        <v>0.2</v>
      </c>
      <c r="X83" s="1410">
        <v>60</v>
      </c>
      <c r="Y83" s="1277">
        <f t="shared" si="3"/>
        <v>19.149999999999999</v>
      </c>
      <c r="Z83" s="244">
        <f t="shared" si="24"/>
        <v>2.2625199999999999</v>
      </c>
      <c r="AA83" s="244">
        <f>S83*0.988</f>
        <v>2.2704240000000002</v>
      </c>
      <c r="AB83" s="1277">
        <f>T83*0.988</f>
        <v>1.976</v>
      </c>
      <c r="AC83" s="244">
        <f>U83</f>
        <v>0.8733624454148472</v>
      </c>
      <c r="AD83" s="244">
        <f>V83</f>
        <v>0.34812880765883408</v>
      </c>
      <c r="AE83" s="241">
        <f t="shared" si="16"/>
        <v>30</v>
      </c>
      <c r="AF83" s="244">
        <f t="shared" si="26"/>
        <v>67.875599999999991</v>
      </c>
      <c r="AG83" s="1281"/>
      <c r="AI83" s="1282">
        <f t="shared" ref="AI83:AI86" si="27">(9.81*(AJ83*(100%-(V83/100))+AK83*(V83/100))*(I83-L83)+N83*101.325+9.81*(AL83)*L83)/101.325</f>
        <v>50.624100213175431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598">
        <v>689.4</v>
      </c>
      <c r="E84" s="1598" t="s">
        <v>616</v>
      </c>
      <c r="F84" s="241">
        <v>177.8</v>
      </c>
      <c r="G84" s="241" t="s">
        <v>28</v>
      </c>
      <c r="H84" s="1299" t="s">
        <v>466</v>
      </c>
      <c r="I84" s="1598">
        <v>604.96</v>
      </c>
      <c r="J84" s="1598">
        <v>0</v>
      </c>
      <c r="K84" s="1598"/>
      <c r="L84" s="1319"/>
      <c r="M84" s="1598"/>
      <c r="N84" s="1278"/>
      <c r="O84" s="1598"/>
      <c r="P84" s="1278">
        <f t="shared" si="4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8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7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598">
        <v>577.12</v>
      </c>
      <c r="E85" s="1598" t="s">
        <v>614</v>
      </c>
      <c r="F85" s="241">
        <v>177.8</v>
      </c>
      <c r="G85" s="241" t="s">
        <v>28</v>
      </c>
      <c r="H85" s="241" t="s">
        <v>464</v>
      </c>
      <c r="I85" s="1598">
        <v>537.30999999999995</v>
      </c>
      <c r="J85" s="1598">
        <v>255</v>
      </c>
      <c r="K85" s="1598"/>
      <c r="L85" s="1319">
        <v>450</v>
      </c>
      <c r="M85" s="1598"/>
      <c r="N85" s="1278">
        <v>0</v>
      </c>
      <c r="O85" s="1598"/>
      <c r="P85" s="1278">
        <f t="shared" ref="P85:P86" si="29">AI85</f>
        <v>8.3533628677766032</v>
      </c>
      <c r="Q85" s="1278">
        <f>RIGHT(H85,(FIND("T",H85,1)-0))*J85/100</f>
        <v>35.700000000000003</v>
      </c>
      <c r="R85" s="244">
        <v>5.32</v>
      </c>
      <c r="S85" s="244">
        <v>9.4429999999999996</v>
      </c>
      <c r="T85" s="1319">
        <v>6</v>
      </c>
      <c r="U85" s="244">
        <f t="shared" ref="U85" si="30">IF(R85=0,0,T85/R85)</f>
        <v>1.1278195488721805</v>
      </c>
      <c r="V85" s="1278">
        <f t="shared" si="17"/>
        <v>43.661971830985912</v>
      </c>
      <c r="W85" s="1279">
        <v>0.2</v>
      </c>
      <c r="X85" s="1410">
        <v>255</v>
      </c>
      <c r="Y85" s="1277">
        <f t="shared" si="28"/>
        <v>26.450980392156858</v>
      </c>
      <c r="Z85" s="244">
        <f t="shared" ref="Z85:AB86" si="31">R85*0.988</f>
        <v>5.2561600000000004</v>
      </c>
      <c r="AA85" s="244">
        <f t="shared" si="31"/>
        <v>9.3296840000000003</v>
      </c>
      <c r="AB85" s="1277">
        <f t="shared" si="31"/>
        <v>5.9279999999999999</v>
      </c>
      <c r="AC85" s="244">
        <f>U85</f>
        <v>1.1278195488721805</v>
      </c>
      <c r="AD85" s="244">
        <v>24.363</v>
      </c>
      <c r="AE85" s="241">
        <f t="shared" si="16"/>
        <v>30</v>
      </c>
      <c r="AF85" s="244">
        <f>Z85*AE85</f>
        <v>157.68480000000002</v>
      </c>
      <c r="AG85" s="1281"/>
      <c r="AI85" s="1282">
        <f t="shared" si="27"/>
        <v>8.3533628677766032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04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29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3"/>
        <v>0</v>
      </c>
      <c r="V86" s="1278" t="e">
        <f t="shared" si="17"/>
        <v>#DIV/0!</v>
      </c>
      <c r="W86" s="1279">
        <v>0</v>
      </c>
      <c r="X86" s="1449">
        <v>0</v>
      </c>
      <c r="Y86" s="1277">
        <f t="shared" si="28"/>
        <v>0</v>
      </c>
      <c r="Z86" s="244">
        <f t="shared" si="31"/>
        <v>0</v>
      </c>
      <c r="AA86" s="244">
        <f t="shared" si="31"/>
        <v>0</v>
      </c>
      <c r="AB86" s="1277">
        <f t="shared" si="31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7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598"/>
      <c r="E87" s="1598"/>
      <c r="F87" s="1274"/>
      <c r="G87" s="241"/>
      <c r="H87" s="241"/>
      <c r="I87" s="1598"/>
      <c r="J87" s="1598"/>
      <c r="K87" s="1598"/>
      <c r="L87" s="1598"/>
      <c r="M87" s="1598"/>
      <c r="N87" s="241"/>
      <c r="O87" s="1598"/>
      <c r="P87" s="1278"/>
      <c r="Q87" s="1269"/>
      <c r="R87" s="1348">
        <f>SUM(R19:R86)</f>
        <v>272.95599999999996</v>
      </c>
      <c r="S87" s="1348">
        <f>SUM(S19:S86)</f>
        <v>743.11599999999953</v>
      </c>
      <c r="T87" s="1349">
        <f>SUM(T19:T86)</f>
        <v>5598.0730000000003</v>
      </c>
      <c r="U87" s="1348">
        <f>T87/R87</f>
        <v>20.509067395477665</v>
      </c>
      <c r="V87" s="1348"/>
      <c r="W87" s="1350"/>
      <c r="X87" s="1410"/>
      <c r="Y87" s="1348"/>
      <c r="Z87" s="1348">
        <f>SUM(Z19:Z86)</f>
        <v>261.79184400000003</v>
      </c>
      <c r="AA87" s="1348">
        <f>SUM(AA19:AA86)</f>
        <v>669.71497599999998</v>
      </c>
      <c r="AB87" s="1351">
        <f>SUM(AB19:AB86)</f>
        <v>5374.0401239999983</v>
      </c>
      <c r="AC87" s="1348">
        <f>AB87/Z87</f>
        <v>20.527912718319818</v>
      </c>
      <c r="AD87" s="1348"/>
      <c r="AE87" s="1302"/>
      <c r="AF87" s="1348">
        <f>SUM(AF19:AF86)</f>
        <v>7533.5900720000018</v>
      </c>
      <c r="AG87" s="1281"/>
      <c r="AI87" s="1282"/>
    </row>
    <row r="88" spans="1:38" ht="18.75" customHeight="1" x14ac:dyDescent="0.2">
      <c r="A88" s="1347"/>
      <c r="B88" s="241"/>
      <c r="C88" s="241"/>
      <c r="D88" s="1598"/>
      <c r="E88" s="1598"/>
      <c r="F88" s="1274"/>
      <c r="G88" s="241"/>
      <c r="H88" s="241"/>
      <c r="I88" s="1598"/>
      <c r="J88" s="1598"/>
      <c r="K88" s="1598"/>
      <c r="L88" s="1598"/>
      <c r="M88" s="1598"/>
      <c r="N88" s="241"/>
      <c r="O88" s="1598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598"/>
      <c r="E89" s="1597" t="s">
        <v>388</v>
      </c>
      <c r="F89" s="1274"/>
      <c r="G89" s="241"/>
      <c r="H89" s="241"/>
      <c r="I89" s="1598"/>
      <c r="J89" s="1598"/>
      <c r="K89" s="1598"/>
      <c r="L89" s="1598"/>
      <c r="M89" s="1598"/>
      <c r="N89" s="241"/>
      <c r="O89" s="1598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598">
        <v>737.21</v>
      </c>
      <c r="E90" s="1598" t="s">
        <v>507</v>
      </c>
      <c r="F90" s="241">
        <v>177.8</v>
      </c>
      <c r="G90" s="241" t="s">
        <v>28</v>
      </c>
      <c r="H90" s="1354" t="s">
        <v>466</v>
      </c>
      <c r="I90" s="1598">
        <v>680.94</v>
      </c>
      <c r="J90" s="1598"/>
      <c r="K90" s="1598"/>
      <c r="L90" s="1598"/>
      <c r="M90" s="1598"/>
      <c r="N90" s="241"/>
      <c r="O90" s="1598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2">R90*0.988</f>
        <v>0</v>
      </c>
      <c r="AA90" s="244">
        <f t="shared" si="32"/>
        <v>0</v>
      </c>
      <c r="AB90" s="1277">
        <f t="shared" si="32"/>
        <v>0</v>
      </c>
      <c r="AC90" s="244">
        <f t="shared" ref="AC90:AD93" si="33">U90</f>
        <v>0</v>
      </c>
      <c r="AD90" s="244">
        <f t="shared" si="33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598">
        <v>695.15</v>
      </c>
      <c r="E91" s="1598" t="s">
        <v>508</v>
      </c>
      <c r="F91" s="1274">
        <v>177.8</v>
      </c>
      <c r="G91" s="241" t="s">
        <v>28</v>
      </c>
      <c r="H91" s="241" t="s">
        <v>491</v>
      </c>
      <c r="I91" s="1598">
        <v>658.9</v>
      </c>
      <c r="J91" s="1598"/>
      <c r="K91" s="1598"/>
      <c r="L91" s="1598"/>
      <c r="M91" s="1598"/>
      <c r="N91" s="241"/>
      <c r="O91" s="1598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2"/>
        <v>0</v>
      </c>
      <c r="AA91" s="244">
        <f t="shared" si="32"/>
        <v>0</v>
      </c>
      <c r="AB91" s="1277">
        <f t="shared" si="32"/>
        <v>0</v>
      </c>
      <c r="AC91" s="244">
        <f t="shared" si="33"/>
        <v>0</v>
      </c>
      <c r="AD91" s="244">
        <f t="shared" si="33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598">
        <v>685.69</v>
      </c>
      <c r="E92" s="1598" t="s">
        <v>579</v>
      </c>
      <c r="F92" s="241">
        <v>177.8</v>
      </c>
      <c r="G92" s="241" t="s">
        <v>28</v>
      </c>
      <c r="H92" s="1299" t="s">
        <v>466</v>
      </c>
      <c r="I92" s="1598">
        <v>639.97</v>
      </c>
      <c r="J92" s="1598"/>
      <c r="K92" s="1598"/>
      <c r="L92" s="1598"/>
      <c r="M92" s="1598"/>
      <c r="N92" s="241"/>
      <c r="O92" s="1598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2"/>
        <v>0</v>
      </c>
      <c r="AA92" s="244">
        <f t="shared" si="32"/>
        <v>0</v>
      </c>
      <c r="AB92" s="1277">
        <f t="shared" si="32"/>
        <v>0</v>
      </c>
      <c r="AC92" s="244">
        <f t="shared" si="33"/>
        <v>0</v>
      </c>
      <c r="AD92" s="244">
        <f t="shared" si="33"/>
        <v>0</v>
      </c>
      <c r="AE92" s="241">
        <v>0</v>
      </c>
      <c r="AF92" s="244">
        <f t="shared" ref="AF92:AF93" si="34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598">
        <v>9.5</v>
      </c>
      <c r="J93" s="1598"/>
      <c r="K93" s="1598"/>
      <c r="L93" s="1598"/>
      <c r="M93" s="1598"/>
      <c r="N93" s="241"/>
      <c r="O93" s="1598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2"/>
        <v>0</v>
      </c>
      <c r="AA93" s="244">
        <f t="shared" si="32"/>
        <v>0</v>
      </c>
      <c r="AB93" s="1277">
        <f t="shared" si="32"/>
        <v>0</v>
      </c>
      <c r="AC93" s="244">
        <f t="shared" si="33"/>
        <v>0</v>
      </c>
      <c r="AD93" s="244">
        <f t="shared" si="33"/>
        <v>0</v>
      </c>
      <c r="AE93" s="241">
        <v>0</v>
      </c>
      <c r="AF93" s="244">
        <f t="shared" si="34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598"/>
      <c r="K94" s="1598"/>
      <c r="L94" s="1598"/>
      <c r="M94" s="1598"/>
      <c r="N94" s="1598"/>
      <c r="O94" s="1598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598"/>
      <c r="K95" s="1598"/>
      <c r="L95" s="1598"/>
      <c r="M95" s="1598"/>
      <c r="N95" s="1598"/>
      <c r="O95" s="1598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598">
        <v>183.38</v>
      </c>
      <c r="J96" s="1598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5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6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37">R96*0.988</f>
        <v>0</v>
      </c>
      <c r="AA96" s="244">
        <f t="shared" si="37"/>
        <v>0</v>
      </c>
      <c r="AB96" s="244">
        <f t="shared" si="37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38">Z96*AE96</f>
        <v>0</v>
      </c>
      <c r="AG96" s="1285"/>
      <c r="AI96" s="1282">
        <f t="shared" ref="AI96:AI101" si="39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598">
        <v>136.35</v>
      </c>
      <c r="J97" s="1598">
        <v>0</v>
      </c>
      <c r="K97" s="1598"/>
      <c r="L97" s="1319">
        <v>27</v>
      </c>
      <c r="M97" s="1598"/>
      <c r="N97" s="1278">
        <v>0</v>
      </c>
      <c r="O97" s="1598"/>
      <c r="P97" s="1278">
        <f t="shared" si="35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6"/>
        <v>0</v>
      </c>
      <c r="V97" s="1278">
        <v>0</v>
      </c>
      <c r="W97" s="1279">
        <v>0.2</v>
      </c>
      <c r="X97" s="1410">
        <v>0</v>
      </c>
      <c r="Y97" s="1277">
        <f t="shared" ref="Y97:Y105" si="40">IF(S97=0,0,S97/Q97)*100</f>
        <v>0</v>
      </c>
      <c r="Z97" s="244">
        <f t="shared" si="37"/>
        <v>0</v>
      </c>
      <c r="AA97" s="244">
        <f t="shared" si="37"/>
        <v>0</v>
      </c>
      <c r="AB97" s="244">
        <f t="shared" si="37"/>
        <v>0</v>
      </c>
      <c r="AC97" s="244">
        <f t="shared" ref="AC97:AD101" si="41">U97</f>
        <v>0</v>
      </c>
      <c r="AD97" s="244">
        <f t="shared" si="41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39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598">
        <v>130.11000000000001</v>
      </c>
      <c r="J98" s="1598">
        <v>0</v>
      </c>
      <c r="K98" s="1598"/>
      <c r="L98" s="1319">
        <v>32</v>
      </c>
      <c r="M98" s="1598"/>
      <c r="N98" s="1278">
        <v>0</v>
      </c>
      <c r="O98" s="1598"/>
      <c r="P98" s="1278">
        <f t="shared" si="35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6"/>
        <v>0</v>
      </c>
      <c r="V98" s="1278">
        <v>0</v>
      </c>
      <c r="W98" s="1279">
        <v>0.2</v>
      </c>
      <c r="X98" s="1410">
        <v>0</v>
      </c>
      <c r="Y98" s="1277">
        <f t="shared" si="40"/>
        <v>0</v>
      </c>
      <c r="Z98" s="244">
        <f t="shared" si="37"/>
        <v>0</v>
      </c>
      <c r="AA98" s="244">
        <f t="shared" si="37"/>
        <v>0</v>
      </c>
      <c r="AB98" s="244">
        <f t="shared" si="37"/>
        <v>0</v>
      </c>
      <c r="AC98" s="244">
        <f t="shared" si="41"/>
        <v>0</v>
      </c>
      <c r="AD98" s="244">
        <f t="shared" si="41"/>
        <v>0</v>
      </c>
      <c r="AE98" s="241">
        <v>0</v>
      </c>
      <c r="AF98" s="244">
        <f t="shared" si="38"/>
        <v>0</v>
      </c>
      <c r="AG98" s="1285" t="s">
        <v>782</v>
      </c>
      <c r="AI98" s="1282">
        <f t="shared" si="39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598">
        <v>134.24</v>
      </c>
      <c r="J99" s="1598">
        <v>0</v>
      </c>
      <c r="K99" s="1598"/>
      <c r="L99" s="1319">
        <v>25</v>
      </c>
      <c r="M99" s="1598"/>
      <c r="N99" s="1278">
        <v>0.2</v>
      </c>
      <c r="O99" s="1598"/>
      <c r="P99" s="1278">
        <f t="shared" si="35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6"/>
        <v>0</v>
      </c>
      <c r="V99" s="1278">
        <v>0</v>
      </c>
      <c r="W99" s="1279">
        <v>0.2</v>
      </c>
      <c r="X99" s="1410">
        <v>0</v>
      </c>
      <c r="Y99" s="1277">
        <f t="shared" si="40"/>
        <v>0</v>
      </c>
      <c r="Z99" s="244">
        <f t="shared" si="37"/>
        <v>0</v>
      </c>
      <c r="AA99" s="244">
        <f t="shared" si="37"/>
        <v>0</v>
      </c>
      <c r="AB99" s="244">
        <f t="shared" si="37"/>
        <v>0</v>
      </c>
      <c r="AC99" s="244">
        <f t="shared" si="41"/>
        <v>0</v>
      </c>
      <c r="AD99" s="244">
        <f t="shared" si="41"/>
        <v>0</v>
      </c>
      <c r="AE99" s="241">
        <v>0</v>
      </c>
      <c r="AF99" s="244">
        <f t="shared" si="38"/>
        <v>0</v>
      </c>
      <c r="AG99" s="1281" t="s">
        <v>782</v>
      </c>
      <c r="AI99" s="1282">
        <f t="shared" si="39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598">
        <v>0</v>
      </c>
      <c r="K100" s="1598"/>
      <c r="L100" s="1319">
        <v>30</v>
      </c>
      <c r="M100" s="1598"/>
      <c r="N100" s="1278">
        <v>0.7</v>
      </c>
      <c r="O100" s="1598"/>
      <c r="P100" s="1278">
        <f t="shared" si="35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6"/>
        <v>0</v>
      </c>
      <c r="V100" s="1278">
        <v>0</v>
      </c>
      <c r="W100" s="1279">
        <v>0.2</v>
      </c>
      <c r="X100" s="1410">
        <v>0</v>
      </c>
      <c r="Y100" s="1277">
        <f t="shared" si="40"/>
        <v>0</v>
      </c>
      <c r="Z100" s="244">
        <f t="shared" si="37"/>
        <v>0</v>
      </c>
      <c r="AA100" s="244">
        <f t="shared" si="37"/>
        <v>0</v>
      </c>
      <c r="AB100" s="244">
        <f t="shared" si="37"/>
        <v>0</v>
      </c>
      <c r="AC100" s="244">
        <f t="shared" si="41"/>
        <v>0</v>
      </c>
      <c r="AD100" s="244">
        <f t="shared" si="41"/>
        <v>0</v>
      </c>
      <c r="AE100" s="241">
        <v>0</v>
      </c>
      <c r="AF100" s="244">
        <f t="shared" si="38"/>
        <v>0</v>
      </c>
      <c r="AG100" s="1363" t="s">
        <v>782</v>
      </c>
      <c r="AI100" s="1282">
        <f t="shared" si="39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5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6"/>
        <v>0</v>
      </c>
      <c r="V101" s="1278">
        <v>0</v>
      </c>
      <c r="W101" s="1355">
        <v>0.2</v>
      </c>
      <c r="X101" s="1410">
        <v>0</v>
      </c>
      <c r="Y101" s="1277">
        <f t="shared" si="40"/>
        <v>0</v>
      </c>
      <c r="Z101" s="244">
        <f t="shared" si="37"/>
        <v>0</v>
      </c>
      <c r="AA101" s="244">
        <f t="shared" si="37"/>
        <v>0</v>
      </c>
      <c r="AB101" s="244">
        <f t="shared" si="37"/>
        <v>0</v>
      </c>
      <c r="AC101" s="244">
        <f t="shared" si="41"/>
        <v>0</v>
      </c>
      <c r="AD101" s="244">
        <f t="shared" si="41"/>
        <v>0</v>
      </c>
      <c r="AE101" s="241">
        <v>0</v>
      </c>
      <c r="AF101" s="244">
        <f t="shared" si="38"/>
        <v>0</v>
      </c>
      <c r="AG101" s="1363" t="s">
        <v>782</v>
      </c>
      <c r="AI101" s="1282">
        <f t="shared" si="39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0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0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598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2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0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598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2"/>
        <v>0</v>
      </c>
      <c r="V105" s="1278">
        <v>0.3</v>
      </c>
      <c r="W105" s="1279">
        <v>0.3</v>
      </c>
      <c r="X105" s="1449">
        <v>0</v>
      </c>
      <c r="Y105" s="1277">
        <f t="shared" si="40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598"/>
      <c r="G106" s="1595"/>
      <c r="H106" s="1597"/>
      <c r="I106" s="1597"/>
      <c r="J106" s="1598"/>
      <c r="K106" s="1598"/>
      <c r="L106" s="1598"/>
      <c r="M106" s="1598"/>
      <c r="N106" s="1598"/>
      <c r="O106" s="1598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595"/>
      <c r="W106" s="1596"/>
      <c r="X106" s="1410"/>
      <c r="Y106" s="1595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595"/>
      <c r="AE106" s="1598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595"/>
      <c r="H108" s="1597"/>
      <c r="I108" s="1597"/>
      <c r="J108" s="1598"/>
      <c r="K108" s="1598"/>
      <c r="L108" s="1598"/>
      <c r="M108" s="1598"/>
      <c r="N108" s="1598"/>
      <c r="O108" s="1598"/>
      <c r="P108" s="1269"/>
      <c r="Q108" s="1269"/>
      <c r="R108" s="1598"/>
      <c r="S108" s="1598"/>
      <c r="T108" s="1598"/>
      <c r="U108" s="1595"/>
      <c r="V108" s="1595"/>
      <c r="W108" s="1596"/>
      <c r="X108" s="1410"/>
      <c r="Y108" s="1595"/>
      <c r="Z108" s="1603"/>
      <c r="AA108" s="1598"/>
      <c r="AB108" s="1598"/>
      <c r="AC108" s="1595"/>
      <c r="AD108" s="1595"/>
      <c r="AE108" s="1598"/>
      <c r="AF108" s="1598"/>
      <c r="AG108" s="1600"/>
    </row>
    <row r="109" spans="1:38" ht="18.75" customHeight="1" x14ac:dyDescent="0.2">
      <c r="A109" s="1273">
        <v>83</v>
      </c>
      <c r="B109" s="1317" t="s">
        <v>107</v>
      </c>
      <c r="C109" s="1598" t="s">
        <v>109</v>
      </c>
      <c r="D109" s="1598"/>
      <c r="E109" s="1598"/>
      <c r="F109" s="1598"/>
      <c r="G109" s="1595"/>
      <c r="H109" s="1597"/>
      <c r="I109" s="1597"/>
      <c r="J109" s="1598"/>
      <c r="K109" s="1598"/>
      <c r="L109" s="1598"/>
      <c r="M109" s="1598"/>
      <c r="N109" s="1598"/>
      <c r="O109" s="1598"/>
      <c r="P109" s="1269"/>
      <c r="Q109" s="1269"/>
      <c r="R109" s="1598"/>
      <c r="S109" s="1598"/>
      <c r="T109" s="1598"/>
      <c r="U109" s="1595"/>
      <c r="V109" s="1595"/>
      <c r="W109" s="1596"/>
      <c r="X109" s="1410"/>
      <c r="Y109" s="1595"/>
      <c r="Z109" s="1602"/>
      <c r="AA109" s="1597"/>
      <c r="AB109" s="1598"/>
      <c r="AC109" s="1595"/>
      <c r="AD109" s="1595"/>
      <c r="AE109" s="1373"/>
      <c r="AF109" s="1598"/>
      <c r="AG109" s="1600"/>
    </row>
    <row r="110" spans="1:38" ht="18.75" customHeight="1" x14ac:dyDescent="0.2">
      <c r="A110" s="1273">
        <v>84</v>
      </c>
      <c r="B110" s="1317" t="s">
        <v>108</v>
      </c>
      <c r="C110" s="1598" t="s">
        <v>109</v>
      </c>
      <c r="D110" s="1598"/>
      <c r="E110" s="1598"/>
      <c r="F110" s="1598"/>
      <c r="G110" s="1595"/>
      <c r="H110" s="1597"/>
      <c r="I110" s="1597"/>
      <c r="J110" s="1598"/>
      <c r="K110" s="1598"/>
      <c r="L110" s="1598"/>
      <c r="M110" s="1598"/>
      <c r="N110" s="1598"/>
      <c r="O110" s="1598"/>
      <c r="P110" s="1269"/>
      <c r="Q110" s="1269"/>
      <c r="R110" s="1301"/>
      <c r="S110" s="1598"/>
      <c r="T110" s="1598"/>
      <c r="U110" s="1595"/>
      <c r="V110" s="1595"/>
      <c r="W110" s="1596"/>
      <c r="X110" s="1410"/>
      <c r="Y110" s="1595"/>
      <c r="Z110" s="1602"/>
      <c r="AA110" s="1597"/>
      <c r="AB110" s="1598"/>
      <c r="AC110" s="1595"/>
      <c r="AD110" s="1595"/>
      <c r="AE110" s="1373"/>
      <c r="AF110" s="1598"/>
      <c r="AG110" s="1600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598"/>
      <c r="E111" s="1598"/>
      <c r="F111" s="1598"/>
      <c r="G111" s="1595"/>
      <c r="H111" s="1597"/>
      <c r="I111" s="1597"/>
      <c r="J111" s="1598"/>
      <c r="K111" s="1598"/>
      <c r="L111" s="1598"/>
      <c r="M111" s="1598"/>
      <c r="N111" s="1598"/>
      <c r="O111" s="1598"/>
      <c r="P111" s="1269"/>
      <c r="Q111" s="1269"/>
      <c r="R111" s="1598"/>
      <c r="S111" s="1598"/>
      <c r="T111" s="1598"/>
      <c r="U111" s="1595"/>
      <c r="V111" s="1595"/>
      <c r="W111" s="1596"/>
      <c r="X111" s="1410"/>
      <c r="Y111" s="1595"/>
      <c r="Z111" s="1602"/>
      <c r="AA111" s="1597"/>
      <c r="AB111" s="1598"/>
      <c r="AC111" s="1595"/>
      <c r="AD111" s="1595"/>
      <c r="AE111" s="1373"/>
      <c r="AF111" s="1598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598"/>
      <c r="E112" s="1598"/>
      <c r="F112" s="1598"/>
      <c r="G112" s="1595"/>
      <c r="H112" s="1597"/>
      <c r="I112" s="1597"/>
      <c r="J112" s="1598"/>
      <c r="K112" s="1598"/>
      <c r="L112" s="1598"/>
      <c r="M112" s="1598"/>
      <c r="N112" s="1598"/>
      <c r="O112" s="1598"/>
      <c r="P112" s="1269"/>
      <c r="Q112" s="1269"/>
      <c r="R112" s="1598"/>
      <c r="S112" s="1598"/>
      <c r="T112" s="1598"/>
      <c r="U112" s="1595"/>
      <c r="V112" s="1595"/>
      <c r="W112" s="1596"/>
      <c r="X112" s="1410"/>
      <c r="Y112" s="1595"/>
      <c r="Z112" s="1602"/>
      <c r="AA112" s="1597"/>
      <c r="AB112" s="1598"/>
      <c r="AC112" s="1595"/>
      <c r="AD112" s="1595"/>
      <c r="AE112" s="1373"/>
      <c r="AF112" s="1598"/>
      <c r="AG112" s="1285"/>
    </row>
    <row r="113" spans="1:33" ht="18.75" customHeight="1" x14ac:dyDescent="0.2">
      <c r="A113" s="1273"/>
      <c r="B113" s="1262"/>
      <c r="C113" s="1371"/>
      <c r="D113" s="1371"/>
      <c r="E113" s="1597" t="s">
        <v>278</v>
      </c>
      <c r="F113" s="1371"/>
      <c r="G113" s="1595"/>
      <c r="H113" s="1597"/>
      <c r="I113" s="1597"/>
      <c r="J113" s="1598"/>
      <c r="K113" s="1598"/>
      <c r="L113" s="1598"/>
      <c r="M113" s="1598"/>
      <c r="N113" s="1598"/>
      <c r="O113" s="1598"/>
      <c r="P113" s="1269"/>
      <c r="Q113" s="1269"/>
      <c r="R113" s="1598"/>
      <c r="S113" s="1598"/>
      <c r="T113" s="1598"/>
      <c r="U113" s="1595"/>
      <c r="V113" s="1595"/>
      <c r="W113" s="1596"/>
      <c r="X113" s="1410"/>
      <c r="Y113" s="1595"/>
      <c r="Z113" s="1301"/>
      <c r="AA113" s="1598"/>
      <c r="AB113" s="1598"/>
      <c r="AC113" s="1595"/>
      <c r="AD113" s="1595"/>
      <c r="AE113" s="1598"/>
      <c r="AF113" s="1598"/>
      <c r="AG113" s="1600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598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598">
        <v>625.1</v>
      </c>
      <c r="E115" s="1598" t="s">
        <v>578</v>
      </c>
      <c r="F115" s="241">
        <v>177.8</v>
      </c>
      <c r="G115" s="241"/>
      <c r="H115" s="241"/>
      <c r="I115" s="244"/>
      <c r="J115" s="1598"/>
      <c r="K115" s="1598"/>
      <c r="L115" s="1598"/>
      <c r="M115" s="1598"/>
      <c r="N115" s="1598"/>
      <c r="O115" s="1598"/>
      <c r="P115" s="1269"/>
      <c r="Q115" s="1269"/>
      <c r="R115" s="1598"/>
      <c r="S115" s="1598"/>
      <c r="T115" s="1598"/>
      <c r="U115" s="1595"/>
      <c r="V115" s="1595"/>
      <c r="W115" s="1596"/>
      <c r="X115" s="1410"/>
      <c r="Y115" s="1376"/>
      <c r="Z115" s="1319"/>
      <c r="AA115" s="1598"/>
      <c r="AB115" s="1598"/>
      <c r="AC115" s="1595"/>
      <c r="AD115" s="1598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598"/>
      <c r="J116" s="1598"/>
      <c r="K116" s="1598"/>
      <c r="L116" s="1598"/>
      <c r="M116" s="1598"/>
      <c r="N116" s="1598"/>
      <c r="O116" s="1598"/>
      <c r="P116" s="1269"/>
      <c r="Q116" s="1270"/>
      <c r="R116" s="1598"/>
      <c r="S116" s="1598"/>
      <c r="T116" s="1598"/>
      <c r="U116" s="1595"/>
      <c r="V116" s="1595"/>
      <c r="W116" s="1596"/>
      <c r="X116" s="1410"/>
      <c r="Y116" s="1376"/>
      <c r="Z116" s="1319"/>
      <c r="AA116" s="1598"/>
      <c r="AB116" s="1598"/>
      <c r="AC116" s="1595"/>
      <c r="AD116" s="1598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598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598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591"/>
      <c r="C119" s="1591"/>
      <c r="D119" s="1591"/>
      <c r="E119" s="1592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272.95599999999996</v>
      </c>
      <c r="S119" s="1386">
        <f>S87+S94+S106</f>
        <v>743.11599999999953</v>
      </c>
      <c r="T119" s="1387">
        <f>T87+T94+T106</f>
        <v>5598.0730000000003</v>
      </c>
      <c r="U119" s="1386">
        <f>T119/R119</f>
        <v>20.509067395477665</v>
      </c>
      <c r="V119" s="1386"/>
      <c r="W119" s="1388"/>
      <c r="X119" s="1456"/>
      <c r="Y119" s="1386"/>
      <c r="Z119" s="1386">
        <f>Z87+Z94+Z106</f>
        <v>261.79184400000003</v>
      </c>
      <c r="AA119" s="1386">
        <f>AA87+AA106+AA94</f>
        <v>669.71497599999998</v>
      </c>
      <c r="AB119" s="1387">
        <f>AB87+AB106+AB94</f>
        <v>5374.0401239999983</v>
      </c>
      <c r="AC119" s="1386">
        <f>AC87+AC106+AC94</f>
        <v>20.527912718319818</v>
      </c>
      <c r="AD119" s="1386"/>
      <c r="AE119" s="1386"/>
      <c r="AF119" s="1390">
        <f>AF87+AF94+AF106</f>
        <v>7533.5900720000018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599"/>
      <c r="D121" s="148"/>
      <c r="E121" s="1394">
        <v>0.97</v>
      </c>
      <c r="F121" s="148"/>
      <c r="G121" s="148" t="s">
        <v>102</v>
      </c>
      <c r="H121" s="1599"/>
      <c r="I121" s="1395"/>
      <c r="J121" s="148"/>
      <c r="K121" s="1983">
        <f>AF119*E121</f>
        <v>7307.5823698400018</v>
      </c>
      <c r="L121" s="1984"/>
      <c r="M121" s="1984"/>
      <c r="N121" s="1599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599"/>
      <c r="D122" s="148"/>
      <c r="E122" s="154"/>
      <c r="F122" s="148"/>
      <c r="G122" s="148" t="s">
        <v>733</v>
      </c>
      <c r="H122" s="1599"/>
      <c r="I122" s="1395"/>
      <c r="J122" s="148"/>
      <c r="K122" s="1599"/>
      <c r="L122" s="1397"/>
      <c r="M122" s="148">
        <f>K121*0.87</f>
        <v>6357.5966617608019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594"/>
      <c r="Z122" s="1601"/>
      <c r="AA122" s="150"/>
      <c r="AB122" s="1594"/>
      <c r="AC122" s="1594"/>
      <c r="AD122" s="1594"/>
      <c r="AE122" s="1594"/>
      <c r="AF122" s="1594"/>
      <c r="AG122" s="1400"/>
    </row>
    <row r="123" spans="1:33" ht="15" x14ac:dyDescent="0.2">
      <c r="B123" s="148"/>
      <c r="C123" s="1599"/>
      <c r="D123" s="148"/>
      <c r="E123" s="154"/>
      <c r="F123" s="148"/>
      <c r="G123" s="148"/>
      <c r="H123" s="1599"/>
      <c r="I123" s="1395"/>
      <c r="J123" s="148"/>
      <c r="K123" s="1599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594"/>
      <c r="Z123" s="1601"/>
      <c r="AA123" s="1594"/>
      <c r="AB123" s="1594"/>
      <c r="AC123" s="1594"/>
      <c r="AD123" s="1594"/>
      <c r="AE123" s="1594"/>
      <c r="AF123" s="1594"/>
      <c r="AG123" s="1400"/>
    </row>
    <row r="124" spans="1:33" ht="15" x14ac:dyDescent="0.2">
      <c r="B124" s="148"/>
      <c r="C124" s="1599"/>
      <c r="D124" s="148"/>
      <c r="E124" s="154"/>
      <c r="F124" s="148"/>
      <c r="G124" s="148"/>
      <c r="H124" s="1599"/>
      <c r="I124" s="1395"/>
      <c r="J124" s="148"/>
      <c r="K124" s="1599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594"/>
      <c r="Z124" s="1601"/>
      <c r="AA124" s="1594"/>
      <c r="AB124" s="1594"/>
      <c r="AC124" s="1594"/>
      <c r="AD124" s="1594"/>
      <c r="AE124" s="1594"/>
      <c r="AF124" s="1594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599"/>
      <c r="L125" s="1599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594" t="s">
        <v>561</v>
      </c>
      <c r="AD125" s="1594"/>
      <c r="AE125" s="1594"/>
      <c r="AF125" s="1594"/>
      <c r="AG125" s="1594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6C5B-F20D-4718-8086-1CCDF48A3788}">
  <dimension ref="A1:AQ129"/>
  <sheetViews>
    <sheetView topLeftCell="A13" zoomScale="80" zoomScaleNormal="8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A13" sqref="A13:D1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613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613"/>
      <c r="F2" s="1613"/>
      <c r="G2" s="1606"/>
      <c r="H2" s="1612"/>
      <c r="I2" s="1612"/>
      <c r="J2" s="1612"/>
      <c r="K2" s="1612"/>
      <c r="L2" s="1612"/>
      <c r="M2" s="1612"/>
      <c r="N2" s="1612"/>
      <c r="O2" s="1612"/>
      <c r="P2" s="1612"/>
      <c r="Q2" s="1256"/>
      <c r="R2" s="1613"/>
      <c r="S2" s="1613"/>
      <c r="T2" s="1613"/>
      <c r="U2" s="1613"/>
      <c r="V2" s="1613"/>
      <c r="W2" s="1613"/>
      <c r="X2" s="1612"/>
      <c r="Y2" s="1613"/>
      <c r="Z2" s="1613"/>
      <c r="AA2" s="1613"/>
      <c r="AC2" s="1613"/>
      <c r="AD2" s="1613"/>
      <c r="AE2" s="1613"/>
      <c r="AF2" s="1998" t="s">
        <v>750</v>
      </c>
      <c r="AG2" s="1998"/>
    </row>
    <row r="3" spans="1:38" ht="15.75" x14ac:dyDescent="0.25">
      <c r="A3" s="1408" t="s">
        <v>751</v>
      </c>
      <c r="B3" s="1607"/>
      <c r="C3" s="1607"/>
      <c r="D3" s="1607"/>
      <c r="E3" s="1613"/>
      <c r="F3" s="1613"/>
      <c r="G3" s="1606"/>
      <c r="H3" s="1612"/>
      <c r="I3" s="1612"/>
      <c r="J3" s="1612"/>
      <c r="K3" s="1612"/>
      <c r="L3" s="1612"/>
      <c r="M3" s="1612"/>
      <c r="N3" s="1612"/>
      <c r="O3" s="1612"/>
      <c r="P3" s="1612"/>
      <c r="Q3" s="1256"/>
      <c r="R3" s="1613"/>
      <c r="S3" s="1613"/>
      <c r="T3" s="1613"/>
      <c r="U3" s="1613"/>
      <c r="V3" s="1613"/>
      <c r="W3" s="1613"/>
      <c r="X3" s="1612"/>
      <c r="Y3" s="1613"/>
      <c r="Z3" s="1613"/>
      <c r="AA3" s="1613"/>
      <c r="AB3" s="1613"/>
      <c r="AC3" s="1260"/>
      <c r="AE3" s="1222"/>
      <c r="AF3" s="1612" t="s">
        <v>739</v>
      </c>
      <c r="AG3" s="1494"/>
    </row>
    <row r="4" spans="1:38" ht="15" x14ac:dyDescent="0.25">
      <c r="A4" s="1976"/>
      <c r="B4" s="1976"/>
      <c r="C4" s="1976"/>
      <c r="D4" s="1976"/>
      <c r="E4" s="1608"/>
      <c r="F4" s="1613"/>
      <c r="G4" s="1606"/>
      <c r="H4" s="1606"/>
      <c r="I4" s="1612"/>
      <c r="J4" s="1612"/>
      <c r="K4" s="1612"/>
      <c r="L4" s="1612"/>
      <c r="M4" s="1612"/>
      <c r="N4" s="1612"/>
      <c r="O4" s="1612"/>
      <c r="P4" s="1612"/>
      <c r="Q4" s="1256"/>
      <c r="R4" s="1605"/>
      <c r="S4" s="1605"/>
      <c r="T4" s="1605"/>
      <c r="U4" s="1605"/>
      <c r="V4" s="1605"/>
      <c r="W4" s="1605"/>
      <c r="X4" s="1612"/>
      <c r="Y4" s="1613"/>
      <c r="Z4" s="1613"/>
      <c r="AB4" s="1613"/>
      <c r="AD4" s="1613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613"/>
      <c r="F5" s="1613"/>
      <c r="G5" s="1606"/>
      <c r="H5" s="1606"/>
      <c r="I5" s="1613"/>
      <c r="J5" s="1613"/>
      <c r="K5" s="1606"/>
      <c r="L5" s="1606"/>
      <c r="M5" s="1613"/>
      <c r="N5" s="1613"/>
      <c r="O5" s="1613"/>
      <c r="P5" s="149"/>
      <c r="Q5" s="1257"/>
      <c r="R5" s="1613"/>
      <c r="S5" s="1613"/>
      <c r="T5" s="1613"/>
      <c r="U5" s="1613"/>
      <c r="V5" s="1613"/>
      <c r="W5" s="1613"/>
      <c r="X5" s="1613"/>
      <c r="Y5" s="1613"/>
      <c r="Z5" s="1613"/>
      <c r="AA5" s="1613"/>
      <c r="AB5" s="1613"/>
      <c r="AC5" s="1613"/>
      <c r="AD5" s="1613"/>
      <c r="AG5" s="151"/>
    </row>
    <row r="6" spans="1:38" ht="27" customHeight="1" x14ac:dyDescent="0.2">
      <c r="A6" s="1942"/>
      <c r="B6" s="1942"/>
      <c r="C6" s="1942"/>
      <c r="D6" s="1942"/>
      <c r="E6" s="1613"/>
      <c r="F6" s="1613"/>
      <c r="G6" s="1606"/>
      <c r="H6" s="1606"/>
      <c r="I6" s="1613"/>
      <c r="J6" s="1613"/>
      <c r="K6" s="1606"/>
      <c r="L6" s="1606"/>
      <c r="M6" s="1613"/>
      <c r="N6" s="1613"/>
      <c r="O6" s="1613"/>
      <c r="P6" s="149"/>
      <c r="Q6" s="1257"/>
      <c r="R6" s="1613"/>
      <c r="S6" s="1613"/>
      <c r="T6" s="1613"/>
      <c r="U6" s="1613"/>
      <c r="V6" s="1613"/>
      <c r="W6" s="1613"/>
      <c r="X6" s="1613"/>
      <c r="Y6" s="1613"/>
      <c r="Z6" s="1613"/>
      <c r="AA6" s="1613"/>
      <c r="AB6" s="1613"/>
      <c r="AC6" s="1613"/>
      <c r="AD6" s="1613"/>
      <c r="AE6" s="1613"/>
      <c r="AF6" s="1613"/>
    </row>
    <row r="7" spans="1:38" ht="27" customHeight="1" x14ac:dyDescent="0.2">
      <c r="A7" s="1942" t="s">
        <v>54</v>
      </c>
      <c r="B7" s="1942"/>
      <c r="C7" s="1942"/>
      <c r="D7" s="1942"/>
      <c r="E7" s="1613"/>
      <c r="F7" s="1613"/>
      <c r="G7" s="1606"/>
      <c r="H7" s="1606"/>
      <c r="I7" s="1613"/>
      <c r="J7" s="1613"/>
      <c r="K7" s="1606"/>
      <c r="L7" s="1606"/>
      <c r="M7" s="1613"/>
      <c r="N7" s="1613"/>
      <c r="O7" s="1613"/>
      <c r="P7" s="149"/>
      <c r="Q7" s="1257"/>
      <c r="R7" s="1613"/>
      <c r="S7" s="1613"/>
      <c r="T7" s="1613"/>
      <c r="U7" s="1613"/>
      <c r="V7" s="1613"/>
      <c r="W7" s="1613"/>
      <c r="X7" s="1613"/>
      <c r="Y7" s="1613"/>
      <c r="Z7" s="1613"/>
      <c r="AA7" s="1613"/>
      <c r="AB7" s="1613"/>
      <c r="AC7" s="1613"/>
      <c r="AD7" s="1613"/>
      <c r="AE7" s="1613"/>
      <c r="AF7" s="1613"/>
    </row>
    <row r="8" spans="1:38" ht="27" customHeight="1" x14ac:dyDescent="0.2">
      <c r="A8" s="1977" t="s">
        <v>736</v>
      </c>
      <c r="B8" s="1977"/>
      <c r="C8" s="1977"/>
      <c r="D8" s="1977"/>
      <c r="E8" s="1613"/>
      <c r="F8" s="1613"/>
      <c r="G8" s="1606"/>
      <c r="H8" s="1606"/>
      <c r="I8" s="1613"/>
      <c r="J8" s="1613"/>
      <c r="K8" s="1606"/>
      <c r="L8" s="1606"/>
      <c r="M8" s="1613"/>
      <c r="N8" s="1613"/>
      <c r="O8" s="1613"/>
      <c r="P8" s="149"/>
      <c r="Q8" s="1257"/>
      <c r="R8" s="1613"/>
      <c r="S8" s="1613"/>
      <c r="T8" s="1613"/>
      <c r="U8" s="1613"/>
      <c r="V8" s="1613"/>
      <c r="W8" s="1613"/>
      <c r="X8" s="1613"/>
      <c r="Y8" s="1613"/>
      <c r="Z8" s="1613"/>
      <c r="AA8" s="1613"/>
      <c r="AB8" s="1613"/>
      <c r="AC8" s="1613"/>
      <c r="AD8" s="1613"/>
      <c r="AE8" s="1613"/>
      <c r="AF8" s="1613"/>
    </row>
    <row r="9" spans="1:38" ht="27" customHeight="1" x14ac:dyDescent="0.2">
      <c r="A9" s="1408" t="s">
        <v>737</v>
      </c>
      <c r="B9" s="1607"/>
      <c r="C9" s="1607"/>
      <c r="D9" s="1607"/>
      <c r="E9" s="1613"/>
      <c r="F9" s="1613"/>
      <c r="G9" s="1606"/>
      <c r="H9" s="1606"/>
      <c r="I9" s="1613"/>
      <c r="J9" s="1613"/>
      <c r="K9" s="1606"/>
      <c r="L9" s="1606"/>
      <c r="M9" s="1613"/>
      <c r="N9" s="1613"/>
      <c r="O9" s="1613"/>
      <c r="P9" s="149"/>
      <c r="Q9" s="1257"/>
      <c r="R9" s="1613"/>
      <c r="S9" s="1613"/>
      <c r="T9" s="1613"/>
      <c r="U9" s="1613"/>
      <c r="V9" s="1613"/>
      <c r="W9" s="1613"/>
      <c r="X9" s="1613"/>
      <c r="Y9" s="1613"/>
      <c r="Z9" s="1613"/>
      <c r="AA9" s="1613"/>
      <c r="AB9" s="1613"/>
      <c r="AC9" s="1613"/>
      <c r="AD9" s="1613"/>
      <c r="AE9" s="1613"/>
      <c r="AF9" s="1613"/>
    </row>
    <row r="10" spans="1:38" ht="27" customHeight="1" x14ac:dyDescent="0.2">
      <c r="A10" s="1976"/>
      <c r="B10" s="1976"/>
      <c r="C10" s="1976"/>
      <c r="D10" s="1976"/>
      <c r="E10" s="1608"/>
      <c r="F10" s="1613"/>
      <c r="G10" s="1606"/>
      <c r="H10" s="1606"/>
      <c r="I10" s="1613"/>
      <c r="J10" s="1613"/>
      <c r="K10" s="1606"/>
      <c r="L10" s="1606"/>
      <c r="M10" s="1613"/>
      <c r="N10" s="1613"/>
      <c r="O10" s="1613"/>
      <c r="P10" s="149"/>
      <c r="Q10" s="1257"/>
      <c r="R10" s="1613"/>
      <c r="S10" s="1613"/>
      <c r="T10" s="1613"/>
      <c r="U10" s="1613"/>
      <c r="V10" s="1613"/>
      <c r="W10" s="1613"/>
      <c r="X10" s="1613"/>
      <c r="Y10" s="1613"/>
      <c r="Z10" s="1613"/>
      <c r="AA10" s="1613"/>
      <c r="AB10" s="1613"/>
      <c r="AC10" s="1613"/>
      <c r="AD10" s="1613"/>
      <c r="AE10" s="1613"/>
      <c r="AF10" s="1613"/>
    </row>
    <row r="11" spans="1:38" ht="27" customHeight="1" x14ac:dyDescent="0.2">
      <c r="A11" s="1976" t="s">
        <v>740</v>
      </c>
      <c r="B11" s="1976"/>
      <c r="C11" s="1976"/>
      <c r="D11" s="1976"/>
      <c r="E11" s="1613"/>
      <c r="F11" s="1613"/>
      <c r="G11" s="1606"/>
      <c r="H11" s="1606"/>
      <c r="I11" s="1613"/>
      <c r="J11" s="1613"/>
      <c r="K11" s="1606"/>
      <c r="L11" s="1606"/>
      <c r="M11" s="1613"/>
      <c r="N11" s="1613"/>
      <c r="O11" s="1613"/>
      <c r="P11" s="149"/>
      <c r="Q11" s="1257"/>
      <c r="R11" s="1613"/>
      <c r="S11" s="1613"/>
      <c r="T11" s="1613"/>
      <c r="U11" s="1613"/>
      <c r="V11" s="1613"/>
      <c r="W11" s="1613"/>
      <c r="X11" s="1613"/>
      <c r="Y11" s="1613"/>
      <c r="Z11" s="1613"/>
      <c r="AA11" s="1613"/>
      <c r="AB11" s="1613"/>
      <c r="AC11" s="1613"/>
      <c r="AD11" s="1613"/>
      <c r="AE11" s="1613"/>
      <c r="AF11" s="1613"/>
    </row>
    <row r="12" spans="1:38" ht="27" customHeight="1" x14ac:dyDescent="0.2">
      <c r="A12" s="1609"/>
      <c r="B12" s="1609"/>
      <c r="C12" s="1609"/>
      <c r="D12" s="1609"/>
      <c r="E12" s="1613"/>
      <c r="F12" s="1613"/>
      <c r="G12" s="1606"/>
      <c r="H12" s="1606"/>
      <c r="I12" s="1613"/>
      <c r="J12" s="1613"/>
      <c r="K12" s="1606"/>
      <c r="L12" s="1606"/>
      <c r="M12" s="1613"/>
      <c r="N12" s="1613"/>
      <c r="O12" s="1613"/>
      <c r="P12" s="149"/>
      <c r="Q12" s="1257"/>
      <c r="R12" s="1613"/>
      <c r="S12" s="1613"/>
      <c r="T12" s="1613"/>
      <c r="U12" s="1613"/>
      <c r="V12" s="1613"/>
      <c r="W12" s="1613"/>
      <c r="X12" s="1613"/>
      <c r="Y12" s="1613"/>
      <c r="Z12" s="1613"/>
      <c r="AA12" s="1613"/>
      <c r="AB12" s="1613"/>
      <c r="AC12" s="1613"/>
      <c r="AD12" s="1613"/>
      <c r="AE12" s="1613"/>
      <c r="AF12" s="1613"/>
    </row>
    <row r="13" spans="1:38" ht="32.25" customHeight="1" x14ac:dyDescent="0.25">
      <c r="A13" s="1976"/>
      <c r="B13" s="1976"/>
      <c r="C13" s="1976"/>
      <c r="D13" s="1976"/>
      <c r="E13" s="1608"/>
      <c r="F13" s="1613"/>
      <c r="G13" s="1606"/>
      <c r="H13" s="1606"/>
      <c r="I13" s="140"/>
      <c r="J13" s="1613"/>
      <c r="K13" s="1606"/>
      <c r="L13" s="1606"/>
      <c r="M13" s="1613"/>
      <c r="N13" s="1613"/>
      <c r="O13" s="1613"/>
      <c r="P13" s="149"/>
      <c r="Q13" s="1257"/>
      <c r="R13" s="1613"/>
      <c r="S13" s="1613"/>
      <c r="T13" s="1613"/>
      <c r="U13" s="1613"/>
      <c r="V13" s="1613"/>
      <c r="W13" s="147"/>
      <c r="X13" s="1613"/>
      <c r="Y13" s="1613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06"/>
      <c r="C14" s="1606"/>
      <c r="D14" s="1606"/>
      <c r="E14" s="1613"/>
      <c r="F14" s="1613"/>
      <c r="G14" s="1606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613"/>
      <c r="Z14" s="148"/>
      <c r="AA14" s="148"/>
      <c r="AB14" s="148"/>
      <c r="AC14" s="148"/>
    </row>
    <row r="15" spans="1:38" ht="31.5" customHeight="1" thickBot="1" x14ac:dyDescent="0.25">
      <c r="B15" s="1606"/>
      <c r="C15" s="1606"/>
      <c r="D15" s="1606"/>
      <c r="E15" s="1613"/>
      <c r="F15" s="1613"/>
      <c r="G15" s="1606"/>
      <c r="H15" s="1606"/>
      <c r="I15" s="140"/>
      <c r="J15" s="1964" t="s">
        <v>788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613"/>
      <c r="Y15" s="1613"/>
      <c r="Z15" s="148"/>
      <c r="AA15" s="148"/>
      <c r="AB15" s="148"/>
      <c r="AC15" s="148"/>
      <c r="AD15" s="1613"/>
      <c r="AE15" s="1613"/>
      <c r="AF15" s="1613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614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614" t="s">
        <v>18</v>
      </c>
      <c r="AF17" s="1614" t="s">
        <v>20</v>
      </c>
      <c r="AG17" s="1967" t="s">
        <v>21</v>
      </c>
      <c r="AH17" s="1267">
        <v>45108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617" t="s">
        <v>3</v>
      </c>
      <c r="J18" s="1617" t="s">
        <v>7</v>
      </c>
      <c r="K18" s="1617" t="s">
        <v>30</v>
      </c>
      <c r="L18" s="1617" t="s">
        <v>29</v>
      </c>
      <c r="M18" s="1617" t="s">
        <v>31</v>
      </c>
      <c r="N18" s="1617" t="s">
        <v>32</v>
      </c>
      <c r="O18" s="1617" t="s">
        <v>12</v>
      </c>
      <c r="P18" s="1269" t="s">
        <v>673</v>
      </c>
      <c r="Q18" s="1270" t="s">
        <v>26</v>
      </c>
      <c r="R18" s="1617" t="s">
        <v>675</v>
      </c>
      <c r="S18" s="1617" t="s">
        <v>25</v>
      </c>
      <c r="T18" s="1617" t="s">
        <v>676</v>
      </c>
      <c r="U18" s="1968"/>
      <c r="V18" s="1968"/>
      <c r="W18" s="1987"/>
      <c r="X18" s="1410" t="s">
        <v>7</v>
      </c>
      <c r="Y18" s="1968"/>
      <c r="Z18" s="1617" t="s">
        <v>14</v>
      </c>
      <c r="AA18" s="1617" t="s">
        <v>679</v>
      </c>
      <c r="AB18" s="1617" t="s">
        <v>113</v>
      </c>
      <c r="AC18" s="1968"/>
      <c r="AD18" s="1968"/>
      <c r="AE18" s="1617" t="s">
        <v>19</v>
      </c>
      <c r="AF18" s="1617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17">
        <v>557.80999999999995</v>
      </c>
      <c r="J19" s="1448">
        <v>180</v>
      </c>
      <c r="K19" s="241"/>
      <c r="L19" s="1277">
        <v>261</v>
      </c>
      <c r="M19" s="241"/>
      <c r="N19" s="1278">
        <v>1.9</v>
      </c>
      <c r="O19" s="241"/>
      <c r="P19" s="1278">
        <f>AI19</f>
        <v>30.531715034942742</v>
      </c>
      <c r="Q19" s="1278">
        <f>LEFT(H19,(FIND("Е",H19,1)-1))*J19/100</f>
        <v>23.4</v>
      </c>
      <c r="R19" s="244">
        <v>1.6180000000000001</v>
      </c>
      <c r="S19" s="244">
        <v>7.4130000000000003</v>
      </c>
      <c r="T19" s="1277">
        <v>20</v>
      </c>
      <c r="U19" s="1278">
        <f t="shared" ref="U19:U37" si="0">IF(R19=0,0,T19/R19)</f>
        <v>12.360939431396785</v>
      </c>
      <c r="V19" s="1278">
        <f>(S19-R19)/S19*100</f>
        <v>78.173479023337379</v>
      </c>
      <c r="W19" s="1279">
        <v>0.2</v>
      </c>
      <c r="X19" s="1449">
        <v>180</v>
      </c>
      <c r="Y19" s="1277">
        <f>IF(S19=0,0,S19/Q19)*100</f>
        <v>31.679487179487182</v>
      </c>
      <c r="Z19" s="244">
        <f>R19*0.988</f>
        <v>1.598584</v>
      </c>
      <c r="AA19" s="244">
        <f>S19*0.988</f>
        <v>7.3240439999999998</v>
      </c>
      <c r="AB19" s="1277">
        <f>T19*0.988</f>
        <v>19.759999999999998</v>
      </c>
      <c r="AC19" s="244">
        <f>U19</f>
        <v>12.360939431396785</v>
      </c>
      <c r="AD19" s="1277">
        <f>V19</f>
        <v>78.173479023337379</v>
      </c>
      <c r="AE19" s="241">
        <f t="shared" ref="AE19:AE41" si="1">(DAY(EOMONTH($AH$17,0))-AH19)</f>
        <v>31</v>
      </c>
      <c r="AF19" s="244">
        <f t="shared" ref="AF19:AF63" si="2">Z19*AE19</f>
        <v>49.556103999999998</v>
      </c>
      <c r="AG19" s="1281"/>
      <c r="AI19" s="1282">
        <f t="shared" ref="AI19:AI82" si="3">(9.81*(AJ19*(100%-(V19/100))+AK19*(V19/100))*(I19-L19)+N19*101.325+9.81*(AL19)*L19)/101.325</f>
        <v>30.531715034942742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617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4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3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617">
        <v>528.5</v>
      </c>
      <c r="J21" s="241">
        <v>85</v>
      </c>
      <c r="K21" s="241"/>
      <c r="L21" s="1277">
        <v>437</v>
      </c>
      <c r="M21" s="241"/>
      <c r="N21" s="1278">
        <v>6.4</v>
      </c>
      <c r="O21" s="241"/>
      <c r="P21" s="1278">
        <f t="shared" ref="P21:P84" si="5">AI21</f>
        <v>14.874607715906052</v>
      </c>
      <c r="Q21" s="1278">
        <f>RIGHT(H21,(FIND("T",H21,1)-0))*J21/100</f>
        <v>17</v>
      </c>
      <c r="R21" s="244">
        <v>5.4459999999999997</v>
      </c>
      <c r="S21" s="244">
        <v>10.627000000000001</v>
      </c>
      <c r="T21" s="1277">
        <v>13</v>
      </c>
      <c r="U21" s="1278">
        <f t="shared" si="0"/>
        <v>2.387073081160485</v>
      </c>
      <c r="V21" s="1278">
        <f t="shared" ref="V21:V55" si="6">(S21-R21)/S21*100</f>
        <v>48.753175872776893</v>
      </c>
      <c r="W21" s="1279">
        <v>0.2</v>
      </c>
      <c r="X21" s="1316">
        <v>85</v>
      </c>
      <c r="Y21" s="1277">
        <f t="shared" si="4"/>
        <v>62.511764705882356</v>
      </c>
      <c r="Z21" s="244">
        <f t="shared" ref="Z21:AB35" si="7">R21*0.988</f>
        <v>5.3806479999999999</v>
      </c>
      <c r="AA21" s="244">
        <f t="shared" si="7"/>
        <v>10.499476000000001</v>
      </c>
      <c r="AB21" s="1277">
        <f t="shared" si="7"/>
        <v>12.843999999999999</v>
      </c>
      <c r="AC21" s="244">
        <f t="shared" ref="AC21:AD35" si="8">U21</f>
        <v>2.387073081160485</v>
      </c>
      <c r="AD21" s="1277">
        <f t="shared" si="8"/>
        <v>48.753175872776893</v>
      </c>
      <c r="AE21" s="241">
        <f t="shared" si="1"/>
        <v>31</v>
      </c>
      <c r="AF21" s="244">
        <f t="shared" si="2"/>
        <v>166.80008799999999</v>
      </c>
      <c r="AG21" s="1281"/>
      <c r="AI21" s="1282">
        <f t="shared" si="3"/>
        <v>14.874607715906052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20">
        <v>544.29999999999995</v>
      </c>
      <c r="J22" s="241">
        <v>195</v>
      </c>
      <c r="K22" s="241"/>
      <c r="L22" s="1277">
        <v>452</v>
      </c>
      <c r="M22" s="241"/>
      <c r="N22" s="1278">
        <v>5</v>
      </c>
      <c r="O22" s="241"/>
      <c r="P22" s="1278">
        <f t="shared" si="5"/>
        <v>13.557689894355324</v>
      </c>
      <c r="Q22" s="1278">
        <f t="shared" ref="Q22:Q27" si="9">RIGHT(H22,(FIND("T",H22,1)-0))*J22/100</f>
        <v>27.3</v>
      </c>
      <c r="R22" s="244">
        <v>8.9369999999999994</v>
      </c>
      <c r="S22" s="244">
        <v>16.908000000000001</v>
      </c>
      <c r="T22" s="1277">
        <v>209</v>
      </c>
      <c r="U22" s="1278">
        <f t="shared" si="0"/>
        <v>23.385923688038492</v>
      </c>
      <c r="V22" s="1278">
        <f t="shared" si="6"/>
        <v>47.143364088005683</v>
      </c>
      <c r="W22" s="1279">
        <v>0.23</v>
      </c>
      <c r="X22" s="1316">
        <v>195</v>
      </c>
      <c r="Y22" s="1277">
        <f t="shared" si="4"/>
        <v>61.934065934065941</v>
      </c>
      <c r="Z22" s="244">
        <f t="shared" si="7"/>
        <v>8.8297559999999997</v>
      </c>
      <c r="AA22" s="244">
        <f t="shared" si="7"/>
        <v>16.705104000000002</v>
      </c>
      <c r="AB22" s="1277">
        <f t="shared" si="7"/>
        <v>206.49199999999999</v>
      </c>
      <c r="AC22" s="244">
        <f t="shared" si="8"/>
        <v>23.385923688038492</v>
      </c>
      <c r="AD22" s="1277">
        <f t="shared" si="8"/>
        <v>47.143364088005683</v>
      </c>
      <c r="AE22" s="241">
        <f t="shared" si="1"/>
        <v>31</v>
      </c>
      <c r="AF22" s="244">
        <f t="shared" si="2"/>
        <v>273.72243600000002</v>
      </c>
      <c r="AG22" s="1281"/>
      <c r="AI22" s="1282">
        <f t="shared" si="3"/>
        <v>13.557689894355324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20">
        <v>548.32000000000005</v>
      </c>
      <c r="J23" s="241">
        <v>65</v>
      </c>
      <c r="K23" s="241"/>
      <c r="L23" s="1277">
        <v>345</v>
      </c>
      <c r="M23" s="241"/>
      <c r="N23" s="1278">
        <v>2.2999999999999998</v>
      </c>
      <c r="O23" s="241"/>
      <c r="P23" s="1278">
        <f t="shared" si="5"/>
        <v>20.451335778731377</v>
      </c>
      <c r="Q23" s="1278">
        <f t="shared" si="9"/>
        <v>9.1</v>
      </c>
      <c r="R23" s="244">
        <v>6.2069999999999999</v>
      </c>
      <c r="S23" s="244">
        <v>6.9020000000000001</v>
      </c>
      <c r="T23" s="1277">
        <v>55</v>
      </c>
      <c r="U23" s="1278">
        <f t="shared" si="0"/>
        <v>8.8609634283873042</v>
      </c>
      <c r="V23" s="1278">
        <f t="shared" si="6"/>
        <v>10.069545059403076</v>
      </c>
      <c r="W23" s="1279">
        <v>0.2</v>
      </c>
      <c r="X23" s="1316">
        <v>70</v>
      </c>
      <c r="Y23" s="1277">
        <f t="shared" si="4"/>
        <v>75.846153846153854</v>
      </c>
      <c r="Z23" s="244">
        <f t="shared" si="7"/>
        <v>6.1325159999999999</v>
      </c>
      <c r="AA23" s="244">
        <f t="shared" si="7"/>
        <v>6.8191759999999997</v>
      </c>
      <c r="AB23" s="1277">
        <f t="shared" si="7"/>
        <v>54.339999999999996</v>
      </c>
      <c r="AC23" s="244">
        <f t="shared" si="8"/>
        <v>8.8609634283873042</v>
      </c>
      <c r="AD23" s="1277">
        <f t="shared" si="8"/>
        <v>10.069545059403076</v>
      </c>
      <c r="AE23" s="241">
        <v>28</v>
      </c>
      <c r="AF23" s="244">
        <f t="shared" si="2"/>
        <v>171.71044799999999</v>
      </c>
      <c r="AG23" s="1281" t="s">
        <v>783</v>
      </c>
      <c r="AI23" s="1282">
        <f t="shared" si="3"/>
        <v>20.451335778731377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20">
        <v>563.03</v>
      </c>
      <c r="J24" s="241">
        <v>135</v>
      </c>
      <c r="K24" s="241"/>
      <c r="L24" s="1277">
        <v>411</v>
      </c>
      <c r="M24" s="241"/>
      <c r="N24" s="1278">
        <v>0.8</v>
      </c>
      <c r="O24" s="241"/>
      <c r="P24" s="1278">
        <f t="shared" si="5"/>
        <v>14.808627609392063</v>
      </c>
      <c r="Q24" s="1278">
        <f t="shared" si="9"/>
        <v>18.899999999999999</v>
      </c>
      <c r="R24" s="244">
        <v>4.657</v>
      </c>
      <c r="S24" s="244">
        <v>5.8639999999999999</v>
      </c>
      <c r="T24" s="1277">
        <v>11</v>
      </c>
      <c r="U24" s="1278">
        <f t="shared" si="0"/>
        <v>2.3620356452651921</v>
      </c>
      <c r="V24" s="1278">
        <f t="shared" si="6"/>
        <v>20.583219645293312</v>
      </c>
      <c r="W24" s="1279">
        <v>0.2</v>
      </c>
      <c r="X24" s="1316">
        <v>135</v>
      </c>
      <c r="Y24" s="1277">
        <f t="shared" si="4"/>
        <v>31.026455026455029</v>
      </c>
      <c r="Z24" s="244">
        <f t="shared" si="7"/>
        <v>4.6011160000000002</v>
      </c>
      <c r="AA24" s="244">
        <f t="shared" si="7"/>
        <v>5.7936319999999997</v>
      </c>
      <c r="AB24" s="1277">
        <f t="shared" si="7"/>
        <v>10.868</v>
      </c>
      <c r="AC24" s="244">
        <f t="shared" si="8"/>
        <v>2.3620356452651921</v>
      </c>
      <c r="AD24" s="1277">
        <f t="shared" si="8"/>
        <v>20.583219645293312</v>
      </c>
      <c r="AE24" s="241">
        <f t="shared" si="1"/>
        <v>31</v>
      </c>
      <c r="AF24" s="244">
        <f t="shared" si="2"/>
        <v>142.63459600000002</v>
      </c>
      <c r="AG24" s="1281"/>
      <c r="AI24" s="1282">
        <f t="shared" si="3"/>
        <v>14.808627609392063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20">
        <v>548.85</v>
      </c>
      <c r="J25" s="241">
        <v>60</v>
      </c>
      <c r="K25" s="241"/>
      <c r="L25" s="1277">
        <v>430</v>
      </c>
      <c r="M25" s="241"/>
      <c r="N25" s="1278">
        <v>3.7</v>
      </c>
      <c r="O25" s="241"/>
      <c r="P25" s="1278">
        <f t="shared" si="5"/>
        <v>15.005041902037087</v>
      </c>
      <c r="Q25" s="1278">
        <f t="shared" si="9"/>
        <v>8.4</v>
      </c>
      <c r="R25" s="244">
        <v>3.153</v>
      </c>
      <c r="S25" s="244">
        <v>8.3170000000000002</v>
      </c>
      <c r="T25" s="1277">
        <v>19</v>
      </c>
      <c r="U25" s="1278">
        <f t="shared" si="0"/>
        <v>6.0260069774817637</v>
      </c>
      <c r="V25" s="1278">
        <f t="shared" si="6"/>
        <v>62.089695803775392</v>
      </c>
      <c r="W25" s="1279">
        <v>0.2</v>
      </c>
      <c r="X25" s="1316">
        <v>60</v>
      </c>
      <c r="Y25" s="1277">
        <f t="shared" si="4"/>
        <v>99.011904761904759</v>
      </c>
      <c r="Z25" s="244">
        <f t="shared" si="7"/>
        <v>3.115164</v>
      </c>
      <c r="AA25" s="244">
        <f t="shared" si="7"/>
        <v>8.2171959999999995</v>
      </c>
      <c r="AB25" s="1277">
        <f t="shared" si="7"/>
        <v>18.771999999999998</v>
      </c>
      <c r="AC25" s="244">
        <f t="shared" si="8"/>
        <v>6.0260069774817637</v>
      </c>
      <c r="AD25" s="1277">
        <f t="shared" si="8"/>
        <v>62.089695803775392</v>
      </c>
      <c r="AE25" s="241">
        <v>30</v>
      </c>
      <c r="AF25" s="244">
        <f t="shared" si="2"/>
        <v>93.454920000000001</v>
      </c>
      <c r="AG25" s="1281"/>
      <c r="AI25" s="1282">
        <f t="shared" si="3"/>
        <v>15.005041902037087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447</v>
      </c>
      <c r="M26" s="1302"/>
      <c r="N26" s="1278">
        <v>4.5999999999999996</v>
      </c>
      <c r="O26" s="1302"/>
      <c r="P26" s="1278">
        <f t="shared" si="5"/>
        <v>14.677881419589497</v>
      </c>
      <c r="Q26" s="1278">
        <f t="shared" si="9"/>
        <v>20</v>
      </c>
      <c r="R26" s="244">
        <v>4.3860000000000001</v>
      </c>
      <c r="S26" s="244">
        <v>14.103</v>
      </c>
      <c r="T26" s="1277">
        <v>26</v>
      </c>
      <c r="U26" s="1278">
        <f t="shared" si="0"/>
        <v>5.927952576379389</v>
      </c>
      <c r="V26" s="1278">
        <f t="shared" si="6"/>
        <v>68.900233992767497</v>
      </c>
      <c r="W26" s="1279">
        <v>0.2</v>
      </c>
      <c r="X26" s="1316">
        <v>100</v>
      </c>
      <c r="Y26" s="1277">
        <f t="shared" si="4"/>
        <v>70.515000000000001</v>
      </c>
      <c r="Z26" s="244">
        <f t="shared" si="7"/>
        <v>4.3333680000000001</v>
      </c>
      <c r="AA26" s="244">
        <f t="shared" si="7"/>
        <v>13.933764</v>
      </c>
      <c r="AB26" s="1277">
        <f t="shared" si="7"/>
        <v>25.687999999999999</v>
      </c>
      <c r="AC26" s="244">
        <f t="shared" si="8"/>
        <v>5.927952576379389</v>
      </c>
      <c r="AD26" s="1277">
        <f t="shared" si="8"/>
        <v>68.900233992767497</v>
      </c>
      <c r="AE26" s="241">
        <f t="shared" si="1"/>
        <v>31</v>
      </c>
      <c r="AF26" s="244">
        <f t="shared" si="2"/>
        <v>134.334408</v>
      </c>
      <c r="AG26" s="1281"/>
      <c r="AI26" s="1282">
        <f t="shared" si="3"/>
        <v>14.677881419589497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621">
        <v>569.48</v>
      </c>
      <c r="J27" s="241">
        <v>150</v>
      </c>
      <c r="K27" s="241"/>
      <c r="L27" s="1277">
        <v>447</v>
      </c>
      <c r="M27" s="241"/>
      <c r="N27" s="1278">
        <v>2.4</v>
      </c>
      <c r="O27" s="241"/>
      <c r="P27" s="1278">
        <f t="shared" si="5"/>
        <v>13.933445737104003</v>
      </c>
      <c r="Q27" s="1278">
        <f t="shared" si="9"/>
        <v>30</v>
      </c>
      <c r="R27" s="244">
        <v>7.7939999999999996</v>
      </c>
      <c r="S27" s="244">
        <v>17.803999999999998</v>
      </c>
      <c r="T27" s="1277">
        <v>50</v>
      </c>
      <c r="U27" s="1278">
        <f t="shared" si="0"/>
        <v>6.4151911726969466</v>
      </c>
      <c r="V27" s="1278">
        <f t="shared" si="6"/>
        <v>56.223320602111883</v>
      </c>
      <c r="W27" s="1279">
        <v>0.2</v>
      </c>
      <c r="X27" s="1316">
        <v>150</v>
      </c>
      <c r="Y27" s="1277">
        <f t="shared" si="4"/>
        <v>59.346666666666657</v>
      </c>
      <c r="Z27" s="244">
        <f t="shared" si="7"/>
        <v>7.7004719999999995</v>
      </c>
      <c r="AA27" s="244">
        <f t="shared" si="7"/>
        <v>17.590351999999999</v>
      </c>
      <c r="AB27" s="1277">
        <f t="shared" si="7"/>
        <v>49.4</v>
      </c>
      <c r="AC27" s="244">
        <f t="shared" si="8"/>
        <v>6.4151911726969466</v>
      </c>
      <c r="AD27" s="1277">
        <f t="shared" si="8"/>
        <v>56.223320602111883</v>
      </c>
      <c r="AE27" s="241">
        <f t="shared" si="1"/>
        <v>31</v>
      </c>
      <c r="AF27" s="244">
        <f t="shared" si="2"/>
        <v>238.71463199999999</v>
      </c>
      <c r="AG27" s="1281"/>
      <c r="AI27" s="1282">
        <f t="shared" si="3"/>
        <v>13.933445737104003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22">
        <v>566.99</v>
      </c>
      <c r="J28" s="1448">
        <v>85</v>
      </c>
      <c r="K28" s="241"/>
      <c r="L28" s="1277">
        <v>437</v>
      </c>
      <c r="M28" s="241"/>
      <c r="N28" s="1278">
        <v>4.0999999999999996</v>
      </c>
      <c r="O28" s="241"/>
      <c r="P28" s="1278">
        <f t="shared" si="5"/>
        <v>16.468764958140742</v>
      </c>
      <c r="Q28" s="1278">
        <f>J28*14/100</f>
        <v>11.9</v>
      </c>
      <c r="R28" s="244">
        <v>4.181</v>
      </c>
      <c r="S28" s="244">
        <v>9.9410000000000007</v>
      </c>
      <c r="T28" s="1277">
        <v>6.7</v>
      </c>
      <c r="U28" s="1278">
        <f t="shared" si="0"/>
        <v>1.6024874431954079</v>
      </c>
      <c r="V28" s="1278">
        <f t="shared" si="6"/>
        <v>57.941856956040638</v>
      </c>
      <c r="W28" s="1279">
        <v>0.2</v>
      </c>
      <c r="X28" s="1449">
        <v>85</v>
      </c>
      <c r="Y28" s="1277">
        <f t="shared" si="4"/>
        <v>83.537815126050418</v>
      </c>
      <c r="Z28" s="244">
        <f t="shared" si="7"/>
        <v>4.1308280000000002</v>
      </c>
      <c r="AA28" s="244">
        <f t="shared" si="7"/>
        <v>9.821708000000001</v>
      </c>
      <c r="AB28" s="1277">
        <f t="shared" si="7"/>
        <v>6.6196000000000002</v>
      </c>
      <c r="AC28" s="244">
        <f t="shared" si="8"/>
        <v>1.6024874431954079</v>
      </c>
      <c r="AD28" s="1277">
        <f t="shared" si="8"/>
        <v>57.941856956040638</v>
      </c>
      <c r="AE28" s="241">
        <v>15</v>
      </c>
      <c r="AF28" s="244">
        <f t="shared" si="2"/>
        <v>61.962420000000002</v>
      </c>
      <c r="AG28" s="1285" t="s">
        <v>777</v>
      </c>
      <c r="AI28" s="1282">
        <f t="shared" si="3"/>
        <v>16.468764958140742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22">
        <v>593.29</v>
      </c>
      <c r="J29" s="241">
        <v>280</v>
      </c>
      <c r="K29" s="241"/>
      <c r="L29" s="1277">
        <v>450</v>
      </c>
      <c r="M29" s="241"/>
      <c r="N29" s="1278">
        <v>4.5</v>
      </c>
      <c r="O29" s="241"/>
      <c r="P29" s="1278">
        <f t="shared" si="5"/>
        <v>18.309081423232666</v>
      </c>
      <c r="Q29" s="1278">
        <f>(15/100)*J29</f>
        <v>42</v>
      </c>
      <c r="R29" s="244">
        <v>2.1579999999999999</v>
      </c>
      <c r="S29" s="244">
        <v>5.1669999999999998</v>
      </c>
      <c r="T29" s="1277">
        <v>40.6</v>
      </c>
      <c r="U29" s="1278">
        <f t="shared" si="0"/>
        <v>18.813716404077852</v>
      </c>
      <c r="V29" s="1278">
        <f t="shared" si="6"/>
        <v>58.234952583704278</v>
      </c>
      <c r="W29" s="1279">
        <v>0.27</v>
      </c>
      <c r="X29" s="1316">
        <v>280</v>
      </c>
      <c r="Y29" s="1277">
        <f t="shared" si="4"/>
        <v>12.302380952380952</v>
      </c>
      <c r="Z29" s="244">
        <f t="shared" si="7"/>
        <v>2.132104</v>
      </c>
      <c r="AA29" s="244">
        <f t="shared" si="7"/>
        <v>5.1049959999999999</v>
      </c>
      <c r="AB29" s="1277">
        <f t="shared" si="7"/>
        <v>40.1128</v>
      </c>
      <c r="AC29" s="244">
        <f t="shared" si="8"/>
        <v>18.813716404077852</v>
      </c>
      <c r="AD29" s="1277">
        <f t="shared" si="8"/>
        <v>58.234952583704278</v>
      </c>
      <c r="AE29" s="241">
        <v>15</v>
      </c>
      <c r="AF29" s="244">
        <f t="shared" si="2"/>
        <v>31.981560000000002</v>
      </c>
      <c r="AG29" s="1285" t="s">
        <v>777</v>
      </c>
      <c r="AI29" s="1282">
        <f t="shared" si="3"/>
        <v>18.309081423232666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22" t="s">
        <v>298</v>
      </c>
      <c r="F30" s="241">
        <v>177.8</v>
      </c>
      <c r="G30" s="241" t="s">
        <v>28</v>
      </c>
      <c r="H30" s="1299" t="s">
        <v>687</v>
      </c>
      <c r="I30" s="1622">
        <v>558.21</v>
      </c>
      <c r="J30" s="1448">
        <v>85</v>
      </c>
      <c r="K30" s="241"/>
      <c r="L30" s="1277">
        <v>249</v>
      </c>
      <c r="M30" s="241"/>
      <c r="N30" s="1278">
        <v>0.6</v>
      </c>
      <c r="O30" s="241"/>
      <c r="P30" s="1278">
        <f t="shared" si="5"/>
        <v>30.579559943074464</v>
      </c>
      <c r="Q30" s="1278">
        <f>20*J30/100</f>
        <v>17</v>
      </c>
      <c r="R30" s="244">
        <v>2.1779999999999999</v>
      </c>
      <c r="S30" s="244">
        <v>15.513999999999999</v>
      </c>
      <c r="T30" s="1277">
        <v>18</v>
      </c>
      <c r="U30" s="1278">
        <f t="shared" si="0"/>
        <v>8.2644628099173563</v>
      </c>
      <c r="V30" s="1278">
        <f t="shared" si="6"/>
        <v>85.961067422972789</v>
      </c>
      <c r="W30" s="1279">
        <v>0.3</v>
      </c>
      <c r="X30" s="1449">
        <v>85</v>
      </c>
      <c r="Y30" s="1277">
        <f t="shared" si="4"/>
        <v>91.258823529411757</v>
      </c>
      <c r="Z30" s="244">
        <f t="shared" si="7"/>
        <v>2.1518639999999998</v>
      </c>
      <c r="AA30" s="244">
        <f t="shared" si="7"/>
        <v>15.327831999999999</v>
      </c>
      <c r="AB30" s="1277">
        <f t="shared" si="7"/>
        <v>17.783999999999999</v>
      </c>
      <c r="AC30" s="244">
        <f t="shared" si="8"/>
        <v>8.2644628099173563</v>
      </c>
      <c r="AD30" s="1277">
        <f t="shared" si="8"/>
        <v>85.961067422972789</v>
      </c>
      <c r="AE30" s="241">
        <v>30</v>
      </c>
      <c r="AF30" s="244">
        <f>Z30*AE30</f>
        <v>64.555919999999986</v>
      </c>
      <c r="AG30" s="1285"/>
      <c r="AI30" s="1282">
        <f t="shared" si="3"/>
        <v>30.579559943074464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22" t="s">
        <v>79</v>
      </c>
      <c r="F31" s="241">
        <v>177.8</v>
      </c>
      <c r="G31" s="241" t="s">
        <v>28</v>
      </c>
      <c r="H31" s="1299" t="s">
        <v>565</v>
      </c>
      <c r="I31" s="1622">
        <v>526.29</v>
      </c>
      <c r="J31" s="1448">
        <v>290</v>
      </c>
      <c r="K31" s="241"/>
      <c r="L31" s="1277">
        <v>247</v>
      </c>
      <c r="M31" s="241"/>
      <c r="N31" s="1278">
        <v>2.7</v>
      </c>
      <c r="O31" s="241"/>
      <c r="P31" s="1278">
        <f t="shared" si="5"/>
        <v>29.752917758624861</v>
      </c>
      <c r="Q31" s="1278">
        <f>LEFT(H31,(FIND("E",H31,1)-1))*J31/100</f>
        <v>92.8</v>
      </c>
      <c r="R31" s="244">
        <v>10.343</v>
      </c>
      <c r="S31" s="244">
        <v>55.188000000000002</v>
      </c>
      <c r="T31" s="1277">
        <v>465</v>
      </c>
      <c r="U31" s="1278">
        <f t="shared" si="0"/>
        <v>44.957942569854005</v>
      </c>
      <c r="V31" s="1278">
        <f t="shared" si="6"/>
        <v>81.258606943538453</v>
      </c>
      <c r="W31" s="1279">
        <v>0.2</v>
      </c>
      <c r="X31" s="1449">
        <v>290</v>
      </c>
      <c r="Y31" s="1277">
        <f t="shared" si="4"/>
        <v>59.469827586206904</v>
      </c>
      <c r="Z31" s="244">
        <f t="shared" si="7"/>
        <v>10.218883999999999</v>
      </c>
      <c r="AA31" s="244">
        <f t="shared" si="7"/>
        <v>54.525744000000003</v>
      </c>
      <c r="AB31" s="1277">
        <f t="shared" si="7"/>
        <v>459.42</v>
      </c>
      <c r="AC31" s="244">
        <f t="shared" si="8"/>
        <v>44.957942569854005</v>
      </c>
      <c r="AD31" s="1277">
        <f t="shared" si="8"/>
        <v>81.258606943538453</v>
      </c>
      <c r="AE31" s="241">
        <f t="shared" si="1"/>
        <v>31</v>
      </c>
      <c r="AF31" s="244">
        <f>Z31*AE31</f>
        <v>316.78540399999997</v>
      </c>
      <c r="AG31" s="1281"/>
      <c r="AI31" s="1282">
        <f t="shared" si="3"/>
        <v>29.752917758624861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22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440</v>
      </c>
      <c r="M32" s="241"/>
      <c r="N32" s="1278">
        <v>4.9000000000000004</v>
      </c>
      <c r="O32" s="241"/>
      <c r="P32" s="1278">
        <f t="shared" si="5"/>
        <v>12.342242730255039</v>
      </c>
      <c r="Q32" s="1278">
        <f>RIGHT(H32,(FIND("T",H32,1)-0))*J32/100</f>
        <v>56</v>
      </c>
      <c r="R32" s="244">
        <v>11.691000000000001</v>
      </c>
      <c r="S32" s="244">
        <v>27.231000000000002</v>
      </c>
      <c r="T32" s="1277">
        <v>547.5</v>
      </c>
      <c r="U32" s="1278">
        <f t="shared" si="0"/>
        <v>46.830895560687708</v>
      </c>
      <c r="V32" s="1278">
        <f t="shared" si="6"/>
        <v>57.067312988872978</v>
      </c>
      <c r="W32" s="1279">
        <v>0.2</v>
      </c>
      <c r="X32" s="1316">
        <v>280</v>
      </c>
      <c r="Y32" s="1277">
        <f t="shared" si="4"/>
        <v>48.626785714285717</v>
      </c>
      <c r="Z32" s="244">
        <f t="shared" si="7"/>
        <v>11.550708</v>
      </c>
      <c r="AA32" s="244">
        <f t="shared" si="7"/>
        <v>26.904228</v>
      </c>
      <c r="AB32" s="1277">
        <f t="shared" si="7"/>
        <v>540.92999999999995</v>
      </c>
      <c r="AC32" s="244">
        <f t="shared" si="8"/>
        <v>46.830895560687708</v>
      </c>
      <c r="AD32" s="1277">
        <f t="shared" si="8"/>
        <v>57.067312988872978</v>
      </c>
      <c r="AE32" s="241">
        <f t="shared" si="1"/>
        <v>31</v>
      </c>
      <c r="AF32" s="244">
        <f t="shared" si="2"/>
        <v>358.07194800000002</v>
      </c>
      <c r="AG32" s="1281"/>
      <c r="AI32" s="1282">
        <f t="shared" si="3"/>
        <v>12.342242730255039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22">
        <v>569.99</v>
      </c>
      <c r="J33" s="1448">
        <v>220</v>
      </c>
      <c r="K33" s="241"/>
      <c r="L33" s="1277">
        <v>433</v>
      </c>
      <c r="M33" s="241"/>
      <c r="N33" s="1278">
        <v>3.5</v>
      </c>
      <c r="O33" s="241"/>
      <c r="P33" s="1278">
        <f t="shared" si="5"/>
        <v>16.610534705412054</v>
      </c>
      <c r="Q33" s="1278">
        <f>LEFT(H33,(FIND("K",H33,1)-1))*J33/100</f>
        <v>28.6</v>
      </c>
      <c r="R33" s="244">
        <v>6.7910000000000004</v>
      </c>
      <c r="S33" s="244">
        <v>18.803000000000001</v>
      </c>
      <c r="T33" s="1277">
        <v>70</v>
      </c>
      <c r="U33" s="1278">
        <f t="shared" si="0"/>
        <v>10.30776027094684</v>
      </c>
      <c r="V33" s="1278">
        <f t="shared" si="6"/>
        <v>63.883422858054558</v>
      </c>
      <c r="W33" s="1279">
        <v>0.2</v>
      </c>
      <c r="X33" s="1449">
        <v>220</v>
      </c>
      <c r="Y33" s="1277">
        <f t="shared" si="4"/>
        <v>65.744755244755254</v>
      </c>
      <c r="Z33" s="244">
        <f t="shared" si="7"/>
        <v>6.7095080000000005</v>
      </c>
      <c r="AA33" s="244">
        <f t="shared" si="7"/>
        <v>18.577363999999999</v>
      </c>
      <c r="AB33" s="1277">
        <f t="shared" si="7"/>
        <v>69.16</v>
      </c>
      <c r="AC33" s="244">
        <f t="shared" si="8"/>
        <v>10.30776027094684</v>
      </c>
      <c r="AD33" s="1277">
        <f t="shared" si="8"/>
        <v>63.883422858054558</v>
      </c>
      <c r="AE33" s="241">
        <f t="shared" si="1"/>
        <v>31</v>
      </c>
      <c r="AF33" s="244">
        <f>Z33*AE33</f>
        <v>207.99474800000002</v>
      </c>
      <c r="AG33" s="1285"/>
      <c r="AI33" s="1282">
        <f t="shared" si="3"/>
        <v>16.610534705412054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5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6"/>
        <v>#DIV/0!</v>
      </c>
      <c r="W34" s="1308">
        <v>0</v>
      </c>
      <c r="X34" s="238">
        <v>0</v>
      </c>
      <c r="Y34" s="1277">
        <f t="shared" si="4"/>
        <v>0</v>
      </c>
      <c r="Z34" s="244">
        <v>0</v>
      </c>
      <c r="AA34" s="244">
        <v>0</v>
      </c>
      <c r="AB34" s="1277">
        <f t="shared" si="7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3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75</v>
      </c>
      <c r="K35" s="241"/>
      <c r="L35" s="1277">
        <v>399</v>
      </c>
      <c r="M35" s="241"/>
      <c r="N35" s="1278">
        <v>3.1</v>
      </c>
      <c r="O35" s="241"/>
      <c r="P35" s="1278">
        <f t="shared" si="5"/>
        <v>18.427967982016757</v>
      </c>
      <c r="Q35" s="1278">
        <f>20*J35/100</f>
        <v>15</v>
      </c>
      <c r="R35" s="244">
        <v>2.8679999999999999</v>
      </c>
      <c r="S35" s="244">
        <v>6.2939999999999996</v>
      </c>
      <c r="T35" s="1277">
        <v>36.5</v>
      </c>
      <c r="U35" s="1278">
        <f t="shared" si="0"/>
        <v>12.726638772663877</v>
      </c>
      <c r="V35" s="1278">
        <f t="shared" si="6"/>
        <v>54.432793136320299</v>
      </c>
      <c r="W35" s="1279">
        <v>0.2</v>
      </c>
      <c r="X35" s="1316">
        <v>75</v>
      </c>
      <c r="Y35" s="1277">
        <f t="shared" si="4"/>
        <v>41.959999999999994</v>
      </c>
      <c r="Z35" s="244">
        <f t="shared" si="7"/>
        <v>2.8335839999999997</v>
      </c>
      <c r="AA35" s="244">
        <f t="shared" si="7"/>
        <v>6.2184719999999993</v>
      </c>
      <c r="AB35" s="1277">
        <f t="shared" si="7"/>
        <v>36.061999999999998</v>
      </c>
      <c r="AC35" s="1307">
        <f t="shared" si="8"/>
        <v>12.726638772663877</v>
      </c>
      <c r="AD35" s="1305">
        <f t="shared" si="8"/>
        <v>54.432793136320299</v>
      </c>
      <c r="AE35" s="241">
        <f t="shared" si="1"/>
        <v>31</v>
      </c>
      <c r="AF35" s="1307">
        <f>Z35*AE35</f>
        <v>87.841103999999987</v>
      </c>
      <c r="AG35" s="1285"/>
      <c r="AI35" s="1282">
        <f t="shared" si="3"/>
        <v>18.427967982016757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22">
        <v>564.05999999999995</v>
      </c>
      <c r="J36" s="241">
        <v>150</v>
      </c>
      <c r="K36" s="241"/>
      <c r="L36" s="1277">
        <v>415</v>
      </c>
      <c r="M36" s="241"/>
      <c r="N36" s="1278">
        <v>0.1</v>
      </c>
      <c r="O36" s="241"/>
      <c r="P36" s="1278">
        <f t="shared" si="5"/>
        <v>14.302724651831387</v>
      </c>
      <c r="Q36" s="1278">
        <f>LEFT(H36,(FIND("E",H36,1)-1))*J36/100</f>
        <v>19.5</v>
      </c>
      <c r="R36" s="244">
        <v>3.3039999999999998</v>
      </c>
      <c r="S36" s="244">
        <v>8.9749999999999996</v>
      </c>
      <c r="T36" s="1277">
        <v>16.655000000000001</v>
      </c>
      <c r="U36" s="1278">
        <f t="shared" si="0"/>
        <v>5.0408595641646494</v>
      </c>
      <c r="V36" s="1278">
        <f t="shared" si="6"/>
        <v>63.18662952646239</v>
      </c>
      <c r="W36" s="1279">
        <v>0</v>
      </c>
      <c r="X36" s="1316">
        <v>150</v>
      </c>
      <c r="Y36" s="1277">
        <f t="shared" si="4"/>
        <v>46.025641025641022</v>
      </c>
      <c r="Z36" s="244">
        <v>3.2149999999999999</v>
      </c>
      <c r="AA36" s="244">
        <v>9.2829999999999995</v>
      </c>
      <c r="AB36" s="1277">
        <v>17</v>
      </c>
      <c r="AC36" s="244">
        <f>AB36/Z36</f>
        <v>5.2877138413685847</v>
      </c>
      <c r="AD36" s="1278">
        <f t="shared" ref="AD36" si="10">(AA36-Z36)/AA36*100</f>
        <v>65.366799526015299</v>
      </c>
      <c r="AE36" s="241">
        <f t="shared" si="1"/>
        <v>31</v>
      </c>
      <c r="AF36" s="244">
        <f t="shared" si="2"/>
        <v>99.664999999999992</v>
      </c>
      <c r="AG36" s="1281"/>
      <c r="AI36" s="1282">
        <f t="shared" si="3"/>
        <v>14.302724651831387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22">
        <v>551</v>
      </c>
      <c r="J37" s="1448">
        <v>165</v>
      </c>
      <c r="K37" s="241"/>
      <c r="L37" s="1277">
        <v>456</v>
      </c>
      <c r="M37" s="241"/>
      <c r="N37" s="1278">
        <v>2.5</v>
      </c>
      <c r="O37" s="241"/>
      <c r="P37" s="1278">
        <f t="shared" si="5"/>
        <v>11.26301392477586</v>
      </c>
      <c r="Q37" s="1278">
        <f>14*J37/100</f>
        <v>23.1</v>
      </c>
      <c r="R37" s="244">
        <v>5.8650000000000002</v>
      </c>
      <c r="S37" s="244">
        <v>10.792</v>
      </c>
      <c r="T37" s="1277">
        <v>64</v>
      </c>
      <c r="U37" s="1278">
        <f t="shared" si="0"/>
        <v>10.912190963341859</v>
      </c>
      <c r="V37" s="1278">
        <f t="shared" si="6"/>
        <v>45.654188287620457</v>
      </c>
      <c r="W37" s="1279">
        <v>0.2</v>
      </c>
      <c r="X37" s="1449">
        <v>165</v>
      </c>
      <c r="Y37" s="1277">
        <f t="shared" si="4"/>
        <v>46.718614718614717</v>
      </c>
      <c r="Z37" s="244">
        <f t="shared" ref="Z37:AB43" si="11">R37*0.988</f>
        <v>5.7946200000000001</v>
      </c>
      <c r="AA37" s="244">
        <f t="shared" si="11"/>
        <v>10.662495999999999</v>
      </c>
      <c r="AB37" s="1277">
        <f t="shared" si="11"/>
        <v>63.231999999999999</v>
      </c>
      <c r="AC37" s="244">
        <f t="shared" ref="AC37:AD38" si="12">U37</f>
        <v>10.912190963341859</v>
      </c>
      <c r="AD37" s="1305">
        <f t="shared" si="12"/>
        <v>45.654188287620457</v>
      </c>
      <c r="AE37" s="241">
        <f t="shared" si="1"/>
        <v>31</v>
      </c>
      <c r="AF37" s="244">
        <f t="shared" si="2"/>
        <v>179.63321999999999</v>
      </c>
      <c r="AG37" s="1450"/>
      <c r="AI37" s="1282">
        <f t="shared" si="3"/>
        <v>11.26301392477586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622">
        <v>565.36</v>
      </c>
      <c r="J38" s="241">
        <v>85</v>
      </c>
      <c r="K38" s="241"/>
      <c r="L38" s="1277">
        <v>256</v>
      </c>
      <c r="M38" s="241"/>
      <c r="N38" s="1278">
        <v>0.5</v>
      </c>
      <c r="O38" s="241"/>
      <c r="P38" s="1278">
        <f t="shared" si="5"/>
        <v>30.329359423602845</v>
      </c>
      <c r="Q38" s="1278">
        <f>13*J38/100</f>
        <v>11.05</v>
      </c>
      <c r="R38" s="244">
        <v>1.2270000000000001</v>
      </c>
      <c r="S38" s="244">
        <v>6.6059999999999999</v>
      </c>
      <c r="T38" s="1277">
        <v>12</v>
      </c>
      <c r="U38" s="1278">
        <f>IF(R38=0,0,T38/R38)</f>
        <v>9.7799511002444977</v>
      </c>
      <c r="V38" s="1278">
        <f t="shared" si="6"/>
        <v>81.425976385104448</v>
      </c>
      <c r="W38" s="1279">
        <v>0.2</v>
      </c>
      <c r="X38" s="1316">
        <v>85</v>
      </c>
      <c r="Y38" s="1277">
        <f t="shared" si="4"/>
        <v>59.782805429864247</v>
      </c>
      <c r="Z38" s="244">
        <f t="shared" si="11"/>
        <v>1.2122760000000001</v>
      </c>
      <c r="AA38" s="244">
        <f t="shared" si="11"/>
        <v>6.5267279999999994</v>
      </c>
      <c r="AB38" s="1277">
        <f t="shared" si="11"/>
        <v>11.856</v>
      </c>
      <c r="AC38" s="244">
        <f t="shared" si="12"/>
        <v>9.7799511002444977</v>
      </c>
      <c r="AD38" s="1305">
        <f t="shared" si="12"/>
        <v>81.425976385104448</v>
      </c>
      <c r="AE38" s="241">
        <f t="shared" si="1"/>
        <v>31</v>
      </c>
      <c r="AF38" s="244">
        <f>Z38*AE38</f>
        <v>37.580556000000001</v>
      </c>
      <c r="AG38" s="1281"/>
      <c r="AI38" s="1282">
        <f t="shared" si="3"/>
        <v>30.329359423602845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22">
        <v>535.91</v>
      </c>
      <c r="J39" s="1448">
        <v>300</v>
      </c>
      <c r="K39" s="241"/>
      <c r="L39" s="1277">
        <v>447</v>
      </c>
      <c r="M39" s="241"/>
      <c r="N39" s="1278">
        <v>2.6</v>
      </c>
      <c r="O39" s="241"/>
      <c r="P39" s="1278">
        <f t="shared" si="5"/>
        <v>10.699186409546531</v>
      </c>
      <c r="Q39" s="1278">
        <f>(20/100)*J39</f>
        <v>60</v>
      </c>
      <c r="R39" s="244">
        <v>9.1479999999999997</v>
      </c>
      <c r="S39" s="244">
        <v>14.209</v>
      </c>
      <c r="T39" s="1277">
        <v>286</v>
      </c>
      <c r="U39" s="1278">
        <f t="shared" ref="U39:U86" si="13">IF(R39=0,0,T39/R39)</f>
        <v>31.263664188893749</v>
      </c>
      <c r="V39" s="1278">
        <f t="shared" si="6"/>
        <v>35.618270110493349</v>
      </c>
      <c r="W39" s="1279">
        <v>0.2</v>
      </c>
      <c r="X39" s="1449">
        <v>300</v>
      </c>
      <c r="Y39" s="1277">
        <f t="shared" si="4"/>
        <v>23.681666666666665</v>
      </c>
      <c r="Z39" s="244">
        <f t="shared" si="11"/>
        <v>9.0382239999999996</v>
      </c>
      <c r="AA39" s="244">
        <f t="shared" si="11"/>
        <v>14.038492</v>
      </c>
      <c r="AB39" s="1277">
        <f t="shared" si="11"/>
        <v>282.56799999999998</v>
      </c>
      <c r="AC39" s="244">
        <v>89.536086956521729</v>
      </c>
      <c r="AD39" s="1305">
        <f>V39</f>
        <v>35.618270110493349</v>
      </c>
      <c r="AE39" s="241">
        <f t="shared" si="1"/>
        <v>31</v>
      </c>
      <c r="AF39" s="244">
        <f t="shared" si="2"/>
        <v>280.18494399999997</v>
      </c>
      <c r="AG39" s="1314"/>
      <c r="AI39" s="1282">
        <f t="shared" si="3"/>
        <v>10.699186409546531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22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3"/>
        <v>0</v>
      </c>
      <c r="V40" s="1278" t="e">
        <f t="shared" si="6"/>
        <v>#DIV/0!</v>
      </c>
      <c r="W40" s="1279">
        <v>0</v>
      </c>
      <c r="X40" s="1449">
        <v>0</v>
      </c>
      <c r="Y40" s="1277">
        <f t="shared" si="4"/>
        <v>0</v>
      </c>
      <c r="Z40" s="244">
        <f t="shared" si="11"/>
        <v>0</v>
      </c>
      <c r="AA40" s="244">
        <f t="shared" si="11"/>
        <v>0</v>
      </c>
      <c r="AB40" s="1277">
        <f t="shared" si="11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2"/>
        <v>0</v>
      </c>
      <c r="AG40" s="1281" t="s">
        <v>769</v>
      </c>
      <c r="AI40" s="1282" t="e">
        <f t="shared" si="3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563.63</v>
      </c>
      <c r="J41" s="241">
        <v>85</v>
      </c>
      <c r="K41" s="241"/>
      <c r="L41" s="1277">
        <v>398</v>
      </c>
      <c r="M41" s="241"/>
      <c r="N41" s="1278">
        <v>3.7</v>
      </c>
      <c r="O41" s="241"/>
      <c r="P41" s="1278">
        <f t="shared" si="5"/>
        <v>19.657500193970616</v>
      </c>
      <c r="Q41" s="1278">
        <f>14*J41/100</f>
        <v>11.9</v>
      </c>
      <c r="R41" s="244">
        <v>2</v>
      </c>
      <c r="S41" s="244">
        <v>9.6790000000000003</v>
      </c>
      <c r="T41" s="1277">
        <v>13.4</v>
      </c>
      <c r="U41" s="1278">
        <f t="shared" si="13"/>
        <v>6.7</v>
      </c>
      <c r="V41" s="1278">
        <f t="shared" si="6"/>
        <v>79.336708337638186</v>
      </c>
      <c r="W41" s="1279">
        <v>0.2</v>
      </c>
      <c r="X41" s="1316">
        <v>85</v>
      </c>
      <c r="Y41" s="1277">
        <f t="shared" si="4"/>
        <v>81.336134453781511</v>
      </c>
      <c r="Z41" s="244">
        <f t="shared" si="11"/>
        <v>1.976</v>
      </c>
      <c r="AA41" s="244">
        <f t="shared" si="11"/>
        <v>9.5628519999999995</v>
      </c>
      <c r="AB41" s="1277">
        <f t="shared" si="11"/>
        <v>13.2392</v>
      </c>
      <c r="AC41" s="244">
        <f>U41</f>
        <v>6.7</v>
      </c>
      <c r="AD41" s="1277">
        <f>V41</f>
        <v>79.336708337638186</v>
      </c>
      <c r="AE41" s="241">
        <f t="shared" si="1"/>
        <v>31</v>
      </c>
      <c r="AF41" s="244">
        <f t="shared" si="2"/>
        <v>61.256</v>
      </c>
      <c r="AG41" s="1285"/>
      <c r="AI41" s="1282">
        <f t="shared" si="3"/>
        <v>19.657500193970616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5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3"/>
        <v>0</v>
      </c>
      <c r="V42" s="1278" t="e">
        <f t="shared" si="6"/>
        <v>#DIV/0!</v>
      </c>
      <c r="W42" s="1279">
        <v>0</v>
      </c>
      <c r="X42" s="1316">
        <v>0</v>
      </c>
      <c r="Y42" s="1277">
        <f t="shared" si="4"/>
        <v>0</v>
      </c>
      <c r="Z42" s="244">
        <f t="shared" si="11"/>
        <v>0</v>
      </c>
      <c r="AA42" s="244">
        <f t="shared" si="11"/>
        <v>0</v>
      </c>
      <c r="AB42" s="1277">
        <f t="shared" si="11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2"/>
        <v>0</v>
      </c>
      <c r="AG42" s="1281" t="s">
        <v>769</v>
      </c>
      <c r="AI42" s="1282" t="e">
        <f t="shared" si="3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622">
        <v>554.16999999999996</v>
      </c>
      <c r="J43" s="1448">
        <v>125</v>
      </c>
      <c r="K43" s="241"/>
      <c r="L43" s="1277">
        <v>276</v>
      </c>
      <c r="M43" s="241"/>
      <c r="N43" s="1278">
        <v>4.3</v>
      </c>
      <c r="O43" s="241"/>
      <c r="P43" s="1278">
        <f t="shared" si="5"/>
        <v>31.175967608259956</v>
      </c>
      <c r="Q43" s="1278">
        <f>(32/100)*J43</f>
        <v>40</v>
      </c>
      <c r="R43" s="244">
        <v>7.3840000000000003</v>
      </c>
      <c r="S43" s="244">
        <v>34.183999999999997</v>
      </c>
      <c r="T43" s="1277">
        <v>99</v>
      </c>
      <c r="U43" s="1278">
        <f t="shared" si="13"/>
        <v>13.407367280606717</v>
      </c>
      <c r="V43" s="1278">
        <f t="shared" si="6"/>
        <v>78.399251111631173</v>
      </c>
      <c r="W43" s="1279">
        <v>0.2</v>
      </c>
      <c r="X43" s="1449">
        <v>125</v>
      </c>
      <c r="Y43" s="1277">
        <f t="shared" si="4"/>
        <v>85.46</v>
      </c>
      <c r="Z43" s="244">
        <f t="shared" si="11"/>
        <v>7.2953920000000005</v>
      </c>
      <c r="AA43" s="244">
        <f t="shared" si="11"/>
        <v>33.773792</v>
      </c>
      <c r="AB43" s="1277">
        <f t="shared" si="11"/>
        <v>97.811999999999998</v>
      </c>
      <c r="AC43" s="244">
        <f>U43</f>
        <v>13.407367280606717</v>
      </c>
      <c r="AD43" s="1277">
        <f>V43</f>
        <v>78.399251111631173</v>
      </c>
      <c r="AE43" s="241">
        <f>(DAY(EOMONTH($AH$17,0))-AH43)</f>
        <v>31</v>
      </c>
      <c r="AF43" s="244">
        <f t="shared" si="2"/>
        <v>226.15715200000002</v>
      </c>
      <c r="AG43" s="1477"/>
      <c r="AI43" s="1282">
        <f t="shared" si="3"/>
        <v>31.175967608259956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617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4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3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22">
        <v>544.70000000000005</v>
      </c>
      <c r="J45" s="241">
        <v>85</v>
      </c>
      <c r="K45" s="241"/>
      <c r="L45" s="1277">
        <v>135</v>
      </c>
      <c r="M45" s="241"/>
      <c r="N45" s="1278">
        <v>3.7</v>
      </c>
      <c r="O45" s="241"/>
      <c r="P45" s="1278">
        <f t="shared" si="5"/>
        <v>42.898054203846655</v>
      </c>
      <c r="Q45" s="1278">
        <f>J45*20/100</f>
        <v>17</v>
      </c>
      <c r="R45" s="244">
        <v>4.5979999999999999</v>
      </c>
      <c r="S45" s="244">
        <v>17.283000000000001</v>
      </c>
      <c r="T45" s="1277">
        <v>35.6</v>
      </c>
      <c r="U45" s="1278">
        <f t="shared" si="13"/>
        <v>7.7424967377120488</v>
      </c>
      <c r="V45" s="1278">
        <f t="shared" si="6"/>
        <v>73.39582248452237</v>
      </c>
      <c r="W45" s="1279">
        <v>0.2</v>
      </c>
      <c r="X45" s="1316">
        <v>85</v>
      </c>
      <c r="Y45" s="1277">
        <f t="shared" si="4"/>
        <v>101.66470588235295</v>
      </c>
      <c r="Z45" s="244">
        <f t="shared" ref="Z45:AB50" si="14">R45*0.988</f>
        <v>4.5428239999999995</v>
      </c>
      <c r="AA45" s="244">
        <f t="shared" si="14"/>
        <v>17.075604000000002</v>
      </c>
      <c r="AB45" s="1277">
        <f t="shared" si="14"/>
        <v>35.172800000000002</v>
      </c>
      <c r="AC45" s="244">
        <f t="shared" ref="AC45:AD51" si="15">U45</f>
        <v>7.7424967377120488</v>
      </c>
      <c r="AD45" s="1277">
        <f t="shared" si="15"/>
        <v>73.39582248452237</v>
      </c>
      <c r="AE45" s="241">
        <f t="shared" ref="AE45:AE85" si="16">(DAY(EOMONTH($AH$17,0))-AH45)</f>
        <v>31</v>
      </c>
      <c r="AF45" s="244">
        <f t="shared" si="2"/>
        <v>140.82754399999999</v>
      </c>
      <c r="AG45" s="1281"/>
      <c r="AI45" s="1282">
        <f t="shared" si="3"/>
        <v>42.898054203846655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22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22">
        <v>553.30999999999995</v>
      </c>
      <c r="J46" s="1622">
        <v>220</v>
      </c>
      <c r="K46" s="1622"/>
      <c r="L46" s="1319">
        <v>418</v>
      </c>
      <c r="M46" s="1622"/>
      <c r="N46" s="1278">
        <v>2.2000000000000002</v>
      </c>
      <c r="O46" s="1622"/>
      <c r="P46" s="1278">
        <f t="shared" si="5"/>
        <v>15.011937009670383</v>
      </c>
      <c r="Q46" s="1278">
        <f>J46*32/100</f>
        <v>70.400000000000006</v>
      </c>
      <c r="R46" s="244">
        <v>9.5139999999999993</v>
      </c>
      <c r="S46" s="244">
        <v>25.248000000000001</v>
      </c>
      <c r="T46" s="1319">
        <v>222</v>
      </c>
      <c r="U46" s="1278">
        <f t="shared" si="13"/>
        <v>23.334034055076732</v>
      </c>
      <c r="V46" s="1278">
        <f t="shared" si="6"/>
        <v>62.317807351077313</v>
      </c>
      <c r="W46" s="1279">
        <v>0.2</v>
      </c>
      <c r="X46" s="1410">
        <v>220</v>
      </c>
      <c r="Y46" s="1277">
        <f t="shared" si="4"/>
        <v>35.863636363636367</v>
      </c>
      <c r="Z46" s="244">
        <f t="shared" si="14"/>
        <v>9.399832</v>
      </c>
      <c r="AA46" s="244">
        <f t="shared" si="14"/>
        <v>24.945024</v>
      </c>
      <c r="AB46" s="1277">
        <f t="shared" si="14"/>
        <v>219.33599999999998</v>
      </c>
      <c r="AC46" s="244">
        <f t="shared" si="15"/>
        <v>23.334034055076732</v>
      </c>
      <c r="AD46" s="1277">
        <f t="shared" si="15"/>
        <v>62.317807351077313</v>
      </c>
      <c r="AE46" s="241">
        <f t="shared" si="16"/>
        <v>31</v>
      </c>
      <c r="AF46" s="244">
        <f t="shared" si="2"/>
        <v>291.394792</v>
      </c>
      <c r="AG46" s="1285"/>
      <c r="AI46" s="1282">
        <f t="shared" si="3"/>
        <v>15.011937009670383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22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22">
        <v>550.59</v>
      </c>
      <c r="J47" s="1373">
        <v>65</v>
      </c>
      <c r="K47" s="1622"/>
      <c r="L47" s="1277">
        <v>396</v>
      </c>
      <c r="M47" s="1622"/>
      <c r="N47" s="1278">
        <v>0.4</v>
      </c>
      <c r="O47" s="1622"/>
      <c r="P47" s="1278">
        <f t="shared" si="5"/>
        <v>14.848723528282395</v>
      </c>
      <c r="Q47" s="1278">
        <f>RIGHT(H47,(FIND("T",H47,1)-0))*J47/100</f>
        <v>9.1</v>
      </c>
      <c r="R47" s="244">
        <v>0.91700000000000004</v>
      </c>
      <c r="S47" s="244">
        <v>1.7689999999999999</v>
      </c>
      <c r="T47" s="1319">
        <v>6.8</v>
      </c>
      <c r="U47" s="1278">
        <f t="shared" si="13"/>
        <v>7.4154852780806975</v>
      </c>
      <c r="V47" s="1278">
        <f t="shared" si="6"/>
        <v>48.162803843979646</v>
      </c>
      <c r="W47" s="1279">
        <v>0.2</v>
      </c>
      <c r="X47" s="1452">
        <v>65</v>
      </c>
      <c r="Y47" s="1277">
        <f t="shared" si="4"/>
        <v>19.439560439560438</v>
      </c>
      <c r="Z47" s="244">
        <f t="shared" si="14"/>
        <v>0.90599600000000002</v>
      </c>
      <c r="AA47" s="244">
        <f t="shared" si="14"/>
        <v>1.7477719999999999</v>
      </c>
      <c r="AB47" s="1277">
        <f t="shared" si="14"/>
        <v>6.7183999999999999</v>
      </c>
      <c r="AC47" s="244">
        <f t="shared" si="15"/>
        <v>7.4154852780806975</v>
      </c>
      <c r="AD47" s="1277">
        <f t="shared" si="15"/>
        <v>48.162803843979646</v>
      </c>
      <c r="AE47" s="241">
        <f t="shared" si="16"/>
        <v>31</v>
      </c>
      <c r="AF47" s="244">
        <f t="shared" si="2"/>
        <v>28.085875999999999</v>
      </c>
      <c r="AG47" s="1285"/>
      <c r="AI47" s="1282">
        <f t="shared" si="3"/>
        <v>14.848723528282395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22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22">
        <v>548.82000000000005</v>
      </c>
      <c r="J48" s="1622">
        <v>85</v>
      </c>
      <c r="K48" s="1622"/>
      <c r="L48" s="1319">
        <v>475</v>
      </c>
      <c r="M48" s="1622"/>
      <c r="N48" s="1278">
        <v>0.8</v>
      </c>
      <c r="O48" s="1622"/>
      <c r="P48" s="1278">
        <f t="shared" si="5"/>
        <v>7.4853875085938233</v>
      </c>
      <c r="Q48" s="1278">
        <f>14*J48/100</f>
        <v>11.9</v>
      </c>
      <c r="R48" s="244">
        <v>4.508</v>
      </c>
      <c r="S48" s="244">
        <v>6.1070000000000002</v>
      </c>
      <c r="T48" s="1319">
        <v>15</v>
      </c>
      <c r="U48" s="1278">
        <f t="shared" si="13"/>
        <v>3.3274179236912156</v>
      </c>
      <c r="V48" s="1278">
        <f t="shared" si="6"/>
        <v>26.183068609792041</v>
      </c>
      <c r="W48" s="1279">
        <v>0.2</v>
      </c>
      <c r="X48" s="1410">
        <v>85</v>
      </c>
      <c r="Y48" s="1277">
        <f t="shared" si="4"/>
        <v>51.319327731092436</v>
      </c>
      <c r="Z48" s="244">
        <f t="shared" si="14"/>
        <v>4.4539039999999996</v>
      </c>
      <c r="AA48" s="244">
        <f t="shared" si="14"/>
        <v>6.0337160000000001</v>
      </c>
      <c r="AB48" s="1277">
        <f t="shared" si="14"/>
        <v>14.82</v>
      </c>
      <c r="AC48" s="244">
        <f t="shared" si="15"/>
        <v>3.3274179236912156</v>
      </c>
      <c r="AD48" s="1277">
        <f t="shared" si="15"/>
        <v>26.183068609792041</v>
      </c>
      <c r="AE48" s="241">
        <f t="shared" si="16"/>
        <v>31</v>
      </c>
      <c r="AF48" s="244">
        <f t="shared" si="2"/>
        <v>138.07102399999999</v>
      </c>
      <c r="AG48" s="1285"/>
      <c r="AI48" s="1282">
        <f t="shared" si="3"/>
        <v>7.4853875085938233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22">
        <v>539.24</v>
      </c>
      <c r="J49" s="241">
        <v>170</v>
      </c>
      <c r="K49" s="241"/>
      <c r="L49" s="1277">
        <v>425</v>
      </c>
      <c r="M49" s="241"/>
      <c r="N49" s="1278">
        <v>3.4</v>
      </c>
      <c r="O49" s="241"/>
      <c r="P49" s="1278">
        <f t="shared" si="5"/>
        <v>14.022588481227981</v>
      </c>
      <c r="Q49" s="1278">
        <f>20*J49/100</f>
        <v>34</v>
      </c>
      <c r="R49" s="244">
        <v>1.5580000000000001</v>
      </c>
      <c r="S49" s="244">
        <v>2.8479999999999999</v>
      </c>
      <c r="T49" s="1277">
        <v>13.182</v>
      </c>
      <c r="U49" s="1278">
        <f t="shared" si="13"/>
        <v>8.460847240051347</v>
      </c>
      <c r="V49" s="1278">
        <f t="shared" si="6"/>
        <v>45.294943820224717</v>
      </c>
      <c r="W49" s="1279">
        <v>0.2</v>
      </c>
      <c r="X49" s="1316">
        <v>170</v>
      </c>
      <c r="Y49" s="1277">
        <f t="shared" si="4"/>
        <v>8.3764705882352928</v>
      </c>
      <c r="Z49" s="244">
        <f t="shared" si="14"/>
        <v>1.539304</v>
      </c>
      <c r="AA49" s="244">
        <f t="shared" si="14"/>
        <v>2.8138239999999999</v>
      </c>
      <c r="AB49" s="1277">
        <f t="shared" si="14"/>
        <v>13.023816</v>
      </c>
      <c r="AC49" s="244">
        <f t="shared" si="15"/>
        <v>8.460847240051347</v>
      </c>
      <c r="AD49" s="1277">
        <f t="shared" si="15"/>
        <v>45.294943820224717</v>
      </c>
      <c r="AE49" s="241">
        <f t="shared" si="16"/>
        <v>31</v>
      </c>
      <c r="AF49" s="244">
        <f t="shared" si="2"/>
        <v>47.718423999999999</v>
      </c>
      <c r="AG49" s="1285"/>
      <c r="AI49" s="1282">
        <f t="shared" si="3"/>
        <v>14.022588481227981</v>
      </c>
      <c r="AJ49" s="1252">
        <v>0.9083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622">
        <v>571.19000000000005</v>
      </c>
      <c r="J50" s="241">
        <v>330</v>
      </c>
      <c r="K50" s="241"/>
      <c r="L50" s="1277">
        <v>327</v>
      </c>
      <c r="M50" s="241"/>
      <c r="N50" s="1278">
        <v>3</v>
      </c>
      <c r="O50" s="241"/>
      <c r="P50" s="1278">
        <f t="shared" si="5"/>
        <v>26.468192043414742</v>
      </c>
      <c r="Q50" s="1278">
        <f>LEFT(H50,(FIND("E",H50,1)-1))*J50/100</f>
        <v>42.9</v>
      </c>
      <c r="R50" s="244">
        <v>4.5289999999999999</v>
      </c>
      <c r="S50" s="244">
        <v>14.939</v>
      </c>
      <c r="T50" s="1277">
        <v>14</v>
      </c>
      <c r="U50" s="1278">
        <f t="shared" si="13"/>
        <v>3.091190108191654</v>
      </c>
      <c r="V50" s="1278">
        <f t="shared" si="6"/>
        <v>69.683379074904622</v>
      </c>
      <c r="W50" s="1279">
        <v>0.3</v>
      </c>
      <c r="X50" s="1316">
        <v>330</v>
      </c>
      <c r="Y50" s="1277">
        <f t="shared" si="4"/>
        <v>34.822843822843822</v>
      </c>
      <c r="Z50" s="244">
        <f t="shared" si="14"/>
        <v>4.4746519999999999</v>
      </c>
      <c r="AA50" s="244">
        <f>S50*0.988</f>
        <v>14.759732</v>
      </c>
      <c r="AB50" s="1277">
        <f>T50*0.988</f>
        <v>13.832000000000001</v>
      </c>
      <c r="AC50" s="244">
        <f t="shared" si="15"/>
        <v>3.091190108191654</v>
      </c>
      <c r="AD50" s="1277">
        <f t="shared" si="15"/>
        <v>69.683379074904622</v>
      </c>
      <c r="AE50" s="241">
        <f t="shared" si="16"/>
        <v>31</v>
      </c>
      <c r="AF50" s="244">
        <f t="shared" si="2"/>
        <v>138.714212</v>
      </c>
      <c r="AG50" s="1285"/>
      <c r="AI50" s="1282">
        <f t="shared" si="3"/>
        <v>26.468192043414742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22" t="s">
        <v>600</v>
      </c>
      <c r="F51" s="241">
        <v>177.8</v>
      </c>
      <c r="G51" s="241" t="s">
        <v>28</v>
      </c>
      <c r="H51" s="1299" t="s">
        <v>687</v>
      </c>
      <c r="I51" s="1622">
        <v>546.08000000000004</v>
      </c>
      <c r="J51" s="241">
        <v>100</v>
      </c>
      <c r="K51" s="241"/>
      <c r="L51" s="1322">
        <v>184</v>
      </c>
      <c r="M51" s="241"/>
      <c r="N51" s="1306">
        <v>3.7</v>
      </c>
      <c r="O51" s="241"/>
      <c r="P51" s="1278">
        <f t="shared" si="5"/>
        <v>38.932258895560118</v>
      </c>
      <c r="Q51" s="1278">
        <v>20</v>
      </c>
      <c r="R51" s="244">
        <v>3.4630000000000001</v>
      </c>
      <c r="S51" s="244">
        <v>16.638000000000002</v>
      </c>
      <c r="T51" s="1277">
        <v>99</v>
      </c>
      <c r="U51" s="1278">
        <f t="shared" si="13"/>
        <v>28.587929540860525</v>
      </c>
      <c r="V51" s="1278">
        <f t="shared" si="6"/>
        <v>79.186200264454854</v>
      </c>
      <c r="W51" s="1279">
        <v>0.2</v>
      </c>
      <c r="X51" s="1316">
        <v>100</v>
      </c>
      <c r="Y51" s="1277">
        <f t="shared" si="4"/>
        <v>83.190000000000012</v>
      </c>
      <c r="Z51" s="244">
        <v>4.0819999999999999</v>
      </c>
      <c r="AA51" s="244">
        <v>21.193999999999999</v>
      </c>
      <c r="AB51" s="1277">
        <v>85</v>
      </c>
      <c r="AC51" s="244">
        <f t="shared" si="15"/>
        <v>28.587929540860525</v>
      </c>
      <c r="AD51" s="1277">
        <f t="shared" si="15"/>
        <v>79.186200264454854</v>
      </c>
      <c r="AE51" s="241">
        <v>31</v>
      </c>
      <c r="AF51" s="244">
        <f t="shared" si="2"/>
        <v>126.542</v>
      </c>
      <c r="AG51" s="1285"/>
      <c r="AI51" s="1282">
        <f t="shared" si="3"/>
        <v>38.932258895560118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617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5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22">
        <v>532.98</v>
      </c>
      <c r="J53" s="1448">
        <v>0</v>
      </c>
      <c r="K53" s="241"/>
      <c r="L53" s="1277">
        <v>0</v>
      </c>
      <c r="M53" s="241"/>
      <c r="N53" s="1278">
        <v>0</v>
      </c>
      <c r="O53" s="241"/>
      <c r="P53" s="1278" t="e">
        <f t="shared" si="5"/>
        <v>#DIV/0!</v>
      </c>
      <c r="Q53" s="1278">
        <f>RIGHT(H53,(FIND("T",H53,1)-0))*J53/100</f>
        <v>0</v>
      </c>
      <c r="R53" s="244">
        <v>0</v>
      </c>
      <c r="S53" s="244">
        <v>0</v>
      </c>
      <c r="T53" s="1277">
        <v>0</v>
      </c>
      <c r="U53" s="1278">
        <f t="shared" si="13"/>
        <v>0</v>
      </c>
      <c r="V53" s="1278" t="e">
        <f t="shared" si="6"/>
        <v>#DIV/0!</v>
      </c>
      <c r="W53" s="1279">
        <v>0</v>
      </c>
      <c r="X53" s="1449">
        <v>85</v>
      </c>
      <c r="Y53" s="1277">
        <f t="shared" si="4"/>
        <v>0</v>
      </c>
      <c r="Z53" s="244">
        <v>3.6080000000000001</v>
      </c>
      <c r="AA53" s="244">
        <v>11.737</v>
      </c>
      <c r="AB53" s="1277">
        <v>184</v>
      </c>
      <c r="AC53" s="244">
        <f>U53</f>
        <v>0</v>
      </c>
      <c r="AD53" s="1278">
        <f t="shared" ref="AD53" si="17">(AA53-Z53)/AA53*100</f>
        <v>69.259606373008438</v>
      </c>
      <c r="AE53" s="241">
        <v>10</v>
      </c>
      <c r="AF53" s="244">
        <f t="shared" si="2"/>
        <v>36.08</v>
      </c>
      <c r="AG53" s="1281" t="s">
        <v>785</v>
      </c>
      <c r="AI53" s="1282" t="e">
        <f t="shared" si="3"/>
        <v>#DIV/0!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622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5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22" t="s">
        <v>442</v>
      </c>
      <c r="F55" s="241">
        <v>177.8</v>
      </c>
      <c r="G55" s="241" t="s">
        <v>28</v>
      </c>
      <c r="H55" s="1299" t="s">
        <v>52</v>
      </c>
      <c r="I55" s="1622">
        <v>517.84</v>
      </c>
      <c r="J55" s="241">
        <v>0</v>
      </c>
      <c r="K55" s="241"/>
      <c r="L55" s="1277">
        <v>402</v>
      </c>
      <c r="M55" s="241"/>
      <c r="N55" s="1278">
        <v>1.4</v>
      </c>
      <c r="O55" s="241"/>
      <c r="P55" s="1278" t="e">
        <f t="shared" si="5"/>
        <v>#DIV/0!</v>
      </c>
      <c r="Q55" s="1278">
        <f>LEFT(H55,(FIND("K",H55,1)-1))*J55/100</f>
        <v>0</v>
      </c>
      <c r="R55" s="244">
        <v>0</v>
      </c>
      <c r="S55" s="244">
        <v>0</v>
      </c>
      <c r="T55" s="1277">
        <v>0</v>
      </c>
      <c r="U55" s="1278">
        <f t="shared" si="13"/>
        <v>0</v>
      </c>
      <c r="V55" s="1278" t="e">
        <f t="shared" si="6"/>
        <v>#DIV/0!</v>
      </c>
      <c r="W55" s="1279">
        <v>0</v>
      </c>
      <c r="X55" s="1316">
        <v>75</v>
      </c>
      <c r="Y55" s="1277">
        <v>0</v>
      </c>
      <c r="Z55" s="244">
        <v>5.4509999999999996</v>
      </c>
      <c r="AA55" s="244">
        <v>19.884</v>
      </c>
      <c r="AB55" s="1277">
        <v>27</v>
      </c>
      <c r="AC55" s="1278">
        <f t="shared" ref="AC55" si="18">IF(Z55=0,0,AB55/Z55)</f>
        <v>4.9532195927352785</v>
      </c>
      <c r="AD55" s="1278">
        <f t="shared" ref="AD55" si="19">(AA55-Z55)/AA55*100</f>
        <v>72.585998792999391</v>
      </c>
      <c r="AE55" s="241">
        <v>12</v>
      </c>
      <c r="AF55" s="244">
        <f t="shared" si="2"/>
        <v>65.411999999999992</v>
      </c>
      <c r="AG55" s="1281" t="s">
        <v>785</v>
      </c>
      <c r="AI55" s="1282" t="e">
        <f t="shared" si="3"/>
        <v>#DIV/0!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622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5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4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3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356</v>
      </c>
      <c r="M57" s="1275"/>
      <c r="N57" s="1278">
        <v>2.8</v>
      </c>
      <c r="O57" s="1275"/>
      <c r="P57" s="1278">
        <f t="shared" si="5"/>
        <v>22.53979943779283</v>
      </c>
      <c r="Q57" s="1278">
        <f>J57*14/100</f>
        <v>10.5</v>
      </c>
      <c r="R57" s="1459">
        <v>6.9550000000000001</v>
      </c>
      <c r="S57" s="244">
        <v>12.259</v>
      </c>
      <c r="T57" s="1323">
        <v>8.6</v>
      </c>
      <c r="U57" s="1278">
        <f t="shared" si="13"/>
        <v>1.2365204888569374</v>
      </c>
      <c r="V57" s="1278">
        <f t="shared" ref="V57:V86" si="20">(S57-R57)/S57*100</f>
        <v>43.266171792152704</v>
      </c>
      <c r="W57" s="1460">
        <v>0.2</v>
      </c>
      <c r="X57" s="1453">
        <v>75</v>
      </c>
      <c r="Y57" s="1277">
        <f t="shared" si="4"/>
        <v>116.75238095238096</v>
      </c>
      <c r="Z57" s="244">
        <f t="shared" ref="Z57:AB61" si="21">R57*0.988</f>
        <v>6.8715400000000004</v>
      </c>
      <c r="AA57" s="244">
        <f t="shared" si="21"/>
        <v>12.111892000000001</v>
      </c>
      <c r="AB57" s="1277">
        <f t="shared" si="21"/>
        <v>8.4968000000000004</v>
      </c>
      <c r="AC57" s="1459">
        <f t="shared" ref="AC57:AD59" si="22">U57</f>
        <v>1.2365204888569374</v>
      </c>
      <c r="AD57" s="1277">
        <f t="shared" si="22"/>
        <v>43.266171792152704</v>
      </c>
      <c r="AE57" s="241">
        <v>31</v>
      </c>
      <c r="AF57" s="1459">
        <f t="shared" si="2"/>
        <v>213.01774</v>
      </c>
      <c r="AG57" s="1285"/>
      <c r="AI57" s="1282">
        <f t="shared" si="3"/>
        <v>22.53979943779283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22">
        <v>589.64</v>
      </c>
      <c r="J58" s="1448">
        <v>0</v>
      </c>
      <c r="K58" s="241"/>
      <c r="L58" s="1277">
        <v>0</v>
      </c>
      <c r="M58" s="241"/>
      <c r="N58" s="1278">
        <v>0</v>
      </c>
      <c r="O58" s="241"/>
      <c r="P58" s="1278" t="e">
        <f t="shared" si="5"/>
        <v>#DIV/0!</v>
      </c>
      <c r="Q58" s="1325">
        <f>J58*20/100</f>
        <v>0</v>
      </c>
      <c r="R58" s="244">
        <v>0</v>
      </c>
      <c r="S58" s="244">
        <v>0</v>
      </c>
      <c r="T58" s="1277">
        <v>0</v>
      </c>
      <c r="U58" s="1278">
        <f t="shared" si="13"/>
        <v>0</v>
      </c>
      <c r="V58" s="1278" t="e">
        <f t="shared" si="20"/>
        <v>#DIV/0!</v>
      </c>
      <c r="W58" s="1279">
        <v>0</v>
      </c>
      <c r="X58" s="1449">
        <v>85</v>
      </c>
      <c r="Y58" s="1277">
        <f t="shared" si="4"/>
        <v>0</v>
      </c>
      <c r="Z58" s="244">
        <v>3.1560000000000001</v>
      </c>
      <c r="AA58" s="244">
        <v>18.609000000000002</v>
      </c>
      <c r="AB58" s="1277">
        <v>8.5</v>
      </c>
      <c r="AC58" s="1278">
        <f t="shared" ref="AC58" si="23">IF(Z58=0,0,AB58/Z58)</f>
        <v>2.6932826362484157</v>
      </c>
      <c r="AD58" s="1278">
        <f t="shared" ref="AD58" si="24">(AA58-Z58)/AA58*100</f>
        <v>83.040464291471878</v>
      </c>
      <c r="AE58" s="241">
        <v>15</v>
      </c>
      <c r="AF58" s="244">
        <f t="shared" si="2"/>
        <v>47.34</v>
      </c>
      <c r="AG58" s="1281" t="s">
        <v>781</v>
      </c>
      <c r="AI58" s="1282" t="e">
        <f t="shared" si="3"/>
        <v>#DIV/0!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617">
        <v>560.83000000000004</v>
      </c>
      <c r="J59" s="241">
        <v>90</v>
      </c>
      <c r="K59" s="241"/>
      <c r="L59" s="1277">
        <v>307</v>
      </c>
      <c r="M59" s="241"/>
      <c r="N59" s="1278">
        <v>0</v>
      </c>
      <c r="O59" s="241"/>
      <c r="P59" s="1278">
        <f t="shared" si="5"/>
        <v>23.925084340644016</v>
      </c>
      <c r="Q59" s="1325">
        <f>J59*15/100</f>
        <v>13.5</v>
      </c>
      <c r="R59" s="244">
        <v>7.1470000000000002</v>
      </c>
      <c r="S59" s="244">
        <v>14.369</v>
      </c>
      <c r="T59" s="1277">
        <v>10</v>
      </c>
      <c r="U59" s="1278">
        <f t="shared" si="13"/>
        <v>1.3991884706870015</v>
      </c>
      <c r="V59" s="1278">
        <f t="shared" si="20"/>
        <v>50.26097849537198</v>
      </c>
      <c r="W59" s="1279">
        <v>0.2</v>
      </c>
      <c r="X59" s="1316">
        <v>90</v>
      </c>
      <c r="Y59" s="1277">
        <f t="shared" si="4"/>
        <v>106.43703703703704</v>
      </c>
      <c r="Z59" s="244">
        <f t="shared" si="21"/>
        <v>7.0612360000000001</v>
      </c>
      <c r="AA59" s="244">
        <f t="shared" si="21"/>
        <v>14.196572</v>
      </c>
      <c r="AB59" s="1277">
        <f t="shared" si="21"/>
        <v>9.879999999999999</v>
      </c>
      <c r="AC59" s="244">
        <f t="shared" si="22"/>
        <v>1.3991884706870015</v>
      </c>
      <c r="AD59" s="1277">
        <f t="shared" si="22"/>
        <v>50.26097849537198</v>
      </c>
      <c r="AE59" s="241">
        <f t="shared" si="16"/>
        <v>31</v>
      </c>
      <c r="AF59" s="244">
        <f t="shared" si="2"/>
        <v>218.89831599999999</v>
      </c>
      <c r="AG59" s="1281" t="s">
        <v>781</v>
      </c>
      <c r="AI59" s="1282">
        <f t="shared" si="3"/>
        <v>23.925084340644016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617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5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3"/>
        <v>0</v>
      </c>
      <c r="V60" s="1278" t="e">
        <f t="shared" si="20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2"/>
        <v>0</v>
      </c>
      <c r="AG60" s="1281" t="s">
        <v>772</v>
      </c>
      <c r="AI60" s="1282" t="e">
        <f t="shared" si="3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22">
        <v>551.66</v>
      </c>
      <c r="J61" s="241">
        <v>90</v>
      </c>
      <c r="K61" s="241"/>
      <c r="L61" s="1277">
        <v>374</v>
      </c>
      <c r="M61" s="241"/>
      <c r="N61" s="1278">
        <v>2.9</v>
      </c>
      <c r="O61" s="241"/>
      <c r="P61" s="1278">
        <f t="shared" si="5"/>
        <v>20.124216502100939</v>
      </c>
      <c r="Q61" s="1278">
        <f>14*J61/100</f>
        <v>12.6</v>
      </c>
      <c r="R61" s="244">
        <v>1.4730000000000001</v>
      </c>
      <c r="S61" s="244">
        <v>6.1139999999999999</v>
      </c>
      <c r="T61" s="1277">
        <v>11</v>
      </c>
      <c r="U61" s="1278">
        <f t="shared" si="13"/>
        <v>7.4677528852681601</v>
      </c>
      <c r="V61" s="1278">
        <f t="shared" si="20"/>
        <v>75.907752698724238</v>
      </c>
      <c r="W61" s="1279">
        <v>0.2</v>
      </c>
      <c r="X61" s="1316">
        <v>90</v>
      </c>
      <c r="Y61" s="1277">
        <f t="shared" si="4"/>
        <v>48.523809523809526</v>
      </c>
      <c r="Z61" s="244">
        <f t="shared" si="21"/>
        <v>1.4553240000000001</v>
      </c>
      <c r="AA61" s="244">
        <f t="shared" si="21"/>
        <v>6.0406319999999996</v>
      </c>
      <c r="AB61" s="1277">
        <f t="shared" si="21"/>
        <v>10.868</v>
      </c>
      <c r="AC61" s="244">
        <f>U61</f>
        <v>7.4677528852681601</v>
      </c>
      <c r="AD61" s="1277">
        <f>V61</f>
        <v>75.907752698724238</v>
      </c>
      <c r="AE61" s="241">
        <f t="shared" si="16"/>
        <v>31</v>
      </c>
      <c r="AF61" s="244">
        <f t="shared" si="2"/>
        <v>45.115044000000005</v>
      </c>
      <c r="AG61" s="1281"/>
      <c r="AI61" s="1282">
        <f t="shared" si="3"/>
        <v>20.124216502100939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617">
        <v>506.61000000000013</v>
      </c>
      <c r="J62" s="241"/>
      <c r="K62" s="241"/>
      <c r="L62" s="1319"/>
      <c r="M62" s="1278"/>
      <c r="N62" s="1278"/>
      <c r="O62" s="241"/>
      <c r="P62" s="1278">
        <f t="shared" si="5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4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3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22" t="s">
        <v>692</v>
      </c>
      <c r="F63" s="241">
        <v>177.8</v>
      </c>
      <c r="G63" s="241" t="s">
        <v>28</v>
      </c>
      <c r="H63" s="1299" t="s">
        <v>683</v>
      </c>
      <c r="I63" s="1623">
        <v>545.4</v>
      </c>
      <c r="J63" s="241">
        <v>80</v>
      </c>
      <c r="K63" s="241"/>
      <c r="L63" s="1277">
        <v>16</v>
      </c>
      <c r="M63" s="241">
        <v>0</v>
      </c>
      <c r="N63" s="1278">
        <v>0</v>
      </c>
      <c r="O63" s="241"/>
      <c r="P63" s="1278">
        <f t="shared" si="5"/>
        <v>46.833135213668626</v>
      </c>
      <c r="Q63" s="1278">
        <f>J63*13/100</f>
        <v>10.4</v>
      </c>
      <c r="R63" s="244">
        <v>1.6180000000000001</v>
      </c>
      <c r="S63" s="244">
        <v>1.8819999999999999</v>
      </c>
      <c r="T63" s="1277">
        <v>5</v>
      </c>
      <c r="U63" s="1278">
        <f>IF(R63=0,0,T63/R63)</f>
        <v>3.0902348578491963</v>
      </c>
      <c r="V63" s="1278">
        <f t="shared" si="20"/>
        <v>14.027630180658862</v>
      </c>
      <c r="W63" s="1279">
        <v>0.2</v>
      </c>
      <c r="X63" s="1316">
        <v>80</v>
      </c>
      <c r="Y63" s="1277">
        <f t="shared" si="4"/>
        <v>18.096153846153847</v>
      </c>
      <c r="Z63" s="244">
        <f t="shared" ref="Z63:AB75" si="25">R63*0.988</f>
        <v>1.598584</v>
      </c>
      <c r="AA63" s="244">
        <f t="shared" si="25"/>
        <v>1.859416</v>
      </c>
      <c r="AB63" s="1277">
        <f t="shared" si="25"/>
        <v>4.9399999999999995</v>
      </c>
      <c r="AC63" s="244">
        <f t="shared" ref="AC63:AD70" si="26">U63</f>
        <v>3.0902348578491963</v>
      </c>
      <c r="AD63" s="1277">
        <f t="shared" si="26"/>
        <v>14.027630180658862</v>
      </c>
      <c r="AE63" s="241">
        <f t="shared" si="16"/>
        <v>31</v>
      </c>
      <c r="AF63" s="244">
        <f t="shared" si="2"/>
        <v>49.556103999999998</v>
      </c>
      <c r="AG63" s="1281"/>
      <c r="AI63" s="1282">
        <f t="shared" si="3"/>
        <v>46.833135213668626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22">
        <v>674.45</v>
      </c>
      <c r="E64" s="1622" t="s">
        <v>232</v>
      </c>
      <c r="F64" s="241">
        <v>177.8</v>
      </c>
      <c r="G64" s="241" t="s">
        <v>28</v>
      </c>
      <c r="H64" s="1299" t="s">
        <v>464</v>
      </c>
      <c r="I64" s="1622">
        <v>542.6</v>
      </c>
      <c r="J64" s="1622">
        <v>130</v>
      </c>
      <c r="K64" s="1622"/>
      <c r="L64" s="1319">
        <v>464</v>
      </c>
      <c r="M64" s="1622"/>
      <c r="N64" s="1278">
        <v>2.2000000000000002</v>
      </c>
      <c r="O64" s="1622"/>
      <c r="P64" s="1278">
        <f t="shared" si="5"/>
        <v>9.5479011139903047</v>
      </c>
      <c r="Q64" s="1278">
        <f>RIGHT(H64,(FIND("T",H64,1)-0))*J64/100</f>
        <v>18.2</v>
      </c>
      <c r="R64" s="244">
        <v>5.4539999999999997</v>
      </c>
      <c r="S64" s="244">
        <v>7.7649999999999997</v>
      </c>
      <c r="T64" s="1319">
        <v>26</v>
      </c>
      <c r="U64" s="1278">
        <f t="shared" si="13"/>
        <v>4.7671433810047672</v>
      </c>
      <c r="V64" s="1278">
        <f t="shared" si="20"/>
        <v>29.761751448808759</v>
      </c>
      <c r="W64" s="1279">
        <v>0.2</v>
      </c>
      <c r="X64" s="1410">
        <v>130</v>
      </c>
      <c r="Y64" s="1277">
        <f t="shared" si="4"/>
        <v>42.664835164835161</v>
      </c>
      <c r="Z64" s="244">
        <f t="shared" si="25"/>
        <v>5.3885519999999998</v>
      </c>
      <c r="AA64" s="244">
        <f t="shared" si="25"/>
        <v>7.6718199999999994</v>
      </c>
      <c r="AB64" s="1277">
        <f t="shared" si="25"/>
        <v>25.687999999999999</v>
      </c>
      <c r="AC64" s="244">
        <f t="shared" si="26"/>
        <v>4.7671433810047672</v>
      </c>
      <c r="AD64" s="1277">
        <f t="shared" si="26"/>
        <v>29.761751448808759</v>
      </c>
      <c r="AE64" s="241">
        <f t="shared" si="16"/>
        <v>31</v>
      </c>
      <c r="AF64" s="244">
        <f>Z64*AE64</f>
        <v>167.04511199999999</v>
      </c>
      <c r="AG64" s="1342"/>
      <c r="AI64" s="1282">
        <f t="shared" si="3"/>
        <v>9.5479011139903047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22">
        <v>678.47</v>
      </c>
      <c r="E65" s="1622" t="s">
        <v>606</v>
      </c>
      <c r="F65" s="241">
        <v>177.8</v>
      </c>
      <c r="G65" s="241" t="s">
        <v>28</v>
      </c>
      <c r="H65" s="1299" t="s">
        <v>466</v>
      </c>
      <c r="I65" s="1622">
        <v>574.4</v>
      </c>
      <c r="J65" s="1373">
        <v>0</v>
      </c>
      <c r="K65" s="1622"/>
      <c r="L65" s="1319">
        <v>0</v>
      </c>
      <c r="M65" s="1622"/>
      <c r="N65" s="1278">
        <v>0</v>
      </c>
      <c r="O65" s="1622"/>
      <c r="P65" s="1278" t="e">
        <f t="shared" si="5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3"/>
        <v>0</v>
      </c>
      <c r="V65" s="1278" t="e">
        <f t="shared" si="20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7">Z65*AE65</f>
        <v>0</v>
      </c>
      <c r="AG65" s="1281" t="s">
        <v>771</v>
      </c>
      <c r="AI65" s="1282" t="e">
        <f t="shared" si="3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22">
        <v>541.12</v>
      </c>
      <c r="J66" s="241">
        <v>175</v>
      </c>
      <c r="K66" s="241"/>
      <c r="L66" s="1277">
        <v>445</v>
      </c>
      <c r="M66" s="241"/>
      <c r="N66" s="1278">
        <v>3.8</v>
      </c>
      <c r="O66" s="241"/>
      <c r="P66" s="1278">
        <f t="shared" si="5"/>
        <v>13.148224932821568</v>
      </c>
      <c r="Q66" s="1278">
        <f>20*J66/100</f>
        <v>35</v>
      </c>
      <c r="R66" s="244">
        <v>7.383</v>
      </c>
      <c r="S66" s="244">
        <v>22.108000000000001</v>
      </c>
      <c r="T66" s="1277">
        <v>86</v>
      </c>
      <c r="U66" s="1278">
        <f t="shared" si="13"/>
        <v>11.648381416768251</v>
      </c>
      <c r="V66" s="1278">
        <f t="shared" si="20"/>
        <v>66.604848923466619</v>
      </c>
      <c r="W66" s="1279">
        <v>0.2</v>
      </c>
      <c r="X66" s="1316">
        <v>175</v>
      </c>
      <c r="Y66" s="1277">
        <f t="shared" si="4"/>
        <v>63.165714285714294</v>
      </c>
      <c r="Z66" s="244">
        <f t="shared" si="25"/>
        <v>7.2944040000000001</v>
      </c>
      <c r="AA66" s="244">
        <f t="shared" si="25"/>
        <v>21.842704000000001</v>
      </c>
      <c r="AB66" s="1277">
        <f t="shared" si="25"/>
        <v>84.968000000000004</v>
      </c>
      <c r="AC66" s="244">
        <f t="shared" si="26"/>
        <v>11.648381416768251</v>
      </c>
      <c r="AD66" s="1277">
        <f t="shared" si="26"/>
        <v>66.604848923466619</v>
      </c>
      <c r="AE66" s="241">
        <f t="shared" si="16"/>
        <v>31</v>
      </c>
      <c r="AF66" s="244">
        <f t="shared" si="27"/>
        <v>226.12652400000002</v>
      </c>
      <c r="AG66" s="1285"/>
      <c r="AI66" s="1282">
        <f t="shared" si="3"/>
        <v>13.148224932821568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23">
        <v>521.42999999999995</v>
      </c>
      <c r="J67" s="241">
        <v>300</v>
      </c>
      <c r="K67" s="241"/>
      <c r="L67" s="1277">
        <v>456</v>
      </c>
      <c r="M67" s="241"/>
      <c r="N67" s="1278">
        <v>5.6</v>
      </c>
      <c r="O67" s="241"/>
      <c r="P67" s="1278">
        <f t="shared" si="5"/>
        <v>11.787573321425317</v>
      </c>
      <c r="Q67" s="1278">
        <f>J67*14/100</f>
        <v>42</v>
      </c>
      <c r="R67" s="244">
        <v>8.0980000000000008</v>
      </c>
      <c r="S67" s="244">
        <v>13.47</v>
      </c>
      <c r="T67" s="1277">
        <v>341.5</v>
      </c>
      <c r="U67" s="1278">
        <f t="shared" si="13"/>
        <v>42.170906396641143</v>
      </c>
      <c r="V67" s="1278">
        <f t="shared" si="20"/>
        <v>39.881217520415731</v>
      </c>
      <c r="W67" s="1279">
        <v>0.2</v>
      </c>
      <c r="X67" s="1316">
        <v>300</v>
      </c>
      <c r="Y67" s="1277">
        <f t="shared" si="4"/>
        <v>32.071428571428569</v>
      </c>
      <c r="Z67" s="244">
        <f t="shared" si="25"/>
        <v>8.0008240000000015</v>
      </c>
      <c r="AA67" s="244">
        <f t="shared" si="25"/>
        <v>13.30836</v>
      </c>
      <c r="AB67" s="1277">
        <f t="shared" si="25"/>
        <v>337.40199999999999</v>
      </c>
      <c r="AC67" s="244">
        <f t="shared" si="26"/>
        <v>42.170906396641143</v>
      </c>
      <c r="AD67" s="1277">
        <f t="shared" si="26"/>
        <v>39.881217520415731</v>
      </c>
      <c r="AE67" s="241">
        <f t="shared" si="16"/>
        <v>31</v>
      </c>
      <c r="AF67" s="244">
        <f t="shared" si="27"/>
        <v>248.02554400000005</v>
      </c>
      <c r="AG67" s="1285"/>
      <c r="AI67" s="1282">
        <f t="shared" si="3"/>
        <v>11.787573321425317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23" t="s">
        <v>607</v>
      </c>
      <c r="F68" s="241">
        <v>177.8</v>
      </c>
      <c r="G68" s="241" t="s">
        <v>28</v>
      </c>
      <c r="H68" s="241" t="s">
        <v>464</v>
      </c>
      <c r="I68" s="1623">
        <v>512.28</v>
      </c>
      <c r="J68" s="241">
        <v>175</v>
      </c>
      <c r="K68" s="241"/>
      <c r="L68" s="1277">
        <v>417</v>
      </c>
      <c r="M68" s="241"/>
      <c r="N68" s="1278">
        <v>3</v>
      </c>
      <c r="O68" s="241"/>
      <c r="P68" s="1278">
        <f t="shared" si="5"/>
        <v>12.208766960212309</v>
      </c>
      <c r="Q68" s="1278">
        <f>J68*14/100</f>
        <v>24.5</v>
      </c>
      <c r="R68" s="244">
        <v>4.8109999999999999</v>
      </c>
      <c r="S68" s="244">
        <v>11.273999999999999</v>
      </c>
      <c r="T68" s="1277">
        <v>62</v>
      </c>
      <c r="U68" s="1278">
        <f t="shared" si="13"/>
        <v>12.887133652047391</v>
      </c>
      <c r="V68" s="1278">
        <f t="shared" si="20"/>
        <v>57.326592158949794</v>
      </c>
      <c r="W68" s="1279">
        <v>0.2</v>
      </c>
      <c r="X68" s="1316">
        <v>175</v>
      </c>
      <c r="Y68" s="1277">
        <f t="shared" si="4"/>
        <v>46.01632653061224</v>
      </c>
      <c r="Z68" s="244">
        <f t="shared" si="25"/>
        <v>4.7532680000000003</v>
      </c>
      <c r="AA68" s="244">
        <f t="shared" si="25"/>
        <v>11.138711999999998</v>
      </c>
      <c r="AB68" s="1277">
        <f t="shared" si="25"/>
        <v>61.256</v>
      </c>
      <c r="AC68" s="244">
        <f t="shared" si="26"/>
        <v>12.887133652047391</v>
      </c>
      <c r="AD68" s="1277">
        <f t="shared" si="26"/>
        <v>57.326592158949794</v>
      </c>
      <c r="AE68" s="241">
        <f t="shared" si="16"/>
        <v>31</v>
      </c>
      <c r="AF68" s="244">
        <f t="shared" si="27"/>
        <v>147.35130800000002</v>
      </c>
      <c r="AG68" s="1285"/>
      <c r="AI68" s="1282">
        <f t="shared" si="3"/>
        <v>12.208766960212309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23">
        <v>539.28</v>
      </c>
      <c r="J69" s="241">
        <v>0</v>
      </c>
      <c r="K69" s="241"/>
      <c r="L69" s="1277">
        <v>0</v>
      </c>
      <c r="M69" s="241"/>
      <c r="N69" s="1278">
        <v>0</v>
      </c>
      <c r="O69" s="241"/>
      <c r="P69" s="1278" t="e">
        <f t="shared" si="5"/>
        <v>#DIV/0!</v>
      </c>
      <c r="Q69" s="1278">
        <f>J69*13/100</f>
        <v>0</v>
      </c>
      <c r="R69" s="244">
        <v>0</v>
      </c>
      <c r="S69" s="244">
        <v>0</v>
      </c>
      <c r="T69" s="1277">
        <v>0</v>
      </c>
      <c r="U69" s="1278">
        <f t="shared" si="13"/>
        <v>0</v>
      </c>
      <c r="V69" s="1278" t="e">
        <f t="shared" si="20"/>
        <v>#DIV/0!</v>
      </c>
      <c r="W69" s="1279">
        <v>0.2</v>
      </c>
      <c r="X69" s="1316">
        <v>85</v>
      </c>
      <c r="Y69" s="1277">
        <f t="shared" si="4"/>
        <v>0</v>
      </c>
      <c r="Z69" s="244">
        <v>0.86</v>
      </c>
      <c r="AA69" s="244">
        <v>4.5759999999999996</v>
      </c>
      <c r="AB69" s="1277">
        <v>14</v>
      </c>
      <c r="AC69" s="1278">
        <f t="shared" ref="AC69" si="28">IF(Z69=0,0,AB69/Z69)</f>
        <v>16.279069767441861</v>
      </c>
      <c r="AD69" s="1278">
        <f t="shared" ref="AD69" si="29">(AA69-Z69)/AA69*100</f>
        <v>81.206293706293707</v>
      </c>
      <c r="AE69" s="241">
        <v>15</v>
      </c>
      <c r="AF69" s="244">
        <f>Z69*AE69</f>
        <v>12.9</v>
      </c>
      <c r="AG69" s="1281" t="s">
        <v>781</v>
      </c>
      <c r="AI69" s="1282" t="e">
        <f t="shared" si="3"/>
        <v>#DIV/0!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23">
        <v>541.46</v>
      </c>
      <c r="J70" s="241">
        <v>100</v>
      </c>
      <c r="K70" s="241"/>
      <c r="L70" s="1277">
        <v>247</v>
      </c>
      <c r="M70" s="241"/>
      <c r="N70" s="1278">
        <v>5.5</v>
      </c>
      <c r="O70" s="241"/>
      <c r="P70" s="1278">
        <f t="shared" si="5"/>
        <v>34.053562226676569</v>
      </c>
      <c r="Q70" s="1278">
        <f>(32/100)*J70</f>
        <v>32</v>
      </c>
      <c r="R70" s="244">
        <v>5.5540000000000003</v>
      </c>
      <c r="S70" s="244">
        <v>30.314</v>
      </c>
      <c r="T70" s="1277">
        <v>38</v>
      </c>
      <c r="U70" s="1278">
        <f t="shared" si="13"/>
        <v>6.8419157364061931</v>
      </c>
      <c r="V70" s="1278">
        <f t="shared" si="20"/>
        <v>81.678432407468492</v>
      </c>
      <c r="W70" s="1279">
        <v>0.2</v>
      </c>
      <c r="X70" s="1316">
        <v>100</v>
      </c>
      <c r="Y70" s="1277">
        <f t="shared" si="4"/>
        <v>94.731250000000003</v>
      </c>
      <c r="Z70" s="244">
        <v>6</v>
      </c>
      <c r="AA70" s="244">
        <f t="shared" si="25"/>
        <v>29.950232</v>
      </c>
      <c r="AB70" s="1277">
        <f t="shared" si="25"/>
        <v>37.543999999999997</v>
      </c>
      <c r="AC70" s="244">
        <f>U70</f>
        <v>6.8419157364061931</v>
      </c>
      <c r="AD70" s="1277">
        <f t="shared" si="26"/>
        <v>81.678432407468492</v>
      </c>
      <c r="AE70" s="241">
        <f t="shared" si="16"/>
        <v>31</v>
      </c>
      <c r="AF70" s="244">
        <f t="shared" si="27"/>
        <v>186</v>
      </c>
      <c r="AG70" s="1285"/>
      <c r="AI70" s="1282">
        <f t="shared" si="3"/>
        <v>34.053562226676569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23">
        <v>539.83000000000004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5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3"/>
        <v>0</v>
      </c>
      <c r="V71" s="1278" t="e">
        <f t="shared" si="20"/>
        <v>#DIV/0!</v>
      </c>
      <c r="W71" s="1279">
        <v>0</v>
      </c>
      <c r="X71" s="1449">
        <v>0</v>
      </c>
      <c r="Y71" s="1277">
        <f t="shared" si="4"/>
        <v>0</v>
      </c>
      <c r="Z71" s="244">
        <f t="shared" ref="Z71:AA75" si="30">R71*0.988</f>
        <v>0</v>
      </c>
      <c r="AA71" s="244">
        <f t="shared" si="30"/>
        <v>0</v>
      </c>
      <c r="AB71" s="1277">
        <f t="shared" si="25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7"/>
        <v>0</v>
      </c>
      <c r="AG71" s="1281" t="s">
        <v>769</v>
      </c>
      <c r="AI71" s="1282" t="e">
        <f t="shared" si="3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23">
        <v>512.47</v>
      </c>
      <c r="J72" s="1277">
        <v>245</v>
      </c>
      <c r="K72" s="241"/>
      <c r="L72" s="1277">
        <v>459</v>
      </c>
      <c r="M72" s="241"/>
      <c r="N72" s="1278">
        <v>4.8</v>
      </c>
      <c r="O72" s="241"/>
      <c r="P72" s="1278">
        <f t="shared" si="5"/>
        <v>9.7128389978648322</v>
      </c>
      <c r="Q72" s="1278">
        <f>(32*J72)/100</f>
        <v>78.400000000000006</v>
      </c>
      <c r="R72" s="244">
        <v>13.222</v>
      </c>
      <c r="S72" s="244">
        <v>16.015999999999998</v>
      </c>
      <c r="T72" s="1277">
        <v>700.8</v>
      </c>
      <c r="U72" s="1278">
        <f t="shared" si="13"/>
        <v>53.002571471789437</v>
      </c>
      <c r="V72" s="1278">
        <f t="shared" si="20"/>
        <v>17.445054945054938</v>
      </c>
      <c r="W72" s="1279">
        <v>0.2</v>
      </c>
      <c r="X72" s="1454">
        <v>245</v>
      </c>
      <c r="Y72" s="1277">
        <f t="shared" si="4"/>
        <v>20.428571428571423</v>
      </c>
      <c r="Z72" s="244">
        <f t="shared" si="30"/>
        <v>13.063336</v>
      </c>
      <c r="AA72" s="244">
        <f t="shared" si="30"/>
        <v>15.823807999999998</v>
      </c>
      <c r="AB72" s="1277">
        <f t="shared" si="25"/>
        <v>692.3904</v>
      </c>
      <c r="AC72" s="244">
        <f>U72</f>
        <v>53.002571471789437</v>
      </c>
      <c r="AD72" s="1277">
        <f>V72</f>
        <v>17.445054945054938</v>
      </c>
      <c r="AE72" s="241">
        <f t="shared" si="16"/>
        <v>31</v>
      </c>
      <c r="AF72" s="244">
        <f t="shared" si="27"/>
        <v>404.963416</v>
      </c>
      <c r="AG72" s="1281"/>
      <c r="AI72" s="1282">
        <f t="shared" si="3"/>
        <v>9.7128389978648322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23">
        <v>500.41</v>
      </c>
      <c r="J73" s="1448">
        <v>185</v>
      </c>
      <c r="K73" s="241"/>
      <c r="L73" s="1277">
        <v>478</v>
      </c>
      <c r="M73" s="241"/>
      <c r="N73" s="1278">
        <v>3.7</v>
      </c>
      <c r="O73" s="241"/>
      <c r="P73" s="1278">
        <f t="shared" si="5"/>
        <v>5.9928580470115165</v>
      </c>
      <c r="Q73" s="1278">
        <f>J73*32/100</f>
        <v>59.2</v>
      </c>
      <c r="R73" s="244">
        <v>8.3149999999999995</v>
      </c>
      <c r="S73" s="244">
        <v>12.981999999999999</v>
      </c>
      <c r="T73" s="1277">
        <v>119</v>
      </c>
      <c r="U73" s="1278">
        <f t="shared" si="13"/>
        <v>14.311485267588695</v>
      </c>
      <c r="V73" s="1278">
        <f t="shared" si="20"/>
        <v>35.949776613772919</v>
      </c>
      <c r="W73" s="1279">
        <v>0.2</v>
      </c>
      <c r="X73" s="1449">
        <v>185</v>
      </c>
      <c r="Y73" s="1277">
        <f t="shared" si="4"/>
        <v>21.929054054054049</v>
      </c>
      <c r="Z73" s="244">
        <f t="shared" si="30"/>
        <v>8.2152199999999986</v>
      </c>
      <c r="AA73" s="244">
        <f t="shared" si="30"/>
        <v>12.826215999999999</v>
      </c>
      <c r="AB73" s="1277">
        <f t="shared" si="25"/>
        <v>117.572</v>
      </c>
      <c r="AC73" s="244">
        <v>20</v>
      </c>
      <c r="AD73" s="1277">
        <v>17</v>
      </c>
      <c r="AE73" s="241">
        <f t="shared" si="16"/>
        <v>31</v>
      </c>
      <c r="AF73" s="244">
        <f t="shared" si="27"/>
        <v>254.67181999999997</v>
      </c>
      <c r="AG73" s="1281"/>
      <c r="AI73" s="1282">
        <f t="shared" si="3"/>
        <v>5.9928580470115165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23">
        <v>549.1</v>
      </c>
      <c r="J74" s="1448">
        <v>185</v>
      </c>
      <c r="K74" s="241"/>
      <c r="L74" s="1277">
        <v>441</v>
      </c>
      <c r="M74" s="241"/>
      <c r="N74" s="1278">
        <v>6.9</v>
      </c>
      <c r="O74" s="241"/>
      <c r="P74" s="1278">
        <f t="shared" si="5"/>
        <v>17.19954264778185</v>
      </c>
      <c r="Q74" s="1278">
        <f>LEFT(H74,(FIND("E",H74,1)-1))*J74/100</f>
        <v>40.700000000000003</v>
      </c>
      <c r="R74" s="244">
        <v>12.659000000000001</v>
      </c>
      <c r="S74" s="244">
        <v>28.146000000000001</v>
      </c>
      <c r="T74" s="1277">
        <v>342.5</v>
      </c>
      <c r="U74" s="1278">
        <f t="shared" si="13"/>
        <v>27.055849593174816</v>
      </c>
      <c r="V74" s="1278">
        <f t="shared" si="20"/>
        <v>55.023804448234202</v>
      </c>
      <c r="W74" s="1279">
        <v>0.2</v>
      </c>
      <c r="X74" s="1449">
        <v>185</v>
      </c>
      <c r="Y74" s="1277">
        <f t="shared" si="4"/>
        <v>69.154791154791155</v>
      </c>
      <c r="Z74" s="244">
        <f t="shared" si="30"/>
        <v>12.507092</v>
      </c>
      <c r="AA74" s="244">
        <f t="shared" si="30"/>
        <v>27.808247999999999</v>
      </c>
      <c r="AB74" s="1277">
        <f t="shared" si="25"/>
        <v>338.39</v>
      </c>
      <c r="AC74" s="244">
        <f>U74</f>
        <v>27.055849593174816</v>
      </c>
      <c r="AD74" s="1277">
        <f>V74</f>
        <v>55.023804448234202</v>
      </c>
      <c r="AE74" s="241">
        <f t="shared" si="16"/>
        <v>31</v>
      </c>
      <c r="AF74" s="244">
        <f t="shared" si="27"/>
        <v>387.719852</v>
      </c>
      <c r="AG74" s="1285"/>
      <c r="AI74" s="1282">
        <f t="shared" si="3"/>
        <v>17.19954264778185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23">
        <v>542.46</v>
      </c>
      <c r="J75" s="1448">
        <v>85</v>
      </c>
      <c r="K75" s="241"/>
      <c r="L75" s="1277">
        <v>379</v>
      </c>
      <c r="M75" s="241"/>
      <c r="N75" s="1278">
        <v>3.8</v>
      </c>
      <c r="O75" s="241"/>
      <c r="P75" s="1278">
        <f t="shared" si="5"/>
        <v>19.145631373196899</v>
      </c>
      <c r="Q75" s="1278">
        <f>(20/100)*J75</f>
        <v>17</v>
      </c>
      <c r="R75" s="244">
        <v>9.4049999999999994</v>
      </c>
      <c r="S75" s="244">
        <v>18.559999999999999</v>
      </c>
      <c r="T75" s="1277">
        <v>85.6</v>
      </c>
      <c r="U75" s="1278">
        <f t="shared" si="13"/>
        <v>9.1015417331206798</v>
      </c>
      <c r="V75" s="1278">
        <f t="shared" si="20"/>
        <v>49.326508620689658</v>
      </c>
      <c r="W75" s="1279">
        <v>0.2</v>
      </c>
      <c r="X75" s="1449">
        <v>85</v>
      </c>
      <c r="Y75" s="1277">
        <f t="shared" si="4"/>
        <v>109.1764705882353</v>
      </c>
      <c r="Z75" s="244">
        <f t="shared" si="30"/>
        <v>9.2921399999999998</v>
      </c>
      <c r="AA75" s="244">
        <f t="shared" si="30"/>
        <v>18.33728</v>
      </c>
      <c r="AB75" s="1277">
        <f t="shared" si="25"/>
        <v>84.572799999999987</v>
      </c>
      <c r="AC75" s="244">
        <f>U75</f>
        <v>9.1015417331206798</v>
      </c>
      <c r="AD75" s="1277">
        <f>V75</f>
        <v>49.326508620689658</v>
      </c>
      <c r="AE75" s="241">
        <f t="shared" si="16"/>
        <v>31</v>
      </c>
      <c r="AF75" s="244">
        <f t="shared" si="27"/>
        <v>288.05633999999998</v>
      </c>
      <c r="AG75" s="1285"/>
      <c r="AI75" s="1282">
        <f t="shared" si="3"/>
        <v>19.145631373196899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617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5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4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3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774</v>
      </c>
      <c r="F77" s="241">
        <v>177.8</v>
      </c>
      <c r="G77" s="241" t="s">
        <v>28</v>
      </c>
      <c r="H77" s="1299" t="s">
        <v>687</v>
      </c>
      <c r="I77" s="1617">
        <v>584.41999999999996</v>
      </c>
      <c r="J77" s="1448">
        <v>0</v>
      </c>
      <c r="K77" s="241"/>
      <c r="L77" s="1277">
        <v>0</v>
      </c>
      <c r="M77" s="241"/>
      <c r="N77" s="1278">
        <v>0</v>
      </c>
      <c r="O77" s="241"/>
      <c r="P77" s="1278" t="e">
        <f t="shared" si="5"/>
        <v>#DIV/0!</v>
      </c>
      <c r="Q77" s="1278">
        <f>(20*J77)/100</f>
        <v>0</v>
      </c>
      <c r="R77" s="244">
        <v>0</v>
      </c>
      <c r="S77" s="244">
        <v>0</v>
      </c>
      <c r="T77" s="1277">
        <v>0</v>
      </c>
      <c r="U77" s="1278">
        <f t="shared" si="13"/>
        <v>0</v>
      </c>
      <c r="V77" s="1278" t="e">
        <f t="shared" si="20"/>
        <v>#DIV/0!</v>
      </c>
      <c r="W77" s="1279">
        <v>0</v>
      </c>
      <c r="X77" s="1449">
        <v>0</v>
      </c>
      <c r="Y77" s="1277">
        <f t="shared" si="4"/>
        <v>0</v>
      </c>
      <c r="Z77" s="244">
        <f t="shared" ref="Z77:AB82" si="31">R77*0.988</f>
        <v>0</v>
      </c>
      <c r="AA77" s="244">
        <f t="shared" si="31"/>
        <v>0</v>
      </c>
      <c r="AB77" s="1277">
        <f t="shared" si="31"/>
        <v>0</v>
      </c>
      <c r="AC77" s="244">
        <f t="shared" ref="AC77:AD81" si="32">U77</f>
        <v>0</v>
      </c>
      <c r="AD77" s="1277" t="e">
        <f t="shared" si="32"/>
        <v>#DIV/0!</v>
      </c>
      <c r="AE77" s="241">
        <v>0</v>
      </c>
      <c r="AF77" s="244">
        <f t="shared" ref="AF77:AF83" si="33">Z77*AE77</f>
        <v>0</v>
      </c>
      <c r="AG77" s="1281" t="s">
        <v>780</v>
      </c>
      <c r="AI77" s="1282" t="e">
        <f t="shared" si="3"/>
        <v>#DIV/0!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23">
        <v>531.27</v>
      </c>
      <c r="J78" s="1448">
        <v>145</v>
      </c>
      <c r="K78" s="241"/>
      <c r="L78" s="1277">
        <v>291</v>
      </c>
      <c r="M78" s="241"/>
      <c r="N78" s="1278">
        <v>7.1</v>
      </c>
      <c r="O78" s="241"/>
      <c r="P78" s="1278">
        <f t="shared" si="5"/>
        <v>29.764628216188896</v>
      </c>
      <c r="Q78" s="1278">
        <f>(32*J78)/100</f>
        <v>46.4</v>
      </c>
      <c r="R78" s="244">
        <v>12.964</v>
      </c>
      <c r="S78" s="244">
        <v>31.37</v>
      </c>
      <c r="T78" s="1277">
        <v>192.6</v>
      </c>
      <c r="U78" s="1278">
        <f t="shared" si="13"/>
        <v>14.856525763653192</v>
      </c>
      <c r="V78" s="1278">
        <f t="shared" si="20"/>
        <v>58.673892253745606</v>
      </c>
      <c r="W78" s="1279">
        <v>0.2</v>
      </c>
      <c r="X78" s="1449">
        <v>145</v>
      </c>
      <c r="Y78" s="1277">
        <f t="shared" si="4"/>
        <v>67.607758620689665</v>
      </c>
      <c r="Z78" s="244">
        <f t="shared" si="31"/>
        <v>12.808432</v>
      </c>
      <c r="AA78" s="244">
        <f t="shared" si="31"/>
        <v>30.993560000000002</v>
      </c>
      <c r="AB78" s="1277">
        <f t="shared" si="31"/>
        <v>190.28879999999998</v>
      </c>
      <c r="AC78" s="244">
        <f t="shared" si="32"/>
        <v>14.856525763653192</v>
      </c>
      <c r="AD78" s="1277">
        <f t="shared" si="32"/>
        <v>58.673892253745606</v>
      </c>
      <c r="AE78" s="241">
        <f t="shared" si="16"/>
        <v>31</v>
      </c>
      <c r="AF78" s="244">
        <f t="shared" si="33"/>
        <v>397.06139200000001</v>
      </c>
      <c r="AG78" s="1285"/>
      <c r="AI78" s="1282">
        <f t="shared" si="3"/>
        <v>29.764628216188896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23">
        <v>533.89</v>
      </c>
      <c r="J79" s="1448">
        <v>85</v>
      </c>
      <c r="K79" s="241"/>
      <c r="L79" s="1277">
        <v>55</v>
      </c>
      <c r="M79" s="241"/>
      <c r="N79" s="1278">
        <v>0.5</v>
      </c>
      <c r="O79" s="241"/>
      <c r="P79" s="1278">
        <f t="shared" si="5"/>
        <v>47.015790151444726</v>
      </c>
      <c r="Q79" s="1278">
        <f>(20/100)*J79</f>
        <v>17</v>
      </c>
      <c r="R79" s="244">
        <v>2.484</v>
      </c>
      <c r="S79" s="244">
        <v>16.760000000000002</v>
      </c>
      <c r="T79" s="1277">
        <v>127</v>
      </c>
      <c r="U79" s="1278">
        <f t="shared" si="13"/>
        <v>51.127214170692433</v>
      </c>
      <c r="V79" s="1278">
        <f t="shared" si="20"/>
        <v>85.178997613365155</v>
      </c>
      <c r="W79" s="1279">
        <v>0.2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33"/>
        <v>0</v>
      </c>
      <c r="AG79" s="1281" t="s">
        <v>772</v>
      </c>
      <c r="AI79" s="1282">
        <f t="shared" si="3"/>
        <v>47.015790151444726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23">
        <v>572.76</v>
      </c>
      <c r="J80" s="1448">
        <v>175</v>
      </c>
      <c r="K80" s="241"/>
      <c r="L80" s="1277">
        <v>431</v>
      </c>
      <c r="M80" s="241"/>
      <c r="N80" s="1278">
        <v>26</v>
      </c>
      <c r="O80" s="241"/>
      <c r="P80" s="1278">
        <f t="shared" si="5"/>
        <v>37.696114927458545</v>
      </c>
      <c r="Q80" s="1278">
        <f>(32/100)*J80</f>
        <v>56</v>
      </c>
      <c r="R80" s="244">
        <v>8.1760000000000002</v>
      </c>
      <c r="S80" s="244">
        <v>8.3729999999999993</v>
      </c>
      <c r="T80" s="1277">
        <v>591.79999999999995</v>
      </c>
      <c r="U80" s="1278">
        <f t="shared" si="13"/>
        <v>72.382583170254392</v>
      </c>
      <c r="V80" s="1278">
        <f t="shared" si="20"/>
        <v>2.3528006688164242</v>
      </c>
      <c r="W80" s="1279">
        <v>0.2</v>
      </c>
      <c r="X80" s="1449">
        <v>95</v>
      </c>
      <c r="Y80" s="1277">
        <f t="shared" si="4"/>
        <v>14.951785714285712</v>
      </c>
      <c r="Z80" s="244">
        <f t="shared" si="31"/>
        <v>8.0778879999999997</v>
      </c>
      <c r="AA80" s="244">
        <f t="shared" si="31"/>
        <v>8.2725239999999989</v>
      </c>
      <c r="AB80" s="1277">
        <f t="shared" si="31"/>
        <v>584.69839999999999</v>
      </c>
      <c r="AC80" s="244">
        <f t="shared" si="32"/>
        <v>72.382583170254392</v>
      </c>
      <c r="AD80" s="1277">
        <f t="shared" si="32"/>
        <v>2.3528006688164242</v>
      </c>
      <c r="AE80" s="241">
        <v>28</v>
      </c>
      <c r="AF80" s="244">
        <f t="shared" si="33"/>
        <v>226.18086399999999</v>
      </c>
      <c r="AG80" s="1285" t="s">
        <v>786</v>
      </c>
      <c r="AI80" s="1282">
        <f t="shared" si="3"/>
        <v>37.696114927458545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17">
        <v>664.19</v>
      </c>
      <c r="J81" s="1448">
        <v>165</v>
      </c>
      <c r="K81" s="241"/>
      <c r="L81" s="1277">
        <v>22</v>
      </c>
      <c r="M81" s="241"/>
      <c r="N81" s="1278">
        <v>0.2</v>
      </c>
      <c r="O81" s="241"/>
      <c r="P81" s="1278">
        <f t="shared" si="5"/>
        <v>57.020472830247172</v>
      </c>
      <c r="Q81" s="1278">
        <f>14*J81/100</f>
        <v>23.1</v>
      </c>
      <c r="R81" s="244">
        <v>5.069</v>
      </c>
      <c r="S81" s="244">
        <v>5.0869999999999997</v>
      </c>
      <c r="T81" s="1277">
        <v>525</v>
      </c>
      <c r="U81" s="1278">
        <f t="shared" si="13"/>
        <v>103.57072400868022</v>
      </c>
      <c r="V81" s="1278">
        <f t="shared" si="20"/>
        <v>0.35384312954589725</v>
      </c>
      <c r="W81" s="1279">
        <v>0.2</v>
      </c>
      <c r="X81" s="1449">
        <v>165</v>
      </c>
      <c r="Y81" s="1277">
        <f t="shared" si="4"/>
        <v>22.021645021645021</v>
      </c>
      <c r="Z81" s="244">
        <f t="shared" si="31"/>
        <v>5.0081720000000001</v>
      </c>
      <c r="AA81" s="244">
        <f t="shared" si="31"/>
        <v>5.0259559999999999</v>
      </c>
      <c r="AB81" s="1277">
        <f t="shared" si="31"/>
        <v>518.70000000000005</v>
      </c>
      <c r="AC81" s="244">
        <f t="shared" si="32"/>
        <v>103.57072400868022</v>
      </c>
      <c r="AD81" s="1277">
        <f t="shared" si="32"/>
        <v>0.35384312954589725</v>
      </c>
      <c r="AE81" s="241">
        <f t="shared" si="16"/>
        <v>31</v>
      </c>
      <c r="AF81" s="244">
        <f t="shared" si="33"/>
        <v>155.253332</v>
      </c>
      <c r="AG81" s="1281"/>
      <c r="AI81" s="1282">
        <f t="shared" si="3"/>
        <v>57.020472830247172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617">
        <v>700</v>
      </c>
      <c r="E82" s="1617" t="s">
        <v>547</v>
      </c>
      <c r="F82" s="241">
        <v>177.8</v>
      </c>
      <c r="G82" s="241" t="s">
        <v>28</v>
      </c>
      <c r="H82" s="241" t="s">
        <v>464</v>
      </c>
      <c r="I82" s="1617">
        <v>608.22</v>
      </c>
      <c r="J82" s="1617">
        <v>0</v>
      </c>
      <c r="K82" s="1617"/>
      <c r="L82" s="1319">
        <v>0</v>
      </c>
      <c r="M82" s="1617"/>
      <c r="N82" s="1278">
        <v>0</v>
      </c>
      <c r="O82" s="1617"/>
      <c r="P82" s="1278">
        <f t="shared" si="5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4"/>
        <v>0</v>
      </c>
      <c r="Z82" s="244">
        <f t="shared" si="31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23">
        <v>619.66</v>
      </c>
      <c r="E83" s="1623" t="s">
        <v>613</v>
      </c>
      <c r="F83" s="241">
        <v>177.8</v>
      </c>
      <c r="G83" s="241" t="s">
        <v>28</v>
      </c>
      <c r="H83" s="1299" t="s">
        <v>687</v>
      </c>
      <c r="I83" s="1623">
        <v>595.26</v>
      </c>
      <c r="J83" s="1623">
        <v>60</v>
      </c>
      <c r="K83" s="1623"/>
      <c r="L83" s="1319">
        <v>24</v>
      </c>
      <c r="M83" s="1623"/>
      <c r="N83" s="1278">
        <v>1.1000000000000001</v>
      </c>
      <c r="O83" s="1623"/>
      <c r="P83" s="1278">
        <f t="shared" si="5"/>
        <v>51.150467983142036</v>
      </c>
      <c r="Q83" s="1278">
        <f>(20/100)*J83</f>
        <v>12</v>
      </c>
      <c r="R83" s="244">
        <v>1.855</v>
      </c>
      <c r="S83" s="244">
        <v>1.881</v>
      </c>
      <c r="T83" s="1319">
        <v>2.5</v>
      </c>
      <c r="U83" s="244">
        <f t="shared" si="13"/>
        <v>1.3477088948787062</v>
      </c>
      <c r="V83" s="1278">
        <f t="shared" si="20"/>
        <v>1.3822434875066467</v>
      </c>
      <c r="W83" s="1279">
        <v>0.2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33"/>
        <v>0</v>
      </c>
      <c r="AG83" s="1281" t="s">
        <v>780</v>
      </c>
      <c r="AI83" s="1282">
        <f t="shared" ref="AI83:AI86" si="34">(9.81*(AJ83*(100%-(V83/100))+AK83*(V83/100))*(I83-L83)+N83*101.325+9.81*(AL83)*L83)/101.325</f>
        <v>51.150467983142036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617">
        <v>689.4</v>
      </c>
      <c r="E84" s="1617" t="s">
        <v>616</v>
      </c>
      <c r="F84" s="241">
        <v>177.8</v>
      </c>
      <c r="G84" s="241" t="s">
        <v>28</v>
      </c>
      <c r="H84" s="1299" t="s">
        <v>466</v>
      </c>
      <c r="I84" s="1617">
        <v>604.96</v>
      </c>
      <c r="J84" s="1617">
        <v>0</v>
      </c>
      <c r="K84" s="1617"/>
      <c r="L84" s="1319"/>
      <c r="M84" s="1617"/>
      <c r="N84" s="1278"/>
      <c r="O84" s="1617"/>
      <c r="P84" s="1278">
        <f t="shared" si="5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5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34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623">
        <v>577.12</v>
      </c>
      <c r="E85" s="1623" t="s">
        <v>614</v>
      </c>
      <c r="F85" s="241">
        <v>177.8</v>
      </c>
      <c r="G85" s="241" t="s">
        <v>28</v>
      </c>
      <c r="H85" s="241" t="s">
        <v>464</v>
      </c>
      <c r="I85" s="1623">
        <v>537.30999999999995</v>
      </c>
      <c r="J85" s="1623">
        <v>255</v>
      </c>
      <c r="K85" s="1623"/>
      <c r="L85" s="1319">
        <v>468.5</v>
      </c>
      <c r="M85" s="1623"/>
      <c r="N85" s="1278">
        <v>0</v>
      </c>
      <c r="O85" s="1623"/>
      <c r="P85" s="1278">
        <f t="shared" ref="P85:P86" si="36">AI85</f>
        <v>6.6568194199377331</v>
      </c>
      <c r="Q85" s="1278">
        <f>RIGHT(H85,(FIND("T",H85,1)-0))*J85/100</f>
        <v>35.700000000000003</v>
      </c>
      <c r="R85" s="244">
        <v>5.0049999999999999</v>
      </c>
      <c r="S85" s="244">
        <v>9.0210000000000008</v>
      </c>
      <c r="T85" s="1319">
        <v>6.5</v>
      </c>
      <c r="U85" s="244">
        <f t="shared" ref="U85" si="37">IF(R85=0,0,T85/R85)</f>
        <v>1.2987012987012987</v>
      </c>
      <c r="V85" s="1278">
        <f t="shared" si="20"/>
        <v>44.518346081365706</v>
      </c>
      <c r="W85" s="1279">
        <v>0.2</v>
      </c>
      <c r="X85" s="1410">
        <v>255</v>
      </c>
      <c r="Y85" s="1277">
        <f t="shared" si="35"/>
        <v>25.268907563025213</v>
      </c>
      <c r="Z85" s="244">
        <f t="shared" ref="Z85:AB86" si="38">R85*0.988</f>
        <v>4.9449399999999999</v>
      </c>
      <c r="AA85" s="244">
        <f t="shared" si="38"/>
        <v>8.9127480000000006</v>
      </c>
      <c r="AB85" s="1277">
        <f t="shared" si="38"/>
        <v>6.4219999999999997</v>
      </c>
      <c r="AC85" s="244">
        <f>U85</f>
        <v>1.2987012987012987</v>
      </c>
      <c r="AD85" s="244">
        <v>24.363</v>
      </c>
      <c r="AE85" s="241">
        <f t="shared" si="16"/>
        <v>31</v>
      </c>
      <c r="AF85" s="244">
        <f>Z85*AE85</f>
        <v>153.29313999999999</v>
      </c>
      <c r="AG85" s="1281"/>
      <c r="AI85" s="1282">
        <f t="shared" si="34"/>
        <v>6.6568194199377331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17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6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3"/>
        <v>0</v>
      </c>
      <c r="V86" s="1278" t="e">
        <f t="shared" si="20"/>
        <v>#DIV/0!</v>
      </c>
      <c r="W86" s="1279">
        <v>0</v>
      </c>
      <c r="X86" s="1449">
        <v>0</v>
      </c>
      <c r="Y86" s="1277">
        <f t="shared" si="35"/>
        <v>0</v>
      </c>
      <c r="Z86" s="244">
        <f t="shared" si="38"/>
        <v>0</v>
      </c>
      <c r="AA86" s="244">
        <f t="shared" si="38"/>
        <v>0</v>
      </c>
      <c r="AB86" s="1277">
        <f t="shared" si="38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34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617"/>
      <c r="E87" s="1617"/>
      <c r="F87" s="1274"/>
      <c r="G87" s="241"/>
      <c r="H87" s="241"/>
      <c r="I87" s="1617"/>
      <c r="J87" s="1617"/>
      <c r="K87" s="1617"/>
      <c r="L87" s="1617"/>
      <c r="M87" s="1617"/>
      <c r="N87" s="241"/>
      <c r="O87" s="1617"/>
      <c r="P87" s="1278"/>
      <c r="Q87" s="1269"/>
      <c r="R87" s="1348">
        <f>SUM(R19:R86)</f>
        <v>268.07000000000005</v>
      </c>
      <c r="S87" s="1348">
        <f>SUM(S19:S86)</f>
        <v>663.10399999999981</v>
      </c>
      <c r="T87" s="1349">
        <f>SUM(T19:T86)</f>
        <v>5765.3370000000004</v>
      </c>
      <c r="U87" s="1348">
        <f>T87/R87</f>
        <v>21.506834035886147</v>
      </c>
      <c r="V87" s="1348"/>
      <c r="W87" s="1350"/>
      <c r="X87" s="1410"/>
      <c r="Y87" s="1348"/>
      <c r="Z87" s="1348">
        <f>SUM(Z19:Z86)</f>
        <v>274.7650799999999</v>
      </c>
      <c r="AA87" s="1348">
        <f>SUM(AA19:AA86)</f>
        <v>696.70680000000016</v>
      </c>
      <c r="AB87" s="1351">
        <f>SUM(AB19:AB86)</f>
        <v>5789.4398159999992</v>
      </c>
      <c r="AC87" s="1348">
        <f>AB87/Z87</f>
        <v>21.070507999051411</v>
      </c>
      <c r="AD87" s="1348"/>
      <c r="AE87" s="1302"/>
      <c r="AF87" s="1348">
        <f>SUM(AF19:AF86)</f>
        <v>8126.0193279999994</v>
      </c>
      <c r="AG87" s="1281"/>
      <c r="AI87" s="1282"/>
    </row>
    <row r="88" spans="1:38" ht="18.75" customHeight="1" x14ac:dyDescent="0.2">
      <c r="A88" s="1347"/>
      <c r="B88" s="241"/>
      <c r="C88" s="241"/>
      <c r="D88" s="1617"/>
      <c r="E88" s="1617"/>
      <c r="F88" s="1274"/>
      <c r="G88" s="241"/>
      <c r="H88" s="241"/>
      <c r="I88" s="1617"/>
      <c r="J88" s="1617"/>
      <c r="K88" s="1617"/>
      <c r="L88" s="1617"/>
      <c r="M88" s="1617"/>
      <c r="N88" s="241"/>
      <c r="O88" s="1617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617"/>
      <c r="E89" s="1616" t="s">
        <v>388</v>
      </c>
      <c r="F89" s="1274"/>
      <c r="G89" s="241"/>
      <c r="H89" s="241"/>
      <c r="I89" s="1617"/>
      <c r="J89" s="1617"/>
      <c r="K89" s="1617"/>
      <c r="L89" s="1617"/>
      <c r="M89" s="1617"/>
      <c r="N89" s="241"/>
      <c r="O89" s="1617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617">
        <v>737.21</v>
      </c>
      <c r="E90" s="1617" t="s">
        <v>507</v>
      </c>
      <c r="F90" s="241">
        <v>177.8</v>
      </c>
      <c r="G90" s="241" t="s">
        <v>28</v>
      </c>
      <c r="H90" s="1354" t="s">
        <v>466</v>
      </c>
      <c r="I90" s="1617">
        <v>680.94</v>
      </c>
      <c r="J90" s="1617"/>
      <c r="K90" s="1617"/>
      <c r="L90" s="1617"/>
      <c r="M90" s="1617"/>
      <c r="N90" s="241"/>
      <c r="O90" s="1617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9">R90*0.988</f>
        <v>0</v>
      </c>
      <c r="AA90" s="244">
        <f t="shared" si="39"/>
        <v>0</v>
      </c>
      <c r="AB90" s="1277">
        <f t="shared" si="39"/>
        <v>0</v>
      </c>
      <c r="AC90" s="244">
        <f t="shared" ref="AC90:AD93" si="40">U90</f>
        <v>0</v>
      </c>
      <c r="AD90" s="244">
        <f t="shared" si="40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617">
        <v>695.15</v>
      </c>
      <c r="E91" s="1617" t="s">
        <v>508</v>
      </c>
      <c r="F91" s="1274">
        <v>177.8</v>
      </c>
      <c r="G91" s="241" t="s">
        <v>28</v>
      </c>
      <c r="H91" s="241" t="s">
        <v>491</v>
      </c>
      <c r="I91" s="1617">
        <v>658.9</v>
      </c>
      <c r="J91" s="1617"/>
      <c r="K91" s="1617"/>
      <c r="L91" s="1617"/>
      <c r="M91" s="1617"/>
      <c r="N91" s="241"/>
      <c r="O91" s="1617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9"/>
        <v>0</v>
      </c>
      <c r="AA91" s="244">
        <f t="shared" si="39"/>
        <v>0</v>
      </c>
      <c r="AB91" s="1277">
        <f t="shared" si="39"/>
        <v>0</v>
      </c>
      <c r="AC91" s="244">
        <f t="shared" si="40"/>
        <v>0</v>
      </c>
      <c r="AD91" s="244">
        <f t="shared" si="40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617">
        <v>685.69</v>
      </c>
      <c r="E92" s="1617" t="s">
        <v>579</v>
      </c>
      <c r="F92" s="241">
        <v>177.8</v>
      </c>
      <c r="G92" s="241" t="s">
        <v>28</v>
      </c>
      <c r="H92" s="1299" t="s">
        <v>466</v>
      </c>
      <c r="I92" s="1617">
        <v>639.97</v>
      </c>
      <c r="J92" s="1617"/>
      <c r="K92" s="1617"/>
      <c r="L92" s="1617"/>
      <c r="M92" s="1617"/>
      <c r="N92" s="241"/>
      <c r="O92" s="1617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9"/>
        <v>0</v>
      </c>
      <c r="AA92" s="244">
        <f t="shared" si="39"/>
        <v>0</v>
      </c>
      <c r="AB92" s="1277">
        <f t="shared" si="39"/>
        <v>0</v>
      </c>
      <c r="AC92" s="244">
        <f t="shared" si="40"/>
        <v>0</v>
      </c>
      <c r="AD92" s="244">
        <f t="shared" si="40"/>
        <v>0</v>
      </c>
      <c r="AE92" s="241">
        <v>0</v>
      </c>
      <c r="AF92" s="244">
        <f t="shared" ref="AF92:AF93" si="41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617">
        <v>9.5</v>
      </c>
      <c r="J93" s="1617"/>
      <c r="K93" s="1617"/>
      <c r="L93" s="1617"/>
      <c r="M93" s="1617"/>
      <c r="N93" s="241"/>
      <c r="O93" s="1617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9"/>
        <v>0</v>
      </c>
      <c r="AA93" s="244">
        <f t="shared" si="39"/>
        <v>0</v>
      </c>
      <c r="AB93" s="1277">
        <f t="shared" si="39"/>
        <v>0</v>
      </c>
      <c r="AC93" s="244">
        <f t="shared" si="40"/>
        <v>0</v>
      </c>
      <c r="AD93" s="244">
        <f t="shared" si="40"/>
        <v>0</v>
      </c>
      <c r="AE93" s="241">
        <v>0</v>
      </c>
      <c r="AF93" s="244">
        <f t="shared" si="41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617"/>
      <c r="K94" s="1617"/>
      <c r="L94" s="1617"/>
      <c r="M94" s="1617"/>
      <c r="N94" s="1617"/>
      <c r="O94" s="1617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617"/>
      <c r="K95" s="1617"/>
      <c r="L95" s="1617"/>
      <c r="M95" s="1617"/>
      <c r="N95" s="1617"/>
      <c r="O95" s="1617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617">
        <v>183.38</v>
      </c>
      <c r="J96" s="1617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42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43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4">R96*0.988</f>
        <v>0</v>
      </c>
      <c r="AA96" s="244">
        <f t="shared" si="44"/>
        <v>0</v>
      </c>
      <c r="AB96" s="244">
        <f t="shared" si="44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5">Z96*AE96</f>
        <v>0</v>
      </c>
      <c r="AG96" s="1285"/>
      <c r="AI96" s="1282">
        <f t="shared" ref="AI96:AI101" si="46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617">
        <v>136.35</v>
      </c>
      <c r="J97" s="1617">
        <v>0</v>
      </c>
      <c r="K97" s="1617"/>
      <c r="L97" s="1319">
        <v>27</v>
      </c>
      <c r="M97" s="1617"/>
      <c r="N97" s="1278">
        <v>0</v>
      </c>
      <c r="O97" s="1617"/>
      <c r="P97" s="1278">
        <f t="shared" si="42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43"/>
        <v>0</v>
      </c>
      <c r="V97" s="1278">
        <v>0</v>
      </c>
      <c r="W97" s="1279">
        <v>0.2</v>
      </c>
      <c r="X97" s="1410">
        <v>0</v>
      </c>
      <c r="Y97" s="1277">
        <f t="shared" ref="Y97:Y105" si="47">IF(S97=0,0,S97/Q97)*100</f>
        <v>0</v>
      </c>
      <c r="Z97" s="244">
        <f t="shared" si="44"/>
        <v>0</v>
      </c>
      <c r="AA97" s="244">
        <f t="shared" si="44"/>
        <v>0</v>
      </c>
      <c r="AB97" s="244">
        <f t="shared" si="44"/>
        <v>0</v>
      </c>
      <c r="AC97" s="244">
        <f t="shared" ref="AC97:AD101" si="48">U97</f>
        <v>0</v>
      </c>
      <c r="AD97" s="244">
        <f t="shared" si="48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6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617">
        <v>130.11000000000001</v>
      </c>
      <c r="J98" s="1617">
        <v>0</v>
      </c>
      <c r="K98" s="1617"/>
      <c r="L98" s="1319">
        <v>32</v>
      </c>
      <c r="M98" s="1617"/>
      <c r="N98" s="1278">
        <v>0</v>
      </c>
      <c r="O98" s="1617"/>
      <c r="P98" s="1278">
        <f t="shared" si="42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43"/>
        <v>0</v>
      </c>
      <c r="V98" s="1278">
        <v>0</v>
      </c>
      <c r="W98" s="1279">
        <v>0.2</v>
      </c>
      <c r="X98" s="1410">
        <v>0</v>
      </c>
      <c r="Y98" s="1277">
        <f t="shared" si="47"/>
        <v>0</v>
      </c>
      <c r="Z98" s="244">
        <f t="shared" si="44"/>
        <v>0</v>
      </c>
      <c r="AA98" s="244">
        <f t="shared" si="44"/>
        <v>0</v>
      </c>
      <c r="AB98" s="244">
        <f t="shared" si="44"/>
        <v>0</v>
      </c>
      <c r="AC98" s="244">
        <f t="shared" si="48"/>
        <v>0</v>
      </c>
      <c r="AD98" s="244">
        <f t="shared" si="48"/>
        <v>0</v>
      </c>
      <c r="AE98" s="241">
        <v>0</v>
      </c>
      <c r="AF98" s="244">
        <f t="shared" si="45"/>
        <v>0</v>
      </c>
      <c r="AG98" s="1285" t="s">
        <v>782</v>
      </c>
      <c r="AI98" s="1282">
        <f t="shared" si="46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617">
        <v>134.24</v>
      </c>
      <c r="J99" s="1617">
        <v>0</v>
      </c>
      <c r="K99" s="1617"/>
      <c r="L99" s="1319">
        <v>25</v>
      </c>
      <c r="M99" s="1617"/>
      <c r="N99" s="1278">
        <v>0.2</v>
      </c>
      <c r="O99" s="1617"/>
      <c r="P99" s="1278">
        <f t="shared" si="42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43"/>
        <v>0</v>
      </c>
      <c r="V99" s="1278">
        <v>0</v>
      </c>
      <c r="W99" s="1279">
        <v>0.2</v>
      </c>
      <c r="X99" s="1410">
        <v>0</v>
      </c>
      <c r="Y99" s="1277">
        <f t="shared" si="47"/>
        <v>0</v>
      </c>
      <c r="Z99" s="244">
        <f t="shared" si="44"/>
        <v>0</v>
      </c>
      <c r="AA99" s="244">
        <f t="shared" si="44"/>
        <v>0</v>
      </c>
      <c r="AB99" s="244">
        <f t="shared" si="44"/>
        <v>0</v>
      </c>
      <c r="AC99" s="244">
        <f t="shared" si="48"/>
        <v>0</v>
      </c>
      <c r="AD99" s="244">
        <f t="shared" si="48"/>
        <v>0</v>
      </c>
      <c r="AE99" s="241">
        <v>0</v>
      </c>
      <c r="AF99" s="244">
        <f t="shared" si="45"/>
        <v>0</v>
      </c>
      <c r="AG99" s="1281" t="s">
        <v>782</v>
      </c>
      <c r="AI99" s="1282">
        <f t="shared" si="46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617">
        <v>0</v>
      </c>
      <c r="K100" s="1617"/>
      <c r="L100" s="1319">
        <v>30</v>
      </c>
      <c r="M100" s="1617"/>
      <c r="N100" s="1278">
        <v>0.7</v>
      </c>
      <c r="O100" s="1617"/>
      <c r="P100" s="1278">
        <f t="shared" si="42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43"/>
        <v>0</v>
      </c>
      <c r="V100" s="1278">
        <v>0</v>
      </c>
      <c r="W100" s="1279">
        <v>0.2</v>
      </c>
      <c r="X100" s="1410">
        <v>0</v>
      </c>
      <c r="Y100" s="1277">
        <f t="shared" si="47"/>
        <v>0</v>
      </c>
      <c r="Z100" s="244">
        <f t="shared" si="44"/>
        <v>0</v>
      </c>
      <c r="AA100" s="244">
        <f t="shared" si="44"/>
        <v>0</v>
      </c>
      <c r="AB100" s="244">
        <f t="shared" si="44"/>
        <v>0</v>
      </c>
      <c r="AC100" s="244">
        <f t="shared" si="48"/>
        <v>0</v>
      </c>
      <c r="AD100" s="244">
        <f t="shared" si="48"/>
        <v>0</v>
      </c>
      <c r="AE100" s="241">
        <v>0</v>
      </c>
      <c r="AF100" s="244">
        <f t="shared" si="45"/>
        <v>0</v>
      </c>
      <c r="AG100" s="1363" t="s">
        <v>782</v>
      </c>
      <c r="AI100" s="1282">
        <f t="shared" si="46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42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43"/>
        <v>0</v>
      </c>
      <c r="V101" s="1278">
        <v>0</v>
      </c>
      <c r="W101" s="1355">
        <v>0.2</v>
      </c>
      <c r="X101" s="1410">
        <v>0</v>
      </c>
      <c r="Y101" s="1277">
        <f t="shared" si="47"/>
        <v>0</v>
      </c>
      <c r="Z101" s="244">
        <f t="shared" si="44"/>
        <v>0</v>
      </c>
      <c r="AA101" s="244">
        <f t="shared" si="44"/>
        <v>0</v>
      </c>
      <c r="AB101" s="244">
        <f t="shared" si="44"/>
        <v>0</v>
      </c>
      <c r="AC101" s="244">
        <f t="shared" si="48"/>
        <v>0</v>
      </c>
      <c r="AD101" s="244">
        <f t="shared" si="48"/>
        <v>0</v>
      </c>
      <c r="AE101" s="241">
        <v>0</v>
      </c>
      <c r="AF101" s="244">
        <f t="shared" si="45"/>
        <v>0</v>
      </c>
      <c r="AG101" s="1363" t="s">
        <v>782</v>
      </c>
      <c r="AI101" s="1282">
        <f t="shared" si="46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7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7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617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9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7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617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9"/>
        <v>0</v>
      </c>
      <c r="V105" s="1278">
        <v>0.3</v>
      </c>
      <c r="W105" s="1279">
        <v>0.3</v>
      </c>
      <c r="X105" s="1449">
        <v>0</v>
      </c>
      <c r="Y105" s="1277">
        <f t="shared" si="47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617"/>
      <c r="G106" s="1614"/>
      <c r="H106" s="1616"/>
      <c r="I106" s="1616"/>
      <c r="J106" s="1617"/>
      <c r="K106" s="1617"/>
      <c r="L106" s="1617"/>
      <c r="M106" s="1617"/>
      <c r="N106" s="1617"/>
      <c r="O106" s="1617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614"/>
      <c r="W106" s="1615"/>
      <c r="X106" s="1410"/>
      <c r="Y106" s="1614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614"/>
      <c r="AE106" s="1617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614"/>
      <c r="H108" s="1616"/>
      <c r="I108" s="1616"/>
      <c r="J108" s="1617"/>
      <c r="K108" s="1617"/>
      <c r="L108" s="1617"/>
      <c r="M108" s="1617"/>
      <c r="N108" s="1617"/>
      <c r="O108" s="1617"/>
      <c r="P108" s="1269"/>
      <c r="Q108" s="1269"/>
      <c r="R108" s="1617"/>
      <c r="S108" s="1617"/>
      <c r="T108" s="1617"/>
      <c r="U108" s="1614"/>
      <c r="V108" s="1614"/>
      <c r="W108" s="1615"/>
      <c r="X108" s="1410"/>
      <c r="Y108" s="1614"/>
      <c r="Z108" s="1617"/>
      <c r="AA108" s="1617"/>
      <c r="AB108" s="1617"/>
      <c r="AC108" s="1614"/>
      <c r="AD108" s="1614"/>
      <c r="AE108" s="1617"/>
      <c r="AF108" s="1617"/>
      <c r="AG108" s="1619"/>
    </row>
    <row r="109" spans="1:38" ht="18.75" customHeight="1" x14ac:dyDescent="0.2">
      <c r="A109" s="1273">
        <v>83</v>
      </c>
      <c r="B109" s="1317" t="s">
        <v>107</v>
      </c>
      <c r="C109" s="1617" t="s">
        <v>109</v>
      </c>
      <c r="D109" s="1617"/>
      <c r="E109" s="1617"/>
      <c r="F109" s="1617"/>
      <c r="G109" s="1614"/>
      <c r="H109" s="1616"/>
      <c r="I109" s="1616"/>
      <c r="J109" s="1617"/>
      <c r="K109" s="1617"/>
      <c r="L109" s="1617"/>
      <c r="M109" s="1617"/>
      <c r="N109" s="1617"/>
      <c r="O109" s="1617"/>
      <c r="P109" s="1269"/>
      <c r="Q109" s="1269"/>
      <c r="R109" s="1617"/>
      <c r="S109" s="1617"/>
      <c r="T109" s="1617"/>
      <c r="U109" s="1614"/>
      <c r="V109" s="1614"/>
      <c r="W109" s="1615"/>
      <c r="X109" s="1410"/>
      <c r="Y109" s="1614"/>
      <c r="Z109" s="1616"/>
      <c r="AA109" s="1616"/>
      <c r="AB109" s="1617"/>
      <c r="AC109" s="1614"/>
      <c r="AD109" s="1614"/>
      <c r="AE109" s="1373"/>
      <c r="AF109" s="1617"/>
      <c r="AG109" s="1619"/>
    </row>
    <row r="110" spans="1:38" ht="18.75" customHeight="1" x14ac:dyDescent="0.2">
      <c r="A110" s="1273">
        <v>84</v>
      </c>
      <c r="B110" s="1317" t="s">
        <v>108</v>
      </c>
      <c r="C110" s="1617" t="s">
        <v>109</v>
      </c>
      <c r="D110" s="1617"/>
      <c r="E110" s="1617"/>
      <c r="F110" s="1617"/>
      <c r="G110" s="1614"/>
      <c r="H110" s="1616"/>
      <c r="I110" s="1616"/>
      <c r="J110" s="1617"/>
      <c r="K110" s="1617"/>
      <c r="L110" s="1617"/>
      <c r="M110" s="1617"/>
      <c r="N110" s="1617"/>
      <c r="O110" s="1617"/>
      <c r="P110" s="1269"/>
      <c r="Q110" s="1269"/>
      <c r="R110" s="1301"/>
      <c r="S110" s="1617"/>
      <c r="T110" s="1617"/>
      <c r="U110" s="1614"/>
      <c r="V110" s="1614"/>
      <c r="W110" s="1615"/>
      <c r="X110" s="1410"/>
      <c r="Y110" s="1614"/>
      <c r="Z110" s="1616"/>
      <c r="AA110" s="1616"/>
      <c r="AB110" s="1617"/>
      <c r="AC110" s="1614"/>
      <c r="AD110" s="1614"/>
      <c r="AE110" s="1373"/>
      <c r="AF110" s="1617"/>
      <c r="AG110" s="1619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617"/>
      <c r="E111" s="1617"/>
      <c r="F111" s="1617"/>
      <c r="G111" s="1614"/>
      <c r="H111" s="1616"/>
      <c r="I111" s="1616"/>
      <c r="J111" s="1617"/>
      <c r="K111" s="1617"/>
      <c r="L111" s="1617"/>
      <c r="M111" s="1617"/>
      <c r="N111" s="1617"/>
      <c r="O111" s="1617"/>
      <c r="P111" s="1269"/>
      <c r="Q111" s="1269"/>
      <c r="R111" s="1617"/>
      <c r="S111" s="1617"/>
      <c r="T111" s="1617"/>
      <c r="U111" s="1614"/>
      <c r="V111" s="1614"/>
      <c r="W111" s="1615"/>
      <c r="X111" s="1410"/>
      <c r="Y111" s="1614"/>
      <c r="Z111" s="1616"/>
      <c r="AA111" s="1616"/>
      <c r="AB111" s="1617"/>
      <c r="AC111" s="1614"/>
      <c r="AD111" s="1614"/>
      <c r="AE111" s="1373"/>
      <c r="AF111" s="1617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617"/>
      <c r="E112" s="1617"/>
      <c r="F112" s="1617"/>
      <c r="G112" s="1614"/>
      <c r="H112" s="1616"/>
      <c r="I112" s="1616"/>
      <c r="J112" s="1617"/>
      <c r="K112" s="1617"/>
      <c r="L112" s="1617"/>
      <c r="M112" s="1617"/>
      <c r="N112" s="1617"/>
      <c r="O112" s="1617"/>
      <c r="P112" s="1269"/>
      <c r="Q112" s="1269"/>
      <c r="R112" s="1617"/>
      <c r="S112" s="1617"/>
      <c r="T112" s="1617"/>
      <c r="U112" s="1614"/>
      <c r="V112" s="1614"/>
      <c r="W112" s="1615"/>
      <c r="X112" s="1410"/>
      <c r="Y112" s="1614"/>
      <c r="Z112" s="1616"/>
      <c r="AA112" s="1616"/>
      <c r="AB112" s="1617"/>
      <c r="AC112" s="1614"/>
      <c r="AD112" s="1614"/>
      <c r="AE112" s="1373"/>
      <c r="AF112" s="1617"/>
      <c r="AG112" s="1285"/>
    </row>
    <row r="113" spans="1:33" ht="18.75" customHeight="1" x14ac:dyDescent="0.2">
      <c r="A113" s="1273"/>
      <c r="B113" s="1262"/>
      <c r="C113" s="1371"/>
      <c r="D113" s="1371"/>
      <c r="E113" s="1616" t="s">
        <v>278</v>
      </c>
      <c r="F113" s="1371"/>
      <c r="G113" s="1614"/>
      <c r="H113" s="1616"/>
      <c r="I113" s="1616"/>
      <c r="J113" s="1617"/>
      <c r="K113" s="1617"/>
      <c r="L113" s="1617"/>
      <c r="M113" s="1617"/>
      <c r="N113" s="1617"/>
      <c r="O113" s="1617"/>
      <c r="P113" s="1269"/>
      <c r="Q113" s="1269"/>
      <c r="R113" s="1617"/>
      <c r="S113" s="1617"/>
      <c r="T113" s="1617"/>
      <c r="U113" s="1614"/>
      <c r="V113" s="1614"/>
      <c r="W113" s="1615"/>
      <c r="X113" s="1410"/>
      <c r="Y113" s="1614"/>
      <c r="Z113" s="1301"/>
      <c r="AA113" s="1617"/>
      <c r="AB113" s="1617"/>
      <c r="AC113" s="1614"/>
      <c r="AD113" s="1614"/>
      <c r="AE113" s="1617"/>
      <c r="AF113" s="1617"/>
      <c r="AG113" s="1619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617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617">
        <v>625.1</v>
      </c>
      <c r="E115" s="1617" t="s">
        <v>578</v>
      </c>
      <c r="F115" s="241">
        <v>177.8</v>
      </c>
      <c r="G115" s="241"/>
      <c r="H115" s="241"/>
      <c r="I115" s="244"/>
      <c r="J115" s="1617"/>
      <c r="K115" s="1617"/>
      <c r="L115" s="1617"/>
      <c r="M115" s="1617"/>
      <c r="N115" s="1617"/>
      <c r="O115" s="1617"/>
      <c r="P115" s="1269"/>
      <c r="Q115" s="1269"/>
      <c r="R115" s="1617"/>
      <c r="S115" s="1617"/>
      <c r="T115" s="1617"/>
      <c r="U115" s="1614"/>
      <c r="V115" s="1614"/>
      <c r="W115" s="1615"/>
      <c r="X115" s="1410"/>
      <c r="Y115" s="1376"/>
      <c r="Z115" s="1319"/>
      <c r="AA115" s="1617"/>
      <c r="AB115" s="1617"/>
      <c r="AC115" s="1614"/>
      <c r="AD115" s="1617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617"/>
      <c r="J116" s="1617"/>
      <c r="K116" s="1617"/>
      <c r="L116" s="1617"/>
      <c r="M116" s="1617"/>
      <c r="N116" s="1617"/>
      <c r="O116" s="1617"/>
      <c r="P116" s="1269"/>
      <c r="Q116" s="1270"/>
      <c r="R116" s="1617"/>
      <c r="S116" s="1617"/>
      <c r="T116" s="1617"/>
      <c r="U116" s="1614"/>
      <c r="V116" s="1614"/>
      <c r="W116" s="1615"/>
      <c r="X116" s="1410"/>
      <c r="Y116" s="1376"/>
      <c r="Z116" s="1319"/>
      <c r="AA116" s="1617"/>
      <c r="AB116" s="1617"/>
      <c r="AC116" s="1614"/>
      <c r="AD116" s="1617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617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617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610"/>
      <c r="C119" s="1610"/>
      <c r="D119" s="1610"/>
      <c r="E119" s="1611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268.07000000000005</v>
      </c>
      <c r="S119" s="1386">
        <f>S87+S94+S106</f>
        <v>663.10399999999981</v>
      </c>
      <c r="T119" s="1387">
        <f>T87+T94+T106</f>
        <v>5765.3370000000004</v>
      </c>
      <c r="U119" s="1386">
        <f>T119/R119</f>
        <v>21.506834035886147</v>
      </c>
      <c r="V119" s="1386"/>
      <c r="W119" s="1388"/>
      <c r="X119" s="1456"/>
      <c r="Y119" s="1386"/>
      <c r="Z119" s="1386">
        <f>Z87+Z94+Z106</f>
        <v>274.7650799999999</v>
      </c>
      <c r="AA119" s="1386">
        <f>AA87+AA106+AA94</f>
        <v>696.70680000000016</v>
      </c>
      <c r="AB119" s="1387">
        <f>AB87+AB106+AB94</f>
        <v>5789.4398159999992</v>
      </c>
      <c r="AC119" s="1386">
        <f>AC87+AC106+AC94</f>
        <v>21.070507999051411</v>
      </c>
      <c r="AD119" s="1386"/>
      <c r="AE119" s="1386"/>
      <c r="AF119" s="1390">
        <f>AF87+AF94+AF106</f>
        <v>8126.0193279999994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618"/>
      <c r="D121" s="148"/>
      <c r="E121" s="1394">
        <v>0.97</v>
      </c>
      <c r="F121" s="148"/>
      <c r="G121" s="148" t="s">
        <v>102</v>
      </c>
      <c r="H121" s="1618"/>
      <c r="I121" s="1395"/>
      <c r="J121" s="148"/>
      <c r="K121" s="1983">
        <f>AF119*E121</f>
        <v>7882.238748159999</v>
      </c>
      <c r="L121" s="1984"/>
      <c r="M121" s="1984"/>
      <c r="N121" s="1618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618"/>
      <c r="D122" s="148"/>
      <c r="E122" s="154"/>
      <c r="F122" s="148"/>
      <c r="G122" s="148" t="s">
        <v>733</v>
      </c>
      <c r="H122" s="1618"/>
      <c r="I122" s="1395"/>
      <c r="J122" s="148"/>
      <c r="K122" s="1618"/>
      <c r="L122" s="1397"/>
      <c r="M122" s="148">
        <f>K121*0.875</f>
        <v>6896.9589046399988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613"/>
      <c r="Z122" s="1613"/>
      <c r="AA122" s="150"/>
      <c r="AB122" s="1613"/>
      <c r="AC122" s="1613"/>
      <c r="AD122" s="1613"/>
      <c r="AE122" s="1613"/>
      <c r="AF122" s="1613"/>
      <c r="AG122" s="1400"/>
    </row>
    <row r="123" spans="1:33" ht="15" x14ac:dyDescent="0.2">
      <c r="B123" s="148"/>
      <c r="C123" s="1618"/>
      <c r="D123" s="148"/>
      <c r="E123" s="154"/>
      <c r="F123" s="148"/>
      <c r="G123" s="148"/>
      <c r="H123" s="1618"/>
      <c r="I123" s="1395"/>
      <c r="J123" s="148"/>
      <c r="K123" s="1618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613"/>
      <c r="Z123" s="1613"/>
      <c r="AA123" s="1613"/>
      <c r="AB123" s="1613"/>
      <c r="AC123" s="1613"/>
      <c r="AD123" s="1613"/>
      <c r="AE123" s="1613"/>
      <c r="AF123" s="1613"/>
      <c r="AG123" s="1400"/>
    </row>
    <row r="124" spans="1:33" ht="15" x14ac:dyDescent="0.2">
      <c r="B124" s="148"/>
      <c r="C124" s="1618"/>
      <c r="D124" s="148"/>
      <c r="E124" s="154"/>
      <c r="F124" s="148"/>
      <c r="G124" s="148"/>
      <c r="H124" s="1618"/>
      <c r="I124" s="1395"/>
      <c r="J124" s="148"/>
      <c r="K124" s="1618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613"/>
      <c r="Z124" s="1613"/>
      <c r="AA124" s="1613"/>
      <c r="AB124" s="1613"/>
      <c r="AC124" s="1613"/>
      <c r="AD124" s="1613"/>
      <c r="AE124" s="1613"/>
      <c r="AF124" s="1613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618"/>
      <c r="L125" s="1618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613" t="s">
        <v>561</v>
      </c>
      <c r="AD125" s="1613"/>
      <c r="AE125" s="1613"/>
      <c r="AF125" s="1613"/>
      <c r="AG125" s="1613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  <ignoredErrors>
    <ignoredError sqref="AC69:AD69" formula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0BBA7-0FBA-472F-8EB3-72878E4E5B7F}">
  <dimension ref="A1:AQ129"/>
  <sheetViews>
    <sheetView topLeftCell="A13" zoomScale="80" zoomScaleNormal="8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A13" sqref="A13:D1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632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632"/>
      <c r="F2" s="1632"/>
      <c r="G2" s="1625"/>
      <c r="H2" s="1631"/>
      <c r="I2" s="1631"/>
      <c r="J2" s="1631"/>
      <c r="K2" s="1631"/>
      <c r="L2" s="1631"/>
      <c r="M2" s="1631"/>
      <c r="N2" s="1631"/>
      <c r="O2" s="1631"/>
      <c r="P2" s="1631"/>
      <c r="Q2" s="1256"/>
      <c r="R2" s="1632"/>
      <c r="S2" s="1632"/>
      <c r="T2" s="1632"/>
      <c r="U2" s="1632"/>
      <c r="V2" s="1632"/>
      <c r="W2" s="1632"/>
      <c r="X2" s="1631"/>
      <c r="Y2" s="1632"/>
      <c r="Z2" s="1632"/>
      <c r="AA2" s="1632"/>
      <c r="AC2" s="1632"/>
      <c r="AD2" s="1632"/>
      <c r="AE2" s="1632"/>
      <c r="AF2" s="1998" t="s">
        <v>750</v>
      </c>
      <c r="AG2" s="1998"/>
    </row>
    <row r="3" spans="1:38" ht="15.75" x14ac:dyDescent="0.25">
      <c r="A3" s="1408" t="s">
        <v>751</v>
      </c>
      <c r="B3" s="1626"/>
      <c r="C3" s="1626"/>
      <c r="D3" s="1626"/>
      <c r="E3" s="1632"/>
      <c r="F3" s="1632"/>
      <c r="G3" s="1625"/>
      <c r="H3" s="1631"/>
      <c r="I3" s="1631"/>
      <c r="J3" s="1631"/>
      <c r="K3" s="1631"/>
      <c r="L3" s="1631"/>
      <c r="M3" s="1631"/>
      <c r="N3" s="1631"/>
      <c r="O3" s="1631"/>
      <c r="P3" s="1631"/>
      <c r="Q3" s="1256"/>
      <c r="R3" s="1632"/>
      <c r="S3" s="1632"/>
      <c r="T3" s="1632"/>
      <c r="U3" s="1632"/>
      <c r="V3" s="1632"/>
      <c r="W3" s="1632"/>
      <c r="X3" s="1631"/>
      <c r="Y3" s="1632"/>
      <c r="Z3" s="1632"/>
      <c r="AA3" s="1632"/>
      <c r="AB3" s="1632"/>
      <c r="AC3" s="1260"/>
      <c r="AE3" s="1222"/>
      <c r="AF3" s="1631" t="s">
        <v>739</v>
      </c>
      <c r="AG3" s="1494"/>
    </row>
    <row r="4" spans="1:38" ht="15" x14ac:dyDescent="0.25">
      <c r="A4" s="1976"/>
      <c r="B4" s="1976"/>
      <c r="C4" s="1976"/>
      <c r="D4" s="1976"/>
      <c r="E4" s="1627"/>
      <c r="F4" s="1632"/>
      <c r="G4" s="1625"/>
      <c r="H4" s="1625"/>
      <c r="I4" s="1631"/>
      <c r="J4" s="1631"/>
      <c r="K4" s="1631"/>
      <c r="L4" s="1631"/>
      <c r="M4" s="1631"/>
      <c r="N4" s="1631"/>
      <c r="O4" s="1631"/>
      <c r="P4" s="1631"/>
      <c r="Q4" s="1256"/>
      <c r="R4" s="1624"/>
      <c r="S4" s="1624"/>
      <c r="T4" s="1624"/>
      <c r="U4" s="1624"/>
      <c r="V4" s="1624"/>
      <c r="W4" s="1624"/>
      <c r="X4" s="1631"/>
      <c r="Y4" s="1632"/>
      <c r="Z4" s="1632"/>
      <c r="AB4" s="1632"/>
      <c r="AD4" s="1632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632"/>
      <c r="F5" s="1632"/>
      <c r="G5" s="1625"/>
      <c r="H5" s="1625"/>
      <c r="I5" s="1632"/>
      <c r="J5" s="1632"/>
      <c r="K5" s="1625"/>
      <c r="L5" s="1625"/>
      <c r="M5" s="1632"/>
      <c r="N5" s="1632"/>
      <c r="O5" s="1632"/>
      <c r="P5" s="149"/>
      <c r="Q5" s="1257"/>
      <c r="R5" s="1632"/>
      <c r="S5" s="1632"/>
      <c r="T5" s="1632"/>
      <c r="U5" s="1632"/>
      <c r="V5" s="1632"/>
      <c r="W5" s="1632"/>
      <c r="X5" s="1632"/>
      <c r="Y5" s="1632"/>
      <c r="Z5" s="1632"/>
      <c r="AA5" s="1632"/>
      <c r="AB5" s="1632"/>
      <c r="AC5" s="1632"/>
      <c r="AD5" s="1632"/>
      <c r="AG5" s="151"/>
    </row>
    <row r="6" spans="1:38" ht="27" customHeight="1" x14ac:dyDescent="0.2">
      <c r="A6" s="1942"/>
      <c r="B6" s="1942"/>
      <c r="C6" s="1942"/>
      <c r="D6" s="1942"/>
      <c r="E6" s="1632"/>
      <c r="F6" s="1632"/>
      <c r="G6" s="1625"/>
      <c r="H6" s="1625"/>
      <c r="I6" s="1632"/>
      <c r="J6" s="1632"/>
      <c r="K6" s="1625"/>
      <c r="L6" s="1625"/>
      <c r="M6" s="1632"/>
      <c r="N6" s="1632"/>
      <c r="O6" s="1632"/>
      <c r="P6" s="149"/>
      <c r="Q6" s="1257"/>
      <c r="R6" s="1632"/>
      <c r="S6" s="1632"/>
      <c r="T6" s="1632"/>
      <c r="U6" s="1632"/>
      <c r="V6" s="1632"/>
      <c r="W6" s="1632"/>
      <c r="X6" s="1632"/>
      <c r="Y6" s="1632"/>
      <c r="Z6" s="1632"/>
      <c r="AA6" s="1632"/>
      <c r="AB6" s="1632"/>
      <c r="AC6" s="1632"/>
      <c r="AD6" s="1632"/>
      <c r="AE6" s="1632"/>
      <c r="AF6" s="1632"/>
    </row>
    <row r="7" spans="1:38" ht="27" customHeight="1" x14ac:dyDescent="0.2">
      <c r="A7" s="1942" t="s">
        <v>54</v>
      </c>
      <c r="B7" s="1942"/>
      <c r="C7" s="1942"/>
      <c r="D7" s="1942"/>
      <c r="E7" s="1632"/>
      <c r="F7" s="1632"/>
      <c r="G7" s="1625"/>
      <c r="H7" s="1625"/>
      <c r="I7" s="1632"/>
      <c r="J7" s="1632"/>
      <c r="K7" s="1625"/>
      <c r="L7" s="1625"/>
      <c r="M7" s="1632"/>
      <c r="N7" s="1632"/>
      <c r="O7" s="1632"/>
      <c r="P7" s="149"/>
      <c r="Q7" s="1257"/>
      <c r="R7" s="1632"/>
      <c r="S7" s="1632"/>
      <c r="T7" s="1632"/>
      <c r="U7" s="1632"/>
      <c r="V7" s="1632"/>
      <c r="W7" s="1632"/>
      <c r="X7" s="1632"/>
      <c r="Y7" s="1632"/>
      <c r="Z7" s="1632"/>
      <c r="AA7" s="1632"/>
      <c r="AB7" s="1632"/>
      <c r="AC7" s="1632"/>
      <c r="AD7" s="1632"/>
      <c r="AE7" s="1632"/>
      <c r="AF7" s="1632"/>
    </row>
    <row r="8" spans="1:38" ht="27" customHeight="1" x14ac:dyDescent="0.2">
      <c r="A8" s="1977" t="s">
        <v>736</v>
      </c>
      <c r="B8" s="1977"/>
      <c r="C8" s="1977"/>
      <c r="D8" s="1977"/>
      <c r="E8" s="1632"/>
      <c r="F8" s="1632"/>
      <c r="G8" s="1625"/>
      <c r="H8" s="1625"/>
      <c r="I8" s="1632"/>
      <c r="J8" s="1632"/>
      <c r="K8" s="1625"/>
      <c r="L8" s="1625"/>
      <c r="M8" s="1632"/>
      <c r="N8" s="1632"/>
      <c r="O8" s="1632"/>
      <c r="P8" s="149"/>
      <c r="Q8" s="1257"/>
      <c r="R8" s="1632"/>
      <c r="S8" s="1632"/>
      <c r="T8" s="1632"/>
      <c r="U8" s="1632"/>
      <c r="V8" s="1632"/>
      <c r="W8" s="1632"/>
      <c r="X8" s="1632"/>
      <c r="Y8" s="1632"/>
      <c r="Z8" s="1632"/>
      <c r="AA8" s="1632"/>
      <c r="AB8" s="1632"/>
      <c r="AC8" s="1632"/>
      <c r="AD8" s="1632"/>
      <c r="AE8" s="1632"/>
      <c r="AF8" s="1632"/>
    </row>
    <row r="9" spans="1:38" ht="27" customHeight="1" x14ac:dyDescent="0.2">
      <c r="A9" s="1408" t="s">
        <v>737</v>
      </c>
      <c r="B9" s="1626"/>
      <c r="C9" s="1626"/>
      <c r="D9" s="1626"/>
      <c r="E9" s="1632"/>
      <c r="F9" s="1632"/>
      <c r="G9" s="1625"/>
      <c r="H9" s="1625"/>
      <c r="I9" s="1632"/>
      <c r="J9" s="1632"/>
      <c r="K9" s="1625"/>
      <c r="L9" s="1625"/>
      <c r="M9" s="1632"/>
      <c r="N9" s="1632"/>
      <c r="O9" s="1632"/>
      <c r="P9" s="149"/>
      <c r="Q9" s="1257"/>
      <c r="R9" s="1632"/>
      <c r="S9" s="1632"/>
      <c r="T9" s="1632"/>
      <c r="U9" s="1632"/>
      <c r="V9" s="1632"/>
      <c r="W9" s="1632"/>
      <c r="X9" s="1632"/>
      <c r="Y9" s="1632"/>
      <c r="Z9" s="1632"/>
      <c r="AA9" s="1632"/>
      <c r="AB9" s="1632"/>
      <c r="AC9" s="1632"/>
      <c r="AD9" s="1632"/>
      <c r="AE9" s="1632"/>
      <c r="AF9" s="1632"/>
    </row>
    <row r="10" spans="1:38" ht="27" customHeight="1" x14ac:dyDescent="0.2">
      <c r="A10" s="1976"/>
      <c r="B10" s="1976"/>
      <c r="C10" s="1976"/>
      <c r="D10" s="1976"/>
      <c r="E10" s="1627"/>
      <c r="F10" s="1632"/>
      <c r="G10" s="1625"/>
      <c r="H10" s="1625"/>
      <c r="I10" s="1632"/>
      <c r="J10" s="1632"/>
      <c r="K10" s="1625"/>
      <c r="L10" s="1625"/>
      <c r="M10" s="1632"/>
      <c r="N10" s="1632"/>
      <c r="O10" s="1632"/>
      <c r="P10" s="149"/>
      <c r="Q10" s="1257"/>
      <c r="R10" s="1632"/>
      <c r="S10" s="1632"/>
      <c r="T10" s="1632"/>
      <c r="U10" s="1632"/>
      <c r="V10" s="1632"/>
      <c r="W10" s="1632"/>
      <c r="X10" s="1632"/>
      <c r="Y10" s="1632"/>
      <c r="Z10" s="1632"/>
      <c r="AA10" s="1632"/>
      <c r="AB10" s="1632"/>
      <c r="AC10" s="1632"/>
      <c r="AD10" s="1632"/>
      <c r="AE10" s="1632"/>
      <c r="AF10" s="1632"/>
    </row>
    <row r="11" spans="1:38" ht="27" customHeight="1" x14ac:dyDescent="0.2">
      <c r="A11" s="1976" t="s">
        <v>740</v>
      </c>
      <c r="B11" s="1976"/>
      <c r="C11" s="1976"/>
      <c r="D11" s="1976"/>
      <c r="E11" s="1632"/>
      <c r="F11" s="1632"/>
      <c r="G11" s="1625"/>
      <c r="H11" s="1625"/>
      <c r="I11" s="1632"/>
      <c r="J11" s="1632"/>
      <c r="K11" s="1625"/>
      <c r="L11" s="1625"/>
      <c r="M11" s="1632"/>
      <c r="N11" s="1632"/>
      <c r="O11" s="1632"/>
      <c r="P11" s="149"/>
      <c r="Q11" s="1257"/>
      <c r="R11" s="1632"/>
      <c r="S11" s="1632"/>
      <c r="T11" s="1632"/>
      <c r="U11" s="1632"/>
      <c r="V11" s="1632"/>
      <c r="W11" s="1632"/>
      <c r="X11" s="1632"/>
      <c r="Y11" s="1632"/>
      <c r="Z11" s="1632"/>
      <c r="AA11" s="1632"/>
      <c r="AB11" s="1632"/>
      <c r="AC11" s="1632"/>
      <c r="AD11" s="1632"/>
      <c r="AE11" s="1632"/>
      <c r="AF11" s="1632"/>
    </row>
    <row r="12" spans="1:38" ht="27" customHeight="1" x14ac:dyDescent="0.2">
      <c r="A12" s="1628"/>
      <c r="B12" s="1628"/>
      <c r="C12" s="1628"/>
      <c r="D12" s="1628"/>
      <c r="E12" s="1632"/>
      <c r="F12" s="1632"/>
      <c r="G12" s="1625"/>
      <c r="H12" s="1625"/>
      <c r="I12" s="1632"/>
      <c r="J12" s="1632"/>
      <c r="K12" s="1625"/>
      <c r="L12" s="1625"/>
      <c r="M12" s="1632"/>
      <c r="N12" s="1632"/>
      <c r="O12" s="1632"/>
      <c r="P12" s="149"/>
      <c r="Q12" s="1257"/>
      <c r="R12" s="1632"/>
      <c r="S12" s="1632"/>
      <c r="T12" s="1632"/>
      <c r="U12" s="1632"/>
      <c r="V12" s="1632"/>
      <c r="W12" s="1632"/>
      <c r="X12" s="1632"/>
      <c r="Y12" s="1632"/>
      <c r="Z12" s="1632"/>
      <c r="AA12" s="1632"/>
      <c r="AB12" s="1632"/>
      <c r="AC12" s="1632"/>
      <c r="AD12" s="1632"/>
      <c r="AE12" s="1632"/>
      <c r="AF12" s="1632"/>
    </row>
    <row r="13" spans="1:38" ht="32.25" customHeight="1" x14ac:dyDescent="0.25">
      <c r="A13" s="1976"/>
      <c r="B13" s="1976"/>
      <c r="C13" s="1976"/>
      <c r="D13" s="1976"/>
      <c r="E13" s="1627"/>
      <c r="F13" s="1632"/>
      <c r="G13" s="1625"/>
      <c r="H13" s="1625"/>
      <c r="I13" s="140"/>
      <c r="J13" s="1632"/>
      <c r="K13" s="1625"/>
      <c r="L13" s="1625"/>
      <c r="M13" s="1632"/>
      <c r="N13" s="1632"/>
      <c r="O13" s="1632"/>
      <c r="P13" s="149"/>
      <c r="Q13" s="1257"/>
      <c r="R13" s="1632"/>
      <c r="S13" s="1632"/>
      <c r="T13" s="1632"/>
      <c r="U13" s="1632"/>
      <c r="V13" s="1632"/>
      <c r="W13" s="147"/>
      <c r="X13" s="1632"/>
      <c r="Y13" s="1632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25"/>
      <c r="C14" s="1625"/>
      <c r="D14" s="1625"/>
      <c r="E14" s="1632"/>
      <c r="F14" s="1632"/>
      <c r="G14" s="1625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632"/>
      <c r="Z14" s="148"/>
      <c r="AA14" s="148"/>
      <c r="AB14" s="148"/>
      <c r="AC14" s="148"/>
    </row>
    <row r="15" spans="1:38" ht="31.5" customHeight="1" thickBot="1" x14ac:dyDescent="0.25">
      <c r="B15" s="1625"/>
      <c r="C15" s="1625"/>
      <c r="D15" s="1625"/>
      <c r="E15" s="1632"/>
      <c r="F15" s="1632"/>
      <c r="G15" s="1625"/>
      <c r="H15" s="1625"/>
      <c r="I15" s="140"/>
      <c r="J15" s="1964" t="s">
        <v>787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632"/>
      <c r="Y15" s="1632"/>
      <c r="Z15" s="148"/>
      <c r="AA15" s="148"/>
      <c r="AB15" s="148"/>
      <c r="AC15" s="148"/>
      <c r="AD15" s="1632"/>
      <c r="AE15" s="1632"/>
      <c r="AF15" s="1632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633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633" t="s">
        <v>18</v>
      </c>
      <c r="AF17" s="1633" t="s">
        <v>20</v>
      </c>
      <c r="AG17" s="1967" t="s">
        <v>21</v>
      </c>
      <c r="AH17" s="1267">
        <v>45139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636" t="s">
        <v>3</v>
      </c>
      <c r="J18" s="1636" t="s">
        <v>7</v>
      </c>
      <c r="K18" s="1636" t="s">
        <v>30</v>
      </c>
      <c r="L18" s="1636" t="s">
        <v>29</v>
      </c>
      <c r="M18" s="1636" t="s">
        <v>31</v>
      </c>
      <c r="N18" s="1636" t="s">
        <v>32</v>
      </c>
      <c r="O18" s="1636" t="s">
        <v>12</v>
      </c>
      <c r="P18" s="1269" t="s">
        <v>673</v>
      </c>
      <c r="Q18" s="1270" t="s">
        <v>26</v>
      </c>
      <c r="R18" s="1636" t="s">
        <v>675</v>
      </c>
      <c r="S18" s="1636" t="s">
        <v>25</v>
      </c>
      <c r="T18" s="1636" t="s">
        <v>676</v>
      </c>
      <c r="U18" s="1968"/>
      <c r="V18" s="1968"/>
      <c r="W18" s="1987"/>
      <c r="X18" s="1410" t="s">
        <v>7</v>
      </c>
      <c r="Y18" s="1968"/>
      <c r="Z18" s="1636" t="s">
        <v>14</v>
      </c>
      <c r="AA18" s="1636" t="s">
        <v>679</v>
      </c>
      <c r="AB18" s="1636" t="s">
        <v>113</v>
      </c>
      <c r="AC18" s="1968"/>
      <c r="AD18" s="1968"/>
      <c r="AE18" s="1636" t="s">
        <v>19</v>
      </c>
      <c r="AF18" s="1636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36">
        <v>557.80999999999995</v>
      </c>
      <c r="J19" s="1448">
        <v>180</v>
      </c>
      <c r="K19" s="241"/>
      <c r="L19" s="1277">
        <v>292</v>
      </c>
      <c r="M19" s="241"/>
      <c r="N19" s="1278">
        <v>1.2</v>
      </c>
      <c r="O19" s="241"/>
      <c r="P19" s="1278">
        <f>AI19</f>
        <v>26.745614320025219</v>
      </c>
      <c r="Q19" s="1278">
        <f>LEFT(H19,(FIND("Е",H19,1)-1))*J19/100</f>
        <v>23.4</v>
      </c>
      <c r="R19" s="244">
        <v>2.9710000000000001</v>
      </c>
      <c r="S19" s="244">
        <v>11.593</v>
      </c>
      <c r="T19" s="1277">
        <v>27</v>
      </c>
      <c r="U19" s="1278">
        <f t="shared" ref="U19:U37" si="0">IF(R19=0,0,T19/R19)</f>
        <v>9.0878492090205309</v>
      </c>
      <c r="V19" s="1278">
        <f>(S19-R19)/S19*100</f>
        <v>74.372466143362374</v>
      </c>
      <c r="W19" s="1279">
        <v>0.2</v>
      </c>
      <c r="X19" s="1449">
        <v>180</v>
      </c>
      <c r="Y19" s="1277">
        <f>IF(S19=0,0,S19/Q19)*100</f>
        <v>49.542735042735046</v>
      </c>
      <c r="Z19" s="244">
        <f>R19*0.988</f>
        <v>2.9353479999999998</v>
      </c>
      <c r="AA19" s="244">
        <f>S19*0.988</f>
        <v>11.453884</v>
      </c>
      <c r="AB19" s="1277">
        <f>T19*0.988</f>
        <v>26.675999999999998</v>
      </c>
      <c r="AC19" s="244">
        <f>U19</f>
        <v>9.0878492090205309</v>
      </c>
      <c r="AD19" s="1277">
        <f>V19</f>
        <v>74.372466143362374</v>
      </c>
      <c r="AE19" s="241">
        <f t="shared" ref="AE19:AE41" si="1">(DAY(EOMONTH($AH$17,0))-AH19)</f>
        <v>31</v>
      </c>
      <c r="AF19" s="244">
        <f t="shared" ref="AF19:AF63" si="2">Z19*AE19</f>
        <v>90.99578799999999</v>
      </c>
      <c r="AG19" s="1281"/>
      <c r="AI19" s="1282">
        <f t="shared" ref="AI19:AI82" si="3">(9.81*(AJ19*(100%-(V19/100))+AK19*(V19/100))*(I19-L19)+N19*101.325+9.81*(AL19)*L19)/101.325</f>
        <v>26.745614320025219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636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4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3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639">
        <v>528.5</v>
      </c>
      <c r="J21" s="241">
        <v>85</v>
      </c>
      <c r="K21" s="241"/>
      <c r="L21" s="1277">
        <v>436</v>
      </c>
      <c r="M21" s="241"/>
      <c r="N21" s="1278">
        <v>6.3</v>
      </c>
      <c r="O21" s="241"/>
      <c r="P21" s="1278">
        <f t="shared" ref="P21:P84" si="5">AI21</f>
        <v>14.880023773092153</v>
      </c>
      <c r="Q21" s="1278">
        <f>RIGHT(H21,(FIND("T",H21,1)-0))*J21/100</f>
        <v>17</v>
      </c>
      <c r="R21" s="244">
        <v>5.556</v>
      </c>
      <c r="S21" s="244">
        <v>11.04</v>
      </c>
      <c r="T21" s="1277">
        <v>7.7</v>
      </c>
      <c r="U21" s="1278">
        <f t="shared" si="0"/>
        <v>1.3858891288696904</v>
      </c>
      <c r="V21" s="1278">
        <f t="shared" ref="V21:V55" si="6">(S21-R21)/S21*100</f>
        <v>49.673913043478258</v>
      </c>
      <c r="W21" s="1279">
        <v>0.2</v>
      </c>
      <c r="X21" s="1316">
        <v>85</v>
      </c>
      <c r="Y21" s="1277">
        <f t="shared" si="4"/>
        <v>64.941176470588232</v>
      </c>
      <c r="Z21" s="244">
        <f t="shared" ref="Z21:AB35" si="7">R21*0.988</f>
        <v>5.4893280000000004</v>
      </c>
      <c r="AA21" s="244">
        <f t="shared" si="7"/>
        <v>10.90752</v>
      </c>
      <c r="AB21" s="1277">
        <f t="shared" si="7"/>
        <v>7.6075999999999997</v>
      </c>
      <c r="AC21" s="244">
        <f t="shared" ref="AC21:AD35" si="8">U21</f>
        <v>1.3858891288696904</v>
      </c>
      <c r="AD21" s="1277">
        <f t="shared" si="8"/>
        <v>49.673913043478258</v>
      </c>
      <c r="AE21" s="241">
        <f t="shared" si="1"/>
        <v>31</v>
      </c>
      <c r="AF21" s="244">
        <f t="shared" si="2"/>
        <v>170.16916800000001</v>
      </c>
      <c r="AG21" s="1281"/>
      <c r="AI21" s="1282">
        <f t="shared" si="3"/>
        <v>14.880023773092153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39">
        <v>544.29999999999995</v>
      </c>
      <c r="J22" s="241">
        <v>195</v>
      </c>
      <c r="K22" s="241"/>
      <c r="L22" s="1277">
        <v>452</v>
      </c>
      <c r="M22" s="241"/>
      <c r="N22" s="1278">
        <v>4.3</v>
      </c>
      <c r="O22" s="241"/>
      <c r="P22" s="1278">
        <f t="shared" si="5"/>
        <v>12.893617400991038</v>
      </c>
      <c r="Q22" s="1278">
        <f t="shared" ref="Q22:Q27" si="9">RIGHT(H22,(FIND("T",H22,1)-0))*J22/100</f>
        <v>27.3</v>
      </c>
      <c r="R22" s="244">
        <v>8.1310000000000002</v>
      </c>
      <c r="S22" s="244">
        <v>16.414999999999999</v>
      </c>
      <c r="T22" s="1277">
        <v>201</v>
      </c>
      <c r="U22" s="1278">
        <f t="shared" si="0"/>
        <v>24.720206616652316</v>
      </c>
      <c r="V22" s="1278">
        <f t="shared" si="6"/>
        <v>50.466037161133102</v>
      </c>
      <c r="W22" s="1279">
        <v>0.23</v>
      </c>
      <c r="X22" s="1316">
        <v>195</v>
      </c>
      <c r="Y22" s="1277">
        <f t="shared" si="4"/>
        <v>60.128205128205124</v>
      </c>
      <c r="Z22" s="244">
        <f t="shared" si="7"/>
        <v>8.0334280000000007</v>
      </c>
      <c r="AA22" s="244">
        <f t="shared" si="7"/>
        <v>16.218019999999999</v>
      </c>
      <c r="AB22" s="1277">
        <f t="shared" si="7"/>
        <v>198.58799999999999</v>
      </c>
      <c r="AC22" s="244">
        <f t="shared" si="8"/>
        <v>24.720206616652316</v>
      </c>
      <c r="AD22" s="1277">
        <f t="shared" si="8"/>
        <v>50.466037161133102</v>
      </c>
      <c r="AE22" s="241">
        <f t="shared" si="1"/>
        <v>31</v>
      </c>
      <c r="AF22" s="244">
        <f t="shared" si="2"/>
        <v>249.03626800000001</v>
      </c>
      <c r="AG22" s="1281"/>
      <c r="AI22" s="1282">
        <f t="shared" si="3"/>
        <v>12.893617400991038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39">
        <v>548.32000000000005</v>
      </c>
      <c r="J23" s="241">
        <v>70</v>
      </c>
      <c r="K23" s="241"/>
      <c r="L23" s="1277">
        <v>371</v>
      </c>
      <c r="M23" s="241"/>
      <c r="N23" s="1278">
        <v>2.5</v>
      </c>
      <c r="O23" s="241"/>
      <c r="P23" s="1278">
        <f t="shared" si="5"/>
        <v>18.352577450421173</v>
      </c>
      <c r="Q23" s="1278">
        <f t="shared" si="9"/>
        <v>9.8000000000000007</v>
      </c>
      <c r="R23" s="244">
        <v>4.306</v>
      </c>
      <c r="S23" s="244">
        <v>4.8360000000000003</v>
      </c>
      <c r="T23" s="1277">
        <v>57.8</v>
      </c>
      <c r="U23" s="1278">
        <f t="shared" si="0"/>
        <v>13.423130515559683</v>
      </c>
      <c r="V23" s="1278">
        <f t="shared" si="6"/>
        <v>10.959470636889996</v>
      </c>
      <c r="W23" s="1279">
        <v>0.2</v>
      </c>
      <c r="X23" s="1316">
        <v>70</v>
      </c>
      <c r="Y23" s="1277">
        <f t="shared" si="4"/>
        <v>49.346938775510203</v>
      </c>
      <c r="Z23" s="244">
        <f t="shared" si="7"/>
        <v>4.2543280000000001</v>
      </c>
      <c r="AA23" s="244">
        <f t="shared" si="7"/>
        <v>4.7779680000000004</v>
      </c>
      <c r="AB23" s="1277">
        <f t="shared" si="7"/>
        <v>57.106399999999994</v>
      </c>
      <c r="AC23" s="244">
        <f t="shared" si="8"/>
        <v>13.423130515559683</v>
      </c>
      <c r="AD23" s="1277">
        <f t="shared" si="8"/>
        <v>10.959470636889996</v>
      </c>
      <c r="AE23" s="241">
        <v>31</v>
      </c>
      <c r="AF23" s="244">
        <f t="shared" si="2"/>
        <v>131.88416800000002</v>
      </c>
      <c r="AG23" s="1281"/>
      <c r="AI23" s="1282">
        <f t="shared" si="3"/>
        <v>18.352577450421173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39">
        <v>563.03</v>
      </c>
      <c r="J24" s="241">
        <v>135</v>
      </c>
      <c r="K24" s="241"/>
      <c r="L24" s="1277">
        <v>411</v>
      </c>
      <c r="M24" s="241"/>
      <c r="N24" s="1278">
        <v>1</v>
      </c>
      <c r="O24" s="241"/>
      <c r="P24" s="1278">
        <f t="shared" si="5"/>
        <v>14.997728606791449</v>
      </c>
      <c r="Q24" s="1278">
        <f t="shared" si="9"/>
        <v>18.899999999999999</v>
      </c>
      <c r="R24" s="244">
        <v>5.6559999999999997</v>
      </c>
      <c r="S24" s="244">
        <v>7.056</v>
      </c>
      <c r="T24" s="1277">
        <v>9.4</v>
      </c>
      <c r="U24" s="1278">
        <f t="shared" si="0"/>
        <v>1.6619519094766622</v>
      </c>
      <c r="V24" s="1278">
        <f t="shared" si="6"/>
        <v>19.841269841269845</v>
      </c>
      <c r="W24" s="1279">
        <v>0.2</v>
      </c>
      <c r="X24" s="1316">
        <v>135</v>
      </c>
      <c r="Y24" s="1277">
        <f t="shared" si="4"/>
        <v>37.333333333333336</v>
      </c>
      <c r="Z24" s="244">
        <f t="shared" si="7"/>
        <v>5.5881279999999993</v>
      </c>
      <c r="AA24" s="244">
        <f t="shared" si="7"/>
        <v>6.9713279999999997</v>
      </c>
      <c r="AB24" s="1277">
        <f t="shared" si="7"/>
        <v>9.2872000000000003</v>
      </c>
      <c r="AC24" s="244">
        <f t="shared" si="8"/>
        <v>1.6619519094766622</v>
      </c>
      <c r="AD24" s="1277">
        <f t="shared" si="8"/>
        <v>19.841269841269845</v>
      </c>
      <c r="AE24" s="241">
        <f t="shared" si="1"/>
        <v>31</v>
      </c>
      <c r="AF24" s="244">
        <f t="shared" si="2"/>
        <v>173.23196799999997</v>
      </c>
      <c r="AG24" s="1281"/>
      <c r="AI24" s="1282">
        <f t="shared" si="3"/>
        <v>14.997728606791449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39">
        <v>548.85</v>
      </c>
      <c r="J25" s="241">
        <v>75</v>
      </c>
      <c r="K25" s="241"/>
      <c r="L25" s="1277">
        <v>432</v>
      </c>
      <c r="M25" s="241"/>
      <c r="N25" s="1278">
        <v>2.6</v>
      </c>
      <c r="O25" s="241"/>
      <c r="P25" s="1278">
        <f t="shared" si="5"/>
        <v>13.574546937466549</v>
      </c>
      <c r="Q25" s="1278">
        <f t="shared" si="9"/>
        <v>10.5</v>
      </c>
      <c r="R25" s="244">
        <v>3.6549999999999998</v>
      </c>
      <c r="S25" s="244">
        <v>7.3959999999999999</v>
      </c>
      <c r="T25" s="1277">
        <v>16.8</v>
      </c>
      <c r="U25" s="1278">
        <f t="shared" si="0"/>
        <v>4.5964432284541727</v>
      </c>
      <c r="V25" s="1278">
        <f t="shared" si="6"/>
        <v>50.581395348837212</v>
      </c>
      <c r="W25" s="1279">
        <v>0.2</v>
      </c>
      <c r="X25" s="1316">
        <v>75</v>
      </c>
      <c r="Y25" s="1277">
        <f t="shared" si="4"/>
        <v>70.438095238095229</v>
      </c>
      <c r="Z25" s="244">
        <f t="shared" si="7"/>
        <v>3.6111399999999998</v>
      </c>
      <c r="AA25" s="244">
        <f t="shared" si="7"/>
        <v>7.3072479999999995</v>
      </c>
      <c r="AB25" s="1277">
        <f t="shared" si="7"/>
        <v>16.598400000000002</v>
      </c>
      <c r="AC25" s="244">
        <f t="shared" si="8"/>
        <v>4.5964432284541727</v>
      </c>
      <c r="AD25" s="1277">
        <f t="shared" si="8"/>
        <v>50.581395348837212</v>
      </c>
      <c r="AE25" s="241">
        <v>30</v>
      </c>
      <c r="AF25" s="244">
        <f t="shared" si="2"/>
        <v>108.3342</v>
      </c>
      <c r="AG25" s="1281"/>
      <c r="AI25" s="1282">
        <f t="shared" si="3"/>
        <v>13.574546937466549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446</v>
      </c>
      <c r="M26" s="1302"/>
      <c r="N26" s="1278">
        <v>5.0999999999999996</v>
      </c>
      <c r="O26" s="1302"/>
      <c r="P26" s="1278">
        <f t="shared" si="5"/>
        <v>15.296248953949425</v>
      </c>
      <c r="Q26" s="1278">
        <f t="shared" si="9"/>
        <v>20</v>
      </c>
      <c r="R26" s="244">
        <v>4.2119999999999997</v>
      </c>
      <c r="S26" s="244">
        <v>14.372999999999999</v>
      </c>
      <c r="T26" s="1277">
        <v>28</v>
      </c>
      <c r="U26" s="1278">
        <f t="shared" si="0"/>
        <v>6.6476733143399818</v>
      </c>
      <c r="V26" s="1278">
        <f t="shared" si="6"/>
        <v>70.695053224796496</v>
      </c>
      <c r="W26" s="1279">
        <v>0.2</v>
      </c>
      <c r="X26" s="1316">
        <v>100</v>
      </c>
      <c r="Y26" s="1277">
        <f t="shared" si="4"/>
        <v>71.864999999999995</v>
      </c>
      <c r="Z26" s="244">
        <f t="shared" si="7"/>
        <v>4.1614559999999994</v>
      </c>
      <c r="AA26" s="244">
        <f t="shared" si="7"/>
        <v>14.200524</v>
      </c>
      <c r="AB26" s="1277">
        <f t="shared" si="7"/>
        <v>27.664000000000001</v>
      </c>
      <c r="AC26" s="244">
        <f t="shared" si="8"/>
        <v>6.6476733143399818</v>
      </c>
      <c r="AD26" s="1277">
        <f t="shared" si="8"/>
        <v>70.695053224796496</v>
      </c>
      <c r="AE26" s="241">
        <f t="shared" si="1"/>
        <v>31</v>
      </c>
      <c r="AF26" s="244">
        <f t="shared" si="2"/>
        <v>129.00513599999999</v>
      </c>
      <c r="AG26" s="1281"/>
      <c r="AI26" s="1282">
        <f t="shared" si="3"/>
        <v>15.296248953949425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639">
        <v>569.48</v>
      </c>
      <c r="J27" s="241">
        <v>200</v>
      </c>
      <c r="K27" s="241"/>
      <c r="L27" s="1277">
        <v>449</v>
      </c>
      <c r="M27" s="241"/>
      <c r="N27" s="1278">
        <v>2.9</v>
      </c>
      <c r="O27" s="241"/>
      <c r="P27" s="1278">
        <f t="shared" si="5"/>
        <v>14.216701752044504</v>
      </c>
      <c r="Q27" s="1278">
        <f t="shared" si="9"/>
        <v>40</v>
      </c>
      <c r="R27" s="244">
        <v>7.9009999999999998</v>
      </c>
      <c r="S27" s="244">
        <v>17.210999999999999</v>
      </c>
      <c r="T27" s="1277">
        <v>43</v>
      </c>
      <c r="U27" s="1278">
        <f t="shared" si="0"/>
        <v>5.4423490697380084</v>
      </c>
      <c r="V27" s="1278">
        <f t="shared" si="6"/>
        <v>54.093312416477836</v>
      </c>
      <c r="W27" s="1279">
        <v>0.2</v>
      </c>
      <c r="X27" s="1316">
        <v>200</v>
      </c>
      <c r="Y27" s="1277">
        <f t="shared" si="4"/>
        <v>43.027499999999996</v>
      </c>
      <c r="Z27" s="244">
        <f t="shared" si="7"/>
        <v>7.8061879999999997</v>
      </c>
      <c r="AA27" s="244">
        <f t="shared" si="7"/>
        <v>17.004467999999999</v>
      </c>
      <c r="AB27" s="1277">
        <f t="shared" si="7"/>
        <v>42.484000000000002</v>
      </c>
      <c r="AC27" s="244">
        <f t="shared" si="8"/>
        <v>5.4423490697380084</v>
      </c>
      <c r="AD27" s="1277">
        <f t="shared" si="8"/>
        <v>54.093312416477836</v>
      </c>
      <c r="AE27" s="241">
        <f t="shared" si="1"/>
        <v>31</v>
      </c>
      <c r="AF27" s="244">
        <f t="shared" si="2"/>
        <v>241.991828</v>
      </c>
      <c r="AG27" s="1281"/>
      <c r="AI27" s="1282">
        <f t="shared" si="3"/>
        <v>14.216701752044504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39">
        <v>566.99</v>
      </c>
      <c r="J28" s="1448">
        <v>65</v>
      </c>
      <c r="K28" s="241"/>
      <c r="L28" s="1277">
        <v>288</v>
      </c>
      <c r="M28" s="241"/>
      <c r="N28" s="1278">
        <v>1.3</v>
      </c>
      <c r="O28" s="241"/>
      <c r="P28" s="1278">
        <f t="shared" si="5"/>
        <v>27.875033589907293</v>
      </c>
      <c r="Q28" s="1278">
        <f>J28*14/100</f>
        <v>9.1</v>
      </c>
      <c r="R28" s="244">
        <v>3.488</v>
      </c>
      <c r="S28" s="244">
        <v>8.7889999999999997</v>
      </c>
      <c r="T28" s="1277">
        <v>4.5999999999999996</v>
      </c>
      <c r="U28" s="1278">
        <f t="shared" si="0"/>
        <v>1.3188073394495412</v>
      </c>
      <c r="V28" s="1278">
        <f t="shared" si="6"/>
        <v>60.314028899761077</v>
      </c>
      <c r="W28" s="1279">
        <v>0.2</v>
      </c>
      <c r="X28" s="1449">
        <v>85</v>
      </c>
      <c r="Y28" s="1277">
        <f t="shared" si="4"/>
        <v>96.582417582417577</v>
      </c>
      <c r="Z28" s="244">
        <f t="shared" si="7"/>
        <v>3.4461439999999999</v>
      </c>
      <c r="AA28" s="244">
        <f t="shared" si="7"/>
        <v>8.6835319999999996</v>
      </c>
      <c r="AB28" s="1277">
        <f t="shared" si="7"/>
        <v>4.5447999999999995</v>
      </c>
      <c r="AC28" s="244">
        <f t="shared" si="8"/>
        <v>1.3188073394495412</v>
      </c>
      <c r="AD28" s="1277">
        <f t="shared" si="8"/>
        <v>60.314028899761077</v>
      </c>
      <c r="AE28" s="241">
        <f t="shared" si="1"/>
        <v>31</v>
      </c>
      <c r="AF28" s="244">
        <f t="shared" si="2"/>
        <v>106.83046399999999</v>
      </c>
      <c r="AG28" s="1285"/>
      <c r="AI28" s="1282">
        <f t="shared" si="3"/>
        <v>27.875033589907293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39">
        <v>593.29</v>
      </c>
      <c r="J29" s="241">
        <v>240</v>
      </c>
      <c r="K29" s="241"/>
      <c r="L29" s="1277">
        <v>355</v>
      </c>
      <c r="M29" s="241"/>
      <c r="N29" s="1278">
        <v>4.4000000000000004</v>
      </c>
      <c r="O29" s="241"/>
      <c r="P29" s="1278">
        <f t="shared" si="5"/>
        <v>27.818426073281245</v>
      </c>
      <c r="Q29" s="1278">
        <f>(15/100)*J29</f>
        <v>36</v>
      </c>
      <c r="R29" s="244">
        <v>1.0820000000000001</v>
      </c>
      <c r="S29" s="244">
        <v>4.3479999999999999</v>
      </c>
      <c r="T29" s="1277">
        <v>36</v>
      </c>
      <c r="U29" s="1278">
        <f t="shared" si="0"/>
        <v>33.271719038817004</v>
      </c>
      <c r="V29" s="1278">
        <f t="shared" si="6"/>
        <v>75.114995400183986</v>
      </c>
      <c r="W29" s="1279">
        <v>0.27</v>
      </c>
      <c r="X29" s="1316">
        <v>240</v>
      </c>
      <c r="Y29" s="1277">
        <f t="shared" si="4"/>
        <v>12.077777777777778</v>
      </c>
      <c r="Z29" s="244">
        <f t="shared" si="7"/>
        <v>1.069016</v>
      </c>
      <c r="AA29" s="244">
        <f t="shared" si="7"/>
        <v>4.2958239999999996</v>
      </c>
      <c r="AB29" s="1277">
        <f t="shared" si="7"/>
        <v>35.567999999999998</v>
      </c>
      <c r="AC29" s="244">
        <f t="shared" si="8"/>
        <v>33.271719038817004</v>
      </c>
      <c r="AD29" s="1277">
        <f t="shared" si="8"/>
        <v>75.114995400183986</v>
      </c>
      <c r="AE29" s="241">
        <f t="shared" si="1"/>
        <v>31</v>
      </c>
      <c r="AF29" s="244">
        <f t="shared" si="2"/>
        <v>33.139496000000001</v>
      </c>
      <c r="AG29" s="1285"/>
      <c r="AI29" s="1282">
        <f t="shared" si="3"/>
        <v>27.818426073281245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39" t="s">
        <v>298</v>
      </c>
      <c r="F30" s="241">
        <v>177.8</v>
      </c>
      <c r="G30" s="241" t="s">
        <v>28</v>
      </c>
      <c r="H30" s="1299" t="s">
        <v>687</v>
      </c>
      <c r="I30" s="1639">
        <v>558.21</v>
      </c>
      <c r="J30" s="1448">
        <v>85</v>
      </c>
      <c r="K30" s="241"/>
      <c r="L30" s="1277">
        <v>240</v>
      </c>
      <c r="M30" s="241"/>
      <c r="N30" s="1278">
        <v>0.9</v>
      </c>
      <c r="O30" s="241"/>
      <c r="P30" s="1278">
        <f t="shared" si="5"/>
        <v>31.400598960087692</v>
      </c>
      <c r="Q30" s="1278">
        <f>20*J30/100</f>
        <v>17</v>
      </c>
      <c r="R30" s="244">
        <v>3.1219999999999999</v>
      </c>
      <c r="S30" s="244">
        <v>11.945</v>
      </c>
      <c r="T30" s="1277">
        <v>11</v>
      </c>
      <c r="U30" s="1278">
        <f t="shared" si="0"/>
        <v>3.5233824471492636</v>
      </c>
      <c r="V30" s="1278">
        <f t="shared" si="6"/>
        <v>73.863541230640436</v>
      </c>
      <c r="W30" s="1279">
        <v>0.3</v>
      </c>
      <c r="X30" s="1449">
        <v>85</v>
      </c>
      <c r="Y30" s="1277">
        <f t="shared" si="4"/>
        <v>70.264705882352942</v>
      </c>
      <c r="Z30" s="244">
        <f t="shared" si="7"/>
        <v>3.0845359999999999</v>
      </c>
      <c r="AA30" s="244">
        <f t="shared" si="7"/>
        <v>11.80166</v>
      </c>
      <c r="AB30" s="1277">
        <f t="shared" si="7"/>
        <v>10.868</v>
      </c>
      <c r="AC30" s="244">
        <f t="shared" si="8"/>
        <v>3.5233824471492636</v>
      </c>
      <c r="AD30" s="1277">
        <f t="shared" si="8"/>
        <v>73.863541230640436</v>
      </c>
      <c r="AE30" s="241">
        <f t="shared" si="1"/>
        <v>31</v>
      </c>
      <c r="AF30" s="244">
        <f>Z30*AE30</f>
        <v>95.620615999999998</v>
      </c>
      <c r="AG30" s="1285"/>
      <c r="AI30" s="1282">
        <f t="shared" si="3"/>
        <v>31.400598960087692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39" t="s">
        <v>79</v>
      </c>
      <c r="F31" s="241">
        <v>177.8</v>
      </c>
      <c r="G31" s="241" t="s">
        <v>28</v>
      </c>
      <c r="H31" s="1299" t="s">
        <v>565</v>
      </c>
      <c r="I31" s="1639">
        <v>526.29</v>
      </c>
      <c r="J31" s="1448">
        <v>290</v>
      </c>
      <c r="K31" s="241"/>
      <c r="L31" s="1277">
        <v>256</v>
      </c>
      <c r="M31" s="241"/>
      <c r="N31" s="1278">
        <v>2.7</v>
      </c>
      <c r="O31" s="241"/>
      <c r="P31" s="1278">
        <f t="shared" si="5"/>
        <v>28.955541636706176</v>
      </c>
      <c r="Q31" s="1278">
        <f>LEFT(H31,(FIND("E",H31,1)-1))*J31/100</f>
        <v>92.8</v>
      </c>
      <c r="R31" s="244">
        <v>8.952</v>
      </c>
      <c r="S31" s="244">
        <v>53.704999999999998</v>
      </c>
      <c r="T31" s="1277">
        <v>478</v>
      </c>
      <c r="U31" s="1278">
        <f t="shared" si="0"/>
        <v>53.395889186773907</v>
      </c>
      <c r="V31" s="1278">
        <f t="shared" si="6"/>
        <v>83.33116097197653</v>
      </c>
      <c r="W31" s="1279">
        <v>0.2</v>
      </c>
      <c r="X31" s="1449">
        <v>290</v>
      </c>
      <c r="Y31" s="1277">
        <f t="shared" si="4"/>
        <v>57.87176724137931</v>
      </c>
      <c r="Z31" s="244">
        <f t="shared" si="7"/>
        <v>8.844576</v>
      </c>
      <c r="AA31" s="244">
        <f t="shared" si="7"/>
        <v>53.060539999999996</v>
      </c>
      <c r="AB31" s="1277">
        <f t="shared" si="7"/>
        <v>472.26400000000001</v>
      </c>
      <c r="AC31" s="244">
        <f t="shared" si="8"/>
        <v>53.395889186773907</v>
      </c>
      <c r="AD31" s="1277">
        <f t="shared" si="8"/>
        <v>83.33116097197653</v>
      </c>
      <c r="AE31" s="241">
        <f t="shared" si="1"/>
        <v>31</v>
      </c>
      <c r="AF31" s="244">
        <f>Z31*AE31</f>
        <v>274.18185599999998</v>
      </c>
      <c r="AG31" s="1281"/>
      <c r="AI31" s="1282">
        <f t="shared" si="3"/>
        <v>28.955541636706176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39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436</v>
      </c>
      <c r="M32" s="241"/>
      <c r="N32" s="1278">
        <v>4.7</v>
      </c>
      <c r="O32" s="241"/>
      <c r="P32" s="1278">
        <f t="shared" si="5"/>
        <v>12.525996138579222</v>
      </c>
      <c r="Q32" s="1278">
        <f>RIGHT(H32,(FIND("T",H32,1)-0))*J32/100</f>
        <v>56</v>
      </c>
      <c r="R32" s="244">
        <v>11.782999999999999</v>
      </c>
      <c r="S32" s="244">
        <v>28.036999999999999</v>
      </c>
      <c r="T32" s="1277">
        <v>524</v>
      </c>
      <c r="U32" s="1278">
        <f t="shared" si="0"/>
        <v>44.470847831621832</v>
      </c>
      <c r="V32" s="1278">
        <f t="shared" si="6"/>
        <v>57.973392303028135</v>
      </c>
      <c r="W32" s="1279">
        <v>0.2</v>
      </c>
      <c r="X32" s="1316">
        <v>280</v>
      </c>
      <c r="Y32" s="1277">
        <f t="shared" si="4"/>
        <v>50.066071428571426</v>
      </c>
      <c r="Z32" s="244">
        <f t="shared" si="7"/>
        <v>11.641603999999999</v>
      </c>
      <c r="AA32" s="244">
        <f t="shared" si="7"/>
        <v>27.700555999999999</v>
      </c>
      <c r="AB32" s="1277">
        <f t="shared" si="7"/>
        <v>517.71199999999999</v>
      </c>
      <c r="AC32" s="244">
        <f t="shared" si="8"/>
        <v>44.470847831621832</v>
      </c>
      <c r="AD32" s="1277">
        <f t="shared" si="8"/>
        <v>57.973392303028135</v>
      </c>
      <c r="AE32" s="241">
        <f t="shared" si="1"/>
        <v>31</v>
      </c>
      <c r="AF32" s="244">
        <f t="shared" si="2"/>
        <v>360.889724</v>
      </c>
      <c r="AG32" s="1281"/>
      <c r="AI32" s="1282">
        <f t="shared" si="3"/>
        <v>12.525996138579222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39">
        <v>569.99</v>
      </c>
      <c r="J33" s="1448">
        <v>220</v>
      </c>
      <c r="K33" s="241"/>
      <c r="L33" s="1277">
        <v>433</v>
      </c>
      <c r="M33" s="241"/>
      <c r="N33" s="1278">
        <v>3.5</v>
      </c>
      <c r="O33" s="241"/>
      <c r="P33" s="1278">
        <f t="shared" si="5"/>
        <v>16.635395703238874</v>
      </c>
      <c r="Q33" s="1278">
        <f>LEFT(H33,(FIND("K",H33,1)-1))*J33/100</f>
        <v>28.6</v>
      </c>
      <c r="R33" s="244">
        <v>7.1219999999999999</v>
      </c>
      <c r="S33" s="244">
        <v>20.748999999999999</v>
      </c>
      <c r="T33" s="1277">
        <v>64</v>
      </c>
      <c r="U33" s="1278">
        <f t="shared" si="0"/>
        <v>8.9862398202752036</v>
      </c>
      <c r="V33" s="1278">
        <f t="shared" si="6"/>
        <v>65.675454238758491</v>
      </c>
      <c r="W33" s="1279">
        <v>0.2</v>
      </c>
      <c r="X33" s="1449">
        <v>220</v>
      </c>
      <c r="Y33" s="1277">
        <f t="shared" si="4"/>
        <v>72.548951048951039</v>
      </c>
      <c r="Z33" s="244">
        <f t="shared" si="7"/>
        <v>7.0365359999999999</v>
      </c>
      <c r="AA33" s="244">
        <f t="shared" si="7"/>
        <v>20.500011999999998</v>
      </c>
      <c r="AB33" s="1277">
        <f t="shared" si="7"/>
        <v>63.231999999999999</v>
      </c>
      <c r="AC33" s="244">
        <f t="shared" si="8"/>
        <v>8.9862398202752036</v>
      </c>
      <c r="AD33" s="1277">
        <f t="shared" si="8"/>
        <v>65.675454238758491</v>
      </c>
      <c r="AE33" s="241">
        <f t="shared" si="1"/>
        <v>31</v>
      </c>
      <c r="AF33" s="244">
        <f>Z33*AE33</f>
        <v>218.13261599999998</v>
      </c>
      <c r="AG33" s="1285"/>
      <c r="AI33" s="1282">
        <f t="shared" si="3"/>
        <v>16.635395703238874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5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6"/>
        <v>#DIV/0!</v>
      </c>
      <c r="W34" s="1308">
        <v>0</v>
      </c>
      <c r="X34" s="238">
        <v>0</v>
      </c>
      <c r="Y34" s="1277">
        <f t="shared" si="4"/>
        <v>0</v>
      </c>
      <c r="Z34" s="244">
        <v>0</v>
      </c>
      <c r="AA34" s="244">
        <v>0</v>
      </c>
      <c r="AB34" s="1277">
        <f t="shared" si="7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3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75</v>
      </c>
      <c r="K35" s="241"/>
      <c r="L35" s="1277">
        <v>441</v>
      </c>
      <c r="M35" s="241"/>
      <c r="N35" s="1278">
        <v>4.5</v>
      </c>
      <c r="O35" s="241"/>
      <c r="P35" s="1278">
        <f t="shared" si="5"/>
        <v>16.092230365542822</v>
      </c>
      <c r="Q35" s="1278">
        <f>20*J35/100</f>
        <v>15</v>
      </c>
      <c r="R35" s="244">
        <v>2.29</v>
      </c>
      <c r="S35" s="244">
        <v>6.7350000000000003</v>
      </c>
      <c r="T35" s="1277">
        <v>35</v>
      </c>
      <c r="U35" s="1278">
        <f t="shared" si="0"/>
        <v>15.283842794759826</v>
      </c>
      <c r="V35" s="1278">
        <f t="shared" si="6"/>
        <v>65.998515219005199</v>
      </c>
      <c r="W35" s="1279">
        <v>0.2</v>
      </c>
      <c r="X35" s="1316">
        <v>75</v>
      </c>
      <c r="Y35" s="1277">
        <f t="shared" si="4"/>
        <v>44.9</v>
      </c>
      <c r="Z35" s="244">
        <f t="shared" si="7"/>
        <v>2.2625199999999999</v>
      </c>
      <c r="AA35" s="244">
        <f t="shared" si="7"/>
        <v>6.6541800000000002</v>
      </c>
      <c r="AB35" s="1277">
        <f t="shared" si="7"/>
        <v>34.58</v>
      </c>
      <c r="AC35" s="1307">
        <f t="shared" si="8"/>
        <v>15.283842794759826</v>
      </c>
      <c r="AD35" s="1305">
        <f t="shared" si="8"/>
        <v>65.998515219005199</v>
      </c>
      <c r="AE35" s="241">
        <f t="shared" si="1"/>
        <v>31</v>
      </c>
      <c r="AF35" s="1307">
        <f>Z35*AE35</f>
        <v>70.138120000000001</v>
      </c>
      <c r="AG35" s="1285"/>
      <c r="AI35" s="1282">
        <f t="shared" si="3"/>
        <v>16.092230365542822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39">
        <v>564.05999999999995</v>
      </c>
      <c r="J36" s="241">
        <v>150</v>
      </c>
      <c r="K36" s="241"/>
      <c r="L36" s="1277">
        <v>406</v>
      </c>
      <c r="M36" s="241"/>
      <c r="N36" s="1278">
        <v>0</v>
      </c>
      <c r="O36" s="241"/>
      <c r="P36" s="1278">
        <f t="shared" si="5"/>
        <v>15.008064152438617</v>
      </c>
      <c r="Q36" s="1278">
        <f>LEFT(H36,(FIND("E",H36,1)-1))*J36/100</f>
        <v>19.5</v>
      </c>
      <c r="R36" s="244">
        <v>3.5259999999999998</v>
      </c>
      <c r="S36" s="244">
        <v>8.77</v>
      </c>
      <c r="T36" s="1277">
        <v>16.655000000000001</v>
      </c>
      <c r="U36" s="1278">
        <f t="shared" si="0"/>
        <v>4.7234826999432791</v>
      </c>
      <c r="V36" s="1278">
        <f t="shared" si="6"/>
        <v>59.794754846066134</v>
      </c>
      <c r="W36" s="1279">
        <v>0</v>
      </c>
      <c r="X36" s="1316">
        <v>150</v>
      </c>
      <c r="Y36" s="1277">
        <f t="shared" si="4"/>
        <v>44.974358974358978</v>
      </c>
      <c r="Z36" s="244">
        <v>3.2149999999999999</v>
      </c>
      <c r="AA36" s="244">
        <v>9.2829999999999995</v>
      </c>
      <c r="AB36" s="1277">
        <v>17</v>
      </c>
      <c r="AC36" s="244">
        <f>AB36/Z36</f>
        <v>5.2877138413685847</v>
      </c>
      <c r="AD36" s="1278">
        <f t="shared" ref="AD36" si="10">(AA36-Z36)/AA36*100</f>
        <v>65.366799526015299</v>
      </c>
      <c r="AE36" s="241">
        <f t="shared" si="1"/>
        <v>31</v>
      </c>
      <c r="AF36" s="244">
        <f t="shared" si="2"/>
        <v>99.664999999999992</v>
      </c>
      <c r="AG36" s="1281"/>
      <c r="AI36" s="1282">
        <f t="shared" si="3"/>
        <v>15.008064152438617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39">
        <v>551</v>
      </c>
      <c r="J37" s="1448">
        <v>165</v>
      </c>
      <c r="K37" s="241"/>
      <c r="L37" s="1277">
        <v>459</v>
      </c>
      <c r="M37" s="241"/>
      <c r="N37" s="1278">
        <v>2.6</v>
      </c>
      <c r="O37" s="241"/>
      <c r="P37" s="1278">
        <f t="shared" si="5"/>
        <v>11.118315223297179</v>
      </c>
      <c r="Q37" s="1278">
        <f>14*J37/100</f>
        <v>23.1</v>
      </c>
      <c r="R37" s="244">
        <v>5.431</v>
      </c>
      <c r="S37" s="244">
        <v>10.473000000000001</v>
      </c>
      <c r="T37" s="1277">
        <v>67</v>
      </c>
      <c r="U37" s="1278">
        <f t="shared" si="0"/>
        <v>12.336586264039772</v>
      </c>
      <c r="V37" s="1278">
        <f t="shared" si="6"/>
        <v>48.142843502339346</v>
      </c>
      <c r="W37" s="1279">
        <v>0.2</v>
      </c>
      <c r="X37" s="1449">
        <v>165</v>
      </c>
      <c r="Y37" s="1277">
        <f t="shared" si="4"/>
        <v>45.337662337662337</v>
      </c>
      <c r="Z37" s="244">
        <f t="shared" ref="Z37:AB43" si="11">R37*0.988</f>
        <v>5.3658279999999996</v>
      </c>
      <c r="AA37" s="244">
        <f t="shared" si="11"/>
        <v>10.347324</v>
      </c>
      <c r="AB37" s="1277">
        <f t="shared" si="11"/>
        <v>66.195999999999998</v>
      </c>
      <c r="AC37" s="244">
        <f t="shared" ref="AC37:AD38" si="12">U37</f>
        <v>12.336586264039772</v>
      </c>
      <c r="AD37" s="1305">
        <f t="shared" si="12"/>
        <v>48.142843502339346</v>
      </c>
      <c r="AE37" s="241">
        <f t="shared" si="1"/>
        <v>31</v>
      </c>
      <c r="AF37" s="244">
        <f t="shared" si="2"/>
        <v>166.34066799999999</v>
      </c>
      <c r="AG37" s="1450"/>
      <c r="AI37" s="1282">
        <f t="shared" si="3"/>
        <v>11.118315223297179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639">
        <v>565.36</v>
      </c>
      <c r="J38" s="241">
        <v>85</v>
      </c>
      <c r="K38" s="241"/>
      <c r="L38" s="1277">
        <v>263</v>
      </c>
      <c r="M38" s="241"/>
      <c r="N38" s="1278">
        <v>0.2</v>
      </c>
      <c r="O38" s="241"/>
      <c r="P38" s="1278">
        <f t="shared" si="5"/>
        <v>29.30487126781906</v>
      </c>
      <c r="Q38" s="1278">
        <f>13*J38/100</f>
        <v>11.05</v>
      </c>
      <c r="R38" s="244">
        <v>1.3089999999999999</v>
      </c>
      <c r="S38" s="244">
        <v>6.4219999999999997</v>
      </c>
      <c r="T38" s="1277">
        <v>11</v>
      </c>
      <c r="U38" s="1278">
        <f>IF(R38=0,0,T38/R38)</f>
        <v>8.4033613445378155</v>
      </c>
      <c r="V38" s="1278">
        <f t="shared" si="6"/>
        <v>79.616941762690757</v>
      </c>
      <c r="W38" s="1279">
        <v>0.2</v>
      </c>
      <c r="X38" s="1316">
        <v>85</v>
      </c>
      <c r="Y38" s="1277">
        <f t="shared" si="4"/>
        <v>58.117647058823522</v>
      </c>
      <c r="Z38" s="244">
        <f t="shared" si="11"/>
        <v>1.2932919999999999</v>
      </c>
      <c r="AA38" s="244">
        <f t="shared" si="11"/>
        <v>6.3449359999999997</v>
      </c>
      <c r="AB38" s="1277">
        <f t="shared" si="11"/>
        <v>10.868</v>
      </c>
      <c r="AC38" s="244">
        <f t="shared" si="12"/>
        <v>8.4033613445378155</v>
      </c>
      <c r="AD38" s="1305">
        <f t="shared" si="12"/>
        <v>79.616941762690757</v>
      </c>
      <c r="AE38" s="241">
        <f t="shared" si="1"/>
        <v>31</v>
      </c>
      <c r="AF38" s="244">
        <f>Z38*AE38</f>
        <v>40.092051999999995</v>
      </c>
      <c r="AG38" s="1281"/>
      <c r="AI38" s="1282">
        <f t="shared" si="3"/>
        <v>29.30487126781906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39">
        <v>535.91</v>
      </c>
      <c r="J39" s="1448">
        <v>300</v>
      </c>
      <c r="K39" s="241"/>
      <c r="L39" s="1277">
        <v>448</v>
      </c>
      <c r="M39" s="241"/>
      <c r="N39" s="1278">
        <v>2.5</v>
      </c>
      <c r="O39" s="241"/>
      <c r="P39" s="1278">
        <f t="shared" si="5"/>
        <v>10.527020885385491</v>
      </c>
      <c r="Q39" s="1278">
        <f>(20/100)*J39</f>
        <v>60</v>
      </c>
      <c r="R39" s="244">
        <v>8.6980000000000004</v>
      </c>
      <c r="S39" s="244">
        <v>13.859</v>
      </c>
      <c r="T39" s="1277">
        <v>246.5</v>
      </c>
      <c r="U39" s="1278">
        <f t="shared" ref="U39:U86" si="13">IF(R39=0,0,T39/R39)</f>
        <v>28.339848240974934</v>
      </c>
      <c r="V39" s="1278">
        <f t="shared" si="6"/>
        <v>37.239339057652067</v>
      </c>
      <c r="W39" s="1279">
        <v>0.2</v>
      </c>
      <c r="X39" s="1449">
        <v>300</v>
      </c>
      <c r="Y39" s="1277">
        <f t="shared" si="4"/>
        <v>23.098333333333336</v>
      </c>
      <c r="Z39" s="244">
        <f t="shared" si="11"/>
        <v>8.5936240000000002</v>
      </c>
      <c r="AA39" s="244">
        <f t="shared" si="11"/>
        <v>13.692691999999999</v>
      </c>
      <c r="AB39" s="1277">
        <f t="shared" si="11"/>
        <v>243.542</v>
      </c>
      <c r="AC39" s="244">
        <v>89.536086956521729</v>
      </c>
      <c r="AD39" s="1305">
        <f>V39</f>
        <v>37.239339057652067</v>
      </c>
      <c r="AE39" s="241">
        <f t="shared" si="1"/>
        <v>31</v>
      </c>
      <c r="AF39" s="244">
        <f t="shared" si="2"/>
        <v>266.40234400000003</v>
      </c>
      <c r="AG39" s="1314"/>
      <c r="AI39" s="1282">
        <f t="shared" si="3"/>
        <v>10.527020885385491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39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3"/>
        <v>0</v>
      </c>
      <c r="V40" s="1278" t="e">
        <f t="shared" si="6"/>
        <v>#DIV/0!</v>
      </c>
      <c r="W40" s="1279">
        <v>0</v>
      </c>
      <c r="X40" s="1449">
        <v>0</v>
      </c>
      <c r="Y40" s="1277">
        <f t="shared" si="4"/>
        <v>0</v>
      </c>
      <c r="Z40" s="244">
        <f t="shared" si="11"/>
        <v>0</v>
      </c>
      <c r="AA40" s="244">
        <f t="shared" si="11"/>
        <v>0</v>
      </c>
      <c r="AB40" s="1277">
        <f t="shared" si="11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2"/>
        <v>0</v>
      </c>
      <c r="AG40" s="1281" t="s">
        <v>769</v>
      </c>
      <c r="AI40" s="1282" t="e">
        <f t="shared" si="3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1288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85</v>
      </c>
      <c r="K41" s="241"/>
      <c r="L41" s="1277">
        <v>428</v>
      </c>
      <c r="M41" s="241"/>
      <c r="N41" s="1278">
        <v>3.5</v>
      </c>
      <c r="O41" s="241"/>
      <c r="P41" s="1278">
        <f t="shared" si="5"/>
        <v>15.717963766988676</v>
      </c>
      <c r="Q41" s="1278">
        <f>14*J41/100</f>
        <v>11.9</v>
      </c>
      <c r="R41" s="244">
        <v>1.2749999999999999</v>
      </c>
      <c r="S41" s="244">
        <v>8.7210000000000001</v>
      </c>
      <c r="T41" s="1277">
        <v>10.8</v>
      </c>
      <c r="U41" s="1278">
        <f t="shared" si="13"/>
        <v>8.4705882352941195</v>
      </c>
      <c r="V41" s="1278">
        <f t="shared" si="6"/>
        <v>85.380116959064324</v>
      </c>
      <c r="W41" s="1279">
        <v>0.2</v>
      </c>
      <c r="X41" s="1316">
        <v>85</v>
      </c>
      <c r="Y41" s="1277">
        <f t="shared" si="4"/>
        <v>73.285714285714292</v>
      </c>
      <c r="Z41" s="244">
        <f t="shared" si="11"/>
        <v>1.2596999999999998</v>
      </c>
      <c r="AA41" s="244">
        <f t="shared" si="11"/>
        <v>8.6163480000000003</v>
      </c>
      <c r="AB41" s="1277">
        <f t="shared" si="11"/>
        <v>10.670400000000001</v>
      </c>
      <c r="AC41" s="244">
        <f>U41</f>
        <v>8.4705882352941195</v>
      </c>
      <c r="AD41" s="1277">
        <f>V41</f>
        <v>85.380116959064324</v>
      </c>
      <c r="AE41" s="241">
        <f t="shared" si="1"/>
        <v>31</v>
      </c>
      <c r="AF41" s="244">
        <f t="shared" si="2"/>
        <v>39.050699999999992</v>
      </c>
      <c r="AG41" s="1285"/>
      <c r="AI41" s="1282">
        <f t="shared" si="3"/>
        <v>15.717963766988676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5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3"/>
        <v>0</v>
      </c>
      <c r="V42" s="1278" t="e">
        <f t="shared" si="6"/>
        <v>#DIV/0!</v>
      </c>
      <c r="W42" s="1279">
        <v>0</v>
      </c>
      <c r="X42" s="1316">
        <v>0</v>
      </c>
      <c r="Y42" s="1277">
        <f t="shared" si="4"/>
        <v>0</v>
      </c>
      <c r="Z42" s="244">
        <f t="shared" si="11"/>
        <v>0</v>
      </c>
      <c r="AA42" s="244">
        <f t="shared" si="11"/>
        <v>0</v>
      </c>
      <c r="AB42" s="1277">
        <f t="shared" si="11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2"/>
        <v>0</v>
      </c>
      <c r="AG42" s="1281" t="s">
        <v>769</v>
      </c>
      <c r="AI42" s="1282" t="e">
        <f t="shared" si="3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s="1478" customFormat="1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639">
        <v>554.16999999999996</v>
      </c>
      <c r="J43" s="1448">
        <v>125</v>
      </c>
      <c r="K43" s="241"/>
      <c r="L43" s="1277">
        <v>334</v>
      </c>
      <c r="M43" s="241"/>
      <c r="N43" s="1278">
        <v>4.0999999999999996</v>
      </c>
      <c r="O43" s="241"/>
      <c r="P43" s="1278">
        <f t="shared" si="5"/>
        <v>25.343525606836295</v>
      </c>
      <c r="Q43" s="1278">
        <f>(32/100)*J43</f>
        <v>40</v>
      </c>
      <c r="R43" s="244">
        <v>8.9979999999999993</v>
      </c>
      <c r="S43" s="244">
        <v>39.137</v>
      </c>
      <c r="T43" s="1277">
        <v>108</v>
      </c>
      <c r="U43" s="1278">
        <f t="shared" si="13"/>
        <v>12.002667259390977</v>
      </c>
      <c r="V43" s="1278">
        <f t="shared" si="6"/>
        <v>77.008968495285799</v>
      </c>
      <c r="W43" s="1279">
        <v>0.2</v>
      </c>
      <c r="X43" s="1449">
        <v>125</v>
      </c>
      <c r="Y43" s="1277">
        <f t="shared" si="4"/>
        <v>97.842500000000001</v>
      </c>
      <c r="Z43" s="244">
        <f t="shared" si="11"/>
        <v>8.8900239999999986</v>
      </c>
      <c r="AA43" s="244">
        <f t="shared" si="11"/>
        <v>38.667355999999998</v>
      </c>
      <c r="AB43" s="1277">
        <f t="shared" si="11"/>
        <v>106.70399999999999</v>
      </c>
      <c r="AC43" s="244">
        <f>U43</f>
        <v>12.002667259390977</v>
      </c>
      <c r="AD43" s="1277">
        <f>V43</f>
        <v>77.008968495285799</v>
      </c>
      <c r="AE43" s="241">
        <f>(DAY(EOMONTH($AH$17,0))-AH43)</f>
        <v>31</v>
      </c>
      <c r="AF43" s="244">
        <f t="shared" si="2"/>
        <v>275.59074399999997</v>
      </c>
      <c r="AG43" s="1477"/>
      <c r="AI43" s="1282">
        <f t="shared" si="3"/>
        <v>25.343525606836295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636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4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3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39">
        <v>544.70000000000005</v>
      </c>
      <c r="J45" s="241">
        <v>85</v>
      </c>
      <c r="K45" s="241"/>
      <c r="L45" s="1277">
        <v>122</v>
      </c>
      <c r="M45" s="241"/>
      <c r="N45" s="1278">
        <v>3.5</v>
      </c>
      <c r="O45" s="241"/>
      <c r="P45" s="1278">
        <f t="shared" si="5"/>
        <v>43.940535862027751</v>
      </c>
      <c r="Q45" s="1278">
        <f>J45*20/100</f>
        <v>17</v>
      </c>
      <c r="R45" s="244">
        <v>4.5979999999999999</v>
      </c>
      <c r="S45" s="244">
        <v>17.283000000000001</v>
      </c>
      <c r="T45" s="1277">
        <v>35.6</v>
      </c>
      <c r="U45" s="1278">
        <f t="shared" si="13"/>
        <v>7.7424967377120488</v>
      </c>
      <c r="V45" s="1278">
        <f t="shared" si="6"/>
        <v>73.39582248452237</v>
      </c>
      <c r="W45" s="1279">
        <v>0.2</v>
      </c>
      <c r="X45" s="1316">
        <v>85</v>
      </c>
      <c r="Y45" s="1277">
        <f t="shared" si="4"/>
        <v>101.66470588235295</v>
      </c>
      <c r="Z45" s="244">
        <v>5.0430000000000001</v>
      </c>
      <c r="AA45" s="244">
        <v>18.190999999999999</v>
      </c>
      <c r="AB45" s="1277">
        <v>31</v>
      </c>
      <c r="AC45" s="244">
        <f t="shared" ref="AC45:AD51" si="14">U45</f>
        <v>7.7424967377120488</v>
      </c>
      <c r="AD45" s="1277">
        <f t="shared" si="14"/>
        <v>73.39582248452237</v>
      </c>
      <c r="AE45" s="241">
        <f t="shared" ref="AE45:AE81" si="15">(DAY(EOMONTH($AH$17,0))-AH45)</f>
        <v>31</v>
      </c>
      <c r="AF45" s="244">
        <f t="shared" si="2"/>
        <v>156.333</v>
      </c>
      <c r="AG45" s="1281"/>
      <c r="AI45" s="1282">
        <f t="shared" si="3"/>
        <v>43.940535862027751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39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39">
        <v>553.30999999999995</v>
      </c>
      <c r="J46" s="1639">
        <v>220</v>
      </c>
      <c r="K46" s="1639"/>
      <c r="L46" s="1319">
        <v>418</v>
      </c>
      <c r="M46" s="1639"/>
      <c r="N46" s="1278">
        <v>2.2999999999999998</v>
      </c>
      <c r="O46" s="1639"/>
      <c r="P46" s="1278">
        <f t="shared" si="5"/>
        <v>15.096894565621598</v>
      </c>
      <c r="Q46" s="1278">
        <f>J46*32/100</f>
        <v>70.400000000000006</v>
      </c>
      <c r="R46" s="244">
        <v>10.429</v>
      </c>
      <c r="S46" s="244">
        <v>27.004999999999999</v>
      </c>
      <c r="T46" s="1319">
        <v>219</v>
      </c>
      <c r="U46" s="1278">
        <f t="shared" si="13"/>
        <v>20.999137021766227</v>
      </c>
      <c r="V46" s="1278">
        <f t="shared" si="6"/>
        <v>61.38122569894464</v>
      </c>
      <c r="W46" s="1279">
        <v>0.2</v>
      </c>
      <c r="X46" s="1410">
        <v>220</v>
      </c>
      <c r="Y46" s="1277">
        <f t="shared" si="4"/>
        <v>38.359374999999993</v>
      </c>
      <c r="Z46" s="244">
        <f t="shared" ref="Z46:AB55" si="16">R46*0.988</f>
        <v>10.303852000000001</v>
      </c>
      <c r="AA46" s="244">
        <f t="shared" si="16"/>
        <v>26.68094</v>
      </c>
      <c r="AB46" s="1277">
        <f t="shared" si="16"/>
        <v>216.37199999999999</v>
      </c>
      <c r="AC46" s="244">
        <f t="shared" si="14"/>
        <v>20.999137021766227</v>
      </c>
      <c r="AD46" s="1277">
        <f t="shared" si="14"/>
        <v>61.38122569894464</v>
      </c>
      <c r="AE46" s="241">
        <f t="shared" si="15"/>
        <v>31</v>
      </c>
      <c r="AF46" s="244">
        <f t="shared" si="2"/>
        <v>319.41941200000002</v>
      </c>
      <c r="AG46" s="1285"/>
      <c r="AI46" s="1282">
        <f t="shared" si="3"/>
        <v>15.096894565621598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39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39">
        <v>550.59</v>
      </c>
      <c r="J47" s="1373">
        <v>65</v>
      </c>
      <c r="K47" s="1639"/>
      <c r="L47" s="1277">
        <v>395</v>
      </c>
      <c r="M47" s="1639"/>
      <c r="N47" s="1278">
        <v>0.3</v>
      </c>
      <c r="O47" s="1639"/>
      <c r="P47" s="1278">
        <f t="shared" si="5"/>
        <v>14.923024810091357</v>
      </c>
      <c r="Q47" s="1278">
        <f>RIGHT(H47,(FIND("T",H47,1)-0))*J47/100</f>
        <v>9.1</v>
      </c>
      <c r="R47" s="244">
        <v>0.66400000000000003</v>
      </c>
      <c r="S47" s="244">
        <v>1.4079999999999999</v>
      </c>
      <c r="T47" s="1319">
        <v>7.1</v>
      </c>
      <c r="U47" s="1278">
        <f t="shared" si="13"/>
        <v>10.692771084337348</v>
      </c>
      <c r="V47" s="1278">
        <f t="shared" si="6"/>
        <v>52.840909090909079</v>
      </c>
      <c r="W47" s="1279">
        <v>0.2</v>
      </c>
      <c r="X47" s="1452">
        <v>65</v>
      </c>
      <c r="Y47" s="1277">
        <f t="shared" si="4"/>
        <v>15.472527472527473</v>
      </c>
      <c r="Z47" s="244">
        <f t="shared" si="16"/>
        <v>0.65603200000000006</v>
      </c>
      <c r="AA47" s="244">
        <f t="shared" si="16"/>
        <v>1.3911039999999999</v>
      </c>
      <c r="AB47" s="1277">
        <f t="shared" si="16"/>
        <v>7.0147999999999993</v>
      </c>
      <c r="AC47" s="244">
        <f t="shared" si="14"/>
        <v>10.692771084337348</v>
      </c>
      <c r="AD47" s="1277">
        <f t="shared" si="14"/>
        <v>52.840909090909079</v>
      </c>
      <c r="AE47" s="241">
        <f t="shared" si="15"/>
        <v>31</v>
      </c>
      <c r="AF47" s="244">
        <f t="shared" si="2"/>
        <v>20.336992000000002</v>
      </c>
      <c r="AG47" s="1285"/>
      <c r="AI47" s="1282">
        <f t="shared" si="3"/>
        <v>14.923024810091357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39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39">
        <v>548.82000000000005</v>
      </c>
      <c r="J48" s="1639">
        <v>0</v>
      </c>
      <c r="K48" s="1639"/>
      <c r="L48" s="1319">
        <v>0</v>
      </c>
      <c r="M48" s="1639"/>
      <c r="N48" s="1278">
        <v>0</v>
      </c>
      <c r="O48" s="1639"/>
      <c r="P48" s="1278" t="e">
        <f t="shared" si="5"/>
        <v>#DIV/0!</v>
      </c>
      <c r="Q48" s="1278">
        <f>14*J48/100</f>
        <v>0</v>
      </c>
      <c r="R48" s="244">
        <v>0</v>
      </c>
      <c r="S48" s="244">
        <v>0</v>
      </c>
      <c r="T48" s="1319">
        <v>0</v>
      </c>
      <c r="U48" s="1278">
        <f t="shared" si="13"/>
        <v>0</v>
      </c>
      <c r="V48" s="1278" t="e">
        <f t="shared" si="6"/>
        <v>#DIV/0!</v>
      </c>
      <c r="W48" s="1279">
        <v>0.2</v>
      </c>
      <c r="X48" s="1410">
        <v>85</v>
      </c>
      <c r="Y48" s="1277">
        <f t="shared" si="4"/>
        <v>0</v>
      </c>
      <c r="Z48" s="244">
        <v>4.4539039999999996</v>
      </c>
      <c r="AA48" s="244">
        <v>6.0337160000000001</v>
      </c>
      <c r="AB48" s="1277">
        <v>14.82</v>
      </c>
      <c r="AC48" s="1278">
        <f t="shared" ref="AC48" si="17">IF(Z48=0,0,AB48/Z48)</f>
        <v>3.327417923691216</v>
      </c>
      <c r="AD48" s="1278">
        <f t="shared" ref="AD48" si="18">(AA48-Z48)/AA48*100</f>
        <v>26.183068609792048</v>
      </c>
      <c r="AE48" s="241">
        <v>15</v>
      </c>
      <c r="AF48" s="244">
        <f t="shared" si="2"/>
        <v>66.80856</v>
      </c>
      <c r="AG48" s="1285" t="s">
        <v>786</v>
      </c>
      <c r="AI48" s="1282" t="e">
        <f t="shared" si="3"/>
        <v>#DIV/0!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39">
        <v>539.24</v>
      </c>
      <c r="J49" s="241">
        <v>200</v>
      </c>
      <c r="K49" s="241"/>
      <c r="L49" s="1277">
        <v>429</v>
      </c>
      <c r="M49" s="241"/>
      <c r="N49" s="1278">
        <v>3.8</v>
      </c>
      <c r="O49" s="241"/>
      <c r="P49" s="1278">
        <f t="shared" si="5"/>
        <v>14.008086214142292</v>
      </c>
      <c r="Q49" s="1278">
        <f>20*J49/100</f>
        <v>40</v>
      </c>
      <c r="R49" s="244">
        <v>2.9710000000000001</v>
      </c>
      <c r="S49" s="244">
        <v>5.0789999999999997</v>
      </c>
      <c r="T49" s="1277">
        <v>13.182</v>
      </c>
      <c r="U49" s="1278">
        <f t="shared" si="13"/>
        <v>4.4368899360484688</v>
      </c>
      <c r="V49" s="1278">
        <f t="shared" si="6"/>
        <v>41.504233116755259</v>
      </c>
      <c r="W49" s="1279">
        <v>0.2</v>
      </c>
      <c r="X49" s="1316">
        <v>200</v>
      </c>
      <c r="Y49" s="1277">
        <f t="shared" si="4"/>
        <v>12.6975</v>
      </c>
      <c r="Z49" s="244">
        <f t="shared" si="16"/>
        <v>2.9353479999999998</v>
      </c>
      <c r="AA49" s="244">
        <f t="shared" si="16"/>
        <v>5.018052</v>
      </c>
      <c r="AB49" s="1277">
        <f t="shared" si="16"/>
        <v>13.023816</v>
      </c>
      <c r="AC49" s="244">
        <f t="shared" si="14"/>
        <v>4.4368899360484688</v>
      </c>
      <c r="AD49" s="1277">
        <f t="shared" si="14"/>
        <v>41.504233116755259</v>
      </c>
      <c r="AE49" s="241">
        <f t="shared" si="15"/>
        <v>31</v>
      </c>
      <c r="AF49" s="244">
        <f t="shared" si="2"/>
        <v>90.99578799999999</v>
      </c>
      <c r="AG49" s="1285"/>
      <c r="AI49" s="1282">
        <f t="shared" si="3"/>
        <v>14.008086214142292</v>
      </c>
      <c r="AJ49" s="1252">
        <v>0.9083</v>
      </c>
      <c r="AK49" s="1252">
        <v>1.0169999999999999</v>
      </c>
      <c r="AL49" s="1252">
        <v>7.7447712000000004E-4</v>
      </c>
    </row>
    <row r="50" spans="1:38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466</v>
      </c>
      <c r="I50" s="1639">
        <v>571.19000000000005</v>
      </c>
      <c r="J50" s="241">
        <v>0</v>
      </c>
      <c r="K50" s="241"/>
      <c r="L50" s="1277">
        <v>0</v>
      </c>
      <c r="M50" s="241"/>
      <c r="N50" s="1278">
        <v>0</v>
      </c>
      <c r="O50" s="241"/>
      <c r="P50" s="1278" t="e">
        <f t="shared" si="5"/>
        <v>#DIV/0!</v>
      </c>
      <c r="Q50" s="1278">
        <f>LEFT(H50,(FIND("E",H50,1)-1))*J50/100</f>
        <v>0</v>
      </c>
      <c r="R50" s="244">
        <v>0</v>
      </c>
      <c r="S50" s="244">
        <v>0</v>
      </c>
      <c r="T50" s="1277">
        <v>0</v>
      </c>
      <c r="U50" s="1278">
        <f t="shared" si="13"/>
        <v>0</v>
      </c>
      <c r="V50" s="1278" t="e">
        <f t="shared" si="6"/>
        <v>#DIV/0!</v>
      </c>
      <c r="W50" s="1279">
        <v>0.3</v>
      </c>
      <c r="X50" s="1316">
        <v>330</v>
      </c>
      <c r="Y50" s="1277">
        <f t="shared" si="4"/>
        <v>0</v>
      </c>
      <c r="Z50" s="244">
        <v>4.5289999999999999</v>
      </c>
      <c r="AA50" s="244">
        <v>14.939</v>
      </c>
      <c r="AB50" s="1277">
        <v>14</v>
      </c>
      <c r="AC50" s="1278">
        <f t="shared" ref="AC50" si="19">IF(Z50=0,0,AB50/Z50)</f>
        <v>3.091190108191654</v>
      </c>
      <c r="AD50" s="1278">
        <f t="shared" ref="AD50" si="20">(AA50-Z50)/AA50*100</f>
        <v>69.683379074904622</v>
      </c>
      <c r="AE50" s="241">
        <v>20</v>
      </c>
      <c r="AF50" s="244">
        <f t="shared" si="2"/>
        <v>90.58</v>
      </c>
      <c r="AG50" s="1285" t="s">
        <v>786</v>
      </c>
      <c r="AI50" s="1282" t="e">
        <f t="shared" si="3"/>
        <v>#DIV/0!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39" t="s">
        <v>600</v>
      </c>
      <c r="F51" s="241">
        <v>177.8</v>
      </c>
      <c r="G51" s="241" t="s">
        <v>28</v>
      </c>
      <c r="H51" s="1299" t="s">
        <v>687</v>
      </c>
      <c r="I51" s="1639">
        <v>546.08000000000004</v>
      </c>
      <c r="J51" s="241">
        <v>100</v>
      </c>
      <c r="K51" s="241"/>
      <c r="L51" s="1322">
        <v>186</v>
      </c>
      <c r="M51" s="241"/>
      <c r="N51" s="1306">
        <v>3.7</v>
      </c>
      <c r="O51" s="241"/>
      <c r="P51" s="1278">
        <f t="shared" si="5"/>
        <v>38.830830480675672</v>
      </c>
      <c r="Q51" s="1278">
        <v>20</v>
      </c>
      <c r="R51" s="244">
        <v>3.07</v>
      </c>
      <c r="S51" s="244">
        <v>16.651</v>
      </c>
      <c r="T51" s="1277">
        <v>91</v>
      </c>
      <c r="U51" s="1278">
        <f t="shared" si="13"/>
        <v>29.641693811074919</v>
      </c>
      <c r="V51" s="1278">
        <f t="shared" si="6"/>
        <v>81.562668908774256</v>
      </c>
      <c r="W51" s="1279">
        <v>0.2</v>
      </c>
      <c r="X51" s="1316">
        <v>100</v>
      </c>
      <c r="Y51" s="1277">
        <f t="shared" si="4"/>
        <v>83.254999999999995</v>
      </c>
      <c r="Z51" s="244">
        <f t="shared" si="16"/>
        <v>3.0331599999999996</v>
      </c>
      <c r="AA51" s="244">
        <f t="shared" si="16"/>
        <v>16.451187999999998</v>
      </c>
      <c r="AB51" s="1277">
        <f t="shared" si="16"/>
        <v>89.908000000000001</v>
      </c>
      <c r="AC51" s="244">
        <f t="shared" si="14"/>
        <v>29.641693811074919</v>
      </c>
      <c r="AD51" s="1277">
        <f t="shared" si="14"/>
        <v>81.562668908774256</v>
      </c>
      <c r="AE51" s="241">
        <f t="shared" si="15"/>
        <v>31</v>
      </c>
      <c r="AF51" s="244">
        <f t="shared" si="2"/>
        <v>94.027959999999993</v>
      </c>
      <c r="AG51" s="1285"/>
      <c r="AI51" s="1282">
        <f t="shared" si="3"/>
        <v>38.830830480675672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636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5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39">
        <v>535</v>
      </c>
      <c r="J53" s="1448">
        <v>100</v>
      </c>
      <c r="K53" s="241"/>
      <c r="L53" s="1277">
        <v>449</v>
      </c>
      <c r="M53" s="241"/>
      <c r="N53" s="1278">
        <v>2.2999999999999998</v>
      </c>
      <c r="O53" s="241"/>
      <c r="P53" s="1278">
        <f t="shared" si="5"/>
        <v>10.631112227177852</v>
      </c>
      <c r="Q53" s="1278">
        <f>RIGHT(H53,(FIND("T",H53,1)-0))*J53/100</f>
        <v>14</v>
      </c>
      <c r="R53" s="244">
        <v>2.206</v>
      </c>
      <c r="S53" s="244">
        <v>11.302</v>
      </c>
      <c r="T53" s="1277">
        <v>77</v>
      </c>
      <c r="U53" s="1278">
        <f t="shared" si="13"/>
        <v>34.904805077062555</v>
      </c>
      <c r="V53" s="1278">
        <f t="shared" si="6"/>
        <v>80.481330737922491</v>
      </c>
      <c r="W53" s="1279">
        <v>0</v>
      </c>
      <c r="X53" s="1449">
        <v>100</v>
      </c>
      <c r="Y53" s="1277">
        <f t="shared" si="4"/>
        <v>80.728571428571428</v>
      </c>
      <c r="Z53" s="244">
        <f t="shared" si="16"/>
        <v>2.1795279999999999</v>
      </c>
      <c r="AA53" s="244">
        <f t="shared" si="16"/>
        <v>11.166376</v>
      </c>
      <c r="AB53" s="1277">
        <f t="shared" si="16"/>
        <v>76.075999999999993</v>
      </c>
      <c r="AC53" s="244">
        <f>U53</f>
        <v>34.904805077062555</v>
      </c>
      <c r="AD53" s="1278">
        <f t="shared" ref="AD53" si="21">(AA53-Z53)/AA53*100</f>
        <v>80.481330737922491</v>
      </c>
      <c r="AE53" s="241">
        <v>15</v>
      </c>
      <c r="AF53" s="244">
        <f t="shared" si="2"/>
        <v>32.692920000000001</v>
      </c>
      <c r="AG53" s="1281" t="s">
        <v>789</v>
      </c>
      <c r="AI53" s="1282">
        <f t="shared" si="3"/>
        <v>10.631112227177852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636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5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39" t="s">
        <v>442</v>
      </c>
      <c r="F55" s="241">
        <v>177.8</v>
      </c>
      <c r="G55" s="241" t="s">
        <v>28</v>
      </c>
      <c r="H55" s="241" t="s">
        <v>687</v>
      </c>
      <c r="I55" s="1639">
        <v>515.54</v>
      </c>
      <c r="J55" s="241">
        <v>75</v>
      </c>
      <c r="K55" s="241"/>
      <c r="L55" s="1277">
        <v>392</v>
      </c>
      <c r="M55" s="241"/>
      <c r="N55" s="1278">
        <v>3.2</v>
      </c>
      <c r="O55" s="241"/>
      <c r="P55" s="1278">
        <f t="shared" si="5"/>
        <v>15.222111578813307</v>
      </c>
      <c r="Q55" s="1325">
        <f>J55*20/100</f>
        <v>15</v>
      </c>
      <c r="R55" s="244">
        <v>2.7559999999999998</v>
      </c>
      <c r="S55" s="244">
        <v>16.768000000000001</v>
      </c>
      <c r="T55" s="1277">
        <v>13</v>
      </c>
      <c r="U55" s="1278">
        <f t="shared" si="13"/>
        <v>4.716981132075472</v>
      </c>
      <c r="V55" s="1278">
        <f t="shared" si="6"/>
        <v>83.563931297709928</v>
      </c>
      <c r="W55" s="1279">
        <v>0</v>
      </c>
      <c r="X55" s="1316">
        <v>75</v>
      </c>
      <c r="Y55" s="1277">
        <f t="shared" si="4"/>
        <v>111.78666666666668</v>
      </c>
      <c r="Z55" s="244">
        <f t="shared" si="16"/>
        <v>2.7229279999999996</v>
      </c>
      <c r="AA55" s="244">
        <f t="shared" si="16"/>
        <v>16.566784000000002</v>
      </c>
      <c r="AB55" s="1277">
        <f t="shared" si="16"/>
        <v>12.843999999999999</v>
      </c>
      <c r="AC55" s="1278">
        <f t="shared" ref="AC55" si="22">IF(Z55=0,0,AB55/Z55)</f>
        <v>4.716981132075472</v>
      </c>
      <c r="AD55" s="1278">
        <f t="shared" ref="AD55" si="23">(AA55-Z55)/AA55*100</f>
        <v>83.563931297709928</v>
      </c>
      <c r="AE55" s="241">
        <f t="shared" si="15"/>
        <v>31</v>
      </c>
      <c r="AF55" s="244">
        <f t="shared" si="2"/>
        <v>84.41076799999999</v>
      </c>
      <c r="AG55" s="1281"/>
      <c r="AI55" s="1282">
        <f t="shared" si="3"/>
        <v>15.222111578813307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636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5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4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3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367</v>
      </c>
      <c r="M57" s="1275"/>
      <c r="N57" s="1278">
        <v>3.1</v>
      </c>
      <c r="O57" s="1275"/>
      <c r="P57" s="1278">
        <f t="shared" si="5"/>
        <v>21.776574107667575</v>
      </c>
      <c r="Q57" s="1278">
        <f>J57*14/100</f>
        <v>10.5</v>
      </c>
      <c r="R57" s="1459">
        <v>7.7060000000000004</v>
      </c>
      <c r="S57" s="244">
        <v>13.028</v>
      </c>
      <c r="T57" s="1323">
        <v>8.6999999999999993</v>
      </c>
      <c r="U57" s="1278">
        <f t="shared" si="13"/>
        <v>1.1289903970931741</v>
      </c>
      <c r="V57" s="1278">
        <f t="shared" ref="V57:V86" si="24">(S57-R57)/S57*100</f>
        <v>40.850475898065703</v>
      </c>
      <c r="W57" s="1460">
        <v>0.2</v>
      </c>
      <c r="X57" s="1453">
        <v>75</v>
      </c>
      <c r="Y57" s="1277">
        <f t="shared" si="4"/>
        <v>124.07619047619048</v>
      </c>
      <c r="Z57" s="244">
        <f t="shared" ref="Z57:AB61" si="25">R57*0.988</f>
        <v>7.6135280000000005</v>
      </c>
      <c r="AA57" s="244">
        <f t="shared" si="25"/>
        <v>12.871664000000001</v>
      </c>
      <c r="AB57" s="1277">
        <f t="shared" si="25"/>
        <v>8.5955999999999992</v>
      </c>
      <c r="AC57" s="1459">
        <f t="shared" ref="AC57:AD59" si="26">U57</f>
        <v>1.1289903970931741</v>
      </c>
      <c r="AD57" s="1277">
        <f t="shared" si="26"/>
        <v>40.850475898065703</v>
      </c>
      <c r="AE57" s="241">
        <f t="shared" si="15"/>
        <v>31</v>
      </c>
      <c r="AF57" s="1459">
        <f t="shared" si="2"/>
        <v>236.01936800000001</v>
      </c>
      <c r="AG57" s="1285"/>
      <c r="AI57" s="1282">
        <f t="shared" si="3"/>
        <v>21.776574107667575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39">
        <v>589.64</v>
      </c>
      <c r="J58" s="1448">
        <v>85</v>
      </c>
      <c r="K58" s="241"/>
      <c r="L58" s="1277">
        <v>277</v>
      </c>
      <c r="M58" s="241"/>
      <c r="N58" s="1278">
        <v>2.9</v>
      </c>
      <c r="O58" s="241"/>
      <c r="P58" s="1278">
        <f t="shared" si="5"/>
        <v>33.340822253770426</v>
      </c>
      <c r="Q58" s="1325">
        <f>J58*20/100</f>
        <v>17</v>
      </c>
      <c r="R58" s="244">
        <v>3.1869999999999998</v>
      </c>
      <c r="S58" s="244">
        <v>18.663</v>
      </c>
      <c r="T58" s="1277">
        <v>8.4</v>
      </c>
      <c r="U58" s="1278">
        <f t="shared" si="13"/>
        <v>2.6357075619705053</v>
      </c>
      <c r="V58" s="1278">
        <f t="shared" si="24"/>
        <v>82.923431388308416</v>
      </c>
      <c r="W58" s="1279">
        <v>0</v>
      </c>
      <c r="X58" s="1449">
        <v>85</v>
      </c>
      <c r="Y58" s="1277">
        <f t="shared" si="4"/>
        <v>109.78235294117647</v>
      </c>
      <c r="Z58" s="244">
        <f t="shared" si="25"/>
        <v>3.1487559999999997</v>
      </c>
      <c r="AA58" s="244">
        <f t="shared" si="25"/>
        <v>18.439043999999999</v>
      </c>
      <c r="AB58" s="1277">
        <f t="shared" si="25"/>
        <v>8.2992000000000008</v>
      </c>
      <c r="AC58" s="1459">
        <f t="shared" si="26"/>
        <v>2.6357075619705053</v>
      </c>
      <c r="AD58" s="1277">
        <f t="shared" si="26"/>
        <v>82.923431388308416</v>
      </c>
      <c r="AE58" s="241">
        <f t="shared" si="15"/>
        <v>31</v>
      </c>
      <c r="AF58" s="244">
        <f t="shared" si="2"/>
        <v>97.611435999999983</v>
      </c>
      <c r="AG58" s="1281"/>
      <c r="AI58" s="1282">
        <f t="shared" si="3"/>
        <v>33.340822253770426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640">
        <v>560.83000000000004</v>
      </c>
      <c r="J59" s="241">
        <v>90</v>
      </c>
      <c r="K59" s="241"/>
      <c r="L59" s="1277">
        <v>310</v>
      </c>
      <c r="M59" s="241"/>
      <c r="N59" s="1278">
        <v>0</v>
      </c>
      <c r="O59" s="241"/>
      <c r="P59" s="1278">
        <f t="shared" si="5"/>
        <v>23.751795074593542</v>
      </c>
      <c r="Q59" s="1325">
        <f>J59*15/100</f>
        <v>13.5</v>
      </c>
      <c r="R59" s="244">
        <v>6.3220000000000001</v>
      </c>
      <c r="S59" s="244">
        <v>13.874000000000001</v>
      </c>
      <c r="T59" s="1277">
        <v>14.5</v>
      </c>
      <c r="U59" s="1278">
        <f t="shared" si="13"/>
        <v>2.2935779816513762</v>
      </c>
      <c r="V59" s="1278">
        <f t="shared" si="24"/>
        <v>54.432751910047571</v>
      </c>
      <c r="W59" s="1279">
        <v>0.2</v>
      </c>
      <c r="X59" s="1316">
        <v>90</v>
      </c>
      <c r="Y59" s="1277">
        <f t="shared" si="4"/>
        <v>102.77037037037037</v>
      </c>
      <c r="Z59" s="244">
        <f t="shared" si="25"/>
        <v>6.2461359999999999</v>
      </c>
      <c r="AA59" s="244">
        <f t="shared" si="25"/>
        <v>13.707512000000001</v>
      </c>
      <c r="AB59" s="1277">
        <f t="shared" si="25"/>
        <v>14.326000000000001</v>
      </c>
      <c r="AC59" s="244">
        <f t="shared" si="26"/>
        <v>2.2935779816513762</v>
      </c>
      <c r="AD59" s="1277">
        <f t="shared" si="26"/>
        <v>54.432751910047571</v>
      </c>
      <c r="AE59" s="241">
        <f t="shared" si="15"/>
        <v>31</v>
      </c>
      <c r="AF59" s="244">
        <f t="shared" si="2"/>
        <v>193.63021599999999</v>
      </c>
      <c r="AG59" s="1281" t="s">
        <v>781</v>
      </c>
      <c r="AI59" s="1282">
        <f t="shared" si="3"/>
        <v>23.751795074593542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640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5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3"/>
        <v>0</v>
      </c>
      <c r="V60" s="1278" t="e">
        <f t="shared" si="24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2"/>
        <v>0</v>
      </c>
      <c r="AG60" s="1281" t="s">
        <v>772</v>
      </c>
      <c r="AI60" s="1282" t="e">
        <f t="shared" si="3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40">
        <v>551.66</v>
      </c>
      <c r="J61" s="241">
        <v>90</v>
      </c>
      <c r="K61" s="241"/>
      <c r="L61" s="1277">
        <v>330</v>
      </c>
      <c r="M61" s="241"/>
      <c r="N61" s="1278">
        <v>2.2999999999999998</v>
      </c>
      <c r="O61" s="241"/>
      <c r="P61" s="1278">
        <f t="shared" si="5"/>
        <v>23.59608737032562</v>
      </c>
      <c r="Q61" s="1278">
        <f>14*J61/100</f>
        <v>12.6</v>
      </c>
      <c r="R61" s="244">
        <v>1.4359999999999999</v>
      </c>
      <c r="S61" s="244">
        <v>5.0549999999999997</v>
      </c>
      <c r="T61" s="1277">
        <v>24.5</v>
      </c>
      <c r="U61" s="1278">
        <f t="shared" si="13"/>
        <v>17.061281337047355</v>
      </c>
      <c r="V61" s="1278">
        <f t="shared" si="24"/>
        <v>71.592482690405532</v>
      </c>
      <c r="W61" s="1279">
        <v>0.2</v>
      </c>
      <c r="X61" s="1316">
        <v>90</v>
      </c>
      <c r="Y61" s="1277">
        <f t="shared" si="4"/>
        <v>40.119047619047613</v>
      </c>
      <c r="Z61" s="244">
        <f t="shared" si="25"/>
        <v>1.418768</v>
      </c>
      <c r="AA61" s="244">
        <f t="shared" si="25"/>
        <v>4.9943399999999993</v>
      </c>
      <c r="AB61" s="1277">
        <f t="shared" si="25"/>
        <v>24.206</v>
      </c>
      <c r="AC61" s="244">
        <f>U61</f>
        <v>17.061281337047355</v>
      </c>
      <c r="AD61" s="1277">
        <f>V61</f>
        <v>71.592482690405532</v>
      </c>
      <c r="AE61" s="241">
        <f t="shared" si="15"/>
        <v>31</v>
      </c>
      <c r="AF61" s="244">
        <f t="shared" si="2"/>
        <v>43.981808000000001</v>
      </c>
      <c r="AG61" s="1281"/>
      <c r="AI61" s="1282">
        <f t="shared" si="3"/>
        <v>23.59608737032562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636">
        <v>506.61000000000013</v>
      </c>
      <c r="J62" s="241"/>
      <c r="K62" s="241"/>
      <c r="L62" s="1319"/>
      <c r="M62" s="1278"/>
      <c r="N62" s="1278"/>
      <c r="O62" s="241"/>
      <c r="P62" s="1278">
        <f t="shared" si="5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4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3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40" t="s">
        <v>692</v>
      </c>
      <c r="F63" s="241">
        <v>177.8</v>
      </c>
      <c r="G63" s="241" t="s">
        <v>28</v>
      </c>
      <c r="H63" s="1299" t="s">
        <v>683</v>
      </c>
      <c r="I63" s="1640">
        <v>545.4</v>
      </c>
      <c r="J63" s="241">
        <v>80</v>
      </c>
      <c r="K63" s="241"/>
      <c r="L63" s="1277">
        <v>29</v>
      </c>
      <c r="M63" s="241">
        <v>0</v>
      </c>
      <c r="N63" s="1278">
        <v>0</v>
      </c>
      <c r="O63" s="241"/>
      <c r="P63" s="1278">
        <f t="shared" si="5"/>
        <v>45.790778665791663</v>
      </c>
      <c r="Q63" s="1278">
        <f>J63*13/100</f>
        <v>10.4</v>
      </c>
      <c r="R63" s="244">
        <v>1.2270000000000001</v>
      </c>
      <c r="S63" s="244">
        <v>1.4550000000000001</v>
      </c>
      <c r="T63" s="1277">
        <v>51</v>
      </c>
      <c r="U63" s="1278">
        <f>IF(R63=0,0,T63/R63)</f>
        <v>41.56479217603912</v>
      </c>
      <c r="V63" s="1278">
        <f t="shared" si="24"/>
        <v>15.670103092783503</v>
      </c>
      <c r="W63" s="1279">
        <v>0.2</v>
      </c>
      <c r="X63" s="1316">
        <v>80</v>
      </c>
      <c r="Y63" s="1277">
        <f t="shared" si="4"/>
        <v>13.990384615384615</v>
      </c>
      <c r="Z63" s="244">
        <f t="shared" ref="Z63:AB75" si="27">R63*0.988</f>
        <v>1.2122760000000001</v>
      </c>
      <c r="AA63" s="244">
        <f t="shared" si="27"/>
        <v>1.43754</v>
      </c>
      <c r="AB63" s="1277">
        <f t="shared" si="27"/>
        <v>50.387999999999998</v>
      </c>
      <c r="AC63" s="244">
        <f t="shared" ref="AC63:AD70" si="28">U63</f>
        <v>41.56479217603912</v>
      </c>
      <c r="AD63" s="1277">
        <f t="shared" si="28"/>
        <v>15.670103092783503</v>
      </c>
      <c r="AE63" s="241">
        <f t="shared" si="15"/>
        <v>31</v>
      </c>
      <c r="AF63" s="244">
        <f t="shared" si="2"/>
        <v>37.580556000000001</v>
      </c>
      <c r="AG63" s="1281"/>
      <c r="AI63" s="1282">
        <f t="shared" si="3"/>
        <v>45.790778665791663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40">
        <v>674.45</v>
      </c>
      <c r="E64" s="1640" t="s">
        <v>232</v>
      </c>
      <c r="F64" s="241">
        <v>177.8</v>
      </c>
      <c r="G64" s="241" t="s">
        <v>28</v>
      </c>
      <c r="H64" s="1299" t="s">
        <v>464</v>
      </c>
      <c r="I64" s="1640">
        <v>542.6</v>
      </c>
      <c r="J64" s="1640">
        <v>130</v>
      </c>
      <c r="K64" s="1640"/>
      <c r="L64" s="1319">
        <v>464</v>
      </c>
      <c r="M64" s="1640"/>
      <c r="N64" s="1278">
        <v>2.1</v>
      </c>
      <c r="O64" s="1640"/>
      <c r="P64" s="1278">
        <f t="shared" si="5"/>
        <v>9.487210341450778</v>
      </c>
      <c r="Q64" s="1278">
        <f>RIGHT(H64,(FIND("T",H64,1)-0))*J64/100</f>
        <v>18.2</v>
      </c>
      <c r="R64" s="244">
        <v>5.7670000000000003</v>
      </c>
      <c r="S64" s="244">
        <v>8.7200000000000006</v>
      </c>
      <c r="T64" s="1319">
        <v>28</v>
      </c>
      <c r="U64" s="1278">
        <f t="shared" si="13"/>
        <v>4.8552106814634985</v>
      </c>
      <c r="V64" s="1278">
        <f t="shared" si="24"/>
        <v>33.86467889908257</v>
      </c>
      <c r="W64" s="1279">
        <v>0.2</v>
      </c>
      <c r="X64" s="1410">
        <v>130</v>
      </c>
      <c r="Y64" s="1277">
        <f t="shared" si="4"/>
        <v>47.91208791208792</v>
      </c>
      <c r="Z64" s="244">
        <f t="shared" si="27"/>
        <v>5.6977960000000003</v>
      </c>
      <c r="AA64" s="244">
        <f t="shared" si="27"/>
        <v>8.6153600000000008</v>
      </c>
      <c r="AB64" s="1277">
        <f t="shared" si="27"/>
        <v>27.664000000000001</v>
      </c>
      <c r="AC64" s="244">
        <f t="shared" si="28"/>
        <v>4.8552106814634985</v>
      </c>
      <c r="AD64" s="1277">
        <f t="shared" si="28"/>
        <v>33.86467889908257</v>
      </c>
      <c r="AE64" s="241">
        <f t="shared" si="15"/>
        <v>31</v>
      </c>
      <c r="AF64" s="244">
        <f>Z64*AE64</f>
        <v>176.631676</v>
      </c>
      <c r="AG64" s="1342"/>
      <c r="AI64" s="1282">
        <f t="shared" si="3"/>
        <v>9.487210341450778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36">
        <v>678.47</v>
      </c>
      <c r="E65" s="1636" t="s">
        <v>606</v>
      </c>
      <c r="F65" s="241">
        <v>177.8</v>
      </c>
      <c r="G65" s="241" t="s">
        <v>28</v>
      </c>
      <c r="H65" s="1299" t="s">
        <v>466</v>
      </c>
      <c r="I65" s="1636">
        <v>574.4</v>
      </c>
      <c r="J65" s="1373">
        <v>0</v>
      </c>
      <c r="K65" s="1636"/>
      <c r="L65" s="1319">
        <v>0</v>
      </c>
      <c r="M65" s="1636"/>
      <c r="N65" s="1278">
        <v>0</v>
      </c>
      <c r="O65" s="1636"/>
      <c r="P65" s="1278" t="e">
        <f t="shared" si="5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3"/>
        <v>0</v>
      </c>
      <c r="V65" s="1278" t="e">
        <f t="shared" si="24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9">Z65*AE65</f>
        <v>0</v>
      </c>
      <c r="AG65" s="1281" t="s">
        <v>771</v>
      </c>
      <c r="AI65" s="1282" t="e">
        <f t="shared" si="3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40">
        <v>541.12</v>
      </c>
      <c r="J66" s="241">
        <v>175</v>
      </c>
      <c r="K66" s="241"/>
      <c r="L66" s="1277">
        <v>444</v>
      </c>
      <c r="M66" s="241"/>
      <c r="N66" s="1278">
        <v>3.4</v>
      </c>
      <c r="O66" s="241"/>
      <c r="P66" s="1278">
        <f t="shared" si="5"/>
        <v>12.868838675836084</v>
      </c>
      <c r="Q66" s="1278">
        <f>20*J66/100</f>
        <v>35</v>
      </c>
      <c r="R66" s="244">
        <v>6.7169999999999996</v>
      </c>
      <c r="S66" s="244">
        <v>21.582000000000001</v>
      </c>
      <c r="T66" s="1277">
        <v>91.6</v>
      </c>
      <c r="U66" s="1278">
        <f t="shared" si="13"/>
        <v>13.637040345392288</v>
      </c>
      <c r="V66" s="1278">
        <f t="shared" si="24"/>
        <v>68.876841812621635</v>
      </c>
      <c r="W66" s="1279">
        <v>0.2</v>
      </c>
      <c r="X66" s="1316">
        <v>175</v>
      </c>
      <c r="Y66" s="1277">
        <f t="shared" si="4"/>
        <v>61.662857142857142</v>
      </c>
      <c r="Z66" s="244">
        <f t="shared" si="27"/>
        <v>6.6363959999999995</v>
      </c>
      <c r="AA66" s="244">
        <f t="shared" si="27"/>
        <v>21.323015999999999</v>
      </c>
      <c r="AB66" s="1277">
        <f t="shared" si="27"/>
        <v>90.500799999999998</v>
      </c>
      <c r="AC66" s="244">
        <f t="shared" si="28"/>
        <v>13.637040345392288</v>
      </c>
      <c r="AD66" s="1277">
        <f t="shared" si="28"/>
        <v>68.876841812621635</v>
      </c>
      <c r="AE66" s="241">
        <f t="shared" si="15"/>
        <v>31</v>
      </c>
      <c r="AF66" s="244">
        <f t="shared" si="29"/>
        <v>205.72827599999999</v>
      </c>
      <c r="AG66" s="1285"/>
      <c r="AI66" s="1282">
        <f t="shared" si="3"/>
        <v>12.868838675836084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40">
        <v>521.42999999999995</v>
      </c>
      <c r="J67" s="241">
        <v>300</v>
      </c>
      <c r="K67" s="241"/>
      <c r="L67" s="1277">
        <v>454.5</v>
      </c>
      <c r="M67" s="241"/>
      <c r="N67" s="1278">
        <v>5.3</v>
      </c>
      <c r="O67" s="241"/>
      <c r="P67" s="1278">
        <f t="shared" si="5"/>
        <v>11.630630720164605</v>
      </c>
      <c r="Q67" s="1278">
        <f>J67*14/100</f>
        <v>42</v>
      </c>
      <c r="R67" s="244">
        <v>8.0830000000000002</v>
      </c>
      <c r="S67" s="244">
        <v>13.653</v>
      </c>
      <c r="T67" s="1277">
        <v>275</v>
      </c>
      <c r="U67" s="1278">
        <f t="shared" si="13"/>
        <v>34.022021526660893</v>
      </c>
      <c r="V67" s="1278">
        <f t="shared" si="24"/>
        <v>40.796894455431044</v>
      </c>
      <c r="W67" s="1279">
        <v>0.2</v>
      </c>
      <c r="X67" s="1316">
        <v>300</v>
      </c>
      <c r="Y67" s="1277">
        <f t="shared" si="4"/>
        <v>32.50714285714286</v>
      </c>
      <c r="Z67" s="244">
        <f t="shared" si="27"/>
        <v>7.9860040000000003</v>
      </c>
      <c r="AA67" s="244">
        <f t="shared" si="27"/>
        <v>13.489164000000001</v>
      </c>
      <c r="AB67" s="1277">
        <f t="shared" si="27"/>
        <v>271.7</v>
      </c>
      <c r="AC67" s="244">
        <f t="shared" si="28"/>
        <v>34.022021526660893</v>
      </c>
      <c r="AD67" s="1277">
        <f t="shared" si="28"/>
        <v>40.796894455431044</v>
      </c>
      <c r="AE67" s="241">
        <f t="shared" si="15"/>
        <v>31</v>
      </c>
      <c r="AF67" s="244">
        <f t="shared" si="29"/>
        <v>247.566124</v>
      </c>
      <c r="AG67" s="1285"/>
      <c r="AI67" s="1282">
        <f t="shared" si="3"/>
        <v>11.630630720164605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40" t="s">
        <v>607</v>
      </c>
      <c r="F68" s="241">
        <v>177.8</v>
      </c>
      <c r="G68" s="241" t="s">
        <v>28</v>
      </c>
      <c r="H68" s="241" t="s">
        <v>464</v>
      </c>
      <c r="I68" s="1640">
        <v>512.28</v>
      </c>
      <c r="J68" s="241">
        <v>175</v>
      </c>
      <c r="K68" s="241"/>
      <c r="L68" s="1277">
        <v>394</v>
      </c>
      <c r="M68" s="241"/>
      <c r="N68" s="1278">
        <v>2.7</v>
      </c>
      <c r="O68" s="241"/>
      <c r="P68" s="1278">
        <f t="shared" si="5"/>
        <v>14.016114117800928</v>
      </c>
      <c r="Q68" s="1278">
        <f>J68*14/100</f>
        <v>24.5</v>
      </c>
      <c r="R68" s="244">
        <v>4.6139999999999999</v>
      </c>
      <c r="S68" s="244">
        <v>10.010999999999999</v>
      </c>
      <c r="T68" s="1277">
        <v>55</v>
      </c>
      <c r="U68" s="1278">
        <f t="shared" si="13"/>
        <v>11.920242739488513</v>
      </c>
      <c r="V68" s="1278">
        <f t="shared" si="24"/>
        <v>53.910698231944856</v>
      </c>
      <c r="W68" s="1279">
        <v>0.2</v>
      </c>
      <c r="X68" s="1316">
        <v>175</v>
      </c>
      <c r="Y68" s="1277">
        <f t="shared" si="4"/>
        <v>40.861224489795916</v>
      </c>
      <c r="Z68" s="244">
        <f t="shared" si="27"/>
        <v>4.5586320000000002</v>
      </c>
      <c r="AA68" s="244">
        <f t="shared" si="27"/>
        <v>9.8908679999999993</v>
      </c>
      <c r="AB68" s="1277">
        <f t="shared" si="27"/>
        <v>54.339999999999996</v>
      </c>
      <c r="AC68" s="244">
        <f t="shared" si="28"/>
        <v>11.920242739488513</v>
      </c>
      <c r="AD68" s="1277">
        <f t="shared" si="28"/>
        <v>53.910698231944856</v>
      </c>
      <c r="AE68" s="241">
        <f t="shared" si="15"/>
        <v>31</v>
      </c>
      <c r="AF68" s="244">
        <f t="shared" si="29"/>
        <v>141.31759200000002</v>
      </c>
      <c r="AG68" s="1285"/>
      <c r="AI68" s="1282">
        <f t="shared" si="3"/>
        <v>14.016114117800928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40">
        <v>539.28</v>
      </c>
      <c r="J69" s="241">
        <v>85</v>
      </c>
      <c r="K69" s="241"/>
      <c r="L69" s="1277">
        <v>269</v>
      </c>
      <c r="M69" s="241"/>
      <c r="N69" s="1278">
        <v>3.9</v>
      </c>
      <c r="O69" s="241"/>
      <c r="P69" s="1278">
        <f t="shared" si="5"/>
        <v>30.105536161614303</v>
      </c>
      <c r="Q69" s="1278">
        <f>J69*13/100</f>
        <v>11.05</v>
      </c>
      <c r="R69" s="244">
        <v>1.0129999999999999</v>
      </c>
      <c r="S69" s="244">
        <v>4.9560000000000004</v>
      </c>
      <c r="T69" s="1277">
        <v>13.5</v>
      </c>
      <c r="U69" s="1278">
        <f t="shared" si="13"/>
        <v>13.326752221125371</v>
      </c>
      <c r="V69" s="1278">
        <f t="shared" si="24"/>
        <v>79.56012913640032</v>
      </c>
      <c r="W69" s="1279">
        <v>0.2</v>
      </c>
      <c r="X69" s="1316">
        <v>85</v>
      </c>
      <c r="Y69" s="1277">
        <f t="shared" si="4"/>
        <v>44.850678733031671</v>
      </c>
      <c r="Z69" s="244">
        <f t="shared" si="27"/>
        <v>1.0008439999999998</v>
      </c>
      <c r="AA69" s="244">
        <f t="shared" si="27"/>
        <v>4.896528</v>
      </c>
      <c r="AB69" s="1277">
        <f t="shared" si="27"/>
        <v>13.337999999999999</v>
      </c>
      <c r="AC69" s="244">
        <f t="shared" si="28"/>
        <v>13.326752221125371</v>
      </c>
      <c r="AD69" s="1277">
        <f t="shared" si="28"/>
        <v>79.56012913640032</v>
      </c>
      <c r="AE69" s="241">
        <f t="shared" si="15"/>
        <v>31</v>
      </c>
      <c r="AF69" s="244">
        <f>Z69*AE69</f>
        <v>31.026163999999994</v>
      </c>
      <c r="AG69" s="1281" t="s">
        <v>781</v>
      </c>
      <c r="AI69" s="1282">
        <f t="shared" si="3"/>
        <v>30.105536161614303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40">
        <v>541.46</v>
      </c>
      <c r="J70" s="241">
        <v>100</v>
      </c>
      <c r="K70" s="241"/>
      <c r="L70" s="1277">
        <v>238</v>
      </c>
      <c r="M70" s="241"/>
      <c r="N70" s="1278">
        <v>5.4</v>
      </c>
      <c r="O70" s="241"/>
      <c r="P70" s="1278">
        <f t="shared" si="5"/>
        <v>34.955485528510849</v>
      </c>
      <c r="Q70" s="1278">
        <f>(32/100)*J70</f>
        <v>32</v>
      </c>
      <c r="R70" s="244">
        <v>4.5149999999999997</v>
      </c>
      <c r="S70" s="244">
        <v>31.574999999999999</v>
      </c>
      <c r="T70" s="1277">
        <v>44</v>
      </c>
      <c r="U70" s="1278">
        <f t="shared" si="13"/>
        <v>9.7452934662236999</v>
      </c>
      <c r="V70" s="1278">
        <f t="shared" si="24"/>
        <v>85.700712589073632</v>
      </c>
      <c r="W70" s="1279">
        <v>0.2</v>
      </c>
      <c r="X70" s="1316">
        <v>100</v>
      </c>
      <c r="Y70" s="1277">
        <f t="shared" si="4"/>
        <v>98.671875</v>
      </c>
      <c r="Z70" s="244">
        <v>6</v>
      </c>
      <c r="AA70" s="244">
        <f t="shared" si="27"/>
        <v>31.196099999999998</v>
      </c>
      <c r="AB70" s="1277">
        <f t="shared" si="27"/>
        <v>43.472000000000001</v>
      </c>
      <c r="AC70" s="244">
        <f>U70</f>
        <v>9.7452934662236999</v>
      </c>
      <c r="AD70" s="1277">
        <f t="shared" si="28"/>
        <v>85.700712589073632</v>
      </c>
      <c r="AE70" s="241">
        <f t="shared" si="15"/>
        <v>31</v>
      </c>
      <c r="AF70" s="244">
        <f t="shared" si="29"/>
        <v>186</v>
      </c>
      <c r="AG70" s="1285"/>
      <c r="AI70" s="1282">
        <f t="shared" si="3"/>
        <v>34.955485528510849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36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5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3"/>
        <v>0</v>
      </c>
      <c r="V71" s="1278" t="e">
        <f t="shared" si="24"/>
        <v>#DIV/0!</v>
      </c>
      <c r="W71" s="1279">
        <v>0</v>
      </c>
      <c r="X71" s="1449">
        <v>0</v>
      </c>
      <c r="Y71" s="1277">
        <f t="shared" si="4"/>
        <v>0</v>
      </c>
      <c r="Z71" s="244">
        <f t="shared" ref="Z71:AA75" si="30">R71*0.988</f>
        <v>0</v>
      </c>
      <c r="AA71" s="244">
        <f t="shared" si="30"/>
        <v>0</v>
      </c>
      <c r="AB71" s="1277">
        <f t="shared" si="27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9"/>
        <v>0</v>
      </c>
      <c r="AG71" s="1281" t="s">
        <v>769</v>
      </c>
      <c r="AI71" s="1282" t="e">
        <f t="shared" si="3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40">
        <v>512.47</v>
      </c>
      <c r="J72" s="1277">
        <v>245</v>
      </c>
      <c r="K72" s="241"/>
      <c r="L72" s="1277">
        <v>458</v>
      </c>
      <c r="M72" s="241"/>
      <c r="N72" s="1278">
        <v>4.8</v>
      </c>
      <c r="O72" s="241"/>
      <c r="P72" s="1278">
        <f t="shared" si="5"/>
        <v>9.7930325066641668</v>
      </c>
      <c r="Q72" s="1278">
        <f>(32*J72)/100</f>
        <v>78.400000000000006</v>
      </c>
      <c r="R72" s="244">
        <v>13.829000000000001</v>
      </c>
      <c r="S72" s="244">
        <v>16.594999999999999</v>
      </c>
      <c r="T72" s="1277">
        <v>572</v>
      </c>
      <c r="U72" s="1278">
        <f t="shared" si="13"/>
        <v>41.362354472485357</v>
      </c>
      <c r="V72" s="1278">
        <f t="shared" si="24"/>
        <v>16.667670985236509</v>
      </c>
      <c r="W72" s="1279">
        <v>0.2</v>
      </c>
      <c r="X72" s="1454">
        <v>245</v>
      </c>
      <c r="Y72" s="1277">
        <f t="shared" si="4"/>
        <v>21.167091836734691</v>
      </c>
      <c r="Z72" s="244">
        <f t="shared" si="30"/>
        <v>13.663052</v>
      </c>
      <c r="AA72" s="244">
        <f t="shared" si="30"/>
        <v>16.395859999999999</v>
      </c>
      <c r="AB72" s="1277">
        <f t="shared" si="27"/>
        <v>565.13599999999997</v>
      </c>
      <c r="AC72" s="244">
        <f>U72</f>
        <v>41.362354472485357</v>
      </c>
      <c r="AD72" s="1277">
        <f>V72</f>
        <v>16.667670985236509</v>
      </c>
      <c r="AE72" s="241">
        <f t="shared" si="15"/>
        <v>31</v>
      </c>
      <c r="AF72" s="244">
        <f t="shared" si="29"/>
        <v>423.55461200000002</v>
      </c>
      <c r="AG72" s="1281"/>
      <c r="AI72" s="1282">
        <f t="shared" si="3"/>
        <v>9.7930325066641668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40">
        <v>500.41</v>
      </c>
      <c r="J73" s="1448">
        <v>185</v>
      </c>
      <c r="K73" s="241"/>
      <c r="L73" s="1277">
        <v>479</v>
      </c>
      <c r="M73" s="241"/>
      <c r="N73" s="1278">
        <v>3.6</v>
      </c>
      <c r="O73" s="241"/>
      <c r="P73" s="1278">
        <f t="shared" si="5"/>
        <v>5.7642042613802529</v>
      </c>
      <c r="Q73" s="1278">
        <f>J73*32/100</f>
        <v>59.2</v>
      </c>
      <c r="R73" s="244">
        <v>8.4290000000000003</v>
      </c>
      <c r="S73" s="244">
        <v>10.887</v>
      </c>
      <c r="T73" s="1277">
        <v>116</v>
      </c>
      <c r="U73" s="1278">
        <f t="shared" si="13"/>
        <v>13.762012101079605</v>
      </c>
      <c r="V73" s="1278">
        <f t="shared" si="24"/>
        <v>22.577385873059612</v>
      </c>
      <c r="W73" s="1279">
        <v>0.2</v>
      </c>
      <c r="X73" s="1449">
        <v>185</v>
      </c>
      <c r="Y73" s="1277">
        <f t="shared" si="4"/>
        <v>18.390202702702702</v>
      </c>
      <c r="Z73" s="244">
        <f t="shared" si="30"/>
        <v>8.327852</v>
      </c>
      <c r="AA73" s="244">
        <f t="shared" si="30"/>
        <v>10.756356</v>
      </c>
      <c r="AB73" s="1277">
        <f t="shared" si="27"/>
        <v>114.608</v>
      </c>
      <c r="AC73" s="244">
        <v>20</v>
      </c>
      <c r="AD73" s="1277">
        <v>17</v>
      </c>
      <c r="AE73" s="241">
        <f t="shared" si="15"/>
        <v>31</v>
      </c>
      <c r="AF73" s="244">
        <f t="shared" si="29"/>
        <v>258.16341199999999</v>
      </c>
      <c r="AG73" s="1281"/>
      <c r="AI73" s="1282">
        <f t="shared" si="3"/>
        <v>5.7642042613802529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40">
        <v>549.1</v>
      </c>
      <c r="J74" s="1448">
        <v>185</v>
      </c>
      <c r="K74" s="241"/>
      <c r="L74" s="1277">
        <v>437</v>
      </c>
      <c r="M74" s="241"/>
      <c r="N74" s="1278">
        <v>7</v>
      </c>
      <c r="O74" s="241"/>
      <c r="P74" s="1278">
        <f t="shared" si="5"/>
        <v>17.685116267835056</v>
      </c>
      <c r="Q74" s="1278">
        <f>LEFT(H74,(FIND("E",H74,1)-1))*J74/100</f>
        <v>40.700000000000003</v>
      </c>
      <c r="R74" s="244">
        <v>11.46</v>
      </c>
      <c r="S74" s="244">
        <v>26.155000000000001</v>
      </c>
      <c r="T74" s="1277">
        <v>442</v>
      </c>
      <c r="U74" s="1278">
        <f t="shared" si="13"/>
        <v>38.568935427574168</v>
      </c>
      <c r="V74" s="1278">
        <f t="shared" si="24"/>
        <v>56.184285987382907</v>
      </c>
      <c r="W74" s="1279">
        <v>0.2</v>
      </c>
      <c r="X74" s="1449">
        <v>185</v>
      </c>
      <c r="Y74" s="1277">
        <f t="shared" si="4"/>
        <v>64.262899262899268</v>
      </c>
      <c r="Z74" s="244">
        <f t="shared" si="30"/>
        <v>11.322480000000001</v>
      </c>
      <c r="AA74" s="244">
        <f t="shared" si="30"/>
        <v>25.841139999999999</v>
      </c>
      <c r="AB74" s="1277">
        <f t="shared" si="27"/>
        <v>436.69599999999997</v>
      </c>
      <c r="AC74" s="244">
        <f>U74</f>
        <v>38.568935427574168</v>
      </c>
      <c r="AD74" s="1277">
        <f>V74</f>
        <v>56.184285987382907</v>
      </c>
      <c r="AE74" s="241">
        <f t="shared" si="15"/>
        <v>31</v>
      </c>
      <c r="AF74" s="244">
        <f t="shared" si="29"/>
        <v>350.99688000000003</v>
      </c>
      <c r="AG74" s="1285"/>
      <c r="AI74" s="1282">
        <f t="shared" si="3"/>
        <v>17.685116267835056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41">
        <v>542.46</v>
      </c>
      <c r="J75" s="1448">
        <v>85</v>
      </c>
      <c r="K75" s="241"/>
      <c r="L75" s="1277">
        <v>308</v>
      </c>
      <c r="M75" s="241"/>
      <c r="N75" s="1278">
        <v>3.2</v>
      </c>
      <c r="O75" s="241"/>
      <c r="P75" s="1278">
        <f t="shared" si="5"/>
        <v>25.164752513994149</v>
      </c>
      <c r="Q75" s="1278">
        <f>(20/100)*J75</f>
        <v>17</v>
      </c>
      <c r="R75" s="244">
        <v>8.9719999999999995</v>
      </c>
      <c r="S75" s="244">
        <v>18.945</v>
      </c>
      <c r="T75" s="1277">
        <v>68</v>
      </c>
      <c r="U75" s="1278">
        <f t="shared" si="13"/>
        <v>7.5791350869371383</v>
      </c>
      <c r="V75" s="1278">
        <f t="shared" si="24"/>
        <v>52.641858010029033</v>
      </c>
      <c r="W75" s="1279">
        <v>0.2</v>
      </c>
      <c r="X75" s="1449">
        <v>85</v>
      </c>
      <c r="Y75" s="1277">
        <f t="shared" si="4"/>
        <v>111.44117647058825</v>
      </c>
      <c r="Z75" s="244">
        <f t="shared" si="30"/>
        <v>8.8643359999999998</v>
      </c>
      <c r="AA75" s="244">
        <f t="shared" si="30"/>
        <v>18.717659999999999</v>
      </c>
      <c r="AB75" s="1277">
        <f t="shared" si="27"/>
        <v>67.183999999999997</v>
      </c>
      <c r="AC75" s="244">
        <f>U75</f>
        <v>7.5791350869371383</v>
      </c>
      <c r="AD75" s="1277">
        <f>V75</f>
        <v>52.641858010029033</v>
      </c>
      <c r="AE75" s="241">
        <f t="shared" si="15"/>
        <v>31</v>
      </c>
      <c r="AF75" s="244">
        <f t="shared" si="29"/>
        <v>274.79441600000001</v>
      </c>
      <c r="AG75" s="1285"/>
      <c r="AI75" s="1282">
        <f t="shared" si="3"/>
        <v>25.164752513994149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636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5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4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3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774</v>
      </c>
      <c r="F77" s="241">
        <v>177.8</v>
      </c>
      <c r="G77" s="241" t="s">
        <v>28</v>
      </c>
      <c r="H77" s="1299" t="s">
        <v>687</v>
      </c>
      <c r="I77" s="1636">
        <v>584.41999999999996</v>
      </c>
      <c r="J77" s="1448">
        <v>0</v>
      </c>
      <c r="K77" s="241"/>
      <c r="L77" s="1277">
        <v>0</v>
      </c>
      <c r="M77" s="241"/>
      <c r="N77" s="1278">
        <v>0</v>
      </c>
      <c r="O77" s="241"/>
      <c r="P77" s="1278" t="e">
        <f t="shared" si="5"/>
        <v>#DIV/0!</v>
      </c>
      <c r="Q77" s="1278">
        <f>(20*J77)/100</f>
        <v>0</v>
      </c>
      <c r="R77" s="244">
        <v>0</v>
      </c>
      <c r="S77" s="244">
        <v>0</v>
      </c>
      <c r="T77" s="1277">
        <v>0</v>
      </c>
      <c r="U77" s="1278">
        <f t="shared" si="13"/>
        <v>0</v>
      </c>
      <c r="V77" s="1278" t="e">
        <f t="shared" si="24"/>
        <v>#DIV/0!</v>
      </c>
      <c r="W77" s="1279">
        <v>0</v>
      </c>
      <c r="X77" s="1449">
        <v>0</v>
      </c>
      <c r="Y77" s="1277">
        <f t="shared" si="4"/>
        <v>0</v>
      </c>
      <c r="Z77" s="244">
        <f t="shared" ref="Z77:AB82" si="31">R77*0.988</f>
        <v>0</v>
      </c>
      <c r="AA77" s="244">
        <f t="shared" si="31"/>
        <v>0</v>
      </c>
      <c r="AB77" s="1277">
        <f t="shared" si="31"/>
        <v>0</v>
      </c>
      <c r="AC77" s="244">
        <f t="shared" ref="AC77:AD81" si="32">U77</f>
        <v>0</v>
      </c>
      <c r="AD77" s="1277" t="e">
        <f t="shared" si="32"/>
        <v>#DIV/0!</v>
      </c>
      <c r="AE77" s="241">
        <v>0</v>
      </c>
      <c r="AF77" s="244">
        <f t="shared" ref="AF77:AF83" si="33">Z77*AE77</f>
        <v>0</v>
      </c>
      <c r="AG77" s="1281" t="s">
        <v>780</v>
      </c>
      <c r="AI77" s="1282" t="e">
        <f t="shared" si="3"/>
        <v>#DIV/0!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41">
        <v>531.27</v>
      </c>
      <c r="J78" s="1448">
        <v>145</v>
      </c>
      <c r="K78" s="241"/>
      <c r="L78" s="1277">
        <v>308</v>
      </c>
      <c r="M78" s="241"/>
      <c r="N78" s="1278">
        <v>7</v>
      </c>
      <c r="O78" s="241"/>
      <c r="P78" s="1278">
        <f t="shared" si="5"/>
        <v>28.170900321023495</v>
      </c>
      <c r="Q78" s="1278">
        <f>(32*J78)/100</f>
        <v>46.4</v>
      </c>
      <c r="R78" s="244">
        <v>12.263999999999999</v>
      </c>
      <c r="S78" s="244">
        <v>32.235999999999997</v>
      </c>
      <c r="T78" s="1277">
        <v>195</v>
      </c>
      <c r="U78" s="1278">
        <f t="shared" si="13"/>
        <v>15.900195694716244</v>
      </c>
      <c r="V78" s="1278">
        <f t="shared" si="24"/>
        <v>61.955577615088721</v>
      </c>
      <c r="W78" s="1279">
        <v>0.2</v>
      </c>
      <c r="X78" s="1449">
        <v>145</v>
      </c>
      <c r="Y78" s="1277">
        <f t="shared" si="4"/>
        <v>69.474137931034477</v>
      </c>
      <c r="Z78" s="244">
        <f t="shared" si="31"/>
        <v>12.116831999999999</v>
      </c>
      <c r="AA78" s="244">
        <f t="shared" si="31"/>
        <v>31.849167999999995</v>
      </c>
      <c r="AB78" s="1277">
        <f t="shared" si="31"/>
        <v>192.66</v>
      </c>
      <c r="AC78" s="244">
        <f t="shared" si="32"/>
        <v>15.900195694716244</v>
      </c>
      <c r="AD78" s="1277">
        <f t="shared" si="32"/>
        <v>61.955577615088721</v>
      </c>
      <c r="AE78" s="241">
        <f t="shared" si="15"/>
        <v>31</v>
      </c>
      <c r="AF78" s="244">
        <f t="shared" si="33"/>
        <v>375.62179199999997</v>
      </c>
      <c r="AG78" s="1285"/>
      <c r="AI78" s="1282">
        <f t="shared" si="3"/>
        <v>28.170900321023495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36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5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13"/>
        <v>0</v>
      </c>
      <c r="V79" s="1278" t="e">
        <f t="shared" si="24"/>
        <v>#DIV/0!</v>
      </c>
      <c r="W79" s="1279">
        <v>0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33"/>
        <v>0</v>
      </c>
      <c r="AG79" s="1281" t="s">
        <v>772</v>
      </c>
      <c r="AI79" s="1282" t="e">
        <f t="shared" si="3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41">
        <v>572.76</v>
      </c>
      <c r="J80" s="1448">
        <v>95</v>
      </c>
      <c r="K80" s="241"/>
      <c r="L80" s="1277">
        <v>364</v>
      </c>
      <c r="M80" s="241"/>
      <c r="N80" s="1278">
        <v>5.8</v>
      </c>
      <c r="O80" s="241"/>
      <c r="P80" s="1278">
        <f t="shared" si="5"/>
        <v>23.144786413985443</v>
      </c>
      <c r="Q80" s="1278">
        <f>(32/100)*J80</f>
        <v>30.400000000000002</v>
      </c>
      <c r="R80" s="244">
        <v>10.521000000000001</v>
      </c>
      <c r="S80" s="244">
        <v>11.651999999999999</v>
      </c>
      <c r="T80" s="1277">
        <v>696</v>
      </c>
      <c r="U80" s="1278">
        <f t="shared" si="13"/>
        <v>66.153407470772734</v>
      </c>
      <c r="V80" s="1278">
        <f t="shared" si="24"/>
        <v>9.7064881565396366</v>
      </c>
      <c r="W80" s="1279">
        <v>0.2</v>
      </c>
      <c r="X80" s="1449">
        <v>95</v>
      </c>
      <c r="Y80" s="1277">
        <f t="shared" si="4"/>
        <v>38.328947368421048</v>
      </c>
      <c r="Z80" s="244">
        <f t="shared" si="31"/>
        <v>10.394748</v>
      </c>
      <c r="AA80" s="244">
        <f t="shared" si="31"/>
        <v>11.512175999999998</v>
      </c>
      <c r="AB80" s="1277">
        <f t="shared" si="31"/>
        <v>687.64800000000002</v>
      </c>
      <c r="AC80" s="244">
        <f t="shared" si="32"/>
        <v>66.153407470772734</v>
      </c>
      <c r="AD80" s="1277">
        <f t="shared" si="32"/>
        <v>9.7064881565396366</v>
      </c>
      <c r="AE80" s="241">
        <v>31</v>
      </c>
      <c r="AF80" s="244">
        <f t="shared" si="33"/>
        <v>322.237188</v>
      </c>
      <c r="AG80" s="1285"/>
      <c r="AI80" s="1282">
        <f t="shared" si="3"/>
        <v>23.144786413985443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41">
        <v>664.19</v>
      </c>
      <c r="J81" s="1448">
        <v>165</v>
      </c>
      <c r="K81" s="241"/>
      <c r="L81" s="1277">
        <v>26</v>
      </c>
      <c r="M81" s="241"/>
      <c r="N81" s="1278">
        <v>0.2</v>
      </c>
      <c r="O81" s="241"/>
      <c r="P81" s="1278">
        <f t="shared" si="5"/>
        <v>56.695631911851251</v>
      </c>
      <c r="Q81" s="1278">
        <f>14*J81/100</f>
        <v>23.1</v>
      </c>
      <c r="R81" s="244">
        <v>4.5369999999999999</v>
      </c>
      <c r="S81" s="244">
        <v>4.5720000000000001</v>
      </c>
      <c r="T81" s="1277">
        <v>508</v>
      </c>
      <c r="U81" s="1278">
        <f t="shared" si="13"/>
        <v>111.96826096539564</v>
      </c>
      <c r="V81" s="1278">
        <f t="shared" si="24"/>
        <v>0.76552930883639858</v>
      </c>
      <c r="W81" s="1279">
        <v>0.2</v>
      </c>
      <c r="X81" s="1449">
        <v>165</v>
      </c>
      <c r="Y81" s="1277">
        <f t="shared" si="4"/>
        <v>19.79220779220779</v>
      </c>
      <c r="Z81" s="244">
        <f t="shared" si="31"/>
        <v>4.4825559999999998</v>
      </c>
      <c r="AA81" s="244">
        <f t="shared" si="31"/>
        <v>4.5171359999999998</v>
      </c>
      <c r="AB81" s="1277">
        <f t="shared" si="31"/>
        <v>501.904</v>
      </c>
      <c r="AC81" s="244">
        <f t="shared" si="32"/>
        <v>111.96826096539564</v>
      </c>
      <c r="AD81" s="1277">
        <f t="shared" si="32"/>
        <v>0.76552930883639858</v>
      </c>
      <c r="AE81" s="241">
        <f t="shared" si="15"/>
        <v>31</v>
      </c>
      <c r="AF81" s="244">
        <f t="shared" si="33"/>
        <v>138.959236</v>
      </c>
      <c r="AG81" s="1281"/>
      <c r="AI81" s="1282">
        <f t="shared" si="3"/>
        <v>56.695631911851251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636">
        <v>700</v>
      </c>
      <c r="E82" s="1636" t="s">
        <v>547</v>
      </c>
      <c r="F82" s="241">
        <v>177.8</v>
      </c>
      <c r="G82" s="241" t="s">
        <v>28</v>
      </c>
      <c r="H82" s="241" t="s">
        <v>464</v>
      </c>
      <c r="I82" s="1636">
        <v>608.22</v>
      </c>
      <c r="J82" s="1636">
        <v>0</v>
      </c>
      <c r="K82" s="1636"/>
      <c r="L82" s="1319">
        <v>0</v>
      </c>
      <c r="M82" s="1636"/>
      <c r="N82" s="1278">
        <v>0</v>
      </c>
      <c r="O82" s="1636"/>
      <c r="P82" s="1278">
        <f t="shared" si="5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4"/>
        <v>0</v>
      </c>
      <c r="Z82" s="244">
        <f t="shared" si="31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36">
        <v>619.66</v>
      </c>
      <c r="E83" s="1636" t="s">
        <v>613</v>
      </c>
      <c r="F83" s="241">
        <v>177.8</v>
      </c>
      <c r="G83" s="241" t="s">
        <v>28</v>
      </c>
      <c r="H83" s="1299" t="s">
        <v>687</v>
      </c>
      <c r="I83" s="1636">
        <v>595.26</v>
      </c>
      <c r="J83" s="1636">
        <v>0</v>
      </c>
      <c r="K83" s="1636"/>
      <c r="L83" s="1319">
        <v>0</v>
      </c>
      <c r="M83" s="1636"/>
      <c r="N83" s="1278">
        <v>0</v>
      </c>
      <c r="O83" s="1636"/>
      <c r="P83" s="1278" t="e">
        <f t="shared" si="5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3"/>
        <v>0</v>
      </c>
      <c r="V83" s="1278" t="e">
        <f t="shared" si="24"/>
        <v>#DIV/0!</v>
      </c>
      <c r="W83" s="1279">
        <v>0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33"/>
        <v>0</v>
      </c>
      <c r="AG83" s="1281" t="s">
        <v>780</v>
      </c>
      <c r="AI83" s="1282" t="e">
        <f t="shared" ref="AI83:AI86" si="34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636">
        <v>689.4</v>
      </c>
      <c r="E84" s="1636" t="s">
        <v>616</v>
      </c>
      <c r="F84" s="241">
        <v>177.8</v>
      </c>
      <c r="G84" s="241" t="s">
        <v>28</v>
      </c>
      <c r="H84" s="1299" t="s">
        <v>466</v>
      </c>
      <c r="I84" s="1636">
        <v>604.96</v>
      </c>
      <c r="J84" s="1636">
        <v>0</v>
      </c>
      <c r="K84" s="1636"/>
      <c r="L84" s="1319"/>
      <c r="M84" s="1636"/>
      <c r="N84" s="1278"/>
      <c r="O84" s="1636"/>
      <c r="P84" s="1278">
        <f t="shared" si="5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5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34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636">
        <v>577.12</v>
      </c>
      <c r="E85" s="1636" t="s">
        <v>614</v>
      </c>
      <c r="F85" s="241">
        <v>177.8</v>
      </c>
      <c r="G85" s="241" t="s">
        <v>28</v>
      </c>
      <c r="H85" s="241" t="s">
        <v>464</v>
      </c>
      <c r="I85" s="1636">
        <v>537.30999999999995</v>
      </c>
      <c r="J85" s="1636">
        <v>255</v>
      </c>
      <c r="K85" s="1636"/>
      <c r="L85" s="1319">
        <v>476</v>
      </c>
      <c r="M85" s="1636"/>
      <c r="N85" s="1278">
        <v>0</v>
      </c>
      <c r="O85" s="1636"/>
      <c r="P85" s="1278">
        <f t="shared" ref="P85:P86" si="36">AI85</f>
        <v>5.9548523839574159</v>
      </c>
      <c r="Q85" s="1278">
        <f>RIGHT(H85,(FIND("T",H85,1)-0))*J85/100</f>
        <v>35.700000000000003</v>
      </c>
      <c r="R85" s="244">
        <v>4.6760000000000002</v>
      </c>
      <c r="S85" s="244">
        <v>8.1769999999999996</v>
      </c>
      <c r="T85" s="1319">
        <v>6</v>
      </c>
      <c r="U85" s="244">
        <f t="shared" ref="U85" si="37">IF(R85=0,0,T85/R85)</f>
        <v>1.2831479897348161</v>
      </c>
      <c r="V85" s="1278">
        <f t="shared" si="24"/>
        <v>42.815213403448695</v>
      </c>
      <c r="W85" s="1279">
        <v>0.2</v>
      </c>
      <c r="X85" s="1410">
        <v>0</v>
      </c>
      <c r="Y85" s="1277">
        <v>0</v>
      </c>
      <c r="Z85" s="244">
        <v>0</v>
      </c>
      <c r="AA85" s="244">
        <v>0</v>
      </c>
      <c r="AB85" s="1277">
        <v>0</v>
      </c>
      <c r="AC85" s="244">
        <v>0</v>
      </c>
      <c r="AD85" s="244">
        <v>0</v>
      </c>
      <c r="AE85" s="241">
        <v>0</v>
      </c>
      <c r="AF85" s="244">
        <f>Z85*AE85</f>
        <v>0</v>
      </c>
      <c r="AG85" s="1281" t="s">
        <v>780</v>
      </c>
      <c r="AI85" s="1282">
        <f t="shared" si="34"/>
        <v>5.9548523839574159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36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6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3"/>
        <v>0</v>
      </c>
      <c r="V86" s="1278" t="e">
        <f t="shared" si="24"/>
        <v>#DIV/0!</v>
      </c>
      <c r="W86" s="1279">
        <v>0</v>
      </c>
      <c r="X86" s="1449">
        <v>0</v>
      </c>
      <c r="Y86" s="1277">
        <f t="shared" si="35"/>
        <v>0</v>
      </c>
      <c r="Z86" s="244">
        <f t="shared" ref="Z86:AB86" si="38">R86*0.988</f>
        <v>0</v>
      </c>
      <c r="AA86" s="244">
        <f t="shared" si="38"/>
        <v>0</v>
      </c>
      <c r="AB86" s="1277">
        <f t="shared" si="38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34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636"/>
      <c r="E87" s="1636"/>
      <c r="F87" s="1274"/>
      <c r="G87" s="241"/>
      <c r="H87" s="241"/>
      <c r="I87" s="1636"/>
      <c r="J87" s="1636"/>
      <c r="K87" s="1636"/>
      <c r="L87" s="1636"/>
      <c r="M87" s="1636"/>
      <c r="N87" s="241"/>
      <c r="O87" s="1636"/>
      <c r="P87" s="1278"/>
      <c r="Q87" s="1269"/>
      <c r="R87" s="1348">
        <f>SUM(R19:R86)</f>
        <v>261.43299999999999</v>
      </c>
      <c r="S87" s="1348">
        <f>SUM(S19:S86)</f>
        <v>678.89700000000039</v>
      </c>
      <c r="T87" s="1349">
        <f>SUM(T19:T86)</f>
        <v>5676.3369999999995</v>
      </c>
      <c r="U87" s="1348">
        <f>T87/R87</f>
        <v>21.712396675247575</v>
      </c>
      <c r="V87" s="1348"/>
      <c r="W87" s="1350"/>
      <c r="X87" s="1410"/>
      <c r="Y87" s="1348"/>
      <c r="Z87" s="1348">
        <f>SUM(Z19:Z86)</f>
        <v>264.42948799999999</v>
      </c>
      <c r="AA87" s="1348">
        <f>SUM(AA19:AA86)</f>
        <v>685.37771199999997</v>
      </c>
      <c r="AB87" s="1351">
        <f>SUM(AB19:AB86)</f>
        <v>5627.4850160000005</v>
      </c>
      <c r="AC87" s="1348">
        <f>AB87/Z87</f>
        <v>21.281609167582705</v>
      </c>
      <c r="AD87" s="1348"/>
      <c r="AE87" s="1302"/>
      <c r="AF87" s="1348">
        <f>SUM(AF19:AF86)</f>
        <v>8037.7490759999991</v>
      </c>
      <c r="AG87" s="1281"/>
      <c r="AI87" s="1282"/>
    </row>
    <row r="88" spans="1:38" ht="18.75" customHeight="1" x14ac:dyDescent="0.2">
      <c r="A88" s="1347"/>
      <c r="B88" s="241"/>
      <c r="C88" s="241"/>
      <c r="D88" s="1636"/>
      <c r="E88" s="1636"/>
      <c r="F88" s="1274"/>
      <c r="G88" s="241"/>
      <c r="H88" s="241"/>
      <c r="I88" s="1636"/>
      <c r="J88" s="1636"/>
      <c r="K88" s="1636"/>
      <c r="L88" s="1636"/>
      <c r="M88" s="1636"/>
      <c r="N88" s="241"/>
      <c r="O88" s="1636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636"/>
      <c r="E89" s="1635" t="s">
        <v>388</v>
      </c>
      <c r="F89" s="1274"/>
      <c r="G89" s="241"/>
      <c r="H89" s="241"/>
      <c r="I89" s="1636"/>
      <c r="J89" s="1636"/>
      <c r="K89" s="1636"/>
      <c r="L89" s="1636"/>
      <c r="M89" s="1636"/>
      <c r="N89" s="241"/>
      <c r="O89" s="1636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636">
        <v>737.21</v>
      </c>
      <c r="E90" s="1636" t="s">
        <v>507</v>
      </c>
      <c r="F90" s="241">
        <v>177.8</v>
      </c>
      <c r="G90" s="241" t="s">
        <v>28</v>
      </c>
      <c r="H90" s="1354" t="s">
        <v>466</v>
      </c>
      <c r="I90" s="1636">
        <v>680.94</v>
      </c>
      <c r="J90" s="1636"/>
      <c r="K90" s="1636"/>
      <c r="L90" s="1636"/>
      <c r="M90" s="1636"/>
      <c r="N90" s="241"/>
      <c r="O90" s="1636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9">R90*0.988</f>
        <v>0</v>
      </c>
      <c r="AA90" s="244">
        <f t="shared" si="39"/>
        <v>0</v>
      </c>
      <c r="AB90" s="1277">
        <f t="shared" si="39"/>
        <v>0</v>
      </c>
      <c r="AC90" s="244">
        <f t="shared" ref="AC90:AD93" si="40">U90</f>
        <v>0</v>
      </c>
      <c r="AD90" s="244">
        <f t="shared" si="40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636">
        <v>695.15</v>
      </c>
      <c r="E91" s="1636" t="s">
        <v>508</v>
      </c>
      <c r="F91" s="1274">
        <v>177.8</v>
      </c>
      <c r="G91" s="241" t="s">
        <v>28</v>
      </c>
      <c r="H91" s="241" t="s">
        <v>491</v>
      </c>
      <c r="I91" s="1636">
        <v>658.9</v>
      </c>
      <c r="J91" s="1636"/>
      <c r="K91" s="1636"/>
      <c r="L91" s="1636"/>
      <c r="M91" s="1636"/>
      <c r="N91" s="241"/>
      <c r="O91" s="1636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9"/>
        <v>0</v>
      </c>
      <c r="AA91" s="244">
        <f t="shared" si="39"/>
        <v>0</v>
      </c>
      <c r="AB91" s="1277">
        <f t="shared" si="39"/>
        <v>0</v>
      </c>
      <c r="AC91" s="244">
        <f t="shared" si="40"/>
        <v>0</v>
      </c>
      <c r="AD91" s="244">
        <f t="shared" si="40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636">
        <v>685.69</v>
      </c>
      <c r="E92" s="1636" t="s">
        <v>579</v>
      </c>
      <c r="F92" s="241">
        <v>177.8</v>
      </c>
      <c r="G92" s="241" t="s">
        <v>28</v>
      </c>
      <c r="H92" s="1299" t="s">
        <v>466</v>
      </c>
      <c r="I92" s="1636">
        <v>639.97</v>
      </c>
      <c r="J92" s="1636"/>
      <c r="K92" s="1636"/>
      <c r="L92" s="1636"/>
      <c r="M92" s="1636"/>
      <c r="N92" s="241"/>
      <c r="O92" s="1636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9"/>
        <v>0</v>
      </c>
      <c r="AA92" s="244">
        <f t="shared" si="39"/>
        <v>0</v>
      </c>
      <c r="AB92" s="1277">
        <f t="shared" si="39"/>
        <v>0</v>
      </c>
      <c r="AC92" s="244">
        <f t="shared" si="40"/>
        <v>0</v>
      </c>
      <c r="AD92" s="244">
        <f t="shared" si="40"/>
        <v>0</v>
      </c>
      <c r="AE92" s="241">
        <v>0</v>
      </c>
      <c r="AF92" s="244">
        <f t="shared" ref="AF92:AF93" si="41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636">
        <v>9.5</v>
      </c>
      <c r="J93" s="1636"/>
      <c r="K93" s="1636"/>
      <c r="L93" s="1636"/>
      <c r="M93" s="1636"/>
      <c r="N93" s="241"/>
      <c r="O93" s="1636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9"/>
        <v>0</v>
      </c>
      <c r="AA93" s="244">
        <f t="shared" si="39"/>
        <v>0</v>
      </c>
      <c r="AB93" s="1277">
        <f t="shared" si="39"/>
        <v>0</v>
      </c>
      <c r="AC93" s="244">
        <f t="shared" si="40"/>
        <v>0</v>
      </c>
      <c r="AD93" s="244">
        <f t="shared" si="40"/>
        <v>0</v>
      </c>
      <c r="AE93" s="241">
        <v>0</v>
      </c>
      <c r="AF93" s="244">
        <f t="shared" si="41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636"/>
      <c r="K94" s="1636"/>
      <c r="L94" s="1636"/>
      <c r="M94" s="1636"/>
      <c r="N94" s="1636"/>
      <c r="O94" s="1636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636"/>
      <c r="K95" s="1636"/>
      <c r="L95" s="1636"/>
      <c r="M95" s="1636"/>
      <c r="N95" s="1636"/>
      <c r="O95" s="1636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636">
        <v>183.38</v>
      </c>
      <c r="J96" s="1636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42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43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4">R96*0.988</f>
        <v>0</v>
      </c>
      <c r="AA96" s="244">
        <f t="shared" si="44"/>
        <v>0</v>
      </c>
      <c r="AB96" s="244">
        <f t="shared" si="44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5">Z96*AE96</f>
        <v>0</v>
      </c>
      <c r="AG96" s="1285"/>
      <c r="AI96" s="1282">
        <f t="shared" ref="AI96:AI101" si="46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636">
        <v>136.35</v>
      </c>
      <c r="J97" s="1636">
        <v>0</v>
      </c>
      <c r="K97" s="1636"/>
      <c r="L97" s="1319">
        <v>27</v>
      </c>
      <c r="M97" s="1636"/>
      <c r="N97" s="1278">
        <v>0</v>
      </c>
      <c r="O97" s="1636"/>
      <c r="P97" s="1278">
        <f t="shared" si="42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43"/>
        <v>0</v>
      </c>
      <c r="V97" s="1278">
        <v>0</v>
      </c>
      <c r="W97" s="1279">
        <v>0.2</v>
      </c>
      <c r="X97" s="1410">
        <v>0</v>
      </c>
      <c r="Y97" s="1277">
        <f t="shared" ref="Y97:Y105" si="47">IF(S97=0,0,S97/Q97)*100</f>
        <v>0</v>
      </c>
      <c r="Z97" s="244">
        <f t="shared" si="44"/>
        <v>0</v>
      </c>
      <c r="AA97" s="244">
        <f t="shared" si="44"/>
        <v>0</v>
      </c>
      <c r="AB97" s="244">
        <f t="shared" si="44"/>
        <v>0</v>
      </c>
      <c r="AC97" s="244">
        <f t="shared" ref="AC97:AD101" si="48">U97</f>
        <v>0</v>
      </c>
      <c r="AD97" s="244">
        <f t="shared" si="48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6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636">
        <v>130.11000000000001</v>
      </c>
      <c r="J98" s="1636">
        <v>0</v>
      </c>
      <c r="K98" s="1636"/>
      <c r="L98" s="1319">
        <v>32</v>
      </c>
      <c r="M98" s="1636"/>
      <c r="N98" s="1278">
        <v>0</v>
      </c>
      <c r="O98" s="1636"/>
      <c r="P98" s="1278">
        <f t="shared" si="42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43"/>
        <v>0</v>
      </c>
      <c r="V98" s="1278">
        <v>0</v>
      </c>
      <c r="W98" s="1279">
        <v>0.2</v>
      </c>
      <c r="X98" s="1410">
        <v>0</v>
      </c>
      <c r="Y98" s="1277">
        <f t="shared" si="47"/>
        <v>0</v>
      </c>
      <c r="Z98" s="244">
        <f t="shared" si="44"/>
        <v>0</v>
      </c>
      <c r="AA98" s="244">
        <f t="shared" si="44"/>
        <v>0</v>
      </c>
      <c r="AB98" s="244">
        <f t="shared" si="44"/>
        <v>0</v>
      </c>
      <c r="AC98" s="244">
        <f t="shared" si="48"/>
        <v>0</v>
      </c>
      <c r="AD98" s="244">
        <f t="shared" si="48"/>
        <v>0</v>
      </c>
      <c r="AE98" s="241">
        <v>0</v>
      </c>
      <c r="AF98" s="244">
        <f t="shared" si="45"/>
        <v>0</v>
      </c>
      <c r="AG98" s="1285" t="s">
        <v>782</v>
      </c>
      <c r="AI98" s="1282">
        <f t="shared" si="46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636">
        <v>134.24</v>
      </c>
      <c r="J99" s="1636">
        <v>0</v>
      </c>
      <c r="K99" s="1636"/>
      <c r="L99" s="1319">
        <v>25</v>
      </c>
      <c r="M99" s="1636"/>
      <c r="N99" s="1278">
        <v>0.2</v>
      </c>
      <c r="O99" s="1636"/>
      <c r="P99" s="1278">
        <f t="shared" si="42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43"/>
        <v>0</v>
      </c>
      <c r="V99" s="1278">
        <v>0</v>
      </c>
      <c r="W99" s="1279">
        <v>0.2</v>
      </c>
      <c r="X99" s="1410">
        <v>0</v>
      </c>
      <c r="Y99" s="1277">
        <f t="shared" si="47"/>
        <v>0</v>
      </c>
      <c r="Z99" s="244">
        <f t="shared" si="44"/>
        <v>0</v>
      </c>
      <c r="AA99" s="244">
        <f t="shared" si="44"/>
        <v>0</v>
      </c>
      <c r="AB99" s="244">
        <f t="shared" si="44"/>
        <v>0</v>
      </c>
      <c r="AC99" s="244">
        <f t="shared" si="48"/>
        <v>0</v>
      </c>
      <c r="AD99" s="244">
        <f t="shared" si="48"/>
        <v>0</v>
      </c>
      <c r="AE99" s="241">
        <v>0</v>
      </c>
      <c r="AF99" s="244">
        <f t="shared" si="45"/>
        <v>0</v>
      </c>
      <c r="AG99" s="1281" t="s">
        <v>782</v>
      </c>
      <c r="AI99" s="1282">
        <f t="shared" si="46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636">
        <v>0</v>
      </c>
      <c r="K100" s="1636"/>
      <c r="L100" s="1319">
        <v>30</v>
      </c>
      <c r="M100" s="1636"/>
      <c r="N100" s="1278">
        <v>0.7</v>
      </c>
      <c r="O100" s="1636"/>
      <c r="P100" s="1278">
        <f t="shared" si="42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43"/>
        <v>0</v>
      </c>
      <c r="V100" s="1278">
        <v>0</v>
      </c>
      <c r="W100" s="1279">
        <v>0.2</v>
      </c>
      <c r="X100" s="1410">
        <v>0</v>
      </c>
      <c r="Y100" s="1277">
        <f t="shared" si="47"/>
        <v>0</v>
      </c>
      <c r="Z100" s="244">
        <f t="shared" si="44"/>
        <v>0</v>
      </c>
      <c r="AA100" s="244">
        <f t="shared" si="44"/>
        <v>0</v>
      </c>
      <c r="AB100" s="244">
        <f t="shared" si="44"/>
        <v>0</v>
      </c>
      <c r="AC100" s="244">
        <f t="shared" si="48"/>
        <v>0</v>
      </c>
      <c r="AD100" s="244">
        <f t="shared" si="48"/>
        <v>0</v>
      </c>
      <c r="AE100" s="241">
        <v>0</v>
      </c>
      <c r="AF100" s="244">
        <f t="shared" si="45"/>
        <v>0</v>
      </c>
      <c r="AG100" s="1363" t="s">
        <v>782</v>
      </c>
      <c r="AI100" s="1282">
        <f t="shared" si="46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42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43"/>
        <v>0</v>
      </c>
      <c r="V101" s="1278">
        <v>0</v>
      </c>
      <c r="W101" s="1355">
        <v>0.2</v>
      </c>
      <c r="X101" s="1410">
        <v>0</v>
      </c>
      <c r="Y101" s="1277">
        <f t="shared" si="47"/>
        <v>0</v>
      </c>
      <c r="Z101" s="244">
        <f t="shared" si="44"/>
        <v>0</v>
      </c>
      <c r="AA101" s="244">
        <f t="shared" si="44"/>
        <v>0</v>
      </c>
      <c r="AB101" s="244">
        <f t="shared" si="44"/>
        <v>0</v>
      </c>
      <c r="AC101" s="244">
        <f t="shared" si="48"/>
        <v>0</v>
      </c>
      <c r="AD101" s="244">
        <f t="shared" si="48"/>
        <v>0</v>
      </c>
      <c r="AE101" s="241">
        <v>0</v>
      </c>
      <c r="AF101" s="244">
        <f t="shared" si="45"/>
        <v>0</v>
      </c>
      <c r="AG101" s="1363" t="s">
        <v>782</v>
      </c>
      <c r="AI101" s="1282">
        <f t="shared" si="46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7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7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636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9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7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636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9"/>
        <v>0</v>
      </c>
      <c r="V105" s="1278">
        <v>0.3</v>
      </c>
      <c r="W105" s="1279">
        <v>0.3</v>
      </c>
      <c r="X105" s="1449">
        <v>0</v>
      </c>
      <c r="Y105" s="1277">
        <f t="shared" si="47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636"/>
      <c r="G106" s="1633"/>
      <c r="H106" s="1635"/>
      <c r="I106" s="1635"/>
      <c r="J106" s="1636"/>
      <c r="K106" s="1636"/>
      <c r="L106" s="1636"/>
      <c r="M106" s="1636"/>
      <c r="N106" s="1636"/>
      <c r="O106" s="1636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633"/>
      <c r="W106" s="1634"/>
      <c r="X106" s="1410"/>
      <c r="Y106" s="1633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633"/>
      <c r="AE106" s="1636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633"/>
      <c r="H108" s="1635"/>
      <c r="I108" s="1635"/>
      <c r="J108" s="1636"/>
      <c r="K108" s="1636"/>
      <c r="L108" s="1636"/>
      <c r="M108" s="1636"/>
      <c r="N108" s="1636"/>
      <c r="O108" s="1636"/>
      <c r="P108" s="1269"/>
      <c r="Q108" s="1269"/>
      <c r="R108" s="1636"/>
      <c r="S108" s="1636"/>
      <c r="T108" s="1636"/>
      <c r="U108" s="1633"/>
      <c r="V108" s="1633"/>
      <c r="W108" s="1634"/>
      <c r="X108" s="1410"/>
      <c r="Y108" s="1633"/>
      <c r="Z108" s="1636"/>
      <c r="AA108" s="1636"/>
      <c r="AB108" s="1636"/>
      <c r="AC108" s="1633"/>
      <c r="AD108" s="1633"/>
      <c r="AE108" s="1636"/>
      <c r="AF108" s="1636"/>
      <c r="AG108" s="1638"/>
    </row>
    <row r="109" spans="1:38" ht="18.75" customHeight="1" x14ac:dyDescent="0.2">
      <c r="A109" s="1273">
        <v>83</v>
      </c>
      <c r="B109" s="1317" t="s">
        <v>107</v>
      </c>
      <c r="C109" s="1636" t="s">
        <v>109</v>
      </c>
      <c r="D109" s="1636"/>
      <c r="E109" s="1636"/>
      <c r="F109" s="1636"/>
      <c r="G109" s="1633"/>
      <c r="H109" s="1635"/>
      <c r="I109" s="1635"/>
      <c r="J109" s="1636"/>
      <c r="K109" s="1636"/>
      <c r="L109" s="1636"/>
      <c r="M109" s="1636"/>
      <c r="N109" s="1636"/>
      <c r="O109" s="1636"/>
      <c r="P109" s="1269"/>
      <c r="Q109" s="1269"/>
      <c r="R109" s="1636"/>
      <c r="S109" s="1636"/>
      <c r="T109" s="1636"/>
      <c r="U109" s="1633"/>
      <c r="V109" s="1633"/>
      <c r="W109" s="1634"/>
      <c r="X109" s="1410"/>
      <c r="Y109" s="1633"/>
      <c r="Z109" s="1635"/>
      <c r="AA109" s="1635"/>
      <c r="AB109" s="1636"/>
      <c r="AC109" s="1633"/>
      <c r="AD109" s="1633"/>
      <c r="AE109" s="1373"/>
      <c r="AF109" s="1636"/>
      <c r="AG109" s="1638"/>
    </row>
    <row r="110" spans="1:38" ht="18.75" customHeight="1" x14ac:dyDescent="0.2">
      <c r="A110" s="1273">
        <v>84</v>
      </c>
      <c r="B110" s="1317" t="s">
        <v>108</v>
      </c>
      <c r="C110" s="1636" t="s">
        <v>109</v>
      </c>
      <c r="D110" s="1636"/>
      <c r="E110" s="1636"/>
      <c r="F110" s="1636"/>
      <c r="G110" s="1633"/>
      <c r="H110" s="1635"/>
      <c r="I110" s="1635"/>
      <c r="J110" s="1636"/>
      <c r="K110" s="1636"/>
      <c r="L110" s="1636"/>
      <c r="M110" s="1636"/>
      <c r="N110" s="1636"/>
      <c r="O110" s="1636"/>
      <c r="P110" s="1269"/>
      <c r="Q110" s="1269"/>
      <c r="R110" s="1301"/>
      <c r="S110" s="1636"/>
      <c r="T110" s="1636"/>
      <c r="U110" s="1633"/>
      <c r="V110" s="1633"/>
      <c r="W110" s="1634"/>
      <c r="X110" s="1410"/>
      <c r="Y110" s="1633"/>
      <c r="Z110" s="1635"/>
      <c r="AA110" s="1635"/>
      <c r="AB110" s="1636"/>
      <c r="AC110" s="1633"/>
      <c r="AD110" s="1633"/>
      <c r="AE110" s="1373"/>
      <c r="AF110" s="1636"/>
      <c r="AG110" s="1638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636"/>
      <c r="E111" s="1636"/>
      <c r="F111" s="1636"/>
      <c r="G111" s="1633"/>
      <c r="H111" s="1635"/>
      <c r="I111" s="1635"/>
      <c r="J111" s="1636"/>
      <c r="K111" s="1636"/>
      <c r="L111" s="1636"/>
      <c r="M111" s="1636"/>
      <c r="N111" s="1636"/>
      <c r="O111" s="1636"/>
      <c r="P111" s="1269"/>
      <c r="Q111" s="1269"/>
      <c r="R111" s="1636"/>
      <c r="S111" s="1636"/>
      <c r="T111" s="1636"/>
      <c r="U111" s="1633"/>
      <c r="V111" s="1633"/>
      <c r="W111" s="1634"/>
      <c r="X111" s="1410"/>
      <c r="Y111" s="1633"/>
      <c r="Z111" s="1635"/>
      <c r="AA111" s="1635"/>
      <c r="AB111" s="1636"/>
      <c r="AC111" s="1633"/>
      <c r="AD111" s="1633"/>
      <c r="AE111" s="1373"/>
      <c r="AF111" s="1636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636"/>
      <c r="E112" s="1636"/>
      <c r="F112" s="1636"/>
      <c r="G112" s="1633"/>
      <c r="H112" s="1635"/>
      <c r="I112" s="1635"/>
      <c r="J112" s="1636"/>
      <c r="K112" s="1636"/>
      <c r="L112" s="1636"/>
      <c r="M112" s="1636"/>
      <c r="N112" s="1636"/>
      <c r="O112" s="1636"/>
      <c r="P112" s="1269"/>
      <c r="Q112" s="1269"/>
      <c r="R112" s="1636"/>
      <c r="S112" s="1636"/>
      <c r="T112" s="1636"/>
      <c r="U112" s="1633"/>
      <c r="V112" s="1633"/>
      <c r="W112" s="1634"/>
      <c r="X112" s="1410"/>
      <c r="Y112" s="1633"/>
      <c r="Z112" s="1635"/>
      <c r="AA112" s="1635"/>
      <c r="AB112" s="1636"/>
      <c r="AC112" s="1633"/>
      <c r="AD112" s="1633"/>
      <c r="AE112" s="1373"/>
      <c r="AF112" s="1636"/>
      <c r="AG112" s="1285"/>
    </row>
    <row r="113" spans="1:33" ht="18.75" customHeight="1" x14ac:dyDescent="0.2">
      <c r="A113" s="1273"/>
      <c r="B113" s="1262"/>
      <c r="C113" s="1371"/>
      <c r="D113" s="1371"/>
      <c r="E113" s="1635" t="s">
        <v>278</v>
      </c>
      <c r="F113" s="1371"/>
      <c r="G113" s="1633"/>
      <c r="H113" s="1635"/>
      <c r="I113" s="1635"/>
      <c r="J113" s="1636"/>
      <c r="K113" s="1636"/>
      <c r="L113" s="1636"/>
      <c r="M113" s="1636"/>
      <c r="N113" s="1636"/>
      <c r="O113" s="1636"/>
      <c r="P113" s="1269"/>
      <c r="Q113" s="1269"/>
      <c r="R113" s="1636"/>
      <c r="S113" s="1636"/>
      <c r="T113" s="1636"/>
      <c r="U113" s="1633"/>
      <c r="V113" s="1633"/>
      <c r="W113" s="1634"/>
      <c r="X113" s="1410"/>
      <c r="Y113" s="1633"/>
      <c r="Z113" s="1301"/>
      <c r="AA113" s="1636"/>
      <c r="AB113" s="1636"/>
      <c r="AC113" s="1633"/>
      <c r="AD113" s="1633"/>
      <c r="AE113" s="1636"/>
      <c r="AF113" s="1636"/>
      <c r="AG113" s="1638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636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636">
        <v>625.1</v>
      </c>
      <c r="E115" s="1636" t="s">
        <v>578</v>
      </c>
      <c r="F115" s="241">
        <v>177.8</v>
      </c>
      <c r="G115" s="241"/>
      <c r="H115" s="241"/>
      <c r="I115" s="244"/>
      <c r="J115" s="1636"/>
      <c r="K115" s="1636"/>
      <c r="L115" s="1636"/>
      <c r="M115" s="1636"/>
      <c r="N115" s="1636"/>
      <c r="O115" s="1636"/>
      <c r="P115" s="1269"/>
      <c r="Q115" s="1269"/>
      <c r="R115" s="1636"/>
      <c r="S115" s="1636"/>
      <c r="T115" s="1636"/>
      <c r="U115" s="1633"/>
      <c r="V115" s="1633"/>
      <c r="W115" s="1634"/>
      <c r="X115" s="1410"/>
      <c r="Y115" s="1376"/>
      <c r="Z115" s="1319"/>
      <c r="AA115" s="1636"/>
      <c r="AB115" s="1636"/>
      <c r="AC115" s="1633"/>
      <c r="AD115" s="1636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636"/>
      <c r="J116" s="1636"/>
      <c r="K116" s="1636"/>
      <c r="L116" s="1636"/>
      <c r="M116" s="1636"/>
      <c r="N116" s="1636"/>
      <c r="O116" s="1636"/>
      <c r="P116" s="1269"/>
      <c r="Q116" s="1270"/>
      <c r="R116" s="1636"/>
      <c r="S116" s="1636"/>
      <c r="T116" s="1636"/>
      <c r="U116" s="1633"/>
      <c r="V116" s="1633"/>
      <c r="W116" s="1634"/>
      <c r="X116" s="1410"/>
      <c r="Y116" s="1376"/>
      <c r="Z116" s="1319"/>
      <c r="AA116" s="1636"/>
      <c r="AB116" s="1636"/>
      <c r="AC116" s="1633"/>
      <c r="AD116" s="1636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636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636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629"/>
      <c r="C119" s="1629"/>
      <c r="D119" s="1629"/>
      <c r="E119" s="1630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261.43299999999999</v>
      </c>
      <c r="S119" s="1386">
        <f>S87+S94+S106</f>
        <v>678.89700000000039</v>
      </c>
      <c r="T119" s="1387">
        <f>T87+T94+T106</f>
        <v>5676.3369999999995</v>
      </c>
      <c r="U119" s="1386">
        <f>T119/R119</f>
        <v>21.712396675247575</v>
      </c>
      <c r="V119" s="1386"/>
      <c r="W119" s="1388"/>
      <c r="X119" s="1456"/>
      <c r="Y119" s="1386"/>
      <c r="Z119" s="1386">
        <f>Z87+Z94+Z106</f>
        <v>264.42948799999999</v>
      </c>
      <c r="AA119" s="1386">
        <f>AA87+AA106+AA94</f>
        <v>685.37771199999997</v>
      </c>
      <c r="AB119" s="1387">
        <f>AB87+AB106+AB94</f>
        <v>5627.4850160000005</v>
      </c>
      <c r="AC119" s="1386">
        <f>AC87+AC106+AC94</f>
        <v>21.281609167582705</v>
      </c>
      <c r="AD119" s="1386"/>
      <c r="AE119" s="1386"/>
      <c r="AF119" s="1390">
        <f>AF87+AF94+AF106</f>
        <v>8037.7490759999991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637"/>
      <c r="D121" s="148"/>
      <c r="E121" s="1394">
        <v>0.97</v>
      </c>
      <c r="F121" s="148"/>
      <c r="G121" s="148" t="s">
        <v>102</v>
      </c>
      <c r="H121" s="1637"/>
      <c r="I121" s="1395"/>
      <c r="J121" s="148"/>
      <c r="K121" s="1983">
        <f>AF119*E121</f>
        <v>7796.6166037199991</v>
      </c>
      <c r="L121" s="1984"/>
      <c r="M121" s="1984"/>
      <c r="N121" s="1637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637"/>
      <c r="D122" s="148"/>
      <c r="E122" s="154"/>
      <c r="F122" s="148"/>
      <c r="G122" s="148" t="s">
        <v>733</v>
      </c>
      <c r="H122" s="1637"/>
      <c r="I122" s="1395"/>
      <c r="J122" s="148"/>
      <c r="K122" s="1637"/>
      <c r="L122" s="1397"/>
      <c r="M122" s="148">
        <f>K121*0.875</f>
        <v>6822.0395282549989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632"/>
      <c r="Z122" s="1632"/>
      <c r="AA122" s="150">
        <f>AA119-Z119</f>
        <v>420.94822399999998</v>
      </c>
      <c r="AB122" s="1632"/>
      <c r="AC122" s="1632"/>
      <c r="AD122" s="1632"/>
      <c r="AE122" s="1632"/>
      <c r="AF122" s="1632"/>
      <c r="AG122" s="1400"/>
    </row>
    <row r="123" spans="1:33" ht="15" x14ac:dyDescent="0.2">
      <c r="B123" s="148"/>
      <c r="C123" s="1637"/>
      <c r="D123" s="148"/>
      <c r="E123" s="154"/>
      <c r="F123" s="148"/>
      <c r="G123" s="148"/>
      <c r="H123" s="1637"/>
      <c r="I123" s="1395"/>
      <c r="J123" s="148"/>
      <c r="K123" s="1637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632"/>
      <c r="Z123" s="1632"/>
      <c r="AA123" s="1632"/>
      <c r="AB123" s="1632"/>
      <c r="AC123" s="1632"/>
      <c r="AD123" s="1632"/>
      <c r="AE123" s="1632"/>
      <c r="AF123" s="1632"/>
      <c r="AG123" s="1400"/>
    </row>
    <row r="124" spans="1:33" ht="15" x14ac:dyDescent="0.2">
      <c r="B124" s="148"/>
      <c r="C124" s="1637"/>
      <c r="D124" s="148"/>
      <c r="E124" s="154"/>
      <c r="F124" s="148"/>
      <c r="G124" s="148"/>
      <c r="H124" s="1637"/>
      <c r="I124" s="1395"/>
      <c r="J124" s="148"/>
      <c r="K124" s="1637"/>
      <c r="L124" s="1397"/>
      <c r="M124" s="148"/>
      <c r="N124" s="148"/>
      <c r="O124" s="148"/>
      <c r="P124" s="1398"/>
      <c r="Q124" s="1399"/>
      <c r="R124" s="148"/>
      <c r="S124" s="148">
        <f>7000/0.875</f>
        <v>8000</v>
      </c>
      <c r="T124" s="148"/>
      <c r="U124" s="148"/>
      <c r="V124" s="148"/>
      <c r="W124" s="148"/>
      <c r="X124" s="148"/>
      <c r="Y124" s="1632"/>
      <c r="Z124" s="1632"/>
      <c r="AA124" s="1632"/>
      <c r="AB124" s="1632"/>
      <c r="AC124" s="1632"/>
      <c r="AD124" s="1632"/>
      <c r="AE124" s="1632"/>
      <c r="AF124" s="1632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637"/>
      <c r="L125" s="1637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632" t="s">
        <v>561</v>
      </c>
      <c r="AD125" s="1632"/>
      <c r="AE125" s="1632"/>
      <c r="AF125" s="1632"/>
      <c r="AG125" s="1632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  <ignoredErrors>
    <ignoredError sqref="AC48" formula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BCC9-D7C7-4A83-AF0E-AEB20BF7EA0E}">
  <dimension ref="A1:AQ129"/>
  <sheetViews>
    <sheetView topLeftCell="A13" zoomScaleNormal="100" workbookViewId="0">
      <pane xSplit="9" ySplit="5" topLeftCell="J24" activePane="bottomRight" state="frozen"/>
      <selection activeCell="A13" sqref="A13"/>
      <selection pane="topRight" activeCell="J13" sqref="J13"/>
      <selection pane="bottomLeft" activeCell="A18" sqref="A18"/>
      <selection pane="bottomRight" activeCell="A32" sqref="A32:XFD32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650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650"/>
      <c r="F2" s="1650"/>
      <c r="G2" s="1643"/>
      <c r="H2" s="1649"/>
      <c r="I2" s="1649"/>
      <c r="J2" s="1649"/>
      <c r="K2" s="1649"/>
      <c r="L2" s="1649"/>
      <c r="M2" s="1649"/>
      <c r="N2" s="1649"/>
      <c r="O2" s="1649"/>
      <c r="P2" s="1649"/>
      <c r="Q2" s="1256"/>
      <c r="R2" s="1650"/>
      <c r="S2" s="1663"/>
      <c r="T2" s="1650"/>
      <c r="U2" s="1650"/>
      <c r="V2" s="1650"/>
      <c r="W2" s="1650"/>
      <c r="X2" s="1649"/>
      <c r="Y2" s="1650"/>
      <c r="Z2" s="1650"/>
      <c r="AA2" s="1650"/>
      <c r="AC2" s="1650"/>
      <c r="AD2" s="1650"/>
      <c r="AE2" s="1650"/>
      <c r="AF2" s="1998" t="s">
        <v>750</v>
      </c>
      <c r="AG2" s="1998"/>
    </row>
    <row r="3" spans="1:38" ht="15.75" x14ac:dyDescent="0.25">
      <c r="A3" s="1408" t="s">
        <v>751</v>
      </c>
      <c r="B3" s="1644"/>
      <c r="C3" s="1644"/>
      <c r="D3" s="1644"/>
      <c r="E3" s="1650"/>
      <c r="F3" s="1650"/>
      <c r="G3" s="1643"/>
      <c r="H3" s="1649"/>
      <c r="I3" s="1649"/>
      <c r="J3" s="1649"/>
      <c r="K3" s="1649"/>
      <c r="L3" s="1649"/>
      <c r="M3" s="1649"/>
      <c r="N3" s="1649"/>
      <c r="O3" s="1649"/>
      <c r="P3" s="1649"/>
      <c r="Q3" s="1256"/>
      <c r="R3" s="1650"/>
      <c r="S3" s="1663"/>
      <c r="T3" s="1650"/>
      <c r="U3" s="1650"/>
      <c r="V3" s="1650"/>
      <c r="W3" s="1650"/>
      <c r="X3" s="1649"/>
      <c r="Y3" s="1650"/>
      <c r="Z3" s="1650"/>
      <c r="AA3" s="1650"/>
      <c r="AB3" s="1650"/>
      <c r="AC3" s="1260"/>
      <c r="AE3" s="1222"/>
      <c r="AF3" s="1649" t="s">
        <v>739</v>
      </c>
      <c r="AG3" s="1494"/>
    </row>
    <row r="4" spans="1:38" ht="15" x14ac:dyDescent="0.25">
      <c r="A4" s="1976"/>
      <c r="B4" s="1976"/>
      <c r="C4" s="1976"/>
      <c r="D4" s="1976"/>
      <c r="E4" s="1645"/>
      <c r="F4" s="1650"/>
      <c r="G4" s="1643"/>
      <c r="H4" s="1643"/>
      <c r="I4" s="1649"/>
      <c r="J4" s="1649"/>
      <c r="K4" s="1649"/>
      <c r="L4" s="1649"/>
      <c r="M4" s="1649"/>
      <c r="N4" s="1649"/>
      <c r="O4" s="1649"/>
      <c r="P4" s="1649"/>
      <c r="Q4" s="1256"/>
      <c r="R4" s="1642"/>
      <c r="S4" s="1661"/>
      <c r="T4" s="1642"/>
      <c r="U4" s="1642"/>
      <c r="V4" s="1642"/>
      <c r="W4" s="1642"/>
      <c r="X4" s="1649"/>
      <c r="Y4" s="1650"/>
      <c r="Z4" s="1650"/>
      <c r="AB4" s="1650"/>
      <c r="AD4" s="1650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650"/>
      <c r="F5" s="1650"/>
      <c r="G5" s="1643"/>
      <c r="H5" s="1643"/>
      <c r="I5" s="1650"/>
      <c r="J5" s="1650"/>
      <c r="K5" s="1643"/>
      <c r="L5" s="1643"/>
      <c r="M5" s="1650"/>
      <c r="N5" s="1650"/>
      <c r="O5" s="1650"/>
      <c r="P5" s="149"/>
      <c r="Q5" s="1257"/>
      <c r="R5" s="1650"/>
      <c r="S5" s="1663"/>
      <c r="T5" s="1650"/>
      <c r="U5" s="1650"/>
      <c r="V5" s="1650"/>
      <c r="W5" s="1650"/>
      <c r="X5" s="1650"/>
      <c r="Y5" s="1650"/>
      <c r="Z5" s="1650"/>
      <c r="AA5" s="1650"/>
      <c r="AB5" s="1650"/>
      <c r="AC5" s="1650"/>
      <c r="AD5" s="1650"/>
      <c r="AG5" s="151"/>
    </row>
    <row r="6" spans="1:38" ht="27" customHeight="1" x14ac:dyDescent="0.2">
      <c r="A6" s="1942"/>
      <c r="B6" s="1942"/>
      <c r="C6" s="1942"/>
      <c r="D6" s="1942"/>
      <c r="E6" s="1650"/>
      <c r="F6" s="1650"/>
      <c r="G6" s="1643"/>
      <c r="H6" s="1643"/>
      <c r="I6" s="1650"/>
      <c r="J6" s="1650"/>
      <c r="K6" s="1643"/>
      <c r="L6" s="1643"/>
      <c r="M6" s="1650"/>
      <c r="N6" s="1650"/>
      <c r="O6" s="1650"/>
      <c r="P6" s="149"/>
      <c r="Q6" s="1257"/>
      <c r="R6" s="1650"/>
      <c r="S6" s="1663"/>
      <c r="T6" s="1650"/>
      <c r="U6" s="1650"/>
      <c r="V6" s="1650"/>
      <c r="W6" s="1650"/>
      <c r="X6" s="1650"/>
      <c r="Y6" s="1650"/>
      <c r="Z6" s="1650"/>
      <c r="AA6" s="1650"/>
      <c r="AB6" s="1650"/>
      <c r="AC6" s="1650"/>
      <c r="AD6" s="1650"/>
      <c r="AE6" s="1650"/>
      <c r="AF6" s="1650"/>
    </row>
    <row r="7" spans="1:38" ht="27" customHeight="1" x14ac:dyDescent="0.2">
      <c r="A7" s="1942" t="s">
        <v>54</v>
      </c>
      <c r="B7" s="1942"/>
      <c r="C7" s="1942"/>
      <c r="D7" s="1942"/>
      <c r="E7" s="1650"/>
      <c r="F7" s="1650"/>
      <c r="G7" s="1643"/>
      <c r="H7" s="1643"/>
      <c r="I7" s="1650"/>
      <c r="J7" s="1650"/>
      <c r="K7" s="1643"/>
      <c r="L7" s="1643"/>
      <c r="M7" s="1650"/>
      <c r="N7" s="1650"/>
      <c r="O7" s="1650"/>
      <c r="P7" s="149"/>
      <c r="Q7" s="1257"/>
      <c r="R7" s="1650"/>
      <c r="S7" s="1663"/>
      <c r="T7" s="1650"/>
      <c r="U7" s="1650"/>
      <c r="V7" s="1650"/>
      <c r="W7" s="1650"/>
      <c r="X7" s="1650"/>
      <c r="Y7" s="1650"/>
      <c r="Z7" s="1650"/>
      <c r="AA7" s="1650"/>
      <c r="AB7" s="1650"/>
      <c r="AC7" s="1650"/>
      <c r="AD7" s="1650"/>
      <c r="AE7" s="1650"/>
      <c r="AF7" s="1650"/>
    </row>
    <row r="8" spans="1:38" ht="27" customHeight="1" x14ac:dyDescent="0.2">
      <c r="A8" s="1977" t="s">
        <v>736</v>
      </c>
      <c r="B8" s="1977"/>
      <c r="C8" s="1977"/>
      <c r="D8" s="1977"/>
      <c r="E8" s="1650"/>
      <c r="F8" s="1650"/>
      <c r="G8" s="1643"/>
      <c r="H8" s="1643"/>
      <c r="I8" s="1650"/>
      <c r="J8" s="1650"/>
      <c r="K8" s="1643"/>
      <c r="L8" s="1643"/>
      <c r="M8" s="1650"/>
      <c r="N8" s="1650"/>
      <c r="O8" s="1650"/>
      <c r="P8" s="149"/>
      <c r="Q8" s="1257"/>
      <c r="R8" s="1650"/>
      <c r="S8" s="1663"/>
      <c r="T8" s="1650"/>
      <c r="U8" s="1650"/>
      <c r="V8" s="1650"/>
      <c r="W8" s="1650"/>
      <c r="X8" s="1650"/>
      <c r="Y8" s="1650"/>
      <c r="Z8" s="1650"/>
      <c r="AA8" s="1650"/>
      <c r="AB8" s="1650"/>
      <c r="AC8" s="1650"/>
      <c r="AD8" s="1650"/>
      <c r="AE8" s="1650"/>
      <c r="AF8" s="1650"/>
    </row>
    <row r="9" spans="1:38" ht="27" customHeight="1" x14ac:dyDescent="0.2">
      <c r="A9" s="1408" t="s">
        <v>737</v>
      </c>
      <c r="B9" s="1644"/>
      <c r="C9" s="1644"/>
      <c r="D9" s="1644"/>
      <c r="E9" s="1650"/>
      <c r="F9" s="1650"/>
      <c r="G9" s="1643"/>
      <c r="H9" s="1643"/>
      <c r="I9" s="1650"/>
      <c r="J9" s="1650"/>
      <c r="K9" s="1643"/>
      <c r="L9" s="1643"/>
      <c r="M9" s="1650"/>
      <c r="N9" s="1650"/>
      <c r="O9" s="1650"/>
      <c r="P9" s="149"/>
      <c r="Q9" s="1257"/>
      <c r="R9" s="1650"/>
      <c r="S9" s="1663"/>
      <c r="T9" s="1650"/>
      <c r="U9" s="1650"/>
      <c r="V9" s="1650"/>
      <c r="W9" s="1650"/>
      <c r="X9" s="1650"/>
      <c r="Y9" s="1650"/>
      <c r="Z9" s="1650"/>
      <c r="AA9" s="1650"/>
      <c r="AB9" s="1650"/>
      <c r="AC9" s="1650"/>
      <c r="AD9" s="1650"/>
      <c r="AE9" s="1650"/>
      <c r="AF9" s="1650"/>
    </row>
    <row r="10" spans="1:38" ht="27" customHeight="1" x14ac:dyDescent="0.2">
      <c r="A10" s="1976"/>
      <c r="B10" s="1976"/>
      <c r="C10" s="1976"/>
      <c r="D10" s="1976"/>
      <c r="E10" s="1645"/>
      <c r="F10" s="1650"/>
      <c r="G10" s="1643"/>
      <c r="H10" s="1643"/>
      <c r="I10" s="1650"/>
      <c r="J10" s="1650"/>
      <c r="K10" s="1643"/>
      <c r="L10" s="1643"/>
      <c r="M10" s="1650"/>
      <c r="N10" s="1650"/>
      <c r="O10" s="1650"/>
      <c r="P10" s="149"/>
      <c r="Q10" s="1257"/>
      <c r="R10" s="1650"/>
      <c r="S10" s="1663"/>
      <c r="T10" s="1650"/>
      <c r="U10" s="1650"/>
      <c r="V10" s="1650"/>
      <c r="W10" s="1650"/>
      <c r="X10" s="1650"/>
      <c r="Y10" s="1650"/>
      <c r="Z10" s="1650"/>
      <c r="AA10" s="1650"/>
      <c r="AB10" s="1650"/>
      <c r="AC10" s="1650"/>
      <c r="AD10" s="1650"/>
      <c r="AE10" s="1650"/>
      <c r="AF10" s="1650"/>
    </row>
    <row r="11" spans="1:38" ht="27" customHeight="1" x14ac:dyDescent="0.2">
      <c r="A11" s="1976" t="s">
        <v>740</v>
      </c>
      <c r="B11" s="1976"/>
      <c r="C11" s="1976"/>
      <c r="D11" s="1976"/>
      <c r="E11" s="1650"/>
      <c r="F11" s="1650"/>
      <c r="G11" s="1643"/>
      <c r="H11" s="1643"/>
      <c r="I11" s="1650"/>
      <c r="J11" s="1650"/>
      <c r="K11" s="1643"/>
      <c r="L11" s="1643"/>
      <c r="M11" s="1650"/>
      <c r="N11" s="1650"/>
      <c r="O11" s="1650"/>
      <c r="P11" s="149"/>
      <c r="Q11" s="1257"/>
      <c r="R11" s="1650"/>
      <c r="S11" s="1663"/>
      <c r="T11" s="1650"/>
      <c r="U11" s="1650"/>
      <c r="V11" s="1650"/>
      <c r="W11" s="1650"/>
      <c r="X11" s="1650"/>
      <c r="Y11" s="1650"/>
      <c r="Z11" s="1650"/>
      <c r="AA11" s="1650"/>
      <c r="AB11" s="1650"/>
      <c r="AC11" s="1650"/>
      <c r="AD11" s="1650"/>
      <c r="AE11" s="1650"/>
      <c r="AF11" s="1650"/>
    </row>
    <row r="12" spans="1:38" ht="27" customHeight="1" x14ac:dyDescent="0.2">
      <c r="A12" s="1646"/>
      <c r="B12" s="1646"/>
      <c r="C12" s="1646"/>
      <c r="D12" s="1646"/>
      <c r="E12" s="1650"/>
      <c r="F12" s="1650"/>
      <c r="G12" s="1643"/>
      <c r="H12" s="1643"/>
      <c r="I12" s="1650"/>
      <c r="J12" s="1650"/>
      <c r="K12" s="1643"/>
      <c r="L12" s="1643"/>
      <c r="M12" s="1650"/>
      <c r="N12" s="1650"/>
      <c r="O12" s="1650"/>
      <c r="P12" s="149"/>
      <c r="Q12" s="1257"/>
      <c r="R12" s="1650"/>
      <c r="S12" s="1663"/>
      <c r="T12" s="1650"/>
      <c r="U12" s="1650"/>
      <c r="V12" s="1650"/>
      <c r="W12" s="1650"/>
      <c r="X12" s="1650"/>
      <c r="Y12" s="1650"/>
      <c r="Z12" s="1650"/>
      <c r="AA12" s="1650"/>
      <c r="AB12" s="1650"/>
      <c r="AC12" s="1650"/>
      <c r="AD12" s="1650"/>
      <c r="AE12" s="1650"/>
      <c r="AF12" s="1650"/>
    </row>
    <row r="13" spans="1:38" ht="32.25" customHeight="1" x14ac:dyDescent="0.25">
      <c r="A13" s="1976"/>
      <c r="B13" s="1976"/>
      <c r="C13" s="1976"/>
      <c r="D13" s="1976"/>
      <c r="E13" s="1645"/>
      <c r="F13" s="1650"/>
      <c r="G13" s="1643"/>
      <c r="H13" s="1643"/>
      <c r="I13" s="140"/>
      <c r="J13" s="1650"/>
      <c r="K13" s="1643"/>
      <c r="L13" s="1643"/>
      <c r="M13" s="1650"/>
      <c r="N13" s="1650"/>
      <c r="O13" s="1650"/>
      <c r="P13" s="149"/>
      <c r="Q13" s="1257"/>
      <c r="R13" s="1650"/>
      <c r="S13" s="1663"/>
      <c r="T13" s="1650"/>
      <c r="U13" s="1650"/>
      <c r="V13" s="1650"/>
      <c r="W13" s="147"/>
      <c r="X13" s="1650"/>
      <c r="Y13" s="1650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43"/>
      <c r="C14" s="1643"/>
      <c r="D14" s="1643"/>
      <c r="E14" s="1650"/>
      <c r="F14" s="1650"/>
      <c r="G14" s="1643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650"/>
      <c r="Z14" s="148"/>
      <c r="AA14" s="148"/>
      <c r="AB14" s="148"/>
      <c r="AC14" s="148"/>
    </row>
    <row r="15" spans="1:38" ht="31.5" customHeight="1" thickBot="1" x14ac:dyDescent="0.25">
      <c r="B15" s="1643"/>
      <c r="C15" s="1643"/>
      <c r="D15" s="1643"/>
      <c r="E15" s="1650"/>
      <c r="F15" s="1650"/>
      <c r="G15" s="1643"/>
      <c r="H15" s="1643"/>
      <c r="I15" s="140"/>
      <c r="J15" s="1964" t="s">
        <v>790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650"/>
      <c r="Y15" s="1650"/>
      <c r="Z15" s="148"/>
      <c r="AA15" s="148"/>
      <c r="AB15" s="148"/>
      <c r="AC15" s="148"/>
      <c r="AD15" s="1650"/>
      <c r="AE15" s="1650"/>
      <c r="AF15" s="1650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651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651" t="s">
        <v>18</v>
      </c>
      <c r="AF17" s="1651" t="s">
        <v>20</v>
      </c>
      <c r="AG17" s="1967" t="s">
        <v>21</v>
      </c>
      <c r="AH17" s="1267">
        <v>45170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654" t="s">
        <v>3</v>
      </c>
      <c r="J18" s="1654" t="s">
        <v>7</v>
      </c>
      <c r="K18" s="1654" t="s">
        <v>30</v>
      </c>
      <c r="L18" s="1654" t="s">
        <v>29</v>
      </c>
      <c r="M18" s="1654" t="s">
        <v>31</v>
      </c>
      <c r="N18" s="1654" t="s">
        <v>32</v>
      </c>
      <c r="O18" s="1654" t="s">
        <v>12</v>
      </c>
      <c r="P18" s="1269" t="s">
        <v>673</v>
      </c>
      <c r="Q18" s="1270" t="s">
        <v>26</v>
      </c>
      <c r="R18" s="1654" t="s">
        <v>675</v>
      </c>
      <c r="S18" s="1662" t="s">
        <v>25</v>
      </c>
      <c r="T18" s="1654" t="s">
        <v>676</v>
      </c>
      <c r="U18" s="1968"/>
      <c r="V18" s="1968"/>
      <c r="W18" s="1987"/>
      <c r="X18" s="1410" t="s">
        <v>7</v>
      </c>
      <c r="Y18" s="1968"/>
      <c r="Z18" s="1654" t="s">
        <v>14</v>
      </c>
      <c r="AA18" s="1654" t="s">
        <v>679</v>
      </c>
      <c r="AB18" s="1654" t="s">
        <v>113</v>
      </c>
      <c r="AC18" s="1968"/>
      <c r="AD18" s="1968"/>
      <c r="AE18" s="1654" t="s">
        <v>19</v>
      </c>
      <c r="AF18" s="1654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54">
        <v>557.80999999999995</v>
      </c>
      <c r="J19" s="1448">
        <v>180</v>
      </c>
      <c r="K19" s="241"/>
      <c r="L19" s="1277">
        <v>350</v>
      </c>
      <c r="M19" s="241"/>
      <c r="N19" s="1278">
        <v>2.2999999999999998</v>
      </c>
      <c r="O19" s="241"/>
      <c r="P19" s="1278">
        <f>AI19</f>
        <v>22.252130553976794</v>
      </c>
      <c r="Q19" s="1278">
        <f>LEFT(H19,(FIND("Е",H19,1)-1))*J19/100</f>
        <v>23.4</v>
      </c>
      <c r="R19" s="244">
        <v>3.13</v>
      </c>
      <c r="S19" s="244">
        <v>11.59</v>
      </c>
      <c r="T19" s="1277">
        <v>26</v>
      </c>
      <c r="U19" s="1278">
        <f t="shared" ref="U19:U37" si="0">IF(R19=0,0,T19/R19)</f>
        <v>8.3067092651757193</v>
      </c>
      <c r="V19" s="1278">
        <f>(S19-R19)/S19*100</f>
        <v>72.993960310612607</v>
      </c>
      <c r="W19" s="1279">
        <v>0.2</v>
      </c>
      <c r="X19" s="1449">
        <v>180</v>
      </c>
      <c r="Y19" s="1277">
        <f>IF(S19=0,0,S19/Q19)*100</f>
        <v>49.529914529914535</v>
      </c>
      <c r="Z19" s="244">
        <v>2.8730000000000002</v>
      </c>
      <c r="AA19" s="244">
        <v>10.395</v>
      </c>
      <c r="AB19" s="1277">
        <f>T19*0.988</f>
        <v>25.687999999999999</v>
      </c>
      <c r="AC19" s="244">
        <f>U19</f>
        <v>8.3067092651757193</v>
      </c>
      <c r="AD19" s="1277">
        <f>V19</f>
        <v>72.993960310612607</v>
      </c>
      <c r="AE19" s="241">
        <f t="shared" ref="AE19:AE41" si="1">(DAY(EOMONTH($AH$17,0))-AH19)</f>
        <v>30</v>
      </c>
      <c r="AF19" s="244">
        <f t="shared" ref="AF19:AF63" si="2">Z19*AE19</f>
        <v>86.190000000000012</v>
      </c>
      <c r="AG19" s="1281"/>
      <c r="AI19" s="1282">
        <f t="shared" ref="AI19:AI82" si="3">(9.81*(AJ19*(100%-(V19/100))+AK19*(V19/100))*(I19-L19)+N19*101.325+9.81*(AL19)*L19)/101.325</f>
        <v>22.252130553976794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30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654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4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3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657">
        <v>528.5</v>
      </c>
      <c r="J21" s="241">
        <v>85</v>
      </c>
      <c r="K21" s="241"/>
      <c r="L21" s="1277">
        <v>434</v>
      </c>
      <c r="M21" s="241"/>
      <c r="N21" s="1278">
        <v>6.2</v>
      </c>
      <c r="O21" s="241"/>
      <c r="P21" s="1278">
        <f t="shared" ref="P21:P84" si="5">AI21</f>
        <v>14.964542695849103</v>
      </c>
      <c r="Q21" s="1278">
        <f>RIGHT(H21,(FIND("T",H21,1)-0))*J21/100</f>
        <v>17</v>
      </c>
      <c r="R21" s="244">
        <v>5.556</v>
      </c>
      <c r="S21" s="244">
        <v>11.04</v>
      </c>
      <c r="T21" s="1277">
        <v>7.7</v>
      </c>
      <c r="U21" s="1278">
        <f t="shared" si="0"/>
        <v>1.3858891288696904</v>
      </c>
      <c r="V21" s="1278">
        <f t="shared" ref="V21:V55" si="6">(S21-R21)/S21*100</f>
        <v>49.673913043478258</v>
      </c>
      <c r="W21" s="1279">
        <v>0.2</v>
      </c>
      <c r="X21" s="1316">
        <v>85</v>
      </c>
      <c r="Y21" s="1277">
        <f t="shared" si="4"/>
        <v>64.941176470588232</v>
      </c>
      <c r="Z21" s="244">
        <v>5.6509999999999998</v>
      </c>
      <c r="AA21" s="244">
        <v>11.225</v>
      </c>
      <c r="AB21" s="1277">
        <f t="shared" ref="Z21:AB35" si="7">T21*0.988</f>
        <v>7.6075999999999997</v>
      </c>
      <c r="AC21" s="244">
        <f t="shared" ref="AC21:AD35" si="8">U21</f>
        <v>1.3858891288696904</v>
      </c>
      <c r="AD21" s="1277">
        <f t="shared" si="8"/>
        <v>49.673913043478258</v>
      </c>
      <c r="AE21" s="241">
        <f t="shared" si="1"/>
        <v>30</v>
      </c>
      <c r="AF21" s="244">
        <f t="shared" si="2"/>
        <v>169.53</v>
      </c>
      <c r="AG21" s="1281"/>
      <c r="AI21" s="1282">
        <f t="shared" si="3"/>
        <v>14.964542695849103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57">
        <v>544.29999999999995</v>
      </c>
      <c r="J22" s="241">
        <v>195</v>
      </c>
      <c r="K22" s="241"/>
      <c r="L22" s="1277">
        <v>455</v>
      </c>
      <c r="M22" s="241"/>
      <c r="N22" s="1278">
        <v>3.7</v>
      </c>
      <c r="O22" s="241"/>
      <c r="P22" s="1278">
        <f t="shared" si="5"/>
        <v>12.012610582264042</v>
      </c>
      <c r="Q22" s="1278">
        <f t="shared" ref="Q22:Q27" si="9">RIGHT(H22,(FIND("T",H22,1)-0))*J22/100</f>
        <v>27.3</v>
      </c>
      <c r="R22" s="244">
        <v>8.1159999999999997</v>
      </c>
      <c r="S22" s="244">
        <v>16.292000000000002</v>
      </c>
      <c r="T22" s="1277">
        <v>198</v>
      </c>
      <c r="U22" s="1278">
        <f t="shared" si="0"/>
        <v>24.396254312469196</v>
      </c>
      <c r="V22" s="1278">
        <f t="shared" si="6"/>
        <v>50.184139454947221</v>
      </c>
      <c r="W22" s="1279">
        <v>0.23</v>
      </c>
      <c r="X22" s="1316">
        <v>195</v>
      </c>
      <c r="Y22" s="1277">
        <f t="shared" si="4"/>
        <v>59.677655677655686</v>
      </c>
      <c r="Z22" s="244">
        <f t="shared" si="7"/>
        <v>8.0186080000000004</v>
      </c>
      <c r="AA22" s="244">
        <f t="shared" si="7"/>
        <v>16.096496000000002</v>
      </c>
      <c r="AB22" s="1277">
        <f t="shared" si="7"/>
        <v>195.624</v>
      </c>
      <c r="AC22" s="244">
        <f t="shared" si="8"/>
        <v>24.396254312469196</v>
      </c>
      <c r="AD22" s="1277">
        <f t="shared" si="8"/>
        <v>50.184139454947221</v>
      </c>
      <c r="AE22" s="241">
        <f t="shared" si="1"/>
        <v>30</v>
      </c>
      <c r="AF22" s="244">
        <f t="shared" si="2"/>
        <v>240.55824000000001</v>
      </c>
      <c r="AG22" s="1281"/>
      <c r="AI22" s="1282">
        <f t="shared" si="3"/>
        <v>12.012610582264042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57">
        <v>548.32000000000005</v>
      </c>
      <c r="J23" s="241">
        <v>70</v>
      </c>
      <c r="K23" s="241"/>
      <c r="L23" s="1277">
        <v>390</v>
      </c>
      <c r="M23" s="241"/>
      <c r="N23" s="1278">
        <v>2.2000000000000002</v>
      </c>
      <c r="O23" s="241"/>
      <c r="P23" s="1278">
        <f t="shared" si="5"/>
        <v>16.350442500146773</v>
      </c>
      <c r="Q23" s="1278">
        <f t="shared" si="9"/>
        <v>9.8000000000000007</v>
      </c>
      <c r="R23" s="244">
        <v>4.9210000000000003</v>
      </c>
      <c r="S23" s="244">
        <v>5.4969999999999999</v>
      </c>
      <c r="T23" s="1277">
        <v>57.8</v>
      </c>
      <c r="U23" s="1278">
        <f t="shared" si="0"/>
        <v>11.745580166632797</v>
      </c>
      <c r="V23" s="1278">
        <f t="shared" si="6"/>
        <v>10.478442786974707</v>
      </c>
      <c r="W23" s="1279">
        <v>0.2</v>
      </c>
      <c r="X23" s="1316">
        <v>70</v>
      </c>
      <c r="Y23" s="1277">
        <f t="shared" si="4"/>
        <v>56.091836734693871</v>
      </c>
      <c r="Z23" s="244">
        <f t="shared" si="7"/>
        <v>4.8619479999999999</v>
      </c>
      <c r="AA23" s="244">
        <f t="shared" si="7"/>
        <v>5.4310359999999998</v>
      </c>
      <c r="AB23" s="1277">
        <f t="shared" si="7"/>
        <v>57.106399999999994</v>
      </c>
      <c r="AC23" s="244">
        <f t="shared" si="8"/>
        <v>11.745580166632797</v>
      </c>
      <c r="AD23" s="1277">
        <f t="shared" si="8"/>
        <v>10.478442786974707</v>
      </c>
      <c r="AE23" s="241">
        <f t="shared" si="1"/>
        <v>30</v>
      </c>
      <c r="AF23" s="244">
        <f t="shared" si="2"/>
        <v>145.85844</v>
      </c>
      <c r="AG23" s="1281"/>
      <c r="AI23" s="1282">
        <f t="shared" si="3"/>
        <v>16.350442500146773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57">
        <v>563.03</v>
      </c>
      <c r="J24" s="241">
        <v>135</v>
      </c>
      <c r="K24" s="241"/>
      <c r="L24" s="1277">
        <v>413</v>
      </c>
      <c r="M24" s="241"/>
      <c r="N24" s="1278">
        <v>0.9</v>
      </c>
      <c r="O24" s="241"/>
      <c r="P24" s="1278">
        <f t="shared" si="5"/>
        <v>14.69320606566245</v>
      </c>
      <c r="Q24" s="1278">
        <f t="shared" si="9"/>
        <v>18.899999999999999</v>
      </c>
      <c r="R24" s="244">
        <v>5.1820000000000004</v>
      </c>
      <c r="S24" s="244">
        <v>6.3490000000000002</v>
      </c>
      <c r="T24" s="1277">
        <v>9.4</v>
      </c>
      <c r="U24" s="1278">
        <f t="shared" si="0"/>
        <v>1.8139714395986104</v>
      </c>
      <c r="V24" s="1278">
        <f t="shared" si="6"/>
        <v>18.380847377539766</v>
      </c>
      <c r="W24" s="1279">
        <v>0.2</v>
      </c>
      <c r="X24" s="1316">
        <v>135</v>
      </c>
      <c r="Y24" s="1277">
        <f t="shared" si="4"/>
        <v>33.592592592592595</v>
      </c>
      <c r="Z24" s="244">
        <f t="shared" si="7"/>
        <v>5.1198160000000001</v>
      </c>
      <c r="AA24" s="244">
        <f t="shared" si="7"/>
        <v>6.2728120000000001</v>
      </c>
      <c r="AB24" s="1277">
        <f t="shared" si="7"/>
        <v>9.2872000000000003</v>
      </c>
      <c r="AC24" s="244">
        <f t="shared" si="8"/>
        <v>1.8139714395986104</v>
      </c>
      <c r="AD24" s="1277">
        <f t="shared" si="8"/>
        <v>18.380847377539766</v>
      </c>
      <c r="AE24" s="241">
        <f t="shared" si="1"/>
        <v>30</v>
      </c>
      <c r="AF24" s="244">
        <f t="shared" si="2"/>
        <v>153.59448</v>
      </c>
      <c r="AG24" s="1281"/>
      <c r="AI24" s="1282">
        <f t="shared" si="3"/>
        <v>14.69320606566245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62">
        <v>548.85</v>
      </c>
      <c r="J25" s="241">
        <v>75</v>
      </c>
      <c r="K25" s="241"/>
      <c r="L25" s="1277">
        <v>495</v>
      </c>
      <c r="M25" s="241"/>
      <c r="N25" s="1278">
        <v>3</v>
      </c>
      <c r="O25" s="241"/>
      <c r="P25" s="1278">
        <f t="shared" si="5"/>
        <v>7.9970420437216347</v>
      </c>
      <c r="Q25" s="1278">
        <f t="shared" si="9"/>
        <v>10.5</v>
      </c>
      <c r="R25" s="244">
        <v>3.4460000000000002</v>
      </c>
      <c r="S25" s="244">
        <v>5.4139999999999997</v>
      </c>
      <c r="T25" s="1277">
        <v>16.8</v>
      </c>
      <c r="U25" s="1278">
        <f t="shared" si="0"/>
        <v>4.8752176436448051</v>
      </c>
      <c r="V25" s="1278">
        <f t="shared" si="6"/>
        <v>36.350203176948639</v>
      </c>
      <c r="W25" s="1279">
        <v>0.2</v>
      </c>
      <c r="X25" s="1316">
        <v>75</v>
      </c>
      <c r="Y25" s="1277">
        <f t="shared" si="4"/>
        <v>51.561904761904763</v>
      </c>
      <c r="Z25" s="244">
        <f t="shared" si="7"/>
        <v>3.4046480000000003</v>
      </c>
      <c r="AA25" s="244">
        <f t="shared" si="7"/>
        <v>5.3490319999999993</v>
      </c>
      <c r="AB25" s="1277">
        <f t="shared" si="7"/>
        <v>16.598400000000002</v>
      </c>
      <c r="AC25" s="244">
        <f t="shared" si="8"/>
        <v>4.8752176436448051</v>
      </c>
      <c r="AD25" s="1277">
        <f t="shared" si="8"/>
        <v>36.350203176948639</v>
      </c>
      <c r="AE25" s="241">
        <v>30</v>
      </c>
      <c r="AF25" s="244">
        <f t="shared" si="2"/>
        <v>102.13944000000001</v>
      </c>
      <c r="AG25" s="1281" t="s">
        <v>785</v>
      </c>
      <c r="AI25" s="1282">
        <f t="shared" si="3"/>
        <v>7.9970420437216347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448</v>
      </c>
      <c r="M26" s="1302"/>
      <c r="N26" s="1278">
        <v>5.9</v>
      </c>
      <c r="O26" s="1302"/>
      <c r="P26" s="1278">
        <f t="shared" si="5"/>
        <v>15.91002116817236</v>
      </c>
      <c r="Q26" s="1278">
        <f t="shared" si="9"/>
        <v>20</v>
      </c>
      <c r="R26" s="244">
        <v>3.907</v>
      </c>
      <c r="S26" s="244">
        <v>13.507</v>
      </c>
      <c r="T26" s="1277">
        <v>27</v>
      </c>
      <c r="U26" s="1278">
        <f t="shared" si="0"/>
        <v>6.9106731507550547</v>
      </c>
      <c r="V26" s="1278">
        <f t="shared" si="6"/>
        <v>71.074257792255864</v>
      </c>
      <c r="W26" s="1279">
        <v>0.2</v>
      </c>
      <c r="X26" s="1316">
        <v>100</v>
      </c>
      <c r="Y26" s="1277">
        <f t="shared" si="4"/>
        <v>67.534999999999997</v>
      </c>
      <c r="Z26" s="244">
        <f t="shared" si="7"/>
        <v>3.8601160000000001</v>
      </c>
      <c r="AA26" s="244">
        <f t="shared" si="7"/>
        <v>13.344916</v>
      </c>
      <c r="AB26" s="1277">
        <f t="shared" si="7"/>
        <v>26.675999999999998</v>
      </c>
      <c r="AC26" s="244">
        <f t="shared" si="8"/>
        <v>6.9106731507550547</v>
      </c>
      <c r="AD26" s="1277">
        <f t="shared" si="8"/>
        <v>71.074257792255864</v>
      </c>
      <c r="AE26" s="241">
        <f t="shared" si="1"/>
        <v>30</v>
      </c>
      <c r="AF26" s="244">
        <f t="shared" si="2"/>
        <v>115.80348000000001</v>
      </c>
      <c r="AG26" s="1281"/>
      <c r="AI26" s="1282">
        <f t="shared" si="3"/>
        <v>15.91002116817236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657">
        <v>569.48</v>
      </c>
      <c r="J27" s="241">
        <v>200</v>
      </c>
      <c r="K27" s="241"/>
      <c r="L27" s="1277">
        <v>455</v>
      </c>
      <c r="M27" s="241"/>
      <c r="N27" s="1278">
        <v>3.5</v>
      </c>
      <c r="O27" s="241"/>
      <c r="P27" s="1278">
        <f t="shared" si="5"/>
        <v>14.266314458312337</v>
      </c>
      <c r="Q27" s="1278">
        <f t="shared" si="9"/>
        <v>40</v>
      </c>
      <c r="R27" s="244">
        <v>7.1980000000000004</v>
      </c>
      <c r="S27" s="244">
        <v>15.973000000000001</v>
      </c>
      <c r="T27" s="1277">
        <v>44</v>
      </c>
      <c r="U27" s="1278">
        <f t="shared" si="0"/>
        <v>6.1128091136426779</v>
      </c>
      <c r="V27" s="1278">
        <f t="shared" si="6"/>
        <v>54.936455268265192</v>
      </c>
      <c r="W27" s="1279">
        <v>0.2</v>
      </c>
      <c r="X27" s="1316">
        <v>200</v>
      </c>
      <c r="Y27" s="1277">
        <f t="shared" si="4"/>
        <v>39.932500000000005</v>
      </c>
      <c r="Z27" s="244">
        <f t="shared" si="7"/>
        <v>7.1116239999999999</v>
      </c>
      <c r="AA27" s="244">
        <f t="shared" si="7"/>
        <v>15.781324000000001</v>
      </c>
      <c r="AB27" s="1277">
        <f t="shared" si="7"/>
        <v>43.472000000000001</v>
      </c>
      <c r="AC27" s="244">
        <f t="shared" si="8"/>
        <v>6.1128091136426779</v>
      </c>
      <c r="AD27" s="1277">
        <f t="shared" si="8"/>
        <v>54.936455268265192</v>
      </c>
      <c r="AE27" s="241">
        <f t="shared" si="1"/>
        <v>30</v>
      </c>
      <c r="AF27" s="244">
        <f t="shared" si="2"/>
        <v>213.34871999999999</v>
      </c>
      <c r="AG27" s="1281"/>
      <c r="AI27" s="1282">
        <f t="shared" si="3"/>
        <v>14.266314458312337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57">
        <v>566.99</v>
      </c>
      <c r="J28" s="1448">
        <v>85</v>
      </c>
      <c r="K28" s="241"/>
      <c r="L28" s="1277">
        <v>296</v>
      </c>
      <c r="M28" s="241"/>
      <c r="N28" s="1278">
        <v>1.3</v>
      </c>
      <c r="O28" s="241"/>
      <c r="P28" s="1278">
        <f t="shared" si="5"/>
        <v>26.95251686422808</v>
      </c>
      <c r="Q28" s="1278">
        <f>J28*14/100</f>
        <v>11.9</v>
      </c>
      <c r="R28" s="244">
        <v>5.1429999999999998</v>
      </c>
      <c r="S28" s="244">
        <v>11.483000000000001</v>
      </c>
      <c r="T28" s="1277">
        <v>6</v>
      </c>
      <c r="U28" s="1278">
        <f t="shared" si="0"/>
        <v>1.1666342601594402</v>
      </c>
      <c r="V28" s="1278">
        <f t="shared" si="6"/>
        <v>55.212052599494911</v>
      </c>
      <c r="W28" s="1279">
        <v>0.2</v>
      </c>
      <c r="X28" s="1449">
        <v>85</v>
      </c>
      <c r="Y28" s="1277">
        <f t="shared" si="4"/>
        <v>96.495798319327733</v>
      </c>
      <c r="Z28" s="244">
        <f t="shared" si="7"/>
        <v>5.0812840000000001</v>
      </c>
      <c r="AA28" s="244">
        <f t="shared" si="7"/>
        <v>11.345204000000001</v>
      </c>
      <c r="AB28" s="1277">
        <f t="shared" si="7"/>
        <v>5.9279999999999999</v>
      </c>
      <c r="AC28" s="244">
        <f t="shared" si="8"/>
        <v>1.1666342601594402</v>
      </c>
      <c r="AD28" s="1277">
        <f t="shared" si="8"/>
        <v>55.212052599494911</v>
      </c>
      <c r="AE28" s="241">
        <f t="shared" si="1"/>
        <v>30</v>
      </c>
      <c r="AF28" s="244">
        <f t="shared" si="2"/>
        <v>152.43852000000001</v>
      </c>
      <c r="AG28" s="1285"/>
      <c r="AI28" s="1282">
        <f t="shared" si="3"/>
        <v>26.95251686422808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62">
        <v>593.29</v>
      </c>
      <c r="J29" s="241">
        <v>240</v>
      </c>
      <c r="K29" s="241"/>
      <c r="L29" s="1277">
        <v>405</v>
      </c>
      <c r="M29" s="241"/>
      <c r="N29" s="1278">
        <v>4.2</v>
      </c>
      <c r="O29" s="241"/>
      <c r="P29" s="1278">
        <f t="shared" si="5"/>
        <v>22.495829171276945</v>
      </c>
      <c r="Q29" s="1278">
        <f>(15/100)*J29</f>
        <v>36</v>
      </c>
      <c r="R29" s="244">
        <v>1.2150000000000001</v>
      </c>
      <c r="S29" s="244">
        <v>3.524</v>
      </c>
      <c r="T29" s="1277">
        <v>35</v>
      </c>
      <c r="U29" s="1278">
        <f t="shared" si="0"/>
        <v>28.806584362139915</v>
      </c>
      <c r="V29" s="1278">
        <f t="shared" si="6"/>
        <v>65.52213393870602</v>
      </c>
      <c r="W29" s="1279">
        <v>0.27</v>
      </c>
      <c r="X29" s="1316">
        <v>240</v>
      </c>
      <c r="Y29" s="1277">
        <f t="shared" si="4"/>
        <v>9.7888888888888879</v>
      </c>
      <c r="Z29" s="244">
        <f t="shared" si="7"/>
        <v>1.20042</v>
      </c>
      <c r="AA29" s="244">
        <f t="shared" si="7"/>
        <v>3.4817119999999999</v>
      </c>
      <c r="AB29" s="1277">
        <f t="shared" si="7"/>
        <v>34.58</v>
      </c>
      <c r="AC29" s="244">
        <f t="shared" si="8"/>
        <v>28.806584362139915</v>
      </c>
      <c r="AD29" s="1277">
        <f t="shared" si="8"/>
        <v>65.52213393870602</v>
      </c>
      <c r="AE29" s="241">
        <f t="shared" si="1"/>
        <v>30</v>
      </c>
      <c r="AF29" s="244">
        <f t="shared" si="2"/>
        <v>36.012599999999999</v>
      </c>
      <c r="AG29" s="1285"/>
      <c r="AI29" s="1282">
        <f t="shared" si="3"/>
        <v>22.495829171276945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58" t="s">
        <v>298</v>
      </c>
      <c r="F30" s="241">
        <v>177.8</v>
      </c>
      <c r="G30" s="241" t="s">
        <v>28</v>
      </c>
      <c r="H30" s="1299" t="s">
        <v>687</v>
      </c>
      <c r="I30" s="1658">
        <v>558.21</v>
      </c>
      <c r="J30" s="1448">
        <v>85</v>
      </c>
      <c r="K30" s="241"/>
      <c r="L30" s="1277">
        <v>247</v>
      </c>
      <c r="M30" s="241"/>
      <c r="N30" s="1278">
        <v>1.7</v>
      </c>
      <c r="O30" s="241"/>
      <c r="P30" s="1278">
        <f t="shared" si="5"/>
        <v>31.550091353435523</v>
      </c>
      <c r="Q30" s="1278">
        <f>20*J30/100</f>
        <v>17</v>
      </c>
      <c r="R30" s="244">
        <v>2.8460000000000001</v>
      </c>
      <c r="S30" s="244">
        <v>11.183999999999999</v>
      </c>
      <c r="T30" s="1277">
        <v>11</v>
      </c>
      <c r="U30" s="1278">
        <f t="shared" si="0"/>
        <v>3.865073787772312</v>
      </c>
      <c r="V30" s="1278">
        <f t="shared" si="6"/>
        <v>74.552932761087263</v>
      </c>
      <c r="W30" s="1279">
        <v>0.3</v>
      </c>
      <c r="X30" s="1449">
        <v>85</v>
      </c>
      <c r="Y30" s="1277">
        <f t="shared" si="4"/>
        <v>65.788235294117641</v>
      </c>
      <c r="Z30" s="244">
        <f t="shared" si="7"/>
        <v>2.8118479999999999</v>
      </c>
      <c r="AA30" s="244">
        <f t="shared" si="7"/>
        <v>11.049791999999998</v>
      </c>
      <c r="AB30" s="1277">
        <f t="shared" si="7"/>
        <v>10.868</v>
      </c>
      <c r="AC30" s="244">
        <f t="shared" si="8"/>
        <v>3.865073787772312</v>
      </c>
      <c r="AD30" s="1277">
        <f t="shared" si="8"/>
        <v>74.552932761087263</v>
      </c>
      <c r="AE30" s="241">
        <f t="shared" si="1"/>
        <v>30</v>
      </c>
      <c r="AF30" s="244">
        <f>Z30*AE30</f>
        <v>84.355440000000002</v>
      </c>
      <c r="AG30" s="1285"/>
      <c r="AI30" s="1282">
        <f t="shared" si="3"/>
        <v>31.550091353435523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58" t="s">
        <v>79</v>
      </c>
      <c r="F31" s="241">
        <v>177.8</v>
      </c>
      <c r="G31" s="241" t="s">
        <v>28</v>
      </c>
      <c r="H31" s="1299" t="s">
        <v>565</v>
      </c>
      <c r="I31" s="1658">
        <v>526.29</v>
      </c>
      <c r="J31" s="1448">
        <v>290</v>
      </c>
      <c r="K31" s="241"/>
      <c r="L31" s="1277">
        <v>252</v>
      </c>
      <c r="M31" s="241"/>
      <c r="N31" s="1278">
        <v>2.7</v>
      </c>
      <c r="O31" s="241"/>
      <c r="P31" s="1278">
        <f t="shared" si="5"/>
        <v>29.341204505414083</v>
      </c>
      <c r="Q31" s="1278">
        <f>LEFT(H31,(FIND("E",H31,1)-1))*J31/100</f>
        <v>92.8</v>
      </c>
      <c r="R31" s="244">
        <v>8.1340000000000003</v>
      </c>
      <c r="S31" s="244">
        <v>48.612000000000002</v>
      </c>
      <c r="T31" s="1277">
        <v>470</v>
      </c>
      <c r="U31" s="1278">
        <f t="shared" si="0"/>
        <v>57.782149004179985</v>
      </c>
      <c r="V31" s="1278">
        <f t="shared" si="6"/>
        <v>83.26750596560521</v>
      </c>
      <c r="W31" s="1279">
        <v>0.2</v>
      </c>
      <c r="X31" s="1449">
        <v>290</v>
      </c>
      <c r="Y31" s="1277">
        <f t="shared" si="4"/>
        <v>52.383620689655174</v>
      </c>
      <c r="Z31" s="244">
        <f t="shared" si="7"/>
        <v>8.0363920000000011</v>
      </c>
      <c r="AA31" s="244">
        <f t="shared" si="7"/>
        <v>48.028655999999998</v>
      </c>
      <c r="AB31" s="1277">
        <f t="shared" si="7"/>
        <v>464.36</v>
      </c>
      <c r="AC31" s="244">
        <f t="shared" si="8"/>
        <v>57.782149004179985</v>
      </c>
      <c r="AD31" s="1277">
        <f t="shared" si="8"/>
        <v>83.26750596560521</v>
      </c>
      <c r="AE31" s="241">
        <f t="shared" si="1"/>
        <v>30</v>
      </c>
      <c r="AF31" s="244">
        <f>Z31*AE31</f>
        <v>241.09176000000002</v>
      </c>
      <c r="AG31" s="1281"/>
      <c r="AI31" s="1282">
        <f t="shared" si="3"/>
        <v>29.341204505414083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58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415</v>
      </c>
      <c r="M32" s="241"/>
      <c r="N32" s="1278">
        <v>4.5999999999999996</v>
      </c>
      <c r="O32" s="241"/>
      <c r="P32" s="1278">
        <f t="shared" si="5"/>
        <v>14.362729095417116</v>
      </c>
      <c r="Q32" s="1278">
        <f>RIGHT(H32,(FIND("T",H32,1)-0))*J32/100</f>
        <v>56</v>
      </c>
      <c r="R32" s="244">
        <v>11.388</v>
      </c>
      <c r="S32" s="244">
        <v>26.065000000000001</v>
      </c>
      <c r="T32" s="1277">
        <v>520</v>
      </c>
      <c r="U32" s="1278">
        <f t="shared" si="0"/>
        <v>45.662100456621005</v>
      </c>
      <c r="V32" s="1278">
        <f t="shared" si="6"/>
        <v>56.309226932668331</v>
      </c>
      <c r="W32" s="1279">
        <v>0.2</v>
      </c>
      <c r="X32" s="1316">
        <v>280</v>
      </c>
      <c r="Y32" s="1277">
        <f t="shared" si="4"/>
        <v>46.544642857142861</v>
      </c>
      <c r="Z32" s="244">
        <f t="shared" si="7"/>
        <v>11.251344</v>
      </c>
      <c r="AA32" s="244">
        <f t="shared" si="7"/>
        <v>25.752220000000001</v>
      </c>
      <c r="AB32" s="1277">
        <f t="shared" si="7"/>
        <v>513.76</v>
      </c>
      <c r="AC32" s="244">
        <f t="shared" si="8"/>
        <v>45.662100456621005</v>
      </c>
      <c r="AD32" s="1277">
        <f t="shared" si="8"/>
        <v>56.309226932668331</v>
      </c>
      <c r="AE32" s="241">
        <f t="shared" si="1"/>
        <v>30</v>
      </c>
      <c r="AF32" s="244">
        <f t="shared" si="2"/>
        <v>337.54032000000001</v>
      </c>
      <c r="AG32" s="1281"/>
      <c r="AI32" s="1282">
        <f t="shared" si="3"/>
        <v>14.362729095417116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58">
        <v>569.99</v>
      </c>
      <c r="J33" s="1448">
        <v>220</v>
      </c>
      <c r="K33" s="241"/>
      <c r="L33" s="1277">
        <v>434</v>
      </c>
      <c r="M33" s="241"/>
      <c r="N33" s="1278">
        <v>3.6</v>
      </c>
      <c r="O33" s="241"/>
      <c r="P33" s="1278">
        <f t="shared" si="5"/>
        <v>16.62935547400749</v>
      </c>
      <c r="Q33" s="1278">
        <f>LEFT(H33,(FIND("K",H33,1)-1))*J33/100</f>
        <v>28.6</v>
      </c>
      <c r="R33" s="244">
        <v>6.931</v>
      </c>
      <c r="S33" s="244">
        <v>19.756</v>
      </c>
      <c r="T33" s="1277">
        <v>65</v>
      </c>
      <c r="U33" s="1278">
        <f t="shared" si="0"/>
        <v>9.3781561102294049</v>
      </c>
      <c r="V33" s="1278">
        <f t="shared" si="6"/>
        <v>64.916987244381446</v>
      </c>
      <c r="W33" s="1279">
        <v>0.2</v>
      </c>
      <c r="X33" s="1449">
        <v>220</v>
      </c>
      <c r="Y33" s="1277">
        <f t="shared" si="4"/>
        <v>69.076923076923066</v>
      </c>
      <c r="Z33" s="244">
        <f t="shared" si="7"/>
        <v>6.8478279999999998</v>
      </c>
      <c r="AA33" s="244">
        <f t="shared" si="7"/>
        <v>19.518927999999999</v>
      </c>
      <c r="AB33" s="1277">
        <f t="shared" si="7"/>
        <v>64.22</v>
      </c>
      <c r="AC33" s="244">
        <f t="shared" si="8"/>
        <v>9.3781561102294049</v>
      </c>
      <c r="AD33" s="1277">
        <f t="shared" si="8"/>
        <v>64.916987244381446</v>
      </c>
      <c r="AE33" s="241">
        <f t="shared" si="1"/>
        <v>30</v>
      </c>
      <c r="AF33" s="244">
        <f>Z33*AE33</f>
        <v>205.43484000000001</v>
      </c>
      <c r="AG33" s="1285"/>
      <c r="AI33" s="1282">
        <f t="shared" si="3"/>
        <v>16.62935547400749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5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6"/>
        <v>#DIV/0!</v>
      </c>
      <c r="W34" s="1308">
        <v>0</v>
      </c>
      <c r="X34" s="238">
        <v>0</v>
      </c>
      <c r="Y34" s="1277">
        <f t="shared" si="4"/>
        <v>0</v>
      </c>
      <c r="Z34" s="244">
        <v>0</v>
      </c>
      <c r="AA34" s="244">
        <v>0</v>
      </c>
      <c r="AB34" s="1277">
        <f t="shared" si="7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3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440</v>
      </c>
      <c r="M35" s="241"/>
      <c r="N35" s="1278">
        <v>3</v>
      </c>
      <c r="O35" s="241"/>
      <c r="P35" s="1278">
        <f t="shared" si="5"/>
        <v>14.647553943278293</v>
      </c>
      <c r="Q35" s="1278">
        <f>20*J35/100</f>
        <v>19</v>
      </c>
      <c r="R35" s="244">
        <v>1.819</v>
      </c>
      <c r="S35" s="244">
        <v>4.9980000000000002</v>
      </c>
      <c r="T35" s="1277">
        <v>34</v>
      </c>
      <c r="U35" s="1278">
        <f t="shared" si="0"/>
        <v>18.691588785046729</v>
      </c>
      <c r="V35" s="1278">
        <f t="shared" si="6"/>
        <v>63.605442176870753</v>
      </c>
      <c r="W35" s="1279">
        <v>0.2</v>
      </c>
      <c r="X35" s="1316">
        <v>95</v>
      </c>
      <c r="Y35" s="1277">
        <f t="shared" si="4"/>
        <v>26.305263157894736</v>
      </c>
      <c r="Z35" s="244">
        <f t="shared" si="7"/>
        <v>1.797172</v>
      </c>
      <c r="AA35" s="244">
        <f t="shared" si="7"/>
        <v>4.9380240000000004</v>
      </c>
      <c r="AB35" s="1277">
        <f t="shared" si="7"/>
        <v>33.591999999999999</v>
      </c>
      <c r="AC35" s="1307">
        <f t="shared" si="8"/>
        <v>18.691588785046729</v>
      </c>
      <c r="AD35" s="1305">
        <f t="shared" si="8"/>
        <v>63.605442176870753</v>
      </c>
      <c r="AE35" s="241">
        <f t="shared" si="1"/>
        <v>30</v>
      </c>
      <c r="AF35" s="1307">
        <f>Z35*AE35</f>
        <v>53.91516</v>
      </c>
      <c r="AG35" s="1285"/>
      <c r="AI35" s="1282">
        <f t="shared" si="3"/>
        <v>14.647553943278293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58">
        <v>564.05999999999995</v>
      </c>
      <c r="J36" s="241">
        <v>150</v>
      </c>
      <c r="K36" s="241"/>
      <c r="L36" s="1277">
        <v>403</v>
      </c>
      <c r="M36" s="241"/>
      <c r="N36" s="1278">
        <v>0</v>
      </c>
      <c r="O36" s="241"/>
      <c r="P36" s="1278">
        <f t="shared" si="5"/>
        <v>15.276169441022612</v>
      </c>
      <c r="Q36" s="1278">
        <f>LEFT(H36,(FIND("E",H36,1)-1))*J36/100</f>
        <v>19.5</v>
      </c>
      <c r="R36" s="244">
        <v>3.4649999999999999</v>
      </c>
      <c r="S36" s="244">
        <v>8.3949999999999996</v>
      </c>
      <c r="T36" s="1277">
        <v>16</v>
      </c>
      <c r="U36" s="1278">
        <f t="shared" si="0"/>
        <v>4.6176046176046182</v>
      </c>
      <c r="V36" s="1278">
        <f t="shared" si="6"/>
        <v>58.725431804645623</v>
      </c>
      <c r="W36" s="1279">
        <v>0</v>
      </c>
      <c r="X36" s="1316">
        <v>150</v>
      </c>
      <c r="Y36" s="1277">
        <f t="shared" si="4"/>
        <v>43.051282051282044</v>
      </c>
      <c r="Z36" s="244">
        <v>3.2149999999999999</v>
      </c>
      <c r="AA36" s="244">
        <v>9.2829999999999995</v>
      </c>
      <c r="AB36" s="1277">
        <v>17</v>
      </c>
      <c r="AC36" s="244">
        <f>AB36/Z36</f>
        <v>5.2877138413685847</v>
      </c>
      <c r="AD36" s="1278">
        <f t="shared" ref="AD36" si="10">(AA36-Z36)/AA36*100</f>
        <v>65.366799526015299</v>
      </c>
      <c r="AE36" s="241">
        <f t="shared" si="1"/>
        <v>30</v>
      </c>
      <c r="AF36" s="244">
        <f t="shared" si="2"/>
        <v>96.449999999999989</v>
      </c>
      <c r="AG36" s="1281"/>
      <c r="AI36" s="1282">
        <f t="shared" si="3"/>
        <v>15.276169441022612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58">
        <v>551</v>
      </c>
      <c r="J37" s="1448">
        <v>165</v>
      </c>
      <c r="K37" s="241"/>
      <c r="L37" s="1277">
        <v>458</v>
      </c>
      <c r="M37" s="241"/>
      <c r="N37" s="1278">
        <v>2.6</v>
      </c>
      <c r="O37" s="241"/>
      <c r="P37" s="1278">
        <f t="shared" si="5"/>
        <v>11.174350009683128</v>
      </c>
      <c r="Q37" s="1278">
        <f>14*J37/100</f>
        <v>23.1</v>
      </c>
      <c r="R37" s="244">
        <v>5.7290000000000001</v>
      </c>
      <c r="S37" s="244">
        <v>10.462999999999999</v>
      </c>
      <c r="T37" s="1277">
        <v>67</v>
      </c>
      <c r="U37" s="1278">
        <f t="shared" si="0"/>
        <v>11.694885669401291</v>
      </c>
      <c r="V37" s="1278">
        <f t="shared" si="6"/>
        <v>45.245149574691766</v>
      </c>
      <c r="W37" s="1279">
        <v>0.2</v>
      </c>
      <c r="X37" s="1449">
        <v>165</v>
      </c>
      <c r="Y37" s="1277">
        <f t="shared" si="4"/>
        <v>45.294372294372288</v>
      </c>
      <c r="Z37" s="244">
        <f t="shared" ref="Z37:AB43" si="11">R37*0.988</f>
        <v>5.6602519999999998</v>
      </c>
      <c r="AA37" s="244">
        <f t="shared" si="11"/>
        <v>10.337444</v>
      </c>
      <c r="AB37" s="1277">
        <f t="shared" si="11"/>
        <v>66.195999999999998</v>
      </c>
      <c r="AC37" s="244">
        <f t="shared" ref="AC37:AD38" si="12">U37</f>
        <v>11.694885669401291</v>
      </c>
      <c r="AD37" s="1305">
        <f t="shared" si="12"/>
        <v>45.245149574691766</v>
      </c>
      <c r="AE37" s="241">
        <f t="shared" si="1"/>
        <v>30</v>
      </c>
      <c r="AF37" s="244">
        <f t="shared" si="2"/>
        <v>169.80756</v>
      </c>
      <c r="AG37" s="1450"/>
      <c r="AI37" s="1282">
        <f t="shared" si="3"/>
        <v>11.174350009683128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658">
        <v>565.36</v>
      </c>
      <c r="J38" s="241">
        <v>85</v>
      </c>
      <c r="K38" s="241"/>
      <c r="L38" s="1277">
        <v>269</v>
      </c>
      <c r="M38" s="241"/>
      <c r="N38" s="1278">
        <v>0.2</v>
      </c>
      <c r="O38" s="241"/>
      <c r="P38" s="1278">
        <f t="shared" si="5"/>
        <v>28.793509271578792</v>
      </c>
      <c r="Q38" s="1278">
        <f>13*J38/100</f>
        <v>11.05</v>
      </c>
      <c r="R38" s="244">
        <v>1.486</v>
      </c>
      <c r="S38" s="244">
        <v>8.2590000000000003</v>
      </c>
      <c r="T38" s="1277">
        <v>11</v>
      </c>
      <c r="U38" s="1278">
        <f>IF(R38=0,0,T38/R38)</f>
        <v>7.4024226110363394</v>
      </c>
      <c r="V38" s="1278">
        <f t="shared" si="6"/>
        <v>82.007506962101957</v>
      </c>
      <c r="W38" s="1279">
        <v>0.2</v>
      </c>
      <c r="X38" s="1316">
        <v>85</v>
      </c>
      <c r="Y38" s="1277">
        <f t="shared" si="4"/>
        <v>74.742081447963798</v>
      </c>
      <c r="Z38" s="244">
        <f t="shared" si="11"/>
        <v>1.4681679999999999</v>
      </c>
      <c r="AA38" s="244">
        <f t="shared" si="11"/>
        <v>8.159892000000001</v>
      </c>
      <c r="AB38" s="1277">
        <f t="shared" si="11"/>
        <v>10.868</v>
      </c>
      <c r="AC38" s="244">
        <f t="shared" si="12"/>
        <v>7.4024226110363394</v>
      </c>
      <c r="AD38" s="1305">
        <f t="shared" si="12"/>
        <v>82.007506962101957</v>
      </c>
      <c r="AE38" s="241">
        <f t="shared" si="1"/>
        <v>30</v>
      </c>
      <c r="AF38" s="244">
        <f>Z38*AE38</f>
        <v>44.04504</v>
      </c>
      <c r="AG38" s="1281"/>
      <c r="AI38" s="1282">
        <f t="shared" si="3"/>
        <v>28.793509271578792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58">
        <v>535.91</v>
      </c>
      <c r="J39" s="1448">
        <v>300</v>
      </c>
      <c r="K39" s="241"/>
      <c r="L39" s="1277">
        <v>446</v>
      </c>
      <c r="M39" s="241"/>
      <c r="N39" s="1278">
        <v>2.2000000000000002</v>
      </c>
      <c r="O39" s="241"/>
      <c r="P39" s="1278">
        <f t="shared" si="5"/>
        <v>10.387544727749569</v>
      </c>
      <c r="Q39" s="1278">
        <f>(20/100)*J39</f>
        <v>60</v>
      </c>
      <c r="R39" s="244">
        <v>8.5990000000000002</v>
      </c>
      <c r="S39" s="244">
        <v>13.316000000000001</v>
      </c>
      <c r="T39" s="1277">
        <v>242</v>
      </c>
      <c r="U39" s="1278">
        <f t="shared" ref="U39:U86" si="13">IF(R39=0,0,T39/R39)</f>
        <v>28.142807303174788</v>
      </c>
      <c r="V39" s="1278">
        <f t="shared" si="6"/>
        <v>35.423550615800544</v>
      </c>
      <c r="W39" s="1279">
        <v>0.2</v>
      </c>
      <c r="X39" s="1449">
        <v>300</v>
      </c>
      <c r="Y39" s="1277">
        <f t="shared" si="4"/>
        <v>22.193333333333335</v>
      </c>
      <c r="Z39" s="244">
        <f t="shared" si="11"/>
        <v>8.4958120000000008</v>
      </c>
      <c r="AA39" s="244">
        <f t="shared" si="11"/>
        <v>13.156208000000001</v>
      </c>
      <c r="AB39" s="1277">
        <f t="shared" si="11"/>
        <v>239.096</v>
      </c>
      <c r="AC39" s="244">
        <v>89.536086956521729</v>
      </c>
      <c r="AD39" s="1305">
        <f>V39</f>
        <v>35.423550615800544</v>
      </c>
      <c r="AE39" s="241">
        <f t="shared" si="1"/>
        <v>30</v>
      </c>
      <c r="AF39" s="244">
        <f t="shared" si="2"/>
        <v>254.87436000000002</v>
      </c>
      <c r="AG39" s="1314"/>
      <c r="AI39" s="1282">
        <f t="shared" si="3"/>
        <v>10.387544727749569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58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3"/>
        <v>0</v>
      </c>
      <c r="V40" s="1278" t="e">
        <f t="shared" si="6"/>
        <v>#DIV/0!</v>
      </c>
      <c r="W40" s="1279">
        <v>0</v>
      </c>
      <c r="X40" s="1449">
        <v>0</v>
      </c>
      <c r="Y40" s="1277">
        <f t="shared" si="4"/>
        <v>0</v>
      </c>
      <c r="Z40" s="244">
        <f t="shared" si="11"/>
        <v>0</v>
      </c>
      <c r="AA40" s="244">
        <f t="shared" si="11"/>
        <v>0</v>
      </c>
      <c r="AB40" s="1277">
        <f t="shared" si="11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2"/>
        <v>0</v>
      </c>
      <c r="AG40" s="1281" t="s">
        <v>769</v>
      </c>
      <c r="AI40" s="1282" t="e">
        <f t="shared" si="3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85</v>
      </c>
      <c r="K41" s="241"/>
      <c r="L41" s="1277">
        <v>458</v>
      </c>
      <c r="M41" s="241"/>
      <c r="N41" s="1278">
        <v>4</v>
      </c>
      <c r="O41" s="241"/>
      <c r="P41" s="1278">
        <f t="shared" si="5"/>
        <v>13.29543802814621</v>
      </c>
      <c r="Q41" s="1278">
        <f>14*J41/100</f>
        <v>11.9</v>
      </c>
      <c r="R41" s="244">
        <v>1.7130000000000001</v>
      </c>
      <c r="S41" s="244">
        <v>10.404</v>
      </c>
      <c r="T41" s="1277">
        <v>10</v>
      </c>
      <c r="U41" s="1278">
        <f t="shared" si="13"/>
        <v>5.8377116170461179</v>
      </c>
      <c r="V41" s="1278">
        <f t="shared" si="6"/>
        <v>83.535178777393298</v>
      </c>
      <c r="W41" s="1279">
        <v>0.2</v>
      </c>
      <c r="X41" s="1316">
        <v>85</v>
      </c>
      <c r="Y41" s="1277">
        <f t="shared" si="4"/>
        <v>87.428571428571416</v>
      </c>
      <c r="Z41" s="244">
        <f t="shared" si="11"/>
        <v>1.6924440000000001</v>
      </c>
      <c r="AA41" s="244">
        <f t="shared" si="11"/>
        <v>10.279152</v>
      </c>
      <c r="AB41" s="1277">
        <f t="shared" si="11"/>
        <v>9.879999999999999</v>
      </c>
      <c r="AC41" s="244">
        <f>U41</f>
        <v>5.8377116170461179</v>
      </c>
      <c r="AD41" s="1277">
        <f>V41</f>
        <v>83.535178777393298</v>
      </c>
      <c r="AE41" s="241">
        <f t="shared" si="1"/>
        <v>30</v>
      </c>
      <c r="AF41" s="244">
        <f t="shared" si="2"/>
        <v>50.773319999999998</v>
      </c>
      <c r="AG41" s="1285"/>
      <c r="AI41" s="1282">
        <f t="shared" si="3"/>
        <v>13.29543802814621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5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3"/>
        <v>0</v>
      </c>
      <c r="V42" s="1278" t="e">
        <f t="shared" si="6"/>
        <v>#DIV/0!</v>
      </c>
      <c r="W42" s="1279">
        <v>0</v>
      </c>
      <c r="X42" s="1316">
        <v>0</v>
      </c>
      <c r="Y42" s="1277">
        <f t="shared" si="4"/>
        <v>0</v>
      </c>
      <c r="Z42" s="244">
        <f t="shared" si="11"/>
        <v>0</v>
      </c>
      <c r="AA42" s="244">
        <f t="shared" si="11"/>
        <v>0</v>
      </c>
      <c r="AB42" s="1277">
        <f t="shared" si="11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2"/>
        <v>0</v>
      </c>
      <c r="AG42" s="1281" t="s">
        <v>769</v>
      </c>
      <c r="AI42" s="1282" t="e">
        <f t="shared" si="3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658">
        <v>554.16999999999996</v>
      </c>
      <c r="J43" s="1448">
        <v>125</v>
      </c>
      <c r="K43" s="241"/>
      <c r="L43" s="1277">
        <v>335</v>
      </c>
      <c r="M43" s="241"/>
      <c r="N43" s="1278">
        <v>4</v>
      </c>
      <c r="O43" s="241"/>
      <c r="P43" s="1278">
        <f t="shared" si="5"/>
        <v>25.094122255295172</v>
      </c>
      <c r="Q43" s="1278">
        <f>(32/100)*J43</f>
        <v>40</v>
      </c>
      <c r="R43" s="244">
        <v>9.9</v>
      </c>
      <c r="S43" s="244">
        <v>39.585999999999999</v>
      </c>
      <c r="T43" s="1277">
        <v>107</v>
      </c>
      <c r="U43" s="1278">
        <f t="shared" si="13"/>
        <v>10.808080808080808</v>
      </c>
      <c r="V43" s="1278">
        <f t="shared" si="6"/>
        <v>74.991158490375383</v>
      </c>
      <c r="W43" s="1279">
        <v>0.2</v>
      </c>
      <c r="X43" s="1449">
        <v>125</v>
      </c>
      <c r="Y43" s="1277">
        <f t="shared" si="4"/>
        <v>98.964999999999989</v>
      </c>
      <c r="Z43" s="244">
        <f t="shared" si="11"/>
        <v>9.7812000000000001</v>
      </c>
      <c r="AA43" s="244">
        <f t="shared" si="11"/>
        <v>39.110968</v>
      </c>
      <c r="AB43" s="1277">
        <f t="shared" si="11"/>
        <v>105.71599999999999</v>
      </c>
      <c r="AC43" s="244">
        <f>U43</f>
        <v>10.808080808080808</v>
      </c>
      <c r="AD43" s="1277">
        <f>V43</f>
        <v>74.991158490375383</v>
      </c>
      <c r="AE43" s="241">
        <f>(DAY(EOMONTH($AH$17,0))-AH43)</f>
        <v>30</v>
      </c>
      <c r="AF43" s="244">
        <f t="shared" si="2"/>
        <v>293.43599999999998</v>
      </c>
      <c r="AG43" s="1281"/>
      <c r="AI43" s="1282">
        <f t="shared" si="3"/>
        <v>25.094122255295172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654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4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3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59">
        <v>544.70000000000005</v>
      </c>
      <c r="J45" s="241">
        <v>85</v>
      </c>
      <c r="K45" s="241"/>
      <c r="L45" s="1277">
        <v>116</v>
      </c>
      <c r="M45" s="241"/>
      <c r="N45" s="1278">
        <v>3.5</v>
      </c>
      <c r="O45" s="241"/>
      <c r="P45" s="1278">
        <f t="shared" si="5"/>
        <v>44.570522174651408</v>
      </c>
      <c r="Q45" s="1278">
        <f>J45*20/100</f>
        <v>17</v>
      </c>
      <c r="R45" s="244">
        <v>4.8849999999999998</v>
      </c>
      <c r="S45" s="244">
        <v>19.265000000000001</v>
      </c>
      <c r="T45" s="1277">
        <v>35.6</v>
      </c>
      <c r="U45" s="1278">
        <f t="shared" si="13"/>
        <v>7.2876151484135114</v>
      </c>
      <c r="V45" s="1278">
        <f t="shared" si="6"/>
        <v>74.643135219309627</v>
      </c>
      <c r="W45" s="1279">
        <v>0.2</v>
      </c>
      <c r="X45" s="1316">
        <v>85</v>
      </c>
      <c r="Y45" s="1277">
        <f t="shared" si="4"/>
        <v>113.32352941176471</v>
      </c>
      <c r="Z45" s="244">
        <v>5.0430000000000001</v>
      </c>
      <c r="AA45" s="244">
        <v>18.190999999999999</v>
      </c>
      <c r="AB45" s="1277">
        <v>31</v>
      </c>
      <c r="AC45" s="244">
        <f t="shared" ref="AC45:AD51" si="14">U45</f>
        <v>7.2876151484135114</v>
      </c>
      <c r="AD45" s="1277">
        <f t="shared" si="14"/>
        <v>74.643135219309627</v>
      </c>
      <c r="AE45" s="241">
        <f t="shared" ref="AE45:AE81" si="15">(DAY(EOMONTH($AH$17,0))-AH45)</f>
        <v>30</v>
      </c>
      <c r="AF45" s="244">
        <f t="shared" si="2"/>
        <v>151.29</v>
      </c>
      <c r="AG45" s="1281"/>
      <c r="AI45" s="1282">
        <f t="shared" si="3"/>
        <v>44.570522174651408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59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59">
        <v>553.30999999999995</v>
      </c>
      <c r="J46" s="1659">
        <v>220</v>
      </c>
      <c r="K46" s="1659"/>
      <c r="L46" s="1319">
        <v>419</v>
      </c>
      <c r="M46" s="1659"/>
      <c r="N46" s="1278">
        <v>2.5</v>
      </c>
      <c r="O46" s="1659"/>
      <c r="P46" s="1278">
        <f t="shared" si="5"/>
        <v>15.155660919867488</v>
      </c>
      <c r="Q46" s="1278">
        <f>J46*32/100</f>
        <v>70.400000000000006</v>
      </c>
      <c r="R46" s="244">
        <v>11.42</v>
      </c>
      <c r="S46" s="244">
        <v>27.471</v>
      </c>
      <c r="T46" s="1319">
        <v>218</v>
      </c>
      <c r="U46" s="1278">
        <f t="shared" si="13"/>
        <v>19.089316987740805</v>
      </c>
      <c r="V46" s="1278">
        <f t="shared" si="6"/>
        <v>58.428888646208733</v>
      </c>
      <c r="W46" s="1279">
        <v>0.2</v>
      </c>
      <c r="X46" s="1410">
        <v>220</v>
      </c>
      <c r="Y46" s="1277">
        <f t="shared" si="4"/>
        <v>39.02130681818182</v>
      </c>
      <c r="Z46" s="244">
        <f t="shared" ref="Z46:AB55" si="16">R46*0.988</f>
        <v>11.282959999999999</v>
      </c>
      <c r="AA46" s="244">
        <f t="shared" si="16"/>
        <v>27.141348000000001</v>
      </c>
      <c r="AB46" s="1277">
        <f t="shared" si="16"/>
        <v>215.38399999999999</v>
      </c>
      <c r="AC46" s="244">
        <f t="shared" si="14"/>
        <v>19.089316987740805</v>
      </c>
      <c r="AD46" s="1277">
        <f t="shared" si="14"/>
        <v>58.428888646208733</v>
      </c>
      <c r="AE46" s="241">
        <f t="shared" si="15"/>
        <v>30</v>
      </c>
      <c r="AF46" s="244">
        <f t="shared" si="2"/>
        <v>338.48879999999997</v>
      </c>
      <c r="AG46" s="1285"/>
      <c r="AI46" s="1282">
        <f t="shared" si="3"/>
        <v>15.155660919867488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59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59">
        <v>550.59</v>
      </c>
      <c r="J47" s="1373">
        <v>65</v>
      </c>
      <c r="K47" s="1659"/>
      <c r="L47" s="1277">
        <v>392</v>
      </c>
      <c r="M47" s="1659"/>
      <c r="N47" s="1278">
        <v>0.2</v>
      </c>
      <c r="O47" s="1659"/>
      <c r="P47" s="1278">
        <f t="shared" si="5"/>
        <v>15.049647439592688</v>
      </c>
      <c r="Q47" s="1278">
        <f>RIGHT(H47,(FIND("T",H47,1)-0))*J47/100</f>
        <v>9.1</v>
      </c>
      <c r="R47" s="244">
        <v>0.92800000000000005</v>
      </c>
      <c r="S47" s="244">
        <v>1.847</v>
      </c>
      <c r="T47" s="1319">
        <v>7.1</v>
      </c>
      <c r="U47" s="1278">
        <f t="shared" si="13"/>
        <v>7.6508620689655169</v>
      </c>
      <c r="V47" s="1278">
        <f t="shared" si="6"/>
        <v>49.756361667569024</v>
      </c>
      <c r="W47" s="1279">
        <v>0.2</v>
      </c>
      <c r="X47" s="1452">
        <v>65</v>
      </c>
      <c r="Y47" s="1277">
        <f t="shared" si="4"/>
        <v>20.296703296703296</v>
      </c>
      <c r="Z47" s="244">
        <f t="shared" si="16"/>
        <v>0.91686400000000001</v>
      </c>
      <c r="AA47" s="244">
        <f t="shared" si="16"/>
        <v>1.8248359999999999</v>
      </c>
      <c r="AB47" s="1277">
        <f t="shared" si="16"/>
        <v>7.0147999999999993</v>
      </c>
      <c r="AC47" s="244">
        <f t="shared" si="14"/>
        <v>7.6508620689655169</v>
      </c>
      <c r="AD47" s="1277">
        <f t="shared" si="14"/>
        <v>49.756361667569024</v>
      </c>
      <c r="AE47" s="241">
        <f t="shared" si="15"/>
        <v>30</v>
      </c>
      <c r="AF47" s="244">
        <f t="shared" si="2"/>
        <v>27.50592</v>
      </c>
      <c r="AG47" s="1285"/>
      <c r="AI47" s="1282">
        <f t="shared" si="3"/>
        <v>15.049647439592688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59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62">
        <v>548.82000000000005</v>
      </c>
      <c r="J48" s="1659">
        <v>60</v>
      </c>
      <c r="K48" s="1659"/>
      <c r="L48" s="1319">
        <v>491</v>
      </c>
      <c r="M48" s="1659"/>
      <c r="N48" s="1278">
        <v>1.1000000000000001</v>
      </c>
      <c r="O48" s="1659"/>
      <c r="P48" s="1278">
        <f t="shared" si="5"/>
        <v>6.3754750321148608</v>
      </c>
      <c r="Q48" s="1278">
        <f>14*J48/100</f>
        <v>8.4</v>
      </c>
      <c r="R48" s="244">
        <v>4.6890000000000001</v>
      </c>
      <c r="S48" s="244">
        <v>6.7969999999999997</v>
      </c>
      <c r="T48" s="1319">
        <v>14</v>
      </c>
      <c r="U48" s="1278">
        <f t="shared" si="13"/>
        <v>2.9857112390701643</v>
      </c>
      <c r="V48" s="1278">
        <f t="shared" si="6"/>
        <v>31.013682506988371</v>
      </c>
      <c r="W48" s="1279">
        <v>0.2</v>
      </c>
      <c r="X48" s="1410">
        <v>60</v>
      </c>
      <c r="Y48" s="1277">
        <f t="shared" si="4"/>
        <v>80.916666666666657</v>
      </c>
      <c r="Z48" s="244">
        <v>4.4539039999999996</v>
      </c>
      <c r="AA48" s="244">
        <v>6.0337160000000001</v>
      </c>
      <c r="AB48" s="1277">
        <v>14.82</v>
      </c>
      <c r="AC48" s="244">
        <f t="shared" si="14"/>
        <v>2.9857112390701643</v>
      </c>
      <c r="AD48" s="1277">
        <f t="shared" si="14"/>
        <v>31.013682506988371</v>
      </c>
      <c r="AE48" s="241">
        <f t="shared" si="15"/>
        <v>30</v>
      </c>
      <c r="AF48" s="244">
        <f t="shared" si="2"/>
        <v>133.61712</v>
      </c>
      <c r="AG48" s="1285"/>
      <c r="AI48" s="1282">
        <f t="shared" si="3"/>
        <v>6.3754750321148608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59">
        <v>539.24</v>
      </c>
      <c r="J49" s="241">
        <v>200</v>
      </c>
      <c r="K49" s="241"/>
      <c r="L49" s="1277">
        <v>430</v>
      </c>
      <c r="M49" s="241"/>
      <c r="N49" s="1278">
        <v>3.1</v>
      </c>
      <c r="O49" s="241"/>
      <c r="P49" s="1278">
        <f t="shared" si="5"/>
        <v>13.20200851466937</v>
      </c>
      <c r="Q49" s="1278">
        <f>20*J49/100</f>
        <v>40</v>
      </c>
      <c r="R49" s="244">
        <v>2.5880000000000001</v>
      </c>
      <c r="S49" s="244">
        <v>4.335</v>
      </c>
      <c r="T49" s="1277">
        <v>13.182</v>
      </c>
      <c r="U49" s="1278">
        <f t="shared" si="13"/>
        <v>5.0935085007727974</v>
      </c>
      <c r="V49" s="1278">
        <f t="shared" si="6"/>
        <v>40.299884659746247</v>
      </c>
      <c r="W49" s="1279">
        <v>0.2</v>
      </c>
      <c r="X49" s="1316">
        <v>200</v>
      </c>
      <c r="Y49" s="1277">
        <f t="shared" si="4"/>
        <v>10.8375</v>
      </c>
      <c r="Z49" s="244">
        <f t="shared" si="16"/>
        <v>2.5569440000000001</v>
      </c>
      <c r="AA49" s="244">
        <f t="shared" si="16"/>
        <v>4.2829800000000002</v>
      </c>
      <c r="AB49" s="1277">
        <f t="shared" si="16"/>
        <v>13.023816</v>
      </c>
      <c r="AC49" s="244">
        <f t="shared" si="14"/>
        <v>5.0935085007727974</v>
      </c>
      <c r="AD49" s="1277">
        <f t="shared" si="14"/>
        <v>40.299884659746247</v>
      </c>
      <c r="AE49" s="241">
        <f t="shared" si="15"/>
        <v>30</v>
      </c>
      <c r="AF49" s="244">
        <f t="shared" si="2"/>
        <v>76.708320000000001</v>
      </c>
      <c r="AG49" s="1285"/>
      <c r="AI49" s="1282">
        <f t="shared" si="3"/>
        <v>13.20200851466937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686</v>
      </c>
      <c r="I50" s="1662">
        <v>572.09</v>
      </c>
      <c r="J50" s="241">
        <v>85</v>
      </c>
      <c r="K50" s="241"/>
      <c r="L50" s="1277">
        <v>442</v>
      </c>
      <c r="M50" s="241"/>
      <c r="N50" s="1278">
        <v>0.3</v>
      </c>
      <c r="O50" s="241"/>
      <c r="P50" s="1278">
        <f t="shared" si="5"/>
        <v>13.035359067680206</v>
      </c>
      <c r="Q50" s="1278">
        <f>20*J50/100</f>
        <v>17</v>
      </c>
      <c r="R50" s="244">
        <v>2.133</v>
      </c>
      <c r="S50" s="244">
        <v>14.657999999999999</v>
      </c>
      <c r="T50" s="1277">
        <v>0</v>
      </c>
      <c r="U50" s="1278">
        <f t="shared" si="13"/>
        <v>0</v>
      </c>
      <c r="V50" s="1278">
        <f t="shared" si="6"/>
        <v>85.448219402374122</v>
      </c>
      <c r="W50" s="1279">
        <v>0.3</v>
      </c>
      <c r="X50" s="1316">
        <v>85</v>
      </c>
      <c r="Y50" s="1277">
        <f t="shared" si="4"/>
        <v>86.223529411764702</v>
      </c>
      <c r="Z50" s="244">
        <f t="shared" si="16"/>
        <v>2.1074039999999998</v>
      </c>
      <c r="AA50" s="244">
        <f t="shared" si="16"/>
        <v>14.482104</v>
      </c>
      <c r="AB50" s="1277">
        <f t="shared" si="16"/>
        <v>0</v>
      </c>
      <c r="AC50" s="1278">
        <f t="shared" ref="AC50" si="17">IF(Z50=0,0,AB50/Z50)</f>
        <v>0</v>
      </c>
      <c r="AD50" s="1278">
        <f t="shared" ref="AD50" si="18">(AA50-Z50)/AA50*100</f>
        <v>85.448219402374136</v>
      </c>
      <c r="AE50" s="241">
        <f t="shared" si="15"/>
        <v>30</v>
      </c>
      <c r="AF50" s="244">
        <f t="shared" si="2"/>
        <v>63.222119999999997</v>
      </c>
      <c r="AG50" s="1285"/>
      <c r="AH50" s="1252"/>
      <c r="AI50" s="1282">
        <f t="shared" si="3"/>
        <v>13.035359067680206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59" t="s">
        <v>600</v>
      </c>
      <c r="F51" s="241">
        <v>177.8</v>
      </c>
      <c r="G51" s="241" t="s">
        <v>28</v>
      </c>
      <c r="H51" s="1299" t="s">
        <v>687</v>
      </c>
      <c r="I51" s="1659">
        <v>546.08000000000004</v>
      </c>
      <c r="J51" s="241">
        <v>100</v>
      </c>
      <c r="K51" s="241"/>
      <c r="L51" s="1322">
        <v>187</v>
      </c>
      <c r="M51" s="241"/>
      <c r="N51" s="1306">
        <v>3.7</v>
      </c>
      <c r="O51" s="241"/>
      <c r="P51" s="1278">
        <f t="shared" si="5"/>
        <v>38.695940355021456</v>
      </c>
      <c r="Q51" s="1278">
        <v>20</v>
      </c>
      <c r="R51" s="244">
        <v>3.3849999999999998</v>
      </c>
      <c r="S51" s="244">
        <v>17.451000000000001</v>
      </c>
      <c r="T51" s="1277">
        <v>89</v>
      </c>
      <c r="U51" s="1278">
        <f t="shared" si="13"/>
        <v>26.292466765140325</v>
      </c>
      <c r="V51" s="1278">
        <f t="shared" si="6"/>
        <v>80.602830783336202</v>
      </c>
      <c r="W51" s="1279">
        <v>0.2</v>
      </c>
      <c r="X51" s="1316">
        <v>100</v>
      </c>
      <c r="Y51" s="1277">
        <f t="shared" si="4"/>
        <v>87.25500000000001</v>
      </c>
      <c r="Z51" s="244">
        <f t="shared" si="16"/>
        <v>3.3443799999999997</v>
      </c>
      <c r="AA51" s="244">
        <f t="shared" si="16"/>
        <v>17.241588</v>
      </c>
      <c r="AB51" s="1277">
        <f t="shared" si="16"/>
        <v>87.932000000000002</v>
      </c>
      <c r="AC51" s="244">
        <f t="shared" si="14"/>
        <v>26.292466765140325</v>
      </c>
      <c r="AD51" s="1277">
        <f t="shared" si="14"/>
        <v>80.602830783336202</v>
      </c>
      <c r="AE51" s="241">
        <f t="shared" si="15"/>
        <v>30</v>
      </c>
      <c r="AF51" s="244">
        <f t="shared" si="2"/>
        <v>100.33139999999999</v>
      </c>
      <c r="AG51" s="1285"/>
      <c r="AI51" s="1282">
        <f t="shared" si="3"/>
        <v>38.695940355021456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654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5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62">
        <v>535</v>
      </c>
      <c r="J53" s="1448">
        <v>100</v>
      </c>
      <c r="K53" s="241"/>
      <c r="L53" s="1277">
        <v>439</v>
      </c>
      <c r="M53" s="241"/>
      <c r="N53" s="1278">
        <v>3.7</v>
      </c>
      <c r="O53" s="241"/>
      <c r="P53" s="1278">
        <f t="shared" si="5"/>
        <v>12.837469654876163</v>
      </c>
      <c r="Q53" s="1278">
        <f>RIGHT(H53,(FIND("T",H53,1)-0))*J53/100</f>
        <v>14</v>
      </c>
      <c r="R53" s="244">
        <v>4.2699999999999996</v>
      </c>
      <c r="S53" s="244">
        <v>13.217000000000001</v>
      </c>
      <c r="T53" s="1277">
        <v>149</v>
      </c>
      <c r="U53" s="1278">
        <f t="shared" si="13"/>
        <v>34.894613583138174</v>
      </c>
      <c r="V53" s="1278">
        <f t="shared" si="6"/>
        <v>67.69312249375804</v>
      </c>
      <c r="W53" s="1279">
        <v>0</v>
      </c>
      <c r="X53" s="1449">
        <v>100</v>
      </c>
      <c r="Y53" s="1277">
        <f t="shared" si="4"/>
        <v>94.407142857142858</v>
      </c>
      <c r="Z53" s="244">
        <f t="shared" si="16"/>
        <v>4.2187599999999996</v>
      </c>
      <c r="AA53" s="244">
        <f t="shared" si="16"/>
        <v>13.058396</v>
      </c>
      <c r="AB53" s="1277">
        <f t="shared" si="16"/>
        <v>147.21199999999999</v>
      </c>
      <c r="AC53" s="244">
        <f>U53</f>
        <v>34.894613583138174</v>
      </c>
      <c r="AD53" s="1278">
        <f t="shared" ref="AD53" si="19">(AA53-Z53)/AA53*100</f>
        <v>67.69312249375804</v>
      </c>
      <c r="AE53" s="241">
        <v>30</v>
      </c>
      <c r="AF53" s="244">
        <f t="shared" si="2"/>
        <v>126.56279999999998</v>
      </c>
      <c r="AG53" s="1281"/>
      <c r="AI53" s="1282">
        <f t="shared" si="3"/>
        <v>12.837469654876163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654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5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59" t="s">
        <v>442</v>
      </c>
      <c r="F55" s="241">
        <v>177.8</v>
      </c>
      <c r="G55" s="241" t="s">
        <v>28</v>
      </c>
      <c r="H55" s="241" t="s">
        <v>687</v>
      </c>
      <c r="I55" s="1659">
        <v>515.54</v>
      </c>
      <c r="J55" s="241">
        <v>95</v>
      </c>
      <c r="K55" s="241"/>
      <c r="L55" s="1277">
        <v>423</v>
      </c>
      <c r="M55" s="241"/>
      <c r="N55" s="1278">
        <v>3.1</v>
      </c>
      <c r="O55" s="241"/>
      <c r="P55" s="1278">
        <f t="shared" si="5"/>
        <v>12.141849745826347</v>
      </c>
      <c r="Q55" s="1325">
        <f>J55*20/100</f>
        <v>19</v>
      </c>
      <c r="R55" s="244">
        <v>2.8519999999999999</v>
      </c>
      <c r="S55" s="244">
        <v>20.600999999999999</v>
      </c>
      <c r="T55" s="1277">
        <v>17</v>
      </c>
      <c r="U55" s="1278">
        <f t="shared" si="13"/>
        <v>5.9607293127629735</v>
      </c>
      <c r="V55" s="1278">
        <f t="shared" si="6"/>
        <v>86.156011844085228</v>
      </c>
      <c r="W55" s="1279">
        <v>0</v>
      </c>
      <c r="X55" s="1316">
        <v>95</v>
      </c>
      <c r="Y55" s="1277">
        <f t="shared" si="4"/>
        <v>108.42631578947368</v>
      </c>
      <c r="Z55" s="244">
        <f t="shared" si="16"/>
        <v>2.8177759999999998</v>
      </c>
      <c r="AA55" s="244">
        <f t="shared" si="16"/>
        <v>20.353787999999998</v>
      </c>
      <c r="AB55" s="1277">
        <f t="shared" si="16"/>
        <v>16.795999999999999</v>
      </c>
      <c r="AC55" s="1278">
        <f t="shared" ref="AC55" si="20">IF(Z55=0,0,AB55/Z55)</f>
        <v>5.9607293127629735</v>
      </c>
      <c r="AD55" s="1278">
        <f t="shared" ref="AD55" si="21">(AA55-Z55)/AA55*100</f>
        <v>86.156011844085242</v>
      </c>
      <c r="AE55" s="241">
        <f t="shared" si="15"/>
        <v>30</v>
      </c>
      <c r="AF55" s="244">
        <f t="shared" si="2"/>
        <v>84.533279999999991</v>
      </c>
      <c r="AG55" s="1281"/>
      <c r="AI55" s="1282">
        <f t="shared" si="3"/>
        <v>12.141849745826347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654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5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4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3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374</v>
      </c>
      <c r="M57" s="1275"/>
      <c r="N57" s="1278">
        <v>2.8</v>
      </c>
      <c r="O57" s="1275"/>
      <c r="P57" s="1278">
        <f t="shared" si="5"/>
        <v>20.938514487984989</v>
      </c>
      <c r="Q57" s="1278">
        <f>J57*14/100</f>
        <v>10.5</v>
      </c>
      <c r="R57" s="1459">
        <v>7.056</v>
      </c>
      <c r="S57" s="244">
        <v>13.131</v>
      </c>
      <c r="T57" s="1323">
        <v>8.6999999999999993</v>
      </c>
      <c r="U57" s="1278">
        <f t="shared" si="13"/>
        <v>1.2329931972789114</v>
      </c>
      <c r="V57" s="1278">
        <f t="shared" ref="V57:V86" si="22">(S57-R57)/S57*100</f>
        <v>46.264564770390685</v>
      </c>
      <c r="W57" s="1460">
        <v>0.2</v>
      </c>
      <c r="X57" s="1453">
        <v>75</v>
      </c>
      <c r="Y57" s="1277">
        <f t="shared" si="4"/>
        <v>125.05714285714286</v>
      </c>
      <c r="Z57" s="244">
        <f t="shared" ref="Z57:AB61" si="23">R57*0.988</f>
        <v>6.9713279999999997</v>
      </c>
      <c r="AA57" s="244">
        <f t="shared" si="23"/>
        <v>12.973428</v>
      </c>
      <c r="AB57" s="1277">
        <f t="shared" si="23"/>
        <v>8.5955999999999992</v>
      </c>
      <c r="AC57" s="1459">
        <f t="shared" ref="AC57:AD59" si="24">U57</f>
        <v>1.2329931972789114</v>
      </c>
      <c r="AD57" s="1277">
        <f t="shared" si="24"/>
        <v>46.264564770390685</v>
      </c>
      <c r="AE57" s="241">
        <f t="shared" si="15"/>
        <v>30</v>
      </c>
      <c r="AF57" s="1459">
        <f t="shared" si="2"/>
        <v>209.13983999999999</v>
      </c>
      <c r="AG57" s="1285"/>
      <c r="AI57" s="1282">
        <f t="shared" si="3"/>
        <v>20.938514487984989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59">
        <v>589.64</v>
      </c>
      <c r="J58" s="1448">
        <v>85</v>
      </c>
      <c r="K58" s="241"/>
      <c r="L58" s="1277">
        <v>289</v>
      </c>
      <c r="M58" s="241"/>
      <c r="N58" s="1278">
        <v>2.7</v>
      </c>
      <c r="O58" s="241"/>
      <c r="P58" s="1278">
        <f t="shared" si="5"/>
        <v>32.017696441566073</v>
      </c>
      <c r="Q58" s="1325">
        <f>J58*20/100</f>
        <v>17</v>
      </c>
      <c r="R58" s="244">
        <v>2.4580000000000002</v>
      </c>
      <c r="S58" s="244">
        <v>15.343</v>
      </c>
      <c r="T58" s="1277">
        <v>7</v>
      </c>
      <c r="U58" s="1278">
        <f t="shared" si="13"/>
        <v>2.8478437754271764</v>
      </c>
      <c r="V58" s="1278">
        <f t="shared" si="22"/>
        <v>83.979664993808242</v>
      </c>
      <c r="W58" s="1279">
        <v>0</v>
      </c>
      <c r="X58" s="1449">
        <v>85</v>
      </c>
      <c r="Y58" s="1277">
        <f t="shared" si="4"/>
        <v>90.252941176470586</v>
      </c>
      <c r="Z58" s="244">
        <f t="shared" si="23"/>
        <v>2.4285040000000002</v>
      </c>
      <c r="AA58" s="244">
        <f t="shared" si="23"/>
        <v>15.158884</v>
      </c>
      <c r="AB58" s="1277">
        <f t="shared" si="23"/>
        <v>6.9160000000000004</v>
      </c>
      <c r="AC58" s="1459">
        <f t="shared" si="24"/>
        <v>2.8478437754271764</v>
      </c>
      <c r="AD58" s="1277">
        <f t="shared" si="24"/>
        <v>83.979664993808242</v>
      </c>
      <c r="AE58" s="241">
        <f t="shared" si="15"/>
        <v>30</v>
      </c>
      <c r="AF58" s="244">
        <f t="shared" si="2"/>
        <v>72.855119999999999</v>
      </c>
      <c r="AG58" s="1281"/>
      <c r="AI58" s="1282">
        <f t="shared" si="3"/>
        <v>32.017696441566073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660">
        <v>560.83000000000004</v>
      </c>
      <c r="J59" s="241">
        <v>90</v>
      </c>
      <c r="K59" s="241"/>
      <c r="L59" s="1277">
        <v>306</v>
      </c>
      <c r="M59" s="241"/>
      <c r="N59" s="1278">
        <v>0</v>
      </c>
      <c r="O59" s="241"/>
      <c r="P59" s="1278">
        <f t="shared" si="5"/>
        <v>23.988317023221366</v>
      </c>
      <c r="Q59" s="1325">
        <f>J59*15/100</f>
        <v>13.5</v>
      </c>
      <c r="R59" s="244">
        <v>6.9089999999999998</v>
      </c>
      <c r="S59" s="244">
        <v>13.574999999999999</v>
      </c>
      <c r="T59" s="1277">
        <v>14.5</v>
      </c>
      <c r="U59" s="1278">
        <f t="shared" si="13"/>
        <v>2.0987118251555943</v>
      </c>
      <c r="V59" s="1278">
        <f t="shared" si="22"/>
        <v>49.104972375690608</v>
      </c>
      <c r="W59" s="1279">
        <v>0.2</v>
      </c>
      <c r="X59" s="1316">
        <v>90</v>
      </c>
      <c r="Y59" s="1277">
        <f t="shared" si="4"/>
        <v>100.55555555555556</v>
      </c>
      <c r="Z59" s="244">
        <f t="shared" si="23"/>
        <v>6.826092</v>
      </c>
      <c r="AA59" s="244">
        <f t="shared" si="23"/>
        <v>13.412099999999999</v>
      </c>
      <c r="AB59" s="1277">
        <f t="shared" si="23"/>
        <v>14.326000000000001</v>
      </c>
      <c r="AC59" s="244">
        <f t="shared" si="24"/>
        <v>2.0987118251555943</v>
      </c>
      <c r="AD59" s="1277">
        <f t="shared" si="24"/>
        <v>49.104972375690608</v>
      </c>
      <c r="AE59" s="241">
        <f t="shared" si="15"/>
        <v>30</v>
      </c>
      <c r="AF59" s="244">
        <f t="shared" si="2"/>
        <v>204.78276</v>
      </c>
      <c r="AG59" s="1281"/>
      <c r="AI59" s="1282">
        <f t="shared" si="3"/>
        <v>23.988317023221366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654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5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3"/>
        <v>0</v>
      </c>
      <c r="V60" s="1278" t="e">
        <f t="shared" si="22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2"/>
        <v>0</v>
      </c>
      <c r="AG60" s="1281" t="s">
        <v>772</v>
      </c>
      <c r="AI60" s="1282" t="e">
        <f t="shared" si="3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60">
        <v>551.66</v>
      </c>
      <c r="J61" s="241">
        <v>90</v>
      </c>
      <c r="K61" s="241"/>
      <c r="L61" s="1277">
        <v>380</v>
      </c>
      <c r="M61" s="241"/>
      <c r="N61" s="1278">
        <v>2.2000000000000002</v>
      </c>
      <c r="O61" s="241"/>
      <c r="P61" s="1278">
        <f t="shared" si="5"/>
        <v>18.836900570387488</v>
      </c>
      <c r="Q61" s="1278">
        <f>14*J61/100</f>
        <v>12.6</v>
      </c>
      <c r="R61" s="244">
        <v>1.4490000000000001</v>
      </c>
      <c r="S61" s="244">
        <v>5.8170000000000002</v>
      </c>
      <c r="T61" s="1277">
        <v>26</v>
      </c>
      <c r="U61" s="1278">
        <f t="shared" si="13"/>
        <v>17.943409247757074</v>
      </c>
      <c r="V61" s="1278">
        <f t="shared" si="22"/>
        <v>75.090252707581229</v>
      </c>
      <c r="W61" s="1279">
        <v>0.2</v>
      </c>
      <c r="X61" s="1316">
        <v>90</v>
      </c>
      <c r="Y61" s="1277">
        <f t="shared" si="4"/>
        <v>46.166666666666664</v>
      </c>
      <c r="Z61" s="244">
        <f t="shared" si="23"/>
        <v>1.4316120000000001</v>
      </c>
      <c r="AA61" s="244">
        <f t="shared" si="23"/>
        <v>5.7471959999999997</v>
      </c>
      <c r="AB61" s="1277">
        <f t="shared" si="23"/>
        <v>25.687999999999999</v>
      </c>
      <c r="AC61" s="244">
        <f>U61</f>
        <v>17.943409247757074</v>
      </c>
      <c r="AD61" s="1277">
        <f>V61</f>
        <v>75.090252707581229</v>
      </c>
      <c r="AE61" s="241">
        <f t="shared" si="15"/>
        <v>30</v>
      </c>
      <c r="AF61" s="244">
        <f t="shared" si="2"/>
        <v>42.948360000000001</v>
      </c>
      <c r="AG61" s="1281"/>
      <c r="AI61" s="1282">
        <f t="shared" si="3"/>
        <v>18.836900570387488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654">
        <v>506.61000000000013</v>
      </c>
      <c r="J62" s="241"/>
      <c r="K62" s="241"/>
      <c r="L62" s="1319"/>
      <c r="M62" s="1278"/>
      <c r="N62" s="1278"/>
      <c r="O62" s="241"/>
      <c r="P62" s="1278">
        <f t="shared" si="5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4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3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60" t="s">
        <v>692</v>
      </c>
      <c r="F63" s="241">
        <v>177.8</v>
      </c>
      <c r="G63" s="241" t="s">
        <v>28</v>
      </c>
      <c r="H63" s="1299" t="s">
        <v>683</v>
      </c>
      <c r="I63" s="1660">
        <v>545.4</v>
      </c>
      <c r="J63" s="241">
        <v>70</v>
      </c>
      <c r="K63" s="241"/>
      <c r="L63" s="1277">
        <v>25</v>
      </c>
      <c r="M63" s="241">
        <v>0</v>
      </c>
      <c r="N63" s="1278">
        <v>0</v>
      </c>
      <c r="O63" s="241"/>
      <c r="P63" s="1278">
        <f t="shared" si="5"/>
        <v>46.427026521407633</v>
      </c>
      <c r="Q63" s="1278">
        <f>J63*13/100</f>
        <v>9.1</v>
      </c>
      <c r="R63" s="244">
        <v>1.6439999999999999</v>
      </c>
      <c r="S63" s="244">
        <v>2.0630000000000002</v>
      </c>
      <c r="T63" s="1277">
        <v>51</v>
      </c>
      <c r="U63" s="1278">
        <v>0</v>
      </c>
      <c r="V63" s="1278">
        <f t="shared" si="22"/>
        <v>20.310227823557938</v>
      </c>
      <c r="W63" s="1279">
        <v>0.2</v>
      </c>
      <c r="X63" s="1316">
        <v>70</v>
      </c>
      <c r="Y63" s="1277">
        <f t="shared" si="4"/>
        <v>22.670329670329672</v>
      </c>
      <c r="Z63" s="244">
        <f t="shared" ref="Z63:AB75" si="25">R63*0.988</f>
        <v>1.6242719999999999</v>
      </c>
      <c r="AA63" s="244">
        <f t="shared" si="25"/>
        <v>2.0382440000000002</v>
      </c>
      <c r="AB63" s="1277">
        <f t="shared" si="25"/>
        <v>50.387999999999998</v>
      </c>
      <c r="AC63" s="244">
        <f t="shared" ref="AC63:AD70" si="26">U63</f>
        <v>0</v>
      </c>
      <c r="AD63" s="1277">
        <f t="shared" si="26"/>
        <v>20.310227823557938</v>
      </c>
      <c r="AE63" s="241">
        <f t="shared" si="15"/>
        <v>30</v>
      </c>
      <c r="AF63" s="244">
        <f t="shared" si="2"/>
        <v>48.728159999999995</v>
      </c>
      <c r="AG63" s="1281"/>
      <c r="AI63" s="1282">
        <f t="shared" si="3"/>
        <v>46.427026521407633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60">
        <v>674.45</v>
      </c>
      <c r="E64" s="1660" t="s">
        <v>232</v>
      </c>
      <c r="F64" s="241">
        <v>177.8</v>
      </c>
      <c r="G64" s="241" t="s">
        <v>28</v>
      </c>
      <c r="H64" s="1299" t="s">
        <v>464</v>
      </c>
      <c r="I64" s="1660">
        <v>542.6</v>
      </c>
      <c r="J64" s="1660">
        <v>130</v>
      </c>
      <c r="K64" s="1660"/>
      <c r="L64" s="1319">
        <v>466</v>
      </c>
      <c r="M64" s="1660"/>
      <c r="N64" s="1278">
        <v>2</v>
      </c>
      <c r="O64" s="1660"/>
      <c r="P64" s="1278">
        <f t="shared" si="5"/>
        <v>9.1394977172158001</v>
      </c>
      <c r="Q64" s="1278">
        <f>RIGHT(H64,(FIND("T",H64,1)-0))*J64/100</f>
        <v>18.2</v>
      </c>
      <c r="R64" s="244">
        <v>6.2329999999999997</v>
      </c>
      <c r="S64" s="244">
        <v>8.4909999999999997</v>
      </c>
      <c r="T64" s="1319">
        <v>27</v>
      </c>
      <c r="U64" s="1278">
        <f t="shared" si="13"/>
        <v>4.3317824482592657</v>
      </c>
      <c r="V64" s="1278">
        <f t="shared" si="22"/>
        <v>26.592863031445063</v>
      </c>
      <c r="W64" s="1279">
        <v>0.2</v>
      </c>
      <c r="X64" s="1410">
        <v>130</v>
      </c>
      <c r="Y64" s="1277">
        <f t="shared" si="4"/>
        <v>46.653846153846153</v>
      </c>
      <c r="Z64" s="244">
        <f t="shared" si="25"/>
        <v>6.1582039999999996</v>
      </c>
      <c r="AA64" s="244">
        <f t="shared" si="25"/>
        <v>8.3891080000000002</v>
      </c>
      <c r="AB64" s="1277">
        <f t="shared" si="25"/>
        <v>26.675999999999998</v>
      </c>
      <c r="AC64" s="244">
        <f t="shared" si="26"/>
        <v>4.3317824482592657</v>
      </c>
      <c r="AD64" s="1277">
        <f t="shared" si="26"/>
        <v>26.592863031445063</v>
      </c>
      <c r="AE64" s="241">
        <f t="shared" si="15"/>
        <v>30</v>
      </c>
      <c r="AF64" s="244">
        <f>Z64*AE64</f>
        <v>184.74611999999999</v>
      </c>
      <c r="AG64" s="1342"/>
      <c r="AI64" s="1282">
        <f t="shared" si="3"/>
        <v>9.1394977172158001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60">
        <v>678.47</v>
      </c>
      <c r="E65" s="1660" t="s">
        <v>606</v>
      </c>
      <c r="F65" s="241">
        <v>177.8</v>
      </c>
      <c r="G65" s="241" t="s">
        <v>28</v>
      </c>
      <c r="H65" s="1299" t="s">
        <v>466</v>
      </c>
      <c r="I65" s="1660">
        <v>574.4</v>
      </c>
      <c r="J65" s="1373">
        <v>0</v>
      </c>
      <c r="K65" s="1660"/>
      <c r="L65" s="1319">
        <v>0</v>
      </c>
      <c r="M65" s="1660"/>
      <c r="N65" s="1278">
        <v>0</v>
      </c>
      <c r="O65" s="1660"/>
      <c r="P65" s="1278" t="e">
        <f t="shared" si="5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3"/>
        <v>0</v>
      </c>
      <c r="V65" s="1278" t="e">
        <f t="shared" si="22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7">Z65*AE65</f>
        <v>0</v>
      </c>
      <c r="AG65" s="1281" t="s">
        <v>771</v>
      </c>
      <c r="AI65" s="1282" t="e">
        <f t="shared" si="3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60">
        <v>541.12</v>
      </c>
      <c r="J66" s="241">
        <v>175</v>
      </c>
      <c r="K66" s="241"/>
      <c r="L66" s="1277">
        <v>445</v>
      </c>
      <c r="M66" s="241"/>
      <c r="N66" s="1278">
        <v>3.4</v>
      </c>
      <c r="O66" s="241"/>
      <c r="P66" s="1278">
        <f t="shared" si="5"/>
        <v>12.788176017180957</v>
      </c>
      <c r="Q66" s="1278">
        <f>20*J66/100</f>
        <v>35</v>
      </c>
      <c r="R66" s="244">
        <v>6.2039999999999997</v>
      </c>
      <c r="S66" s="244">
        <v>20.709</v>
      </c>
      <c r="T66" s="1277">
        <v>90</v>
      </c>
      <c r="U66" s="1278">
        <f t="shared" si="13"/>
        <v>14.506769825918763</v>
      </c>
      <c r="V66" s="1278">
        <f t="shared" si="22"/>
        <v>70.042010719976815</v>
      </c>
      <c r="W66" s="1279">
        <v>0.2</v>
      </c>
      <c r="X66" s="1316">
        <v>175</v>
      </c>
      <c r="Y66" s="1277">
        <f t="shared" si="4"/>
        <v>59.168571428571425</v>
      </c>
      <c r="Z66" s="244">
        <f t="shared" si="25"/>
        <v>6.1295519999999994</v>
      </c>
      <c r="AA66" s="244">
        <f t="shared" si="25"/>
        <v>20.460491999999999</v>
      </c>
      <c r="AB66" s="1277">
        <f t="shared" si="25"/>
        <v>88.92</v>
      </c>
      <c r="AC66" s="244">
        <f t="shared" si="26"/>
        <v>14.506769825918763</v>
      </c>
      <c r="AD66" s="1277">
        <f t="shared" si="26"/>
        <v>70.042010719976815</v>
      </c>
      <c r="AE66" s="241">
        <f t="shared" si="15"/>
        <v>30</v>
      </c>
      <c r="AF66" s="244">
        <f t="shared" si="27"/>
        <v>183.88655999999997</v>
      </c>
      <c r="AG66" s="1285"/>
      <c r="AI66" s="1282">
        <f t="shared" si="3"/>
        <v>12.788176017180957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60">
        <v>521.42999999999995</v>
      </c>
      <c r="J67" s="241">
        <v>300</v>
      </c>
      <c r="K67" s="241"/>
      <c r="L67" s="1277">
        <v>456</v>
      </c>
      <c r="M67" s="241"/>
      <c r="N67" s="1278">
        <v>5.0999999999999996</v>
      </c>
      <c r="O67" s="241"/>
      <c r="P67" s="1278">
        <f t="shared" si="5"/>
        <v>11.245670426982395</v>
      </c>
      <c r="Q67" s="1278">
        <f>J67*14/100</f>
        <v>42</v>
      </c>
      <c r="R67" s="244">
        <v>7.7270000000000003</v>
      </c>
      <c r="S67" s="244">
        <v>11.912000000000001</v>
      </c>
      <c r="T67" s="1277">
        <v>273</v>
      </c>
      <c r="U67" s="1278">
        <f t="shared" si="13"/>
        <v>35.330658729131613</v>
      </c>
      <c r="V67" s="1278">
        <f t="shared" si="22"/>
        <v>35.132639355271991</v>
      </c>
      <c r="W67" s="1279">
        <v>0.2</v>
      </c>
      <c r="X67" s="1316">
        <v>300</v>
      </c>
      <c r="Y67" s="1277">
        <f t="shared" si="4"/>
        <v>28.361904761904768</v>
      </c>
      <c r="Z67" s="244">
        <f t="shared" si="25"/>
        <v>7.6342759999999998</v>
      </c>
      <c r="AA67" s="244">
        <f t="shared" si="25"/>
        <v>11.769056000000001</v>
      </c>
      <c r="AB67" s="1277">
        <f t="shared" si="25"/>
        <v>269.72399999999999</v>
      </c>
      <c r="AC67" s="244">
        <f t="shared" si="26"/>
        <v>35.330658729131613</v>
      </c>
      <c r="AD67" s="1277">
        <f t="shared" si="26"/>
        <v>35.132639355271991</v>
      </c>
      <c r="AE67" s="241">
        <f t="shared" si="15"/>
        <v>30</v>
      </c>
      <c r="AF67" s="244">
        <f t="shared" si="27"/>
        <v>229.02828</v>
      </c>
      <c r="AG67" s="1285"/>
      <c r="AI67" s="1282">
        <f t="shared" si="3"/>
        <v>11.245670426982395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60" t="s">
        <v>607</v>
      </c>
      <c r="F68" s="241">
        <v>177.8</v>
      </c>
      <c r="G68" s="241" t="s">
        <v>28</v>
      </c>
      <c r="H68" s="241" t="s">
        <v>464</v>
      </c>
      <c r="I68" s="1660">
        <v>512.28</v>
      </c>
      <c r="J68" s="241">
        <v>175</v>
      </c>
      <c r="K68" s="241"/>
      <c r="L68" s="1277">
        <v>395</v>
      </c>
      <c r="M68" s="241"/>
      <c r="N68" s="1278">
        <v>2.8</v>
      </c>
      <c r="O68" s="241"/>
      <c r="P68" s="1278">
        <f t="shared" si="5"/>
        <v>13.957422415579899</v>
      </c>
      <c r="Q68" s="1278">
        <f>J68*14/100</f>
        <v>24.5</v>
      </c>
      <c r="R68" s="244">
        <v>4.9649999999999999</v>
      </c>
      <c r="S68" s="244">
        <v>9.66</v>
      </c>
      <c r="T68" s="1277">
        <v>54</v>
      </c>
      <c r="U68" s="1278">
        <f t="shared" si="13"/>
        <v>10.876132930513595</v>
      </c>
      <c r="V68" s="1278">
        <f t="shared" si="22"/>
        <v>48.602484472049689</v>
      </c>
      <c r="W68" s="1279">
        <v>0.2</v>
      </c>
      <c r="X68" s="1316">
        <v>175</v>
      </c>
      <c r="Y68" s="1277">
        <f t="shared" si="4"/>
        <v>39.428571428571431</v>
      </c>
      <c r="Z68" s="244">
        <f t="shared" si="25"/>
        <v>4.9054199999999994</v>
      </c>
      <c r="AA68" s="244">
        <f t="shared" si="25"/>
        <v>9.5440799999999992</v>
      </c>
      <c r="AB68" s="1277">
        <f t="shared" si="25"/>
        <v>53.351999999999997</v>
      </c>
      <c r="AC68" s="244">
        <f t="shared" si="26"/>
        <v>10.876132930513595</v>
      </c>
      <c r="AD68" s="1277">
        <f t="shared" si="26"/>
        <v>48.602484472049689</v>
      </c>
      <c r="AE68" s="241">
        <f t="shared" si="15"/>
        <v>30</v>
      </c>
      <c r="AF68" s="244">
        <f t="shared" si="27"/>
        <v>147.1626</v>
      </c>
      <c r="AG68" s="1285"/>
      <c r="AI68" s="1282">
        <f t="shared" si="3"/>
        <v>13.957422415579899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60">
        <v>539.28</v>
      </c>
      <c r="J69" s="241">
        <v>85</v>
      </c>
      <c r="K69" s="241"/>
      <c r="L69" s="1277">
        <v>275</v>
      </c>
      <c r="M69" s="241"/>
      <c r="N69" s="1278">
        <v>3.6</v>
      </c>
      <c r="O69" s="241"/>
      <c r="P69" s="1278">
        <f t="shared" si="5"/>
        <v>29.390619409460893</v>
      </c>
      <c r="Q69" s="1278">
        <f>J69*13/100</f>
        <v>11.05</v>
      </c>
      <c r="R69" s="244">
        <v>0.65400000000000003</v>
      </c>
      <c r="S69" s="244">
        <v>4.4189999999999996</v>
      </c>
      <c r="T69" s="1277">
        <v>12</v>
      </c>
      <c r="U69" s="1278">
        <f t="shared" si="13"/>
        <v>18.348623853211009</v>
      </c>
      <c r="V69" s="1278">
        <f t="shared" si="22"/>
        <v>85.200271554650371</v>
      </c>
      <c r="W69" s="1279">
        <v>0.2</v>
      </c>
      <c r="X69" s="1316">
        <v>85</v>
      </c>
      <c r="Y69" s="1277">
        <f t="shared" si="4"/>
        <v>39.990950226244337</v>
      </c>
      <c r="Z69" s="244">
        <f t="shared" si="25"/>
        <v>0.64615200000000006</v>
      </c>
      <c r="AA69" s="244">
        <f t="shared" si="25"/>
        <v>4.3659719999999993</v>
      </c>
      <c r="AB69" s="1277">
        <f t="shared" si="25"/>
        <v>11.856</v>
      </c>
      <c r="AC69" s="244">
        <f t="shared" si="26"/>
        <v>18.348623853211009</v>
      </c>
      <c r="AD69" s="1277">
        <f t="shared" si="26"/>
        <v>85.200271554650371</v>
      </c>
      <c r="AE69" s="241">
        <f t="shared" si="15"/>
        <v>30</v>
      </c>
      <c r="AF69" s="244">
        <f>Z69*AE69</f>
        <v>19.38456</v>
      </c>
      <c r="AG69" s="1281"/>
      <c r="AI69" s="1282">
        <f t="shared" si="3"/>
        <v>29.390619409460893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60">
        <v>541.46</v>
      </c>
      <c r="J70" s="241">
        <v>100</v>
      </c>
      <c r="K70" s="241"/>
      <c r="L70" s="1277">
        <v>261</v>
      </c>
      <c r="M70" s="241"/>
      <c r="N70" s="1278">
        <v>5.3</v>
      </c>
      <c r="O70" s="241"/>
      <c r="P70" s="1278">
        <f t="shared" si="5"/>
        <v>32.58742434792881</v>
      </c>
      <c r="Q70" s="1278">
        <f>(32/100)*J70</f>
        <v>32</v>
      </c>
      <c r="R70" s="244">
        <v>4.9359999999999999</v>
      </c>
      <c r="S70" s="244">
        <v>30.977</v>
      </c>
      <c r="T70" s="1277">
        <v>43</v>
      </c>
      <c r="U70" s="1278">
        <f t="shared" si="13"/>
        <v>8.7115072933549431</v>
      </c>
      <c r="V70" s="1278">
        <f t="shared" si="22"/>
        <v>84.065597055880176</v>
      </c>
      <c r="W70" s="1279">
        <v>0.2</v>
      </c>
      <c r="X70" s="1316">
        <v>100</v>
      </c>
      <c r="Y70" s="1277">
        <f t="shared" si="4"/>
        <v>96.803124999999994</v>
      </c>
      <c r="Z70" s="244">
        <v>6</v>
      </c>
      <c r="AA70" s="244">
        <f t="shared" si="25"/>
        <v>30.605276</v>
      </c>
      <c r="AB70" s="1277">
        <f t="shared" si="25"/>
        <v>42.484000000000002</v>
      </c>
      <c r="AC70" s="244">
        <f>U70</f>
        <v>8.7115072933549431</v>
      </c>
      <c r="AD70" s="1277">
        <f t="shared" si="26"/>
        <v>84.065597055880176</v>
      </c>
      <c r="AE70" s="241">
        <f t="shared" si="15"/>
        <v>30</v>
      </c>
      <c r="AF70" s="244">
        <f t="shared" si="27"/>
        <v>180</v>
      </c>
      <c r="AG70" s="1285"/>
      <c r="AI70" s="1282">
        <f t="shared" si="3"/>
        <v>32.58742434792881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54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5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3"/>
        <v>0</v>
      </c>
      <c r="V71" s="1278" t="e">
        <f t="shared" si="22"/>
        <v>#DIV/0!</v>
      </c>
      <c r="W71" s="1279">
        <v>0</v>
      </c>
      <c r="X71" s="1449">
        <v>0</v>
      </c>
      <c r="Y71" s="1277">
        <f t="shared" si="4"/>
        <v>0</v>
      </c>
      <c r="Z71" s="244">
        <f t="shared" ref="Z71:AA75" si="28">R71*0.988</f>
        <v>0</v>
      </c>
      <c r="AA71" s="244">
        <f t="shared" si="28"/>
        <v>0</v>
      </c>
      <c r="AB71" s="1277">
        <f t="shared" si="25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7"/>
        <v>0</v>
      </c>
      <c r="AG71" s="1281" t="s">
        <v>769</v>
      </c>
      <c r="AI71" s="1282" t="e">
        <f t="shared" si="3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60">
        <v>512.47</v>
      </c>
      <c r="J72" s="1277">
        <v>245</v>
      </c>
      <c r="K72" s="241"/>
      <c r="L72" s="1277">
        <v>458</v>
      </c>
      <c r="M72" s="241"/>
      <c r="N72" s="1278">
        <v>4.8</v>
      </c>
      <c r="O72" s="241"/>
      <c r="P72" s="1278">
        <f t="shared" si="5"/>
        <v>9.7856441982089564</v>
      </c>
      <c r="Q72" s="1278">
        <f>(32*J72)/100</f>
        <v>78.400000000000006</v>
      </c>
      <c r="R72" s="244">
        <v>14.577999999999999</v>
      </c>
      <c r="S72" s="244">
        <v>17.295999999999999</v>
      </c>
      <c r="T72" s="1277">
        <v>563</v>
      </c>
      <c r="U72" s="1278">
        <f t="shared" si="13"/>
        <v>38.619838112223903</v>
      </c>
      <c r="V72" s="1278">
        <f t="shared" si="22"/>
        <v>15.714616096207216</v>
      </c>
      <c r="W72" s="1279">
        <v>0.2</v>
      </c>
      <c r="X72" s="1454">
        <v>245</v>
      </c>
      <c r="Y72" s="1277">
        <f t="shared" si="4"/>
        <v>22.061224489795915</v>
      </c>
      <c r="Z72" s="244">
        <f t="shared" si="28"/>
        <v>14.403063999999999</v>
      </c>
      <c r="AA72" s="244">
        <f t="shared" si="28"/>
        <v>17.088448</v>
      </c>
      <c r="AB72" s="1277">
        <f t="shared" si="25"/>
        <v>556.24400000000003</v>
      </c>
      <c r="AC72" s="244">
        <f>U72</f>
        <v>38.619838112223903</v>
      </c>
      <c r="AD72" s="1277">
        <f>V72</f>
        <v>15.714616096207216</v>
      </c>
      <c r="AE72" s="241">
        <f t="shared" si="15"/>
        <v>30</v>
      </c>
      <c r="AF72" s="244">
        <f t="shared" si="27"/>
        <v>432.09191999999996</v>
      </c>
      <c r="AG72" s="1281"/>
      <c r="AI72" s="1282">
        <f t="shared" si="3"/>
        <v>9.7856441982089564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60">
        <v>500.41</v>
      </c>
      <c r="J73" s="1448">
        <v>185</v>
      </c>
      <c r="K73" s="241"/>
      <c r="L73" s="1277">
        <v>480</v>
      </c>
      <c r="M73" s="241"/>
      <c r="N73" s="1278">
        <v>4</v>
      </c>
      <c r="O73" s="241"/>
      <c r="P73" s="1278">
        <f t="shared" si="5"/>
        <v>6.061665427422585</v>
      </c>
      <c r="Q73" s="1278">
        <f>J73*32/100</f>
        <v>59.2</v>
      </c>
      <c r="R73" s="244">
        <v>9.2189999999999994</v>
      </c>
      <c r="S73" s="244">
        <v>11.129</v>
      </c>
      <c r="T73" s="1277">
        <v>114</v>
      </c>
      <c r="U73" s="1278">
        <f t="shared" si="13"/>
        <v>12.365766352098927</v>
      </c>
      <c r="V73" s="1278">
        <f t="shared" si="22"/>
        <v>17.162368586575617</v>
      </c>
      <c r="W73" s="1279">
        <v>0.2</v>
      </c>
      <c r="X73" s="1449">
        <v>185</v>
      </c>
      <c r="Y73" s="1277">
        <f t="shared" si="4"/>
        <v>18.798986486486484</v>
      </c>
      <c r="Z73" s="244">
        <f t="shared" si="28"/>
        <v>9.1083719999999992</v>
      </c>
      <c r="AA73" s="244">
        <f t="shared" si="28"/>
        <v>10.995452</v>
      </c>
      <c r="AB73" s="1277">
        <f t="shared" si="25"/>
        <v>112.63200000000001</v>
      </c>
      <c r="AC73" s="244">
        <v>20</v>
      </c>
      <c r="AD73" s="1277">
        <v>17</v>
      </c>
      <c r="AE73" s="241">
        <f t="shared" si="15"/>
        <v>30</v>
      </c>
      <c r="AF73" s="244">
        <f t="shared" si="27"/>
        <v>273.25115999999997</v>
      </c>
      <c r="AG73" s="1281"/>
      <c r="AI73" s="1282">
        <f t="shared" si="3"/>
        <v>6.061665427422585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60">
        <v>549.1</v>
      </c>
      <c r="J74" s="1448">
        <v>185</v>
      </c>
      <c r="K74" s="241"/>
      <c r="L74" s="1277">
        <v>432</v>
      </c>
      <c r="M74" s="241"/>
      <c r="N74" s="1278">
        <v>6.7</v>
      </c>
      <c r="O74" s="241"/>
      <c r="P74" s="1278">
        <f t="shared" si="5"/>
        <v>17.791444043016938</v>
      </c>
      <c r="Q74" s="1278">
        <f>LEFT(H74,(FIND("E",H74,1)-1))*J74/100</f>
        <v>40.700000000000003</v>
      </c>
      <c r="R74" s="244">
        <v>12.933999999999999</v>
      </c>
      <c r="S74" s="244">
        <v>27.183</v>
      </c>
      <c r="T74" s="1277">
        <v>438</v>
      </c>
      <c r="U74" s="1278">
        <f t="shared" si="13"/>
        <v>33.864233802381321</v>
      </c>
      <c r="V74" s="1278">
        <f t="shared" si="22"/>
        <v>52.418791156237354</v>
      </c>
      <c r="W74" s="1279">
        <v>0.2</v>
      </c>
      <c r="X74" s="1449">
        <v>185</v>
      </c>
      <c r="Y74" s="1277">
        <f t="shared" si="4"/>
        <v>66.788697788697789</v>
      </c>
      <c r="Z74" s="244">
        <f t="shared" si="28"/>
        <v>12.778791999999999</v>
      </c>
      <c r="AA74" s="244">
        <f t="shared" si="28"/>
        <v>26.856804</v>
      </c>
      <c r="AB74" s="1277">
        <f t="shared" si="25"/>
        <v>432.74399999999997</v>
      </c>
      <c r="AC74" s="244">
        <f>U74</f>
        <v>33.864233802381321</v>
      </c>
      <c r="AD74" s="1277">
        <f>V74</f>
        <v>52.418791156237354</v>
      </c>
      <c r="AE74" s="241">
        <f t="shared" si="15"/>
        <v>30</v>
      </c>
      <c r="AF74" s="244">
        <f t="shared" si="27"/>
        <v>383.36375999999996</v>
      </c>
      <c r="AG74" s="1285"/>
      <c r="AI74" s="1282">
        <f t="shared" si="3"/>
        <v>17.791444043016938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60">
        <v>542.46</v>
      </c>
      <c r="J75" s="1448">
        <v>85</v>
      </c>
      <c r="K75" s="241"/>
      <c r="L75" s="1277">
        <v>292</v>
      </c>
      <c r="M75" s="241"/>
      <c r="N75" s="1278">
        <v>3.2</v>
      </c>
      <c r="O75" s="241"/>
      <c r="P75" s="1278">
        <f t="shared" si="5"/>
        <v>26.707844923071033</v>
      </c>
      <c r="Q75" s="1278">
        <f>(20/100)*J75</f>
        <v>17</v>
      </c>
      <c r="R75" s="244">
        <v>8.0980000000000008</v>
      </c>
      <c r="S75" s="244">
        <v>17.936</v>
      </c>
      <c r="T75" s="1277">
        <v>140</v>
      </c>
      <c r="U75" s="1278">
        <f t="shared" si="13"/>
        <v>17.288219313410718</v>
      </c>
      <c r="V75" s="1278">
        <f t="shared" si="22"/>
        <v>54.850579839429081</v>
      </c>
      <c r="W75" s="1279">
        <v>0.2</v>
      </c>
      <c r="X75" s="1449">
        <v>85</v>
      </c>
      <c r="Y75" s="1277">
        <f t="shared" si="4"/>
        <v>105.50588235294119</v>
      </c>
      <c r="Z75" s="244">
        <f t="shared" si="28"/>
        <v>8.0008240000000015</v>
      </c>
      <c r="AA75" s="244">
        <f t="shared" si="28"/>
        <v>17.720768</v>
      </c>
      <c r="AB75" s="1277">
        <f t="shared" si="25"/>
        <v>138.32</v>
      </c>
      <c r="AC75" s="244">
        <f>U75</f>
        <v>17.288219313410718</v>
      </c>
      <c r="AD75" s="1277">
        <f>V75</f>
        <v>54.850579839429081</v>
      </c>
      <c r="AE75" s="241">
        <f t="shared" si="15"/>
        <v>30</v>
      </c>
      <c r="AF75" s="244">
        <f t="shared" si="27"/>
        <v>240.02472000000006</v>
      </c>
      <c r="AG75" s="1285"/>
      <c r="AI75" s="1282">
        <f t="shared" si="3"/>
        <v>26.707844923071033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654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5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4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3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774</v>
      </c>
      <c r="F77" s="241">
        <v>177.8</v>
      </c>
      <c r="G77" s="241" t="s">
        <v>28</v>
      </c>
      <c r="H77" s="1299" t="s">
        <v>687</v>
      </c>
      <c r="I77" s="1660">
        <v>560.02</v>
      </c>
      <c r="J77" s="1448">
        <v>100</v>
      </c>
      <c r="K77" s="241"/>
      <c r="L77" s="1277">
        <v>180</v>
      </c>
      <c r="M77" s="241"/>
      <c r="N77" s="1278">
        <v>0</v>
      </c>
      <c r="O77" s="241"/>
      <c r="P77" s="1278">
        <f t="shared" si="5"/>
        <v>37.007807710152413</v>
      </c>
      <c r="Q77" s="1278">
        <f>(20*J77)/100</f>
        <v>20</v>
      </c>
      <c r="R77" s="244">
        <v>1.4550000000000001</v>
      </c>
      <c r="S77" s="244">
        <v>9.4540000000000006</v>
      </c>
      <c r="T77" s="1277">
        <v>0</v>
      </c>
      <c r="U77" s="1278">
        <f t="shared" si="13"/>
        <v>0</v>
      </c>
      <c r="V77" s="1278">
        <f t="shared" si="22"/>
        <v>84.60968902052042</v>
      </c>
      <c r="W77" s="1279">
        <v>0</v>
      </c>
      <c r="X77" s="1449">
        <v>100</v>
      </c>
      <c r="Y77" s="1277">
        <f t="shared" si="4"/>
        <v>47.27</v>
      </c>
      <c r="Z77" s="244">
        <f t="shared" ref="Z77:AB82" si="29">R77*0.988</f>
        <v>1.43754</v>
      </c>
      <c r="AA77" s="244">
        <f t="shared" si="29"/>
        <v>9.3405520000000006</v>
      </c>
      <c r="AB77" s="1277">
        <f t="shared" si="29"/>
        <v>0</v>
      </c>
      <c r="AC77" s="244">
        <f t="shared" ref="AC77:AD81" si="30">U77</f>
        <v>0</v>
      </c>
      <c r="AD77" s="1277">
        <f t="shared" si="30"/>
        <v>84.60968902052042</v>
      </c>
      <c r="AE77" s="241">
        <f t="shared" si="15"/>
        <v>30</v>
      </c>
      <c r="AF77" s="244">
        <f t="shared" ref="AF77:AF83" si="31">Z77*AE77</f>
        <v>43.126200000000004</v>
      </c>
      <c r="AG77" s="1281" t="s">
        <v>780</v>
      </c>
      <c r="AI77" s="1282">
        <f t="shared" si="3"/>
        <v>37.007807710152413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60">
        <v>531.27</v>
      </c>
      <c r="J78" s="1448">
        <v>145</v>
      </c>
      <c r="K78" s="241"/>
      <c r="L78" s="1277">
        <v>297</v>
      </c>
      <c r="M78" s="241"/>
      <c r="N78" s="1278">
        <v>6.7</v>
      </c>
      <c r="O78" s="241"/>
      <c r="P78" s="1278">
        <f t="shared" si="5"/>
        <v>28.901639816796585</v>
      </c>
      <c r="Q78" s="1278">
        <f>(32*J78)/100</f>
        <v>46.4</v>
      </c>
      <c r="R78" s="244">
        <v>11.342000000000001</v>
      </c>
      <c r="S78" s="244">
        <v>29.901</v>
      </c>
      <c r="T78" s="1277">
        <v>191</v>
      </c>
      <c r="U78" s="1278">
        <f t="shared" si="13"/>
        <v>16.84006348086757</v>
      </c>
      <c r="V78" s="1278">
        <f t="shared" si="22"/>
        <v>62.068158255576733</v>
      </c>
      <c r="W78" s="1279">
        <v>0.2</v>
      </c>
      <c r="X78" s="1449">
        <v>145</v>
      </c>
      <c r="Y78" s="1277">
        <f t="shared" si="4"/>
        <v>64.441810344827587</v>
      </c>
      <c r="Z78" s="244">
        <f t="shared" si="29"/>
        <v>11.205896000000001</v>
      </c>
      <c r="AA78" s="244">
        <f t="shared" si="29"/>
        <v>29.542187999999999</v>
      </c>
      <c r="AB78" s="1277">
        <f t="shared" si="29"/>
        <v>188.708</v>
      </c>
      <c r="AC78" s="244">
        <f t="shared" si="30"/>
        <v>16.84006348086757</v>
      </c>
      <c r="AD78" s="1277">
        <f t="shared" si="30"/>
        <v>62.068158255576733</v>
      </c>
      <c r="AE78" s="241">
        <f t="shared" si="15"/>
        <v>30</v>
      </c>
      <c r="AF78" s="244">
        <f t="shared" si="31"/>
        <v>336.17688000000004</v>
      </c>
      <c r="AG78" s="1285"/>
      <c r="AI78" s="1282">
        <f t="shared" si="3"/>
        <v>28.901639816796585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54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5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13"/>
        <v>0</v>
      </c>
      <c r="V79" s="1278" t="e">
        <f t="shared" si="22"/>
        <v>#DIV/0!</v>
      </c>
      <c r="W79" s="1279">
        <v>0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31"/>
        <v>0</v>
      </c>
      <c r="AG79" s="1281" t="s">
        <v>772</v>
      </c>
      <c r="AI79" s="1282" t="e">
        <f t="shared" si="3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60">
        <v>572.76</v>
      </c>
      <c r="J80" s="1448">
        <v>95</v>
      </c>
      <c r="K80" s="241"/>
      <c r="L80" s="1277">
        <v>537</v>
      </c>
      <c r="M80" s="241"/>
      <c r="N80" s="1278">
        <v>20.5</v>
      </c>
      <c r="O80" s="241"/>
      <c r="P80" s="1278">
        <f t="shared" si="5"/>
        <v>23.731293862332297</v>
      </c>
      <c r="Q80" s="1278">
        <f>(32/100)*J80</f>
        <v>30.400000000000002</v>
      </c>
      <c r="R80" s="244">
        <v>9.8369999999999997</v>
      </c>
      <c r="S80" s="244">
        <v>10.535</v>
      </c>
      <c r="T80" s="1277">
        <v>690</v>
      </c>
      <c r="U80" s="1278">
        <f t="shared" si="13"/>
        <v>70.143336383043618</v>
      </c>
      <c r="V80" s="1278">
        <f t="shared" si="22"/>
        <v>6.6255339345040385</v>
      </c>
      <c r="W80" s="1279">
        <v>0.2</v>
      </c>
      <c r="X80" s="1449">
        <v>95</v>
      </c>
      <c r="Y80" s="1277">
        <f t="shared" si="4"/>
        <v>34.654605263157897</v>
      </c>
      <c r="Z80" s="244">
        <f t="shared" si="29"/>
        <v>9.7189560000000004</v>
      </c>
      <c r="AA80" s="244">
        <f t="shared" si="29"/>
        <v>10.408580000000001</v>
      </c>
      <c r="AB80" s="1277">
        <f t="shared" si="29"/>
        <v>681.72</v>
      </c>
      <c r="AC80" s="244">
        <f t="shared" si="30"/>
        <v>70.143336383043618</v>
      </c>
      <c r="AD80" s="1277">
        <f t="shared" si="30"/>
        <v>6.6255339345040385</v>
      </c>
      <c r="AE80" s="241">
        <f t="shared" si="15"/>
        <v>30</v>
      </c>
      <c r="AF80" s="244">
        <f t="shared" si="31"/>
        <v>291.56868000000003</v>
      </c>
      <c r="AG80" s="1285"/>
      <c r="AI80" s="1282">
        <f t="shared" si="3"/>
        <v>23.731293862332297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60">
        <v>664.19</v>
      </c>
      <c r="J81" s="1448">
        <v>165</v>
      </c>
      <c r="K81" s="241"/>
      <c r="L81" s="1277">
        <v>32</v>
      </c>
      <c r="M81" s="241"/>
      <c r="N81" s="1278">
        <v>0.2</v>
      </c>
      <c r="O81" s="241"/>
      <c r="P81" s="1278">
        <f t="shared" si="5"/>
        <v>56.618594599179488</v>
      </c>
      <c r="Q81" s="1278">
        <f>14*J81/100</f>
        <v>23.1</v>
      </c>
      <c r="R81" s="244">
        <v>5.359</v>
      </c>
      <c r="S81" s="244">
        <v>5.8120000000000003</v>
      </c>
      <c r="T81" s="1277">
        <v>500</v>
      </c>
      <c r="U81" s="1278">
        <f t="shared" si="13"/>
        <v>93.300988990483305</v>
      </c>
      <c r="V81" s="1278">
        <f t="shared" si="22"/>
        <v>7.7942188575361362</v>
      </c>
      <c r="W81" s="1279">
        <v>0.2</v>
      </c>
      <c r="X81" s="1449">
        <v>165</v>
      </c>
      <c r="Y81" s="1277">
        <f t="shared" si="4"/>
        <v>25.160173160173159</v>
      </c>
      <c r="Z81" s="244">
        <f t="shared" si="29"/>
        <v>5.2946919999999995</v>
      </c>
      <c r="AA81" s="244">
        <f t="shared" si="29"/>
        <v>5.7422560000000002</v>
      </c>
      <c r="AB81" s="1277">
        <f t="shared" si="29"/>
        <v>494</v>
      </c>
      <c r="AC81" s="244">
        <f t="shared" si="30"/>
        <v>93.300988990483305</v>
      </c>
      <c r="AD81" s="1277">
        <f t="shared" si="30"/>
        <v>7.7942188575361362</v>
      </c>
      <c r="AE81" s="241">
        <f t="shared" si="15"/>
        <v>30</v>
      </c>
      <c r="AF81" s="244">
        <f t="shared" si="31"/>
        <v>158.84075999999999</v>
      </c>
      <c r="AG81" s="1281"/>
      <c r="AI81" s="1282">
        <f t="shared" si="3"/>
        <v>56.618594599179488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654">
        <v>700</v>
      </c>
      <c r="E82" s="1654" t="s">
        <v>547</v>
      </c>
      <c r="F82" s="241">
        <v>177.8</v>
      </c>
      <c r="G82" s="241" t="s">
        <v>28</v>
      </c>
      <c r="H82" s="241" t="s">
        <v>464</v>
      </c>
      <c r="I82" s="1654">
        <v>608.22</v>
      </c>
      <c r="J82" s="1654">
        <v>0</v>
      </c>
      <c r="K82" s="1654"/>
      <c r="L82" s="1319">
        <v>0</v>
      </c>
      <c r="M82" s="1654"/>
      <c r="N82" s="1278">
        <v>0</v>
      </c>
      <c r="O82" s="1654"/>
      <c r="P82" s="1278">
        <f t="shared" si="5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4"/>
        <v>0</v>
      </c>
      <c r="Z82" s="244">
        <f t="shared" si="29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54">
        <v>619.66</v>
      </c>
      <c r="E83" s="1654" t="s">
        <v>613</v>
      </c>
      <c r="F83" s="241">
        <v>177.8</v>
      </c>
      <c r="G83" s="241" t="s">
        <v>28</v>
      </c>
      <c r="H83" s="1299" t="s">
        <v>687</v>
      </c>
      <c r="I83" s="1654">
        <v>595.26</v>
      </c>
      <c r="J83" s="1654">
        <v>0</v>
      </c>
      <c r="K83" s="1654"/>
      <c r="L83" s="1319">
        <v>0</v>
      </c>
      <c r="M83" s="1654"/>
      <c r="N83" s="1278">
        <v>0</v>
      </c>
      <c r="O83" s="1654"/>
      <c r="P83" s="1278" t="e">
        <f t="shared" si="5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3"/>
        <v>0</v>
      </c>
      <c r="V83" s="1278" t="e">
        <f t="shared" si="22"/>
        <v>#DIV/0!</v>
      </c>
      <c r="W83" s="1279">
        <v>0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31"/>
        <v>0</v>
      </c>
      <c r="AG83" s="1281" t="s">
        <v>780</v>
      </c>
      <c r="AI83" s="1282" t="e">
        <f t="shared" ref="AI83:AI86" si="32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654">
        <v>689.4</v>
      </c>
      <c r="E84" s="1654" t="s">
        <v>616</v>
      </c>
      <c r="F84" s="241">
        <v>177.8</v>
      </c>
      <c r="G84" s="241" t="s">
        <v>28</v>
      </c>
      <c r="H84" s="1299" t="s">
        <v>466</v>
      </c>
      <c r="I84" s="1654">
        <v>604.96</v>
      </c>
      <c r="J84" s="1654">
        <v>0</v>
      </c>
      <c r="K84" s="1654"/>
      <c r="L84" s="1319"/>
      <c r="M84" s="1654"/>
      <c r="N84" s="1278"/>
      <c r="O84" s="1654"/>
      <c r="P84" s="1278">
        <f t="shared" si="5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3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32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654">
        <v>577.12</v>
      </c>
      <c r="E85" s="1654" t="s">
        <v>614</v>
      </c>
      <c r="F85" s="241">
        <v>177.8</v>
      </c>
      <c r="G85" s="241" t="s">
        <v>28</v>
      </c>
      <c r="H85" s="241" t="s">
        <v>464</v>
      </c>
      <c r="I85" s="1654">
        <v>536.91999999999996</v>
      </c>
      <c r="J85" s="1654">
        <v>0</v>
      </c>
      <c r="K85" s="1654"/>
      <c r="L85" s="1319">
        <v>0</v>
      </c>
      <c r="M85" s="1654"/>
      <c r="N85" s="1278">
        <v>0</v>
      </c>
      <c r="O85" s="1654"/>
      <c r="P85" s="1278" t="e">
        <f t="shared" ref="P85:P86" si="34">AI85</f>
        <v>#DIV/0!</v>
      </c>
      <c r="Q85" s="1278">
        <f>RIGHT(H85,(FIND("T",H85,1)-0))*J85/100</f>
        <v>0</v>
      </c>
      <c r="R85" s="244">
        <v>0</v>
      </c>
      <c r="S85" s="244">
        <v>0</v>
      </c>
      <c r="T85" s="1319">
        <v>0</v>
      </c>
      <c r="U85" s="244">
        <f t="shared" ref="U85" si="35">IF(R85=0,0,T85/R85)</f>
        <v>0</v>
      </c>
      <c r="V85" s="1278" t="e">
        <f t="shared" si="22"/>
        <v>#DIV/0!</v>
      </c>
      <c r="W85" s="1279">
        <v>0.2</v>
      </c>
      <c r="X85" s="1410">
        <v>0</v>
      </c>
      <c r="Y85" s="1277">
        <v>0</v>
      </c>
      <c r="Z85" s="244">
        <v>0</v>
      </c>
      <c r="AA85" s="244">
        <v>0</v>
      </c>
      <c r="AB85" s="1277">
        <v>0</v>
      </c>
      <c r="AC85" s="244">
        <v>0</v>
      </c>
      <c r="AD85" s="244">
        <v>0</v>
      </c>
      <c r="AE85" s="241">
        <v>0</v>
      </c>
      <c r="AF85" s="244">
        <f>Z85*AE85</f>
        <v>0</v>
      </c>
      <c r="AG85" s="1281" t="s">
        <v>780</v>
      </c>
      <c r="AI85" s="1282" t="e">
        <f t="shared" si="32"/>
        <v>#DIV/0!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54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4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3"/>
        <v>0</v>
      </c>
      <c r="V86" s="1278" t="e">
        <f t="shared" si="22"/>
        <v>#DIV/0!</v>
      </c>
      <c r="W86" s="1279">
        <v>0</v>
      </c>
      <c r="X86" s="1449">
        <v>0</v>
      </c>
      <c r="Y86" s="1277">
        <f t="shared" si="33"/>
        <v>0</v>
      </c>
      <c r="Z86" s="244">
        <f t="shared" ref="Z86:AB86" si="36">R86*0.988</f>
        <v>0</v>
      </c>
      <c r="AA86" s="244">
        <f t="shared" si="36"/>
        <v>0</v>
      </c>
      <c r="AB86" s="1277">
        <f t="shared" si="36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32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654"/>
      <c r="E87" s="1654"/>
      <c r="F87" s="1274"/>
      <c r="G87" s="241"/>
      <c r="H87" s="241"/>
      <c r="I87" s="1654"/>
      <c r="J87" s="1654"/>
      <c r="K87" s="1654"/>
      <c r="L87" s="1654"/>
      <c r="M87" s="1654"/>
      <c r="N87" s="241"/>
      <c r="O87" s="1654"/>
      <c r="P87" s="1278"/>
      <c r="Q87" s="1269"/>
      <c r="R87" s="1348">
        <f>SUM(R19:R86)</f>
        <v>270.03100000000012</v>
      </c>
      <c r="S87" s="1348">
        <f>SUM(S19:S86)</f>
        <v>692.69199999999989</v>
      </c>
      <c r="T87" s="1349">
        <f>SUM(T19:T86)</f>
        <v>5765.7819999999992</v>
      </c>
      <c r="U87" s="1348">
        <f>T87/R87</f>
        <v>21.352296588169494</v>
      </c>
      <c r="V87" s="1348"/>
      <c r="W87" s="1350"/>
      <c r="X87" s="1410"/>
      <c r="Y87" s="1348"/>
      <c r="Z87" s="1348">
        <f>SUM(Z19:Z86)</f>
        <v>267.68546400000002</v>
      </c>
      <c r="AA87" s="1348">
        <f>SUM(AA19:AA86)</f>
        <v>683.105456</v>
      </c>
      <c r="AB87" s="1351">
        <f>SUM(AB19:AB86)</f>
        <v>5694.5998159999999</v>
      </c>
      <c r="AC87" s="1348">
        <f>AB87/Z87</f>
        <v>21.27347421449825</v>
      </c>
      <c r="AD87" s="1348"/>
      <c r="AE87" s="1302"/>
      <c r="AF87" s="1348">
        <f>SUM(AF19:AF86)</f>
        <v>8030.5639199999996</v>
      </c>
      <c r="AG87" s="1281"/>
      <c r="AI87" s="1282"/>
    </row>
    <row r="88" spans="1:38" ht="18.75" customHeight="1" x14ac:dyDescent="0.2">
      <c r="A88" s="1347"/>
      <c r="B88" s="241"/>
      <c r="C88" s="241"/>
      <c r="D88" s="1654"/>
      <c r="E88" s="1654"/>
      <c r="F88" s="1274"/>
      <c r="G88" s="241"/>
      <c r="H88" s="241"/>
      <c r="I88" s="1654"/>
      <c r="J88" s="1654"/>
      <c r="K88" s="1654"/>
      <c r="L88" s="1654"/>
      <c r="M88" s="1654"/>
      <c r="N88" s="241"/>
      <c r="O88" s="1654"/>
      <c r="P88" s="1278"/>
      <c r="Q88" s="1269"/>
      <c r="R88" s="1348"/>
      <c r="S88" s="1348"/>
      <c r="T88" s="1349">
        <f>S87-R87</f>
        <v>422.66099999999977</v>
      </c>
      <c r="U88" s="1348"/>
      <c r="V88" s="1348"/>
      <c r="W88" s="1350"/>
      <c r="X88" s="1410"/>
      <c r="Y88" s="1348"/>
      <c r="Z88" s="1348"/>
      <c r="AA88" s="1352">
        <f>AA87-Z87</f>
        <v>415.41999199999998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654"/>
      <c r="E89" s="1653" t="s">
        <v>388</v>
      </c>
      <c r="F89" s="1274"/>
      <c r="G89" s="241"/>
      <c r="H89" s="241"/>
      <c r="I89" s="1654"/>
      <c r="J89" s="1654"/>
      <c r="K89" s="1654"/>
      <c r="L89" s="1654"/>
      <c r="M89" s="1654"/>
      <c r="N89" s="241"/>
      <c r="O89" s="1654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654">
        <v>737.21</v>
      </c>
      <c r="E90" s="1654" t="s">
        <v>507</v>
      </c>
      <c r="F90" s="241">
        <v>177.8</v>
      </c>
      <c r="G90" s="241" t="s">
        <v>28</v>
      </c>
      <c r="H90" s="1354" t="s">
        <v>466</v>
      </c>
      <c r="I90" s="1654">
        <v>680.94</v>
      </c>
      <c r="J90" s="1654"/>
      <c r="K90" s="1654"/>
      <c r="L90" s="1654"/>
      <c r="M90" s="1654"/>
      <c r="N90" s="241"/>
      <c r="O90" s="1654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7">R90*0.988</f>
        <v>0</v>
      </c>
      <c r="AA90" s="244">
        <f t="shared" si="37"/>
        <v>0</v>
      </c>
      <c r="AB90" s="1277">
        <f t="shared" si="37"/>
        <v>0</v>
      </c>
      <c r="AC90" s="244">
        <f t="shared" ref="AC90:AD93" si="38">U90</f>
        <v>0</v>
      </c>
      <c r="AD90" s="244">
        <f t="shared" si="38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654">
        <v>695.15</v>
      </c>
      <c r="E91" s="1654" t="s">
        <v>508</v>
      </c>
      <c r="F91" s="1274">
        <v>177.8</v>
      </c>
      <c r="G91" s="241" t="s">
        <v>28</v>
      </c>
      <c r="H91" s="241" t="s">
        <v>491</v>
      </c>
      <c r="I91" s="1654">
        <v>658.9</v>
      </c>
      <c r="J91" s="1654"/>
      <c r="K91" s="1654"/>
      <c r="L91" s="1654"/>
      <c r="M91" s="1654"/>
      <c r="N91" s="241"/>
      <c r="O91" s="1654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7"/>
        <v>0</v>
      </c>
      <c r="AA91" s="244">
        <f t="shared" si="37"/>
        <v>0</v>
      </c>
      <c r="AB91" s="1277">
        <f t="shared" si="37"/>
        <v>0</v>
      </c>
      <c r="AC91" s="244">
        <f t="shared" si="38"/>
        <v>0</v>
      </c>
      <c r="AD91" s="244">
        <f t="shared" si="38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654">
        <v>685.69</v>
      </c>
      <c r="E92" s="1654" t="s">
        <v>579</v>
      </c>
      <c r="F92" s="241">
        <v>177.8</v>
      </c>
      <c r="G92" s="241" t="s">
        <v>28</v>
      </c>
      <c r="H92" s="1299" t="s">
        <v>466</v>
      </c>
      <c r="I92" s="1654">
        <v>639.97</v>
      </c>
      <c r="J92" s="1654"/>
      <c r="K92" s="1654"/>
      <c r="L92" s="1654"/>
      <c r="M92" s="1654"/>
      <c r="N92" s="241"/>
      <c r="O92" s="1654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7"/>
        <v>0</v>
      </c>
      <c r="AA92" s="244">
        <f t="shared" si="37"/>
        <v>0</v>
      </c>
      <c r="AB92" s="1277">
        <f t="shared" si="37"/>
        <v>0</v>
      </c>
      <c r="AC92" s="244">
        <f t="shared" si="38"/>
        <v>0</v>
      </c>
      <c r="AD92" s="244">
        <f t="shared" si="38"/>
        <v>0</v>
      </c>
      <c r="AE92" s="241">
        <v>0</v>
      </c>
      <c r="AF92" s="244">
        <f t="shared" ref="AF92:AF93" si="39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654">
        <v>9.5</v>
      </c>
      <c r="J93" s="1654"/>
      <c r="K93" s="1654"/>
      <c r="L93" s="1654"/>
      <c r="M93" s="1654"/>
      <c r="N93" s="241"/>
      <c r="O93" s="1654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7"/>
        <v>0</v>
      </c>
      <c r="AA93" s="244">
        <f t="shared" si="37"/>
        <v>0</v>
      </c>
      <c r="AB93" s="1277">
        <f t="shared" si="37"/>
        <v>0</v>
      </c>
      <c r="AC93" s="244">
        <f t="shared" si="38"/>
        <v>0</v>
      </c>
      <c r="AD93" s="244">
        <f t="shared" si="38"/>
        <v>0</v>
      </c>
      <c r="AE93" s="241">
        <v>0</v>
      </c>
      <c r="AF93" s="244">
        <f t="shared" si="39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654"/>
      <c r="K94" s="1654"/>
      <c r="L94" s="1654"/>
      <c r="M94" s="1654"/>
      <c r="N94" s="1654"/>
      <c r="O94" s="1654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654"/>
      <c r="K95" s="1654"/>
      <c r="L95" s="1654"/>
      <c r="M95" s="1654"/>
      <c r="N95" s="1654"/>
      <c r="O95" s="1654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654">
        <v>183.38</v>
      </c>
      <c r="J96" s="1654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40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41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2">R96*0.988</f>
        <v>0</v>
      </c>
      <c r="AA96" s="244">
        <f t="shared" si="42"/>
        <v>0</v>
      </c>
      <c r="AB96" s="244">
        <f t="shared" si="42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3">Z96*AE96</f>
        <v>0</v>
      </c>
      <c r="AG96" s="1285"/>
      <c r="AI96" s="1282">
        <f t="shared" ref="AI96:AI101" si="44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654">
        <v>136.35</v>
      </c>
      <c r="J97" s="1654">
        <v>0</v>
      </c>
      <c r="K97" s="1654"/>
      <c r="L97" s="1319">
        <v>27</v>
      </c>
      <c r="M97" s="1654"/>
      <c r="N97" s="1278">
        <v>0</v>
      </c>
      <c r="O97" s="1654"/>
      <c r="P97" s="1278">
        <f t="shared" si="40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41"/>
        <v>0</v>
      </c>
      <c r="V97" s="1278">
        <v>0</v>
      </c>
      <c r="W97" s="1279">
        <v>0.2</v>
      </c>
      <c r="X97" s="1410">
        <v>0</v>
      </c>
      <c r="Y97" s="1277">
        <f t="shared" ref="Y97:Y105" si="45">IF(S97=0,0,S97/Q97)*100</f>
        <v>0</v>
      </c>
      <c r="Z97" s="244">
        <f t="shared" si="42"/>
        <v>0</v>
      </c>
      <c r="AA97" s="244">
        <f t="shared" si="42"/>
        <v>0</v>
      </c>
      <c r="AB97" s="244">
        <f t="shared" si="42"/>
        <v>0</v>
      </c>
      <c r="AC97" s="244">
        <f t="shared" ref="AC97:AD101" si="46">U97</f>
        <v>0</v>
      </c>
      <c r="AD97" s="244">
        <f t="shared" si="46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4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654">
        <v>130.11000000000001</v>
      </c>
      <c r="J98" s="1654">
        <v>0</v>
      </c>
      <c r="K98" s="1654"/>
      <c r="L98" s="1319">
        <v>32</v>
      </c>
      <c r="M98" s="1654"/>
      <c r="N98" s="1278">
        <v>0</v>
      </c>
      <c r="O98" s="1654"/>
      <c r="P98" s="1278">
        <f t="shared" si="40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41"/>
        <v>0</v>
      </c>
      <c r="V98" s="1278">
        <v>0</v>
      </c>
      <c r="W98" s="1279">
        <v>0.2</v>
      </c>
      <c r="X98" s="1410">
        <v>0</v>
      </c>
      <c r="Y98" s="1277">
        <f t="shared" si="45"/>
        <v>0</v>
      </c>
      <c r="Z98" s="244">
        <f t="shared" si="42"/>
        <v>0</v>
      </c>
      <c r="AA98" s="244">
        <f t="shared" si="42"/>
        <v>0</v>
      </c>
      <c r="AB98" s="244">
        <f t="shared" si="42"/>
        <v>0</v>
      </c>
      <c r="AC98" s="244">
        <f t="shared" si="46"/>
        <v>0</v>
      </c>
      <c r="AD98" s="244">
        <f t="shared" si="46"/>
        <v>0</v>
      </c>
      <c r="AE98" s="241">
        <v>0</v>
      </c>
      <c r="AF98" s="244">
        <f t="shared" si="43"/>
        <v>0</v>
      </c>
      <c r="AG98" s="1285" t="s">
        <v>782</v>
      </c>
      <c r="AI98" s="1282">
        <f t="shared" si="44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654">
        <v>134.24</v>
      </c>
      <c r="J99" s="1654">
        <v>0</v>
      </c>
      <c r="K99" s="1654"/>
      <c r="L99" s="1319">
        <v>25</v>
      </c>
      <c r="M99" s="1654"/>
      <c r="N99" s="1278">
        <v>0.2</v>
      </c>
      <c r="O99" s="1654"/>
      <c r="P99" s="1278">
        <f t="shared" si="40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41"/>
        <v>0</v>
      </c>
      <c r="V99" s="1278">
        <v>0</v>
      </c>
      <c r="W99" s="1279">
        <v>0.2</v>
      </c>
      <c r="X99" s="1410">
        <v>0</v>
      </c>
      <c r="Y99" s="1277">
        <f t="shared" si="45"/>
        <v>0</v>
      </c>
      <c r="Z99" s="244">
        <f t="shared" si="42"/>
        <v>0</v>
      </c>
      <c r="AA99" s="244">
        <f t="shared" si="42"/>
        <v>0</v>
      </c>
      <c r="AB99" s="244">
        <f t="shared" si="42"/>
        <v>0</v>
      </c>
      <c r="AC99" s="244">
        <f t="shared" si="46"/>
        <v>0</v>
      </c>
      <c r="AD99" s="244">
        <f t="shared" si="46"/>
        <v>0</v>
      </c>
      <c r="AE99" s="241">
        <v>0</v>
      </c>
      <c r="AF99" s="244">
        <f t="shared" si="43"/>
        <v>0</v>
      </c>
      <c r="AG99" s="1281" t="s">
        <v>782</v>
      </c>
      <c r="AI99" s="1282">
        <f t="shared" si="44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654">
        <v>0</v>
      </c>
      <c r="K100" s="1654"/>
      <c r="L100" s="1319">
        <v>30</v>
      </c>
      <c r="M100" s="1654"/>
      <c r="N100" s="1278">
        <v>0.7</v>
      </c>
      <c r="O100" s="1654"/>
      <c r="P100" s="1278">
        <f t="shared" si="40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41"/>
        <v>0</v>
      </c>
      <c r="V100" s="1278">
        <v>0</v>
      </c>
      <c r="W100" s="1279">
        <v>0.2</v>
      </c>
      <c r="X100" s="1410">
        <v>0</v>
      </c>
      <c r="Y100" s="1277">
        <f t="shared" si="45"/>
        <v>0</v>
      </c>
      <c r="Z100" s="244">
        <f t="shared" si="42"/>
        <v>0</v>
      </c>
      <c r="AA100" s="244">
        <f t="shared" si="42"/>
        <v>0</v>
      </c>
      <c r="AB100" s="244">
        <f t="shared" si="42"/>
        <v>0</v>
      </c>
      <c r="AC100" s="244">
        <f t="shared" si="46"/>
        <v>0</v>
      </c>
      <c r="AD100" s="244">
        <f t="shared" si="46"/>
        <v>0</v>
      </c>
      <c r="AE100" s="241">
        <v>0</v>
      </c>
      <c r="AF100" s="244">
        <f t="shared" si="43"/>
        <v>0</v>
      </c>
      <c r="AG100" s="1363" t="s">
        <v>782</v>
      </c>
      <c r="AI100" s="1282">
        <f t="shared" si="44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40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41"/>
        <v>0</v>
      </c>
      <c r="V101" s="1278">
        <v>0</v>
      </c>
      <c r="W101" s="1355">
        <v>0.2</v>
      </c>
      <c r="X101" s="1410">
        <v>0</v>
      </c>
      <c r="Y101" s="1277">
        <f t="shared" si="45"/>
        <v>0</v>
      </c>
      <c r="Z101" s="244">
        <f t="shared" si="42"/>
        <v>0</v>
      </c>
      <c r="AA101" s="244">
        <f t="shared" si="42"/>
        <v>0</v>
      </c>
      <c r="AB101" s="244">
        <f t="shared" si="42"/>
        <v>0</v>
      </c>
      <c r="AC101" s="244">
        <f t="shared" si="46"/>
        <v>0</v>
      </c>
      <c r="AD101" s="244">
        <f t="shared" si="46"/>
        <v>0</v>
      </c>
      <c r="AE101" s="241">
        <v>0</v>
      </c>
      <c r="AF101" s="244">
        <f t="shared" si="43"/>
        <v>0</v>
      </c>
      <c r="AG101" s="1363" t="s">
        <v>782</v>
      </c>
      <c r="AI101" s="1282">
        <f t="shared" si="44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5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5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654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7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5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654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7"/>
        <v>0</v>
      </c>
      <c r="V105" s="1278">
        <v>0.3</v>
      </c>
      <c r="W105" s="1279">
        <v>0.3</v>
      </c>
      <c r="X105" s="1449">
        <v>0</v>
      </c>
      <c r="Y105" s="1277">
        <f t="shared" si="45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654"/>
      <c r="G106" s="1651"/>
      <c r="H106" s="1653"/>
      <c r="I106" s="1653"/>
      <c r="J106" s="1654"/>
      <c r="K106" s="1654"/>
      <c r="L106" s="1654"/>
      <c r="M106" s="1654"/>
      <c r="N106" s="1654"/>
      <c r="O106" s="1654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651"/>
      <c r="W106" s="1652"/>
      <c r="X106" s="1410"/>
      <c r="Y106" s="1651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651"/>
      <c r="AE106" s="1654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651"/>
      <c r="H108" s="1653"/>
      <c r="I108" s="1653"/>
      <c r="J108" s="1654"/>
      <c r="K108" s="1654"/>
      <c r="L108" s="1654"/>
      <c r="M108" s="1654"/>
      <c r="N108" s="1654"/>
      <c r="O108" s="1654"/>
      <c r="P108" s="1269"/>
      <c r="Q108" s="1269"/>
      <c r="R108" s="1654"/>
      <c r="S108" s="1662"/>
      <c r="T108" s="1654"/>
      <c r="U108" s="1651"/>
      <c r="V108" s="1651"/>
      <c r="W108" s="1652"/>
      <c r="X108" s="1410"/>
      <c r="Y108" s="1651"/>
      <c r="Z108" s="1654"/>
      <c r="AA108" s="1654"/>
      <c r="AB108" s="1654"/>
      <c r="AC108" s="1651"/>
      <c r="AD108" s="1651"/>
      <c r="AE108" s="1654"/>
      <c r="AF108" s="1654"/>
      <c r="AG108" s="1656"/>
    </row>
    <row r="109" spans="1:38" ht="18.75" customHeight="1" x14ac:dyDescent="0.2">
      <c r="A109" s="1273">
        <v>83</v>
      </c>
      <c r="B109" s="1317" t="s">
        <v>107</v>
      </c>
      <c r="C109" s="1654" t="s">
        <v>109</v>
      </c>
      <c r="D109" s="1654"/>
      <c r="E109" s="1654"/>
      <c r="F109" s="1654"/>
      <c r="G109" s="1651"/>
      <c r="H109" s="1653"/>
      <c r="I109" s="1653"/>
      <c r="J109" s="1654"/>
      <c r="K109" s="1654"/>
      <c r="L109" s="1654"/>
      <c r="M109" s="1654"/>
      <c r="N109" s="1654"/>
      <c r="O109" s="1654"/>
      <c r="P109" s="1269"/>
      <c r="Q109" s="1269"/>
      <c r="R109" s="1654"/>
      <c r="S109" s="1662"/>
      <c r="T109" s="1654"/>
      <c r="U109" s="1651"/>
      <c r="V109" s="1651"/>
      <c r="W109" s="1652"/>
      <c r="X109" s="1410"/>
      <c r="Y109" s="1651"/>
      <c r="Z109" s="1653"/>
      <c r="AA109" s="1653"/>
      <c r="AB109" s="1654"/>
      <c r="AC109" s="1651"/>
      <c r="AD109" s="1651"/>
      <c r="AE109" s="1373"/>
      <c r="AF109" s="1654"/>
      <c r="AG109" s="1656"/>
    </row>
    <row r="110" spans="1:38" ht="18.75" customHeight="1" x14ac:dyDescent="0.2">
      <c r="A110" s="1273">
        <v>84</v>
      </c>
      <c r="B110" s="1317" t="s">
        <v>108</v>
      </c>
      <c r="C110" s="1654" t="s">
        <v>109</v>
      </c>
      <c r="D110" s="1654"/>
      <c r="E110" s="1654"/>
      <c r="F110" s="1654"/>
      <c r="G110" s="1651"/>
      <c r="H110" s="1653"/>
      <c r="I110" s="1653"/>
      <c r="J110" s="1654"/>
      <c r="K110" s="1654"/>
      <c r="L110" s="1654"/>
      <c r="M110" s="1654"/>
      <c r="N110" s="1654"/>
      <c r="O110" s="1654"/>
      <c r="P110" s="1269"/>
      <c r="Q110" s="1269"/>
      <c r="R110" s="1301"/>
      <c r="S110" s="1662"/>
      <c r="T110" s="1654"/>
      <c r="U110" s="1651"/>
      <c r="V110" s="1651"/>
      <c r="W110" s="1652"/>
      <c r="X110" s="1410"/>
      <c r="Y110" s="1651"/>
      <c r="Z110" s="1653"/>
      <c r="AA110" s="1653"/>
      <c r="AB110" s="1654"/>
      <c r="AC110" s="1651"/>
      <c r="AD110" s="1651"/>
      <c r="AE110" s="1373"/>
      <c r="AF110" s="1654"/>
      <c r="AG110" s="1656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654"/>
      <c r="E111" s="1654"/>
      <c r="F111" s="1654"/>
      <c r="G111" s="1651"/>
      <c r="H111" s="1653"/>
      <c r="I111" s="1653"/>
      <c r="J111" s="1654"/>
      <c r="K111" s="1654"/>
      <c r="L111" s="1654"/>
      <c r="M111" s="1654"/>
      <c r="N111" s="1654"/>
      <c r="O111" s="1654"/>
      <c r="P111" s="1269"/>
      <c r="Q111" s="1269"/>
      <c r="R111" s="1654"/>
      <c r="S111" s="1662"/>
      <c r="T111" s="1654"/>
      <c r="U111" s="1651"/>
      <c r="V111" s="1651"/>
      <c r="W111" s="1652"/>
      <c r="X111" s="1410"/>
      <c r="Y111" s="1651"/>
      <c r="Z111" s="1653"/>
      <c r="AA111" s="1653"/>
      <c r="AB111" s="1654"/>
      <c r="AC111" s="1651"/>
      <c r="AD111" s="1651"/>
      <c r="AE111" s="1373"/>
      <c r="AF111" s="1654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654"/>
      <c r="E112" s="1654"/>
      <c r="F112" s="1654"/>
      <c r="G112" s="1651"/>
      <c r="H112" s="1653"/>
      <c r="I112" s="1653"/>
      <c r="J112" s="1654"/>
      <c r="K112" s="1654"/>
      <c r="L112" s="1654"/>
      <c r="M112" s="1654"/>
      <c r="N112" s="1654"/>
      <c r="O112" s="1654"/>
      <c r="P112" s="1269"/>
      <c r="Q112" s="1269"/>
      <c r="R112" s="1654"/>
      <c r="S112" s="1662"/>
      <c r="T112" s="1654"/>
      <c r="U112" s="1651"/>
      <c r="V112" s="1651"/>
      <c r="W112" s="1652"/>
      <c r="X112" s="1410"/>
      <c r="Y112" s="1651"/>
      <c r="Z112" s="1653"/>
      <c r="AA112" s="1653"/>
      <c r="AB112" s="1654"/>
      <c r="AC112" s="1651"/>
      <c r="AD112" s="1651"/>
      <c r="AE112" s="1373"/>
      <c r="AF112" s="1654"/>
      <c r="AG112" s="1285"/>
    </row>
    <row r="113" spans="1:33" ht="18.75" customHeight="1" x14ac:dyDescent="0.2">
      <c r="A113" s="1273"/>
      <c r="B113" s="1262"/>
      <c r="C113" s="1371"/>
      <c r="D113" s="1371"/>
      <c r="E113" s="1653" t="s">
        <v>278</v>
      </c>
      <c r="F113" s="1371"/>
      <c r="G113" s="1651"/>
      <c r="H113" s="1653"/>
      <c r="I113" s="1653"/>
      <c r="J113" s="1654"/>
      <c r="K113" s="1654"/>
      <c r="L113" s="1654"/>
      <c r="M113" s="1654"/>
      <c r="N113" s="1654"/>
      <c r="O113" s="1654"/>
      <c r="P113" s="1269"/>
      <c r="Q113" s="1269"/>
      <c r="R113" s="1654"/>
      <c r="S113" s="1662"/>
      <c r="T113" s="1654"/>
      <c r="U113" s="1651"/>
      <c r="V113" s="1651"/>
      <c r="W113" s="1652"/>
      <c r="X113" s="1410"/>
      <c r="Y113" s="1651"/>
      <c r="Z113" s="1301"/>
      <c r="AA113" s="1654"/>
      <c r="AB113" s="1654"/>
      <c r="AC113" s="1651"/>
      <c r="AD113" s="1651"/>
      <c r="AE113" s="1654"/>
      <c r="AF113" s="1654"/>
      <c r="AG113" s="1656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654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654">
        <v>625.1</v>
      </c>
      <c r="E115" s="1654" t="s">
        <v>578</v>
      </c>
      <c r="F115" s="241">
        <v>177.8</v>
      </c>
      <c r="G115" s="241"/>
      <c r="H115" s="241"/>
      <c r="I115" s="244"/>
      <c r="J115" s="1654"/>
      <c r="K115" s="1654"/>
      <c r="L115" s="1654"/>
      <c r="M115" s="1654"/>
      <c r="N115" s="1654"/>
      <c r="O115" s="1654"/>
      <c r="P115" s="1269"/>
      <c r="Q115" s="1269"/>
      <c r="R115" s="1654"/>
      <c r="S115" s="1662"/>
      <c r="T115" s="1654"/>
      <c r="U115" s="1651"/>
      <c r="V115" s="1651"/>
      <c r="W115" s="1652"/>
      <c r="X115" s="1410"/>
      <c r="Y115" s="1376"/>
      <c r="Z115" s="1319"/>
      <c r="AA115" s="1654"/>
      <c r="AB115" s="1654"/>
      <c r="AC115" s="1651"/>
      <c r="AD115" s="1654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654"/>
      <c r="J116" s="1654"/>
      <c r="K116" s="1654"/>
      <c r="L116" s="1654"/>
      <c r="M116" s="1654"/>
      <c r="N116" s="1654"/>
      <c r="O116" s="1654"/>
      <c r="P116" s="1269"/>
      <c r="Q116" s="1270"/>
      <c r="R116" s="1654"/>
      <c r="S116" s="1662"/>
      <c r="T116" s="1654"/>
      <c r="U116" s="1651"/>
      <c r="V116" s="1651"/>
      <c r="W116" s="1652"/>
      <c r="X116" s="1410"/>
      <c r="Y116" s="1376"/>
      <c r="Z116" s="1319"/>
      <c r="AA116" s="1654"/>
      <c r="AB116" s="1654"/>
      <c r="AC116" s="1651"/>
      <c r="AD116" s="1654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654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654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647"/>
      <c r="C119" s="1647"/>
      <c r="D119" s="1647"/>
      <c r="E119" s="1648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270.03100000000012</v>
      </c>
      <c r="S119" s="1386">
        <f>S87+S94+S106</f>
        <v>692.69199999999989</v>
      </c>
      <c r="T119" s="1387">
        <f>T87+T94+T106</f>
        <v>5765.7819999999992</v>
      </c>
      <c r="U119" s="1386">
        <f>T119/R119</f>
        <v>21.352296588169494</v>
      </c>
      <c r="V119" s="1386"/>
      <c r="W119" s="1388"/>
      <c r="X119" s="1456"/>
      <c r="Y119" s="1386"/>
      <c r="Z119" s="1386">
        <f>Z87+Z94+Z106</f>
        <v>267.68546400000002</v>
      </c>
      <c r="AA119" s="1386">
        <f>AA87+AA106+AA94</f>
        <v>683.105456</v>
      </c>
      <c r="AB119" s="1387">
        <f>AB87+AB106+AB94</f>
        <v>5694.5998159999999</v>
      </c>
      <c r="AC119" s="1386">
        <f>AC87+AC106+AC94</f>
        <v>21.27347421449825</v>
      </c>
      <c r="AD119" s="1386"/>
      <c r="AE119" s="1386"/>
      <c r="AF119" s="1390">
        <f>AF87+AF94+AF106</f>
        <v>8030.5639199999996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655"/>
      <c r="D121" s="148"/>
      <c r="E121" s="1394">
        <v>0.97</v>
      </c>
      <c r="F121" s="148"/>
      <c r="G121" s="148" t="s">
        <v>102</v>
      </c>
      <c r="H121" s="1655"/>
      <c r="I121" s="1395"/>
      <c r="J121" s="148"/>
      <c r="K121" s="1983">
        <f>AF119*E121</f>
        <v>7789.6470023999991</v>
      </c>
      <c r="L121" s="1984"/>
      <c r="M121" s="1984"/>
      <c r="N121" s="1655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655"/>
      <c r="D122" s="148"/>
      <c r="E122" s="154"/>
      <c r="F122" s="148"/>
      <c r="G122" s="148" t="s">
        <v>733</v>
      </c>
      <c r="H122" s="1655"/>
      <c r="I122" s="1395"/>
      <c r="J122" s="148"/>
      <c r="K122" s="1655"/>
      <c r="L122" s="1397"/>
      <c r="M122" s="148">
        <f>K121*0.875</f>
        <v>6815.941127099999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650"/>
      <c r="Z122" s="1650"/>
      <c r="AA122" s="150">
        <f>AA119-Z119</f>
        <v>415.41999199999998</v>
      </c>
      <c r="AB122" s="1650"/>
      <c r="AC122" s="1650"/>
      <c r="AD122" s="1650"/>
      <c r="AE122" s="1650"/>
      <c r="AF122" s="1650"/>
      <c r="AG122" s="1400"/>
    </row>
    <row r="123" spans="1:33" ht="15" x14ac:dyDescent="0.2">
      <c r="B123" s="148"/>
      <c r="C123" s="1655"/>
      <c r="D123" s="148"/>
      <c r="E123" s="154"/>
      <c r="F123" s="148"/>
      <c r="G123" s="148"/>
      <c r="H123" s="1655"/>
      <c r="I123" s="1395"/>
      <c r="J123" s="148"/>
      <c r="K123" s="1655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650"/>
      <c r="Z123" s="1650"/>
      <c r="AA123" s="1650"/>
      <c r="AB123" s="1650"/>
      <c r="AC123" s="1650"/>
      <c r="AD123" s="1650"/>
      <c r="AE123" s="1650"/>
      <c r="AF123" s="1650"/>
      <c r="AG123" s="1400"/>
    </row>
    <row r="124" spans="1:33" ht="15" x14ac:dyDescent="0.2">
      <c r="B124" s="148"/>
      <c r="C124" s="1655"/>
      <c r="D124" s="148"/>
      <c r="E124" s="154"/>
      <c r="F124" s="148"/>
      <c r="G124" s="148"/>
      <c r="H124" s="1655"/>
      <c r="I124" s="1395"/>
      <c r="J124" s="148"/>
      <c r="K124" s="1655"/>
      <c r="L124" s="1397"/>
      <c r="M124" s="148"/>
      <c r="N124" s="148"/>
      <c r="O124" s="148"/>
      <c r="P124" s="1398"/>
      <c r="Q124" s="1399"/>
      <c r="R124" s="148"/>
      <c r="S124" s="148">
        <f>7000/0.875</f>
        <v>8000</v>
      </c>
      <c r="T124" s="148"/>
      <c r="U124" s="148"/>
      <c r="V124" s="148"/>
      <c r="W124" s="148"/>
      <c r="X124" s="148"/>
      <c r="Y124" s="1650"/>
      <c r="Z124" s="1650"/>
      <c r="AA124" s="1650"/>
      <c r="AB124" s="1650"/>
      <c r="AC124" s="1650"/>
      <c r="AD124" s="1650"/>
      <c r="AE124" s="1650"/>
      <c r="AF124" s="1650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655"/>
      <c r="L125" s="1655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650" t="s">
        <v>561</v>
      </c>
      <c r="AD125" s="1650"/>
      <c r="AE125" s="1650"/>
      <c r="AF125" s="1650"/>
      <c r="AG125" s="1650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F5AC0-342D-4477-B314-88ACDB857BE1}">
  <dimension ref="A1:AQ129"/>
  <sheetViews>
    <sheetView topLeftCell="A13" zoomScaleNormal="10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A13" sqref="A13:D1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672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672"/>
      <c r="F2" s="1672"/>
      <c r="G2" s="1665"/>
      <c r="H2" s="1671"/>
      <c r="I2" s="1671"/>
      <c r="J2" s="1671"/>
      <c r="K2" s="1671"/>
      <c r="L2" s="1671"/>
      <c r="M2" s="1671"/>
      <c r="N2" s="1671"/>
      <c r="O2" s="1671"/>
      <c r="P2" s="1671"/>
      <c r="Q2" s="1256"/>
      <c r="R2" s="1672"/>
      <c r="S2" s="1672"/>
      <c r="T2" s="1672"/>
      <c r="U2" s="1672"/>
      <c r="V2" s="1672"/>
      <c r="W2" s="1672"/>
      <c r="X2" s="1671"/>
      <c r="Y2" s="1672"/>
      <c r="Z2" s="1672"/>
      <c r="AA2" s="1672"/>
      <c r="AC2" s="1672"/>
      <c r="AD2" s="1672"/>
      <c r="AE2" s="1672"/>
      <c r="AF2" s="1998" t="s">
        <v>750</v>
      </c>
      <c r="AG2" s="1998"/>
    </row>
    <row r="3" spans="1:38" ht="15.75" x14ac:dyDescent="0.25">
      <c r="A3" s="1408" t="s">
        <v>751</v>
      </c>
      <c r="B3" s="1666"/>
      <c r="C3" s="1666"/>
      <c r="D3" s="1666"/>
      <c r="E3" s="1672"/>
      <c r="F3" s="1672"/>
      <c r="G3" s="1665"/>
      <c r="H3" s="1671"/>
      <c r="I3" s="1671"/>
      <c r="J3" s="1671"/>
      <c r="K3" s="1671"/>
      <c r="L3" s="1671"/>
      <c r="M3" s="1671"/>
      <c r="N3" s="1671"/>
      <c r="O3" s="1671"/>
      <c r="P3" s="1671"/>
      <c r="Q3" s="1256"/>
      <c r="R3" s="1672"/>
      <c r="S3" s="1672"/>
      <c r="T3" s="1672"/>
      <c r="U3" s="1672"/>
      <c r="V3" s="1672"/>
      <c r="W3" s="1672"/>
      <c r="X3" s="1671"/>
      <c r="Y3" s="1672"/>
      <c r="Z3" s="1672"/>
      <c r="AA3" s="1672"/>
      <c r="AB3" s="1672"/>
      <c r="AC3" s="1260"/>
      <c r="AE3" s="1222"/>
      <c r="AF3" s="1671" t="s">
        <v>739</v>
      </c>
      <c r="AG3" s="1494"/>
    </row>
    <row r="4" spans="1:38" ht="15" x14ac:dyDescent="0.25">
      <c r="A4" s="1976"/>
      <c r="B4" s="1976"/>
      <c r="C4" s="1976"/>
      <c r="D4" s="1976"/>
      <c r="E4" s="1667"/>
      <c r="F4" s="1672"/>
      <c r="G4" s="1665"/>
      <c r="H4" s="1665"/>
      <c r="I4" s="1671"/>
      <c r="J4" s="1671"/>
      <c r="K4" s="1671"/>
      <c r="L4" s="1671"/>
      <c r="M4" s="1671"/>
      <c r="N4" s="1671"/>
      <c r="O4" s="1671"/>
      <c r="P4" s="1671"/>
      <c r="Q4" s="1256"/>
      <c r="R4" s="1664"/>
      <c r="S4" s="1664"/>
      <c r="T4" s="1664"/>
      <c r="U4" s="1664"/>
      <c r="V4" s="1664"/>
      <c r="W4" s="1664"/>
      <c r="X4" s="1671"/>
      <c r="Y4" s="1672"/>
      <c r="Z4" s="1672"/>
      <c r="AB4" s="1672"/>
      <c r="AD4" s="1672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672"/>
      <c r="F5" s="1672"/>
      <c r="G5" s="1665"/>
      <c r="H5" s="1665"/>
      <c r="I5" s="1672"/>
      <c r="J5" s="1672"/>
      <c r="K5" s="1665"/>
      <c r="L5" s="1665"/>
      <c r="M5" s="1672"/>
      <c r="N5" s="1672"/>
      <c r="O5" s="1672"/>
      <c r="P5" s="149"/>
      <c r="Q5" s="1257"/>
      <c r="R5" s="1672"/>
      <c r="S5" s="1672"/>
      <c r="T5" s="1672"/>
      <c r="U5" s="1672"/>
      <c r="V5" s="1672"/>
      <c r="W5" s="1672"/>
      <c r="X5" s="1672"/>
      <c r="Y5" s="1672"/>
      <c r="Z5" s="1672"/>
      <c r="AA5" s="1672"/>
      <c r="AB5" s="1672"/>
      <c r="AC5" s="1672"/>
      <c r="AD5" s="1672"/>
      <c r="AG5" s="151"/>
    </row>
    <row r="6" spans="1:38" ht="27" customHeight="1" x14ac:dyDescent="0.2">
      <c r="A6" s="1942"/>
      <c r="B6" s="1942"/>
      <c r="C6" s="1942"/>
      <c r="D6" s="1942"/>
      <c r="E6" s="1672"/>
      <c r="F6" s="1672"/>
      <c r="G6" s="1665"/>
      <c r="H6" s="1665"/>
      <c r="I6" s="1672"/>
      <c r="J6" s="1672"/>
      <c r="K6" s="1665"/>
      <c r="L6" s="1665"/>
      <c r="M6" s="1672"/>
      <c r="N6" s="1672"/>
      <c r="O6" s="1672"/>
      <c r="P6" s="149"/>
      <c r="Q6" s="1257"/>
      <c r="R6" s="1672"/>
      <c r="S6" s="1672"/>
      <c r="T6" s="1672"/>
      <c r="U6" s="1672"/>
      <c r="V6" s="1672"/>
      <c r="W6" s="1672"/>
      <c r="X6" s="1672"/>
      <c r="Y6" s="1672"/>
      <c r="Z6" s="1672"/>
      <c r="AA6" s="1672"/>
      <c r="AB6" s="1672"/>
      <c r="AC6" s="1672"/>
      <c r="AD6" s="1672"/>
      <c r="AE6" s="1672"/>
      <c r="AF6" s="1672"/>
    </row>
    <row r="7" spans="1:38" ht="27" customHeight="1" x14ac:dyDescent="0.2">
      <c r="A7" s="1942" t="s">
        <v>54</v>
      </c>
      <c r="B7" s="1942"/>
      <c r="C7" s="1942"/>
      <c r="D7" s="1942"/>
      <c r="E7" s="1672"/>
      <c r="F7" s="1672"/>
      <c r="G7" s="1665"/>
      <c r="H7" s="1665"/>
      <c r="I7" s="1672"/>
      <c r="J7" s="1672"/>
      <c r="K7" s="1665"/>
      <c r="L7" s="1665"/>
      <c r="M7" s="1672"/>
      <c r="N7" s="1672"/>
      <c r="O7" s="1672"/>
      <c r="P7" s="149"/>
      <c r="Q7" s="1257"/>
      <c r="R7" s="1672"/>
      <c r="S7" s="1672"/>
      <c r="T7" s="1672"/>
      <c r="U7" s="1672"/>
      <c r="V7" s="1672"/>
      <c r="W7" s="1672"/>
      <c r="X7" s="1672"/>
      <c r="Y7" s="1672"/>
      <c r="Z7" s="1672"/>
      <c r="AA7" s="1672"/>
      <c r="AB7" s="1672"/>
      <c r="AC7" s="1672"/>
      <c r="AD7" s="1672"/>
      <c r="AE7" s="1672"/>
      <c r="AF7" s="1672"/>
    </row>
    <row r="8" spans="1:38" ht="27" customHeight="1" x14ac:dyDescent="0.2">
      <c r="A8" s="1977" t="s">
        <v>736</v>
      </c>
      <c r="B8" s="1977"/>
      <c r="C8" s="1977"/>
      <c r="D8" s="1977"/>
      <c r="E8" s="1672"/>
      <c r="F8" s="1672"/>
      <c r="G8" s="1665"/>
      <c r="H8" s="1665"/>
      <c r="I8" s="1672"/>
      <c r="J8" s="1672"/>
      <c r="K8" s="1665"/>
      <c r="L8" s="1665"/>
      <c r="M8" s="1672"/>
      <c r="N8" s="1672"/>
      <c r="O8" s="1672"/>
      <c r="P8" s="149"/>
      <c r="Q8" s="1257"/>
      <c r="R8" s="1672"/>
      <c r="S8" s="1672"/>
      <c r="T8" s="1672"/>
      <c r="U8" s="1672"/>
      <c r="V8" s="1672"/>
      <c r="W8" s="1672"/>
      <c r="X8" s="1672"/>
      <c r="Y8" s="1672"/>
      <c r="Z8" s="1672"/>
      <c r="AA8" s="1672"/>
      <c r="AB8" s="1672"/>
      <c r="AC8" s="1672"/>
      <c r="AD8" s="1672"/>
      <c r="AE8" s="1672"/>
      <c r="AF8" s="1672"/>
    </row>
    <row r="9" spans="1:38" ht="27" customHeight="1" x14ac:dyDescent="0.2">
      <c r="A9" s="1408" t="s">
        <v>737</v>
      </c>
      <c r="B9" s="1666"/>
      <c r="C9" s="1666"/>
      <c r="D9" s="1666"/>
      <c r="E9" s="1672"/>
      <c r="F9" s="1672"/>
      <c r="G9" s="1665"/>
      <c r="H9" s="1665"/>
      <c r="I9" s="1672"/>
      <c r="J9" s="1672"/>
      <c r="K9" s="1665"/>
      <c r="L9" s="1665"/>
      <c r="M9" s="1672"/>
      <c r="N9" s="1672"/>
      <c r="O9" s="1672"/>
      <c r="P9" s="149"/>
      <c r="Q9" s="1257"/>
      <c r="R9" s="1672"/>
      <c r="S9" s="1672"/>
      <c r="T9" s="1672"/>
      <c r="U9" s="1672"/>
      <c r="V9" s="1672"/>
      <c r="W9" s="1672"/>
      <c r="X9" s="1672"/>
      <c r="Y9" s="1672"/>
      <c r="Z9" s="1672"/>
      <c r="AA9" s="1672"/>
      <c r="AB9" s="1672"/>
      <c r="AC9" s="1672"/>
      <c r="AD9" s="1672"/>
      <c r="AE9" s="1672"/>
      <c r="AF9" s="1672"/>
    </row>
    <row r="10" spans="1:38" ht="27" customHeight="1" x14ac:dyDescent="0.2">
      <c r="A10" s="1976"/>
      <c r="B10" s="1976"/>
      <c r="C10" s="1976"/>
      <c r="D10" s="1976"/>
      <c r="E10" s="1667"/>
      <c r="F10" s="1672"/>
      <c r="G10" s="1665"/>
      <c r="H10" s="1665"/>
      <c r="I10" s="1672"/>
      <c r="J10" s="1672"/>
      <c r="K10" s="1665"/>
      <c r="L10" s="1665"/>
      <c r="M10" s="1672"/>
      <c r="N10" s="1672"/>
      <c r="O10" s="1672"/>
      <c r="P10" s="149"/>
      <c r="Q10" s="1257"/>
      <c r="R10" s="1672"/>
      <c r="S10" s="1672"/>
      <c r="T10" s="1672"/>
      <c r="U10" s="1672"/>
      <c r="V10" s="1672"/>
      <c r="W10" s="1672"/>
      <c r="X10" s="1672"/>
      <c r="Y10" s="1672"/>
      <c r="Z10" s="1672"/>
      <c r="AA10" s="1672"/>
      <c r="AB10" s="1672"/>
      <c r="AC10" s="1672"/>
      <c r="AD10" s="1672"/>
      <c r="AE10" s="1672"/>
      <c r="AF10" s="1672"/>
    </row>
    <row r="11" spans="1:38" ht="27" customHeight="1" x14ac:dyDescent="0.2">
      <c r="A11" s="1976" t="s">
        <v>740</v>
      </c>
      <c r="B11" s="1976"/>
      <c r="C11" s="1976"/>
      <c r="D11" s="1976"/>
      <c r="E11" s="1672"/>
      <c r="F11" s="1672"/>
      <c r="G11" s="1665"/>
      <c r="H11" s="1665"/>
      <c r="I11" s="1672"/>
      <c r="J11" s="1672"/>
      <c r="K11" s="1665"/>
      <c r="L11" s="1665"/>
      <c r="M11" s="1672"/>
      <c r="N11" s="1672"/>
      <c r="O11" s="1672"/>
      <c r="P11" s="149"/>
      <c r="Q11" s="1257"/>
      <c r="R11" s="1672"/>
      <c r="S11" s="1672"/>
      <c r="T11" s="1672"/>
      <c r="U11" s="1672"/>
      <c r="V11" s="1672"/>
      <c r="W11" s="1672"/>
      <c r="X11" s="1672"/>
      <c r="Y11" s="1672"/>
      <c r="Z11" s="1672"/>
      <c r="AA11" s="1672"/>
      <c r="AB11" s="1672"/>
      <c r="AC11" s="1672"/>
      <c r="AD11" s="1672"/>
      <c r="AE11" s="1672"/>
      <c r="AF11" s="1672"/>
    </row>
    <row r="12" spans="1:38" ht="27" customHeight="1" x14ac:dyDescent="0.2">
      <c r="A12" s="1668"/>
      <c r="B12" s="1668"/>
      <c r="C12" s="1668"/>
      <c r="D12" s="1668"/>
      <c r="E12" s="1672"/>
      <c r="F12" s="1672"/>
      <c r="G12" s="1665"/>
      <c r="H12" s="1665"/>
      <c r="I12" s="1672"/>
      <c r="J12" s="1672"/>
      <c r="K12" s="1665"/>
      <c r="L12" s="1665"/>
      <c r="M12" s="1672"/>
      <c r="N12" s="1672"/>
      <c r="O12" s="1672"/>
      <c r="P12" s="149"/>
      <c r="Q12" s="1257"/>
      <c r="R12" s="1672"/>
      <c r="S12" s="1672"/>
      <c r="T12" s="1672"/>
      <c r="U12" s="1672"/>
      <c r="V12" s="1672"/>
      <c r="W12" s="1672"/>
      <c r="X12" s="1672"/>
      <c r="Y12" s="1672"/>
      <c r="Z12" s="1672"/>
      <c r="AA12" s="1672"/>
      <c r="AB12" s="1672"/>
      <c r="AC12" s="1672"/>
      <c r="AD12" s="1672"/>
      <c r="AE12" s="1672"/>
      <c r="AF12" s="1672"/>
    </row>
    <row r="13" spans="1:38" ht="32.25" customHeight="1" x14ac:dyDescent="0.25">
      <c r="A13" s="1976"/>
      <c r="B13" s="1976"/>
      <c r="C13" s="1976"/>
      <c r="D13" s="1976"/>
      <c r="E13" s="1667"/>
      <c r="F13" s="1672"/>
      <c r="G13" s="1665"/>
      <c r="H13" s="1665"/>
      <c r="I13" s="140"/>
      <c r="J13" s="1672"/>
      <c r="K13" s="1665"/>
      <c r="L13" s="1665"/>
      <c r="M13" s="1672"/>
      <c r="N13" s="1672"/>
      <c r="O13" s="1672"/>
      <c r="P13" s="149"/>
      <c r="Q13" s="1257"/>
      <c r="R13" s="1672"/>
      <c r="S13" s="1672"/>
      <c r="T13" s="1672"/>
      <c r="U13" s="1672"/>
      <c r="V13" s="1672"/>
      <c r="W13" s="147"/>
      <c r="X13" s="1672"/>
      <c r="Y13" s="1672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65"/>
      <c r="C14" s="1665"/>
      <c r="D14" s="1665"/>
      <c r="E14" s="1672"/>
      <c r="F14" s="1672"/>
      <c r="G14" s="1665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672"/>
      <c r="Z14" s="148"/>
      <c r="AA14" s="148"/>
      <c r="AB14" s="148"/>
      <c r="AC14" s="148"/>
    </row>
    <row r="15" spans="1:38" ht="31.5" customHeight="1" thickBot="1" x14ac:dyDescent="0.25">
      <c r="B15" s="1665"/>
      <c r="C15" s="1665"/>
      <c r="D15" s="1665"/>
      <c r="E15" s="1672"/>
      <c r="F15" s="1672"/>
      <c r="G15" s="1665"/>
      <c r="H15" s="1665"/>
      <c r="I15" s="140"/>
      <c r="J15" s="1964" t="s">
        <v>791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672"/>
      <c r="Y15" s="1672"/>
      <c r="Z15" s="148"/>
      <c r="AA15" s="148"/>
      <c r="AB15" s="148"/>
      <c r="AC15" s="148"/>
      <c r="AD15" s="1672"/>
      <c r="AE15" s="1672"/>
      <c r="AF15" s="1672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673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673" t="s">
        <v>18</v>
      </c>
      <c r="AF17" s="1673" t="s">
        <v>20</v>
      </c>
      <c r="AG17" s="1967" t="s">
        <v>21</v>
      </c>
      <c r="AH17" s="1267">
        <v>45200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676" t="s">
        <v>3</v>
      </c>
      <c r="J18" s="1676" t="s">
        <v>7</v>
      </c>
      <c r="K18" s="1676" t="s">
        <v>30</v>
      </c>
      <c r="L18" s="1676" t="s">
        <v>29</v>
      </c>
      <c r="M18" s="1676" t="s">
        <v>31</v>
      </c>
      <c r="N18" s="1676" t="s">
        <v>32</v>
      </c>
      <c r="O18" s="1676" t="s">
        <v>12</v>
      </c>
      <c r="P18" s="1269" t="s">
        <v>673</v>
      </c>
      <c r="Q18" s="1270" t="s">
        <v>26</v>
      </c>
      <c r="R18" s="1676" t="s">
        <v>675</v>
      </c>
      <c r="S18" s="1676" t="s">
        <v>25</v>
      </c>
      <c r="T18" s="1676" t="s">
        <v>676</v>
      </c>
      <c r="U18" s="1968"/>
      <c r="V18" s="1968"/>
      <c r="W18" s="1987"/>
      <c r="X18" s="1410" t="s">
        <v>7</v>
      </c>
      <c r="Y18" s="1968"/>
      <c r="Z18" s="1676" t="s">
        <v>14</v>
      </c>
      <c r="AA18" s="1676" t="s">
        <v>679</v>
      </c>
      <c r="AB18" s="1676" t="s">
        <v>113</v>
      </c>
      <c r="AC18" s="1968"/>
      <c r="AD18" s="1968"/>
      <c r="AE18" s="1676" t="s">
        <v>19</v>
      </c>
      <c r="AF18" s="1676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76">
        <v>557.80999999999995</v>
      </c>
      <c r="J19" s="1448">
        <v>180</v>
      </c>
      <c r="K19" s="241"/>
      <c r="L19" s="1277">
        <v>370</v>
      </c>
      <c r="M19" s="241"/>
      <c r="N19" s="1278">
        <v>4.5999999999999996</v>
      </c>
      <c r="O19" s="241"/>
      <c r="P19" s="1278">
        <f>AI19</f>
        <v>22.626753624957274</v>
      </c>
      <c r="Q19" s="1278">
        <f>LEFT(H19,(FIND("Е",H19,1)-1))*J19/100</f>
        <v>23.4</v>
      </c>
      <c r="R19" s="244">
        <v>3.0550000000000002</v>
      </c>
      <c r="S19" s="244">
        <v>11.111000000000001</v>
      </c>
      <c r="T19" s="1277">
        <v>11</v>
      </c>
      <c r="U19" s="1278">
        <f t="shared" ref="U19:U37" si="0">IF(R19=0,0,T19/R19)</f>
        <v>3.6006546644844515</v>
      </c>
      <c r="V19" s="1278">
        <f>(S19-R19)/S19*100</f>
        <v>72.504725047250474</v>
      </c>
      <c r="W19" s="1279">
        <v>0.2</v>
      </c>
      <c r="X19" s="1449">
        <v>180</v>
      </c>
      <c r="Y19" s="1277">
        <f>IF(S19=0,0,S19/Q19)*100</f>
        <v>47.48290598290599</v>
      </c>
      <c r="Z19" s="244">
        <v>2.8730000000000002</v>
      </c>
      <c r="AA19" s="244">
        <v>10.395</v>
      </c>
      <c r="AB19" s="1277">
        <f>T19*0.988</f>
        <v>10.868</v>
      </c>
      <c r="AC19" s="244">
        <f>U19</f>
        <v>3.6006546644844515</v>
      </c>
      <c r="AD19" s="1277">
        <f>V19</f>
        <v>72.504725047250474</v>
      </c>
      <c r="AE19" s="241">
        <f t="shared" ref="AE19:AE41" si="1">(DAY(EOMONTH($AH$17,0))-AH19)</f>
        <v>31</v>
      </c>
      <c r="AF19" s="244">
        <f t="shared" ref="AF19:AF63" si="2">Z19*AE19</f>
        <v>89.063000000000002</v>
      </c>
      <c r="AG19" s="1281"/>
      <c r="AI19" s="1282">
        <f t="shared" ref="AI19:AI82" si="3">(9.81*(AJ19*(100%-(V19/100))+AK19*(V19/100))*(I19-L19)+N19*101.325+9.81*(AL19)*L19)/101.325</f>
        <v>22.626753624957274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676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4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3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676">
        <v>528.5</v>
      </c>
      <c r="J21" s="241">
        <v>85</v>
      </c>
      <c r="K21" s="241"/>
      <c r="L21" s="1277">
        <v>434</v>
      </c>
      <c r="M21" s="241"/>
      <c r="N21" s="1278">
        <v>5.8</v>
      </c>
      <c r="O21" s="241"/>
      <c r="P21" s="1278">
        <f t="shared" ref="P21:P84" si="5">AI21</f>
        <v>14.490848202391264</v>
      </c>
      <c r="Q21" s="1278">
        <f>RIGHT(H21,(FIND("T",H21,1)-0))*J21/100</f>
        <v>17</v>
      </c>
      <c r="R21" s="244">
        <v>6.2030000000000003</v>
      </c>
      <c r="S21" s="244">
        <v>11.212999999999999</v>
      </c>
      <c r="T21" s="1277">
        <v>17</v>
      </c>
      <c r="U21" s="1278">
        <f t="shared" si="0"/>
        <v>2.7406093825568272</v>
      </c>
      <c r="V21" s="1278">
        <f t="shared" ref="V21:V55" si="6">(S21-R21)/S21*100</f>
        <v>44.680281815749566</v>
      </c>
      <c r="W21" s="1279">
        <v>0.2</v>
      </c>
      <c r="X21" s="1316">
        <v>85</v>
      </c>
      <c r="Y21" s="1277">
        <f t="shared" si="4"/>
        <v>65.95882352941176</v>
      </c>
      <c r="Z21" s="244">
        <v>5.6509999999999998</v>
      </c>
      <c r="AA21" s="244">
        <v>11.225</v>
      </c>
      <c r="AB21" s="1277">
        <f t="shared" ref="Z21:AB35" si="7">T21*0.988</f>
        <v>16.795999999999999</v>
      </c>
      <c r="AC21" s="244">
        <f t="shared" ref="AC21:AD36" si="8">U21</f>
        <v>2.7406093825568272</v>
      </c>
      <c r="AD21" s="1277">
        <f t="shared" si="8"/>
        <v>44.680281815749566</v>
      </c>
      <c r="AE21" s="241">
        <f t="shared" si="1"/>
        <v>31</v>
      </c>
      <c r="AF21" s="244">
        <f t="shared" si="2"/>
        <v>175.18099999999998</v>
      </c>
      <c r="AG21" s="1281"/>
      <c r="AI21" s="1282">
        <f t="shared" si="3"/>
        <v>14.490848202391264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76">
        <v>544.29999999999995</v>
      </c>
      <c r="J22" s="241">
        <v>195</v>
      </c>
      <c r="K22" s="241"/>
      <c r="L22" s="1277">
        <v>451</v>
      </c>
      <c r="M22" s="241"/>
      <c r="N22" s="1278">
        <v>3.6</v>
      </c>
      <c r="O22" s="241"/>
      <c r="P22" s="1278">
        <f t="shared" si="5"/>
        <v>12.245121257576809</v>
      </c>
      <c r="Q22" s="1278">
        <f t="shared" ref="Q22:Q27" si="9">RIGHT(H22,(FIND("T",H22,1)-0))*J22/100</f>
        <v>27.3</v>
      </c>
      <c r="R22" s="244">
        <v>8.6690000000000005</v>
      </c>
      <c r="S22" s="244">
        <v>16.263999999999999</v>
      </c>
      <c r="T22" s="1277">
        <v>179</v>
      </c>
      <c r="U22" s="1278">
        <f t="shared" si="0"/>
        <v>20.648286999653937</v>
      </c>
      <c r="V22" s="1278">
        <f t="shared" si="6"/>
        <v>46.698229217904569</v>
      </c>
      <c r="W22" s="1279">
        <v>0.23</v>
      </c>
      <c r="X22" s="1316">
        <v>195</v>
      </c>
      <c r="Y22" s="1277">
        <f t="shared" si="4"/>
        <v>59.575091575091577</v>
      </c>
      <c r="Z22" s="244">
        <f t="shared" si="7"/>
        <v>8.5649720000000009</v>
      </c>
      <c r="AA22" s="244">
        <f t="shared" si="7"/>
        <v>16.068832</v>
      </c>
      <c r="AB22" s="1277">
        <f t="shared" si="7"/>
        <v>176.852</v>
      </c>
      <c r="AC22" s="244">
        <f t="shared" si="8"/>
        <v>20.648286999653937</v>
      </c>
      <c r="AD22" s="1277">
        <f t="shared" si="8"/>
        <v>46.698229217904569</v>
      </c>
      <c r="AE22" s="241">
        <f t="shared" si="1"/>
        <v>31</v>
      </c>
      <c r="AF22" s="244">
        <f t="shared" si="2"/>
        <v>265.51413200000002</v>
      </c>
      <c r="AG22" s="1281"/>
      <c r="AI22" s="1282">
        <f t="shared" si="3"/>
        <v>12.245121257576809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76">
        <v>548.32000000000005</v>
      </c>
      <c r="J23" s="241">
        <v>70</v>
      </c>
      <c r="K23" s="241"/>
      <c r="L23" s="1277">
        <v>388</v>
      </c>
      <c r="M23" s="241"/>
      <c r="N23" s="1278">
        <v>2.1</v>
      </c>
      <c r="O23" s="241"/>
      <c r="P23" s="1278">
        <f t="shared" si="5"/>
        <v>16.481932722472376</v>
      </c>
      <c r="Q23" s="1278">
        <f t="shared" si="9"/>
        <v>9.8000000000000007</v>
      </c>
      <c r="R23" s="244">
        <v>4.6680000000000001</v>
      </c>
      <c r="S23" s="244">
        <v>5.4020000000000001</v>
      </c>
      <c r="T23" s="1277">
        <v>37</v>
      </c>
      <c r="U23" s="1278">
        <f t="shared" si="0"/>
        <v>7.9263067694944302</v>
      </c>
      <c r="V23" s="1278">
        <f t="shared" si="6"/>
        <v>13.587560162902628</v>
      </c>
      <c r="W23" s="1279">
        <v>0.2</v>
      </c>
      <c r="X23" s="1316">
        <v>70</v>
      </c>
      <c r="Y23" s="1277">
        <f t="shared" si="4"/>
        <v>55.12244897959183</v>
      </c>
      <c r="Z23" s="244">
        <f t="shared" si="7"/>
        <v>4.6119840000000005</v>
      </c>
      <c r="AA23" s="244">
        <f t="shared" si="7"/>
        <v>5.3371760000000004</v>
      </c>
      <c r="AB23" s="1277">
        <f t="shared" si="7"/>
        <v>36.555999999999997</v>
      </c>
      <c r="AC23" s="244">
        <f t="shared" si="8"/>
        <v>7.9263067694944302</v>
      </c>
      <c r="AD23" s="1277">
        <f t="shared" si="8"/>
        <v>13.587560162902628</v>
      </c>
      <c r="AE23" s="241">
        <f t="shared" si="1"/>
        <v>31</v>
      </c>
      <c r="AF23" s="244">
        <f t="shared" si="2"/>
        <v>142.97150400000001</v>
      </c>
      <c r="AG23" s="1281"/>
      <c r="AI23" s="1282">
        <f t="shared" si="3"/>
        <v>16.481932722472376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76">
        <v>563.03</v>
      </c>
      <c r="J24" s="241">
        <v>135</v>
      </c>
      <c r="K24" s="241"/>
      <c r="L24" s="1277">
        <v>414</v>
      </c>
      <c r="M24" s="241"/>
      <c r="N24" s="1278">
        <v>0.8</v>
      </c>
      <c r="O24" s="241"/>
      <c r="P24" s="1278">
        <f t="shared" si="5"/>
        <v>14.539088566066559</v>
      </c>
      <c r="Q24" s="1278">
        <f t="shared" si="9"/>
        <v>18.899999999999999</v>
      </c>
      <c r="R24" s="244">
        <v>5.9550000000000001</v>
      </c>
      <c r="S24" s="244">
        <v>7.5359999999999996</v>
      </c>
      <c r="T24" s="1277">
        <v>14</v>
      </c>
      <c r="U24" s="1278">
        <f t="shared" si="0"/>
        <v>2.3509655751469354</v>
      </c>
      <c r="V24" s="1278">
        <f t="shared" si="6"/>
        <v>20.979299363057319</v>
      </c>
      <c r="W24" s="1279">
        <v>0.2</v>
      </c>
      <c r="X24" s="1316">
        <v>135</v>
      </c>
      <c r="Y24" s="1277">
        <f t="shared" si="4"/>
        <v>39.873015873015873</v>
      </c>
      <c r="Z24" s="244">
        <f t="shared" si="7"/>
        <v>5.88354</v>
      </c>
      <c r="AA24" s="244">
        <f t="shared" si="7"/>
        <v>7.4455679999999997</v>
      </c>
      <c r="AB24" s="1277">
        <f t="shared" si="7"/>
        <v>13.832000000000001</v>
      </c>
      <c r="AC24" s="244">
        <f t="shared" si="8"/>
        <v>2.3509655751469354</v>
      </c>
      <c r="AD24" s="1277">
        <f t="shared" si="8"/>
        <v>20.979299363057319</v>
      </c>
      <c r="AE24" s="241">
        <f t="shared" si="1"/>
        <v>31</v>
      </c>
      <c r="AF24" s="244">
        <f t="shared" si="2"/>
        <v>182.38973999999999</v>
      </c>
      <c r="AG24" s="1281"/>
      <c r="AI24" s="1282">
        <f t="shared" si="3"/>
        <v>14.539088566066559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76">
        <v>548.85</v>
      </c>
      <c r="J25" s="241">
        <v>200</v>
      </c>
      <c r="K25" s="241"/>
      <c r="L25" s="1277">
        <v>394</v>
      </c>
      <c r="M25" s="241"/>
      <c r="N25" s="1278">
        <v>1.3</v>
      </c>
      <c r="O25" s="241"/>
      <c r="P25" s="1278">
        <f t="shared" si="5"/>
        <v>15.771176838853764</v>
      </c>
      <c r="Q25" s="1278">
        <f t="shared" si="9"/>
        <v>28</v>
      </c>
      <c r="R25" s="244">
        <v>3.6429999999999998</v>
      </c>
      <c r="S25" s="244">
        <v>6.8550000000000004</v>
      </c>
      <c r="T25" s="1277">
        <v>0</v>
      </c>
      <c r="U25" s="1278">
        <f t="shared" si="0"/>
        <v>0</v>
      </c>
      <c r="V25" s="1278">
        <f t="shared" si="6"/>
        <v>46.856309263311459</v>
      </c>
      <c r="W25" s="1279">
        <v>0.2</v>
      </c>
      <c r="X25" s="1316">
        <v>200</v>
      </c>
      <c r="Y25" s="1277">
        <f t="shared" si="4"/>
        <v>24.482142857142858</v>
      </c>
      <c r="Z25" s="244">
        <f t="shared" si="7"/>
        <v>3.5992839999999999</v>
      </c>
      <c r="AA25" s="244">
        <f t="shared" si="7"/>
        <v>6.7727400000000006</v>
      </c>
      <c r="AB25" s="1277">
        <f t="shared" si="7"/>
        <v>0</v>
      </c>
      <c r="AC25" s="244">
        <f t="shared" si="8"/>
        <v>0</v>
      </c>
      <c r="AD25" s="1277">
        <f t="shared" si="8"/>
        <v>46.856309263311459</v>
      </c>
      <c r="AE25" s="241">
        <v>25</v>
      </c>
      <c r="AF25" s="244">
        <f t="shared" si="2"/>
        <v>89.982100000000003</v>
      </c>
      <c r="AG25" s="1281" t="s">
        <v>785</v>
      </c>
      <c r="AI25" s="1282">
        <f t="shared" si="3"/>
        <v>15.771176838853764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446</v>
      </c>
      <c r="M26" s="1302"/>
      <c r="N26" s="1278">
        <v>5</v>
      </c>
      <c r="O26" s="1302"/>
      <c r="P26" s="1278">
        <f t="shared" si="5"/>
        <v>15.153719409690842</v>
      </c>
      <c r="Q26" s="1278">
        <f t="shared" si="9"/>
        <v>20</v>
      </c>
      <c r="R26" s="244">
        <v>4.1619999999999999</v>
      </c>
      <c r="S26" s="244">
        <v>12.762</v>
      </c>
      <c r="T26" s="1277">
        <v>82</v>
      </c>
      <c r="U26" s="1278">
        <f t="shared" si="0"/>
        <v>19.702066314271985</v>
      </c>
      <c r="V26" s="1278">
        <f t="shared" si="6"/>
        <v>67.387556809277555</v>
      </c>
      <c r="W26" s="1279">
        <v>0.2</v>
      </c>
      <c r="X26" s="1316">
        <v>100</v>
      </c>
      <c r="Y26" s="1277">
        <f t="shared" si="4"/>
        <v>63.81</v>
      </c>
      <c r="Z26" s="244">
        <f t="shared" si="7"/>
        <v>4.1120559999999999</v>
      </c>
      <c r="AA26" s="244">
        <f t="shared" si="7"/>
        <v>12.608856000000001</v>
      </c>
      <c r="AB26" s="1277">
        <f t="shared" si="7"/>
        <v>81.016000000000005</v>
      </c>
      <c r="AC26" s="244">
        <f t="shared" si="8"/>
        <v>19.702066314271985</v>
      </c>
      <c r="AD26" s="1277">
        <f t="shared" si="8"/>
        <v>67.387556809277555</v>
      </c>
      <c r="AE26" s="241">
        <f t="shared" si="1"/>
        <v>31</v>
      </c>
      <c r="AF26" s="244">
        <f t="shared" si="2"/>
        <v>127.473736</v>
      </c>
      <c r="AG26" s="1281"/>
      <c r="AI26" s="1282">
        <f t="shared" si="3"/>
        <v>15.153719409690842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686</v>
      </c>
      <c r="I27" s="1676">
        <v>569.48</v>
      </c>
      <c r="J27" s="241">
        <v>200</v>
      </c>
      <c r="K27" s="241"/>
      <c r="L27" s="1277">
        <v>448</v>
      </c>
      <c r="M27" s="241"/>
      <c r="N27" s="1278">
        <v>2.5</v>
      </c>
      <c r="O27" s="241"/>
      <c r="P27" s="1278">
        <f t="shared" si="5"/>
        <v>13.965389416674274</v>
      </c>
      <c r="Q27" s="1278">
        <f t="shared" si="9"/>
        <v>40</v>
      </c>
      <c r="R27" s="244">
        <v>7.5149999999999997</v>
      </c>
      <c r="S27" s="244">
        <v>17.931000000000001</v>
      </c>
      <c r="T27" s="1277">
        <v>57</v>
      </c>
      <c r="U27" s="1278">
        <f t="shared" si="0"/>
        <v>7.5848303393213579</v>
      </c>
      <c r="V27" s="1278">
        <f t="shared" si="6"/>
        <v>58.089342479504765</v>
      </c>
      <c r="W27" s="1279">
        <v>0.2</v>
      </c>
      <c r="X27" s="1316">
        <v>200</v>
      </c>
      <c r="Y27" s="1277">
        <f t="shared" si="4"/>
        <v>44.827500000000001</v>
      </c>
      <c r="Z27" s="244">
        <f t="shared" si="7"/>
        <v>7.4248199999999995</v>
      </c>
      <c r="AA27" s="244">
        <f t="shared" si="7"/>
        <v>17.715828000000002</v>
      </c>
      <c r="AB27" s="1277">
        <f t="shared" si="7"/>
        <v>56.316000000000003</v>
      </c>
      <c r="AC27" s="244">
        <f t="shared" si="8"/>
        <v>7.5848303393213579</v>
      </c>
      <c r="AD27" s="1277">
        <f t="shared" si="8"/>
        <v>58.089342479504765</v>
      </c>
      <c r="AE27" s="241">
        <f t="shared" si="1"/>
        <v>31</v>
      </c>
      <c r="AF27" s="244">
        <f t="shared" si="2"/>
        <v>230.16941999999997</v>
      </c>
      <c r="AG27" s="1281"/>
      <c r="AI27" s="1282">
        <f t="shared" si="3"/>
        <v>13.965389416674274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76">
        <v>566.99</v>
      </c>
      <c r="J28" s="1448">
        <v>85</v>
      </c>
      <c r="K28" s="241"/>
      <c r="L28" s="1277">
        <v>294</v>
      </c>
      <c r="M28" s="241"/>
      <c r="N28" s="1278">
        <v>0.7</v>
      </c>
      <c r="O28" s="241"/>
      <c r="P28" s="1278">
        <f t="shared" si="5"/>
        <v>26.61101754006593</v>
      </c>
      <c r="Q28" s="1278">
        <f>J28*14/100</f>
        <v>11.9</v>
      </c>
      <c r="R28" s="244">
        <v>5.2279999999999998</v>
      </c>
      <c r="S28" s="244">
        <v>12.269</v>
      </c>
      <c r="T28" s="1277">
        <v>16</v>
      </c>
      <c r="U28" s="1278">
        <f t="shared" si="0"/>
        <v>3.0604437643458304</v>
      </c>
      <c r="V28" s="1278">
        <f t="shared" si="6"/>
        <v>57.388540223327091</v>
      </c>
      <c r="W28" s="1279">
        <v>0.2</v>
      </c>
      <c r="X28" s="1449">
        <v>85</v>
      </c>
      <c r="Y28" s="1277">
        <f t="shared" si="4"/>
        <v>103.10084033613445</v>
      </c>
      <c r="Z28" s="244">
        <f t="shared" si="7"/>
        <v>5.1652639999999996</v>
      </c>
      <c r="AA28" s="244">
        <f t="shared" si="7"/>
        <v>12.121772</v>
      </c>
      <c r="AB28" s="1277">
        <f t="shared" si="7"/>
        <v>15.808</v>
      </c>
      <c r="AC28" s="244">
        <f t="shared" si="8"/>
        <v>3.0604437643458304</v>
      </c>
      <c r="AD28" s="1277">
        <f t="shared" si="8"/>
        <v>57.388540223327091</v>
      </c>
      <c r="AE28" s="241">
        <f t="shared" si="1"/>
        <v>31</v>
      </c>
      <c r="AF28" s="244">
        <f t="shared" si="2"/>
        <v>160.12318399999998</v>
      </c>
      <c r="AG28" s="1285"/>
      <c r="AI28" s="1282">
        <f t="shared" si="3"/>
        <v>26.61101754006593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76">
        <v>593.29</v>
      </c>
      <c r="J29" s="241">
        <v>260</v>
      </c>
      <c r="K29" s="241"/>
      <c r="L29" s="1277">
        <v>390</v>
      </c>
      <c r="M29" s="241"/>
      <c r="N29" s="1278">
        <v>4</v>
      </c>
      <c r="O29" s="241"/>
      <c r="P29" s="1278">
        <f t="shared" si="5"/>
        <v>23.609078898304592</v>
      </c>
      <c r="Q29" s="1278">
        <f>(15/100)*J29</f>
        <v>39</v>
      </c>
      <c r="R29" s="244">
        <v>1.427</v>
      </c>
      <c r="S29" s="244">
        <v>3.5569999999999999</v>
      </c>
      <c r="T29" s="1277">
        <v>39</v>
      </c>
      <c r="U29" s="1278">
        <f t="shared" si="0"/>
        <v>27.330063069376312</v>
      </c>
      <c r="V29" s="1278">
        <f t="shared" si="6"/>
        <v>59.881922968793923</v>
      </c>
      <c r="W29" s="1279">
        <v>0.27</v>
      </c>
      <c r="X29" s="1316">
        <v>260</v>
      </c>
      <c r="Y29" s="1277">
        <f t="shared" si="4"/>
        <v>9.1205128205128201</v>
      </c>
      <c r="Z29" s="244">
        <f t="shared" si="7"/>
        <v>1.4098760000000001</v>
      </c>
      <c r="AA29" s="244">
        <f t="shared" si="7"/>
        <v>3.514316</v>
      </c>
      <c r="AB29" s="1277">
        <f t="shared" si="7"/>
        <v>38.531999999999996</v>
      </c>
      <c r="AC29" s="244">
        <f t="shared" si="8"/>
        <v>27.330063069376312</v>
      </c>
      <c r="AD29" s="1277">
        <f t="shared" si="8"/>
        <v>59.881922968793923</v>
      </c>
      <c r="AE29" s="241">
        <f t="shared" si="1"/>
        <v>31</v>
      </c>
      <c r="AF29" s="244">
        <f t="shared" si="2"/>
        <v>43.706156000000007</v>
      </c>
      <c r="AG29" s="1285"/>
      <c r="AI29" s="1282">
        <f t="shared" si="3"/>
        <v>23.609078898304592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76" t="s">
        <v>298</v>
      </c>
      <c r="F30" s="241">
        <v>177.8</v>
      </c>
      <c r="G30" s="241" t="s">
        <v>28</v>
      </c>
      <c r="H30" s="1299" t="s">
        <v>687</v>
      </c>
      <c r="I30" s="1676">
        <v>558.21</v>
      </c>
      <c r="J30" s="1448">
        <v>85</v>
      </c>
      <c r="K30" s="241"/>
      <c r="L30" s="1277">
        <v>250</v>
      </c>
      <c r="M30" s="241"/>
      <c r="N30" s="1278">
        <v>2.2000000000000002</v>
      </c>
      <c r="O30" s="241"/>
      <c r="P30" s="1278">
        <f t="shared" si="5"/>
        <v>31.775877963845783</v>
      </c>
      <c r="Q30" s="1278">
        <f>20*J30/100</f>
        <v>17</v>
      </c>
      <c r="R30" s="244">
        <v>2.6640000000000001</v>
      </c>
      <c r="S30" s="244">
        <v>10.664999999999999</v>
      </c>
      <c r="T30" s="1277">
        <v>5</v>
      </c>
      <c r="U30" s="1278">
        <f t="shared" si="0"/>
        <v>1.8768768768768769</v>
      </c>
      <c r="V30" s="1278">
        <f t="shared" si="6"/>
        <v>75.021097046413502</v>
      </c>
      <c r="W30" s="1279">
        <v>0.3</v>
      </c>
      <c r="X30" s="1449">
        <v>85</v>
      </c>
      <c r="Y30" s="1277">
        <f t="shared" si="4"/>
        <v>62.735294117647058</v>
      </c>
      <c r="Z30" s="244">
        <f t="shared" si="7"/>
        <v>2.6320320000000001</v>
      </c>
      <c r="AA30" s="244">
        <f t="shared" si="7"/>
        <v>10.537019999999998</v>
      </c>
      <c r="AB30" s="1277">
        <f t="shared" si="7"/>
        <v>4.9399999999999995</v>
      </c>
      <c r="AC30" s="244">
        <f t="shared" si="8"/>
        <v>1.8768768768768769</v>
      </c>
      <c r="AD30" s="1277">
        <f t="shared" si="8"/>
        <v>75.021097046413502</v>
      </c>
      <c r="AE30" s="241">
        <f t="shared" si="1"/>
        <v>31</v>
      </c>
      <c r="AF30" s="244">
        <f>Z30*AE30</f>
        <v>81.59299200000001</v>
      </c>
      <c r="AG30" s="1285"/>
      <c r="AI30" s="1282">
        <f t="shared" si="3"/>
        <v>31.775877963845783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76" t="s">
        <v>79</v>
      </c>
      <c r="F31" s="241">
        <v>177.8</v>
      </c>
      <c r="G31" s="241" t="s">
        <v>28</v>
      </c>
      <c r="H31" s="1299" t="s">
        <v>565</v>
      </c>
      <c r="I31" s="1676">
        <v>526.29</v>
      </c>
      <c r="J31" s="1448">
        <v>290</v>
      </c>
      <c r="K31" s="241"/>
      <c r="L31" s="1277">
        <v>248</v>
      </c>
      <c r="M31" s="241"/>
      <c r="N31" s="1278">
        <v>2.4</v>
      </c>
      <c r="O31" s="241"/>
      <c r="P31" s="1278">
        <f t="shared" si="5"/>
        <v>29.454944805127557</v>
      </c>
      <c r="Q31" s="1278">
        <f>LEFT(H31,(FIND("E",H31,1)-1))*J31/100</f>
        <v>92.8</v>
      </c>
      <c r="R31" s="244">
        <v>7.1589999999999998</v>
      </c>
      <c r="S31" s="244">
        <v>44.686</v>
      </c>
      <c r="T31" s="1277">
        <v>384</v>
      </c>
      <c r="U31" s="1278">
        <f t="shared" si="0"/>
        <v>53.638776365414166</v>
      </c>
      <c r="V31" s="1278">
        <f t="shared" si="6"/>
        <v>83.979322382849219</v>
      </c>
      <c r="W31" s="1279">
        <v>0.2</v>
      </c>
      <c r="X31" s="1449">
        <v>290</v>
      </c>
      <c r="Y31" s="1277">
        <f t="shared" si="4"/>
        <v>48.153017241379317</v>
      </c>
      <c r="Z31" s="244">
        <f t="shared" si="7"/>
        <v>7.0730919999999999</v>
      </c>
      <c r="AA31" s="244">
        <f t="shared" si="7"/>
        <v>44.149768000000002</v>
      </c>
      <c r="AB31" s="1277">
        <f t="shared" si="7"/>
        <v>379.392</v>
      </c>
      <c r="AC31" s="244">
        <f t="shared" si="8"/>
        <v>53.638776365414166</v>
      </c>
      <c r="AD31" s="1277">
        <f t="shared" si="8"/>
        <v>83.979322382849219</v>
      </c>
      <c r="AE31" s="241">
        <f t="shared" si="1"/>
        <v>31</v>
      </c>
      <c r="AF31" s="244">
        <f>Z31*AE31</f>
        <v>219.265852</v>
      </c>
      <c r="AG31" s="1281"/>
      <c r="AI31" s="1282">
        <f t="shared" si="3"/>
        <v>29.454944805127557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76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415</v>
      </c>
      <c r="M32" s="241"/>
      <c r="N32" s="1278">
        <v>4.5999999999999996</v>
      </c>
      <c r="O32" s="241"/>
      <c r="P32" s="1278">
        <f t="shared" si="5"/>
        <v>14.394149796978077</v>
      </c>
      <c r="Q32" s="1278">
        <f>RIGHT(H32,(FIND("T",H32,1)-0))*J32/100</f>
        <v>56</v>
      </c>
      <c r="R32" s="244">
        <v>10.692</v>
      </c>
      <c r="S32" s="244">
        <v>25.725000000000001</v>
      </c>
      <c r="T32" s="1277">
        <v>407</v>
      </c>
      <c r="U32" s="1278">
        <f t="shared" si="0"/>
        <v>38.065843621399175</v>
      </c>
      <c r="V32" s="1278">
        <f t="shared" si="6"/>
        <v>58.437317784256557</v>
      </c>
      <c r="W32" s="1279">
        <v>0.2</v>
      </c>
      <c r="X32" s="1316">
        <v>280</v>
      </c>
      <c r="Y32" s="1277">
        <f t="shared" si="4"/>
        <v>45.9375</v>
      </c>
      <c r="Z32" s="244">
        <f t="shared" si="7"/>
        <v>10.563696</v>
      </c>
      <c r="AA32" s="244">
        <f t="shared" si="7"/>
        <v>25.4163</v>
      </c>
      <c r="AB32" s="1277">
        <f t="shared" si="7"/>
        <v>402.11599999999999</v>
      </c>
      <c r="AC32" s="244">
        <f t="shared" si="8"/>
        <v>38.065843621399175</v>
      </c>
      <c r="AD32" s="1277">
        <f t="shared" si="8"/>
        <v>58.437317784256557</v>
      </c>
      <c r="AE32" s="241">
        <f t="shared" si="1"/>
        <v>31</v>
      </c>
      <c r="AF32" s="244">
        <f t="shared" si="2"/>
        <v>327.47457600000001</v>
      </c>
      <c r="AG32" s="1281"/>
      <c r="AI32" s="1282">
        <f t="shared" si="3"/>
        <v>14.394149796978077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76">
        <v>569.99</v>
      </c>
      <c r="J33" s="1448">
        <v>220</v>
      </c>
      <c r="K33" s="241"/>
      <c r="L33" s="1277">
        <v>433</v>
      </c>
      <c r="M33" s="241"/>
      <c r="N33" s="1278">
        <v>3.5</v>
      </c>
      <c r="O33" s="241"/>
      <c r="P33" s="1278">
        <f t="shared" si="5"/>
        <v>16.678509016881417</v>
      </c>
      <c r="Q33" s="1278">
        <f>LEFT(H33,(FIND("K",H33,1)-1))*J33/100</f>
        <v>28.6</v>
      </c>
      <c r="R33" s="244">
        <v>6.1210000000000004</v>
      </c>
      <c r="S33" s="244">
        <v>19.608000000000001</v>
      </c>
      <c r="T33" s="1277">
        <v>76</v>
      </c>
      <c r="U33" s="1278">
        <f t="shared" si="0"/>
        <v>12.416271851004737</v>
      </c>
      <c r="V33" s="1278">
        <f t="shared" si="6"/>
        <v>68.783149734802123</v>
      </c>
      <c r="W33" s="1279">
        <v>0.2</v>
      </c>
      <c r="X33" s="1449">
        <v>220</v>
      </c>
      <c r="Y33" s="1277">
        <f t="shared" si="4"/>
        <v>68.55944055944056</v>
      </c>
      <c r="Z33" s="244">
        <f t="shared" si="7"/>
        <v>6.0475480000000008</v>
      </c>
      <c r="AA33" s="244">
        <f t="shared" si="7"/>
        <v>19.372703999999999</v>
      </c>
      <c r="AB33" s="1277">
        <f t="shared" si="7"/>
        <v>75.087999999999994</v>
      </c>
      <c r="AC33" s="244">
        <f t="shared" si="8"/>
        <v>12.416271851004737</v>
      </c>
      <c r="AD33" s="1277">
        <f t="shared" si="8"/>
        <v>68.783149734802123</v>
      </c>
      <c r="AE33" s="241">
        <f t="shared" si="1"/>
        <v>31</v>
      </c>
      <c r="AF33" s="244">
        <f>Z33*AE33</f>
        <v>187.47398800000002</v>
      </c>
      <c r="AG33" s="1285"/>
      <c r="AI33" s="1282">
        <f t="shared" si="3"/>
        <v>16.678509016881417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5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6"/>
        <v>#DIV/0!</v>
      </c>
      <c r="W34" s="1308">
        <v>0</v>
      </c>
      <c r="X34" s="238">
        <v>0</v>
      </c>
      <c r="Y34" s="1277">
        <f t="shared" si="4"/>
        <v>0</v>
      </c>
      <c r="Z34" s="244">
        <v>0</v>
      </c>
      <c r="AA34" s="244">
        <v>0</v>
      </c>
      <c r="AB34" s="1277">
        <f t="shared" si="7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3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95</v>
      </c>
      <c r="K35" s="241"/>
      <c r="L35" s="1277">
        <v>436</v>
      </c>
      <c r="M35" s="241"/>
      <c r="N35" s="1278">
        <v>2.5</v>
      </c>
      <c r="O35" s="241"/>
      <c r="P35" s="1278">
        <f t="shared" si="5"/>
        <v>14.574056026298308</v>
      </c>
      <c r="Q35" s="1278">
        <f>20*J35/100</f>
        <v>19</v>
      </c>
      <c r="R35" s="244">
        <v>1.8580000000000001</v>
      </c>
      <c r="S35" s="244">
        <v>5.5270000000000001</v>
      </c>
      <c r="T35" s="1277">
        <v>18</v>
      </c>
      <c r="U35" s="1278">
        <f t="shared" si="0"/>
        <v>9.687836383207749</v>
      </c>
      <c r="V35" s="1278">
        <f t="shared" si="6"/>
        <v>66.383209697846937</v>
      </c>
      <c r="W35" s="1279">
        <v>0.2</v>
      </c>
      <c r="X35" s="1316">
        <v>95</v>
      </c>
      <c r="Y35" s="1277">
        <f t="shared" si="4"/>
        <v>29.089473684210525</v>
      </c>
      <c r="Z35" s="244">
        <f t="shared" si="7"/>
        <v>1.835704</v>
      </c>
      <c r="AA35" s="244">
        <f t="shared" si="7"/>
        <v>5.4606760000000003</v>
      </c>
      <c r="AB35" s="1277">
        <f t="shared" si="7"/>
        <v>17.783999999999999</v>
      </c>
      <c r="AC35" s="1307">
        <f t="shared" si="8"/>
        <v>9.687836383207749</v>
      </c>
      <c r="AD35" s="1305">
        <f t="shared" si="8"/>
        <v>66.383209697846937</v>
      </c>
      <c r="AE35" s="241">
        <f t="shared" si="1"/>
        <v>31</v>
      </c>
      <c r="AF35" s="1307">
        <f>Z35*AE35</f>
        <v>56.906824</v>
      </c>
      <c r="AG35" s="1285"/>
      <c r="AI35" s="1282">
        <f t="shared" si="3"/>
        <v>14.574056026298308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76">
        <v>564.05999999999995</v>
      </c>
      <c r="J36" s="241">
        <v>150</v>
      </c>
      <c r="K36" s="241"/>
      <c r="L36" s="1277">
        <v>408</v>
      </c>
      <c r="M36" s="241"/>
      <c r="N36" s="1278">
        <v>0</v>
      </c>
      <c r="O36" s="241"/>
      <c r="P36" s="1278">
        <f t="shared" si="5"/>
        <v>14.855718450303288</v>
      </c>
      <c r="Q36" s="1278">
        <f>LEFT(H36,(FIND("E",H36,1)-1))*J36/100</f>
        <v>19.5</v>
      </c>
      <c r="R36" s="244">
        <v>3.4620000000000002</v>
      </c>
      <c r="S36" s="244">
        <v>9.1980000000000004</v>
      </c>
      <c r="T36" s="1277">
        <v>9</v>
      </c>
      <c r="U36" s="1278">
        <f t="shared" si="0"/>
        <v>2.5996533795493932</v>
      </c>
      <c r="V36" s="1278">
        <f t="shared" si="6"/>
        <v>62.361382909328121</v>
      </c>
      <c r="W36" s="1279">
        <v>0</v>
      </c>
      <c r="X36" s="1316">
        <v>150</v>
      </c>
      <c r="Y36" s="1277">
        <f t="shared" si="4"/>
        <v>47.169230769230772</v>
      </c>
      <c r="Z36" s="244">
        <v>3.2149999999999999</v>
      </c>
      <c r="AA36" s="244">
        <v>9.2829999999999995</v>
      </c>
      <c r="AB36" s="1277">
        <v>17</v>
      </c>
      <c r="AC36" s="1307">
        <f t="shared" si="8"/>
        <v>2.5996533795493932</v>
      </c>
      <c r="AD36" s="1305">
        <f t="shared" si="8"/>
        <v>62.361382909328121</v>
      </c>
      <c r="AE36" s="241">
        <f t="shared" si="1"/>
        <v>31</v>
      </c>
      <c r="AF36" s="244">
        <f t="shared" si="2"/>
        <v>99.664999999999992</v>
      </c>
      <c r="AG36" s="1281"/>
      <c r="AI36" s="1282">
        <f t="shared" si="3"/>
        <v>14.855718450303288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76">
        <v>551</v>
      </c>
      <c r="J37" s="1448">
        <v>165</v>
      </c>
      <c r="K37" s="241"/>
      <c r="L37" s="1277">
        <v>451</v>
      </c>
      <c r="M37" s="241"/>
      <c r="N37" s="1278">
        <v>2.5</v>
      </c>
      <c r="O37" s="241"/>
      <c r="P37" s="1278">
        <f t="shared" si="5"/>
        <v>11.693485182866384</v>
      </c>
      <c r="Q37" s="1278">
        <f>14*J37/100</f>
        <v>23.1</v>
      </c>
      <c r="R37" s="244">
        <v>6.2789999999999999</v>
      </c>
      <c r="S37" s="244">
        <v>11.119</v>
      </c>
      <c r="T37" s="1277">
        <v>53</v>
      </c>
      <c r="U37" s="1278">
        <f t="shared" si="0"/>
        <v>8.4408345277910488</v>
      </c>
      <c r="V37" s="1278">
        <f t="shared" si="6"/>
        <v>43.529094343016453</v>
      </c>
      <c r="W37" s="1279">
        <v>0.2</v>
      </c>
      <c r="X37" s="1449">
        <v>165</v>
      </c>
      <c r="Y37" s="1277">
        <f t="shared" si="4"/>
        <v>48.134199134199129</v>
      </c>
      <c r="Z37" s="244">
        <f t="shared" ref="Z37:AB43" si="10">R37*0.988</f>
        <v>6.2036519999999999</v>
      </c>
      <c r="AA37" s="244">
        <f t="shared" si="10"/>
        <v>10.985571999999999</v>
      </c>
      <c r="AB37" s="1277">
        <f t="shared" si="10"/>
        <v>52.363999999999997</v>
      </c>
      <c r="AC37" s="244">
        <f t="shared" ref="AC37:AD38" si="11">U37</f>
        <v>8.4408345277910488</v>
      </c>
      <c r="AD37" s="1305">
        <f t="shared" si="11"/>
        <v>43.529094343016453</v>
      </c>
      <c r="AE37" s="241">
        <f t="shared" si="1"/>
        <v>31</v>
      </c>
      <c r="AF37" s="244">
        <f t="shared" si="2"/>
        <v>192.31321199999999</v>
      </c>
      <c r="AG37" s="1450"/>
      <c r="AI37" s="1282">
        <f t="shared" si="3"/>
        <v>11.693485182866384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676">
        <v>565.36</v>
      </c>
      <c r="J38" s="241">
        <v>100</v>
      </c>
      <c r="K38" s="241"/>
      <c r="L38" s="1277">
        <v>296</v>
      </c>
      <c r="M38" s="241"/>
      <c r="N38" s="1278">
        <v>0.9</v>
      </c>
      <c r="O38" s="241"/>
      <c r="P38" s="1278">
        <f t="shared" si="5"/>
        <v>26.792888052941436</v>
      </c>
      <c r="Q38" s="1278">
        <f>13*J38/100</f>
        <v>13</v>
      </c>
      <c r="R38" s="244">
        <v>2.1579999999999999</v>
      </c>
      <c r="S38" s="244">
        <v>9.8130000000000006</v>
      </c>
      <c r="T38" s="1277">
        <v>11</v>
      </c>
      <c r="U38" s="1278">
        <f>IF(R38=0,0,T38/R38)</f>
        <v>5.0973123262279891</v>
      </c>
      <c r="V38" s="1278">
        <f t="shared" si="6"/>
        <v>78.008763884642832</v>
      </c>
      <c r="W38" s="1279">
        <v>0.2</v>
      </c>
      <c r="X38" s="1316">
        <v>100</v>
      </c>
      <c r="Y38" s="1277">
        <f t="shared" si="4"/>
        <v>75.484615384615395</v>
      </c>
      <c r="Z38" s="244">
        <f t="shared" si="10"/>
        <v>2.132104</v>
      </c>
      <c r="AA38" s="244">
        <f t="shared" si="10"/>
        <v>9.6952440000000006</v>
      </c>
      <c r="AB38" s="1277">
        <f t="shared" si="10"/>
        <v>10.868</v>
      </c>
      <c r="AC38" s="244">
        <f t="shared" si="11"/>
        <v>5.0973123262279891</v>
      </c>
      <c r="AD38" s="1305">
        <f t="shared" si="11"/>
        <v>78.008763884642832</v>
      </c>
      <c r="AE38" s="241">
        <f t="shared" si="1"/>
        <v>31</v>
      </c>
      <c r="AF38" s="244">
        <f>Z38*AE38</f>
        <v>66.095224000000002</v>
      </c>
      <c r="AG38" s="1281"/>
      <c r="AI38" s="1282">
        <f t="shared" si="3"/>
        <v>26.792888052941436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76">
        <v>535.91</v>
      </c>
      <c r="J39" s="1448">
        <v>300</v>
      </c>
      <c r="K39" s="241"/>
      <c r="L39" s="1277">
        <v>447</v>
      </c>
      <c r="M39" s="241"/>
      <c r="N39" s="1278">
        <v>2.2000000000000002</v>
      </c>
      <c r="O39" s="241"/>
      <c r="P39" s="1278">
        <f t="shared" si="5"/>
        <v>10.264774696589045</v>
      </c>
      <c r="Q39" s="1278">
        <f>(20/100)*J39</f>
        <v>60</v>
      </c>
      <c r="R39" s="244">
        <v>9.202</v>
      </c>
      <c r="S39" s="244">
        <v>13.659000000000001</v>
      </c>
      <c r="T39" s="1277">
        <v>201</v>
      </c>
      <c r="U39" s="1278">
        <f t="shared" ref="U39:U86" si="12">IF(R39=0,0,T39/R39)</f>
        <v>21.843077591827864</v>
      </c>
      <c r="V39" s="1278">
        <f t="shared" si="6"/>
        <v>32.630500036605902</v>
      </c>
      <c r="W39" s="1279">
        <v>0.2</v>
      </c>
      <c r="X39" s="1449">
        <v>300</v>
      </c>
      <c r="Y39" s="1277">
        <f t="shared" si="4"/>
        <v>22.765000000000001</v>
      </c>
      <c r="Z39" s="244">
        <f t="shared" si="10"/>
        <v>9.0915759999999999</v>
      </c>
      <c r="AA39" s="244">
        <f t="shared" si="10"/>
        <v>13.495092000000001</v>
      </c>
      <c r="AB39" s="1277">
        <f t="shared" si="10"/>
        <v>198.58799999999999</v>
      </c>
      <c r="AC39" s="244">
        <v>89.536086956521729</v>
      </c>
      <c r="AD39" s="1305">
        <f>V39</f>
        <v>32.630500036605902</v>
      </c>
      <c r="AE39" s="241">
        <f t="shared" si="1"/>
        <v>31</v>
      </c>
      <c r="AF39" s="244">
        <f t="shared" si="2"/>
        <v>281.83885600000002</v>
      </c>
      <c r="AG39" s="1314"/>
      <c r="AI39" s="1282">
        <f t="shared" si="3"/>
        <v>10.264774696589045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76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2"/>
        <v>0</v>
      </c>
      <c r="V40" s="1278" t="e">
        <f t="shared" si="6"/>
        <v>#DIV/0!</v>
      </c>
      <c r="W40" s="1279">
        <v>0</v>
      </c>
      <c r="X40" s="1449">
        <v>0</v>
      </c>
      <c r="Y40" s="1277">
        <f t="shared" si="4"/>
        <v>0</v>
      </c>
      <c r="Z40" s="244">
        <f t="shared" si="10"/>
        <v>0</v>
      </c>
      <c r="AA40" s="244">
        <f t="shared" si="10"/>
        <v>0</v>
      </c>
      <c r="AB40" s="1277">
        <f t="shared" si="10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2"/>
        <v>0</v>
      </c>
      <c r="AG40" s="1281" t="s">
        <v>769</v>
      </c>
      <c r="AI40" s="1282" t="e">
        <f t="shared" si="3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85</v>
      </c>
      <c r="K41" s="241"/>
      <c r="L41" s="1277">
        <v>468</v>
      </c>
      <c r="M41" s="241"/>
      <c r="N41" s="1278">
        <v>3.5</v>
      </c>
      <c r="O41" s="241"/>
      <c r="P41" s="1278">
        <f t="shared" si="5"/>
        <v>11.799777056564229</v>
      </c>
      <c r="Q41" s="1278">
        <f>14*J41/100</f>
        <v>11.9</v>
      </c>
      <c r="R41" s="244">
        <v>2.1579999999999999</v>
      </c>
      <c r="S41" s="244">
        <v>11.000999999999999</v>
      </c>
      <c r="T41" s="1277">
        <v>0</v>
      </c>
      <c r="U41" s="1278">
        <f t="shared" si="12"/>
        <v>0</v>
      </c>
      <c r="V41" s="1278">
        <f t="shared" si="6"/>
        <v>80.383601490773572</v>
      </c>
      <c r="W41" s="1279">
        <v>0.2</v>
      </c>
      <c r="X41" s="1316">
        <v>85</v>
      </c>
      <c r="Y41" s="1277">
        <f t="shared" si="4"/>
        <v>92.445378151260499</v>
      </c>
      <c r="Z41" s="244">
        <f t="shared" si="10"/>
        <v>2.132104</v>
      </c>
      <c r="AA41" s="244">
        <f t="shared" si="10"/>
        <v>10.868988</v>
      </c>
      <c r="AB41" s="1277">
        <f t="shared" si="10"/>
        <v>0</v>
      </c>
      <c r="AC41" s="244">
        <f>U41</f>
        <v>0</v>
      </c>
      <c r="AD41" s="1277">
        <f>V41</f>
        <v>80.383601490773572</v>
      </c>
      <c r="AE41" s="241">
        <f t="shared" si="1"/>
        <v>31</v>
      </c>
      <c r="AF41" s="244">
        <f t="shared" si="2"/>
        <v>66.095224000000002</v>
      </c>
      <c r="AG41" s="1285"/>
      <c r="AI41" s="1282">
        <f t="shared" si="3"/>
        <v>11.799777056564229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5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2"/>
        <v>0</v>
      </c>
      <c r="V42" s="1278" t="e">
        <f t="shared" si="6"/>
        <v>#DIV/0!</v>
      </c>
      <c r="W42" s="1279">
        <v>0</v>
      </c>
      <c r="X42" s="1316">
        <v>0</v>
      </c>
      <c r="Y42" s="1277">
        <f t="shared" si="4"/>
        <v>0</v>
      </c>
      <c r="Z42" s="244">
        <f t="shared" si="10"/>
        <v>0</v>
      </c>
      <c r="AA42" s="244">
        <f t="shared" si="10"/>
        <v>0</v>
      </c>
      <c r="AB42" s="1277">
        <f t="shared" si="10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2"/>
        <v>0</v>
      </c>
      <c r="AG42" s="1281" t="s">
        <v>769</v>
      </c>
      <c r="AI42" s="1282" t="e">
        <f t="shared" si="3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676">
        <v>554.16999999999996</v>
      </c>
      <c r="J43" s="1448">
        <v>125</v>
      </c>
      <c r="K43" s="241"/>
      <c r="L43" s="1277">
        <v>333</v>
      </c>
      <c r="M43" s="241"/>
      <c r="N43" s="1278">
        <v>4</v>
      </c>
      <c r="O43" s="241"/>
      <c r="P43" s="1278">
        <f t="shared" si="5"/>
        <v>25.335974722885837</v>
      </c>
      <c r="Q43" s="1278">
        <f>(32/100)*J43</f>
        <v>40</v>
      </c>
      <c r="R43" s="244">
        <v>8.9079999999999995</v>
      </c>
      <c r="S43" s="244">
        <v>38.502000000000002</v>
      </c>
      <c r="T43" s="1277">
        <v>110</v>
      </c>
      <c r="U43" s="1278">
        <f t="shared" si="12"/>
        <v>12.348450830713965</v>
      </c>
      <c r="V43" s="1278">
        <f t="shared" si="6"/>
        <v>76.863539556386684</v>
      </c>
      <c r="W43" s="1279">
        <v>0.2</v>
      </c>
      <c r="X43" s="1449">
        <v>125</v>
      </c>
      <c r="Y43" s="1277">
        <f t="shared" si="4"/>
        <v>96.254999999999995</v>
      </c>
      <c r="Z43" s="244">
        <f t="shared" si="10"/>
        <v>8.8011039999999987</v>
      </c>
      <c r="AA43" s="244">
        <f t="shared" si="10"/>
        <v>38.039976000000003</v>
      </c>
      <c r="AB43" s="1277">
        <f t="shared" si="10"/>
        <v>108.67999999999999</v>
      </c>
      <c r="AC43" s="244">
        <f>U43</f>
        <v>12.348450830713965</v>
      </c>
      <c r="AD43" s="1277">
        <f>V43</f>
        <v>76.863539556386684</v>
      </c>
      <c r="AE43" s="241">
        <f>(DAY(EOMONTH($AH$17,0))-AH43)</f>
        <v>31</v>
      </c>
      <c r="AF43" s="244">
        <f t="shared" si="2"/>
        <v>272.83422399999995</v>
      </c>
      <c r="AG43" s="1281"/>
      <c r="AI43" s="1282">
        <f t="shared" si="3"/>
        <v>25.335974722885837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676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4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3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76">
        <v>544.70000000000005</v>
      </c>
      <c r="J45" s="241">
        <v>85</v>
      </c>
      <c r="K45" s="241"/>
      <c r="L45" s="1277">
        <v>114</v>
      </c>
      <c r="M45" s="241"/>
      <c r="N45" s="1278">
        <v>3.2</v>
      </c>
      <c r="O45" s="241"/>
      <c r="P45" s="1278">
        <f t="shared" si="5"/>
        <v>44.572873840526412</v>
      </c>
      <c r="Q45" s="1278">
        <f>J45*20/100</f>
        <v>17</v>
      </c>
      <c r="R45" s="244">
        <v>4.6239999999999997</v>
      </c>
      <c r="S45" s="244">
        <v>20.173999999999999</v>
      </c>
      <c r="T45" s="1277">
        <v>22</v>
      </c>
      <c r="U45" s="1278">
        <f t="shared" si="12"/>
        <v>4.757785467128028</v>
      </c>
      <c r="V45" s="1278">
        <f t="shared" si="6"/>
        <v>77.07940914047785</v>
      </c>
      <c r="W45" s="1279">
        <v>0.2</v>
      </c>
      <c r="X45" s="1316">
        <v>85</v>
      </c>
      <c r="Y45" s="1277">
        <f t="shared" si="4"/>
        <v>118.6705882352941</v>
      </c>
      <c r="Z45" s="244">
        <v>5.0430000000000001</v>
      </c>
      <c r="AA45" s="244">
        <v>18.190999999999999</v>
      </c>
      <c r="AB45" s="1277">
        <v>31</v>
      </c>
      <c r="AC45" s="244">
        <f t="shared" ref="AC45:AD51" si="13">U45</f>
        <v>4.757785467128028</v>
      </c>
      <c r="AD45" s="1277">
        <f t="shared" si="13"/>
        <v>77.07940914047785</v>
      </c>
      <c r="AE45" s="241">
        <f t="shared" ref="AE45:AE81" si="14">(DAY(EOMONTH($AH$17,0))-AH45)</f>
        <v>31</v>
      </c>
      <c r="AF45" s="244">
        <f t="shared" si="2"/>
        <v>156.333</v>
      </c>
      <c r="AG45" s="1281"/>
      <c r="AI45" s="1282">
        <f t="shared" si="3"/>
        <v>44.572873840526412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76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76">
        <v>553.30999999999995</v>
      </c>
      <c r="J46" s="1676">
        <v>220</v>
      </c>
      <c r="K46" s="1676"/>
      <c r="L46" s="1319">
        <v>420</v>
      </c>
      <c r="M46" s="1676"/>
      <c r="N46" s="1278">
        <v>2.2999999999999998</v>
      </c>
      <c r="O46" s="1676"/>
      <c r="P46" s="1278">
        <f t="shared" si="5"/>
        <v>14.916326569488664</v>
      </c>
      <c r="Q46" s="1278">
        <f>J46*32/100</f>
        <v>70.400000000000006</v>
      </c>
      <c r="R46" s="244">
        <v>10.183999999999999</v>
      </c>
      <c r="S46" s="244">
        <v>26.71</v>
      </c>
      <c r="T46" s="1319">
        <v>286</v>
      </c>
      <c r="U46" s="1278">
        <f t="shared" si="12"/>
        <v>28.083267871170467</v>
      </c>
      <c r="V46" s="1278">
        <f t="shared" si="6"/>
        <v>61.871958068139286</v>
      </c>
      <c r="W46" s="1279">
        <v>0.2</v>
      </c>
      <c r="X46" s="1410">
        <v>220</v>
      </c>
      <c r="Y46" s="1277">
        <f t="shared" si="4"/>
        <v>37.940340909090907</v>
      </c>
      <c r="Z46" s="244">
        <f t="shared" ref="Z46:AB55" si="15">R46*0.988</f>
        <v>10.061791999999999</v>
      </c>
      <c r="AA46" s="244">
        <f t="shared" si="15"/>
        <v>26.389479999999999</v>
      </c>
      <c r="AB46" s="1277">
        <f t="shared" si="15"/>
        <v>282.56799999999998</v>
      </c>
      <c r="AC46" s="244">
        <f t="shared" si="13"/>
        <v>28.083267871170467</v>
      </c>
      <c r="AD46" s="1277">
        <f t="shared" si="13"/>
        <v>61.871958068139286</v>
      </c>
      <c r="AE46" s="241">
        <f t="shared" si="14"/>
        <v>31</v>
      </c>
      <c r="AF46" s="244">
        <f t="shared" si="2"/>
        <v>311.91555199999993</v>
      </c>
      <c r="AG46" s="1285"/>
      <c r="AI46" s="1282">
        <f t="shared" si="3"/>
        <v>14.916326569488664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76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76">
        <v>550.59</v>
      </c>
      <c r="J47" s="1373">
        <v>65</v>
      </c>
      <c r="K47" s="1676"/>
      <c r="L47" s="1277">
        <v>398</v>
      </c>
      <c r="M47" s="1676"/>
      <c r="N47" s="1278">
        <v>0.3</v>
      </c>
      <c r="O47" s="1676"/>
      <c r="P47" s="1278">
        <f t="shared" si="5"/>
        <v>14.535225005677598</v>
      </c>
      <c r="Q47" s="1278">
        <f>RIGHT(H47,(FIND("T",H47,1)-0))*J47/100</f>
        <v>9.1</v>
      </c>
      <c r="R47" s="244">
        <v>1.3</v>
      </c>
      <c r="S47" s="244">
        <v>2.4329999999999998</v>
      </c>
      <c r="T47" s="1319">
        <v>0</v>
      </c>
      <c r="U47" s="1278">
        <f t="shared" si="12"/>
        <v>0</v>
      </c>
      <c r="V47" s="1278">
        <f t="shared" si="6"/>
        <v>46.568023016851619</v>
      </c>
      <c r="W47" s="1279">
        <v>0.2</v>
      </c>
      <c r="X47" s="1452">
        <v>65</v>
      </c>
      <c r="Y47" s="1277">
        <f t="shared" si="4"/>
        <v>26.736263736263737</v>
      </c>
      <c r="Z47" s="244">
        <f t="shared" si="15"/>
        <v>1.2844</v>
      </c>
      <c r="AA47" s="244">
        <f t="shared" si="15"/>
        <v>2.4038039999999996</v>
      </c>
      <c r="AB47" s="1277">
        <f t="shared" si="15"/>
        <v>0</v>
      </c>
      <c r="AC47" s="244">
        <f t="shared" si="13"/>
        <v>0</v>
      </c>
      <c r="AD47" s="1277">
        <f t="shared" si="13"/>
        <v>46.568023016851619</v>
      </c>
      <c r="AE47" s="241">
        <f t="shared" si="14"/>
        <v>31</v>
      </c>
      <c r="AF47" s="244">
        <f t="shared" si="2"/>
        <v>39.816400000000002</v>
      </c>
      <c r="AG47" s="1285"/>
      <c r="AI47" s="1282">
        <f t="shared" si="3"/>
        <v>14.535225005677598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76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76">
        <v>548.82000000000005</v>
      </c>
      <c r="J48" s="1676">
        <v>60</v>
      </c>
      <c r="K48" s="1676"/>
      <c r="L48" s="1319">
        <v>490</v>
      </c>
      <c r="M48" s="1676"/>
      <c r="N48" s="1278">
        <v>1.4</v>
      </c>
      <c r="O48" s="1676"/>
      <c r="P48" s="1278">
        <f t="shared" si="5"/>
        <v>6.7201728168222923</v>
      </c>
      <c r="Q48" s="1278">
        <f>14*J48/100</f>
        <v>8.4</v>
      </c>
      <c r="R48" s="244">
        <v>4.0620000000000003</v>
      </c>
      <c r="S48" s="244">
        <v>5.327</v>
      </c>
      <c r="T48" s="1319">
        <v>14</v>
      </c>
      <c r="U48" s="1278">
        <f t="shared" si="12"/>
        <v>3.4465780403741997</v>
      </c>
      <c r="V48" s="1278">
        <f t="shared" si="6"/>
        <v>23.746949502534253</v>
      </c>
      <c r="W48" s="1279">
        <v>0.2</v>
      </c>
      <c r="X48" s="1410">
        <v>60</v>
      </c>
      <c r="Y48" s="1277">
        <f t="shared" si="4"/>
        <v>63.416666666666664</v>
      </c>
      <c r="Z48" s="244">
        <v>4.4539039999999996</v>
      </c>
      <c r="AA48" s="244">
        <v>6.0337160000000001</v>
      </c>
      <c r="AB48" s="1277">
        <v>14.82</v>
      </c>
      <c r="AC48" s="244">
        <f t="shared" si="13"/>
        <v>3.4465780403741997</v>
      </c>
      <c r="AD48" s="1277">
        <f t="shared" si="13"/>
        <v>23.746949502534253</v>
      </c>
      <c r="AE48" s="241">
        <f t="shared" si="14"/>
        <v>31</v>
      </c>
      <c r="AF48" s="244">
        <f t="shared" si="2"/>
        <v>138.07102399999999</v>
      </c>
      <c r="AG48" s="1285"/>
      <c r="AI48" s="1282">
        <f t="shared" si="3"/>
        <v>6.7201728168222923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76">
        <v>539.24</v>
      </c>
      <c r="J49" s="241">
        <v>200</v>
      </c>
      <c r="K49" s="241"/>
      <c r="L49" s="1277">
        <v>427</v>
      </c>
      <c r="M49" s="241"/>
      <c r="N49" s="1278">
        <v>3.1</v>
      </c>
      <c r="O49" s="241"/>
      <c r="P49" s="1278">
        <f t="shared" si="5"/>
        <v>13.511529591454639</v>
      </c>
      <c r="Q49" s="1278">
        <f>20*J49/100</f>
        <v>40</v>
      </c>
      <c r="R49" s="244">
        <v>2.3370000000000002</v>
      </c>
      <c r="S49" s="244">
        <v>4.1079999999999997</v>
      </c>
      <c r="T49" s="1277">
        <v>11</v>
      </c>
      <c r="U49" s="1278">
        <f t="shared" si="12"/>
        <v>4.7068891741548988</v>
      </c>
      <c r="V49" s="1278">
        <f t="shared" si="6"/>
        <v>43.11100292112949</v>
      </c>
      <c r="W49" s="1279">
        <v>0.2</v>
      </c>
      <c r="X49" s="1316">
        <v>200</v>
      </c>
      <c r="Y49" s="1277">
        <f t="shared" si="4"/>
        <v>10.269999999999998</v>
      </c>
      <c r="Z49" s="244">
        <f t="shared" si="15"/>
        <v>2.3089560000000002</v>
      </c>
      <c r="AA49" s="244">
        <f t="shared" si="15"/>
        <v>4.0587039999999996</v>
      </c>
      <c r="AB49" s="1277">
        <f t="shared" si="15"/>
        <v>10.868</v>
      </c>
      <c r="AC49" s="244">
        <f t="shared" si="13"/>
        <v>4.7068891741548988</v>
      </c>
      <c r="AD49" s="1277">
        <f t="shared" si="13"/>
        <v>43.11100292112949</v>
      </c>
      <c r="AE49" s="241">
        <f t="shared" si="14"/>
        <v>31</v>
      </c>
      <c r="AF49" s="244">
        <f t="shared" si="2"/>
        <v>71.577636000000012</v>
      </c>
      <c r="AG49" s="1285"/>
      <c r="AI49" s="1282">
        <f t="shared" si="3"/>
        <v>13.511529591454639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686</v>
      </c>
      <c r="I50" s="1679">
        <v>572.09</v>
      </c>
      <c r="J50" s="241">
        <v>85</v>
      </c>
      <c r="K50" s="241"/>
      <c r="L50" s="1277">
        <v>382</v>
      </c>
      <c r="M50" s="241"/>
      <c r="N50" s="1278">
        <v>0.4</v>
      </c>
      <c r="O50" s="241"/>
      <c r="P50" s="1278">
        <f t="shared" si="5"/>
        <v>18.754309492571373</v>
      </c>
      <c r="Q50" s="1278">
        <f>20*J50/100</f>
        <v>17</v>
      </c>
      <c r="R50" s="244">
        <v>3.8450000000000002</v>
      </c>
      <c r="S50" s="244">
        <v>14.525</v>
      </c>
      <c r="T50" s="1277">
        <v>0</v>
      </c>
      <c r="U50" s="1278">
        <f t="shared" si="12"/>
        <v>0</v>
      </c>
      <c r="V50" s="1278">
        <f t="shared" si="6"/>
        <v>73.528399311531828</v>
      </c>
      <c r="W50" s="1279">
        <v>0.3</v>
      </c>
      <c r="X50" s="1316">
        <v>85</v>
      </c>
      <c r="Y50" s="1277">
        <f t="shared" si="4"/>
        <v>85.441176470588246</v>
      </c>
      <c r="Z50" s="244">
        <f t="shared" si="15"/>
        <v>3.7988600000000003</v>
      </c>
      <c r="AA50" s="244">
        <f t="shared" si="15"/>
        <v>14.3507</v>
      </c>
      <c r="AB50" s="1277">
        <f t="shared" si="15"/>
        <v>0</v>
      </c>
      <c r="AC50" s="244">
        <f t="shared" si="13"/>
        <v>0</v>
      </c>
      <c r="AD50" s="1277">
        <f t="shared" si="13"/>
        <v>73.528399311531828</v>
      </c>
      <c r="AE50" s="241">
        <f t="shared" si="14"/>
        <v>31</v>
      </c>
      <c r="AF50" s="244">
        <f t="shared" si="2"/>
        <v>117.76466000000001</v>
      </c>
      <c r="AG50" s="1285"/>
      <c r="AH50" s="1252"/>
      <c r="AI50" s="1282">
        <f t="shared" si="3"/>
        <v>18.754309492571373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79" t="s">
        <v>600</v>
      </c>
      <c r="F51" s="241">
        <v>177.8</v>
      </c>
      <c r="G51" s="241" t="s">
        <v>28</v>
      </c>
      <c r="H51" s="1299" t="s">
        <v>687</v>
      </c>
      <c r="I51" s="1679">
        <v>546.08000000000004</v>
      </c>
      <c r="J51" s="241">
        <v>100</v>
      </c>
      <c r="K51" s="241"/>
      <c r="L51" s="1322">
        <v>184</v>
      </c>
      <c r="M51" s="241"/>
      <c r="N51" s="1306">
        <v>3.7</v>
      </c>
      <c r="O51" s="241"/>
      <c r="P51" s="1278">
        <f t="shared" si="5"/>
        <v>39.051542647455037</v>
      </c>
      <c r="Q51" s="1278">
        <v>20</v>
      </c>
      <c r="R51" s="244">
        <v>3.1059999999999999</v>
      </c>
      <c r="S51" s="244">
        <v>17.468</v>
      </c>
      <c r="T51" s="1277">
        <v>59</v>
      </c>
      <c r="U51" s="1278">
        <f t="shared" si="12"/>
        <v>18.995492594977463</v>
      </c>
      <c r="V51" s="1278">
        <f t="shared" si="6"/>
        <v>82.218914586672781</v>
      </c>
      <c r="W51" s="1279">
        <v>0.2</v>
      </c>
      <c r="X51" s="1316">
        <v>100</v>
      </c>
      <c r="Y51" s="1277">
        <f t="shared" si="4"/>
        <v>87.339999999999989</v>
      </c>
      <c r="Z51" s="244">
        <f t="shared" si="15"/>
        <v>3.0687279999999997</v>
      </c>
      <c r="AA51" s="244">
        <f t="shared" si="15"/>
        <v>17.258384</v>
      </c>
      <c r="AB51" s="1277">
        <f t="shared" si="15"/>
        <v>58.292000000000002</v>
      </c>
      <c r="AC51" s="244">
        <f t="shared" si="13"/>
        <v>18.995492594977463</v>
      </c>
      <c r="AD51" s="1277">
        <f t="shared" si="13"/>
        <v>82.218914586672781</v>
      </c>
      <c r="AE51" s="241">
        <f t="shared" si="14"/>
        <v>31</v>
      </c>
      <c r="AF51" s="244">
        <f t="shared" si="2"/>
        <v>95.130567999999997</v>
      </c>
      <c r="AG51" s="1285"/>
      <c r="AI51" s="1282">
        <f t="shared" si="3"/>
        <v>39.051542647455037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676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5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79">
        <v>535</v>
      </c>
      <c r="J53" s="1448">
        <v>100</v>
      </c>
      <c r="K53" s="241"/>
      <c r="L53" s="1277">
        <v>462</v>
      </c>
      <c r="M53" s="241"/>
      <c r="N53" s="1278">
        <v>3.8</v>
      </c>
      <c r="O53" s="241"/>
      <c r="P53" s="1278">
        <f t="shared" si="5"/>
        <v>10.765012468435943</v>
      </c>
      <c r="Q53" s="1278">
        <f>RIGHT(H53,(FIND("T",H53,1)-0))*J53/100</f>
        <v>14</v>
      </c>
      <c r="R53" s="244">
        <v>4.3680000000000003</v>
      </c>
      <c r="S53" s="244">
        <v>13.622999999999999</v>
      </c>
      <c r="T53" s="1277">
        <v>183</v>
      </c>
      <c r="U53" s="1278">
        <f t="shared" si="12"/>
        <v>41.895604395604394</v>
      </c>
      <c r="V53" s="1278">
        <f t="shared" si="6"/>
        <v>67.936577846289353</v>
      </c>
      <c r="W53" s="1279">
        <v>0</v>
      </c>
      <c r="X53" s="1449">
        <v>100</v>
      </c>
      <c r="Y53" s="1277">
        <f t="shared" si="4"/>
        <v>97.30714285714285</v>
      </c>
      <c r="Z53" s="244">
        <f t="shared" si="15"/>
        <v>4.3155840000000003</v>
      </c>
      <c r="AA53" s="244">
        <f t="shared" si="15"/>
        <v>13.459524</v>
      </c>
      <c r="AB53" s="1277">
        <f t="shared" si="15"/>
        <v>180.804</v>
      </c>
      <c r="AC53" s="244">
        <f>U53</f>
        <v>41.895604395604394</v>
      </c>
      <c r="AD53" s="1278">
        <f t="shared" ref="AD53" si="16">(AA53-Z53)/AA53*100</f>
        <v>67.936577846289367</v>
      </c>
      <c r="AE53" s="241">
        <f t="shared" si="14"/>
        <v>31</v>
      </c>
      <c r="AF53" s="244">
        <f t="shared" si="2"/>
        <v>133.78310400000001</v>
      </c>
      <c r="AG53" s="1281"/>
      <c r="AI53" s="1282">
        <f t="shared" si="3"/>
        <v>10.765012468435943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676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5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79" t="s">
        <v>442</v>
      </c>
      <c r="F55" s="241">
        <v>177.8</v>
      </c>
      <c r="G55" s="241" t="s">
        <v>28</v>
      </c>
      <c r="H55" s="241" t="s">
        <v>687</v>
      </c>
      <c r="I55" s="1679">
        <v>515.54</v>
      </c>
      <c r="J55" s="241">
        <v>95</v>
      </c>
      <c r="K55" s="241"/>
      <c r="L55" s="1277">
        <v>438</v>
      </c>
      <c r="M55" s="241"/>
      <c r="N55" s="1278">
        <v>3</v>
      </c>
      <c r="O55" s="241"/>
      <c r="P55" s="1278">
        <f t="shared" si="5"/>
        <v>10.558365513986127</v>
      </c>
      <c r="Q55" s="1325">
        <f>J55*20/100</f>
        <v>19</v>
      </c>
      <c r="R55" s="244">
        <v>3.0390000000000001</v>
      </c>
      <c r="S55" s="244">
        <v>18.143000000000001</v>
      </c>
      <c r="T55" s="1277">
        <v>17</v>
      </c>
      <c r="U55" s="1278">
        <f t="shared" si="12"/>
        <v>5.5939453767686738</v>
      </c>
      <c r="V55" s="1278">
        <f t="shared" si="6"/>
        <v>83.249738191037864</v>
      </c>
      <c r="W55" s="1279">
        <v>0</v>
      </c>
      <c r="X55" s="1316">
        <v>95</v>
      </c>
      <c r="Y55" s="1277">
        <f t="shared" si="4"/>
        <v>95.489473684210537</v>
      </c>
      <c r="Z55" s="244">
        <f t="shared" si="15"/>
        <v>3.002532</v>
      </c>
      <c r="AA55" s="244">
        <f t="shared" si="15"/>
        <v>17.925284000000001</v>
      </c>
      <c r="AB55" s="1277">
        <f t="shared" si="15"/>
        <v>16.795999999999999</v>
      </c>
      <c r="AC55" s="1278">
        <f t="shared" ref="AC55" si="17">IF(Z55=0,0,AB55/Z55)</f>
        <v>5.5939453767686738</v>
      </c>
      <c r="AD55" s="1278">
        <f t="shared" ref="AD55" si="18">(AA55-Z55)/AA55*100</f>
        <v>83.249738191037864</v>
      </c>
      <c r="AE55" s="241">
        <f t="shared" si="14"/>
        <v>31</v>
      </c>
      <c r="AF55" s="244">
        <f t="shared" si="2"/>
        <v>93.078491999999997</v>
      </c>
      <c r="AG55" s="1281"/>
      <c r="AI55" s="1282">
        <f t="shared" si="3"/>
        <v>10.558365513986127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676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5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4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3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380</v>
      </c>
      <c r="M57" s="1275"/>
      <c r="N57" s="1278">
        <v>2.8</v>
      </c>
      <c r="O57" s="1275"/>
      <c r="P57" s="1278">
        <f t="shared" si="5"/>
        <v>20.363984251233319</v>
      </c>
      <c r="Q57" s="1278">
        <f>J57*14/100</f>
        <v>10.5</v>
      </c>
      <c r="R57" s="1459">
        <v>7.319</v>
      </c>
      <c r="S57" s="244">
        <v>13.365</v>
      </c>
      <c r="T57" s="1323">
        <v>15</v>
      </c>
      <c r="U57" s="1278">
        <f t="shared" si="12"/>
        <v>2.0494603087853531</v>
      </c>
      <c r="V57" s="1278">
        <f t="shared" ref="V57:V86" si="19">(S57-R57)/S57*100</f>
        <v>45.237560793116351</v>
      </c>
      <c r="W57" s="1460">
        <v>0.2</v>
      </c>
      <c r="X57" s="1453">
        <v>75</v>
      </c>
      <c r="Y57" s="1277">
        <f t="shared" si="4"/>
        <v>127.28571428571429</v>
      </c>
      <c r="Z57" s="244">
        <f t="shared" ref="Z57:AB61" si="20">R57*0.988</f>
        <v>7.2311719999999999</v>
      </c>
      <c r="AA57" s="244">
        <f t="shared" si="20"/>
        <v>13.20462</v>
      </c>
      <c r="AB57" s="1277">
        <f t="shared" si="20"/>
        <v>14.82</v>
      </c>
      <c r="AC57" s="1459">
        <f t="shared" ref="AC57:AD59" si="21">U57</f>
        <v>2.0494603087853531</v>
      </c>
      <c r="AD57" s="1277">
        <f t="shared" si="21"/>
        <v>45.237560793116351</v>
      </c>
      <c r="AE57" s="241">
        <f t="shared" si="14"/>
        <v>31</v>
      </c>
      <c r="AF57" s="1459">
        <f t="shared" si="2"/>
        <v>224.16633200000001</v>
      </c>
      <c r="AG57" s="1285"/>
      <c r="AI57" s="1282">
        <f t="shared" si="3"/>
        <v>20.363984251233319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79">
        <v>589.64</v>
      </c>
      <c r="J58" s="1448">
        <v>85</v>
      </c>
      <c r="K58" s="241"/>
      <c r="L58" s="1277">
        <v>294</v>
      </c>
      <c r="M58" s="241"/>
      <c r="N58" s="1278">
        <v>2.6</v>
      </c>
      <c r="O58" s="241"/>
      <c r="P58" s="1278">
        <f t="shared" si="5"/>
        <v>31.500699552691263</v>
      </c>
      <c r="Q58" s="1325">
        <f>J58*20/100</f>
        <v>17</v>
      </c>
      <c r="R58" s="244">
        <v>2.21</v>
      </c>
      <c r="S58" s="244">
        <v>15.968999999999999</v>
      </c>
      <c r="T58" s="1277">
        <v>4</v>
      </c>
      <c r="U58" s="1278">
        <f t="shared" si="12"/>
        <v>1.8099547511312217</v>
      </c>
      <c r="V58" s="1278">
        <f t="shared" si="19"/>
        <v>86.160686329763919</v>
      </c>
      <c r="W58" s="1279">
        <v>0</v>
      </c>
      <c r="X58" s="1449">
        <v>85</v>
      </c>
      <c r="Y58" s="1277">
        <f t="shared" si="4"/>
        <v>93.935294117647047</v>
      </c>
      <c r="Z58" s="244">
        <f t="shared" si="20"/>
        <v>2.1834799999999999</v>
      </c>
      <c r="AA58" s="244">
        <f t="shared" si="20"/>
        <v>15.777372</v>
      </c>
      <c r="AB58" s="1277">
        <f t="shared" si="20"/>
        <v>3.952</v>
      </c>
      <c r="AC58" s="1459">
        <f t="shared" si="21"/>
        <v>1.8099547511312217</v>
      </c>
      <c r="AD58" s="1277">
        <f t="shared" si="21"/>
        <v>86.160686329763919</v>
      </c>
      <c r="AE58" s="241">
        <f t="shared" si="14"/>
        <v>31</v>
      </c>
      <c r="AF58" s="244">
        <f t="shared" si="2"/>
        <v>67.687879999999993</v>
      </c>
      <c r="AG58" s="1281"/>
      <c r="AI58" s="1282">
        <f t="shared" si="3"/>
        <v>31.500699552691263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679">
        <v>560.83000000000004</v>
      </c>
      <c r="J59" s="241">
        <v>90</v>
      </c>
      <c r="K59" s="241"/>
      <c r="L59" s="1277">
        <v>306</v>
      </c>
      <c r="M59" s="241"/>
      <c r="N59" s="1278">
        <v>0</v>
      </c>
      <c r="O59" s="241"/>
      <c r="P59" s="1278">
        <f t="shared" si="5"/>
        <v>23.954195343293609</v>
      </c>
      <c r="Q59" s="1325">
        <f>J59*15/100</f>
        <v>13.5</v>
      </c>
      <c r="R59" s="244">
        <v>7.5549999999999997</v>
      </c>
      <c r="S59" s="244">
        <v>14.467000000000001</v>
      </c>
      <c r="T59" s="1277">
        <v>10</v>
      </c>
      <c r="U59" s="1278">
        <f t="shared" si="12"/>
        <v>1.3236267372600927</v>
      </c>
      <c r="V59" s="1278">
        <f t="shared" si="19"/>
        <v>47.777700974631927</v>
      </c>
      <c r="W59" s="1279">
        <v>0.2</v>
      </c>
      <c r="X59" s="1316">
        <v>90</v>
      </c>
      <c r="Y59" s="1277">
        <f t="shared" si="4"/>
        <v>107.16296296296296</v>
      </c>
      <c r="Z59" s="244">
        <f t="shared" si="20"/>
        <v>7.46434</v>
      </c>
      <c r="AA59" s="244">
        <f t="shared" si="20"/>
        <v>14.293396</v>
      </c>
      <c r="AB59" s="1277">
        <f t="shared" si="20"/>
        <v>9.879999999999999</v>
      </c>
      <c r="AC59" s="244">
        <f t="shared" si="21"/>
        <v>1.3236267372600927</v>
      </c>
      <c r="AD59" s="1277">
        <f t="shared" si="21"/>
        <v>47.777700974631927</v>
      </c>
      <c r="AE59" s="241">
        <f t="shared" si="14"/>
        <v>31</v>
      </c>
      <c r="AF59" s="244">
        <f t="shared" si="2"/>
        <v>231.39454000000001</v>
      </c>
      <c r="AG59" s="1281"/>
      <c r="AI59" s="1282">
        <f t="shared" si="3"/>
        <v>23.954195343293609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679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5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2"/>
        <v>0</v>
      </c>
      <c r="V60" s="1278" t="e">
        <f t="shared" si="19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2"/>
        <v>0</v>
      </c>
      <c r="AG60" s="1281" t="s">
        <v>772</v>
      </c>
      <c r="AI60" s="1282" t="e">
        <f t="shared" si="3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79">
        <v>551.66</v>
      </c>
      <c r="J61" s="241">
        <v>90</v>
      </c>
      <c r="K61" s="241"/>
      <c r="L61" s="1277">
        <v>341</v>
      </c>
      <c r="M61" s="241"/>
      <c r="N61" s="1278">
        <v>2</v>
      </c>
      <c r="O61" s="241"/>
      <c r="P61" s="1278">
        <f t="shared" si="5"/>
        <v>22.4680822822381</v>
      </c>
      <c r="Q61" s="1278">
        <f>14*J61/100</f>
        <v>12.6</v>
      </c>
      <c r="R61" s="244">
        <v>1.2809999999999999</v>
      </c>
      <c r="S61" s="244">
        <v>6.4429999999999996</v>
      </c>
      <c r="T61" s="1277">
        <v>3</v>
      </c>
      <c r="U61" s="1278">
        <f t="shared" si="12"/>
        <v>2.3419203747072599</v>
      </c>
      <c r="V61" s="1278">
        <f t="shared" si="19"/>
        <v>80.117957473226767</v>
      </c>
      <c r="W61" s="1279">
        <v>0.2</v>
      </c>
      <c r="X61" s="1316">
        <v>90</v>
      </c>
      <c r="Y61" s="1277">
        <f t="shared" si="4"/>
        <v>51.134920634920633</v>
      </c>
      <c r="Z61" s="244">
        <f t="shared" si="20"/>
        <v>1.265628</v>
      </c>
      <c r="AA61" s="244">
        <f t="shared" si="20"/>
        <v>6.3656839999999999</v>
      </c>
      <c r="AB61" s="1277">
        <f t="shared" si="20"/>
        <v>2.964</v>
      </c>
      <c r="AC61" s="244">
        <f>U61</f>
        <v>2.3419203747072599</v>
      </c>
      <c r="AD61" s="1277">
        <f>V61</f>
        <v>80.117957473226767</v>
      </c>
      <c r="AE61" s="241">
        <f t="shared" si="14"/>
        <v>31</v>
      </c>
      <c r="AF61" s="244">
        <f t="shared" si="2"/>
        <v>39.234468</v>
      </c>
      <c r="AG61" s="1281"/>
      <c r="AI61" s="1282">
        <f t="shared" si="3"/>
        <v>22.4680822822381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676">
        <v>506.61000000000013</v>
      </c>
      <c r="J62" s="241"/>
      <c r="K62" s="241"/>
      <c r="L62" s="1319"/>
      <c r="M62" s="1278"/>
      <c r="N62" s="1278"/>
      <c r="O62" s="241"/>
      <c r="P62" s="1278">
        <f t="shared" si="5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4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3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79" t="s">
        <v>692</v>
      </c>
      <c r="F63" s="241">
        <v>177.8</v>
      </c>
      <c r="G63" s="241" t="s">
        <v>28</v>
      </c>
      <c r="H63" s="1299" t="s">
        <v>683</v>
      </c>
      <c r="I63" s="1679">
        <v>545.4</v>
      </c>
      <c r="J63" s="241">
        <v>70</v>
      </c>
      <c r="K63" s="241"/>
      <c r="L63" s="1277">
        <v>31</v>
      </c>
      <c r="M63" s="241">
        <v>0</v>
      </c>
      <c r="N63" s="1278">
        <v>0.1</v>
      </c>
      <c r="O63" s="241"/>
      <c r="P63" s="1278">
        <f t="shared" si="5"/>
        <v>45.832196541590221</v>
      </c>
      <c r="Q63" s="1278">
        <f>J63*13/100</f>
        <v>9.1</v>
      </c>
      <c r="R63" s="244">
        <v>2.919</v>
      </c>
      <c r="S63" s="244">
        <v>3.5430000000000001</v>
      </c>
      <c r="T63" s="1277">
        <v>15</v>
      </c>
      <c r="U63" s="1278">
        <f t="shared" si="12"/>
        <v>5.1387461459403907</v>
      </c>
      <c r="V63" s="1278">
        <f t="shared" si="19"/>
        <v>17.612193056731588</v>
      </c>
      <c r="W63" s="1279">
        <v>0.2</v>
      </c>
      <c r="X63" s="1316">
        <v>70</v>
      </c>
      <c r="Y63" s="1277">
        <f t="shared" si="4"/>
        <v>38.934065934065934</v>
      </c>
      <c r="Z63" s="244">
        <f t="shared" ref="Z63:AB75" si="22">R63*0.988</f>
        <v>2.883972</v>
      </c>
      <c r="AA63" s="244">
        <f t="shared" si="22"/>
        <v>3.5004840000000002</v>
      </c>
      <c r="AB63" s="1277">
        <f t="shared" si="22"/>
        <v>14.82</v>
      </c>
      <c r="AC63" s="244">
        <f t="shared" ref="AC63:AD70" si="23">U63</f>
        <v>5.1387461459403907</v>
      </c>
      <c r="AD63" s="1277">
        <f t="shared" si="23"/>
        <v>17.612193056731588</v>
      </c>
      <c r="AE63" s="241">
        <f t="shared" si="14"/>
        <v>31</v>
      </c>
      <c r="AF63" s="244">
        <f t="shared" si="2"/>
        <v>89.403131999999999</v>
      </c>
      <c r="AG63" s="1281"/>
      <c r="AI63" s="1282">
        <f t="shared" si="3"/>
        <v>45.832196541590221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79">
        <v>674.45</v>
      </c>
      <c r="E64" s="1679" t="s">
        <v>232</v>
      </c>
      <c r="F64" s="241">
        <v>177.8</v>
      </c>
      <c r="G64" s="241" t="s">
        <v>28</v>
      </c>
      <c r="H64" s="1299" t="s">
        <v>464</v>
      </c>
      <c r="I64" s="1679">
        <v>542.6</v>
      </c>
      <c r="J64" s="1679">
        <v>130</v>
      </c>
      <c r="K64" s="1679"/>
      <c r="L64" s="1319">
        <v>468</v>
      </c>
      <c r="M64" s="1679"/>
      <c r="N64" s="1278">
        <v>2.7</v>
      </c>
      <c r="O64" s="1679"/>
      <c r="P64" s="1278">
        <f t="shared" si="5"/>
        <v>9.6609293667458829</v>
      </c>
      <c r="Q64" s="1278">
        <f>RIGHT(H64,(FIND("T",H64,1)-0))*J64/100</f>
        <v>18.2</v>
      </c>
      <c r="R64" s="244">
        <v>6.03</v>
      </c>
      <c r="S64" s="244">
        <v>8.2080000000000002</v>
      </c>
      <c r="T64" s="1319">
        <v>19</v>
      </c>
      <c r="U64" s="1278">
        <f t="shared" si="12"/>
        <v>3.1509121061359866</v>
      </c>
      <c r="V64" s="1278">
        <f t="shared" si="19"/>
        <v>26.535087719298247</v>
      </c>
      <c r="W64" s="1279">
        <v>0.2</v>
      </c>
      <c r="X64" s="1410">
        <v>130</v>
      </c>
      <c r="Y64" s="1277">
        <f t="shared" si="4"/>
        <v>45.098901098901102</v>
      </c>
      <c r="Z64" s="244">
        <f t="shared" si="22"/>
        <v>5.9576400000000005</v>
      </c>
      <c r="AA64" s="244">
        <f t="shared" si="22"/>
        <v>8.1095039999999994</v>
      </c>
      <c r="AB64" s="1277">
        <f t="shared" si="22"/>
        <v>18.771999999999998</v>
      </c>
      <c r="AC64" s="244">
        <f t="shared" si="23"/>
        <v>3.1509121061359866</v>
      </c>
      <c r="AD64" s="1277">
        <f t="shared" si="23"/>
        <v>26.535087719298247</v>
      </c>
      <c r="AE64" s="241">
        <f t="shared" si="14"/>
        <v>31</v>
      </c>
      <c r="AF64" s="244">
        <f>Z64*AE64</f>
        <v>184.68684000000002</v>
      </c>
      <c r="AG64" s="1342"/>
      <c r="AI64" s="1282">
        <f t="shared" si="3"/>
        <v>9.6609293667458829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76">
        <v>678.47</v>
      </c>
      <c r="E65" s="1676" t="s">
        <v>606</v>
      </c>
      <c r="F65" s="241">
        <v>177.8</v>
      </c>
      <c r="G65" s="241" t="s">
        <v>28</v>
      </c>
      <c r="H65" s="1299" t="s">
        <v>466</v>
      </c>
      <c r="I65" s="1676">
        <v>574.4</v>
      </c>
      <c r="J65" s="1373">
        <v>0</v>
      </c>
      <c r="K65" s="1676"/>
      <c r="L65" s="1319">
        <v>0</v>
      </c>
      <c r="M65" s="1676"/>
      <c r="N65" s="1278">
        <v>0</v>
      </c>
      <c r="O65" s="1676"/>
      <c r="P65" s="1278" t="e">
        <f t="shared" si="5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2"/>
        <v>0</v>
      </c>
      <c r="V65" s="1278" t="e">
        <f t="shared" si="19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4">Z65*AE65</f>
        <v>0</v>
      </c>
      <c r="AG65" s="1281" t="s">
        <v>771</v>
      </c>
      <c r="AI65" s="1282" t="e">
        <f t="shared" si="3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79">
        <v>541.12</v>
      </c>
      <c r="J66" s="241">
        <v>175</v>
      </c>
      <c r="K66" s="241"/>
      <c r="L66" s="1277">
        <v>445</v>
      </c>
      <c r="M66" s="241"/>
      <c r="N66" s="1278">
        <v>3.8</v>
      </c>
      <c r="O66" s="241"/>
      <c r="P66" s="1278">
        <f t="shared" si="5"/>
        <v>13.238490896307168</v>
      </c>
      <c r="Q66" s="1278">
        <f>20*J66/100</f>
        <v>35</v>
      </c>
      <c r="R66" s="244">
        <v>5.0510000000000002</v>
      </c>
      <c r="S66" s="244">
        <v>19.707999999999998</v>
      </c>
      <c r="T66" s="1277">
        <v>73</v>
      </c>
      <c r="U66" s="1278">
        <f t="shared" si="12"/>
        <v>14.452583646802612</v>
      </c>
      <c r="V66" s="1278">
        <f t="shared" si="19"/>
        <v>74.37081388268723</v>
      </c>
      <c r="W66" s="1279">
        <v>0.2</v>
      </c>
      <c r="X66" s="1316">
        <v>175</v>
      </c>
      <c r="Y66" s="1277">
        <f t="shared" si="4"/>
        <v>56.308571428571419</v>
      </c>
      <c r="Z66" s="244">
        <f t="shared" si="22"/>
        <v>4.9903880000000003</v>
      </c>
      <c r="AA66" s="244">
        <f t="shared" si="22"/>
        <v>19.471503999999999</v>
      </c>
      <c r="AB66" s="1277">
        <f t="shared" si="22"/>
        <v>72.123999999999995</v>
      </c>
      <c r="AC66" s="244">
        <f t="shared" si="23"/>
        <v>14.452583646802612</v>
      </c>
      <c r="AD66" s="1277">
        <f t="shared" si="23"/>
        <v>74.37081388268723</v>
      </c>
      <c r="AE66" s="241">
        <f t="shared" si="14"/>
        <v>31</v>
      </c>
      <c r="AF66" s="244">
        <f t="shared" si="24"/>
        <v>154.70202800000001</v>
      </c>
      <c r="AG66" s="1285"/>
      <c r="AI66" s="1282">
        <f t="shared" si="3"/>
        <v>13.238490896307168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79">
        <v>521.42999999999995</v>
      </c>
      <c r="J67" s="241">
        <v>300</v>
      </c>
      <c r="K67" s="241"/>
      <c r="L67" s="1277">
        <v>455</v>
      </c>
      <c r="M67" s="241"/>
      <c r="N67" s="1278">
        <v>4.8</v>
      </c>
      <c r="O67" s="241"/>
      <c r="P67" s="1278">
        <f t="shared" si="5"/>
        <v>11.019903001375498</v>
      </c>
      <c r="Q67" s="1278">
        <f>J67*14/100</f>
        <v>42</v>
      </c>
      <c r="R67" s="244">
        <v>7.7240000000000002</v>
      </c>
      <c r="S67" s="244">
        <v>11.608000000000001</v>
      </c>
      <c r="T67" s="1277">
        <v>332</v>
      </c>
      <c r="U67" s="1278">
        <f t="shared" si="12"/>
        <v>42.982910409114446</v>
      </c>
      <c r="V67" s="1278">
        <f t="shared" si="19"/>
        <v>33.459682977257067</v>
      </c>
      <c r="W67" s="1279">
        <v>0.2</v>
      </c>
      <c r="X67" s="1316">
        <v>300</v>
      </c>
      <c r="Y67" s="1277">
        <f t="shared" si="4"/>
        <v>27.638095238095239</v>
      </c>
      <c r="Z67" s="244">
        <f t="shared" si="22"/>
        <v>7.6313120000000003</v>
      </c>
      <c r="AA67" s="244">
        <f t="shared" si="22"/>
        <v>11.468704000000001</v>
      </c>
      <c r="AB67" s="1277">
        <f t="shared" si="22"/>
        <v>328.01600000000002</v>
      </c>
      <c r="AC67" s="244">
        <f t="shared" si="23"/>
        <v>42.982910409114446</v>
      </c>
      <c r="AD67" s="1277">
        <f t="shared" si="23"/>
        <v>33.459682977257067</v>
      </c>
      <c r="AE67" s="241">
        <f t="shared" si="14"/>
        <v>31</v>
      </c>
      <c r="AF67" s="244">
        <f t="shared" si="24"/>
        <v>236.570672</v>
      </c>
      <c r="AG67" s="1285"/>
      <c r="AI67" s="1282">
        <f t="shared" si="3"/>
        <v>11.019903001375498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79" t="s">
        <v>607</v>
      </c>
      <c r="F68" s="241">
        <v>177.8</v>
      </c>
      <c r="G68" s="241" t="s">
        <v>28</v>
      </c>
      <c r="H68" s="241" t="s">
        <v>464</v>
      </c>
      <c r="I68" s="1679">
        <v>512.28</v>
      </c>
      <c r="J68" s="241">
        <v>175</v>
      </c>
      <c r="K68" s="241"/>
      <c r="L68" s="1277">
        <v>397</v>
      </c>
      <c r="M68" s="241"/>
      <c r="N68" s="1278">
        <v>2.6</v>
      </c>
      <c r="O68" s="241"/>
      <c r="P68" s="1278">
        <f t="shared" si="5"/>
        <v>13.635584516785759</v>
      </c>
      <c r="Q68" s="1278">
        <f>J68*14/100</f>
        <v>24.5</v>
      </c>
      <c r="R68" s="244">
        <v>4.5</v>
      </c>
      <c r="S68" s="244">
        <v>9.7430000000000003</v>
      </c>
      <c r="T68" s="1277">
        <v>65</v>
      </c>
      <c r="U68" s="1278">
        <f t="shared" si="12"/>
        <v>14.444444444444445</v>
      </c>
      <c r="V68" s="1278">
        <f t="shared" si="19"/>
        <v>53.812993944370326</v>
      </c>
      <c r="W68" s="1279">
        <v>0.2</v>
      </c>
      <c r="X68" s="1316">
        <v>175</v>
      </c>
      <c r="Y68" s="1277">
        <f t="shared" si="4"/>
        <v>39.767346938775511</v>
      </c>
      <c r="Z68" s="244">
        <f t="shared" si="22"/>
        <v>4.4459999999999997</v>
      </c>
      <c r="AA68" s="244">
        <f t="shared" si="22"/>
        <v>9.6260840000000005</v>
      </c>
      <c r="AB68" s="1277">
        <f t="shared" si="22"/>
        <v>64.22</v>
      </c>
      <c r="AC68" s="244">
        <f t="shared" si="23"/>
        <v>14.444444444444445</v>
      </c>
      <c r="AD68" s="1277">
        <f t="shared" si="23"/>
        <v>53.812993944370326</v>
      </c>
      <c r="AE68" s="241">
        <f t="shared" si="14"/>
        <v>31</v>
      </c>
      <c r="AF68" s="244">
        <f t="shared" si="24"/>
        <v>137.82599999999999</v>
      </c>
      <c r="AG68" s="1285"/>
      <c r="AI68" s="1282">
        <f t="shared" si="3"/>
        <v>13.635584516785759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79">
        <v>539.28</v>
      </c>
      <c r="J69" s="241">
        <v>100</v>
      </c>
      <c r="K69" s="241"/>
      <c r="L69" s="1277">
        <v>237</v>
      </c>
      <c r="M69" s="241"/>
      <c r="N69" s="1278">
        <v>3</v>
      </c>
      <c r="O69" s="241"/>
      <c r="P69" s="1278">
        <f t="shared" si="5"/>
        <v>32.431884163678035</v>
      </c>
      <c r="Q69" s="1278">
        <f>J69*13/100</f>
        <v>13</v>
      </c>
      <c r="R69" s="244">
        <v>0.80500000000000005</v>
      </c>
      <c r="S69" s="244">
        <v>5.2080000000000002</v>
      </c>
      <c r="T69" s="1277">
        <v>7</v>
      </c>
      <c r="U69" s="1278">
        <f t="shared" si="12"/>
        <v>8.695652173913043</v>
      </c>
      <c r="V69" s="1278">
        <f t="shared" si="19"/>
        <v>84.543010752688176</v>
      </c>
      <c r="W69" s="1279">
        <v>0.2</v>
      </c>
      <c r="X69" s="1316">
        <v>100</v>
      </c>
      <c r="Y69" s="1277">
        <f t="shared" si="4"/>
        <v>40.061538461538468</v>
      </c>
      <c r="Z69" s="244">
        <f t="shared" si="22"/>
        <v>0.79534000000000005</v>
      </c>
      <c r="AA69" s="244">
        <f t="shared" si="22"/>
        <v>5.1455039999999999</v>
      </c>
      <c r="AB69" s="1277">
        <f t="shared" si="22"/>
        <v>6.9160000000000004</v>
      </c>
      <c r="AC69" s="244">
        <f t="shared" si="23"/>
        <v>8.695652173913043</v>
      </c>
      <c r="AD69" s="1277">
        <f t="shared" si="23"/>
        <v>84.543010752688176</v>
      </c>
      <c r="AE69" s="241">
        <f t="shared" si="14"/>
        <v>31</v>
      </c>
      <c r="AF69" s="244">
        <f>Z69*AE69</f>
        <v>24.655540000000002</v>
      </c>
      <c r="AG69" s="1281"/>
      <c r="AI69" s="1282">
        <f t="shared" si="3"/>
        <v>32.431884163678035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79">
        <v>541.46</v>
      </c>
      <c r="J70" s="241">
        <v>100</v>
      </c>
      <c r="K70" s="241"/>
      <c r="L70" s="1277">
        <v>240</v>
      </c>
      <c r="M70" s="241"/>
      <c r="N70" s="1278">
        <v>4.9000000000000004</v>
      </c>
      <c r="O70" s="241"/>
      <c r="P70" s="1278">
        <f t="shared" si="5"/>
        <v>34.22672868466563</v>
      </c>
      <c r="Q70" s="1278">
        <f>(32/100)*J70</f>
        <v>32</v>
      </c>
      <c r="R70" s="244">
        <v>4.8179999999999996</v>
      </c>
      <c r="S70" s="244">
        <v>31.387</v>
      </c>
      <c r="T70" s="1277">
        <v>44</v>
      </c>
      <c r="U70" s="1278">
        <f t="shared" si="12"/>
        <v>9.1324200913242013</v>
      </c>
      <c r="V70" s="1278">
        <f t="shared" si="19"/>
        <v>84.649695733902576</v>
      </c>
      <c r="W70" s="1279">
        <v>0.2</v>
      </c>
      <c r="X70" s="1316">
        <v>100</v>
      </c>
      <c r="Y70" s="1277">
        <f t="shared" si="4"/>
        <v>98.084374999999994</v>
      </c>
      <c r="Z70" s="244">
        <v>6</v>
      </c>
      <c r="AA70" s="244">
        <f t="shared" si="22"/>
        <v>31.010356000000002</v>
      </c>
      <c r="AB70" s="1277">
        <f t="shared" si="22"/>
        <v>43.472000000000001</v>
      </c>
      <c r="AC70" s="244">
        <f>U70</f>
        <v>9.1324200913242013</v>
      </c>
      <c r="AD70" s="1277">
        <f t="shared" si="23"/>
        <v>84.649695733902576</v>
      </c>
      <c r="AE70" s="241">
        <f t="shared" si="14"/>
        <v>31</v>
      </c>
      <c r="AF70" s="244">
        <f t="shared" si="24"/>
        <v>186</v>
      </c>
      <c r="AG70" s="1285"/>
      <c r="AI70" s="1282">
        <f t="shared" si="3"/>
        <v>34.22672868466563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76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5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2"/>
        <v>0</v>
      </c>
      <c r="V71" s="1278" t="e">
        <f t="shared" si="19"/>
        <v>#DIV/0!</v>
      </c>
      <c r="W71" s="1279">
        <v>0</v>
      </c>
      <c r="X71" s="1449">
        <v>0</v>
      </c>
      <c r="Y71" s="1277">
        <f t="shared" si="4"/>
        <v>0</v>
      </c>
      <c r="Z71" s="244">
        <f t="shared" ref="Z71:AA75" si="25">R71*0.988</f>
        <v>0</v>
      </c>
      <c r="AA71" s="244">
        <f t="shared" si="25"/>
        <v>0</v>
      </c>
      <c r="AB71" s="1277">
        <f t="shared" si="22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4"/>
        <v>0</v>
      </c>
      <c r="AG71" s="1281" t="s">
        <v>769</v>
      </c>
      <c r="AI71" s="1282" t="e">
        <f t="shared" si="3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79">
        <v>512.47</v>
      </c>
      <c r="J72" s="1277">
        <v>245</v>
      </c>
      <c r="K72" s="241"/>
      <c r="L72" s="1277">
        <v>457</v>
      </c>
      <c r="M72" s="241"/>
      <c r="N72" s="1278">
        <v>3.8</v>
      </c>
      <c r="O72" s="241"/>
      <c r="P72" s="1278">
        <f t="shared" si="5"/>
        <v>8.9202902756783509</v>
      </c>
      <c r="Q72" s="1278">
        <f>(32*J72)/100</f>
        <v>78.400000000000006</v>
      </c>
      <c r="R72" s="244">
        <v>13.388999999999999</v>
      </c>
      <c r="S72" s="244">
        <v>17.138999999999999</v>
      </c>
      <c r="T72" s="1277">
        <v>600</v>
      </c>
      <c r="U72" s="1278">
        <f t="shared" si="12"/>
        <v>44.812906116961685</v>
      </c>
      <c r="V72" s="1278">
        <f t="shared" si="19"/>
        <v>21.879922982671101</v>
      </c>
      <c r="W72" s="1279">
        <v>0.2</v>
      </c>
      <c r="X72" s="1454">
        <v>245</v>
      </c>
      <c r="Y72" s="1277">
        <f t="shared" si="4"/>
        <v>21.860969387755098</v>
      </c>
      <c r="Z72" s="244">
        <f t="shared" si="25"/>
        <v>13.228332</v>
      </c>
      <c r="AA72" s="244">
        <f t="shared" si="25"/>
        <v>16.933332</v>
      </c>
      <c r="AB72" s="1277">
        <f t="shared" si="22"/>
        <v>592.79999999999995</v>
      </c>
      <c r="AC72" s="244">
        <f>U72</f>
        <v>44.812906116961685</v>
      </c>
      <c r="AD72" s="1277">
        <f>V72</f>
        <v>21.879922982671101</v>
      </c>
      <c r="AE72" s="241">
        <f t="shared" si="14"/>
        <v>31</v>
      </c>
      <c r="AF72" s="244">
        <f t="shared" si="24"/>
        <v>410.07829199999998</v>
      </c>
      <c r="AG72" s="1281"/>
      <c r="AI72" s="1282">
        <f t="shared" si="3"/>
        <v>8.9202902756783509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79">
        <v>500.41</v>
      </c>
      <c r="J73" s="1448">
        <v>185</v>
      </c>
      <c r="K73" s="241"/>
      <c r="L73" s="1277">
        <v>480</v>
      </c>
      <c r="M73" s="241"/>
      <c r="N73" s="1278">
        <v>4.5</v>
      </c>
      <c r="O73" s="241"/>
      <c r="P73" s="1278">
        <f t="shared" si="5"/>
        <v>6.5568139708993511</v>
      </c>
      <c r="Q73" s="1278">
        <f>J73*32/100</f>
        <v>59.2</v>
      </c>
      <c r="R73" s="244">
        <v>8.5869999999999997</v>
      </c>
      <c r="S73" s="244">
        <v>10.154999999999999</v>
      </c>
      <c r="T73" s="1277">
        <v>121</v>
      </c>
      <c r="U73" s="1278">
        <f t="shared" si="12"/>
        <v>14.091067893327123</v>
      </c>
      <c r="V73" s="1278">
        <f t="shared" si="19"/>
        <v>15.440669620876413</v>
      </c>
      <c r="W73" s="1279">
        <v>0.2</v>
      </c>
      <c r="X73" s="1449">
        <v>185</v>
      </c>
      <c r="Y73" s="1277">
        <f t="shared" si="4"/>
        <v>17.153716216216214</v>
      </c>
      <c r="Z73" s="244">
        <f t="shared" si="25"/>
        <v>8.4839559999999992</v>
      </c>
      <c r="AA73" s="244">
        <f t="shared" si="25"/>
        <v>10.03314</v>
      </c>
      <c r="AB73" s="1277">
        <f t="shared" si="22"/>
        <v>119.548</v>
      </c>
      <c r="AC73" s="244">
        <v>20</v>
      </c>
      <c r="AD73" s="1277">
        <v>17</v>
      </c>
      <c r="AE73" s="241">
        <f t="shared" si="14"/>
        <v>31</v>
      </c>
      <c r="AF73" s="244">
        <f t="shared" si="24"/>
        <v>263.002636</v>
      </c>
      <c r="AG73" s="1281"/>
      <c r="AI73" s="1282">
        <f t="shared" si="3"/>
        <v>6.5568139708993511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79">
        <v>549.1</v>
      </c>
      <c r="J74" s="1448">
        <v>185</v>
      </c>
      <c r="K74" s="241"/>
      <c r="L74" s="1277">
        <v>432</v>
      </c>
      <c r="M74" s="241"/>
      <c r="N74" s="1278">
        <v>6.5</v>
      </c>
      <c r="O74" s="241"/>
      <c r="P74" s="1278">
        <f t="shared" si="5"/>
        <v>17.557007216724209</v>
      </c>
      <c r="Q74" s="1278">
        <f>LEFT(H74,(FIND("E",H74,1)-1))*J74/100</f>
        <v>40.700000000000003</v>
      </c>
      <c r="R74" s="244">
        <v>13.69</v>
      </c>
      <c r="S74" s="244">
        <v>27.431999999999999</v>
      </c>
      <c r="T74" s="1277">
        <v>420</v>
      </c>
      <c r="U74" s="1278">
        <f t="shared" si="12"/>
        <v>30.679327976625274</v>
      </c>
      <c r="V74" s="1278">
        <f t="shared" si="19"/>
        <v>50.09477981918927</v>
      </c>
      <c r="W74" s="1279">
        <v>0.2</v>
      </c>
      <c r="X74" s="1449">
        <v>185</v>
      </c>
      <c r="Y74" s="1277">
        <f t="shared" si="4"/>
        <v>67.40049140049139</v>
      </c>
      <c r="Z74" s="244">
        <f t="shared" si="25"/>
        <v>13.52572</v>
      </c>
      <c r="AA74" s="244">
        <f t="shared" si="25"/>
        <v>27.102815999999997</v>
      </c>
      <c r="AB74" s="1277">
        <f t="shared" si="22"/>
        <v>414.96</v>
      </c>
      <c r="AC74" s="244">
        <f>U74</f>
        <v>30.679327976625274</v>
      </c>
      <c r="AD74" s="1277">
        <f>V74</f>
        <v>50.09477981918927</v>
      </c>
      <c r="AE74" s="241">
        <f t="shared" si="14"/>
        <v>31</v>
      </c>
      <c r="AF74" s="244">
        <f t="shared" si="24"/>
        <v>419.29732000000001</v>
      </c>
      <c r="AG74" s="1285"/>
      <c r="AI74" s="1282">
        <f t="shared" si="3"/>
        <v>17.557007216724209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92">
        <v>542.46</v>
      </c>
      <c r="J75" s="1448">
        <v>85</v>
      </c>
      <c r="K75" s="241"/>
      <c r="L75" s="1277">
        <v>303</v>
      </c>
      <c r="M75" s="241"/>
      <c r="N75" s="1278">
        <v>3.2</v>
      </c>
      <c r="O75" s="241"/>
      <c r="P75" s="1278">
        <f t="shared" si="5"/>
        <v>25.807930852977911</v>
      </c>
      <c r="Q75" s="1278">
        <f>(20/100)*J75</f>
        <v>17</v>
      </c>
      <c r="R75" s="244">
        <v>7.5129999999999999</v>
      </c>
      <c r="S75" s="244">
        <v>18.321999999999999</v>
      </c>
      <c r="T75" s="1277">
        <v>112</v>
      </c>
      <c r="U75" s="1278">
        <f t="shared" si="12"/>
        <v>14.90749367762545</v>
      </c>
      <c r="V75" s="1278">
        <f t="shared" si="19"/>
        <v>58.994651238947718</v>
      </c>
      <c r="W75" s="1279">
        <v>0.2</v>
      </c>
      <c r="X75" s="1449">
        <v>85</v>
      </c>
      <c r="Y75" s="1277">
        <f t="shared" si="4"/>
        <v>107.7764705882353</v>
      </c>
      <c r="Z75" s="244">
        <f t="shared" si="25"/>
        <v>7.4228439999999996</v>
      </c>
      <c r="AA75" s="244">
        <f t="shared" si="25"/>
        <v>18.102135999999998</v>
      </c>
      <c r="AB75" s="1277">
        <f t="shared" si="22"/>
        <v>110.65600000000001</v>
      </c>
      <c r="AC75" s="244">
        <f>U75</f>
        <v>14.90749367762545</v>
      </c>
      <c r="AD75" s="1277">
        <f>V75</f>
        <v>58.994651238947718</v>
      </c>
      <c r="AE75" s="241">
        <f t="shared" si="14"/>
        <v>31</v>
      </c>
      <c r="AF75" s="244">
        <f t="shared" si="24"/>
        <v>230.10816399999999</v>
      </c>
      <c r="AG75" s="1285"/>
      <c r="AI75" s="1282">
        <f t="shared" si="3"/>
        <v>25.807930852977911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676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5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4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3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692">
        <v>560.02</v>
      </c>
      <c r="J77" s="1448">
        <v>180</v>
      </c>
      <c r="K77" s="241"/>
      <c r="L77" s="1277">
        <v>184</v>
      </c>
      <c r="M77" s="241"/>
      <c r="N77" s="1278">
        <v>0.1</v>
      </c>
      <c r="O77" s="241"/>
      <c r="P77" s="1278">
        <f t="shared" si="5"/>
        <v>36.83221635658051</v>
      </c>
      <c r="Q77" s="1278">
        <f>(20*J77)/100</f>
        <v>36</v>
      </c>
      <c r="R77" s="244">
        <v>1.704</v>
      </c>
      <c r="S77" s="244">
        <v>13.871</v>
      </c>
      <c r="T77" s="1277">
        <v>50</v>
      </c>
      <c r="U77" s="1278">
        <f t="shared" si="12"/>
        <v>29.342723004694836</v>
      </c>
      <c r="V77" s="1278">
        <f t="shared" si="19"/>
        <v>87.715377406099051</v>
      </c>
      <c r="W77" s="1279">
        <v>0</v>
      </c>
      <c r="X77" s="1449">
        <v>180</v>
      </c>
      <c r="Y77" s="1277">
        <f t="shared" si="4"/>
        <v>38.530555555555559</v>
      </c>
      <c r="Z77" s="244">
        <f t="shared" ref="Z77:AB82" si="26">R77*0.988</f>
        <v>1.6835519999999999</v>
      </c>
      <c r="AA77" s="244">
        <f t="shared" si="26"/>
        <v>13.704548000000001</v>
      </c>
      <c r="AB77" s="1277">
        <f t="shared" si="26"/>
        <v>49.4</v>
      </c>
      <c r="AC77" s="244">
        <f t="shared" ref="AC77:AD81" si="27">U77</f>
        <v>29.342723004694836</v>
      </c>
      <c r="AD77" s="1277">
        <f t="shared" si="27"/>
        <v>87.715377406099051</v>
      </c>
      <c r="AE77" s="241">
        <f t="shared" si="14"/>
        <v>31</v>
      </c>
      <c r="AF77" s="244">
        <f t="shared" ref="AF77:AF83" si="28">Z77*AE77</f>
        <v>52.190111999999999</v>
      </c>
      <c r="AG77" s="1281"/>
      <c r="AI77" s="1282">
        <f t="shared" si="3"/>
        <v>36.83221635658051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92">
        <v>531.27</v>
      </c>
      <c r="J78" s="1448">
        <v>145</v>
      </c>
      <c r="K78" s="241"/>
      <c r="L78" s="1277">
        <v>289</v>
      </c>
      <c r="M78" s="241"/>
      <c r="N78" s="1278">
        <v>6.7</v>
      </c>
      <c r="O78" s="241"/>
      <c r="P78" s="1278">
        <f t="shared" si="5"/>
        <v>29.702075586163058</v>
      </c>
      <c r="Q78" s="1278">
        <f>(32*J78)/100</f>
        <v>46.4</v>
      </c>
      <c r="R78" s="244">
        <v>10.994</v>
      </c>
      <c r="S78" s="244">
        <v>30.451000000000001</v>
      </c>
      <c r="T78" s="1277">
        <v>192</v>
      </c>
      <c r="U78" s="1278">
        <f t="shared" si="12"/>
        <v>17.464071311624522</v>
      </c>
      <c r="V78" s="1278">
        <f t="shared" si="19"/>
        <v>63.896095366326236</v>
      </c>
      <c r="W78" s="1279">
        <v>0.2</v>
      </c>
      <c r="X78" s="1449">
        <v>145</v>
      </c>
      <c r="Y78" s="1277">
        <f t="shared" si="4"/>
        <v>65.627155172413794</v>
      </c>
      <c r="Z78" s="244">
        <f t="shared" si="26"/>
        <v>10.862072</v>
      </c>
      <c r="AA78" s="244">
        <f t="shared" si="26"/>
        <v>30.085588000000001</v>
      </c>
      <c r="AB78" s="1277">
        <f t="shared" si="26"/>
        <v>189.696</v>
      </c>
      <c r="AC78" s="244">
        <f t="shared" si="27"/>
        <v>17.464071311624522</v>
      </c>
      <c r="AD78" s="1277">
        <f t="shared" si="27"/>
        <v>63.896095366326236</v>
      </c>
      <c r="AE78" s="241">
        <f t="shared" si="14"/>
        <v>31</v>
      </c>
      <c r="AF78" s="244">
        <f t="shared" si="28"/>
        <v>336.72423199999997</v>
      </c>
      <c r="AG78" s="1285"/>
      <c r="AI78" s="1282">
        <f t="shared" si="3"/>
        <v>29.702075586163058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76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5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12"/>
        <v>0</v>
      </c>
      <c r="V79" s="1278" t="e">
        <f t="shared" si="19"/>
        <v>#DIV/0!</v>
      </c>
      <c r="W79" s="1279">
        <v>0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28"/>
        <v>0</v>
      </c>
      <c r="AG79" s="1281" t="s">
        <v>772</v>
      </c>
      <c r="AI79" s="1282" t="e">
        <f t="shared" si="3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92">
        <v>572.76</v>
      </c>
      <c r="J80" s="1448">
        <v>150</v>
      </c>
      <c r="K80" s="241"/>
      <c r="L80" s="1277">
        <v>537</v>
      </c>
      <c r="M80" s="241"/>
      <c r="N80" s="1278">
        <v>16.3</v>
      </c>
      <c r="O80" s="241"/>
      <c r="P80" s="1278">
        <f t="shared" si="5"/>
        <v>19.518780522584237</v>
      </c>
      <c r="Q80" s="1278">
        <f>(32/100)*J80</f>
        <v>48</v>
      </c>
      <c r="R80" s="244">
        <v>11.63</v>
      </c>
      <c r="S80" s="244">
        <v>12.205</v>
      </c>
      <c r="T80" s="1277">
        <v>647</v>
      </c>
      <c r="U80" s="1278">
        <f t="shared" si="12"/>
        <v>55.631986242476351</v>
      </c>
      <c r="V80" s="1278">
        <f t="shared" si="19"/>
        <v>4.7111839410077776</v>
      </c>
      <c r="W80" s="1279">
        <v>0.2</v>
      </c>
      <c r="X80" s="1449">
        <v>150</v>
      </c>
      <c r="Y80" s="1277">
        <f t="shared" si="4"/>
        <v>25.427083333333332</v>
      </c>
      <c r="Z80" s="244">
        <f t="shared" si="26"/>
        <v>11.490440000000001</v>
      </c>
      <c r="AA80" s="244">
        <f t="shared" si="26"/>
        <v>12.058540000000001</v>
      </c>
      <c r="AB80" s="1277">
        <f t="shared" si="26"/>
        <v>639.23599999999999</v>
      </c>
      <c r="AC80" s="244">
        <f t="shared" si="27"/>
        <v>55.631986242476351</v>
      </c>
      <c r="AD80" s="1277">
        <f t="shared" si="27"/>
        <v>4.7111839410077776</v>
      </c>
      <c r="AE80" s="241">
        <f t="shared" si="14"/>
        <v>31</v>
      </c>
      <c r="AF80" s="244">
        <f t="shared" si="28"/>
        <v>356.20364000000006</v>
      </c>
      <c r="AG80" s="1285"/>
      <c r="AI80" s="1282">
        <f t="shared" si="3"/>
        <v>19.518780522584237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92">
        <v>664.19</v>
      </c>
      <c r="J81" s="1448">
        <v>165</v>
      </c>
      <c r="K81" s="241"/>
      <c r="L81" s="1277">
        <v>29</v>
      </c>
      <c r="M81" s="241"/>
      <c r="N81" s="1278">
        <v>0.3</v>
      </c>
      <c r="O81" s="241"/>
      <c r="P81" s="1278">
        <f t="shared" si="5"/>
        <v>57.21300362075732</v>
      </c>
      <c r="Q81" s="1278">
        <f>14*J81/100</f>
        <v>23.1</v>
      </c>
      <c r="R81" s="244">
        <v>4.7439999999999998</v>
      </c>
      <c r="S81" s="244">
        <v>5.351</v>
      </c>
      <c r="T81" s="1277">
        <v>470</v>
      </c>
      <c r="U81" s="1278">
        <f t="shared" si="12"/>
        <v>99.072512647554817</v>
      </c>
      <c r="V81" s="1278">
        <f t="shared" si="19"/>
        <v>11.343674079611292</v>
      </c>
      <c r="W81" s="1279">
        <v>0.2</v>
      </c>
      <c r="X81" s="1449">
        <v>165</v>
      </c>
      <c r="Y81" s="1277">
        <f t="shared" si="4"/>
        <v>23.164502164502164</v>
      </c>
      <c r="Z81" s="244">
        <f t="shared" si="26"/>
        <v>4.6870719999999997</v>
      </c>
      <c r="AA81" s="244">
        <f t="shared" si="26"/>
        <v>5.2867879999999996</v>
      </c>
      <c r="AB81" s="1277">
        <f t="shared" si="26"/>
        <v>464.36</v>
      </c>
      <c r="AC81" s="244">
        <f t="shared" si="27"/>
        <v>99.072512647554817</v>
      </c>
      <c r="AD81" s="1277">
        <f t="shared" si="27"/>
        <v>11.343674079611292</v>
      </c>
      <c r="AE81" s="241">
        <f t="shared" si="14"/>
        <v>31</v>
      </c>
      <c r="AF81" s="244">
        <f t="shared" si="28"/>
        <v>145.29923199999999</v>
      </c>
      <c r="AG81" s="1281"/>
      <c r="AI81" s="1282">
        <f t="shared" si="3"/>
        <v>57.21300362075732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676">
        <v>700</v>
      </c>
      <c r="E82" s="1676" t="s">
        <v>547</v>
      </c>
      <c r="F82" s="241">
        <v>177.8</v>
      </c>
      <c r="G82" s="241" t="s">
        <v>28</v>
      </c>
      <c r="H82" s="241" t="s">
        <v>464</v>
      </c>
      <c r="I82" s="1676">
        <v>608.22</v>
      </c>
      <c r="J82" s="1676">
        <v>0</v>
      </c>
      <c r="K82" s="1676"/>
      <c r="L82" s="1319">
        <v>0</v>
      </c>
      <c r="M82" s="1676"/>
      <c r="N82" s="1278">
        <v>0</v>
      </c>
      <c r="O82" s="1676"/>
      <c r="P82" s="1278">
        <f t="shared" si="5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4"/>
        <v>0</v>
      </c>
      <c r="Z82" s="244">
        <f t="shared" si="26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92">
        <v>619.66</v>
      </c>
      <c r="E83" s="1692" t="s">
        <v>613</v>
      </c>
      <c r="F83" s="241">
        <v>177.8</v>
      </c>
      <c r="G83" s="241" t="s">
        <v>28</v>
      </c>
      <c r="H83" s="1299" t="s">
        <v>687</v>
      </c>
      <c r="I83" s="1692">
        <v>595.26</v>
      </c>
      <c r="J83" s="1692">
        <v>0</v>
      </c>
      <c r="K83" s="1692"/>
      <c r="L83" s="1319">
        <v>0</v>
      </c>
      <c r="M83" s="1692"/>
      <c r="N83" s="1278">
        <v>0</v>
      </c>
      <c r="O83" s="1692"/>
      <c r="P83" s="1278" t="e">
        <f t="shared" si="5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2"/>
        <v>0</v>
      </c>
      <c r="V83" s="1278" t="e">
        <f t="shared" si="19"/>
        <v>#DIV/0!</v>
      </c>
      <c r="W83" s="1279">
        <v>0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28"/>
        <v>0</v>
      </c>
      <c r="AG83" s="1281" t="s">
        <v>780</v>
      </c>
      <c r="AI83" s="1282" t="e">
        <f t="shared" ref="AI83:AI86" si="29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676">
        <v>689.4</v>
      </c>
      <c r="E84" s="1676" t="s">
        <v>616</v>
      </c>
      <c r="F84" s="241">
        <v>177.8</v>
      </c>
      <c r="G84" s="241" t="s">
        <v>28</v>
      </c>
      <c r="H84" s="1299" t="s">
        <v>466</v>
      </c>
      <c r="I84" s="1676">
        <v>604.96</v>
      </c>
      <c r="J84" s="1676">
        <v>0</v>
      </c>
      <c r="K84" s="1676"/>
      <c r="L84" s="1319"/>
      <c r="M84" s="1676"/>
      <c r="N84" s="1278"/>
      <c r="O84" s="1676"/>
      <c r="P84" s="1278">
        <f t="shared" si="5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0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9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692">
        <v>577.12</v>
      </c>
      <c r="E85" s="1692" t="s">
        <v>614</v>
      </c>
      <c r="F85" s="241">
        <v>177.8</v>
      </c>
      <c r="G85" s="241" t="s">
        <v>28</v>
      </c>
      <c r="H85" s="241" t="s">
        <v>464</v>
      </c>
      <c r="I85" s="1692">
        <v>536.91999999999996</v>
      </c>
      <c r="J85" s="1692">
        <v>85</v>
      </c>
      <c r="K85" s="1692"/>
      <c r="L85" s="1319">
        <v>445</v>
      </c>
      <c r="M85" s="1692"/>
      <c r="N85" s="1278">
        <v>0</v>
      </c>
      <c r="O85" s="1692"/>
      <c r="P85" s="1278">
        <f t="shared" ref="P85:P86" si="31">AI85</f>
        <v>8.7692468993660295</v>
      </c>
      <c r="Q85" s="1278">
        <f>RIGHT(H85,(FIND("T",H85,1)-0))*J85/100</f>
        <v>11.9</v>
      </c>
      <c r="R85" s="244">
        <v>4.6760000000000002</v>
      </c>
      <c r="S85" s="244">
        <v>8.1769999999999996</v>
      </c>
      <c r="T85" s="1319">
        <v>6</v>
      </c>
      <c r="U85" s="244">
        <f t="shared" ref="U85" si="32">IF(R85=0,0,T85/R85)</f>
        <v>1.2831479897348161</v>
      </c>
      <c r="V85" s="1278">
        <f t="shared" si="19"/>
        <v>42.815213403448695</v>
      </c>
      <c r="W85" s="1279">
        <v>0.2</v>
      </c>
      <c r="X85" s="1410">
        <v>85</v>
      </c>
      <c r="Y85" s="1277">
        <f t="shared" si="30"/>
        <v>68.714285714285708</v>
      </c>
      <c r="Z85" s="244">
        <f t="shared" ref="Z85" si="33">R85*0.988</f>
        <v>4.6198880000000004</v>
      </c>
      <c r="AA85" s="244">
        <f t="shared" ref="AA85" si="34">S85*0.988</f>
        <v>8.0788759999999993</v>
      </c>
      <c r="AB85" s="1277">
        <f t="shared" ref="AB85" si="35">T85*0.988</f>
        <v>5.9279999999999999</v>
      </c>
      <c r="AC85" s="244">
        <f t="shared" ref="AC85:AD85" si="36">U85</f>
        <v>1.2831479897348161</v>
      </c>
      <c r="AD85" s="1277">
        <f t="shared" si="36"/>
        <v>42.815213403448695</v>
      </c>
      <c r="AE85" s="241">
        <v>20</v>
      </c>
      <c r="AF85" s="244">
        <f>Z85*AE85</f>
        <v>92.397760000000005</v>
      </c>
      <c r="AG85" s="1281" t="s">
        <v>785</v>
      </c>
      <c r="AI85" s="1282">
        <f t="shared" si="29"/>
        <v>8.7692468993660295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76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1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2"/>
        <v>0</v>
      </c>
      <c r="V86" s="1278" t="e">
        <f t="shared" si="19"/>
        <v>#DIV/0!</v>
      </c>
      <c r="W86" s="1279">
        <v>0</v>
      </c>
      <c r="X86" s="1449">
        <v>0</v>
      </c>
      <c r="Y86" s="1277">
        <f t="shared" si="30"/>
        <v>0</v>
      </c>
      <c r="Z86" s="244">
        <f t="shared" ref="Z86:AB86" si="37">R86*0.988</f>
        <v>0</v>
      </c>
      <c r="AA86" s="244">
        <f t="shared" si="37"/>
        <v>0</v>
      </c>
      <c r="AB86" s="1277">
        <f t="shared" si="37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9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676"/>
      <c r="E87" s="1676"/>
      <c r="F87" s="1274"/>
      <c r="G87" s="241"/>
      <c r="H87" s="241"/>
      <c r="I87" s="1676"/>
      <c r="J87" s="1676"/>
      <c r="K87" s="1676"/>
      <c r="L87" s="1676"/>
      <c r="M87" s="1676"/>
      <c r="N87" s="241"/>
      <c r="O87" s="1676"/>
      <c r="P87" s="1278"/>
      <c r="Q87" s="1269"/>
      <c r="R87" s="1348">
        <f>SUM(R19:R86)</f>
        <v>275.19</v>
      </c>
      <c r="S87" s="1348">
        <f>SUM(S19:S86)</f>
        <v>709.66599999999994</v>
      </c>
      <c r="T87" s="1349">
        <f>SUM(T19:T86)</f>
        <v>5523</v>
      </c>
      <c r="U87" s="1348">
        <f>T87/R87</f>
        <v>20.069769977106727</v>
      </c>
      <c r="V87" s="1348"/>
      <c r="W87" s="1350"/>
      <c r="X87" s="1410"/>
      <c r="Y87" s="1348"/>
      <c r="Z87" s="1348">
        <f>SUM(Z19:Z86)</f>
        <v>273.21431200000001</v>
      </c>
      <c r="AA87" s="1348">
        <f>SUM(AA19:AA86)</f>
        <v>699.93899999999985</v>
      </c>
      <c r="AB87" s="1351">
        <f>SUM(AB19:AB86)</f>
        <v>5475.0839999999989</v>
      </c>
      <c r="AC87" s="1348">
        <f>AB87/Z87</f>
        <v>20.039521209269591</v>
      </c>
      <c r="AD87" s="1348"/>
      <c r="AE87" s="1302"/>
      <c r="AF87" s="1348">
        <f>SUM(AF19:AF86)</f>
        <v>8397.2291999999998</v>
      </c>
      <c r="AG87" s="1281"/>
      <c r="AI87" s="1282"/>
    </row>
    <row r="88" spans="1:38" ht="18.75" customHeight="1" x14ac:dyDescent="0.2">
      <c r="A88" s="1347"/>
      <c r="B88" s="241"/>
      <c r="C88" s="241"/>
      <c r="D88" s="1676"/>
      <c r="E88" s="1676"/>
      <c r="F88" s="1274"/>
      <c r="G88" s="241"/>
      <c r="H88" s="241"/>
      <c r="I88" s="1676"/>
      <c r="J88" s="1676"/>
      <c r="K88" s="1676"/>
      <c r="L88" s="1676"/>
      <c r="M88" s="1676"/>
      <c r="N88" s="241"/>
      <c r="O88" s="1676"/>
      <c r="P88" s="1278"/>
      <c r="Q88" s="1269"/>
      <c r="R88" s="1348"/>
      <c r="S88" s="1348"/>
      <c r="T88" s="1349">
        <f>S87-R87</f>
        <v>434.47599999999994</v>
      </c>
      <c r="U88" s="1348"/>
      <c r="V88" s="1348"/>
      <c r="W88" s="1350"/>
      <c r="X88" s="1410"/>
      <c r="Y88" s="1348"/>
      <c r="Z88" s="1348"/>
      <c r="AA88" s="1352">
        <f>AA87-Z87</f>
        <v>426.72468799999984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676"/>
      <c r="E89" s="1675" t="s">
        <v>388</v>
      </c>
      <c r="F89" s="1274"/>
      <c r="G89" s="241"/>
      <c r="H89" s="241"/>
      <c r="I89" s="1676"/>
      <c r="J89" s="1676"/>
      <c r="K89" s="1676"/>
      <c r="L89" s="1676"/>
      <c r="M89" s="1676"/>
      <c r="N89" s="241"/>
      <c r="O89" s="1676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676">
        <v>737.21</v>
      </c>
      <c r="E90" s="1676" t="s">
        <v>507</v>
      </c>
      <c r="F90" s="241">
        <v>177.8</v>
      </c>
      <c r="G90" s="241" t="s">
        <v>28</v>
      </c>
      <c r="H90" s="1354" t="s">
        <v>466</v>
      </c>
      <c r="I90" s="1676">
        <v>680.94</v>
      </c>
      <c r="J90" s="1676"/>
      <c r="K90" s="1676"/>
      <c r="L90" s="1676"/>
      <c r="M90" s="1676"/>
      <c r="N90" s="241"/>
      <c r="O90" s="1676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8">R90*0.988</f>
        <v>0</v>
      </c>
      <c r="AA90" s="244">
        <f t="shared" si="38"/>
        <v>0</v>
      </c>
      <c r="AB90" s="1277">
        <f t="shared" si="38"/>
        <v>0</v>
      </c>
      <c r="AC90" s="244">
        <f t="shared" ref="AC90:AD93" si="39">U90</f>
        <v>0</v>
      </c>
      <c r="AD90" s="244">
        <f t="shared" si="39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676">
        <v>695.15</v>
      </c>
      <c r="E91" s="1676" t="s">
        <v>508</v>
      </c>
      <c r="F91" s="1274">
        <v>177.8</v>
      </c>
      <c r="G91" s="241" t="s">
        <v>28</v>
      </c>
      <c r="H91" s="241" t="s">
        <v>491</v>
      </c>
      <c r="I91" s="1676">
        <v>658.9</v>
      </c>
      <c r="J91" s="1676"/>
      <c r="K91" s="1676"/>
      <c r="L91" s="1676"/>
      <c r="M91" s="1676"/>
      <c r="N91" s="241"/>
      <c r="O91" s="1676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8"/>
        <v>0</v>
      </c>
      <c r="AA91" s="244">
        <f t="shared" si="38"/>
        <v>0</v>
      </c>
      <c r="AB91" s="1277">
        <f t="shared" si="38"/>
        <v>0</v>
      </c>
      <c r="AC91" s="244">
        <f t="shared" si="39"/>
        <v>0</v>
      </c>
      <c r="AD91" s="244">
        <f t="shared" si="39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676">
        <v>685.69</v>
      </c>
      <c r="E92" s="1676" t="s">
        <v>579</v>
      </c>
      <c r="F92" s="241">
        <v>177.8</v>
      </c>
      <c r="G92" s="241" t="s">
        <v>28</v>
      </c>
      <c r="H92" s="1299" t="s">
        <v>466</v>
      </c>
      <c r="I92" s="1676">
        <v>639.97</v>
      </c>
      <c r="J92" s="1676"/>
      <c r="K92" s="1676"/>
      <c r="L92" s="1676"/>
      <c r="M92" s="1676"/>
      <c r="N92" s="241"/>
      <c r="O92" s="1676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8"/>
        <v>0</v>
      </c>
      <c r="AA92" s="244">
        <f t="shared" si="38"/>
        <v>0</v>
      </c>
      <c r="AB92" s="1277">
        <f t="shared" si="38"/>
        <v>0</v>
      </c>
      <c r="AC92" s="244">
        <f t="shared" si="39"/>
        <v>0</v>
      </c>
      <c r="AD92" s="244">
        <f t="shared" si="39"/>
        <v>0</v>
      </c>
      <c r="AE92" s="241">
        <v>0</v>
      </c>
      <c r="AF92" s="244">
        <f t="shared" ref="AF92:AF93" si="40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676">
        <v>9.5</v>
      </c>
      <c r="J93" s="1676"/>
      <c r="K93" s="1676"/>
      <c r="L93" s="1676"/>
      <c r="M93" s="1676"/>
      <c r="N93" s="241"/>
      <c r="O93" s="1676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8"/>
        <v>0</v>
      </c>
      <c r="AA93" s="244">
        <f t="shared" si="38"/>
        <v>0</v>
      </c>
      <c r="AB93" s="1277">
        <f t="shared" si="38"/>
        <v>0</v>
      </c>
      <c r="AC93" s="244">
        <f t="shared" si="39"/>
        <v>0</v>
      </c>
      <c r="AD93" s="244">
        <f t="shared" si="39"/>
        <v>0</v>
      </c>
      <c r="AE93" s="241">
        <v>0</v>
      </c>
      <c r="AF93" s="244">
        <f t="shared" si="40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676"/>
      <c r="K94" s="1676"/>
      <c r="L94" s="1676"/>
      <c r="M94" s="1676"/>
      <c r="N94" s="1676"/>
      <c r="O94" s="1676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676"/>
      <c r="K95" s="1676"/>
      <c r="L95" s="1676"/>
      <c r="M95" s="1676"/>
      <c r="N95" s="1676"/>
      <c r="O95" s="1676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676">
        <v>183.38</v>
      </c>
      <c r="J96" s="1676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41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42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3">R96*0.988</f>
        <v>0</v>
      </c>
      <c r="AA96" s="244">
        <f t="shared" si="43"/>
        <v>0</v>
      </c>
      <c r="AB96" s="244">
        <f t="shared" si="43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4">Z96*AE96</f>
        <v>0</v>
      </c>
      <c r="AG96" s="1285"/>
      <c r="AI96" s="1282">
        <f t="shared" ref="AI96:AI101" si="45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676">
        <v>136.35</v>
      </c>
      <c r="J97" s="1676">
        <v>0</v>
      </c>
      <c r="K97" s="1676"/>
      <c r="L97" s="1319">
        <v>27</v>
      </c>
      <c r="M97" s="1676"/>
      <c r="N97" s="1278">
        <v>0</v>
      </c>
      <c r="O97" s="1676"/>
      <c r="P97" s="1278">
        <f t="shared" si="41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42"/>
        <v>0</v>
      </c>
      <c r="V97" s="1278">
        <v>0</v>
      </c>
      <c r="W97" s="1279">
        <v>0.2</v>
      </c>
      <c r="X97" s="1410">
        <v>0</v>
      </c>
      <c r="Y97" s="1277">
        <f t="shared" ref="Y97:Y105" si="46">IF(S97=0,0,S97/Q97)*100</f>
        <v>0</v>
      </c>
      <c r="Z97" s="244">
        <f t="shared" si="43"/>
        <v>0</v>
      </c>
      <c r="AA97" s="244">
        <f t="shared" si="43"/>
        <v>0</v>
      </c>
      <c r="AB97" s="244">
        <f t="shared" si="43"/>
        <v>0</v>
      </c>
      <c r="AC97" s="244">
        <f t="shared" ref="AC97:AD101" si="47">U97</f>
        <v>0</v>
      </c>
      <c r="AD97" s="244">
        <f t="shared" si="47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5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676">
        <v>130.11000000000001</v>
      </c>
      <c r="J98" s="1676">
        <v>0</v>
      </c>
      <c r="K98" s="1676"/>
      <c r="L98" s="1319">
        <v>32</v>
      </c>
      <c r="M98" s="1676"/>
      <c r="N98" s="1278">
        <v>0</v>
      </c>
      <c r="O98" s="1676"/>
      <c r="P98" s="1278">
        <f t="shared" si="41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42"/>
        <v>0</v>
      </c>
      <c r="V98" s="1278">
        <v>0</v>
      </c>
      <c r="W98" s="1279">
        <v>0.2</v>
      </c>
      <c r="X98" s="1410">
        <v>0</v>
      </c>
      <c r="Y98" s="1277">
        <f t="shared" si="46"/>
        <v>0</v>
      </c>
      <c r="Z98" s="244">
        <f t="shared" si="43"/>
        <v>0</v>
      </c>
      <c r="AA98" s="244">
        <f t="shared" si="43"/>
        <v>0</v>
      </c>
      <c r="AB98" s="244">
        <f t="shared" si="43"/>
        <v>0</v>
      </c>
      <c r="AC98" s="244">
        <f t="shared" si="47"/>
        <v>0</v>
      </c>
      <c r="AD98" s="244">
        <f t="shared" si="47"/>
        <v>0</v>
      </c>
      <c r="AE98" s="241">
        <v>0</v>
      </c>
      <c r="AF98" s="244">
        <f t="shared" si="44"/>
        <v>0</v>
      </c>
      <c r="AG98" s="1285" t="s">
        <v>782</v>
      </c>
      <c r="AI98" s="1282">
        <f t="shared" si="45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676">
        <v>134.24</v>
      </c>
      <c r="J99" s="1676">
        <v>0</v>
      </c>
      <c r="K99" s="1676"/>
      <c r="L99" s="1319">
        <v>25</v>
      </c>
      <c r="M99" s="1676"/>
      <c r="N99" s="1278">
        <v>0.2</v>
      </c>
      <c r="O99" s="1676"/>
      <c r="P99" s="1278">
        <f t="shared" si="41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42"/>
        <v>0</v>
      </c>
      <c r="V99" s="1278">
        <v>0</v>
      </c>
      <c r="W99" s="1279">
        <v>0.2</v>
      </c>
      <c r="X99" s="1410">
        <v>0</v>
      </c>
      <c r="Y99" s="1277">
        <f t="shared" si="46"/>
        <v>0</v>
      </c>
      <c r="Z99" s="244">
        <f t="shared" si="43"/>
        <v>0</v>
      </c>
      <c r="AA99" s="244">
        <f t="shared" si="43"/>
        <v>0</v>
      </c>
      <c r="AB99" s="244">
        <f t="shared" si="43"/>
        <v>0</v>
      </c>
      <c r="AC99" s="244">
        <f t="shared" si="47"/>
        <v>0</v>
      </c>
      <c r="AD99" s="244">
        <f t="shared" si="47"/>
        <v>0</v>
      </c>
      <c r="AE99" s="241">
        <v>0</v>
      </c>
      <c r="AF99" s="244">
        <f t="shared" si="44"/>
        <v>0</v>
      </c>
      <c r="AG99" s="1281" t="s">
        <v>782</v>
      </c>
      <c r="AI99" s="1282">
        <f t="shared" si="45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676">
        <v>0</v>
      </c>
      <c r="K100" s="1676"/>
      <c r="L100" s="1319">
        <v>30</v>
      </c>
      <c r="M100" s="1676"/>
      <c r="N100" s="1278">
        <v>0.7</v>
      </c>
      <c r="O100" s="1676"/>
      <c r="P100" s="1278">
        <f t="shared" si="41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42"/>
        <v>0</v>
      </c>
      <c r="V100" s="1278">
        <v>0</v>
      </c>
      <c r="W100" s="1279">
        <v>0.2</v>
      </c>
      <c r="X100" s="1410">
        <v>0</v>
      </c>
      <c r="Y100" s="1277">
        <f t="shared" si="46"/>
        <v>0</v>
      </c>
      <c r="Z100" s="244">
        <f t="shared" si="43"/>
        <v>0</v>
      </c>
      <c r="AA100" s="244">
        <f t="shared" si="43"/>
        <v>0</v>
      </c>
      <c r="AB100" s="244">
        <f t="shared" si="43"/>
        <v>0</v>
      </c>
      <c r="AC100" s="244">
        <f t="shared" si="47"/>
        <v>0</v>
      </c>
      <c r="AD100" s="244">
        <f t="shared" si="47"/>
        <v>0</v>
      </c>
      <c r="AE100" s="241">
        <v>0</v>
      </c>
      <c r="AF100" s="244">
        <f t="shared" si="44"/>
        <v>0</v>
      </c>
      <c r="AG100" s="1363" t="s">
        <v>782</v>
      </c>
      <c r="AI100" s="1282">
        <f t="shared" si="45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41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42"/>
        <v>0</v>
      </c>
      <c r="V101" s="1278">
        <v>0</v>
      </c>
      <c r="W101" s="1355">
        <v>0.2</v>
      </c>
      <c r="X101" s="1410">
        <v>0</v>
      </c>
      <c r="Y101" s="1277">
        <f t="shared" si="46"/>
        <v>0</v>
      </c>
      <c r="Z101" s="244">
        <f t="shared" si="43"/>
        <v>0</v>
      </c>
      <c r="AA101" s="244">
        <f t="shared" si="43"/>
        <v>0</v>
      </c>
      <c r="AB101" s="244">
        <f t="shared" si="43"/>
        <v>0</v>
      </c>
      <c r="AC101" s="244">
        <f t="shared" si="47"/>
        <v>0</v>
      </c>
      <c r="AD101" s="244">
        <f t="shared" si="47"/>
        <v>0</v>
      </c>
      <c r="AE101" s="241">
        <v>0</v>
      </c>
      <c r="AF101" s="244">
        <f t="shared" si="44"/>
        <v>0</v>
      </c>
      <c r="AG101" s="1363" t="s">
        <v>782</v>
      </c>
      <c r="AI101" s="1282">
        <f t="shared" si="45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6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6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676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8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6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676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8"/>
        <v>0</v>
      </c>
      <c r="V105" s="1278">
        <v>0.3</v>
      </c>
      <c r="W105" s="1279">
        <v>0.3</v>
      </c>
      <c r="X105" s="1449">
        <v>0</v>
      </c>
      <c r="Y105" s="1277">
        <f t="shared" si="46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676"/>
      <c r="G106" s="1673"/>
      <c r="H106" s="1675"/>
      <c r="I106" s="1675"/>
      <c r="J106" s="1676"/>
      <c r="K106" s="1676"/>
      <c r="L106" s="1676"/>
      <c r="M106" s="1676"/>
      <c r="N106" s="1676"/>
      <c r="O106" s="1676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673"/>
      <c r="W106" s="1674"/>
      <c r="X106" s="1410"/>
      <c r="Y106" s="1673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673"/>
      <c r="AE106" s="1676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673"/>
      <c r="H108" s="1675"/>
      <c r="I108" s="1675"/>
      <c r="J108" s="1676"/>
      <c r="K108" s="1676"/>
      <c r="L108" s="1676"/>
      <c r="M108" s="1676"/>
      <c r="N108" s="1676"/>
      <c r="O108" s="1676"/>
      <c r="P108" s="1269"/>
      <c r="Q108" s="1269"/>
      <c r="R108" s="1676"/>
      <c r="S108" s="1676"/>
      <c r="T108" s="1676"/>
      <c r="U108" s="1673"/>
      <c r="V108" s="1673"/>
      <c r="W108" s="1674"/>
      <c r="X108" s="1410"/>
      <c r="Y108" s="1673"/>
      <c r="Z108" s="1676"/>
      <c r="AA108" s="1676"/>
      <c r="AB108" s="1676"/>
      <c r="AC108" s="1673"/>
      <c r="AD108" s="1673"/>
      <c r="AE108" s="1676"/>
      <c r="AF108" s="1676"/>
      <c r="AG108" s="1678"/>
    </row>
    <row r="109" spans="1:38" ht="18.75" customHeight="1" x14ac:dyDescent="0.2">
      <c r="A109" s="1273">
        <v>83</v>
      </c>
      <c r="B109" s="1317" t="s">
        <v>107</v>
      </c>
      <c r="C109" s="1676" t="s">
        <v>109</v>
      </c>
      <c r="D109" s="1676"/>
      <c r="E109" s="1676"/>
      <c r="F109" s="1676"/>
      <c r="G109" s="1673"/>
      <c r="H109" s="1675"/>
      <c r="I109" s="1675"/>
      <c r="J109" s="1676"/>
      <c r="K109" s="1676"/>
      <c r="L109" s="1676"/>
      <c r="M109" s="1676"/>
      <c r="N109" s="1676"/>
      <c r="O109" s="1676"/>
      <c r="P109" s="1269"/>
      <c r="Q109" s="1269"/>
      <c r="R109" s="1676"/>
      <c r="S109" s="1676"/>
      <c r="T109" s="1676"/>
      <c r="U109" s="1673"/>
      <c r="V109" s="1673"/>
      <c r="W109" s="1674"/>
      <c r="X109" s="1410"/>
      <c r="Y109" s="1673"/>
      <c r="Z109" s="1675"/>
      <c r="AA109" s="1675"/>
      <c r="AB109" s="1676"/>
      <c r="AC109" s="1673"/>
      <c r="AD109" s="1673"/>
      <c r="AE109" s="1373"/>
      <c r="AF109" s="1676"/>
      <c r="AG109" s="1678"/>
    </row>
    <row r="110" spans="1:38" ht="18.75" customHeight="1" x14ac:dyDescent="0.2">
      <c r="A110" s="1273">
        <v>84</v>
      </c>
      <c r="B110" s="1317" t="s">
        <v>108</v>
      </c>
      <c r="C110" s="1676" t="s">
        <v>109</v>
      </c>
      <c r="D110" s="1676"/>
      <c r="E110" s="1676"/>
      <c r="F110" s="1676"/>
      <c r="G110" s="1673"/>
      <c r="H110" s="1675"/>
      <c r="I110" s="1675"/>
      <c r="J110" s="1676"/>
      <c r="K110" s="1676"/>
      <c r="L110" s="1676"/>
      <c r="M110" s="1676"/>
      <c r="N110" s="1676"/>
      <c r="O110" s="1676"/>
      <c r="P110" s="1269"/>
      <c r="Q110" s="1269"/>
      <c r="R110" s="1301"/>
      <c r="S110" s="1676"/>
      <c r="T110" s="1676"/>
      <c r="U110" s="1673"/>
      <c r="V110" s="1673"/>
      <c r="W110" s="1674"/>
      <c r="X110" s="1410"/>
      <c r="Y110" s="1673"/>
      <c r="Z110" s="1675"/>
      <c r="AA110" s="1675"/>
      <c r="AB110" s="1676"/>
      <c r="AC110" s="1673"/>
      <c r="AD110" s="1673"/>
      <c r="AE110" s="1373"/>
      <c r="AF110" s="1676"/>
      <c r="AG110" s="1678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676"/>
      <c r="E111" s="1676"/>
      <c r="F111" s="1676"/>
      <c r="G111" s="1673"/>
      <c r="H111" s="1675"/>
      <c r="I111" s="1675"/>
      <c r="J111" s="1676"/>
      <c r="K111" s="1676"/>
      <c r="L111" s="1676"/>
      <c r="M111" s="1676"/>
      <c r="N111" s="1676"/>
      <c r="O111" s="1676"/>
      <c r="P111" s="1269"/>
      <c r="Q111" s="1269"/>
      <c r="R111" s="1676"/>
      <c r="S111" s="1676"/>
      <c r="T111" s="1676"/>
      <c r="U111" s="1673"/>
      <c r="V111" s="1673"/>
      <c r="W111" s="1674"/>
      <c r="X111" s="1410"/>
      <c r="Y111" s="1673"/>
      <c r="Z111" s="1675"/>
      <c r="AA111" s="1675"/>
      <c r="AB111" s="1676"/>
      <c r="AC111" s="1673"/>
      <c r="AD111" s="1673"/>
      <c r="AE111" s="1373"/>
      <c r="AF111" s="1676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676"/>
      <c r="E112" s="1676"/>
      <c r="F112" s="1676"/>
      <c r="G112" s="1673"/>
      <c r="H112" s="1675"/>
      <c r="I112" s="1675"/>
      <c r="J112" s="1676"/>
      <c r="K112" s="1676"/>
      <c r="L112" s="1676"/>
      <c r="M112" s="1676"/>
      <c r="N112" s="1676"/>
      <c r="O112" s="1676"/>
      <c r="P112" s="1269"/>
      <c r="Q112" s="1269"/>
      <c r="R112" s="1676"/>
      <c r="S112" s="1676"/>
      <c r="T112" s="1676"/>
      <c r="U112" s="1673"/>
      <c r="V112" s="1673"/>
      <c r="W112" s="1674"/>
      <c r="X112" s="1410"/>
      <c r="Y112" s="1673"/>
      <c r="Z112" s="1675"/>
      <c r="AA112" s="1675"/>
      <c r="AB112" s="1676"/>
      <c r="AC112" s="1673"/>
      <c r="AD112" s="1673"/>
      <c r="AE112" s="1373"/>
      <c r="AF112" s="1676"/>
      <c r="AG112" s="1285"/>
    </row>
    <row r="113" spans="1:33" ht="18.75" customHeight="1" x14ac:dyDescent="0.2">
      <c r="A113" s="1273"/>
      <c r="B113" s="1262"/>
      <c r="C113" s="1371"/>
      <c r="D113" s="1371"/>
      <c r="E113" s="1675" t="s">
        <v>278</v>
      </c>
      <c r="F113" s="1371"/>
      <c r="G113" s="1673"/>
      <c r="H113" s="1675"/>
      <c r="I113" s="1675"/>
      <c r="J113" s="1676"/>
      <c r="K113" s="1676"/>
      <c r="L113" s="1676"/>
      <c r="M113" s="1676"/>
      <c r="N113" s="1676"/>
      <c r="O113" s="1676"/>
      <c r="P113" s="1269"/>
      <c r="Q113" s="1269"/>
      <c r="R113" s="1676"/>
      <c r="S113" s="1676"/>
      <c r="T113" s="1676"/>
      <c r="U113" s="1673"/>
      <c r="V113" s="1673"/>
      <c r="W113" s="1674"/>
      <c r="X113" s="1410"/>
      <c r="Y113" s="1673"/>
      <c r="Z113" s="1301"/>
      <c r="AA113" s="1676"/>
      <c r="AB113" s="1676"/>
      <c r="AC113" s="1673"/>
      <c r="AD113" s="1673"/>
      <c r="AE113" s="1676"/>
      <c r="AF113" s="1676"/>
      <c r="AG113" s="1678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676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676">
        <v>625.1</v>
      </c>
      <c r="E115" s="1676" t="s">
        <v>578</v>
      </c>
      <c r="F115" s="241">
        <v>177.8</v>
      </c>
      <c r="G115" s="241"/>
      <c r="H115" s="241"/>
      <c r="I115" s="244"/>
      <c r="J115" s="1676"/>
      <c r="K115" s="1676"/>
      <c r="L115" s="1676"/>
      <c r="M115" s="1676"/>
      <c r="N115" s="1676"/>
      <c r="O115" s="1676"/>
      <c r="P115" s="1269"/>
      <c r="Q115" s="1269"/>
      <c r="R115" s="1676"/>
      <c r="S115" s="1676"/>
      <c r="T115" s="1676"/>
      <c r="U115" s="1673"/>
      <c r="V115" s="1673"/>
      <c r="W115" s="1674"/>
      <c r="X115" s="1410"/>
      <c r="Y115" s="1376"/>
      <c r="Z115" s="1319"/>
      <c r="AA115" s="1676"/>
      <c r="AB115" s="1676"/>
      <c r="AC115" s="1673"/>
      <c r="AD115" s="1676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676"/>
      <c r="J116" s="1676"/>
      <c r="K116" s="1676"/>
      <c r="L116" s="1676"/>
      <c r="M116" s="1676"/>
      <c r="N116" s="1676"/>
      <c r="O116" s="1676"/>
      <c r="P116" s="1269"/>
      <c r="Q116" s="1270"/>
      <c r="R116" s="1676"/>
      <c r="S116" s="1676"/>
      <c r="T116" s="1676"/>
      <c r="U116" s="1673"/>
      <c r="V116" s="1673"/>
      <c r="W116" s="1674"/>
      <c r="X116" s="1410"/>
      <c r="Y116" s="1376"/>
      <c r="Z116" s="1319"/>
      <c r="AA116" s="1676"/>
      <c r="AB116" s="1676"/>
      <c r="AC116" s="1673"/>
      <c r="AD116" s="1676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676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676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669"/>
      <c r="C119" s="1669"/>
      <c r="D119" s="1669"/>
      <c r="E119" s="1670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275.19</v>
      </c>
      <c r="S119" s="1386">
        <f>S87+S94+S106</f>
        <v>709.66599999999994</v>
      </c>
      <c r="T119" s="1387">
        <f>T87+T94+T106</f>
        <v>5523</v>
      </c>
      <c r="U119" s="1386">
        <f>T119/R119</f>
        <v>20.069769977106727</v>
      </c>
      <c r="V119" s="1386"/>
      <c r="W119" s="1388"/>
      <c r="X119" s="1456"/>
      <c r="Y119" s="1386"/>
      <c r="Z119" s="1386">
        <f>Z87+Z94+Z106</f>
        <v>273.21431200000001</v>
      </c>
      <c r="AA119" s="1386">
        <f>AA87+AA106+AA94</f>
        <v>699.93899999999985</v>
      </c>
      <c r="AB119" s="1387">
        <f>AB87+AB106+AB94</f>
        <v>5475.0839999999989</v>
      </c>
      <c r="AC119" s="1386">
        <f>AC87+AC106+AC94</f>
        <v>20.039521209269591</v>
      </c>
      <c r="AD119" s="1386"/>
      <c r="AE119" s="1386"/>
      <c r="AF119" s="1390">
        <f>AF87+AF94+AF106</f>
        <v>8397.2291999999998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677"/>
      <c r="D121" s="148"/>
      <c r="E121" s="1394">
        <v>0.97</v>
      </c>
      <c r="F121" s="148"/>
      <c r="G121" s="148" t="s">
        <v>102</v>
      </c>
      <c r="H121" s="1677"/>
      <c r="I121" s="1395"/>
      <c r="J121" s="148"/>
      <c r="K121" s="1983">
        <f>AF119*E121</f>
        <v>8145.3123239999995</v>
      </c>
      <c r="L121" s="1984"/>
      <c r="M121" s="1984"/>
      <c r="N121" s="1677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677"/>
      <c r="D122" s="148"/>
      <c r="E122" s="154"/>
      <c r="F122" s="148"/>
      <c r="G122" s="148" t="s">
        <v>733</v>
      </c>
      <c r="H122" s="1677"/>
      <c r="I122" s="1395"/>
      <c r="J122" s="148"/>
      <c r="K122" s="1677"/>
      <c r="L122" s="1397"/>
      <c r="M122" s="148">
        <f>K121*0.875</f>
        <v>7127.1482834999997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672"/>
      <c r="Z122" s="1672"/>
      <c r="AA122" s="150">
        <f>AA119-Z119</f>
        <v>426.72468799999984</v>
      </c>
      <c r="AB122" s="1672"/>
      <c r="AC122" s="1672"/>
      <c r="AD122" s="1672"/>
      <c r="AE122" s="1672"/>
      <c r="AF122" s="1672"/>
      <c r="AG122" s="1400"/>
    </row>
    <row r="123" spans="1:33" ht="15" x14ac:dyDescent="0.2">
      <c r="B123" s="148"/>
      <c r="C123" s="1677"/>
      <c r="D123" s="148"/>
      <c r="E123" s="154"/>
      <c r="F123" s="148"/>
      <c r="G123" s="148"/>
      <c r="H123" s="1677"/>
      <c r="I123" s="1395"/>
      <c r="J123" s="148"/>
      <c r="K123" s="1677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672"/>
      <c r="Z123" s="1672"/>
      <c r="AA123" s="1672"/>
      <c r="AB123" s="1672"/>
      <c r="AC123" s="1672"/>
      <c r="AD123" s="1672"/>
      <c r="AE123" s="1672"/>
      <c r="AF123" s="1672"/>
      <c r="AG123" s="1400"/>
    </row>
    <row r="124" spans="1:33" ht="15" x14ac:dyDescent="0.2">
      <c r="B124" s="148"/>
      <c r="C124" s="1677"/>
      <c r="D124" s="148"/>
      <c r="E124" s="154"/>
      <c r="F124" s="148"/>
      <c r="G124" s="148"/>
      <c r="H124" s="1677"/>
      <c r="I124" s="1395"/>
      <c r="J124" s="148"/>
      <c r="K124" s="1677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672"/>
      <c r="Z124" s="1672"/>
      <c r="AA124" s="1672"/>
      <c r="AB124" s="1672"/>
      <c r="AC124" s="1672"/>
      <c r="AD124" s="1672"/>
      <c r="AE124" s="1672"/>
      <c r="AF124" s="1672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677"/>
      <c r="L125" s="1677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672" t="s">
        <v>561</v>
      </c>
      <c r="AD125" s="1672"/>
      <c r="AE125" s="1672"/>
      <c r="AF125" s="1672"/>
      <c r="AG125" s="1672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7F32-136A-492B-95EC-E244D85E6FC6}">
  <dimension ref="A1:AQ129"/>
  <sheetViews>
    <sheetView topLeftCell="A13" zoomScaleNormal="10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Q13" sqref="Q1:Q1048576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688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688"/>
      <c r="F2" s="1688"/>
      <c r="G2" s="1681"/>
      <c r="H2" s="1687"/>
      <c r="I2" s="1687"/>
      <c r="J2" s="1687"/>
      <c r="K2" s="1687"/>
      <c r="L2" s="1687"/>
      <c r="M2" s="1687"/>
      <c r="N2" s="1687"/>
      <c r="O2" s="1687"/>
      <c r="P2" s="1687"/>
      <c r="Q2" s="1256"/>
      <c r="R2" s="1688"/>
      <c r="S2" s="1688"/>
      <c r="T2" s="1688"/>
      <c r="U2" s="1688"/>
      <c r="V2" s="1688"/>
      <c r="W2" s="1688"/>
      <c r="X2" s="1687"/>
      <c r="Y2" s="1688"/>
      <c r="Z2" s="1688"/>
      <c r="AA2" s="1688"/>
      <c r="AC2" s="1688"/>
      <c r="AD2" s="1688"/>
      <c r="AE2" s="1688"/>
      <c r="AF2" s="1998" t="s">
        <v>750</v>
      </c>
      <c r="AG2" s="1998"/>
    </row>
    <row r="3" spans="1:38" ht="15.75" x14ac:dyDescent="0.25">
      <c r="A3" s="1408" t="s">
        <v>751</v>
      </c>
      <c r="B3" s="1682"/>
      <c r="C3" s="1682"/>
      <c r="D3" s="1682"/>
      <c r="E3" s="1688"/>
      <c r="F3" s="1688"/>
      <c r="G3" s="1681"/>
      <c r="H3" s="1687"/>
      <c r="I3" s="1687"/>
      <c r="J3" s="1687"/>
      <c r="K3" s="1687"/>
      <c r="L3" s="1687"/>
      <c r="M3" s="1687"/>
      <c r="N3" s="1687"/>
      <c r="O3" s="1687"/>
      <c r="P3" s="1687"/>
      <c r="Q3" s="1256"/>
      <c r="R3" s="1688"/>
      <c r="S3" s="1688"/>
      <c r="T3" s="1688"/>
      <c r="U3" s="1688"/>
      <c r="V3" s="1688"/>
      <c r="W3" s="1688"/>
      <c r="X3" s="1687"/>
      <c r="Y3" s="1688"/>
      <c r="Z3" s="1688"/>
      <c r="AA3" s="1688"/>
      <c r="AB3" s="1688"/>
      <c r="AC3" s="1260"/>
      <c r="AE3" s="1222"/>
      <c r="AF3" s="1687" t="s">
        <v>739</v>
      </c>
      <c r="AG3" s="1494"/>
    </row>
    <row r="4" spans="1:38" ht="15" x14ac:dyDescent="0.25">
      <c r="A4" s="1976"/>
      <c r="B4" s="1976"/>
      <c r="C4" s="1976"/>
      <c r="D4" s="1976"/>
      <c r="E4" s="1683"/>
      <c r="F4" s="1688"/>
      <c r="G4" s="1681"/>
      <c r="H4" s="1681"/>
      <c r="I4" s="1687"/>
      <c r="J4" s="1687"/>
      <c r="K4" s="1687"/>
      <c r="L4" s="1687"/>
      <c r="M4" s="1687"/>
      <c r="N4" s="1687"/>
      <c r="O4" s="1687"/>
      <c r="P4" s="1687"/>
      <c r="Q4" s="1256"/>
      <c r="R4" s="1680"/>
      <c r="S4" s="1680"/>
      <c r="T4" s="1680"/>
      <c r="U4" s="1680"/>
      <c r="V4" s="1680"/>
      <c r="W4" s="1680"/>
      <c r="X4" s="1687"/>
      <c r="Y4" s="1688"/>
      <c r="Z4" s="1688"/>
      <c r="AB4" s="1688"/>
      <c r="AD4" s="1688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688"/>
      <c r="F5" s="1688"/>
      <c r="G5" s="1681"/>
      <c r="H5" s="1681"/>
      <c r="I5" s="1688"/>
      <c r="J5" s="1688"/>
      <c r="K5" s="1681"/>
      <c r="L5" s="1681"/>
      <c r="M5" s="1688"/>
      <c r="N5" s="1688"/>
      <c r="O5" s="1688"/>
      <c r="P5" s="149"/>
      <c r="Q5" s="1257"/>
      <c r="R5" s="1688"/>
      <c r="S5" s="1688"/>
      <c r="T5" s="1688"/>
      <c r="U5" s="1688"/>
      <c r="V5" s="1688"/>
      <c r="W5" s="1688"/>
      <c r="X5" s="1688"/>
      <c r="Y5" s="1688"/>
      <c r="Z5" s="1688"/>
      <c r="AA5" s="1688"/>
      <c r="AB5" s="1688"/>
      <c r="AC5" s="1688"/>
      <c r="AD5" s="1688"/>
      <c r="AG5" s="151"/>
    </row>
    <row r="6" spans="1:38" ht="27" customHeight="1" x14ac:dyDescent="0.2">
      <c r="A6" s="1942"/>
      <c r="B6" s="1942"/>
      <c r="C6" s="1942"/>
      <c r="D6" s="1942"/>
      <c r="E6" s="1688"/>
      <c r="F6" s="1688"/>
      <c r="G6" s="1681"/>
      <c r="H6" s="1681"/>
      <c r="I6" s="1688"/>
      <c r="J6" s="1688"/>
      <c r="K6" s="1681"/>
      <c r="L6" s="1681"/>
      <c r="M6" s="1688"/>
      <c r="N6" s="1688"/>
      <c r="O6" s="1688"/>
      <c r="P6" s="149"/>
      <c r="Q6" s="1257"/>
      <c r="R6" s="1688"/>
      <c r="S6" s="1688"/>
      <c r="T6" s="1688"/>
      <c r="U6" s="1688"/>
      <c r="V6" s="1688"/>
      <c r="W6" s="1688"/>
      <c r="X6" s="1688"/>
      <c r="Y6" s="1688"/>
      <c r="Z6" s="1688"/>
      <c r="AA6" s="1688"/>
      <c r="AB6" s="1688"/>
      <c r="AC6" s="1688"/>
      <c r="AD6" s="1688"/>
      <c r="AE6" s="1688"/>
      <c r="AF6" s="1688"/>
    </row>
    <row r="7" spans="1:38" ht="27" customHeight="1" x14ac:dyDescent="0.2">
      <c r="A7" s="1942" t="s">
        <v>54</v>
      </c>
      <c r="B7" s="1942"/>
      <c r="C7" s="1942"/>
      <c r="D7" s="1942"/>
      <c r="E7" s="1688"/>
      <c r="F7" s="1688"/>
      <c r="G7" s="1681"/>
      <c r="H7" s="1681"/>
      <c r="I7" s="1688"/>
      <c r="J7" s="1688"/>
      <c r="K7" s="1681"/>
      <c r="L7" s="1681"/>
      <c r="M7" s="1688"/>
      <c r="N7" s="1688"/>
      <c r="O7" s="1688"/>
      <c r="P7" s="149"/>
      <c r="Q7" s="1257"/>
      <c r="R7" s="1688"/>
      <c r="S7" s="1688"/>
      <c r="T7" s="1688"/>
      <c r="U7" s="1688"/>
      <c r="V7" s="1688"/>
      <c r="W7" s="1688"/>
      <c r="X7" s="1688"/>
      <c r="Y7" s="1688"/>
      <c r="Z7" s="1688"/>
      <c r="AA7" s="1688"/>
      <c r="AB7" s="1688"/>
      <c r="AC7" s="1688"/>
      <c r="AD7" s="1688"/>
      <c r="AE7" s="1688"/>
      <c r="AF7" s="1688"/>
    </row>
    <row r="8" spans="1:38" ht="27" customHeight="1" x14ac:dyDescent="0.2">
      <c r="A8" s="1977" t="s">
        <v>736</v>
      </c>
      <c r="B8" s="1977"/>
      <c r="C8" s="1977"/>
      <c r="D8" s="1977"/>
      <c r="E8" s="1688"/>
      <c r="F8" s="1688"/>
      <c r="G8" s="1681"/>
      <c r="H8" s="1681"/>
      <c r="I8" s="1688"/>
      <c r="J8" s="1688"/>
      <c r="K8" s="1681"/>
      <c r="L8" s="1681"/>
      <c r="M8" s="1688"/>
      <c r="N8" s="1688"/>
      <c r="O8" s="1688"/>
      <c r="P8" s="149"/>
      <c r="Q8" s="1257"/>
      <c r="R8" s="1688"/>
      <c r="S8" s="1688"/>
      <c r="T8" s="1688"/>
      <c r="U8" s="1688"/>
      <c r="V8" s="1688"/>
      <c r="W8" s="1688"/>
      <c r="X8" s="1688"/>
      <c r="Y8" s="1688"/>
      <c r="Z8" s="1688"/>
      <c r="AA8" s="1688"/>
      <c r="AB8" s="1688"/>
      <c r="AC8" s="1688"/>
      <c r="AD8" s="1688"/>
      <c r="AE8" s="1688"/>
      <c r="AF8" s="1688"/>
    </row>
    <row r="9" spans="1:38" ht="27" customHeight="1" x14ac:dyDescent="0.2">
      <c r="A9" s="1408" t="s">
        <v>737</v>
      </c>
      <c r="B9" s="1682"/>
      <c r="C9" s="1682"/>
      <c r="D9" s="1682"/>
      <c r="E9" s="1688"/>
      <c r="F9" s="1688"/>
      <c r="G9" s="1681"/>
      <c r="H9" s="1681"/>
      <c r="I9" s="1688"/>
      <c r="J9" s="1688"/>
      <c r="K9" s="1681"/>
      <c r="L9" s="1681"/>
      <c r="M9" s="1688"/>
      <c r="N9" s="1688"/>
      <c r="O9" s="1688"/>
      <c r="P9" s="149"/>
      <c r="Q9" s="1257"/>
      <c r="R9" s="1688"/>
      <c r="S9" s="1688"/>
      <c r="T9" s="1688"/>
      <c r="U9" s="1688"/>
      <c r="V9" s="1688"/>
      <c r="W9" s="1688"/>
      <c r="X9" s="1688"/>
      <c r="Y9" s="1688"/>
      <c r="Z9" s="1688"/>
      <c r="AA9" s="1688"/>
      <c r="AB9" s="1688"/>
      <c r="AC9" s="1688"/>
      <c r="AD9" s="1688"/>
      <c r="AE9" s="1688"/>
      <c r="AF9" s="1688"/>
    </row>
    <row r="10" spans="1:38" ht="27" customHeight="1" x14ac:dyDescent="0.2">
      <c r="A10" s="1976"/>
      <c r="B10" s="1976"/>
      <c r="C10" s="1976"/>
      <c r="D10" s="1976"/>
      <c r="E10" s="1683"/>
      <c r="F10" s="1688"/>
      <c r="G10" s="1681"/>
      <c r="H10" s="1681"/>
      <c r="I10" s="1688"/>
      <c r="J10" s="1688"/>
      <c r="K10" s="1681"/>
      <c r="L10" s="1681"/>
      <c r="M10" s="1688"/>
      <c r="N10" s="1688"/>
      <c r="O10" s="1688"/>
      <c r="P10" s="149"/>
      <c r="Q10" s="1257"/>
      <c r="R10" s="1688"/>
      <c r="S10" s="1688"/>
      <c r="T10" s="1688"/>
      <c r="U10" s="1688"/>
      <c r="V10" s="1688"/>
      <c r="W10" s="1688"/>
      <c r="X10" s="1688"/>
      <c r="Y10" s="1688"/>
      <c r="Z10" s="1688"/>
      <c r="AA10" s="1688"/>
      <c r="AB10" s="1688"/>
      <c r="AC10" s="1688"/>
      <c r="AD10" s="1688"/>
      <c r="AE10" s="1688"/>
      <c r="AF10" s="1688"/>
    </row>
    <row r="11" spans="1:38" ht="27" customHeight="1" x14ac:dyDescent="0.2">
      <c r="A11" s="1976" t="s">
        <v>740</v>
      </c>
      <c r="B11" s="1976"/>
      <c r="C11" s="1976"/>
      <c r="D11" s="1976"/>
      <c r="E11" s="1688"/>
      <c r="F11" s="1688"/>
      <c r="G11" s="1681"/>
      <c r="H11" s="1681"/>
      <c r="I11" s="1688"/>
      <c r="J11" s="1688"/>
      <c r="K11" s="1681"/>
      <c r="L11" s="1681"/>
      <c r="M11" s="1688"/>
      <c r="N11" s="1688"/>
      <c r="O11" s="1688"/>
      <c r="P11" s="149"/>
      <c r="Q11" s="1257"/>
      <c r="R11" s="1688"/>
      <c r="S11" s="1688"/>
      <c r="T11" s="1688"/>
      <c r="U11" s="1688"/>
      <c r="V11" s="1688"/>
      <c r="W11" s="1688"/>
      <c r="X11" s="1688"/>
      <c r="Y11" s="1688"/>
      <c r="Z11" s="1688"/>
      <c r="AA11" s="1688"/>
      <c r="AB11" s="1688"/>
      <c r="AC11" s="1688"/>
      <c r="AD11" s="1688"/>
      <c r="AE11" s="1688"/>
      <c r="AF11" s="1688"/>
    </row>
    <row r="12" spans="1:38" ht="27" customHeight="1" x14ac:dyDescent="0.2">
      <c r="A12" s="1684"/>
      <c r="B12" s="1684"/>
      <c r="C12" s="1684"/>
      <c r="D12" s="1684"/>
      <c r="E12" s="1688"/>
      <c r="F12" s="1688"/>
      <c r="G12" s="1681"/>
      <c r="H12" s="1681"/>
      <c r="I12" s="1688"/>
      <c r="J12" s="1688"/>
      <c r="K12" s="1681"/>
      <c r="L12" s="1681"/>
      <c r="M12" s="1688"/>
      <c r="N12" s="1688"/>
      <c r="O12" s="1688"/>
      <c r="P12" s="149"/>
      <c r="Q12" s="1257"/>
      <c r="R12" s="1688"/>
      <c r="S12" s="1688"/>
      <c r="T12" s="1688"/>
      <c r="U12" s="1688"/>
      <c r="V12" s="1688"/>
      <c r="W12" s="1688"/>
      <c r="X12" s="1688"/>
      <c r="Y12" s="1688"/>
      <c r="Z12" s="1688"/>
      <c r="AA12" s="1688"/>
      <c r="AB12" s="1688"/>
      <c r="AC12" s="1688"/>
      <c r="AD12" s="1688"/>
      <c r="AE12" s="1688"/>
      <c r="AF12" s="1688"/>
    </row>
    <row r="13" spans="1:38" ht="32.25" customHeight="1" x14ac:dyDescent="0.25">
      <c r="A13" s="1976"/>
      <c r="B13" s="1976"/>
      <c r="C13" s="1976"/>
      <c r="D13" s="1976"/>
      <c r="E13" s="1683"/>
      <c r="F13" s="1688"/>
      <c r="G13" s="1681"/>
      <c r="H13" s="1681"/>
      <c r="I13" s="140"/>
      <c r="J13" s="1688"/>
      <c r="K13" s="1681"/>
      <c r="L13" s="1681"/>
      <c r="M13" s="1688"/>
      <c r="N13" s="1688"/>
      <c r="O13" s="1688"/>
      <c r="P13" s="149"/>
      <c r="Q13" s="1257"/>
      <c r="R13" s="1688"/>
      <c r="S13" s="1688"/>
      <c r="T13" s="1688"/>
      <c r="U13" s="1688"/>
      <c r="V13" s="1688"/>
      <c r="W13" s="147"/>
      <c r="X13" s="1688"/>
      <c r="Y13" s="1688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81"/>
      <c r="C14" s="1681"/>
      <c r="D14" s="1681"/>
      <c r="E14" s="1688"/>
      <c r="F14" s="1688"/>
      <c r="G14" s="1681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688"/>
      <c r="Z14" s="148"/>
      <c r="AA14" s="148"/>
      <c r="AB14" s="148"/>
      <c r="AC14" s="148"/>
    </row>
    <row r="15" spans="1:38" ht="31.5" customHeight="1" thickBot="1" x14ac:dyDescent="0.25">
      <c r="B15" s="1681"/>
      <c r="C15" s="1681"/>
      <c r="D15" s="1681"/>
      <c r="E15" s="1688"/>
      <c r="F15" s="1688"/>
      <c r="G15" s="1681"/>
      <c r="H15" s="1681"/>
      <c r="I15" s="140"/>
      <c r="J15" s="1964" t="s">
        <v>792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688"/>
      <c r="Y15" s="1688"/>
      <c r="Z15" s="148"/>
      <c r="AA15" s="148"/>
      <c r="AB15" s="148"/>
      <c r="AC15" s="148"/>
      <c r="AD15" s="1688"/>
      <c r="AE15" s="1688"/>
      <c r="AF15" s="1688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689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689" t="s">
        <v>18</v>
      </c>
      <c r="AF17" s="1689" t="s">
        <v>20</v>
      </c>
      <c r="AG17" s="1967" t="s">
        <v>21</v>
      </c>
      <c r="AH17" s="1267">
        <v>45231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692" t="s">
        <v>3</v>
      </c>
      <c r="J18" s="1692" t="s">
        <v>7</v>
      </c>
      <c r="K18" s="1692" t="s">
        <v>30</v>
      </c>
      <c r="L18" s="1692" t="s">
        <v>29</v>
      </c>
      <c r="M18" s="1692" t="s">
        <v>31</v>
      </c>
      <c r="N18" s="1692" t="s">
        <v>32</v>
      </c>
      <c r="O18" s="1692" t="s">
        <v>12</v>
      </c>
      <c r="P18" s="1269" t="s">
        <v>673</v>
      </c>
      <c r="Q18" s="1270" t="s">
        <v>26</v>
      </c>
      <c r="R18" s="1692" t="s">
        <v>675</v>
      </c>
      <c r="S18" s="1692" t="s">
        <v>25</v>
      </c>
      <c r="T18" s="1692" t="s">
        <v>676</v>
      </c>
      <c r="U18" s="1968"/>
      <c r="V18" s="1968"/>
      <c r="W18" s="1987"/>
      <c r="X18" s="1410" t="s">
        <v>7</v>
      </c>
      <c r="Y18" s="1968"/>
      <c r="Z18" s="1692" t="s">
        <v>14</v>
      </c>
      <c r="AA18" s="1692" t="s">
        <v>679</v>
      </c>
      <c r="AB18" s="1692" t="s">
        <v>113</v>
      </c>
      <c r="AC18" s="1968"/>
      <c r="AD18" s="1968"/>
      <c r="AE18" s="1692" t="s">
        <v>19</v>
      </c>
      <c r="AF18" s="1692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692">
        <v>557.80999999999995</v>
      </c>
      <c r="J19" s="1448">
        <v>180</v>
      </c>
      <c r="K19" s="241"/>
      <c r="L19" s="1277">
        <v>319</v>
      </c>
      <c r="M19" s="241"/>
      <c r="N19" s="1278">
        <v>5.2</v>
      </c>
      <c r="O19" s="241"/>
      <c r="P19" s="1278">
        <f>AI19</f>
        <v>28.184474756585711</v>
      </c>
      <c r="Q19" s="1278">
        <f>LEFT(H19,(FIND("Е",H19,1)-1))*J19/100</f>
        <v>23.4</v>
      </c>
      <c r="R19" s="244">
        <v>2.2629999999999999</v>
      </c>
      <c r="S19" s="244">
        <v>9.2829999999999995</v>
      </c>
      <c r="T19" s="1277">
        <v>11</v>
      </c>
      <c r="U19" s="1278">
        <f t="shared" ref="U19:U37" si="0">IF(R19=0,0,T19/R19)</f>
        <v>4.8608042421564299</v>
      </c>
      <c r="V19" s="1278">
        <f>(S19-R19)/S19*100</f>
        <v>75.622104922977485</v>
      </c>
      <c r="W19" s="1279">
        <v>0.2</v>
      </c>
      <c r="X19" s="1449">
        <v>180</v>
      </c>
      <c r="Y19" s="1277">
        <f>IF(S19=0,0,S19/Q19)*100</f>
        <v>39.67094017094017</v>
      </c>
      <c r="Z19" s="244">
        <v>2.8730000000000002</v>
      </c>
      <c r="AA19" s="244">
        <v>10.395</v>
      </c>
      <c r="AB19" s="1277">
        <f>T19*0.988</f>
        <v>10.868</v>
      </c>
      <c r="AC19" s="244">
        <f>U19</f>
        <v>4.8608042421564299</v>
      </c>
      <c r="AD19" s="1277">
        <f>V19</f>
        <v>75.622104922977485</v>
      </c>
      <c r="AE19" s="241">
        <f t="shared" ref="AE19:AE41" si="1">(DAY(EOMONTH($AH$17,0))-AH19)</f>
        <v>30</v>
      </c>
      <c r="AF19" s="244">
        <f t="shared" ref="AF19:AF63" si="2">Z19*AE19</f>
        <v>86.190000000000012</v>
      </c>
      <c r="AG19" s="1281"/>
      <c r="AI19" s="1282">
        <f t="shared" ref="AI19:AI82" si="3">(9.81*(AJ19*(100%-(V19/100))+AK19*(V19/100))*(I19-L19)+N19*101.325+9.81*(AL19)*L19)/101.325</f>
        <v>28.184474756585711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30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692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4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3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692">
        <v>528.5</v>
      </c>
      <c r="J21" s="241">
        <v>85</v>
      </c>
      <c r="K21" s="241"/>
      <c r="L21" s="1277">
        <v>440</v>
      </c>
      <c r="M21" s="241"/>
      <c r="N21" s="1278">
        <v>6.6</v>
      </c>
      <c r="O21" s="241"/>
      <c r="P21" s="1278">
        <f t="shared" ref="P21:P84" si="5">AI21</f>
        <v>14.799112127521175</v>
      </c>
      <c r="Q21" s="1278">
        <f>RIGHT(H21,(FIND("T",H21,1)-0))*J21/100</f>
        <v>17</v>
      </c>
      <c r="R21" s="244">
        <v>5.6790000000000003</v>
      </c>
      <c r="S21" s="244">
        <v>11.095000000000001</v>
      </c>
      <c r="T21" s="1277">
        <v>17</v>
      </c>
      <c r="U21" s="1278">
        <f t="shared" si="0"/>
        <v>2.9934847684451484</v>
      </c>
      <c r="V21" s="1278">
        <f t="shared" ref="V21:V55" si="6">(S21-R21)/S21*100</f>
        <v>48.814781433077961</v>
      </c>
      <c r="W21" s="1279">
        <v>0.2</v>
      </c>
      <c r="X21" s="1316">
        <v>85</v>
      </c>
      <c r="Y21" s="1277">
        <f t="shared" si="4"/>
        <v>65.264705882352942</v>
      </c>
      <c r="Z21" s="244">
        <v>5.6509999999999998</v>
      </c>
      <c r="AA21" s="244">
        <v>11.225</v>
      </c>
      <c r="AB21" s="1277">
        <f t="shared" ref="Z21:AB35" si="7">T21*0.988</f>
        <v>16.795999999999999</v>
      </c>
      <c r="AC21" s="244">
        <f t="shared" ref="AC21:AD36" si="8">U21</f>
        <v>2.9934847684451484</v>
      </c>
      <c r="AD21" s="1277">
        <f t="shared" si="8"/>
        <v>48.814781433077961</v>
      </c>
      <c r="AE21" s="241">
        <f t="shared" si="1"/>
        <v>30</v>
      </c>
      <c r="AF21" s="244">
        <f t="shared" si="2"/>
        <v>169.53</v>
      </c>
      <c r="AG21" s="1281"/>
      <c r="AI21" s="1282">
        <f t="shared" si="3"/>
        <v>14.799112127521175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695">
        <v>544.29999999999995</v>
      </c>
      <c r="J22" s="241">
        <v>195</v>
      </c>
      <c r="K22" s="241"/>
      <c r="L22" s="1277">
        <v>449</v>
      </c>
      <c r="M22" s="241"/>
      <c r="N22" s="1278">
        <v>3.6</v>
      </c>
      <c r="O22" s="241"/>
      <c r="P22" s="1278">
        <f t="shared" si="5"/>
        <v>12.384672635697234</v>
      </c>
      <c r="Q22" s="1278">
        <f t="shared" ref="Q22:Q27" si="9">RIGHT(H22,(FIND("T",H22,1)-0))*J22/100</f>
        <v>27.3</v>
      </c>
      <c r="R22" s="244">
        <v>9.3889999999999993</v>
      </c>
      <c r="S22" s="244">
        <v>16.378</v>
      </c>
      <c r="T22" s="1277">
        <v>175</v>
      </c>
      <c r="U22" s="1278">
        <f t="shared" si="0"/>
        <v>18.638832676536374</v>
      </c>
      <c r="V22" s="1278">
        <f t="shared" si="6"/>
        <v>42.673098058370989</v>
      </c>
      <c r="W22" s="1279">
        <v>0.23</v>
      </c>
      <c r="X22" s="1316">
        <v>195</v>
      </c>
      <c r="Y22" s="1277">
        <f t="shared" si="4"/>
        <v>59.992673992673993</v>
      </c>
      <c r="Z22" s="244">
        <f t="shared" si="7"/>
        <v>9.276332</v>
      </c>
      <c r="AA22" s="244">
        <f t="shared" si="7"/>
        <v>16.181463999999998</v>
      </c>
      <c r="AB22" s="1277">
        <f t="shared" si="7"/>
        <v>172.9</v>
      </c>
      <c r="AC22" s="244">
        <f t="shared" si="8"/>
        <v>18.638832676536374</v>
      </c>
      <c r="AD22" s="1277">
        <f t="shared" si="8"/>
        <v>42.673098058370989</v>
      </c>
      <c r="AE22" s="241">
        <f t="shared" si="1"/>
        <v>30</v>
      </c>
      <c r="AF22" s="244">
        <f t="shared" si="2"/>
        <v>278.28996000000001</v>
      </c>
      <c r="AG22" s="1281"/>
      <c r="AI22" s="1282">
        <f t="shared" si="3"/>
        <v>12.384672635697234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695">
        <v>548.32000000000005</v>
      </c>
      <c r="J23" s="241">
        <v>70</v>
      </c>
      <c r="K23" s="241"/>
      <c r="L23" s="1277">
        <v>412</v>
      </c>
      <c r="M23" s="241"/>
      <c r="N23" s="1278">
        <v>2.2999999999999998</v>
      </c>
      <c r="O23" s="241"/>
      <c r="P23" s="1278">
        <f t="shared" si="5"/>
        <v>14.525184339997779</v>
      </c>
      <c r="Q23" s="1278">
        <f t="shared" si="9"/>
        <v>9.8000000000000007</v>
      </c>
      <c r="R23" s="244">
        <v>3.8940000000000001</v>
      </c>
      <c r="S23" s="244">
        <v>4.47</v>
      </c>
      <c r="T23" s="1277">
        <v>37</v>
      </c>
      <c r="U23" s="1278">
        <f t="shared" si="0"/>
        <v>9.5017976373908581</v>
      </c>
      <c r="V23" s="1278">
        <f t="shared" si="6"/>
        <v>12.88590604026845</v>
      </c>
      <c r="W23" s="1279">
        <v>0.2</v>
      </c>
      <c r="X23" s="1316">
        <v>70</v>
      </c>
      <c r="Y23" s="1277">
        <f t="shared" si="4"/>
        <v>45.612244897959172</v>
      </c>
      <c r="Z23" s="244">
        <f t="shared" si="7"/>
        <v>3.8472720000000002</v>
      </c>
      <c r="AA23" s="244">
        <f t="shared" si="7"/>
        <v>4.4163600000000001</v>
      </c>
      <c r="AB23" s="1277">
        <f t="shared" si="7"/>
        <v>36.555999999999997</v>
      </c>
      <c r="AC23" s="244">
        <f t="shared" si="8"/>
        <v>9.5017976373908581</v>
      </c>
      <c r="AD23" s="1277">
        <f t="shared" si="8"/>
        <v>12.88590604026845</v>
      </c>
      <c r="AE23" s="241">
        <f t="shared" si="1"/>
        <v>30</v>
      </c>
      <c r="AF23" s="244">
        <f t="shared" si="2"/>
        <v>115.41816</v>
      </c>
      <c r="AG23" s="1281"/>
      <c r="AI23" s="1282">
        <f t="shared" si="3"/>
        <v>14.525184339997779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695">
        <v>563.03</v>
      </c>
      <c r="J24" s="241">
        <v>135</v>
      </c>
      <c r="K24" s="241"/>
      <c r="L24" s="1277">
        <v>415</v>
      </c>
      <c r="M24" s="241"/>
      <c r="N24" s="1278">
        <v>0.8</v>
      </c>
      <c r="O24" s="241"/>
      <c r="P24" s="1278">
        <f t="shared" si="5"/>
        <v>14.435826163627198</v>
      </c>
      <c r="Q24" s="1278">
        <f t="shared" si="9"/>
        <v>18.899999999999999</v>
      </c>
      <c r="R24" s="244">
        <v>5.6849999999999996</v>
      </c>
      <c r="S24" s="244">
        <v>7.1219999999999999</v>
      </c>
      <c r="T24" s="1277">
        <v>13</v>
      </c>
      <c r="U24" s="1278">
        <f t="shared" si="0"/>
        <v>2.2867194371152157</v>
      </c>
      <c r="V24" s="1278">
        <f t="shared" si="6"/>
        <v>20.176916596461673</v>
      </c>
      <c r="W24" s="1279">
        <v>0.2</v>
      </c>
      <c r="X24" s="1316">
        <v>135</v>
      </c>
      <c r="Y24" s="1277">
        <f t="shared" si="4"/>
        <v>37.682539682539684</v>
      </c>
      <c r="Z24" s="244">
        <f t="shared" si="7"/>
        <v>5.6167799999999994</v>
      </c>
      <c r="AA24" s="244">
        <f t="shared" si="7"/>
        <v>7.0365359999999999</v>
      </c>
      <c r="AB24" s="1277">
        <f t="shared" si="7"/>
        <v>12.843999999999999</v>
      </c>
      <c r="AC24" s="244">
        <f t="shared" si="8"/>
        <v>2.2867194371152157</v>
      </c>
      <c r="AD24" s="1277">
        <f t="shared" si="8"/>
        <v>20.176916596461673</v>
      </c>
      <c r="AE24" s="241">
        <f t="shared" si="1"/>
        <v>30</v>
      </c>
      <c r="AF24" s="244">
        <f t="shared" si="2"/>
        <v>168.50339999999997</v>
      </c>
      <c r="AG24" s="1281"/>
      <c r="AI24" s="1282">
        <f t="shared" si="3"/>
        <v>14.435826163627198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695">
        <v>540.01</v>
      </c>
      <c r="J25" s="241">
        <v>85</v>
      </c>
      <c r="K25" s="241"/>
      <c r="L25" s="1277">
        <v>470</v>
      </c>
      <c r="M25" s="241"/>
      <c r="N25" s="1278">
        <v>1.4</v>
      </c>
      <c r="O25" s="241"/>
      <c r="P25" s="1278">
        <f t="shared" si="5"/>
        <v>7.9728293993275265</v>
      </c>
      <c r="Q25" s="1278">
        <f t="shared" si="9"/>
        <v>11.9</v>
      </c>
      <c r="R25" s="244">
        <v>4.1980000000000004</v>
      </c>
      <c r="S25" s="244">
        <v>8.1229999999999993</v>
      </c>
      <c r="T25" s="1277">
        <v>14</v>
      </c>
      <c r="U25" s="1278">
        <f t="shared" si="0"/>
        <v>3.3349213911386371</v>
      </c>
      <c r="V25" s="1278">
        <f t="shared" si="6"/>
        <v>48.31958635971931</v>
      </c>
      <c r="W25" s="1279">
        <v>0.2</v>
      </c>
      <c r="X25" s="1316">
        <v>85</v>
      </c>
      <c r="Y25" s="1277">
        <f t="shared" si="4"/>
        <v>68.260504201680661</v>
      </c>
      <c r="Z25" s="244">
        <f t="shared" si="7"/>
        <v>4.1476240000000004</v>
      </c>
      <c r="AA25" s="244">
        <f t="shared" si="7"/>
        <v>8.025523999999999</v>
      </c>
      <c r="AB25" s="1277">
        <f t="shared" si="7"/>
        <v>13.832000000000001</v>
      </c>
      <c r="AC25" s="244">
        <f t="shared" si="8"/>
        <v>3.3349213911386371</v>
      </c>
      <c r="AD25" s="1277">
        <f t="shared" si="8"/>
        <v>48.31958635971931</v>
      </c>
      <c r="AE25" s="241">
        <f t="shared" si="1"/>
        <v>30</v>
      </c>
      <c r="AF25" s="244">
        <f t="shared" si="2"/>
        <v>124.42872000000001</v>
      </c>
      <c r="AG25" s="1281"/>
      <c r="AI25" s="1282">
        <f t="shared" si="3"/>
        <v>7.9728293993275265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445</v>
      </c>
      <c r="M26" s="1302"/>
      <c r="N26" s="1278">
        <v>4.3</v>
      </c>
      <c r="O26" s="1302"/>
      <c r="P26" s="1278">
        <f t="shared" si="5"/>
        <v>14.559345395402152</v>
      </c>
      <c r="Q26" s="1278">
        <f t="shared" si="9"/>
        <v>20</v>
      </c>
      <c r="R26" s="244">
        <v>4.444</v>
      </c>
      <c r="S26" s="244">
        <v>13.974</v>
      </c>
      <c r="T26" s="1277">
        <v>80</v>
      </c>
      <c r="U26" s="1278">
        <f t="shared" si="0"/>
        <v>18.001800180018002</v>
      </c>
      <c r="V26" s="1278">
        <f t="shared" si="6"/>
        <v>68.198082152569057</v>
      </c>
      <c r="W26" s="1279">
        <v>0.2</v>
      </c>
      <c r="X26" s="1316">
        <v>100</v>
      </c>
      <c r="Y26" s="1277">
        <f t="shared" si="4"/>
        <v>69.87</v>
      </c>
      <c r="Z26" s="244">
        <f t="shared" si="7"/>
        <v>4.3906719999999995</v>
      </c>
      <c r="AA26" s="244">
        <f t="shared" si="7"/>
        <v>13.806312</v>
      </c>
      <c r="AB26" s="1277">
        <f t="shared" si="7"/>
        <v>79.039999999999992</v>
      </c>
      <c r="AC26" s="244">
        <f t="shared" si="8"/>
        <v>18.001800180018002</v>
      </c>
      <c r="AD26" s="1277">
        <f t="shared" si="8"/>
        <v>68.198082152569057</v>
      </c>
      <c r="AE26" s="241">
        <f t="shared" si="1"/>
        <v>30</v>
      </c>
      <c r="AF26" s="244">
        <f t="shared" si="2"/>
        <v>131.72015999999999</v>
      </c>
      <c r="AG26" s="1281"/>
      <c r="AI26" s="1282">
        <f t="shared" si="3"/>
        <v>14.559345395402152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793</v>
      </c>
      <c r="I27" s="1709">
        <v>547.62</v>
      </c>
      <c r="J27" s="241">
        <v>100</v>
      </c>
      <c r="K27" s="241"/>
      <c r="L27" s="1277">
        <v>458</v>
      </c>
      <c r="M27" s="241"/>
      <c r="N27" s="1278">
        <v>2.7</v>
      </c>
      <c r="O27" s="241"/>
      <c r="P27" s="1278">
        <f t="shared" si="5"/>
        <v>11.197391368118822</v>
      </c>
      <c r="Q27" s="1278">
        <f t="shared" si="9"/>
        <v>14</v>
      </c>
      <c r="R27" s="244">
        <v>6.8070000000000004</v>
      </c>
      <c r="S27" s="244">
        <v>17.423999999999999</v>
      </c>
      <c r="T27" s="1277">
        <v>10.5</v>
      </c>
      <c r="U27" s="1278">
        <f t="shared" si="0"/>
        <v>1.5425297487880123</v>
      </c>
      <c r="V27" s="1278">
        <f t="shared" si="6"/>
        <v>60.933195592286495</v>
      </c>
      <c r="W27" s="1279">
        <v>0.2</v>
      </c>
      <c r="X27" s="1316">
        <v>100</v>
      </c>
      <c r="Y27" s="1277">
        <f t="shared" si="4"/>
        <v>124.45714285714284</v>
      </c>
      <c r="Z27" s="244">
        <f t="shared" si="7"/>
        <v>6.7253160000000003</v>
      </c>
      <c r="AA27" s="244">
        <f t="shared" si="7"/>
        <v>17.214911999999998</v>
      </c>
      <c r="AB27" s="1277">
        <f t="shared" si="7"/>
        <v>10.374000000000001</v>
      </c>
      <c r="AC27" s="244">
        <f t="shared" si="8"/>
        <v>1.5425297487880123</v>
      </c>
      <c r="AD27" s="1277">
        <f t="shared" si="8"/>
        <v>60.933195592286495</v>
      </c>
      <c r="AE27" s="241">
        <f t="shared" si="1"/>
        <v>30</v>
      </c>
      <c r="AF27" s="244">
        <f t="shared" si="2"/>
        <v>201.75948</v>
      </c>
      <c r="AG27" s="1281"/>
      <c r="AI27" s="1282">
        <f t="shared" si="3"/>
        <v>11.197391368118822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695">
        <v>566.99</v>
      </c>
      <c r="J28" s="1448">
        <v>85</v>
      </c>
      <c r="K28" s="241"/>
      <c r="L28" s="1277">
        <v>320</v>
      </c>
      <c r="M28" s="241"/>
      <c r="N28" s="1278">
        <v>0.2</v>
      </c>
      <c r="O28" s="241"/>
      <c r="P28" s="1278">
        <f t="shared" si="5"/>
        <v>23.632429028671854</v>
      </c>
      <c r="Q28" s="1278">
        <f>J28*14/100</f>
        <v>11.9</v>
      </c>
      <c r="R28" s="244">
        <v>4.8550000000000004</v>
      </c>
      <c r="S28" s="244">
        <v>11.257999999999999</v>
      </c>
      <c r="T28" s="1277">
        <v>16</v>
      </c>
      <c r="U28" s="1278">
        <f t="shared" si="0"/>
        <v>3.2955715756951593</v>
      </c>
      <c r="V28" s="1278">
        <f t="shared" si="6"/>
        <v>56.875111032154905</v>
      </c>
      <c r="W28" s="1279">
        <v>0.2</v>
      </c>
      <c r="X28" s="1449">
        <v>85</v>
      </c>
      <c r="Y28" s="1277">
        <f t="shared" si="4"/>
        <v>94.605042016806721</v>
      </c>
      <c r="Z28" s="244">
        <f t="shared" si="7"/>
        <v>4.7967400000000007</v>
      </c>
      <c r="AA28" s="244">
        <f t="shared" si="7"/>
        <v>11.122903999999998</v>
      </c>
      <c r="AB28" s="1277">
        <f t="shared" si="7"/>
        <v>15.808</v>
      </c>
      <c r="AC28" s="244">
        <f t="shared" si="8"/>
        <v>3.2955715756951593</v>
      </c>
      <c r="AD28" s="1277">
        <f t="shared" si="8"/>
        <v>56.875111032154905</v>
      </c>
      <c r="AE28" s="241">
        <f t="shared" si="1"/>
        <v>30</v>
      </c>
      <c r="AF28" s="244">
        <f t="shared" si="2"/>
        <v>143.90220000000002</v>
      </c>
      <c r="AG28" s="1285"/>
      <c r="AI28" s="1282">
        <f t="shared" si="3"/>
        <v>23.632429028671854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695">
        <v>593.29</v>
      </c>
      <c r="J29" s="241">
        <v>260</v>
      </c>
      <c r="K29" s="241"/>
      <c r="L29" s="1277">
        <v>384</v>
      </c>
      <c r="M29" s="241"/>
      <c r="N29" s="1278">
        <v>4</v>
      </c>
      <c r="O29" s="241"/>
      <c r="P29" s="1278">
        <f t="shared" si="5"/>
        <v>24.513754316461178</v>
      </c>
      <c r="Q29" s="1278">
        <f>(15/100)*J29</f>
        <v>39</v>
      </c>
      <c r="R29" s="244">
        <v>0.629</v>
      </c>
      <c r="S29" s="244">
        <v>2.3050000000000002</v>
      </c>
      <c r="T29" s="1277">
        <v>38.5</v>
      </c>
      <c r="U29" s="1278">
        <f t="shared" si="0"/>
        <v>61.208267090620033</v>
      </c>
      <c r="V29" s="1278">
        <f t="shared" si="6"/>
        <v>72.711496746203906</v>
      </c>
      <c r="W29" s="1279">
        <v>0.27</v>
      </c>
      <c r="X29" s="1316">
        <v>260</v>
      </c>
      <c r="Y29" s="1277">
        <f t="shared" si="4"/>
        <v>5.9102564102564106</v>
      </c>
      <c r="Z29" s="244">
        <f t="shared" si="7"/>
        <v>0.621452</v>
      </c>
      <c r="AA29" s="244">
        <f t="shared" si="7"/>
        <v>2.2773400000000001</v>
      </c>
      <c r="AB29" s="1277">
        <f t="shared" si="7"/>
        <v>38.037999999999997</v>
      </c>
      <c r="AC29" s="244">
        <f t="shared" si="8"/>
        <v>61.208267090620033</v>
      </c>
      <c r="AD29" s="1277">
        <f t="shared" si="8"/>
        <v>72.711496746203906</v>
      </c>
      <c r="AE29" s="241">
        <f t="shared" si="1"/>
        <v>30</v>
      </c>
      <c r="AF29" s="244">
        <f t="shared" si="2"/>
        <v>18.643560000000001</v>
      </c>
      <c r="AG29" s="1285"/>
      <c r="AI29" s="1282">
        <f t="shared" si="3"/>
        <v>24.513754316461178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695" t="s">
        <v>298</v>
      </c>
      <c r="F30" s="241">
        <v>177.8</v>
      </c>
      <c r="G30" s="241" t="s">
        <v>28</v>
      </c>
      <c r="H30" s="1299" t="s">
        <v>687</v>
      </c>
      <c r="I30" s="1695">
        <v>558.21</v>
      </c>
      <c r="J30" s="1448">
        <v>85</v>
      </c>
      <c r="K30" s="241"/>
      <c r="L30" s="1277">
        <v>257</v>
      </c>
      <c r="M30" s="241"/>
      <c r="N30" s="1278">
        <v>3.1</v>
      </c>
      <c r="O30" s="241"/>
      <c r="P30" s="1278">
        <f t="shared" si="5"/>
        <v>32.189892367606312</v>
      </c>
      <c r="Q30" s="1278">
        <f>20*J30/100</f>
        <v>17</v>
      </c>
      <c r="R30" s="244">
        <v>1.77</v>
      </c>
      <c r="S30" s="244">
        <v>9.7050000000000001</v>
      </c>
      <c r="T30" s="1277">
        <v>6</v>
      </c>
      <c r="U30" s="1278">
        <f t="shared" si="0"/>
        <v>3.3898305084745761</v>
      </c>
      <c r="V30" s="1278">
        <f t="shared" si="6"/>
        <v>81.76197836166925</v>
      </c>
      <c r="W30" s="1279">
        <v>0.3</v>
      </c>
      <c r="X30" s="1449">
        <v>85</v>
      </c>
      <c r="Y30" s="1277">
        <f t="shared" si="4"/>
        <v>57.088235294117652</v>
      </c>
      <c r="Z30" s="244">
        <f t="shared" si="7"/>
        <v>1.7487600000000001</v>
      </c>
      <c r="AA30" s="244">
        <f t="shared" si="7"/>
        <v>9.5885400000000001</v>
      </c>
      <c r="AB30" s="1277">
        <f t="shared" si="7"/>
        <v>5.9279999999999999</v>
      </c>
      <c r="AC30" s="244">
        <f t="shared" si="8"/>
        <v>3.3898305084745761</v>
      </c>
      <c r="AD30" s="1277">
        <f t="shared" si="8"/>
        <v>81.76197836166925</v>
      </c>
      <c r="AE30" s="241">
        <f t="shared" si="1"/>
        <v>30</v>
      </c>
      <c r="AF30" s="244">
        <f>Z30*AE30</f>
        <v>52.462800000000001</v>
      </c>
      <c r="AG30" s="1285"/>
      <c r="AI30" s="1282">
        <f t="shared" si="3"/>
        <v>32.189892367606312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695" t="s">
        <v>79</v>
      </c>
      <c r="F31" s="241">
        <v>177.8</v>
      </c>
      <c r="G31" s="241" t="s">
        <v>28</v>
      </c>
      <c r="H31" s="1299" t="s">
        <v>565</v>
      </c>
      <c r="I31" s="1695">
        <v>526.29</v>
      </c>
      <c r="J31" s="1448">
        <v>290</v>
      </c>
      <c r="K31" s="241"/>
      <c r="L31" s="1277">
        <v>244</v>
      </c>
      <c r="M31" s="241"/>
      <c r="N31" s="1278">
        <v>2.7</v>
      </c>
      <c r="O31" s="241"/>
      <c r="P31" s="1278">
        <f t="shared" si="5"/>
        <v>30.177402441750349</v>
      </c>
      <c r="Q31" s="1278">
        <f>LEFT(H31,(FIND("E",H31,1)-1))*J31/100</f>
        <v>92.8</v>
      </c>
      <c r="R31" s="244">
        <v>6.242</v>
      </c>
      <c r="S31" s="244">
        <v>41.359000000000002</v>
      </c>
      <c r="T31" s="1277">
        <v>382</v>
      </c>
      <c r="U31" s="1278">
        <f t="shared" si="0"/>
        <v>61.198333867350208</v>
      </c>
      <c r="V31" s="1278">
        <f t="shared" si="6"/>
        <v>84.907758891655988</v>
      </c>
      <c r="W31" s="1279">
        <v>0.2</v>
      </c>
      <c r="X31" s="1449">
        <v>290</v>
      </c>
      <c r="Y31" s="1277">
        <f t="shared" si="4"/>
        <v>44.567887931034484</v>
      </c>
      <c r="Z31" s="244">
        <f t="shared" si="7"/>
        <v>6.1670959999999999</v>
      </c>
      <c r="AA31" s="244">
        <f t="shared" si="7"/>
        <v>40.862692000000003</v>
      </c>
      <c r="AB31" s="1277">
        <f t="shared" si="7"/>
        <v>377.416</v>
      </c>
      <c r="AC31" s="244">
        <f t="shared" si="8"/>
        <v>61.198333867350208</v>
      </c>
      <c r="AD31" s="1277">
        <f t="shared" si="8"/>
        <v>84.907758891655988</v>
      </c>
      <c r="AE31" s="241">
        <f t="shared" si="1"/>
        <v>30</v>
      </c>
      <c r="AF31" s="244">
        <f>Z31*AE31</f>
        <v>185.01288</v>
      </c>
      <c r="AG31" s="1281"/>
      <c r="AI31" s="1282">
        <f t="shared" si="3"/>
        <v>30.177402441750349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695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412</v>
      </c>
      <c r="M32" s="241"/>
      <c r="N32" s="1278">
        <v>5.5</v>
      </c>
      <c r="O32" s="241"/>
      <c r="P32" s="1278">
        <f t="shared" si="5"/>
        <v>15.572825303375375</v>
      </c>
      <c r="Q32" s="1278">
        <f>RIGHT(H32,(FIND("T",H32,1)-0))*J32/100</f>
        <v>56</v>
      </c>
      <c r="R32" s="244">
        <v>9.8670000000000009</v>
      </c>
      <c r="S32" s="244">
        <v>23.675999999999998</v>
      </c>
      <c r="T32" s="1277">
        <v>395</v>
      </c>
      <c r="U32" s="1278">
        <f t="shared" si="0"/>
        <v>40.032431336779162</v>
      </c>
      <c r="V32" s="1278">
        <f t="shared" si="6"/>
        <v>58.32488596046629</v>
      </c>
      <c r="W32" s="1279">
        <v>0.2</v>
      </c>
      <c r="X32" s="1316">
        <v>280</v>
      </c>
      <c r="Y32" s="1277">
        <f t="shared" si="4"/>
        <v>42.278571428571425</v>
      </c>
      <c r="Z32" s="244">
        <f t="shared" si="7"/>
        <v>9.7485960000000009</v>
      </c>
      <c r="AA32" s="244">
        <f t="shared" si="7"/>
        <v>23.391887999999998</v>
      </c>
      <c r="AB32" s="1277">
        <f t="shared" si="7"/>
        <v>390.26</v>
      </c>
      <c r="AC32" s="244">
        <f t="shared" si="8"/>
        <v>40.032431336779162</v>
      </c>
      <c r="AD32" s="1277">
        <f t="shared" si="8"/>
        <v>58.32488596046629</v>
      </c>
      <c r="AE32" s="241">
        <f t="shared" si="1"/>
        <v>30</v>
      </c>
      <c r="AF32" s="244">
        <f t="shared" si="2"/>
        <v>292.45788000000005</v>
      </c>
      <c r="AG32" s="1281"/>
      <c r="AI32" s="1282">
        <f t="shared" si="3"/>
        <v>15.572825303375375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695">
        <v>569.99</v>
      </c>
      <c r="J33" s="1448">
        <v>220</v>
      </c>
      <c r="K33" s="241"/>
      <c r="L33" s="1277">
        <v>436</v>
      </c>
      <c r="M33" s="241"/>
      <c r="N33" s="1278">
        <v>3.9</v>
      </c>
      <c r="O33" s="241"/>
      <c r="P33" s="1278">
        <f t="shared" si="5"/>
        <v>16.748560723331313</v>
      </c>
      <c r="Q33" s="1278">
        <f>LEFT(H33,(FIND("K",H33,1)-1))*J33/100</f>
        <v>28.6</v>
      </c>
      <c r="R33" s="244">
        <v>6.6360000000000001</v>
      </c>
      <c r="S33" s="244">
        <v>19.331</v>
      </c>
      <c r="T33" s="1277">
        <v>73</v>
      </c>
      <c r="U33" s="1278">
        <f t="shared" si="0"/>
        <v>11.000602772754672</v>
      </c>
      <c r="V33" s="1278">
        <f t="shared" si="6"/>
        <v>65.671719000569041</v>
      </c>
      <c r="W33" s="1279">
        <v>0.2</v>
      </c>
      <c r="X33" s="1449">
        <v>220</v>
      </c>
      <c r="Y33" s="1277">
        <f t="shared" si="4"/>
        <v>67.590909090909093</v>
      </c>
      <c r="Z33" s="244">
        <f t="shared" si="7"/>
        <v>6.556368</v>
      </c>
      <c r="AA33" s="244">
        <f t="shared" si="7"/>
        <v>19.099028000000001</v>
      </c>
      <c r="AB33" s="1277">
        <f t="shared" si="7"/>
        <v>72.123999999999995</v>
      </c>
      <c r="AC33" s="244">
        <f t="shared" si="8"/>
        <v>11.000602772754672</v>
      </c>
      <c r="AD33" s="1277">
        <f t="shared" si="8"/>
        <v>65.671719000569041</v>
      </c>
      <c r="AE33" s="241">
        <f t="shared" si="1"/>
        <v>30</v>
      </c>
      <c r="AF33" s="244">
        <f>Z33*AE33</f>
        <v>196.69103999999999</v>
      </c>
      <c r="AG33" s="1285"/>
      <c r="AI33" s="1282">
        <f t="shared" si="3"/>
        <v>16.748560723331313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5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6"/>
        <v>#DIV/0!</v>
      </c>
      <c r="W34" s="1308">
        <v>0</v>
      </c>
      <c r="X34" s="238">
        <v>0</v>
      </c>
      <c r="Y34" s="1277">
        <f t="shared" si="4"/>
        <v>0</v>
      </c>
      <c r="Z34" s="244">
        <v>0</v>
      </c>
      <c r="AA34" s="244">
        <v>0</v>
      </c>
      <c r="AB34" s="1277">
        <f t="shared" si="7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3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115</v>
      </c>
      <c r="K35" s="241"/>
      <c r="L35" s="1277">
        <v>440</v>
      </c>
      <c r="M35" s="241"/>
      <c r="N35" s="1278">
        <v>2.5</v>
      </c>
      <c r="O35" s="241"/>
      <c r="P35" s="1278">
        <f t="shared" si="5"/>
        <v>14.249143022266955</v>
      </c>
      <c r="Q35" s="1278">
        <f>20*J35/100</f>
        <v>23</v>
      </c>
      <c r="R35" s="244">
        <v>2.306</v>
      </c>
      <c r="S35" s="244">
        <v>7.617</v>
      </c>
      <c r="T35" s="1277">
        <v>17.181999999999999</v>
      </c>
      <c r="U35" s="1278">
        <f t="shared" si="0"/>
        <v>7.4509973980919337</v>
      </c>
      <c r="V35" s="1278">
        <f t="shared" si="6"/>
        <v>69.725613758697648</v>
      </c>
      <c r="W35" s="1279">
        <v>0.2</v>
      </c>
      <c r="X35" s="1316">
        <v>115</v>
      </c>
      <c r="Y35" s="1277">
        <f t="shared" si="4"/>
        <v>33.117391304347827</v>
      </c>
      <c r="Z35" s="244">
        <f t="shared" si="7"/>
        <v>2.2783280000000001</v>
      </c>
      <c r="AA35" s="244">
        <f t="shared" si="7"/>
        <v>7.5255960000000002</v>
      </c>
      <c r="AB35" s="1277">
        <f t="shared" si="7"/>
        <v>16.975815999999998</v>
      </c>
      <c r="AC35" s="1307">
        <f t="shared" si="8"/>
        <v>7.4509973980919337</v>
      </c>
      <c r="AD35" s="1305">
        <f t="shared" si="8"/>
        <v>69.725613758697648</v>
      </c>
      <c r="AE35" s="241">
        <f t="shared" si="1"/>
        <v>30</v>
      </c>
      <c r="AF35" s="1307">
        <f>Z35*AE35</f>
        <v>68.34984</v>
      </c>
      <c r="AG35" s="1285"/>
      <c r="AI35" s="1282">
        <f t="shared" si="3"/>
        <v>14.249143022266955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695">
        <v>564.05999999999995</v>
      </c>
      <c r="J36" s="241">
        <v>150</v>
      </c>
      <c r="K36" s="241"/>
      <c r="L36" s="1277">
        <v>375</v>
      </c>
      <c r="M36" s="241"/>
      <c r="N36" s="1278">
        <v>0</v>
      </c>
      <c r="O36" s="241"/>
      <c r="P36" s="1278">
        <f t="shared" si="5"/>
        <v>17.958275394287895</v>
      </c>
      <c r="Q36" s="1278">
        <f>LEFT(H36,(FIND("E",H36,1)-1))*J36/100</f>
        <v>19.5</v>
      </c>
      <c r="R36" s="244">
        <v>4.2720000000000002</v>
      </c>
      <c r="S36" s="244">
        <v>10.864000000000001</v>
      </c>
      <c r="T36" s="1277">
        <v>9</v>
      </c>
      <c r="U36" s="1278">
        <f t="shared" si="0"/>
        <v>2.1067415730337076</v>
      </c>
      <c r="V36" s="1278">
        <f t="shared" si="6"/>
        <v>60.677466863033871</v>
      </c>
      <c r="W36" s="1279">
        <v>0</v>
      </c>
      <c r="X36" s="1316">
        <v>150</v>
      </c>
      <c r="Y36" s="1277">
        <f t="shared" si="4"/>
        <v>55.712820512820514</v>
      </c>
      <c r="Z36" s="244">
        <v>3.2149999999999999</v>
      </c>
      <c r="AA36" s="244">
        <v>9.2829999999999995</v>
      </c>
      <c r="AB36" s="1277">
        <v>17</v>
      </c>
      <c r="AC36" s="1307">
        <f t="shared" si="8"/>
        <v>2.1067415730337076</v>
      </c>
      <c r="AD36" s="1305">
        <f t="shared" si="8"/>
        <v>60.677466863033871</v>
      </c>
      <c r="AE36" s="241">
        <f t="shared" si="1"/>
        <v>30</v>
      </c>
      <c r="AF36" s="244">
        <f t="shared" si="2"/>
        <v>96.449999999999989</v>
      </c>
      <c r="AG36" s="1281"/>
      <c r="AI36" s="1282">
        <f t="shared" si="3"/>
        <v>17.958275394287895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695">
        <v>551</v>
      </c>
      <c r="J37" s="1448">
        <v>165</v>
      </c>
      <c r="K37" s="241"/>
      <c r="L37" s="1277">
        <v>450</v>
      </c>
      <c r="M37" s="241"/>
      <c r="N37" s="1278">
        <v>2.4</v>
      </c>
      <c r="O37" s="241"/>
      <c r="P37" s="1278">
        <f t="shared" si="5"/>
        <v>11.683470659679665</v>
      </c>
      <c r="Q37" s="1278">
        <f>14*J37/100</f>
        <v>23.1</v>
      </c>
      <c r="R37" s="244">
        <v>6.15</v>
      </c>
      <c r="S37" s="244">
        <v>10.869</v>
      </c>
      <c r="T37" s="1277">
        <v>50</v>
      </c>
      <c r="U37" s="1278">
        <f t="shared" si="0"/>
        <v>8.1300813008130071</v>
      </c>
      <c r="V37" s="1278">
        <f t="shared" si="6"/>
        <v>43.417057686999719</v>
      </c>
      <c r="W37" s="1279">
        <v>0.2</v>
      </c>
      <c r="X37" s="1449">
        <v>165</v>
      </c>
      <c r="Y37" s="1277">
        <f t="shared" si="4"/>
        <v>47.051948051948052</v>
      </c>
      <c r="Z37" s="244">
        <f t="shared" ref="Z37:AB43" si="10">R37*0.988</f>
        <v>6.0762</v>
      </c>
      <c r="AA37" s="244">
        <f t="shared" si="10"/>
        <v>10.738572</v>
      </c>
      <c r="AB37" s="1277">
        <f t="shared" si="10"/>
        <v>49.4</v>
      </c>
      <c r="AC37" s="244">
        <f t="shared" ref="AC37:AD38" si="11">U37</f>
        <v>8.1300813008130071</v>
      </c>
      <c r="AD37" s="1305">
        <f t="shared" si="11"/>
        <v>43.417057686999719</v>
      </c>
      <c r="AE37" s="241">
        <f t="shared" si="1"/>
        <v>30</v>
      </c>
      <c r="AF37" s="244">
        <f t="shared" si="2"/>
        <v>182.286</v>
      </c>
      <c r="AG37" s="1450"/>
      <c r="AI37" s="1282">
        <f t="shared" si="3"/>
        <v>11.683470659679665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695">
        <v>565.36</v>
      </c>
      <c r="J38" s="241">
        <v>100</v>
      </c>
      <c r="K38" s="241"/>
      <c r="L38" s="1277">
        <v>330</v>
      </c>
      <c r="M38" s="241"/>
      <c r="N38" s="1278">
        <v>1.5</v>
      </c>
      <c r="O38" s="241"/>
      <c r="P38" s="1278">
        <f t="shared" si="5"/>
        <v>24.159596116536125</v>
      </c>
      <c r="Q38" s="1278">
        <f>13*J38/100</f>
        <v>13</v>
      </c>
      <c r="R38" s="244">
        <v>2.052</v>
      </c>
      <c r="S38" s="244">
        <v>9.952</v>
      </c>
      <c r="T38" s="1277">
        <v>12.5</v>
      </c>
      <c r="U38" s="1278">
        <f>IF(R38=0,0,T38/R38)</f>
        <v>6.0916179337231968</v>
      </c>
      <c r="V38" s="1278">
        <f t="shared" si="6"/>
        <v>79.381028938906766</v>
      </c>
      <c r="W38" s="1279">
        <v>0.2</v>
      </c>
      <c r="X38" s="1316">
        <v>100</v>
      </c>
      <c r="Y38" s="1277">
        <f t="shared" si="4"/>
        <v>76.553846153846152</v>
      </c>
      <c r="Z38" s="244">
        <f t="shared" si="10"/>
        <v>2.0273759999999998</v>
      </c>
      <c r="AA38" s="244">
        <f t="shared" si="10"/>
        <v>9.8325759999999995</v>
      </c>
      <c r="AB38" s="1277">
        <f t="shared" si="10"/>
        <v>12.35</v>
      </c>
      <c r="AC38" s="244">
        <f t="shared" si="11"/>
        <v>6.0916179337231968</v>
      </c>
      <c r="AD38" s="1305">
        <f t="shared" si="11"/>
        <v>79.381028938906766</v>
      </c>
      <c r="AE38" s="241">
        <f t="shared" si="1"/>
        <v>30</v>
      </c>
      <c r="AF38" s="244">
        <f>Z38*AE38</f>
        <v>60.821279999999994</v>
      </c>
      <c r="AG38" s="1281"/>
      <c r="AI38" s="1282">
        <f t="shared" si="3"/>
        <v>24.159596116536125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695">
        <v>535.91</v>
      </c>
      <c r="J39" s="1448">
        <v>300</v>
      </c>
      <c r="K39" s="241"/>
      <c r="L39" s="1277">
        <v>446</v>
      </c>
      <c r="M39" s="241"/>
      <c r="N39" s="1278">
        <v>2.2000000000000002</v>
      </c>
      <c r="O39" s="241"/>
      <c r="P39" s="1278">
        <f t="shared" si="5"/>
        <v>10.400737397582306</v>
      </c>
      <c r="Q39" s="1278">
        <f>(20/100)*J39</f>
        <v>60</v>
      </c>
      <c r="R39" s="244">
        <v>8.9830000000000005</v>
      </c>
      <c r="S39" s="244">
        <v>14.159000000000001</v>
      </c>
      <c r="T39" s="1277">
        <v>200</v>
      </c>
      <c r="U39" s="1278">
        <f t="shared" ref="U39:U86" si="12">IF(R39=0,0,T39/R39)</f>
        <v>22.264276967605475</v>
      </c>
      <c r="V39" s="1278">
        <f t="shared" si="6"/>
        <v>36.55625397273819</v>
      </c>
      <c r="W39" s="1279">
        <v>0.2</v>
      </c>
      <c r="X39" s="1449">
        <v>300</v>
      </c>
      <c r="Y39" s="1277">
        <f t="shared" si="4"/>
        <v>23.598333333333336</v>
      </c>
      <c r="Z39" s="244">
        <f t="shared" si="10"/>
        <v>8.8752040000000001</v>
      </c>
      <c r="AA39" s="244">
        <f t="shared" si="10"/>
        <v>13.989092000000001</v>
      </c>
      <c r="AB39" s="1277">
        <f t="shared" si="10"/>
        <v>197.6</v>
      </c>
      <c r="AC39" s="244">
        <v>89.536086956521729</v>
      </c>
      <c r="AD39" s="1305">
        <f>V39</f>
        <v>36.55625397273819</v>
      </c>
      <c r="AE39" s="241">
        <f t="shared" si="1"/>
        <v>30</v>
      </c>
      <c r="AF39" s="244">
        <f t="shared" si="2"/>
        <v>266.25612000000001</v>
      </c>
      <c r="AG39" s="1314"/>
      <c r="AI39" s="1282">
        <f t="shared" si="3"/>
        <v>10.400737397582306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692">
        <v>565.11</v>
      </c>
      <c r="J40" s="1448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LEFT(H40,(FIND("K",H40,1)-1))*J40/100</f>
        <v>0</v>
      </c>
      <c r="R40" s="244">
        <v>0</v>
      </c>
      <c r="S40" s="244">
        <v>0</v>
      </c>
      <c r="T40" s="1277">
        <v>0</v>
      </c>
      <c r="U40" s="1278">
        <f t="shared" si="12"/>
        <v>0</v>
      </c>
      <c r="V40" s="1278" t="e">
        <f t="shared" si="6"/>
        <v>#DIV/0!</v>
      </c>
      <c r="W40" s="1279">
        <v>0</v>
      </c>
      <c r="X40" s="1449">
        <v>0</v>
      </c>
      <c r="Y40" s="1277">
        <f t="shared" si="4"/>
        <v>0</v>
      </c>
      <c r="Z40" s="244">
        <f t="shared" si="10"/>
        <v>0</v>
      </c>
      <c r="AA40" s="244">
        <f t="shared" si="10"/>
        <v>0</v>
      </c>
      <c r="AB40" s="1277">
        <f t="shared" si="10"/>
        <v>0</v>
      </c>
      <c r="AC40" s="244">
        <f>U40</f>
        <v>0</v>
      </c>
      <c r="AD40" s="1277" t="e">
        <f>V40</f>
        <v>#DIV/0!</v>
      </c>
      <c r="AE40" s="241">
        <v>0</v>
      </c>
      <c r="AF40" s="244">
        <f t="shared" si="2"/>
        <v>0</v>
      </c>
      <c r="AG40" s="1281" t="s">
        <v>769</v>
      </c>
      <c r="AI40" s="1282" t="e">
        <f t="shared" si="3"/>
        <v>#DIV/0!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85</v>
      </c>
      <c r="K41" s="241"/>
      <c r="L41" s="1277">
        <v>468</v>
      </c>
      <c r="M41" s="241"/>
      <c r="N41" s="1278">
        <v>3.8</v>
      </c>
      <c r="O41" s="241"/>
      <c r="P41" s="1278">
        <f t="shared" si="5"/>
        <v>12.095547677879996</v>
      </c>
      <c r="Q41" s="1278">
        <f>14*J41/100</f>
        <v>11.9</v>
      </c>
      <c r="R41" s="244">
        <v>2.097</v>
      </c>
      <c r="S41" s="244">
        <v>10.454000000000001</v>
      </c>
      <c r="T41" s="1277">
        <v>0</v>
      </c>
      <c r="U41" s="1278">
        <f t="shared" si="12"/>
        <v>0</v>
      </c>
      <c r="V41" s="1278">
        <f t="shared" si="6"/>
        <v>79.940692557872595</v>
      </c>
      <c r="W41" s="1279">
        <v>0.2</v>
      </c>
      <c r="X41" s="1316">
        <v>85</v>
      </c>
      <c r="Y41" s="1277">
        <f t="shared" si="4"/>
        <v>87.848739495798327</v>
      </c>
      <c r="Z41" s="244">
        <f t="shared" si="10"/>
        <v>2.0718359999999998</v>
      </c>
      <c r="AA41" s="244">
        <f t="shared" si="10"/>
        <v>10.328552</v>
      </c>
      <c r="AB41" s="1277">
        <f t="shared" si="10"/>
        <v>0</v>
      </c>
      <c r="AC41" s="244">
        <f>U41</f>
        <v>0</v>
      </c>
      <c r="AD41" s="1277">
        <f>V41</f>
        <v>79.940692557872595</v>
      </c>
      <c r="AE41" s="241">
        <f t="shared" si="1"/>
        <v>30</v>
      </c>
      <c r="AF41" s="244">
        <f t="shared" si="2"/>
        <v>62.155079999999991</v>
      </c>
      <c r="AG41" s="1285"/>
      <c r="AI41" s="1282">
        <f t="shared" si="3"/>
        <v>12.095547677879996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5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2"/>
        <v>0</v>
      </c>
      <c r="V42" s="1278" t="e">
        <f t="shared" si="6"/>
        <v>#DIV/0!</v>
      </c>
      <c r="W42" s="1279">
        <v>0</v>
      </c>
      <c r="X42" s="1316">
        <v>0</v>
      </c>
      <c r="Y42" s="1277">
        <f t="shared" si="4"/>
        <v>0</v>
      </c>
      <c r="Z42" s="244">
        <f t="shared" si="10"/>
        <v>0</v>
      </c>
      <c r="AA42" s="244">
        <f t="shared" si="10"/>
        <v>0</v>
      </c>
      <c r="AB42" s="1277">
        <f t="shared" si="10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2"/>
        <v>0</v>
      </c>
      <c r="AG42" s="1281" t="s">
        <v>769</v>
      </c>
      <c r="AI42" s="1282" t="e">
        <f t="shared" si="3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695">
        <v>554.16999999999996</v>
      </c>
      <c r="J43" s="1448">
        <v>125</v>
      </c>
      <c r="K43" s="241"/>
      <c r="L43" s="1277">
        <v>336</v>
      </c>
      <c r="M43" s="241"/>
      <c r="N43" s="1278">
        <v>4.5</v>
      </c>
      <c r="O43" s="241"/>
      <c r="P43" s="1278">
        <f t="shared" si="5"/>
        <v>25.579271145801744</v>
      </c>
      <c r="Q43" s="1278">
        <f>(32/100)*J43</f>
        <v>40</v>
      </c>
      <c r="R43" s="244">
        <v>8.173</v>
      </c>
      <c r="S43" s="244">
        <v>37.305999999999997</v>
      </c>
      <c r="T43" s="1277">
        <v>106.5</v>
      </c>
      <c r="U43" s="1278">
        <f t="shared" si="12"/>
        <v>13.030710877278844</v>
      </c>
      <c r="V43" s="1278">
        <f t="shared" si="6"/>
        <v>78.091995925588378</v>
      </c>
      <c r="W43" s="1279">
        <v>0.2</v>
      </c>
      <c r="X43" s="1449">
        <v>125</v>
      </c>
      <c r="Y43" s="1277">
        <f t="shared" si="4"/>
        <v>93.265000000000001</v>
      </c>
      <c r="Z43" s="244">
        <f t="shared" si="10"/>
        <v>8.0749239999999993</v>
      </c>
      <c r="AA43" s="244">
        <f t="shared" si="10"/>
        <v>36.858328</v>
      </c>
      <c r="AB43" s="1277">
        <f t="shared" si="10"/>
        <v>105.22199999999999</v>
      </c>
      <c r="AC43" s="244">
        <f>U43</f>
        <v>13.030710877278844</v>
      </c>
      <c r="AD43" s="1277">
        <f>V43</f>
        <v>78.091995925588378</v>
      </c>
      <c r="AE43" s="241">
        <f>(DAY(EOMONTH($AH$17,0))-AH43)</f>
        <v>30</v>
      </c>
      <c r="AF43" s="244">
        <f t="shared" si="2"/>
        <v>242.24771999999999</v>
      </c>
      <c r="AG43" s="1281"/>
      <c r="AI43" s="1282">
        <f t="shared" si="3"/>
        <v>25.579271145801744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692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4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3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695">
        <v>544.70000000000005</v>
      </c>
      <c r="J45" s="241">
        <v>85</v>
      </c>
      <c r="K45" s="241"/>
      <c r="L45" s="1277">
        <v>113</v>
      </c>
      <c r="M45" s="241"/>
      <c r="N45" s="1278">
        <v>3.3</v>
      </c>
      <c r="O45" s="241"/>
      <c r="P45" s="1278">
        <f t="shared" si="5"/>
        <v>44.600538536543063</v>
      </c>
      <c r="Q45" s="1278">
        <f>J45*20/100</f>
        <v>17</v>
      </c>
      <c r="R45" s="244">
        <v>5.266</v>
      </c>
      <c r="S45" s="244">
        <v>19.791</v>
      </c>
      <c r="T45" s="1277">
        <v>23</v>
      </c>
      <c r="U45" s="1278">
        <f t="shared" si="12"/>
        <v>4.3676414736042535</v>
      </c>
      <c r="V45" s="1278">
        <f t="shared" si="6"/>
        <v>73.39194583396494</v>
      </c>
      <c r="W45" s="1279">
        <v>0.2</v>
      </c>
      <c r="X45" s="1316">
        <v>85</v>
      </c>
      <c r="Y45" s="1277">
        <f t="shared" si="4"/>
        <v>116.41764705882353</v>
      </c>
      <c r="Z45" s="244">
        <v>5.0430000000000001</v>
      </c>
      <c r="AA45" s="244">
        <v>18.190999999999999</v>
      </c>
      <c r="AB45" s="1277">
        <v>31</v>
      </c>
      <c r="AC45" s="244">
        <f t="shared" ref="AC45:AD51" si="13">U45</f>
        <v>4.3676414736042535</v>
      </c>
      <c r="AD45" s="1277">
        <f t="shared" si="13"/>
        <v>73.39194583396494</v>
      </c>
      <c r="AE45" s="241">
        <f t="shared" ref="AE45:AE81" si="14">(DAY(EOMONTH($AH$17,0))-AH45)</f>
        <v>30</v>
      </c>
      <c r="AF45" s="244">
        <f t="shared" si="2"/>
        <v>151.29</v>
      </c>
      <c r="AG45" s="1281"/>
      <c r="AI45" s="1282">
        <f t="shared" si="3"/>
        <v>44.600538536543063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695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695">
        <v>553.30999999999995</v>
      </c>
      <c r="J46" s="1695">
        <v>220</v>
      </c>
      <c r="K46" s="1695"/>
      <c r="L46" s="1319">
        <v>419</v>
      </c>
      <c r="M46" s="1695"/>
      <c r="N46" s="1278">
        <v>2.1</v>
      </c>
      <c r="O46" s="1695"/>
      <c r="P46" s="1278">
        <f t="shared" si="5"/>
        <v>14.793297475861904</v>
      </c>
      <c r="Q46" s="1278">
        <f>J46*32/100</f>
        <v>70.400000000000006</v>
      </c>
      <c r="R46" s="244">
        <v>9.7319999999999993</v>
      </c>
      <c r="S46" s="244">
        <v>24.82</v>
      </c>
      <c r="T46" s="1319">
        <v>289</v>
      </c>
      <c r="U46" s="1278">
        <f t="shared" si="12"/>
        <v>29.69584874640362</v>
      </c>
      <c r="V46" s="1278">
        <f t="shared" si="6"/>
        <v>60.789685737308631</v>
      </c>
      <c r="W46" s="1279">
        <v>0.2</v>
      </c>
      <c r="X46" s="1410">
        <v>220</v>
      </c>
      <c r="Y46" s="1277">
        <f t="shared" si="4"/>
        <v>35.255681818181813</v>
      </c>
      <c r="Z46" s="244">
        <f t="shared" ref="Z46:AB55" si="15">R46*0.988</f>
        <v>9.6152159999999984</v>
      </c>
      <c r="AA46" s="244">
        <f t="shared" si="15"/>
        <v>24.52216</v>
      </c>
      <c r="AB46" s="1277">
        <f t="shared" si="15"/>
        <v>285.53199999999998</v>
      </c>
      <c r="AC46" s="244">
        <f t="shared" si="13"/>
        <v>29.69584874640362</v>
      </c>
      <c r="AD46" s="1277">
        <f t="shared" si="13"/>
        <v>60.789685737308631</v>
      </c>
      <c r="AE46" s="241">
        <f t="shared" si="14"/>
        <v>30</v>
      </c>
      <c r="AF46" s="244">
        <f t="shared" si="2"/>
        <v>288.45647999999994</v>
      </c>
      <c r="AG46" s="1285"/>
      <c r="AI46" s="1282">
        <f t="shared" si="3"/>
        <v>14.793297475861904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695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695">
        <v>550.59</v>
      </c>
      <c r="J47" s="1373">
        <v>70</v>
      </c>
      <c r="K47" s="1695"/>
      <c r="L47" s="1277">
        <v>391</v>
      </c>
      <c r="M47" s="1695"/>
      <c r="N47" s="1278">
        <v>0.3</v>
      </c>
      <c r="O47" s="1695"/>
      <c r="P47" s="1278">
        <f t="shared" si="5"/>
        <v>15.238340377655872</v>
      </c>
      <c r="Q47" s="1278">
        <f>RIGHT(H47,(FIND("T",H47,1)-0))*J47/100</f>
        <v>9.8000000000000007</v>
      </c>
      <c r="R47" s="244">
        <v>0.69799999999999995</v>
      </c>
      <c r="S47" s="244">
        <v>1.3819999999999999</v>
      </c>
      <c r="T47" s="1319">
        <v>0</v>
      </c>
      <c r="U47" s="1278">
        <f t="shared" si="12"/>
        <v>0</v>
      </c>
      <c r="V47" s="1278">
        <f t="shared" si="6"/>
        <v>49.493487698986975</v>
      </c>
      <c r="W47" s="1279">
        <v>0.2</v>
      </c>
      <c r="X47" s="1452">
        <v>70</v>
      </c>
      <c r="Y47" s="1277">
        <f t="shared" si="4"/>
        <v>14.102040816326527</v>
      </c>
      <c r="Z47" s="244">
        <f t="shared" si="15"/>
        <v>0.6896239999999999</v>
      </c>
      <c r="AA47" s="244">
        <f t="shared" si="15"/>
        <v>1.365416</v>
      </c>
      <c r="AB47" s="1277">
        <f t="shared" si="15"/>
        <v>0</v>
      </c>
      <c r="AC47" s="244">
        <f t="shared" si="13"/>
        <v>0</v>
      </c>
      <c r="AD47" s="1277">
        <f t="shared" si="13"/>
        <v>49.493487698986975</v>
      </c>
      <c r="AE47" s="241">
        <f t="shared" si="14"/>
        <v>30</v>
      </c>
      <c r="AF47" s="244">
        <f t="shared" si="2"/>
        <v>20.688719999999996</v>
      </c>
      <c r="AG47" s="1285"/>
      <c r="AI47" s="1282">
        <f t="shared" si="3"/>
        <v>15.238340377655872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695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695">
        <v>548.82000000000005</v>
      </c>
      <c r="J48" s="1695">
        <v>60</v>
      </c>
      <c r="K48" s="1695"/>
      <c r="L48" s="1319">
        <v>508</v>
      </c>
      <c r="M48" s="1695"/>
      <c r="N48" s="1278">
        <v>2.2999999999999998</v>
      </c>
      <c r="O48" s="1695"/>
      <c r="P48" s="1278">
        <f t="shared" si="5"/>
        <v>6.0028062216550495</v>
      </c>
      <c r="Q48" s="1278">
        <f>14*J48/100</f>
        <v>8.4</v>
      </c>
      <c r="R48" s="244">
        <v>4.47</v>
      </c>
      <c r="S48" s="244">
        <v>5.8230000000000004</v>
      </c>
      <c r="T48" s="1319">
        <v>13.5</v>
      </c>
      <c r="U48" s="1278">
        <f t="shared" si="12"/>
        <v>3.0201342281879198</v>
      </c>
      <c r="V48" s="1278">
        <f t="shared" si="6"/>
        <v>23.23544564657394</v>
      </c>
      <c r="W48" s="1279">
        <v>0.2</v>
      </c>
      <c r="X48" s="1410">
        <v>60</v>
      </c>
      <c r="Y48" s="1277">
        <f t="shared" si="4"/>
        <v>69.321428571428584</v>
      </c>
      <c r="Z48" s="244">
        <v>4.4539039999999996</v>
      </c>
      <c r="AA48" s="244">
        <v>6.0337160000000001</v>
      </c>
      <c r="AB48" s="1277">
        <v>14.82</v>
      </c>
      <c r="AC48" s="244">
        <f t="shared" si="13"/>
        <v>3.0201342281879198</v>
      </c>
      <c r="AD48" s="1277">
        <f t="shared" si="13"/>
        <v>23.23544564657394</v>
      </c>
      <c r="AE48" s="241">
        <f t="shared" si="14"/>
        <v>30</v>
      </c>
      <c r="AF48" s="244">
        <f t="shared" si="2"/>
        <v>133.61712</v>
      </c>
      <c r="AG48" s="1285"/>
      <c r="AI48" s="1282">
        <f t="shared" si="3"/>
        <v>6.0028062216550495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695">
        <v>538.69000000000005</v>
      </c>
      <c r="J49" s="241">
        <v>100</v>
      </c>
      <c r="K49" s="241"/>
      <c r="L49" s="1277">
        <v>448</v>
      </c>
      <c r="M49" s="241"/>
      <c r="N49" s="1278">
        <v>3.3</v>
      </c>
      <c r="O49" s="241"/>
      <c r="P49" s="1278">
        <f t="shared" si="5"/>
        <v>12.000518631543631</v>
      </c>
      <c r="Q49" s="1278">
        <f>20*J49/100</f>
        <v>20</v>
      </c>
      <c r="R49" s="244">
        <v>4.2240000000000002</v>
      </c>
      <c r="S49" s="244">
        <v>15.347</v>
      </c>
      <c r="T49" s="1277">
        <v>11</v>
      </c>
      <c r="U49" s="1278">
        <f t="shared" si="12"/>
        <v>2.6041666666666665</v>
      </c>
      <c r="V49" s="1278">
        <f t="shared" si="6"/>
        <v>72.476705545057669</v>
      </c>
      <c r="W49" s="1279">
        <v>0.2</v>
      </c>
      <c r="X49" s="1316">
        <v>100</v>
      </c>
      <c r="Y49" s="1277">
        <f t="shared" si="4"/>
        <v>76.734999999999999</v>
      </c>
      <c r="Z49" s="244">
        <f t="shared" si="15"/>
        <v>4.1733120000000001</v>
      </c>
      <c r="AA49" s="244">
        <f t="shared" si="15"/>
        <v>15.162835999999999</v>
      </c>
      <c r="AB49" s="1277">
        <f t="shared" si="15"/>
        <v>10.868</v>
      </c>
      <c r="AC49" s="244">
        <f t="shared" si="13"/>
        <v>2.6041666666666665</v>
      </c>
      <c r="AD49" s="1277">
        <f t="shared" si="13"/>
        <v>72.476705545057669</v>
      </c>
      <c r="AE49" s="241">
        <f t="shared" si="14"/>
        <v>30</v>
      </c>
      <c r="AF49" s="244">
        <f t="shared" si="2"/>
        <v>125.19936</v>
      </c>
      <c r="AG49" s="1285"/>
      <c r="AI49" s="1282">
        <f t="shared" si="3"/>
        <v>12.000518631543631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686</v>
      </c>
      <c r="I50" s="1695">
        <v>572.09</v>
      </c>
      <c r="J50" s="241">
        <v>85</v>
      </c>
      <c r="K50" s="241"/>
      <c r="L50" s="1277">
        <v>390</v>
      </c>
      <c r="M50" s="241"/>
      <c r="N50" s="1278">
        <v>1.3</v>
      </c>
      <c r="O50" s="241"/>
      <c r="P50" s="1278">
        <f t="shared" si="5"/>
        <v>18.811635831377551</v>
      </c>
      <c r="Q50" s="1278">
        <f>20*J50/100</f>
        <v>17</v>
      </c>
      <c r="R50" s="244">
        <v>4.4359999999999999</v>
      </c>
      <c r="S50" s="244">
        <v>14.641999999999999</v>
      </c>
      <c r="T50" s="1277">
        <v>0.5</v>
      </c>
      <c r="U50" s="1278">
        <f t="shared" si="12"/>
        <v>0.1127141568981064</v>
      </c>
      <c r="V50" s="1278">
        <f t="shared" si="6"/>
        <v>69.703592405409097</v>
      </c>
      <c r="W50" s="1279">
        <v>0.3</v>
      </c>
      <c r="X50" s="1316">
        <v>85</v>
      </c>
      <c r="Y50" s="1277">
        <f t="shared" si="4"/>
        <v>86.129411764705878</v>
      </c>
      <c r="Z50" s="244">
        <f t="shared" si="15"/>
        <v>4.3827679999999996</v>
      </c>
      <c r="AA50" s="244">
        <f t="shared" si="15"/>
        <v>14.466296</v>
      </c>
      <c r="AB50" s="1277">
        <f t="shared" si="15"/>
        <v>0.49399999999999999</v>
      </c>
      <c r="AC50" s="244">
        <f t="shared" si="13"/>
        <v>0.1127141568981064</v>
      </c>
      <c r="AD50" s="1277">
        <f t="shared" si="13"/>
        <v>69.703592405409097</v>
      </c>
      <c r="AE50" s="241">
        <f t="shared" si="14"/>
        <v>30</v>
      </c>
      <c r="AF50" s="244">
        <f t="shared" si="2"/>
        <v>131.48303999999999</v>
      </c>
      <c r="AG50" s="1285"/>
      <c r="AH50" s="1252"/>
      <c r="AI50" s="1282">
        <f t="shared" si="3"/>
        <v>18.811635831377551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695" t="s">
        <v>600</v>
      </c>
      <c r="F51" s="241">
        <v>177.8</v>
      </c>
      <c r="G51" s="241" t="s">
        <v>28</v>
      </c>
      <c r="H51" s="1299" t="s">
        <v>687</v>
      </c>
      <c r="I51" s="1695">
        <v>546.08000000000004</v>
      </c>
      <c r="J51" s="241">
        <v>85</v>
      </c>
      <c r="K51" s="241"/>
      <c r="L51" s="1322">
        <v>177</v>
      </c>
      <c r="M51" s="241"/>
      <c r="N51" s="1306">
        <v>3.8</v>
      </c>
      <c r="O51" s="241"/>
      <c r="P51" s="1278">
        <f t="shared" si="5"/>
        <v>39.800786209054685</v>
      </c>
      <c r="Q51" s="1278">
        <v>20</v>
      </c>
      <c r="R51" s="244">
        <v>3.13</v>
      </c>
      <c r="S51" s="244">
        <v>16.815000000000001</v>
      </c>
      <c r="T51" s="1277">
        <v>58</v>
      </c>
      <c r="U51" s="1278">
        <f t="shared" si="12"/>
        <v>18.530351437699682</v>
      </c>
      <c r="V51" s="1278">
        <f t="shared" si="6"/>
        <v>81.385667558727334</v>
      </c>
      <c r="W51" s="1279">
        <v>0.2</v>
      </c>
      <c r="X51" s="1316">
        <v>85</v>
      </c>
      <c r="Y51" s="1277">
        <f t="shared" si="4"/>
        <v>84.075000000000017</v>
      </c>
      <c r="Z51" s="244">
        <f t="shared" si="15"/>
        <v>3.0924399999999999</v>
      </c>
      <c r="AA51" s="244">
        <f t="shared" si="15"/>
        <v>16.613220000000002</v>
      </c>
      <c r="AB51" s="1277">
        <f t="shared" si="15"/>
        <v>57.304000000000002</v>
      </c>
      <c r="AC51" s="244">
        <f t="shared" si="13"/>
        <v>18.530351437699682</v>
      </c>
      <c r="AD51" s="1277">
        <f t="shared" si="13"/>
        <v>81.385667558727334</v>
      </c>
      <c r="AE51" s="241">
        <f t="shared" si="14"/>
        <v>30</v>
      </c>
      <c r="AF51" s="244">
        <f t="shared" si="2"/>
        <v>92.773200000000003</v>
      </c>
      <c r="AG51" s="1285"/>
      <c r="AI51" s="1282">
        <f t="shared" si="3"/>
        <v>39.800786209054685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692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5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695">
        <v>535</v>
      </c>
      <c r="J53" s="1448">
        <v>100</v>
      </c>
      <c r="K53" s="241"/>
      <c r="L53" s="1277">
        <v>482</v>
      </c>
      <c r="M53" s="241"/>
      <c r="N53" s="1278">
        <v>3.9</v>
      </c>
      <c r="O53" s="241"/>
      <c r="P53" s="1278">
        <f t="shared" si="5"/>
        <v>8.9531444725560583</v>
      </c>
      <c r="Q53" s="1278">
        <f>RIGHT(H53,(FIND("T",H53,1)-0))*J53/100</f>
        <v>14</v>
      </c>
      <c r="R53" s="244">
        <v>4.3479999999999999</v>
      </c>
      <c r="S53" s="244">
        <v>12.396000000000001</v>
      </c>
      <c r="T53" s="1277">
        <v>183</v>
      </c>
      <c r="U53" s="1278">
        <f t="shared" si="12"/>
        <v>42.088316467341308</v>
      </c>
      <c r="V53" s="1278">
        <f t="shared" si="6"/>
        <v>64.924169086802209</v>
      </c>
      <c r="W53" s="1279">
        <v>0</v>
      </c>
      <c r="X53" s="1449">
        <v>100</v>
      </c>
      <c r="Y53" s="1277">
        <f t="shared" si="4"/>
        <v>88.542857142857144</v>
      </c>
      <c r="Z53" s="244">
        <f t="shared" si="15"/>
        <v>4.2958239999999996</v>
      </c>
      <c r="AA53" s="244">
        <f t="shared" si="15"/>
        <v>12.247248000000001</v>
      </c>
      <c r="AB53" s="1277">
        <f t="shared" si="15"/>
        <v>180.804</v>
      </c>
      <c r="AC53" s="244">
        <f>U53</f>
        <v>42.088316467341308</v>
      </c>
      <c r="AD53" s="1278">
        <f t="shared" ref="AD53" si="16">(AA53-Z53)/AA53*100</f>
        <v>64.924169086802195</v>
      </c>
      <c r="AE53" s="241">
        <f t="shared" si="14"/>
        <v>30</v>
      </c>
      <c r="AF53" s="244">
        <f t="shared" si="2"/>
        <v>128.87472</v>
      </c>
      <c r="AG53" s="1281"/>
      <c r="AI53" s="1282">
        <f t="shared" si="3"/>
        <v>8.9531444725560583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692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5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695" t="s">
        <v>442</v>
      </c>
      <c r="F55" s="241">
        <v>177.8</v>
      </c>
      <c r="G55" s="241" t="s">
        <v>28</v>
      </c>
      <c r="H55" s="241" t="s">
        <v>687</v>
      </c>
      <c r="I55" s="1695">
        <v>515.54</v>
      </c>
      <c r="J55" s="241">
        <v>95</v>
      </c>
      <c r="K55" s="241"/>
      <c r="L55" s="1277">
        <v>498</v>
      </c>
      <c r="M55" s="241"/>
      <c r="N55" s="1278">
        <v>3.2</v>
      </c>
      <c r="O55" s="241"/>
      <c r="P55" s="1278">
        <f t="shared" si="5"/>
        <v>4.9225442595348552</v>
      </c>
      <c r="Q55" s="1325">
        <f>J55*20/100</f>
        <v>19</v>
      </c>
      <c r="R55" s="244">
        <v>4.5289999999999999</v>
      </c>
      <c r="S55" s="244">
        <v>16.946000000000002</v>
      </c>
      <c r="T55" s="1277">
        <v>15</v>
      </c>
      <c r="U55" s="1278">
        <f t="shared" si="12"/>
        <v>3.3119894016339146</v>
      </c>
      <c r="V55" s="1278">
        <f t="shared" si="6"/>
        <v>73.27392895078485</v>
      </c>
      <c r="W55" s="1279">
        <v>0</v>
      </c>
      <c r="X55" s="1316">
        <v>95</v>
      </c>
      <c r="Y55" s="1277">
        <f t="shared" si="4"/>
        <v>89.189473684210526</v>
      </c>
      <c r="Z55" s="244">
        <f t="shared" si="15"/>
        <v>4.4746519999999999</v>
      </c>
      <c r="AA55" s="244">
        <f t="shared" si="15"/>
        <v>16.742648000000003</v>
      </c>
      <c r="AB55" s="1277">
        <f t="shared" si="15"/>
        <v>14.82</v>
      </c>
      <c r="AC55" s="1278">
        <f t="shared" ref="AC55" si="17">IF(Z55=0,0,AB55/Z55)</f>
        <v>3.3119894016339151</v>
      </c>
      <c r="AD55" s="1278">
        <f t="shared" ref="AD55" si="18">(AA55-Z55)/AA55*100</f>
        <v>73.273928950784864</v>
      </c>
      <c r="AE55" s="241">
        <f t="shared" si="14"/>
        <v>30</v>
      </c>
      <c r="AF55" s="244">
        <f t="shared" si="2"/>
        <v>134.23955999999998</v>
      </c>
      <c r="AG55" s="1281"/>
      <c r="AI55" s="1282">
        <f t="shared" si="3"/>
        <v>4.9225442595348552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692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5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4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3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404</v>
      </c>
      <c r="M57" s="1275"/>
      <c r="N57" s="1278">
        <v>2.9</v>
      </c>
      <c r="O57" s="1275"/>
      <c r="P57" s="1278">
        <f t="shared" si="5"/>
        <v>18.377186312199647</v>
      </c>
      <c r="Q57" s="1278">
        <f>J57*14/100</f>
        <v>10.5</v>
      </c>
      <c r="R57" s="1459">
        <v>5.4690000000000003</v>
      </c>
      <c r="S57" s="244">
        <v>11.683999999999999</v>
      </c>
      <c r="T57" s="1323">
        <v>14</v>
      </c>
      <c r="U57" s="1278">
        <f t="shared" si="12"/>
        <v>2.5598829767782041</v>
      </c>
      <c r="V57" s="1278">
        <f t="shared" ref="V57:V86" si="19">(S57-R57)/S57*100</f>
        <v>53.192399863060594</v>
      </c>
      <c r="W57" s="1460">
        <v>0.2</v>
      </c>
      <c r="X57" s="1453">
        <v>75</v>
      </c>
      <c r="Y57" s="1277">
        <f t="shared" si="4"/>
        <v>111.27619047619046</v>
      </c>
      <c r="Z57" s="244">
        <f t="shared" ref="Z57:AB61" si="20">R57*0.988</f>
        <v>5.4033720000000001</v>
      </c>
      <c r="AA57" s="244">
        <f t="shared" si="20"/>
        <v>11.543792</v>
      </c>
      <c r="AB57" s="1277">
        <f t="shared" si="20"/>
        <v>13.832000000000001</v>
      </c>
      <c r="AC57" s="1459">
        <f t="shared" ref="AC57:AD59" si="21">U57</f>
        <v>2.5598829767782041</v>
      </c>
      <c r="AD57" s="1277">
        <f t="shared" si="21"/>
        <v>53.192399863060594</v>
      </c>
      <c r="AE57" s="241">
        <f t="shared" si="14"/>
        <v>30</v>
      </c>
      <c r="AF57" s="1459">
        <f t="shared" si="2"/>
        <v>162.10115999999999</v>
      </c>
      <c r="AG57" s="1285"/>
      <c r="AI57" s="1282">
        <f t="shared" si="3"/>
        <v>18.377186312199647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696">
        <v>589.64</v>
      </c>
      <c r="J58" s="1448">
        <v>85</v>
      </c>
      <c r="K58" s="241"/>
      <c r="L58" s="1277">
        <v>197</v>
      </c>
      <c r="M58" s="241"/>
      <c r="N58" s="1278">
        <v>2.7</v>
      </c>
      <c r="O58" s="241"/>
      <c r="P58" s="1278">
        <f t="shared" si="5"/>
        <v>41.160384099703926</v>
      </c>
      <c r="Q58" s="1325">
        <f>J58*20/100</f>
        <v>17</v>
      </c>
      <c r="R58" s="244">
        <v>1.4950000000000001</v>
      </c>
      <c r="S58" s="244">
        <v>16.64</v>
      </c>
      <c r="T58" s="1277">
        <v>4</v>
      </c>
      <c r="U58" s="1278">
        <f t="shared" si="12"/>
        <v>2.6755852842809364</v>
      </c>
      <c r="V58" s="1278">
        <f t="shared" si="19"/>
        <v>91.015624999999986</v>
      </c>
      <c r="W58" s="1279">
        <v>0</v>
      </c>
      <c r="X58" s="1449">
        <v>85</v>
      </c>
      <c r="Y58" s="1277">
        <f t="shared" si="4"/>
        <v>97.882352941176478</v>
      </c>
      <c r="Z58" s="244">
        <f t="shared" si="20"/>
        <v>1.47706</v>
      </c>
      <c r="AA58" s="244">
        <f t="shared" si="20"/>
        <v>16.44032</v>
      </c>
      <c r="AB58" s="1277">
        <f t="shared" si="20"/>
        <v>3.952</v>
      </c>
      <c r="AC58" s="1459">
        <f t="shared" si="21"/>
        <v>2.6755852842809364</v>
      </c>
      <c r="AD58" s="1277">
        <f t="shared" si="21"/>
        <v>91.015624999999986</v>
      </c>
      <c r="AE58" s="241">
        <f t="shared" si="14"/>
        <v>30</v>
      </c>
      <c r="AF58" s="244">
        <f t="shared" si="2"/>
        <v>44.311799999999998</v>
      </c>
      <c r="AG58" s="1281"/>
      <c r="AI58" s="1282">
        <f t="shared" si="3"/>
        <v>41.160384099703926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696">
        <v>560.83000000000004</v>
      </c>
      <c r="J59" s="241">
        <v>90</v>
      </c>
      <c r="K59" s="241"/>
      <c r="L59" s="1277">
        <v>283</v>
      </c>
      <c r="M59" s="241"/>
      <c r="N59" s="1278">
        <v>0</v>
      </c>
      <c r="O59" s="241"/>
      <c r="P59" s="1278">
        <f t="shared" si="5"/>
        <v>26.332416860379993</v>
      </c>
      <c r="Q59" s="1325">
        <f>J59*15/100</f>
        <v>13.5</v>
      </c>
      <c r="R59" s="244">
        <v>6.7069999999999999</v>
      </c>
      <c r="S59" s="244">
        <v>15.439</v>
      </c>
      <c r="T59" s="1277">
        <v>9</v>
      </c>
      <c r="U59" s="1278">
        <f t="shared" si="12"/>
        <v>1.3418816162218579</v>
      </c>
      <c r="V59" s="1278">
        <f t="shared" si="19"/>
        <v>56.558067232333698</v>
      </c>
      <c r="W59" s="1279">
        <v>0.2</v>
      </c>
      <c r="X59" s="1316">
        <v>90</v>
      </c>
      <c r="Y59" s="1277">
        <f t="shared" si="4"/>
        <v>114.36296296296295</v>
      </c>
      <c r="Z59" s="244">
        <f t="shared" si="20"/>
        <v>6.6265159999999996</v>
      </c>
      <c r="AA59" s="244">
        <f t="shared" si="20"/>
        <v>15.253731999999999</v>
      </c>
      <c r="AB59" s="1277">
        <f t="shared" si="20"/>
        <v>8.8919999999999995</v>
      </c>
      <c r="AC59" s="244">
        <f t="shared" si="21"/>
        <v>1.3418816162218579</v>
      </c>
      <c r="AD59" s="1277">
        <f t="shared" si="21"/>
        <v>56.558067232333698</v>
      </c>
      <c r="AE59" s="241">
        <f t="shared" si="14"/>
        <v>30</v>
      </c>
      <c r="AF59" s="244">
        <f t="shared" si="2"/>
        <v>198.79548</v>
      </c>
      <c r="AG59" s="1281"/>
      <c r="AI59" s="1282">
        <f t="shared" si="3"/>
        <v>26.332416860379993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692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5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2"/>
        <v>0</v>
      </c>
      <c r="V60" s="1278" t="e">
        <f t="shared" si="19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2"/>
        <v>0</v>
      </c>
      <c r="AG60" s="1281" t="s">
        <v>772</v>
      </c>
      <c r="AI60" s="1282" t="e">
        <f t="shared" si="3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696">
        <v>551.66</v>
      </c>
      <c r="J61" s="241">
        <v>90</v>
      </c>
      <c r="K61" s="241"/>
      <c r="L61" s="1277">
        <v>353</v>
      </c>
      <c r="M61" s="241"/>
      <c r="N61" s="1278">
        <v>2.2999999999999998</v>
      </c>
      <c r="O61" s="241"/>
      <c r="P61" s="1278">
        <f t="shared" si="5"/>
        <v>21.866835148896651</v>
      </c>
      <c r="Q61" s="1278">
        <f>14*J61/100</f>
        <v>12.6</v>
      </c>
      <c r="R61" s="244">
        <v>0.434</v>
      </c>
      <c r="S61" s="244">
        <v>4.6079999999999997</v>
      </c>
      <c r="T61" s="1277">
        <v>4</v>
      </c>
      <c r="U61" s="1278">
        <f t="shared" si="12"/>
        <v>9.216589861751153</v>
      </c>
      <c r="V61" s="1278">
        <f t="shared" si="19"/>
        <v>90.581597222222214</v>
      </c>
      <c r="W61" s="1279">
        <v>0.2</v>
      </c>
      <c r="X61" s="1316">
        <v>90</v>
      </c>
      <c r="Y61" s="1277">
        <f t="shared" si="4"/>
        <v>36.571428571428569</v>
      </c>
      <c r="Z61" s="244">
        <f t="shared" si="20"/>
        <v>0.42879200000000001</v>
      </c>
      <c r="AA61" s="244">
        <f t="shared" si="20"/>
        <v>4.5527039999999994</v>
      </c>
      <c r="AB61" s="1277">
        <f t="shared" si="20"/>
        <v>3.952</v>
      </c>
      <c r="AC61" s="244">
        <f>U61</f>
        <v>9.216589861751153</v>
      </c>
      <c r="AD61" s="1277">
        <f>V61</f>
        <v>90.581597222222214</v>
      </c>
      <c r="AE61" s="241">
        <f t="shared" si="14"/>
        <v>30</v>
      </c>
      <c r="AF61" s="244">
        <f t="shared" si="2"/>
        <v>12.863760000000001</v>
      </c>
      <c r="AG61" s="1281"/>
      <c r="AI61" s="1282">
        <f t="shared" si="3"/>
        <v>21.866835148896651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692">
        <v>506.61000000000013</v>
      </c>
      <c r="J62" s="241"/>
      <c r="K62" s="241"/>
      <c r="L62" s="1319"/>
      <c r="M62" s="1278"/>
      <c r="N62" s="1278"/>
      <c r="O62" s="241"/>
      <c r="P62" s="1278">
        <f t="shared" si="5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4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3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696" t="s">
        <v>692</v>
      </c>
      <c r="F63" s="241">
        <v>177.8</v>
      </c>
      <c r="G63" s="241" t="s">
        <v>28</v>
      </c>
      <c r="H63" s="1299" t="s">
        <v>683</v>
      </c>
      <c r="I63" s="1696">
        <v>545.4</v>
      </c>
      <c r="J63" s="241">
        <v>70</v>
      </c>
      <c r="K63" s="241"/>
      <c r="L63" s="1277">
        <v>30</v>
      </c>
      <c r="M63" s="241"/>
      <c r="N63" s="1278">
        <v>0</v>
      </c>
      <c r="O63" s="241"/>
      <c r="P63" s="1278">
        <f t="shared" si="5"/>
        <v>45.667014037948164</v>
      </c>
      <c r="Q63" s="1278">
        <f>J63*13/100</f>
        <v>9.1</v>
      </c>
      <c r="R63" s="244">
        <v>2.044</v>
      </c>
      <c r="S63" s="244">
        <v>2.407</v>
      </c>
      <c r="T63" s="1277">
        <v>15</v>
      </c>
      <c r="U63" s="1278">
        <f t="shared" si="12"/>
        <v>7.3385518590998045</v>
      </c>
      <c r="V63" s="1278">
        <f t="shared" si="19"/>
        <v>15.081013710012463</v>
      </c>
      <c r="W63" s="1279">
        <v>0.2</v>
      </c>
      <c r="X63" s="1316">
        <v>70</v>
      </c>
      <c r="Y63" s="1277">
        <f t="shared" si="4"/>
        <v>26.450549450549453</v>
      </c>
      <c r="Z63" s="244">
        <f t="shared" ref="Z63:AB75" si="22">R63*0.988</f>
        <v>2.0194719999999999</v>
      </c>
      <c r="AA63" s="244">
        <f t="shared" si="22"/>
        <v>2.3781159999999999</v>
      </c>
      <c r="AB63" s="1277">
        <f t="shared" si="22"/>
        <v>14.82</v>
      </c>
      <c r="AC63" s="244">
        <f t="shared" ref="AC63:AD70" si="23">U63</f>
        <v>7.3385518590998045</v>
      </c>
      <c r="AD63" s="1277">
        <f t="shared" si="23"/>
        <v>15.081013710012463</v>
      </c>
      <c r="AE63" s="241">
        <f t="shared" si="14"/>
        <v>30</v>
      </c>
      <c r="AF63" s="244">
        <f t="shared" si="2"/>
        <v>60.584159999999997</v>
      </c>
      <c r="AG63" s="1281"/>
      <c r="AI63" s="1282">
        <f t="shared" si="3"/>
        <v>45.667014037948164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696">
        <v>674.45</v>
      </c>
      <c r="E64" s="1696" t="s">
        <v>232</v>
      </c>
      <c r="F64" s="241">
        <v>177.8</v>
      </c>
      <c r="G64" s="241" t="s">
        <v>28</v>
      </c>
      <c r="H64" s="1299" t="s">
        <v>464</v>
      </c>
      <c r="I64" s="1696">
        <v>542.6</v>
      </c>
      <c r="J64" s="1696">
        <v>150</v>
      </c>
      <c r="K64" s="1696"/>
      <c r="L64" s="1319">
        <v>487</v>
      </c>
      <c r="M64" s="1696"/>
      <c r="N64" s="1278">
        <v>2.4</v>
      </c>
      <c r="O64" s="1696"/>
      <c r="P64" s="1278">
        <f t="shared" si="5"/>
        <v>7.6903907920233543</v>
      </c>
      <c r="Q64" s="1278">
        <f>RIGHT(H64,(FIND("T",H64,1)-0))*J64/100</f>
        <v>21</v>
      </c>
      <c r="R64" s="244">
        <v>7.1749999999999998</v>
      </c>
      <c r="S64" s="244">
        <v>10.191000000000001</v>
      </c>
      <c r="T64" s="1319">
        <v>18</v>
      </c>
      <c r="U64" s="1278">
        <f t="shared" si="12"/>
        <v>2.5087108013937285</v>
      </c>
      <c r="V64" s="1278">
        <f t="shared" si="19"/>
        <v>29.594740457266223</v>
      </c>
      <c r="W64" s="1279">
        <v>0.2</v>
      </c>
      <c r="X64" s="1410">
        <v>150</v>
      </c>
      <c r="Y64" s="1277">
        <f t="shared" si="4"/>
        <v>48.528571428571432</v>
      </c>
      <c r="Z64" s="244">
        <f t="shared" si="22"/>
        <v>7.0888999999999998</v>
      </c>
      <c r="AA64" s="244">
        <f t="shared" si="22"/>
        <v>10.068708000000001</v>
      </c>
      <c r="AB64" s="1277">
        <f t="shared" si="22"/>
        <v>17.783999999999999</v>
      </c>
      <c r="AC64" s="244">
        <f t="shared" si="23"/>
        <v>2.5087108013937285</v>
      </c>
      <c r="AD64" s="1277">
        <f t="shared" si="23"/>
        <v>29.594740457266223</v>
      </c>
      <c r="AE64" s="241">
        <f t="shared" si="14"/>
        <v>30</v>
      </c>
      <c r="AF64" s="244">
        <f>Z64*AE64</f>
        <v>212.667</v>
      </c>
      <c r="AG64" s="1342"/>
      <c r="AI64" s="1282">
        <f t="shared" si="3"/>
        <v>7.6903907920233543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692">
        <v>678.47</v>
      </c>
      <c r="E65" s="1692" t="s">
        <v>606</v>
      </c>
      <c r="F65" s="241">
        <v>177.8</v>
      </c>
      <c r="G65" s="241" t="s">
        <v>28</v>
      </c>
      <c r="H65" s="1299" t="s">
        <v>466</v>
      </c>
      <c r="I65" s="1692">
        <v>574.4</v>
      </c>
      <c r="J65" s="1373">
        <v>0</v>
      </c>
      <c r="K65" s="1692"/>
      <c r="L65" s="1319">
        <v>0</v>
      </c>
      <c r="M65" s="1692"/>
      <c r="N65" s="1278">
        <v>0</v>
      </c>
      <c r="O65" s="1692"/>
      <c r="P65" s="1278" t="e">
        <f t="shared" si="5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2"/>
        <v>0</v>
      </c>
      <c r="V65" s="1278" t="e">
        <f t="shared" si="19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4">Z65*AE65</f>
        <v>0</v>
      </c>
      <c r="AG65" s="1281" t="s">
        <v>771</v>
      </c>
      <c r="AI65" s="1282" t="e">
        <f t="shared" si="3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696">
        <v>541.12</v>
      </c>
      <c r="J66" s="241">
        <v>175</v>
      </c>
      <c r="K66" s="241"/>
      <c r="L66" s="1277">
        <v>447</v>
      </c>
      <c r="M66" s="241"/>
      <c r="N66" s="1278">
        <v>3.7</v>
      </c>
      <c r="O66" s="241"/>
      <c r="P66" s="1278">
        <f t="shared" si="5"/>
        <v>12.883211165378057</v>
      </c>
      <c r="Q66" s="1278">
        <f>20*J66/100</f>
        <v>35</v>
      </c>
      <c r="R66" s="244">
        <v>6.6840000000000002</v>
      </c>
      <c r="S66" s="244">
        <v>21.295000000000002</v>
      </c>
      <c r="T66" s="1277">
        <v>75</v>
      </c>
      <c r="U66" s="1278">
        <f t="shared" si="12"/>
        <v>11.220825852782765</v>
      </c>
      <c r="V66" s="1278">
        <f t="shared" si="19"/>
        <v>68.612350316975807</v>
      </c>
      <c r="W66" s="1279">
        <v>0.2</v>
      </c>
      <c r="X66" s="1316">
        <v>175</v>
      </c>
      <c r="Y66" s="1277">
        <f t="shared" si="4"/>
        <v>60.842857142857142</v>
      </c>
      <c r="Z66" s="244">
        <f t="shared" si="22"/>
        <v>6.6037920000000003</v>
      </c>
      <c r="AA66" s="244">
        <f t="shared" si="22"/>
        <v>21.039460000000002</v>
      </c>
      <c r="AB66" s="1277">
        <f t="shared" si="22"/>
        <v>74.099999999999994</v>
      </c>
      <c r="AC66" s="244">
        <f t="shared" si="23"/>
        <v>11.220825852782765</v>
      </c>
      <c r="AD66" s="1277">
        <f t="shared" si="23"/>
        <v>68.612350316975807</v>
      </c>
      <c r="AE66" s="241">
        <f t="shared" si="14"/>
        <v>30</v>
      </c>
      <c r="AF66" s="244">
        <f t="shared" si="24"/>
        <v>198.11376000000001</v>
      </c>
      <c r="AG66" s="1285"/>
      <c r="AI66" s="1282">
        <f t="shared" si="3"/>
        <v>12.883211165378057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696">
        <v>521.42999999999995</v>
      </c>
      <c r="J67" s="241">
        <v>300</v>
      </c>
      <c r="K67" s="241"/>
      <c r="L67" s="1277">
        <v>457</v>
      </c>
      <c r="M67" s="241"/>
      <c r="N67" s="1278">
        <v>5.0999999999999996</v>
      </c>
      <c r="O67" s="241"/>
      <c r="P67" s="1278">
        <f t="shared" si="5"/>
        <v>11.152684033073035</v>
      </c>
      <c r="Q67" s="1278">
        <f>J67*14/100</f>
        <v>42</v>
      </c>
      <c r="R67" s="244">
        <v>7.8719999999999999</v>
      </c>
      <c r="S67" s="244">
        <v>12.055</v>
      </c>
      <c r="T67" s="1277">
        <v>329</v>
      </c>
      <c r="U67" s="1278">
        <f t="shared" si="12"/>
        <v>41.793699186991873</v>
      </c>
      <c r="V67" s="1278">
        <f t="shared" si="19"/>
        <v>34.699294898382419</v>
      </c>
      <c r="W67" s="1279">
        <v>0.2</v>
      </c>
      <c r="X67" s="1316">
        <v>300</v>
      </c>
      <c r="Y67" s="1277">
        <f t="shared" si="4"/>
        <v>28.702380952380953</v>
      </c>
      <c r="Z67" s="244">
        <f t="shared" si="22"/>
        <v>7.7775359999999996</v>
      </c>
      <c r="AA67" s="244">
        <f t="shared" si="22"/>
        <v>11.91034</v>
      </c>
      <c r="AB67" s="1277">
        <f t="shared" si="22"/>
        <v>325.05200000000002</v>
      </c>
      <c r="AC67" s="244">
        <f t="shared" si="23"/>
        <v>41.793699186991873</v>
      </c>
      <c r="AD67" s="1277">
        <f t="shared" si="23"/>
        <v>34.699294898382419</v>
      </c>
      <c r="AE67" s="241">
        <f t="shared" si="14"/>
        <v>30</v>
      </c>
      <c r="AF67" s="244">
        <f t="shared" si="24"/>
        <v>233.32607999999999</v>
      </c>
      <c r="AG67" s="1285"/>
      <c r="AI67" s="1282">
        <f t="shared" si="3"/>
        <v>11.152684033073035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696" t="s">
        <v>607</v>
      </c>
      <c r="F68" s="241">
        <v>177.8</v>
      </c>
      <c r="G68" s="241" t="s">
        <v>28</v>
      </c>
      <c r="H68" s="241" t="s">
        <v>464</v>
      </c>
      <c r="I68" s="1696">
        <v>512.28</v>
      </c>
      <c r="J68" s="241">
        <v>175</v>
      </c>
      <c r="K68" s="241"/>
      <c r="L68" s="1277">
        <v>409</v>
      </c>
      <c r="M68" s="241"/>
      <c r="N68" s="1278">
        <v>3.3</v>
      </c>
      <c r="O68" s="241"/>
      <c r="P68" s="1278">
        <f t="shared" si="5"/>
        <v>13.210210024921093</v>
      </c>
      <c r="Q68" s="1278">
        <f>J68*14/100</f>
        <v>24.5</v>
      </c>
      <c r="R68" s="244">
        <v>5.2809999999999997</v>
      </c>
      <c r="S68" s="244">
        <v>11.252000000000001</v>
      </c>
      <c r="T68" s="1277">
        <v>63</v>
      </c>
      <c r="U68" s="1278">
        <f t="shared" si="12"/>
        <v>11.929558795682636</v>
      </c>
      <c r="V68" s="1278">
        <f t="shared" si="19"/>
        <v>53.066121578386074</v>
      </c>
      <c r="W68" s="1279">
        <v>0.2</v>
      </c>
      <c r="X68" s="1316">
        <v>175</v>
      </c>
      <c r="Y68" s="1277">
        <f t="shared" si="4"/>
        <v>45.926530612244896</v>
      </c>
      <c r="Z68" s="244">
        <f t="shared" si="22"/>
        <v>5.2176279999999995</v>
      </c>
      <c r="AA68" s="244">
        <f t="shared" si="22"/>
        <v>11.116976000000001</v>
      </c>
      <c r="AB68" s="1277">
        <f t="shared" si="22"/>
        <v>62.244</v>
      </c>
      <c r="AC68" s="244">
        <f t="shared" si="23"/>
        <v>11.929558795682636</v>
      </c>
      <c r="AD68" s="1277">
        <f t="shared" si="23"/>
        <v>53.066121578386074</v>
      </c>
      <c r="AE68" s="241">
        <f t="shared" si="14"/>
        <v>30</v>
      </c>
      <c r="AF68" s="244">
        <f t="shared" si="24"/>
        <v>156.52883999999997</v>
      </c>
      <c r="AG68" s="1285"/>
      <c r="AI68" s="1282">
        <f t="shared" si="3"/>
        <v>13.210210024921093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696">
        <v>539.28</v>
      </c>
      <c r="J69" s="241">
        <v>100</v>
      </c>
      <c r="K69" s="241"/>
      <c r="L69" s="1277">
        <v>230</v>
      </c>
      <c r="M69" s="241"/>
      <c r="N69" s="1278">
        <v>4.2</v>
      </c>
      <c r="O69" s="241"/>
      <c r="P69" s="1278">
        <f t="shared" si="5"/>
        <v>34.489056190380303</v>
      </c>
      <c r="Q69" s="1278">
        <f>J69*13/100</f>
        <v>13</v>
      </c>
      <c r="R69" s="244">
        <v>0.69099999999999995</v>
      </c>
      <c r="S69" s="244">
        <v>6.9539999999999997</v>
      </c>
      <c r="T69" s="1277">
        <v>8</v>
      </c>
      <c r="U69" s="1278">
        <f t="shared" si="12"/>
        <v>11.577424023154849</v>
      </c>
      <c r="V69" s="1278">
        <f t="shared" si="19"/>
        <v>90.063272936439461</v>
      </c>
      <c r="W69" s="1279">
        <v>0.2</v>
      </c>
      <c r="X69" s="1316">
        <v>100</v>
      </c>
      <c r="Y69" s="1277">
        <f t="shared" si="4"/>
        <v>53.492307692307698</v>
      </c>
      <c r="Z69" s="244">
        <f t="shared" si="22"/>
        <v>0.68270799999999998</v>
      </c>
      <c r="AA69" s="244">
        <f t="shared" si="22"/>
        <v>6.870552</v>
      </c>
      <c r="AB69" s="1277">
        <f t="shared" si="22"/>
        <v>7.9039999999999999</v>
      </c>
      <c r="AC69" s="244">
        <f t="shared" si="23"/>
        <v>11.577424023154849</v>
      </c>
      <c r="AD69" s="1277">
        <f t="shared" si="23"/>
        <v>90.063272936439461</v>
      </c>
      <c r="AE69" s="241">
        <f t="shared" si="14"/>
        <v>30</v>
      </c>
      <c r="AF69" s="244">
        <f>Z69*AE69</f>
        <v>20.48124</v>
      </c>
      <c r="AG69" s="1281"/>
      <c r="AI69" s="1282">
        <f t="shared" si="3"/>
        <v>34.489056190380303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696">
        <v>541.46</v>
      </c>
      <c r="J70" s="241">
        <v>100</v>
      </c>
      <c r="K70" s="241"/>
      <c r="L70" s="1277">
        <v>233</v>
      </c>
      <c r="M70" s="241"/>
      <c r="N70" s="1278">
        <v>5.6</v>
      </c>
      <c r="O70" s="241"/>
      <c r="P70" s="1278">
        <f t="shared" si="5"/>
        <v>35.537987438168521</v>
      </c>
      <c r="Q70" s="1278">
        <f>(32/100)*J70</f>
        <v>32</v>
      </c>
      <c r="R70" s="244">
        <v>5.2359999999999998</v>
      </c>
      <c r="S70" s="244">
        <v>30.577000000000002</v>
      </c>
      <c r="T70" s="1277">
        <v>43</v>
      </c>
      <c r="U70" s="1278">
        <f t="shared" si="12"/>
        <v>8.2123758594346832</v>
      </c>
      <c r="V70" s="1278">
        <f t="shared" si="19"/>
        <v>82.876017921967488</v>
      </c>
      <c r="W70" s="1279">
        <v>0.2</v>
      </c>
      <c r="X70" s="1316">
        <v>100</v>
      </c>
      <c r="Y70" s="1277">
        <f t="shared" si="4"/>
        <v>95.553125000000009</v>
      </c>
      <c r="Z70" s="244">
        <v>6</v>
      </c>
      <c r="AA70" s="244">
        <f t="shared" si="22"/>
        <v>30.210076000000001</v>
      </c>
      <c r="AB70" s="1277">
        <f t="shared" si="22"/>
        <v>42.484000000000002</v>
      </c>
      <c r="AC70" s="244">
        <f>U70</f>
        <v>8.2123758594346832</v>
      </c>
      <c r="AD70" s="1277">
        <f t="shared" si="23"/>
        <v>82.876017921967488</v>
      </c>
      <c r="AE70" s="241">
        <f t="shared" si="14"/>
        <v>30</v>
      </c>
      <c r="AF70" s="244">
        <f t="shared" si="24"/>
        <v>180</v>
      </c>
      <c r="AG70" s="1285"/>
      <c r="AI70" s="1282">
        <f t="shared" si="3"/>
        <v>35.537987438168521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692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5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2"/>
        <v>0</v>
      </c>
      <c r="V71" s="1278" t="e">
        <f t="shared" si="19"/>
        <v>#DIV/0!</v>
      </c>
      <c r="W71" s="1279">
        <v>0</v>
      </c>
      <c r="X71" s="1449">
        <v>0</v>
      </c>
      <c r="Y71" s="1277">
        <f t="shared" si="4"/>
        <v>0</v>
      </c>
      <c r="Z71" s="244">
        <f t="shared" ref="Z71:AA75" si="25">R71*0.988</f>
        <v>0</v>
      </c>
      <c r="AA71" s="244">
        <f t="shared" si="25"/>
        <v>0</v>
      </c>
      <c r="AB71" s="1277">
        <f t="shared" si="22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4"/>
        <v>0</v>
      </c>
      <c r="AG71" s="1281" t="s">
        <v>769</v>
      </c>
      <c r="AI71" s="1282" t="e">
        <f t="shared" si="3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696">
        <v>512.47</v>
      </c>
      <c r="J72" s="1277">
        <v>245</v>
      </c>
      <c r="K72" s="241"/>
      <c r="L72" s="1277">
        <v>461</v>
      </c>
      <c r="M72" s="241"/>
      <c r="N72" s="1278">
        <v>5.2</v>
      </c>
      <c r="O72" s="241"/>
      <c r="P72" s="1278">
        <f t="shared" si="5"/>
        <v>9.9697408923842445</v>
      </c>
      <c r="Q72" s="1278">
        <f>(32*J72)/100</f>
        <v>78.400000000000006</v>
      </c>
      <c r="R72" s="244">
        <v>12.725</v>
      </c>
      <c r="S72" s="244">
        <v>16.2</v>
      </c>
      <c r="T72" s="1277">
        <v>597</v>
      </c>
      <c r="U72" s="1278">
        <f t="shared" si="12"/>
        <v>46.915520628683694</v>
      </c>
      <c r="V72" s="1278">
        <f t="shared" si="19"/>
        <v>21.450617283950617</v>
      </c>
      <c r="W72" s="1279">
        <v>0.2</v>
      </c>
      <c r="X72" s="1454">
        <v>245</v>
      </c>
      <c r="Y72" s="1277">
        <f t="shared" si="4"/>
        <v>20.663265306122447</v>
      </c>
      <c r="Z72" s="244">
        <f t="shared" si="25"/>
        <v>12.5723</v>
      </c>
      <c r="AA72" s="244">
        <f t="shared" si="25"/>
        <v>16.005599999999998</v>
      </c>
      <c r="AB72" s="1277">
        <f t="shared" si="22"/>
        <v>589.83600000000001</v>
      </c>
      <c r="AC72" s="244">
        <f>U72</f>
        <v>46.915520628683694</v>
      </c>
      <c r="AD72" s="1277">
        <f>V72</f>
        <v>21.450617283950617</v>
      </c>
      <c r="AE72" s="241">
        <f t="shared" si="14"/>
        <v>30</v>
      </c>
      <c r="AF72" s="244">
        <f t="shared" si="24"/>
        <v>377.16899999999998</v>
      </c>
      <c r="AG72" s="1281"/>
      <c r="AI72" s="1282">
        <f t="shared" si="3"/>
        <v>9.9697408923842445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696">
        <v>507.46</v>
      </c>
      <c r="J73" s="1448">
        <v>70</v>
      </c>
      <c r="K73" s="241"/>
      <c r="L73" s="1277">
        <v>508</v>
      </c>
      <c r="M73" s="241"/>
      <c r="N73" s="1278">
        <v>6.4</v>
      </c>
      <c r="O73" s="241"/>
      <c r="P73" s="1278">
        <f t="shared" si="5"/>
        <v>6.6530988778185627</v>
      </c>
      <c r="Q73" s="1278">
        <f>J73*32/100</f>
        <v>22.4</v>
      </c>
      <c r="R73" s="244">
        <v>8.5869999999999997</v>
      </c>
      <c r="S73" s="244">
        <v>10.154999999999999</v>
      </c>
      <c r="T73" s="1277">
        <v>107</v>
      </c>
      <c r="U73" s="1278">
        <f t="shared" si="12"/>
        <v>12.460696401537207</v>
      </c>
      <c r="V73" s="1278">
        <f t="shared" si="19"/>
        <v>15.440669620876413</v>
      </c>
      <c r="W73" s="1279">
        <v>0.2</v>
      </c>
      <c r="X73" s="1449">
        <v>70</v>
      </c>
      <c r="Y73" s="1277">
        <f t="shared" si="4"/>
        <v>45.334821428571431</v>
      </c>
      <c r="Z73" s="244">
        <f t="shared" si="25"/>
        <v>8.4839559999999992</v>
      </c>
      <c r="AA73" s="244">
        <f t="shared" si="25"/>
        <v>10.03314</v>
      </c>
      <c r="AB73" s="1277">
        <f t="shared" si="22"/>
        <v>105.71599999999999</v>
      </c>
      <c r="AC73" s="244">
        <v>20</v>
      </c>
      <c r="AD73" s="1277">
        <v>17</v>
      </c>
      <c r="AE73" s="241">
        <f t="shared" si="14"/>
        <v>30</v>
      </c>
      <c r="AF73" s="244">
        <f t="shared" si="24"/>
        <v>254.51867999999996</v>
      </c>
      <c r="AG73" s="1281"/>
      <c r="AI73" s="1282">
        <f t="shared" si="3"/>
        <v>6.6530988778185627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696">
        <v>549.1</v>
      </c>
      <c r="J74" s="1448">
        <v>185</v>
      </c>
      <c r="K74" s="241"/>
      <c r="L74" s="1277">
        <v>435</v>
      </c>
      <c r="M74" s="241"/>
      <c r="N74" s="1278">
        <v>7.7</v>
      </c>
      <c r="O74" s="241"/>
      <c r="P74" s="1278">
        <f t="shared" si="5"/>
        <v>18.555565445325708</v>
      </c>
      <c r="Q74" s="1278">
        <f>LEFT(H74,(FIND("E",H74,1)-1))*J74/100</f>
        <v>40.700000000000003</v>
      </c>
      <c r="R74" s="244">
        <v>11.737</v>
      </c>
      <c r="S74" s="244">
        <v>26.190999999999999</v>
      </c>
      <c r="T74" s="1277">
        <v>419</v>
      </c>
      <c r="U74" s="1278">
        <f t="shared" si="12"/>
        <v>35.699071312941975</v>
      </c>
      <c r="V74" s="1278">
        <f t="shared" si="19"/>
        <v>55.186896262074761</v>
      </c>
      <c r="W74" s="1279">
        <v>0.2</v>
      </c>
      <c r="X74" s="1449">
        <v>185</v>
      </c>
      <c r="Y74" s="1277">
        <f t="shared" si="4"/>
        <v>64.351351351351354</v>
      </c>
      <c r="Z74" s="244">
        <f t="shared" si="25"/>
        <v>11.596156000000001</v>
      </c>
      <c r="AA74" s="244">
        <f t="shared" si="25"/>
        <v>25.876707999999997</v>
      </c>
      <c r="AB74" s="1277">
        <f t="shared" si="22"/>
        <v>413.97199999999998</v>
      </c>
      <c r="AC74" s="244">
        <f>U74</f>
        <v>35.699071312941975</v>
      </c>
      <c r="AD74" s="1277">
        <f>V74</f>
        <v>55.186896262074761</v>
      </c>
      <c r="AE74" s="241">
        <f t="shared" si="14"/>
        <v>30</v>
      </c>
      <c r="AF74" s="244">
        <f t="shared" si="24"/>
        <v>347.88468</v>
      </c>
      <c r="AG74" s="1285"/>
      <c r="AI74" s="1282">
        <f t="shared" si="3"/>
        <v>18.555565445325708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696">
        <v>542.46</v>
      </c>
      <c r="J75" s="1448">
        <v>85</v>
      </c>
      <c r="K75" s="241"/>
      <c r="L75" s="1277">
        <v>311</v>
      </c>
      <c r="M75" s="241"/>
      <c r="N75" s="1278">
        <v>3.7</v>
      </c>
      <c r="O75" s="241"/>
      <c r="P75" s="1278">
        <f t="shared" si="5"/>
        <v>25.532985301850388</v>
      </c>
      <c r="Q75" s="1278">
        <f>(20/100)*J75</f>
        <v>17</v>
      </c>
      <c r="R75" s="244">
        <v>7.673</v>
      </c>
      <c r="S75" s="244">
        <v>18.224</v>
      </c>
      <c r="T75" s="1277">
        <v>105</v>
      </c>
      <c r="U75" s="1278">
        <f t="shared" si="12"/>
        <v>13.684347712759026</v>
      </c>
      <c r="V75" s="1278">
        <f t="shared" si="19"/>
        <v>57.896180860403867</v>
      </c>
      <c r="W75" s="1279">
        <v>0.2</v>
      </c>
      <c r="X75" s="1449">
        <v>85</v>
      </c>
      <c r="Y75" s="1277">
        <f t="shared" si="4"/>
        <v>107.2</v>
      </c>
      <c r="Z75" s="244">
        <f t="shared" si="25"/>
        <v>7.5809239999999996</v>
      </c>
      <c r="AA75" s="244">
        <f t="shared" si="25"/>
        <v>18.005312</v>
      </c>
      <c r="AB75" s="1277">
        <f t="shared" si="22"/>
        <v>103.74</v>
      </c>
      <c r="AC75" s="244">
        <f>U75</f>
        <v>13.684347712759026</v>
      </c>
      <c r="AD75" s="1277">
        <f>V75</f>
        <v>57.896180860403867</v>
      </c>
      <c r="AE75" s="241">
        <f t="shared" si="14"/>
        <v>30</v>
      </c>
      <c r="AF75" s="244">
        <f t="shared" si="24"/>
        <v>227.42771999999999</v>
      </c>
      <c r="AG75" s="1285"/>
      <c r="AI75" s="1282">
        <f t="shared" si="3"/>
        <v>25.532985301850388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692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5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4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3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696">
        <v>560.02</v>
      </c>
      <c r="J77" s="1448">
        <v>180</v>
      </c>
      <c r="K77" s="241"/>
      <c r="L77" s="1277">
        <v>166</v>
      </c>
      <c r="M77" s="241"/>
      <c r="N77" s="1278">
        <v>0.3</v>
      </c>
      <c r="O77" s="241"/>
      <c r="P77" s="1278">
        <f t="shared" si="5"/>
        <v>38.394936494324142</v>
      </c>
      <c r="Q77" s="1278">
        <f>(20*J77)/100</f>
        <v>36</v>
      </c>
      <c r="R77" s="244">
        <v>1.796</v>
      </c>
      <c r="S77" s="244">
        <v>7.9909999999999997</v>
      </c>
      <c r="T77" s="1277">
        <v>48</v>
      </c>
      <c r="U77" s="1278">
        <f t="shared" si="12"/>
        <v>26.726057906458795</v>
      </c>
      <c r="V77" s="1278">
        <f t="shared" si="19"/>
        <v>77.524715304717802</v>
      </c>
      <c r="W77" s="1279">
        <v>0</v>
      </c>
      <c r="X77" s="1449">
        <v>180</v>
      </c>
      <c r="Y77" s="1277">
        <f t="shared" si="4"/>
        <v>22.197222222222219</v>
      </c>
      <c r="Z77" s="244">
        <f t="shared" ref="Z77:AB82" si="26">R77*0.988</f>
        <v>1.774448</v>
      </c>
      <c r="AA77" s="244">
        <f t="shared" si="26"/>
        <v>7.8951079999999996</v>
      </c>
      <c r="AB77" s="1277">
        <f t="shared" si="26"/>
        <v>47.423999999999999</v>
      </c>
      <c r="AC77" s="244">
        <f t="shared" ref="AC77:AD81" si="27">U77</f>
        <v>26.726057906458795</v>
      </c>
      <c r="AD77" s="1277">
        <f t="shared" si="27"/>
        <v>77.524715304717802</v>
      </c>
      <c r="AE77" s="241">
        <f t="shared" si="14"/>
        <v>30</v>
      </c>
      <c r="AF77" s="244">
        <f t="shared" ref="AF77:AF83" si="28">Z77*AE77</f>
        <v>53.233440000000002</v>
      </c>
      <c r="AG77" s="1281"/>
      <c r="AI77" s="1282">
        <f t="shared" si="3"/>
        <v>38.394936494324142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696">
        <v>531.27</v>
      </c>
      <c r="J78" s="1448">
        <v>200</v>
      </c>
      <c r="K78" s="241"/>
      <c r="L78" s="1277">
        <v>295</v>
      </c>
      <c r="M78" s="241"/>
      <c r="N78" s="1278">
        <v>6.7</v>
      </c>
      <c r="O78" s="241"/>
      <c r="P78" s="1278">
        <f t="shared" si="5"/>
        <v>29.170001556194897</v>
      </c>
      <c r="Q78" s="1278">
        <f>(32*J78)/100</f>
        <v>64</v>
      </c>
      <c r="R78" s="244">
        <v>14.986000000000001</v>
      </c>
      <c r="S78" s="244">
        <v>42.756999999999998</v>
      </c>
      <c r="T78" s="1277">
        <v>192</v>
      </c>
      <c r="U78" s="1278">
        <f t="shared" si="12"/>
        <v>12.811957827305484</v>
      </c>
      <c r="V78" s="1278">
        <f t="shared" si="19"/>
        <v>64.950768295249901</v>
      </c>
      <c r="W78" s="1279">
        <v>0.2</v>
      </c>
      <c r="X78" s="1449">
        <v>200</v>
      </c>
      <c r="Y78" s="1277">
        <f t="shared" si="4"/>
        <v>66.807812499999997</v>
      </c>
      <c r="Z78" s="244">
        <f t="shared" si="26"/>
        <v>14.806168000000001</v>
      </c>
      <c r="AA78" s="244">
        <f t="shared" si="26"/>
        <v>42.243915999999999</v>
      </c>
      <c r="AB78" s="1277">
        <f t="shared" si="26"/>
        <v>189.696</v>
      </c>
      <c r="AC78" s="244">
        <f t="shared" si="27"/>
        <v>12.811957827305484</v>
      </c>
      <c r="AD78" s="1277">
        <f t="shared" si="27"/>
        <v>64.950768295249901</v>
      </c>
      <c r="AE78" s="241">
        <f t="shared" si="14"/>
        <v>30</v>
      </c>
      <c r="AF78" s="244">
        <f t="shared" si="28"/>
        <v>444.18504000000001</v>
      </c>
      <c r="AG78" s="1285"/>
      <c r="AI78" s="1282">
        <f t="shared" si="3"/>
        <v>29.170001556194897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692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5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12"/>
        <v>0</v>
      </c>
      <c r="V79" s="1278" t="e">
        <f t="shared" si="19"/>
        <v>#DIV/0!</v>
      </c>
      <c r="W79" s="1279">
        <v>0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28"/>
        <v>0</v>
      </c>
      <c r="AG79" s="1281" t="s">
        <v>772</v>
      </c>
      <c r="AI79" s="1282" t="e">
        <f t="shared" si="3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696">
        <v>572.76</v>
      </c>
      <c r="J80" s="1448">
        <v>150</v>
      </c>
      <c r="K80" s="241"/>
      <c r="L80" s="1277">
        <v>336</v>
      </c>
      <c r="M80" s="241"/>
      <c r="N80" s="1278">
        <v>6</v>
      </c>
      <c r="O80" s="241"/>
      <c r="P80" s="1278">
        <f t="shared" si="5"/>
        <v>25.584388227610095</v>
      </c>
      <c r="Q80" s="1278">
        <f>(32/100)*J80</f>
        <v>48</v>
      </c>
      <c r="R80" s="244">
        <v>11.065</v>
      </c>
      <c r="S80" s="244">
        <v>12.125999999999999</v>
      </c>
      <c r="T80" s="1277">
        <v>637</v>
      </c>
      <c r="U80" s="1278">
        <f t="shared" si="12"/>
        <v>57.568910980569363</v>
      </c>
      <c r="V80" s="1278">
        <f t="shared" si="19"/>
        <v>8.7497938314365822</v>
      </c>
      <c r="W80" s="1279">
        <v>0.2</v>
      </c>
      <c r="X80" s="1449">
        <v>150</v>
      </c>
      <c r="Y80" s="1277">
        <f t="shared" si="4"/>
        <v>25.262499999999999</v>
      </c>
      <c r="Z80" s="244">
        <f t="shared" si="26"/>
        <v>10.932219999999999</v>
      </c>
      <c r="AA80" s="244">
        <f t="shared" si="26"/>
        <v>11.980487999999999</v>
      </c>
      <c r="AB80" s="1277">
        <f t="shared" si="26"/>
        <v>629.35599999999999</v>
      </c>
      <c r="AC80" s="244">
        <f t="shared" si="27"/>
        <v>57.568910980569363</v>
      </c>
      <c r="AD80" s="1277">
        <f t="shared" si="27"/>
        <v>8.7497938314365822</v>
      </c>
      <c r="AE80" s="241">
        <f t="shared" si="14"/>
        <v>30</v>
      </c>
      <c r="AF80" s="244">
        <f t="shared" si="28"/>
        <v>327.96659999999997</v>
      </c>
      <c r="AG80" s="1285"/>
      <c r="AI80" s="1282">
        <f t="shared" si="3"/>
        <v>25.584388227610095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696">
        <v>664.19</v>
      </c>
      <c r="J81" s="1448">
        <v>165</v>
      </c>
      <c r="K81" s="241"/>
      <c r="L81" s="1277">
        <v>36</v>
      </c>
      <c r="M81" s="241"/>
      <c r="N81" s="1278">
        <v>0.7</v>
      </c>
      <c r="O81" s="241"/>
      <c r="P81" s="1278">
        <f t="shared" si="5"/>
        <v>56.844395787802569</v>
      </c>
      <c r="Q81" s="1278">
        <f>14*J81/100</f>
        <v>23.1</v>
      </c>
      <c r="R81" s="244">
        <v>4.851</v>
      </c>
      <c r="S81" s="244">
        <v>5.3339999999999996</v>
      </c>
      <c r="T81" s="1277">
        <v>464</v>
      </c>
      <c r="U81" s="1278">
        <f t="shared" si="12"/>
        <v>95.650381364667084</v>
      </c>
      <c r="V81" s="1278">
        <f t="shared" si="19"/>
        <v>9.0551181102362133</v>
      </c>
      <c r="W81" s="1279">
        <v>0.2</v>
      </c>
      <c r="X81" s="1449">
        <v>165</v>
      </c>
      <c r="Y81" s="1277">
        <f t="shared" si="4"/>
        <v>23.090909090909086</v>
      </c>
      <c r="Z81" s="244">
        <f t="shared" si="26"/>
        <v>4.7927879999999998</v>
      </c>
      <c r="AA81" s="244">
        <f t="shared" si="26"/>
        <v>5.2699919999999993</v>
      </c>
      <c r="AB81" s="1277">
        <f t="shared" si="26"/>
        <v>458.43200000000002</v>
      </c>
      <c r="AC81" s="244">
        <f t="shared" si="27"/>
        <v>95.650381364667084</v>
      </c>
      <c r="AD81" s="1277">
        <f t="shared" si="27"/>
        <v>9.0551181102362133</v>
      </c>
      <c r="AE81" s="241">
        <f t="shared" si="14"/>
        <v>30</v>
      </c>
      <c r="AF81" s="244">
        <f t="shared" si="28"/>
        <v>143.78363999999999</v>
      </c>
      <c r="AG81" s="1281"/>
      <c r="AI81" s="1282">
        <f t="shared" si="3"/>
        <v>56.844395787802569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692">
        <v>700</v>
      </c>
      <c r="E82" s="1692" t="s">
        <v>547</v>
      </c>
      <c r="F82" s="241">
        <v>177.8</v>
      </c>
      <c r="G82" s="241" t="s">
        <v>28</v>
      </c>
      <c r="H82" s="241" t="s">
        <v>464</v>
      </c>
      <c r="I82" s="1692">
        <v>608.22</v>
      </c>
      <c r="J82" s="1692">
        <v>0</v>
      </c>
      <c r="K82" s="1692"/>
      <c r="L82" s="1319">
        <v>0</v>
      </c>
      <c r="M82" s="1692"/>
      <c r="N82" s="1278">
        <v>0</v>
      </c>
      <c r="O82" s="1692"/>
      <c r="P82" s="1278">
        <f t="shared" si="5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4"/>
        <v>0</v>
      </c>
      <c r="Z82" s="244">
        <f t="shared" si="26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692">
        <v>619.66</v>
      </c>
      <c r="E83" s="1692" t="s">
        <v>613</v>
      </c>
      <c r="F83" s="241">
        <v>177.8</v>
      </c>
      <c r="G83" s="241" t="s">
        <v>28</v>
      </c>
      <c r="H83" s="1299" t="s">
        <v>687</v>
      </c>
      <c r="I83" s="1692">
        <v>595.26</v>
      </c>
      <c r="J83" s="1692">
        <v>0</v>
      </c>
      <c r="K83" s="1692"/>
      <c r="L83" s="1319">
        <v>0</v>
      </c>
      <c r="M83" s="1692"/>
      <c r="N83" s="1278">
        <v>0</v>
      </c>
      <c r="O83" s="1692"/>
      <c r="P83" s="1278" t="e">
        <f t="shared" si="5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2"/>
        <v>0</v>
      </c>
      <c r="V83" s="1278" t="e">
        <f t="shared" si="19"/>
        <v>#DIV/0!</v>
      </c>
      <c r="W83" s="1279">
        <v>0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28"/>
        <v>0</v>
      </c>
      <c r="AG83" s="1281" t="s">
        <v>780</v>
      </c>
      <c r="AI83" s="1282" t="e">
        <f t="shared" ref="AI83:AI86" si="29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692">
        <v>689.4</v>
      </c>
      <c r="E84" s="1692" t="s">
        <v>616</v>
      </c>
      <c r="F84" s="241">
        <v>177.8</v>
      </c>
      <c r="G84" s="241" t="s">
        <v>28</v>
      </c>
      <c r="H84" s="1299" t="s">
        <v>466</v>
      </c>
      <c r="I84" s="1692">
        <v>604.96</v>
      </c>
      <c r="J84" s="1692">
        <v>0</v>
      </c>
      <c r="K84" s="1692"/>
      <c r="L84" s="1319"/>
      <c r="M84" s="1692"/>
      <c r="N84" s="1278"/>
      <c r="O84" s="1692"/>
      <c r="P84" s="1278">
        <f t="shared" si="5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0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9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696">
        <v>577.12</v>
      </c>
      <c r="E85" s="1696" t="s">
        <v>614</v>
      </c>
      <c r="F85" s="241">
        <v>177.8</v>
      </c>
      <c r="G85" s="241" t="s">
        <v>28</v>
      </c>
      <c r="H85" s="1299" t="s">
        <v>687</v>
      </c>
      <c r="I85" s="1696">
        <v>536.02</v>
      </c>
      <c r="J85" s="1696">
        <v>85</v>
      </c>
      <c r="K85" s="1696"/>
      <c r="L85" s="1319">
        <v>500</v>
      </c>
      <c r="M85" s="1696"/>
      <c r="N85" s="1278">
        <v>0</v>
      </c>
      <c r="O85" s="1696"/>
      <c r="P85" s="1278">
        <f t="shared" ref="P85:P86" si="31">AI85</f>
        <v>3.6806009243652729</v>
      </c>
      <c r="Q85" s="1278">
        <f>RIGHT(H85,(FIND("T",H85,1)-0))*J85/100</f>
        <v>17</v>
      </c>
      <c r="R85" s="244">
        <v>2.407</v>
      </c>
      <c r="S85" s="244">
        <v>5.5359999999999996</v>
      </c>
      <c r="T85" s="1319">
        <v>5.5</v>
      </c>
      <c r="U85" s="244">
        <f t="shared" ref="U85" si="32">IF(R85=0,0,T85/R85)</f>
        <v>2.2850020772746156</v>
      </c>
      <c r="V85" s="1278">
        <f t="shared" si="19"/>
        <v>56.520953757225435</v>
      </c>
      <c r="W85" s="1279">
        <v>0.2</v>
      </c>
      <c r="X85" s="1410">
        <v>85</v>
      </c>
      <c r="Y85" s="1277">
        <f t="shared" si="30"/>
        <v>32.564705882352939</v>
      </c>
      <c r="Z85" s="244">
        <f t="shared" ref="Z85:AB86" si="33">R85*0.988</f>
        <v>2.3781159999999999</v>
      </c>
      <c r="AA85" s="244">
        <f t="shared" si="33"/>
        <v>5.4695679999999998</v>
      </c>
      <c r="AB85" s="1277">
        <f t="shared" si="33"/>
        <v>5.4340000000000002</v>
      </c>
      <c r="AC85" s="244">
        <f t="shared" ref="AC85:AD85" si="34">U85</f>
        <v>2.2850020772746156</v>
      </c>
      <c r="AD85" s="1277">
        <f t="shared" si="34"/>
        <v>56.520953757225435</v>
      </c>
      <c r="AE85" s="241">
        <v>30</v>
      </c>
      <c r="AF85" s="244">
        <f>Z85*AE85</f>
        <v>71.34348</v>
      </c>
      <c r="AG85" s="1281"/>
      <c r="AI85" s="1282">
        <f t="shared" si="29"/>
        <v>3.6806009243652729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692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1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2"/>
        <v>0</v>
      </c>
      <c r="V86" s="1278" t="e">
        <f t="shared" si="19"/>
        <v>#DIV/0!</v>
      </c>
      <c r="W86" s="1279">
        <v>0</v>
      </c>
      <c r="X86" s="1449">
        <v>0</v>
      </c>
      <c r="Y86" s="1277">
        <f t="shared" si="30"/>
        <v>0</v>
      </c>
      <c r="Z86" s="244">
        <f t="shared" si="33"/>
        <v>0</v>
      </c>
      <c r="AA86" s="244">
        <f t="shared" si="33"/>
        <v>0</v>
      </c>
      <c r="AB86" s="1277">
        <f t="shared" si="33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9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692"/>
      <c r="E87" s="1692"/>
      <c r="F87" s="1274"/>
      <c r="G87" s="241"/>
      <c r="H87" s="241"/>
      <c r="I87" s="1692"/>
      <c r="J87" s="1692"/>
      <c r="K87" s="1692"/>
      <c r="L87" s="1692"/>
      <c r="M87" s="1692"/>
      <c r="N87" s="241"/>
      <c r="O87" s="1692"/>
      <c r="P87" s="1278"/>
      <c r="Q87" s="1269"/>
      <c r="R87" s="1348">
        <f>SUM(R19:R86)</f>
        <v>272.13900000000001</v>
      </c>
      <c r="S87" s="1348">
        <f>SUM(S19:S86)</f>
        <v>712.30199999999968</v>
      </c>
      <c r="T87" s="1349">
        <f>SUM(T19:T86)</f>
        <v>5412.6819999999998</v>
      </c>
      <c r="U87" s="1348">
        <f>T87/R87</f>
        <v>19.889402107011488</v>
      </c>
      <c r="V87" s="1348"/>
      <c r="W87" s="1350"/>
      <c r="X87" s="1410"/>
      <c r="Y87" s="1348"/>
      <c r="Z87" s="1348">
        <f>SUM(Z19:Z86)</f>
        <v>269.24946799999998</v>
      </c>
      <c r="AA87" s="1348">
        <f>SUM(AA19:AA86)</f>
        <v>702.70836400000007</v>
      </c>
      <c r="AB87" s="1351">
        <f>SUM(AB19:AB86)</f>
        <v>5365.595816</v>
      </c>
      <c r="AC87" s="1348">
        <f>AB87/Z87</f>
        <v>19.92797183911242</v>
      </c>
      <c r="AD87" s="1348"/>
      <c r="AE87" s="1302"/>
      <c r="AF87" s="1348">
        <f>SUM(AF19:AF86)</f>
        <v>8077.4840400000012</v>
      </c>
      <c r="AG87" s="1281"/>
      <c r="AI87" s="1282"/>
    </row>
    <row r="88" spans="1:38" ht="18.75" customHeight="1" x14ac:dyDescent="0.2">
      <c r="A88" s="1347"/>
      <c r="B88" s="241"/>
      <c r="C88" s="241"/>
      <c r="D88" s="1692"/>
      <c r="E88" s="1692"/>
      <c r="F88" s="1274"/>
      <c r="G88" s="241"/>
      <c r="H88" s="241"/>
      <c r="I88" s="1692"/>
      <c r="J88" s="1692"/>
      <c r="K88" s="1692"/>
      <c r="L88" s="1692"/>
      <c r="M88" s="1692"/>
      <c r="N88" s="241"/>
      <c r="O88" s="1692"/>
      <c r="P88" s="1278"/>
      <c r="Q88" s="1269"/>
      <c r="R88" s="1348"/>
      <c r="S88" s="1348"/>
      <c r="T88" s="1349">
        <f>S87-R87</f>
        <v>440.16299999999967</v>
      </c>
      <c r="U88" s="1348"/>
      <c r="V88" s="1348"/>
      <c r="W88" s="1350"/>
      <c r="X88" s="1410"/>
      <c r="Y88" s="1348"/>
      <c r="Z88" s="1348"/>
      <c r="AA88" s="1352">
        <f>AA87-Z87</f>
        <v>433.4588960000001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692"/>
      <c r="E89" s="1691" t="s">
        <v>388</v>
      </c>
      <c r="F89" s="1274"/>
      <c r="G89" s="241"/>
      <c r="H89" s="241"/>
      <c r="I89" s="1692"/>
      <c r="J89" s="1692"/>
      <c r="K89" s="1692"/>
      <c r="L89" s="1692"/>
      <c r="M89" s="1692"/>
      <c r="N89" s="241"/>
      <c r="O89" s="1692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692">
        <v>737.21</v>
      </c>
      <c r="E90" s="1692" t="s">
        <v>507</v>
      </c>
      <c r="F90" s="241">
        <v>177.8</v>
      </c>
      <c r="G90" s="241" t="s">
        <v>28</v>
      </c>
      <c r="H90" s="1354" t="s">
        <v>466</v>
      </c>
      <c r="I90" s="1692">
        <v>680.94</v>
      </c>
      <c r="J90" s="1692"/>
      <c r="K90" s="1692"/>
      <c r="L90" s="1692"/>
      <c r="M90" s="1692"/>
      <c r="N90" s="241"/>
      <c r="O90" s="1692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5">R90*0.988</f>
        <v>0</v>
      </c>
      <c r="AA90" s="244">
        <f t="shared" si="35"/>
        <v>0</v>
      </c>
      <c r="AB90" s="1277">
        <f t="shared" si="35"/>
        <v>0</v>
      </c>
      <c r="AC90" s="244">
        <f t="shared" ref="AC90:AD93" si="36">U90</f>
        <v>0</v>
      </c>
      <c r="AD90" s="244">
        <f t="shared" si="36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692">
        <v>695.15</v>
      </c>
      <c r="E91" s="1692" t="s">
        <v>508</v>
      </c>
      <c r="F91" s="1274">
        <v>177.8</v>
      </c>
      <c r="G91" s="241" t="s">
        <v>28</v>
      </c>
      <c r="H91" s="241" t="s">
        <v>491</v>
      </c>
      <c r="I91" s="1692">
        <v>658.9</v>
      </c>
      <c r="J91" s="1692"/>
      <c r="K91" s="1692"/>
      <c r="L91" s="1692"/>
      <c r="M91" s="1692"/>
      <c r="N91" s="241"/>
      <c r="O91" s="1692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5"/>
        <v>0</v>
      </c>
      <c r="AA91" s="244">
        <f t="shared" si="35"/>
        <v>0</v>
      </c>
      <c r="AB91" s="1277">
        <f t="shared" si="35"/>
        <v>0</v>
      </c>
      <c r="AC91" s="244">
        <f t="shared" si="36"/>
        <v>0</v>
      </c>
      <c r="AD91" s="244">
        <f t="shared" si="36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692">
        <v>685.69</v>
      </c>
      <c r="E92" s="1692" t="s">
        <v>579</v>
      </c>
      <c r="F92" s="241">
        <v>177.8</v>
      </c>
      <c r="G92" s="241" t="s">
        <v>28</v>
      </c>
      <c r="H92" s="1299" t="s">
        <v>466</v>
      </c>
      <c r="I92" s="1692">
        <v>639.97</v>
      </c>
      <c r="J92" s="1692"/>
      <c r="K92" s="1692"/>
      <c r="L92" s="1692"/>
      <c r="M92" s="1692"/>
      <c r="N92" s="241"/>
      <c r="O92" s="1692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5"/>
        <v>0</v>
      </c>
      <c r="AA92" s="244">
        <f t="shared" si="35"/>
        <v>0</v>
      </c>
      <c r="AB92" s="1277">
        <f t="shared" si="35"/>
        <v>0</v>
      </c>
      <c r="AC92" s="244">
        <f t="shared" si="36"/>
        <v>0</v>
      </c>
      <c r="AD92" s="244">
        <f t="shared" si="36"/>
        <v>0</v>
      </c>
      <c r="AE92" s="241">
        <v>0</v>
      </c>
      <c r="AF92" s="244">
        <f t="shared" ref="AF92:AF93" si="37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692">
        <v>9.5</v>
      </c>
      <c r="J93" s="1692"/>
      <c r="K93" s="1692"/>
      <c r="L93" s="1692"/>
      <c r="M93" s="1692"/>
      <c r="N93" s="241"/>
      <c r="O93" s="1692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5"/>
        <v>0</v>
      </c>
      <c r="AA93" s="244">
        <f t="shared" si="35"/>
        <v>0</v>
      </c>
      <c r="AB93" s="1277">
        <f t="shared" si="35"/>
        <v>0</v>
      </c>
      <c r="AC93" s="244">
        <f t="shared" si="36"/>
        <v>0</v>
      </c>
      <c r="AD93" s="244">
        <f t="shared" si="36"/>
        <v>0</v>
      </c>
      <c r="AE93" s="241">
        <v>0</v>
      </c>
      <c r="AF93" s="244">
        <f t="shared" si="37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692"/>
      <c r="K94" s="1692"/>
      <c r="L94" s="1692"/>
      <c r="M94" s="1692"/>
      <c r="N94" s="1692"/>
      <c r="O94" s="1692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692"/>
      <c r="K95" s="1692"/>
      <c r="L95" s="1692"/>
      <c r="M95" s="1692"/>
      <c r="N95" s="1692"/>
      <c r="O95" s="1692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692">
        <v>183.38</v>
      </c>
      <c r="J96" s="1692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8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9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0">R96*0.988</f>
        <v>0</v>
      </c>
      <c r="AA96" s="244">
        <f t="shared" si="40"/>
        <v>0</v>
      </c>
      <c r="AB96" s="244">
        <f t="shared" si="40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1">Z96*AE96</f>
        <v>0</v>
      </c>
      <c r="AG96" s="1285"/>
      <c r="AI96" s="1282">
        <f t="shared" ref="AI96:AI101" si="42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692">
        <v>136.35</v>
      </c>
      <c r="J97" s="1692">
        <v>0</v>
      </c>
      <c r="K97" s="1692"/>
      <c r="L97" s="1319">
        <v>27</v>
      </c>
      <c r="M97" s="1692"/>
      <c r="N97" s="1278">
        <v>0</v>
      </c>
      <c r="O97" s="1692"/>
      <c r="P97" s="1278">
        <f t="shared" si="38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9"/>
        <v>0</v>
      </c>
      <c r="V97" s="1278">
        <v>0</v>
      </c>
      <c r="W97" s="1279">
        <v>0.2</v>
      </c>
      <c r="X97" s="1410">
        <v>0</v>
      </c>
      <c r="Y97" s="1277">
        <f t="shared" ref="Y97:Y105" si="43">IF(S97=0,0,S97/Q97)*100</f>
        <v>0</v>
      </c>
      <c r="Z97" s="244">
        <f t="shared" si="40"/>
        <v>0</v>
      </c>
      <c r="AA97" s="244">
        <f t="shared" si="40"/>
        <v>0</v>
      </c>
      <c r="AB97" s="244">
        <f t="shared" si="40"/>
        <v>0</v>
      </c>
      <c r="AC97" s="244">
        <f t="shared" ref="AC97:AD101" si="44">U97</f>
        <v>0</v>
      </c>
      <c r="AD97" s="244">
        <f t="shared" si="44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2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692">
        <v>130.11000000000001</v>
      </c>
      <c r="J98" s="1692">
        <v>0</v>
      </c>
      <c r="K98" s="1692"/>
      <c r="L98" s="1319">
        <v>32</v>
      </c>
      <c r="M98" s="1692"/>
      <c r="N98" s="1278">
        <v>0</v>
      </c>
      <c r="O98" s="1692"/>
      <c r="P98" s="1278">
        <f t="shared" si="38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9"/>
        <v>0</v>
      </c>
      <c r="V98" s="1278">
        <v>0</v>
      </c>
      <c r="W98" s="1279">
        <v>0.2</v>
      </c>
      <c r="X98" s="1410">
        <v>0</v>
      </c>
      <c r="Y98" s="1277">
        <f t="shared" si="43"/>
        <v>0</v>
      </c>
      <c r="Z98" s="244">
        <f t="shared" si="40"/>
        <v>0</v>
      </c>
      <c r="AA98" s="244">
        <f t="shared" si="40"/>
        <v>0</v>
      </c>
      <c r="AB98" s="244">
        <f t="shared" si="40"/>
        <v>0</v>
      </c>
      <c r="AC98" s="244">
        <f t="shared" si="44"/>
        <v>0</v>
      </c>
      <c r="AD98" s="244">
        <f t="shared" si="44"/>
        <v>0</v>
      </c>
      <c r="AE98" s="241">
        <v>0</v>
      </c>
      <c r="AF98" s="244">
        <f t="shared" si="41"/>
        <v>0</v>
      </c>
      <c r="AG98" s="1285" t="s">
        <v>782</v>
      </c>
      <c r="AI98" s="1282">
        <f t="shared" si="42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692">
        <v>134.24</v>
      </c>
      <c r="J99" s="1692">
        <v>0</v>
      </c>
      <c r="K99" s="1692"/>
      <c r="L99" s="1319">
        <v>25</v>
      </c>
      <c r="M99" s="1692"/>
      <c r="N99" s="1278">
        <v>0.2</v>
      </c>
      <c r="O99" s="1692"/>
      <c r="P99" s="1278">
        <f t="shared" si="38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9"/>
        <v>0</v>
      </c>
      <c r="V99" s="1278">
        <v>0</v>
      </c>
      <c r="W99" s="1279">
        <v>0.2</v>
      </c>
      <c r="X99" s="1410">
        <v>0</v>
      </c>
      <c r="Y99" s="1277">
        <f t="shared" si="43"/>
        <v>0</v>
      </c>
      <c r="Z99" s="244">
        <f t="shared" si="40"/>
        <v>0</v>
      </c>
      <c r="AA99" s="244">
        <f t="shared" si="40"/>
        <v>0</v>
      </c>
      <c r="AB99" s="244">
        <f t="shared" si="40"/>
        <v>0</v>
      </c>
      <c r="AC99" s="244">
        <f t="shared" si="44"/>
        <v>0</v>
      </c>
      <c r="AD99" s="244">
        <f t="shared" si="44"/>
        <v>0</v>
      </c>
      <c r="AE99" s="241">
        <v>0</v>
      </c>
      <c r="AF99" s="244">
        <f t="shared" si="41"/>
        <v>0</v>
      </c>
      <c r="AG99" s="1281" t="s">
        <v>782</v>
      </c>
      <c r="AI99" s="1282">
        <f t="shared" si="42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692">
        <v>0</v>
      </c>
      <c r="K100" s="1692"/>
      <c r="L100" s="1319">
        <v>30</v>
      </c>
      <c r="M100" s="1692"/>
      <c r="N100" s="1278">
        <v>0.7</v>
      </c>
      <c r="O100" s="1692"/>
      <c r="P100" s="1278">
        <f t="shared" si="38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9"/>
        <v>0</v>
      </c>
      <c r="V100" s="1278">
        <v>0</v>
      </c>
      <c r="W100" s="1279">
        <v>0.2</v>
      </c>
      <c r="X100" s="1410">
        <v>0</v>
      </c>
      <c r="Y100" s="1277">
        <f t="shared" si="43"/>
        <v>0</v>
      </c>
      <c r="Z100" s="244">
        <f t="shared" si="40"/>
        <v>0</v>
      </c>
      <c r="AA100" s="244">
        <f t="shared" si="40"/>
        <v>0</v>
      </c>
      <c r="AB100" s="244">
        <f t="shared" si="40"/>
        <v>0</v>
      </c>
      <c r="AC100" s="244">
        <f t="shared" si="44"/>
        <v>0</v>
      </c>
      <c r="AD100" s="244">
        <f t="shared" si="44"/>
        <v>0</v>
      </c>
      <c r="AE100" s="241">
        <v>0</v>
      </c>
      <c r="AF100" s="244">
        <f t="shared" si="41"/>
        <v>0</v>
      </c>
      <c r="AG100" s="1363" t="s">
        <v>782</v>
      </c>
      <c r="AI100" s="1282">
        <f t="shared" si="42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8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9"/>
        <v>0</v>
      </c>
      <c r="V101" s="1278">
        <v>0</v>
      </c>
      <c r="W101" s="1355">
        <v>0.2</v>
      </c>
      <c r="X101" s="1410">
        <v>0</v>
      </c>
      <c r="Y101" s="1277">
        <f t="shared" si="43"/>
        <v>0</v>
      </c>
      <c r="Z101" s="244">
        <f t="shared" si="40"/>
        <v>0</v>
      </c>
      <c r="AA101" s="244">
        <f t="shared" si="40"/>
        <v>0</v>
      </c>
      <c r="AB101" s="244">
        <f t="shared" si="40"/>
        <v>0</v>
      </c>
      <c r="AC101" s="244">
        <f t="shared" si="44"/>
        <v>0</v>
      </c>
      <c r="AD101" s="244">
        <f t="shared" si="44"/>
        <v>0</v>
      </c>
      <c r="AE101" s="241">
        <v>0</v>
      </c>
      <c r="AF101" s="244">
        <f t="shared" si="41"/>
        <v>0</v>
      </c>
      <c r="AG101" s="1363" t="s">
        <v>782</v>
      </c>
      <c r="AI101" s="1282">
        <f t="shared" si="42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3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3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692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5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3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692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5"/>
        <v>0</v>
      </c>
      <c r="V105" s="1278">
        <v>0.3</v>
      </c>
      <c r="W105" s="1279">
        <v>0.3</v>
      </c>
      <c r="X105" s="1449">
        <v>0</v>
      </c>
      <c r="Y105" s="1277">
        <f t="shared" si="43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692"/>
      <c r="G106" s="1689"/>
      <c r="H106" s="1691"/>
      <c r="I106" s="1691"/>
      <c r="J106" s="1692"/>
      <c r="K106" s="1692"/>
      <c r="L106" s="1692"/>
      <c r="M106" s="1692"/>
      <c r="N106" s="1692"/>
      <c r="O106" s="1692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689"/>
      <c r="W106" s="1690"/>
      <c r="X106" s="1410"/>
      <c r="Y106" s="1689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689"/>
      <c r="AE106" s="1692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689"/>
      <c r="H108" s="1691"/>
      <c r="I108" s="1691"/>
      <c r="J108" s="1692"/>
      <c r="K108" s="1692"/>
      <c r="L108" s="1692"/>
      <c r="M108" s="1692"/>
      <c r="N108" s="1692"/>
      <c r="O108" s="1692"/>
      <c r="P108" s="1269"/>
      <c r="Q108" s="1269"/>
      <c r="R108" s="1692"/>
      <c r="S108" s="1692"/>
      <c r="T108" s="1692"/>
      <c r="U108" s="1689"/>
      <c r="V108" s="1689"/>
      <c r="W108" s="1690"/>
      <c r="X108" s="1410"/>
      <c r="Y108" s="1689"/>
      <c r="Z108" s="1692"/>
      <c r="AA108" s="1692"/>
      <c r="AB108" s="1692"/>
      <c r="AC108" s="1689"/>
      <c r="AD108" s="1689"/>
      <c r="AE108" s="1692"/>
      <c r="AF108" s="1692"/>
      <c r="AG108" s="1694"/>
    </row>
    <row r="109" spans="1:38" ht="18.75" customHeight="1" x14ac:dyDescent="0.2">
      <c r="A109" s="1273">
        <v>83</v>
      </c>
      <c r="B109" s="1317" t="s">
        <v>107</v>
      </c>
      <c r="C109" s="1692" t="s">
        <v>109</v>
      </c>
      <c r="D109" s="1692"/>
      <c r="E109" s="1692"/>
      <c r="F109" s="1692"/>
      <c r="G109" s="1689"/>
      <c r="H109" s="1691"/>
      <c r="I109" s="1691"/>
      <c r="J109" s="1692"/>
      <c r="K109" s="1692"/>
      <c r="L109" s="1692"/>
      <c r="M109" s="1692"/>
      <c r="N109" s="1692"/>
      <c r="O109" s="1692"/>
      <c r="P109" s="1269"/>
      <c r="Q109" s="1269"/>
      <c r="R109" s="1692"/>
      <c r="S109" s="1692"/>
      <c r="T109" s="1692"/>
      <c r="U109" s="1689"/>
      <c r="V109" s="1689"/>
      <c r="W109" s="1690"/>
      <c r="X109" s="1410"/>
      <c r="Y109" s="1689"/>
      <c r="Z109" s="1691"/>
      <c r="AA109" s="1691"/>
      <c r="AB109" s="1692"/>
      <c r="AC109" s="1689"/>
      <c r="AD109" s="1689"/>
      <c r="AE109" s="1373"/>
      <c r="AF109" s="1692"/>
      <c r="AG109" s="1694"/>
    </row>
    <row r="110" spans="1:38" ht="18.75" customHeight="1" x14ac:dyDescent="0.2">
      <c r="A110" s="1273">
        <v>84</v>
      </c>
      <c r="B110" s="1317" t="s">
        <v>108</v>
      </c>
      <c r="C110" s="1692" t="s">
        <v>109</v>
      </c>
      <c r="D110" s="1692"/>
      <c r="E110" s="1692"/>
      <c r="F110" s="1692"/>
      <c r="G110" s="1689"/>
      <c r="H110" s="1691"/>
      <c r="I110" s="1691"/>
      <c r="J110" s="1692"/>
      <c r="K110" s="1692"/>
      <c r="L110" s="1692"/>
      <c r="M110" s="1692"/>
      <c r="N110" s="1692"/>
      <c r="O110" s="1692"/>
      <c r="P110" s="1269"/>
      <c r="Q110" s="1269"/>
      <c r="R110" s="1301"/>
      <c r="S110" s="1692"/>
      <c r="T110" s="1692"/>
      <c r="U110" s="1689"/>
      <c r="V110" s="1689"/>
      <c r="W110" s="1690"/>
      <c r="X110" s="1410"/>
      <c r="Y110" s="1689"/>
      <c r="Z110" s="1691"/>
      <c r="AA110" s="1691"/>
      <c r="AB110" s="1692"/>
      <c r="AC110" s="1689"/>
      <c r="AD110" s="1689"/>
      <c r="AE110" s="1373"/>
      <c r="AF110" s="1692"/>
      <c r="AG110" s="1694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692"/>
      <c r="E111" s="1692"/>
      <c r="F111" s="1692"/>
      <c r="G111" s="1689"/>
      <c r="H111" s="1691"/>
      <c r="I111" s="1691"/>
      <c r="J111" s="1692"/>
      <c r="K111" s="1692"/>
      <c r="L111" s="1692"/>
      <c r="M111" s="1692"/>
      <c r="N111" s="1692"/>
      <c r="O111" s="1692"/>
      <c r="P111" s="1269"/>
      <c r="Q111" s="1269"/>
      <c r="R111" s="1692"/>
      <c r="S111" s="1692"/>
      <c r="T111" s="1692"/>
      <c r="U111" s="1689"/>
      <c r="V111" s="1689"/>
      <c r="W111" s="1690"/>
      <c r="X111" s="1410"/>
      <c r="Y111" s="1689"/>
      <c r="Z111" s="1691"/>
      <c r="AA111" s="1691"/>
      <c r="AB111" s="1692"/>
      <c r="AC111" s="1689"/>
      <c r="AD111" s="1689"/>
      <c r="AE111" s="1373"/>
      <c r="AF111" s="1692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692"/>
      <c r="E112" s="1692"/>
      <c r="F112" s="1692"/>
      <c r="G112" s="1689"/>
      <c r="H112" s="1691"/>
      <c r="I112" s="1691"/>
      <c r="J112" s="1692"/>
      <c r="K112" s="1692"/>
      <c r="L112" s="1692"/>
      <c r="M112" s="1692"/>
      <c r="N112" s="1692"/>
      <c r="O112" s="1692"/>
      <c r="P112" s="1269"/>
      <c r="Q112" s="1269"/>
      <c r="R112" s="1692"/>
      <c r="S112" s="1692"/>
      <c r="T112" s="1692"/>
      <c r="U112" s="1689"/>
      <c r="V112" s="1689"/>
      <c r="W112" s="1690"/>
      <c r="X112" s="1410"/>
      <c r="Y112" s="1689"/>
      <c r="Z112" s="1691"/>
      <c r="AA112" s="1691"/>
      <c r="AB112" s="1692"/>
      <c r="AC112" s="1689"/>
      <c r="AD112" s="1689"/>
      <c r="AE112" s="1373"/>
      <c r="AF112" s="1692"/>
      <c r="AG112" s="1285"/>
    </row>
    <row r="113" spans="1:33" ht="18.75" customHeight="1" x14ac:dyDescent="0.2">
      <c r="A113" s="1273"/>
      <c r="B113" s="1262"/>
      <c r="C113" s="1371"/>
      <c r="D113" s="1371"/>
      <c r="E113" s="1691" t="s">
        <v>278</v>
      </c>
      <c r="F113" s="1371"/>
      <c r="G113" s="1689"/>
      <c r="H113" s="1691"/>
      <c r="I113" s="1691"/>
      <c r="J113" s="1692"/>
      <c r="K113" s="1692"/>
      <c r="L113" s="1692"/>
      <c r="M113" s="1692"/>
      <c r="N113" s="1692"/>
      <c r="O113" s="1692"/>
      <c r="P113" s="1269"/>
      <c r="Q113" s="1269"/>
      <c r="R113" s="1692"/>
      <c r="S113" s="1692"/>
      <c r="T113" s="1692"/>
      <c r="U113" s="1689"/>
      <c r="V113" s="1689"/>
      <c r="W113" s="1690"/>
      <c r="X113" s="1410"/>
      <c r="Y113" s="1689"/>
      <c r="Z113" s="1301"/>
      <c r="AA113" s="1692"/>
      <c r="AB113" s="1692"/>
      <c r="AC113" s="1689"/>
      <c r="AD113" s="1689"/>
      <c r="AE113" s="1692"/>
      <c r="AF113" s="1692"/>
      <c r="AG113" s="1694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692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692">
        <v>625.1</v>
      </c>
      <c r="E115" s="1692" t="s">
        <v>578</v>
      </c>
      <c r="F115" s="241">
        <v>177.8</v>
      </c>
      <c r="G115" s="241"/>
      <c r="H115" s="241"/>
      <c r="I115" s="244"/>
      <c r="J115" s="1692"/>
      <c r="K115" s="1692"/>
      <c r="L115" s="1692"/>
      <c r="M115" s="1692"/>
      <c r="N115" s="1692"/>
      <c r="O115" s="1692"/>
      <c r="P115" s="1269"/>
      <c r="Q115" s="1269"/>
      <c r="R115" s="1692"/>
      <c r="S115" s="1692"/>
      <c r="T115" s="1692"/>
      <c r="U115" s="1689"/>
      <c r="V115" s="1689"/>
      <c r="W115" s="1690"/>
      <c r="X115" s="1410"/>
      <c r="Y115" s="1376"/>
      <c r="Z115" s="1319"/>
      <c r="AA115" s="1692"/>
      <c r="AB115" s="1692"/>
      <c r="AC115" s="1689"/>
      <c r="AD115" s="1692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692"/>
      <c r="J116" s="1692"/>
      <c r="K116" s="1692"/>
      <c r="L116" s="1692"/>
      <c r="M116" s="1692"/>
      <c r="N116" s="1692"/>
      <c r="O116" s="1692"/>
      <c r="P116" s="1269"/>
      <c r="Q116" s="1270"/>
      <c r="R116" s="1692"/>
      <c r="S116" s="1692"/>
      <c r="T116" s="1692"/>
      <c r="U116" s="1689"/>
      <c r="V116" s="1689"/>
      <c r="W116" s="1690"/>
      <c r="X116" s="1410"/>
      <c r="Y116" s="1376"/>
      <c r="Z116" s="1319"/>
      <c r="AA116" s="1692"/>
      <c r="AB116" s="1692"/>
      <c r="AC116" s="1689"/>
      <c r="AD116" s="1692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692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692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685"/>
      <c r="C119" s="1685"/>
      <c r="D119" s="1685"/>
      <c r="E119" s="1686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272.13900000000001</v>
      </c>
      <c r="S119" s="1386">
        <f>S87+S94+S106</f>
        <v>712.30199999999968</v>
      </c>
      <c r="T119" s="1387">
        <f>T87+T94+T106</f>
        <v>5412.6819999999998</v>
      </c>
      <c r="U119" s="1386">
        <f>T119/R119</f>
        <v>19.889402107011488</v>
      </c>
      <c r="V119" s="1386"/>
      <c r="W119" s="1388"/>
      <c r="X119" s="1456"/>
      <c r="Y119" s="1386"/>
      <c r="Z119" s="1386">
        <f>Z87+Z94+Z106</f>
        <v>269.24946799999998</v>
      </c>
      <c r="AA119" s="1386">
        <f>AA87+AA106+AA94</f>
        <v>702.70836400000007</v>
      </c>
      <c r="AB119" s="1387">
        <f>AB87+AB106+AB94</f>
        <v>5365.595816</v>
      </c>
      <c r="AC119" s="1386">
        <f>AC87+AC106+AC94</f>
        <v>19.92797183911242</v>
      </c>
      <c r="AD119" s="1386"/>
      <c r="AE119" s="1386"/>
      <c r="AF119" s="1390">
        <f>AF87+AF94+AF106</f>
        <v>8077.4840400000012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693"/>
      <c r="D121" s="148"/>
      <c r="E121" s="1394">
        <v>0.98</v>
      </c>
      <c r="F121" s="148"/>
      <c r="G121" s="148" t="s">
        <v>102</v>
      </c>
      <c r="H121" s="1693"/>
      <c r="I121" s="1395"/>
      <c r="J121" s="148"/>
      <c r="K121" s="1983">
        <f>AF119*E121</f>
        <v>7915.9343592000014</v>
      </c>
      <c r="L121" s="1984"/>
      <c r="M121" s="1984"/>
      <c r="N121" s="1693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693"/>
      <c r="D122" s="148"/>
      <c r="E122" s="154"/>
      <c r="F122" s="148"/>
      <c r="G122" s="148" t="s">
        <v>733</v>
      </c>
      <c r="H122" s="1693"/>
      <c r="I122" s="1395"/>
      <c r="J122" s="148"/>
      <c r="K122" s="1693"/>
      <c r="L122" s="1397"/>
      <c r="M122" s="148">
        <f>K121*0.875</f>
        <v>6926.4425643000013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688"/>
      <c r="Z122" s="1688"/>
      <c r="AA122" s="150">
        <f>AA119-Z119</f>
        <v>433.4588960000001</v>
      </c>
      <c r="AB122" s="1688"/>
      <c r="AC122" s="1688"/>
      <c r="AD122" s="1688"/>
      <c r="AE122" s="1688"/>
      <c r="AF122" s="1688"/>
      <c r="AG122" s="1400"/>
    </row>
    <row r="123" spans="1:33" ht="15" x14ac:dyDescent="0.2">
      <c r="B123" s="148"/>
      <c r="C123" s="1693"/>
      <c r="D123" s="148"/>
      <c r="E123" s="154"/>
      <c r="F123" s="148"/>
      <c r="G123" s="148"/>
      <c r="H123" s="1693"/>
      <c r="I123" s="1395"/>
      <c r="J123" s="148"/>
      <c r="K123" s="1693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688"/>
      <c r="Z123" s="1688"/>
      <c r="AA123" s="1688"/>
      <c r="AB123" s="1688"/>
      <c r="AC123" s="1688"/>
      <c r="AD123" s="1688"/>
      <c r="AE123" s="1688"/>
      <c r="AF123" s="1688"/>
      <c r="AG123" s="1400"/>
    </row>
    <row r="124" spans="1:33" ht="15" x14ac:dyDescent="0.2">
      <c r="B124" s="148"/>
      <c r="C124" s="1693"/>
      <c r="D124" s="148"/>
      <c r="E124" s="154"/>
      <c r="F124" s="148"/>
      <c r="G124" s="148"/>
      <c r="H124" s="1693"/>
      <c r="I124" s="1395"/>
      <c r="J124" s="148"/>
      <c r="K124" s="1693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688"/>
      <c r="Z124" s="1688"/>
      <c r="AA124" s="1688"/>
      <c r="AB124" s="1688"/>
      <c r="AC124" s="1688"/>
      <c r="AD124" s="1688"/>
      <c r="AE124" s="1688"/>
      <c r="AF124" s="1688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693"/>
      <c r="L125" s="1693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688" t="s">
        <v>561</v>
      </c>
      <c r="AD125" s="1688"/>
      <c r="AE125" s="1688"/>
      <c r="AF125" s="1688"/>
      <c r="AG125" s="1688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2D039-7C59-41E3-9DCB-ADB8D6585B9D}">
  <dimension ref="A1:AQ129"/>
  <sheetViews>
    <sheetView topLeftCell="A13" zoomScale="80" zoomScaleNormal="80" workbookViewId="0">
      <pane xSplit="9" ySplit="5" topLeftCell="J18" activePane="bottomRight" state="frozen"/>
      <selection activeCell="A13" sqref="A13"/>
      <selection pane="topRight" activeCell="J13" sqref="J13"/>
      <selection pane="bottomLeft" activeCell="A18" sqref="A18"/>
      <selection pane="bottomRight" activeCell="E79" sqref="E79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705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705"/>
      <c r="F2" s="1705"/>
      <c r="G2" s="1698"/>
      <c r="H2" s="1704"/>
      <c r="I2" s="1704"/>
      <c r="J2" s="1704"/>
      <c r="K2" s="1704"/>
      <c r="L2" s="1704"/>
      <c r="M2" s="1704"/>
      <c r="N2" s="1704"/>
      <c r="O2" s="1704"/>
      <c r="P2" s="1704"/>
      <c r="Q2" s="1256"/>
      <c r="R2" s="1705"/>
      <c r="S2" s="1705"/>
      <c r="T2" s="1705"/>
      <c r="U2" s="1705"/>
      <c r="V2" s="1705"/>
      <c r="W2" s="1705"/>
      <c r="X2" s="1704"/>
      <c r="Y2" s="1705"/>
      <c r="Z2" s="1705"/>
      <c r="AA2" s="1705"/>
      <c r="AC2" s="1705"/>
      <c r="AD2" s="1705"/>
      <c r="AE2" s="1705"/>
      <c r="AF2" s="1998" t="s">
        <v>750</v>
      </c>
      <c r="AG2" s="1998"/>
    </row>
    <row r="3" spans="1:38" ht="15.75" x14ac:dyDescent="0.25">
      <c r="A3" s="1408" t="s">
        <v>751</v>
      </c>
      <c r="B3" s="1699"/>
      <c r="C3" s="1699"/>
      <c r="D3" s="1699"/>
      <c r="E3" s="1705"/>
      <c r="F3" s="1705"/>
      <c r="G3" s="1698"/>
      <c r="H3" s="1704"/>
      <c r="I3" s="1704"/>
      <c r="J3" s="1704"/>
      <c r="K3" s="1704"/>
      <c r="L3" s="1704"/>
      <c r="M3" s="1704"/>
      <c r="N3" s="1704"/>
      <c r="O3" s="1704"/>
      <c r="P3" s="1704"/>
      <c r="Q3" s="1256"/>
      <c r="R3" s="1705"/>
      <c r="S3" s="1705"/>
      <c r="T3" s="1705"/>
      <c r="U3" s="1705"/>
      <c r="V3" s="1705"/>
      <c r="W3" s="1705"/>
      <c r="X3" s="1704"/>
      <c r="Y3" s="1705"/>
      <c r="Z3" s="1705"/>
      <c r="AA3" s="1705"/>
      <c r="AB3" s="1705"/>
      <c r="AC3" s="1260"/>
      <c r="AE3" s="1222"/>
      <c r="AF3" s="1704" t="s">
        <v>739</v>
      </c>
      <c r="AG3" s="1494"/>
    </row>
    <row r="4" spans="1:38" ht="15" x14ac:dyDescent="0.25">
      <c r="A4" s="1976"/>
      <c r="B4" s="1976"/>
      <c r="C4" s="1976"/>
      <c r="D4" s="1976"/>
      <c r="E4" s="1700"/>
      <c r="F4" s="1705"/>
      <c r="G4" s="1698"/>
      <c r="H4" s="1698"/>
      <c r="I4" s="1704"/>
      <c r="J4" s="1704"/>
      <c r="K4" s="1704"/>
      <c r="L4" s="1704"/>
      <c r="M4" s="1704"/>
      <c r="N4" s="1704"/>
      <c r="O4" s="1704"/>
      <c r="P4" s="1704"/>
      <c r="Q4" s="1256"/>
      <c r="R4" s="1697"/>
      <c r="S4" s="1697"/>
      <c r="T4" s="1697"/>
      <c r="U4" s="1697"/>
      <c r="V4" s="1697"/>
      <c r="W4" s="1697"/>
      <c r="X4" s="1704"/>
      <c r="Y4" s="1705"/>
      <c r="Z4" s="1705"/>
      <c r="AB4" s="1705"/>
      <c r="AD4" s="1705"/>
      <c r="AE4" s="1258"/>
      <c r="AF4" s="154" t="s">
        <v>746</v>
      </c>
      <c r="AG4" s="1495"/>
    </row>
    <row r="5" spans="1:38" ht="27" customHeight="1" x14ac:dyDescent="0.2">
      <c r="A5" s="1976" t="s">
        <v>740</v>
      </c>
      <c r="B5" s="1976"/>
      <c r="C5" s="1976"/>
      <c r="D5" s="1976"/>
      <c r="E5" s="1705"/>
      <c r="F5" s="1705"/>
      <c r="G5" s="1698"/>
      <c r="H5" s="1698"/>
      <c r="I5" s="1705"/>
      <c r="J5" s="1705"/>
      <c r="K5" s="1698"/>
      <c r="L5" s="1698"/>
      <c r="M5" s="1705"/>
      <c r="N5" s="1705"/>
      <c r="O5" s="1705"/>
      <c r="P5" s="149"/>
      <c r="Q5" s="1257"/>
      <c r="R5" s="1705"/>
      <c r="S5" s="1705"/>
      <c r="T5" s="1705"/>
      <c r="U5" s="1705"/>
      <c r="V5" s="1705"/>
      <c r="W5" s="1705"/>
      <c r="X5" s="1705"/>
      <c r="Y5" s="1705"/>
      <c r="Z5" s="1705"/>
      <c r="AA5" s="1705"/>
      <c r="AB5" s="1705"/>
      <c r="AC5" s="1705"/>
      <c r="AD5" s="1705"/>
      <c r="AG5" s="151"/>
    </row>
    <row r="6" spans="1:38" ht="27" customHeight="1" x14ac:dyDescent="0.2">
      <c r="A6" s="1942"/>
      <c r="B6" s="1942"/>
      <c r="C6" s="1942"/>
      <c r="D6" s="1942"/>
      <c r="E6" s="1705"/>
      <c r="F6" s="1705"/>
      <c r="G6" s="1698"/>
      <c r="H6" s="1698"/>
      <c r="I6" s="1705"/>
      <c r="J6" s="1705"/>
      <c r="K6" s="1698"/>
      <c r="L6" s="1698"/>
      <c r="M6" s="1705"/>
      <c r="N6" s="1705"/>
      <c r="O6" s="1705"/>
      <c r="P6" s="149"/>
      <c r="Q6" s="1257"/>
      <c r="R6" s="1705"/>
      <c r="S6" s="1705"/>
      <c r="T6" s="1705"/>
      <c r="U6" s="1705"/>
      <c r="V6" s="1705"/>
      <c r="W6" s="1705"/>
      <c r="X6" s="1705"/>
      <c r="Y6" s="1705"/>
      <c r="Z6" s="1705"/>
      <c r="AA6" s="1705"/>
      <c r="AB6" s="1705"/>
      <c r="AC6" s="1705"/>
      <c r="AD6" s="1705"/>
      <c r="AE6" s="1705"/>
      <c r="AF6" s="1705"/>
    </row>
    <row r="7" spans="1:38" ht="27" customHeight="1" x14ac:dyDescent="0.2">
      <c r="A7" s="1942" t="s">
        <v>54</v>
      </c>
      <c r="B7" s="1942"/>
      <c r="C7" s="1942"/>
      <c r="D7" s="1942"/>
      <c r="E7" s="1705"/>
      <c r="F7" s="1705"/>
      <c r="G7" s="1698"/>
      <c r="H7" s="1698"/>
      <c r="I7" s="1705"/>
      <c r="J7" s="1705"/>
      <c r="K7" s="1698"/>
      <c r="L7" s="1698"/>
      <c r="M7" s="1705"/>
      <c r="N7" s="1705"/>
      <c r="O7" s="1705"/>
      <c r="P7" s="149"/>
      <c r="Q7" s="1257"/>
      <c r="R7" s="1705"/>
      <c r="S7" s="1705"/>
      <c r="T7" s="1705"/>
      <c r="U7" s="1705"/>
      <c r="V7" s="1705"/>
      <c r="W7" s="1705"/>
      <c r="X7" s="1705"/>
      <c r="Y7" s="1705"/>
      <c r="Z7" s="1705"/>
      <c r="AA7" s="1705"/>
      <c r="AB7" s="1705"/>
      <c r="AC7" s="1705"/>
      <c r="AD7" s="1705"/>
      <c r="AE7" s="1705"/>
      <c r="AF7" s="1705"/>
    </row>
    <row r="8" spans="1:38" ht="27" customHeight="1" x14ac:dyDescent="0.2">
      <c r="A8" s="1977" t="s">
        <v>736</v>
      </c>
      <c r="B8" s="1977"/>
      <c r="C8" s="1977"/>
      <c r="D8" s="1977"/>
      <c r="E8" s="1705"/>
      <c r="F8" s="1705"/>
      <c r="G8" s="1698"/>
      <c r="H8" s="1698"/>
      <c r="I8" s="1705"/>
      <c r="J8" s="1705"/>
      <c r="K8" s="1698"/>
      <c r="L8" s="1698"/>
      <c r="M8" s="1705"/>
      <c r="N8" s="1705"/>
      <c r="O8" s="1705"/>
      <c r="P8" s="149"/>
      <c r="Q8" s="1257"/>
      <c r="R8" s="1705"/>
      <c r="S8" s="1705"/>
      <c r="T8" s="1705"/>
      <c r="U8" s="1705"/>
      <c r="V8" s="1705"/>
      <c r="W8" s="1705"/>
      <c r="X8" s="1705"/>
      <c r="Y8" s="1705"/>
      <c r="Z8" s="1705"/>
      <c r="AA8" s="1705"/>
      <c r="AB8" s="1705"/>
      <c r="AC8" s="1705"/>
      <c r="AD8" s="1705"/>
      <c r="AE8" s="1705"/>
      <c r="AF8" s="1705"/>
    </row>
    <row r="9" spans="1:38" ht="27" customHeight="1" x14ac:dyDescent="0.2">
      <c r="A9" s="1408" t="s">
        <v>737</v>
      </c>
      <c r="B9" s="1699"/>
      <c r="C9" s="1699"/>
      <c r="D9" s="1699"/>
      <c r="E9" s="1705"/>
      <c r="F9" s="1705"/>
      <c r="G9" s="1698"/>
      <c r="H9" s="1698"/>
      <c r="I9" s="1705"/>
      <c r="J9" s="1705"/>
      <c r="K9" s="1698"/>
      <c r="L9" s="1698"/>
      <c r="M9" s="1705"/>
      <c r="N9" s="1705"/>
      <c r="O9" s="1705"/>
      <c r="P9" s="149"/>
      <c r="Q9" s="1257"/>
      <c r="R9" s="1705"/>
      <c r="S9" s="1705"/>
      <c r="T9" s="1705"/>
      <c r="U9" s="1705"/>
      <c r="V9" s="1705"/>
      <c r="W9" s="1705"/>
      <c r="X9" s="1705"/>
      <c r="Y9" s="1705"/>
      <c r="Z9" s="1705"/>
      <c r="AA9" s="1705"/>
      <c r="AB9" s="1705"/>
      <c r="AC9" s="1705"/>
      <c r="AD9" s="1705"/>
      <c r="AE9" s="1705"/>
      <c r="AF9" s="1705"/>
    </row>
    <row r="10" spans="1:38" ht="27" customHeight="1" x14ac:dyDescent="0.2">
      <c r="A10" s="1976"/>
      <c r="B10" s="1976"/>
      <c r="C10" s="1976"/>
      <c r="D10" s="1976"/>
      <c r="E10" s="1700"/>
      <c r="F10" s="1705"/>
      <c r="G10" s="1698"/>
      <c r="H10" s="1698"/>
      <c r="I10" s="1705"/>
      <c r="J10" s="1705"/>
      <c r="K10" s="1698"/>
      <c r="L10" s="1698"/>
      <c r="M10" s="1705"/>
      <c r="N10" s="1705"/>
      <c r="O10" s="1705"/>
      <c r="P10" s="149"/>
      <c r="Q10" s="1257"/>
      <c r="R10" s="1705"/>
      <c r="S10" s="1705"/>
      <c r="T10" s="1705"/>
      <c r="U10" s="1705"/>
      <c r="V10" s="1705"/>
      <c r="W10" s="1705"/>
      <c r="X10" s="1705"/>
      <c r="Y10" s="1705"/>
      <c r="Z10" s="1705"/>
      <c r="AA10" s="1705"/>
      <c r="AB10" s="1705"/>
      <c r="AC10" s="1705"/>
      <c r="AD10" s="1705"/>
      <c r="AE10" s="1705"/>
      <c r="AF10" s="1705"/>
    </row>
    <row r="11" spans="1:38" ht="27" customHeight="1" x14ac:dyDescent="0.2">
      <c r="A11" s="1976" t="s">
        <v>740</v>
      </c>
      <c r="B11" s="1976"/>
      <c r="C11" s="1976"/>
      <c r="D11" s="1976"/>
      <c r="E11" s="1705"/>
      <c r="F11" s="1705"/>
      <c r="G11" s="1698"/>
      <c r="H11" s="1698"/>
      <c r="I11" s="1705"/>
      <c r="J11" s="1705"/>
      <c r="K11" s="1698"/>
      <c r="L11" s="1698"/>
      <c r="M11" s="1705"/>
      <c r="N11" s="1705"/>
      <c r="O11" s="1705"/>
      <c r="P11" s="149"/>
      <c r="Q11" s="1257"/>
      <c r="R11" s="1705"/>
      <c r="S11" s="1705"/>
      <c r="T11" s="1705"/>
      <c r="U11" s="1705"/>
      <c r="V11" s="1705"/>
      <c r="W11" s="1705"/>
      <c r="X11" s="1705"/>
      <c r="Y11" s="1705"/>
      <c r="Z11" s="1705"/>
      <c r="AA11" s="1705"/>
      <c r="AB11" s="1705"/>
      <c r="AC11" s="1705"/>
      <c r="AD11" s="1705"/>
      <c r="AE11" s="1705"/>
      <c r="AF11" s="1705"/>
    </row>
    <row r="12" spans="1:38" ht="27" customHeight="1" x14ac:dyDescent="0.2">
      <c r="A12" s="1701"/>
      <c r="B12" s="1701"/>
      <c r="C12" s="1701"/>
      <c r="D12" s="1701"/>
      <c r="E12" s="1705"/>
      <c r="F12" s="1705"/>
      <c r="G12" s="1698"/>
      <c r="H12" s="1698"/>
      <c r="I12" s="1705"/>
      <c r="J12" s="1705"/>
      <c r="K12" s="1698"/>
      <c r="L12" s="1698"/>
      <c r="M12" s="1705"/>
      <c r="N12" s="1705"/>
      <c r="O12" s="1705"/>
      <c r="P12" s="149"/>
      <c r="Q12" s="1257"/>
      <c r="R12" s="1705"/>
      <c r="S12" s="1705"/>
      <c r="T12" s="1705"/>
      <c r="U12" s="1705"/>
      <c r="V12" s="1705"/>
      <c r="W12" s="1705"/>
      <c r="X12" s="1705"/>
      <c r="Y12" s="1705"/>
      <c r="Z12" s="1705"/>
      <c r="AA12" s="1705"/>
      <c r="AB12" s="1705"/>
      <c r="AC12" s="1705"/>
      <c r="AD12" s="1705"/>
      <c r="AE12" s="1705"/>
      <c r="AF12" s="1705"/>
    </row>
    <row r="13" spans="1:38" ht="32.25" customHeight="1" x14ac:dyDescent="0.25">
      <c r="A13" s="1976"/>
      <c r="B13" s="1976"/>
      <c r="C13" s="1976"/>
      <c r="D13" s="1976"/>
      <c r="E13" s="1700"/>
      <c r="F13" s="1705"/>
      <c r="G13" s="1698"/>
      <c r="H13" s="1698"/>
      <c r="I13" s="140"/>
      <c r="J13" s="1705"/>
      <c r="K13" s="1698"/>
      <c r="L13" s="1698"/>
      <c r="M13" s="1705"/>
      <c r="N13" s="1705"/>
      <c r="O13" s="1705"/>
      <c r="P13" s="149"/>
      <c r="Q13" s="1257"/>
      <c r="R13" s="1705"/>
      <c r="S13" s="1705"/>
      <c r="T13" s="1705"/>
      <c r="U13" s="1705"/>
      <c r="V13" s="1705"/>
      <c r="W13" s="147"/>
      <c r="X13" s="1705"/>
      <c r="Y13" s="1705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698"/>
      <c r="C14" s="1698"/>
      <c r="D14" s="1698"/>
      <c r="E14" s="1705"/>
      <c r="F14" s="1705"/>
      <c r="G14" s="1698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705"/>
      <c r="Z14" s="148"/>
      <c r="AA14" s="148"/>
      <c r="AB14" s="148"/>
      <c r="AC14" s="148"/>
    </row>
    <row r="15" spans="1:38" ht="31.5" customHeight="1" thickBot="1" x14ac:dyDescent="0.25">
      <c r="B15" s="1698"/>
      <c r="C15" s="1698"/>
      <c r="D15" s="1698"/>
      <c r="E15" s="1705"/>
      <c r="F15" s="1705"/>
      <c r="G15" s="1698"/>
      <c r="H15" s="1698"/>
      <c r="I15" s="140"/>
      <c r="J15" s="1964" t="s">
        <v>795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705"/>
      <c r="Y15" s="1705"/>
      <c r="Z15" s="148"/>
      <c r="AA15" s="148"/>
      <c r="AB15" s="148"/>
      <c r="AC15" s="148"/>
      <c r="AD15" s="1705"/>
      <c r="AE15" s="1705"/>
      <c r="AF15" s="1705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706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706" t="s">
        <v>18</v>
      </c>
      <c r="AF17" s="1706" t="s">
        <v>20</v>
      </c>
      <c r="AG17" s="1967" t="s">
        <v>21</v>
      </c>
      <c r="AH17" s="1267">
        <v>45261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709" t="s">
        <v>3</v>
      </c>
      <c r="J18" s="1709" t="s">
        <v>7</v>
      </c>
      <c r="K18" s="1709" t="s">
        <v>30</v>
      </c>
      <c r="L18" s="1709" t="s">
        <v>29</v>
      </c>
      <c r="M18" s="1709" t="s">
        <v>31</v>
      </c>
      <c r="N18" s="1709" t="s">
        <v>32</v>
      </c>
      <c r="O18" s="1709" t="s">
        <v>12</v>
      </c>
      <c r="P18" s="1269" t="s">
        <v>673</v>
      </c>
      <c r="Q18" s="1270" t="s">
        <v>26</v>
      </c>
      <c r="R18" s="1709" t="s">
        <v>675</v>
      </c>
      <c r="S18" s="1709" t="s">
        <v>25</v>
      </c>
      <c r="T18" s="1709" t="s">
        <v>676</v>
      </c>
      <c r="U18" s="1968"/>
      <c r="V18" s="1968"/>
      <c r="W18" s="1987"/>
      <c r="X18" s="1410" t="s">
        <v>7</v>
      </c>
      <c r="Y18" s="1968"/>
      <c r="Z18" s="1709" t="s">
        <v>14</v>
      </c>
      <c r="AA18" s="1709" t="s">
        <v>679</v>
      </c>
      <c r="AB18" s="1709" t="s">
        <v>113</v>
      </c>
      <c r="AC18" s="1968"/>
      <c r="AD18" s="1968"/>
      <c r="AE18" s="1709" t="s">
        <v>19</v>
      </c>
      <c r="AF18" s="1709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709">
        <v>557.80999999999995</v>
      </c>
      <c r="J19" s="1448">
        <v>180</v>
      </c>
      <c r="K19" s="241"/>
      <c r="L19" s="1277">
        <v>298</v>
      </c>
      <c r="M19" s="241"/>
      <c r="N19" s="1278">
        <v>4.5</v>
      </c>
      <c r="O19" s="241"/>
      <c r="P19" s="1278">
        <f>AI19</f>
        <v>29.72009946940619</v>
      </c>
      <c r="Q19" s="1278">
        <f>LEFT(H19,(FIND("Е",H19,1)-1))*J19/100</f>
        <v>23.4</v>
      </c>
      <c r="R19" s="244">
        <v>1.343</v>
      </c>
      <c r="S19" s="244">
        <v>8.4489999999999998</v>
      </c>
      <c r="T19" s="1277">
        <v>11</v>
      </c>
      <c r="U19" s="1278">
        <f t="shared" ref="U19:U37" si="0">IF(R19=0,0,T19/R19)</f>
        <v>8.1906180193596434</v>
      </c>
      <c r="V19" s="1278">
        <f>(S19-R19)/S19*100</f>
        <v>84.104627766599592</v>
      </c>
      <c r="W19" s="1279">
        <v>0.2</v>
      </c>
      <c r="X19" s="1449">
        <v>180</v>
      </c>
      <c r="Y19" s="1277">
        <f>IF(S19=0,0,S19/Q19)*100</f>
        <v>36.106837606837608</v>
      </c>
      <c r="Z19" s="244">
        <f t="shared" ref="Z19:AB36" si="1">R19*0.988</f>
        <v>1.326884</v>
      </c>
      <c r="AA19" s="244">
        <f t="shared" si="1"/>
        <v>8.3476119999999998</v>
      </c>
      <c r="AB19" s="1277">
        <f>T19*0.988</f>
        <v>10.868</v>
      </c>
      <c r="AC19" s="244">
        <f>U19</f>
        <v>8.1906180193596434</v>
      </c>
      <c r="AD19" s="1277">
        <f>V19</f>
        <v>84.104627766599592</v>
      </c>
      <c r="AE19" s="241">
        <f t="shared" ref="AE19:AE41" si="2">(DAY(EOMONTH($AH$17,0))-AH19)</f>
        <v>31</v>
      </c>
      <c r="AF19" s="244">
        <f t="shared" ref="AF19:AF63" si="3">Z19*AE19</f>
        <v>41.133403999999999</v>
      </c>
      <c r="AG19" s="1281"/>
      <c r="AI19" s="1282">
        <f t="shared" ref="AI19:AI82" si="4">(9.81*(AJ19*(100%-(V19/100))+AK19*(V19/100))*(I19-L19)+N19*101.325+9.81*(AL19)*L19)/101.325</f>
        <v>29.72009946940619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64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709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5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4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709">
        <v>528.5</v>
      </c>
      <c r="J21" s="241">
        <v>85</v>
      </c>
      <c r="K21" s="241"/>
      <c r="L21" s="1277">
        <v>440</v>
      </c>
      <c r="M21" s="241"/>
      <c r="N21" s="1278">
        <v>6.6</v>
      </c>
      <c r="O21" s="241"/>
      <c r="P21" s="1278">
        <f t="shared" ref="P21:P84" si="6">AI21</f>
        <v>14.846932405130906</v>
      </c>
      <c r="Q21" s="1278">
        <f>RIGHT(H21,(FIND("T",H21,1)-0))*J21/100</f>
        <v>17</v>
      </c>
      <c r="R21" s="244">
        <v>5.1609999999999996</v>
      </c>
      <c r="S21" s="244">
        <v>10.814</v>
      </c>
      <c r="T21" s="1277">
        <v>17</v>
      </c>
      <c r="U21" s="1278">
        <f t="shared" si="0"/>
        <v>3.2939352838597173</v>
      </c>
      <c r="V21" s="1278">
        <f t="shared" ref="V21:V55" si="7">(S21-R21)/S21*100</f>
        <v>52.274828925466984</v>
      </c>
      <c r="W21" s="1279">
        <v>0.2</v>
      </c>
      <c r="X21" s="1316">
        <v>85</v>
      </c>
      <c r="Y21" s="1277">
        <f t="shared" si="5"/>
        <v>63.611764705882358</v>
      </c>
      <c r="Z21" s="244">
        <f t="shared" si="1"/>
        <v>5.0990679999999999</v>
      </c>
      <c r="AA21" s="244">
        <f t="shared" si="1"/>
        <v>10.684232</v>
      </c>
      <c r="AB21" s="1277">
        <f t="shared" si="1"/>
        <v>16.795999999999999</v>
      </c>
      <c r="AC21" s="244">
        <f t="shared" ref="AC21:AD36" si="8">U21</f>
        <v>3.2939352838597173</v>
      </c>
      <c r="AD21" s="1277">
        <f t="shared" si="8"/>
        <v>52.274828925466984</v>
      </c>
      <c r="AE21" s="241">
        <f t="shared" si="2"/>
        <v>31</v>
      </c>
      <c r="AF21" s="244">
        <f t="shared" si="3"/>
        <v>158.07110800000001</v>
      </c>
      <c r="AG21" s="1281"/>
      <c r="AI21" s="1282">
        <f t="shared" si="4"/>
        <v>14.846932405130906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709">
        <v>544.29999999999995</v>
      </c>
      <c r="J22" s="241">
        <v>195</v>
      </c>
      <c r="K22" s="241"/>
      <c r="L22" s="1277">
        <v>436</v>
      </c>
      <c r="M22" s="241"/>
      <c r="N22" s="1278">
        <v>3.6</v>
      </c>
      <c r="O22" s="241"/>
      <c r="P22" s="1278">
        <f t="shared" si="6"/>
        <v>13.587864701604978</v>
      </c>
      <c r="Q22" s="1278">
        <f t="shared" ref="Q22:Q27" si="9">RIGHT(H22,(FIND("T",H22,1)-0))*J22/100</f>
        <v>27.3</v>
      </c>
      <c r="R22" s="244">
        <v>9.5129999999999999</v>
      </c>
      <c r="S22" s="244">
        <v>16.829000000000001</v>
      </c>
      <c r="T22" s="1277">
        <v>180.5</v>
      </c>
      <c r="U22" s="1278">
        <f t="shared" si="0"/>
        <v>18.974035530326923</v>
      </c>
      <c r="V22" s="1278">
        <f t="shared" si="7"/>
        <v>43.472577099055201</v>
      </c>
      <c r="W22" s="1279">
        <v>0.23</v>
      </c>
      <c r="X22" s="1316">
        <v>195</v>
      </c>
      <c r="Y22" s="1277">
        <f t="shared" si="5"/>
        <v>61.64468864468865</v>
      </c>
      <c r="Z22" s="244">
        <f t="shared" si="1"/>
        <v>9.3988440000000004</v>
      </c>
      <c r="AA22" s="244">
        <f t="shared" si="1"/>
        <v>16.627051999999999</v>
      </c>
      <c r="AB22" s="1277">
        <f t="shared" si="1"/>
        <v>178.334</v>
      </c>
      <c r="AC22" s="244">
        <f t="shared" si="8"/>
        <v>18.974035530326923</v>
      </c>
      <c r="AD22" s="1277">
        <f t="shared" si="8"/>
        <v>43.472577099055201</v>
      </c>
      <c r="AE22" s="241">
        <f t="shared" si="2"/>
        <v>31</v>
      </c>
      <c r="AF22" s="244">
        <f t="shared" si="3"/>
        <v>291.36416400000002</v>
      </c>
      <c r="AG22" s="1281"/>
      <c r="AI22" s="1282">
        <f t="shared" si="4"/>
        <v>13.587864701604978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709">
        <v>548.32000000000005</v>
      </c>
      <c r="J23" s="241">
        <v>70</v>
      </c>
      <c r="K23" s="241"/>
      <c r="L23" s="1277">
        <v>383</v>
      </c>
      <c r="M23" s="241"/>
      <c r="N23" s="1278">
        <v>2.2999999999999998</v>
      </c>
      <c r="O23" s="241"/>
      <c r="P23" s="1278">
        <f t="shared" si="6"/>
        <v>17.134206228690999</v>
      </c>
      <c r="Q23" s="1278">
        <f t="shared" si="9"/>
        <v>9.8000000000000007</v>
      </c>
      <c r="R23" s="244">
        <v>5.7229999999999999</v>
      </c>
      <c r="S23" s="244">
        <v>6.6449999999999996</v>
      </c>
      <c r="T23" s="1277">
        <v>38</v>
      </c>
      <c r="U23" s="1278">
        <f t="shared" si="0"/>
        <v>6.6398741918574178</v>
      </c>
      <c r="V23" s="1278">
        <f t="shared" si="7"/>
        <v>13.875094055680959</v>
      </c>
      <c r="W23" s="1279">
        <v>0.2</v>
      </c>
      <c r="X23" s="1316">
        <v>70</v>
      </c>
      <c r="Y23" s="1277">
        <f t="shared" si="5"/>
        <v>67.806122448979579</v>
      </c>
      <c r="Z23" s="244">
        <f t="shared" si="1"/>
        <v>5.6543239999999999</v>
      </c>
      <c r="AA23" s="244">
        <f t="shared" si="1"/>
        <v>6.5652599999999994</v>
      </c>
      <c r="AB23" s="1277">
        <f t="shared" si="1"/>
        <v>37.543999999999997</v>
      </c>
      <c r="AC23" s="244">
        <f t="shared" si="8"/>
        <v>6.6398741918574178</v>
      </c>
      <c r="AD23" s="1277">
        <f t="shared" si="8"/>
        <v>13.875094055680959</v>
      </c>
      <c r="AE23" s="241">
        <f t="shared" si="2"/>
        <v>31</v>
      </c>
      <c r="AF23" s="244">
        <f t="shared" si="3"/>
        <v>175.28404399999999</v>
      </c>
      <c r="AG23" s="1281"/>
      <c r="AI23" s="1282">
        <f t="shared" si="4"/>
        <v>17.134206228690999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709">
        <v>564.33000000000004</v>
      </c>
      <c r="J24" s="241">
        <v>85</v>
      </c>
      <c r="K24" s="241"/>
      <c r="L24" s="1277">
        <v>498</v>
      </c>
      <c r="M24" s="241"/>
      <c r="N24" s="1278">
        <v>2.5</v>
      </c>
      <c r="O24" s="241"/>
      <c r="P24" s="1278">
        <f t="shared" si="6"/>
        <v>8.655129344765994</v>
      </c>
      <c r="Q24" s="1278">
        <f t="shared" si="9"/>
        <v>11.9</v>
      </c>
      <c r="R24" s="244">
        <v>6.1950000000000003</v>
      </c>
      <c r="S24" s="244">
        <v>7.9429999999999996</v>
      </c>
      <c r="T24" s="1277">
        <v>2</v>
      </c>
      <c r="U24" s="1278">
        <f t="shared" si="0"/>
        <v>0.32284100080710249</v>
      </c>
      <c r="V24" s="1278">
        <f t="shared" si="7"/>
        <v>22.006798438876991</v>
      </c>
      <c r="W24" s="1279">
        <v>0.2</v>
      </c>
      <c r="X24" s="1316">
        <v>85</v>
      </c>
      <c r="Y24" s="1277">
        <f t="shared" si="5"/>
        <v>66.747899159663859</v>
      </c>
      <c r="Z24" s="244">
        <f t="shared" si="1"/>
        <v>6.12066</v>
      </c>
      <c r="AA24" s="244">
        <f t="shared" si="1"/>
        <v>7.8476839999999992</v>
      </c>
      <c r="AB24" s="1277">
        <f t="shared" si="1"/>
        <v>1.976</v>
      </c>
      <c r="AC24" s="244">
        <f t="shared" si="8"/>
        <v>0.32284100080710249</v>
      </c>
      <c r="AD24" s="1277">
        <f t="shared" si="8"/>
        <v>22.006798438876991</v>
      </c>
      <c r="AE24" s="241">
        <f t="shared" si="2"/>
        <v>31</v>
      </c>
      <c r="AF24" s="244">
        <f t="shared" si="3"/>
        <v>189.74046000000001</v>
      </c>
      <c r="AG24" s="1281"/>
      <c r="AI24" s="1282">
        <f t="shared" si="4"/>
        <v>8.655129344765994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709">
        <v>540.01</v>
      </c>
      <c r="J25" s="241">
        <v>85</v>
      </c>
      <c r="K25" s="241"/>
      <c r="L25" s="1277">
        <v>517</v>
      </c>
      <c r="M25" s="241"/>
      <c r="N25" s="1278">
        <v>1.7</v>
      </c>
      <c r="O25" s="241"/>
      <c r="P25" s="1278">
        <f t="shared" si="6"/>
        <v>3.8767056393035393</v>
      </c>
      <c r="Q25" s="1278">
        <f t="shared" si="9"/>
        <v>11.9</v>
      </c>
      <c r="R25" s="244">
        <v>4.37</v>
      </c>
      <c r="S25" s="244">
        <v>7.9610000000000003</v>
      </c>
      <c r="T25" s="1277">
        <v>15</v>
      </c>
      <c r="U25" s="1278">
        <f t="shared" si="0"/>
        <v>3.4324942791762014</v>
      </c>
      <c r="V25" s="1278">
        <f t="shared" si="7"/>
        <v>45.107398568019093</v>
      </c>
      <c r="W25" s="1279">
        <v>0.2</v>
      </c>
      <c r="X25" s="1316">
        <v>85</v>
      </c>
      <c r="Y25" s="1277">
        <f t="shared" si="5"/>
        <v>66.899159663865547</v>
      </c>
      <c r="Z25" s="244">
        <f t="shared" si="1"/>
        <v>4.3175600000000003</v>
      </c>
      <c r="AA25" s="244">
        <f t="shared" si="1"/>
        <v>7.8654679999999999</v>
      </c>
      <c r="AB25" s="1277">
        <f t="shared" si="1"/>
        <v>14.82</v>
      </c>
      <c r="AC25" s="244">
        <f t="shared" si="8"/>
        <v>3.4324942791762014</v>
      </c>
      <c r="AD25" s="1277">
        <f t="shared" si="8"/>
        <v>45.107398568019093</v>
      </c>
      <c r="AE25" s="241">
        <f t="shared" si="2"/>
        <v>31</v>
      </c>
      <c r="AF25" s="244">
        <f t="shared" si="3"/>
        <v>133.84435999999999</v>
      </c>
      <c r="AG25" s="1281"/>
      <c r="AI25" s="1282">
        <f t="shared" si="4"/>
        <v>3.8767056393035393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443</v>
      </c>
      <c r="M26" s="1302"/>
      <c r="N26" s="1278">
        <v>4</v>
      </c>
      <c r="O26" s="1302"/>
      <c r="P26" s="1278">
        <f t="shared" si="6"/>
        <v>14.372551982975137</v>
      </c>
      <c r="Q26" s="1278">
        <f t="shared" si="9"/>
        <v>20</v>
      </c>
      <c r="R26" s="244">
        <v>4.8410000000000002</v>
      </c>
      <c r="S26" s="244">
        <v>12.861000000000001</v>
      </c>
      <c r="T26" s="1277">
        <v>83</v>
      </c>
      <c r="U26" s="1278">
        <f t="shared" si="0"/>
        <v>17.145217930179715</v>
      </c>
      <c r="V26" s="1278">
        <f t="shared" si="7"/>
        <v>62.359070056760743</v>
      </c>
      <c r="W26" s="1279">
        <v>0.2</v>
      </c>
      <c r="X26" s="1316">
        <v>100</v>
      </c>
      <c r="Y26" s="1277">
        <f t="shared" si="5"/>
        <v>64.305000000000007</v>
      </c>
      <c r="Z26" s="244">
        <f t="shared" si="1"/>
        <v>4.7829079999999999</v>
      </c>
      <c r="AA26" s="244">
        <f t="shared" si="1"/>
        <v>12.706668000000001</v>
      </c>
      <c r="AB26" s="1277">
        <f t="shared" si="1"/>
        <v>82.004000000000005</v>
      </c>
      <c r="AC26" s="244">
        <f t="shared" si="8"/>
        <v>17.145217930179715</v>
      </c>
      <c r="AD26" s="1277">
        <f t="shared" si="8"/>
        <v>62.359070056760743</v>
      </c>
      <c r="AE26" s="241">
        <f t="shared" si="2"/>
        <v>31</v>
      </c>
      <c r="AF26" s="244">
        <f t="shared" si="3"/>
        <v>148.27014800000001</v>
      </c>
      <c r="AG26" s="1281"/>
      <c r="AI26" s="1282">
        <f t="shared" si="4"/>
        <v>14.372551982975137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793</v>
      </c>
      <c r="I27" s="1709">
        <v>547.62</v>
      </c>
      <c r="J27" s="241">
        <v>100</v>
      </c>
      <c r="K27" s="241"/>
      <c r="L27" s="1277">
        <v>478</v>
      </c>
      <c r="M27" s="241"/>
      <c r="N27" s="1278">
        <v>2.5</v>
      </c>
      <c r="O27" s="241"/>
      <c r="P27" s="1278">
        <f t="shared" si="6"/>
        <v>9.1209866148949921</v>
      </c>
      <c r="Q27" s="1278">
        <f t="shared" si="9"/>
        <v>14</v>
      </c>
      <c r="R27" s="244">
        <v>6.133</v>
      </c>
      <c r="S27" s="244">
        <v>16.239999999999998</v>
      </c>
      <c r="T27" s="1277">
        <v>10.5</v>
      </c>
      <c r="U27" s="1278">
        <f t="shared" si="0"/>
        <v>1.7120495679112995</v>
      </c>
      <c r="V27" s="1278">
        <f t="shared" si="7"/>
        <v>62.235221674876854</v>
      </c>
      <c r="W27" s="1279">
        <v>0.2</v>
      </c>
      <c r="X27" s="1316">
        <v>100</v>
      </c>
      <c r="Y27" s="1277">
        <f t="shared" si="5"/>
        <v>115.99999999999999</v>
      </c>
      <c r="Z27" s="244">
        <f t="shared" si="1"/>
        <v>6.0594039999999998</v>
      </c>
      <c r="AA27" s="244">
        <f t="shared" si="1"/>
        <v>16.045119999999997</v>
      </c>
      <c r="AB27" s="1277">
        <f t="shared" si="1"/>
        <v>10.374000000000001</v>
      </c>
      <c r="AC27" s="244">
        <f t="shared" si="8"/>
        <v>1.7120495679112995</v>
      </c>
      <c r="AD27" s="1277">
        <f t="shared" si="8"/>
        <v>62.235221674876854</v>
      </c>
      <c r="AE27" s="241">
        <f t="shared" si="2"/>
        <v>31</v>
      </c>
      <c r="AF27" s="244">
        <f t="shared" si="3"/>
        <v>187.84152399999999</v>
      </c>
      <c r="AG27" s="1281"/>
      <c r="AI27" s="1282">
        <f t="shared" si="4"/>
        <v>9.1209866148949921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709">
        <v>566.99</v>
      </c>
      <c r="J28" s="1448">
        <v>85</v>
      </c>
      <c r="K28" s="241"/>
      <c r="L28" s="1277">
        <v>338</v>
      </c>
      <c r="M28" s="241"/>
      <c r="N28" s="1278">
        <v>0.7</v>
      </c>
      <c r="O28" s="241"/>
      <c r="P28" s="1278">
        <f t="shared" si="6"/>
        <v>22.470466203451782</v>
      </c>
      <c r="Q28" s="1278">
        <f>J28*14/100</f>
        <v>11.9</v>
      </c>
      <c r="R28" s="244">
        <v>4.0640000000000001</v>
      </c>
      <c r="S28" s="244">
        <v>9.7850000000000001</v>
      </c>
      <c r="T28" s="1277">
        <v>17</v>
      </c>
      <c r="U28" s="1278">
        <f t="shared" si="0"/>
        <v>4.1830708661417324</v>
      </c>
      <c r="V28" s="1278">
        <f t="shared" si="7"/>
        <v>58.467041389882468</v>
      </c>
      <c r="W28" s="1279">
        <v>0.2</v>
      </c>
      <c r="X28" s="1449">
        <v>85</v>
      </c>
      <c r="Y28" s="1277">
        <f t="shared" si="5"/>
        <v>82.226890756302524</v>
      </c>
      <c r="Z28" s="244">
        <f t="shared" si="1"/>
        <v>4.0152320000000001</v>
      </c>
      <c r="AA28" s="244">
        <f t="shared" si="1"/>
        <v>9.6675799999999992</v>
      </c>
      <c r="AB28" s="1277">
        <f t="shared" si="1"/>
        <v>16.795999999999999</v>
      </c>
      <c r="AC28" s="244">
        <f t="shared" si="8"/>
        <v>4.1830708661417324</v>
      </c>
      <c r="AD28" s="1277">
        <f t="shared" si="8"/>
        <v>58.467041389882468</v>
      </c>
      <c r="AE28" s="241">
        <f t="shared" si="2"/>
        <v>31</v>
      </c>
      <c r="AF28" s="244">
        <f t="shared" si="3"/>
        <v>124.47219200000001</v>
      </c>
      <c r="AG28" s="1285"/>
      <c r="AI28" s="1282">
        <f t="shared" si="4"/>
        <v>22.470466203451782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709">
        <v>593.29</v>
      </c>
      <c r="J29" s="241">
        <v>260</v>
      </c>
      <c r="K29" s="241"/>
      <c r="L29" s="1277">
        <v>381</v>
      </c>
      <c r="M29" s="241"/>
      <c r="N29" s="1278">
        <v>3.7</v>
      </c>
      <c r="O29" s="241"/>
      <c r="P29" s="1278">
        <f t="shared" si="6"/>
        <v>24.34016930517571</v>
      </c>
      <c r="Q29" s="1278">
        <f>(15/100)*J29</f>
        <v>39</v>
      </c>
      <c r="R29" s="244">
        <v>1.216</v>
      </c>
      <c r="S29" s="244">
        <v>3.605</v>
      </c>
      <c r="T29" s="1277">
        <v>40</v>
      </c>
      <c r="U29" s="1278">
        <f t="shared" si="0"/>
        <v>32.894736842105267</v>
      </c>
      <c r="V29" s="1278">
        <f t="shared" si="7"/>
        <v>66.269070735090168</v>
      </c>
      <c r="W29" s="1279">
        <v>0.27</v>
      </c>
      <c r="X29" s="1316">
        <v>260</v>
      </c>
      <c r="Y29" s="1277">
        <f t="shared" si="5"/>
        <v>9.2435897435897427</v>
      </c>
      <c r="Z29" s="244">
        <f t="shared" si="1"/>
        <v>1.201408</v>
      </c>
      <c r="AA29" s="244">
        <f t="shared" si="1"/>
        <v>3.5617399999999999</v>
      </c>
      <c r="AB29" s="1277">
        <f t="shared" si="1"/>
        <v>39.519999999999996</v>
      </c>
      <c r="AC29" s="244">
        <f t="shared" si="8"/>
        <v>32.894736842105267</v>
      </c>
      <c r="AD29" s="1277">
        <f t="shared" si="8"/>
        <v>66.269070735090168</v>
      </c>
      <c r="AE29" s="241">
        <f t="shared" si="2"/>
        <v>31</v>
      </c>
      <c r="AF29" s="244">
        <f t="shared" si="3"/>
        <v>37.243648</v>
      </c>
      <c r="AG29" s="1285"/>
      <c r="AI29" s="1282">
        <f t="shared" si="4"/>
        <v>24.34016930517571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709" t="s">
        <v>298</v>
      </c>
      <c r="F30" s="241">
        <v>177.8</v>
      </c>
      <c r="G30" s="241" t="s">
        <v>28</v>
      </c>
      <c r="H30" s="1299" t="s">
        <v>687</v>
      </c>
      <c r="I30" s="1709">
        <v>558.21</v>
      </c>
      <c r="J30" s="1448">
        <v>85</v>
      </c>
      <c r="K30" s="241"/>
      <c r="L30" s="1277">
        <v>260</v>
      </c>
      <c r="M30" s="241"/>
      <c r="N30" s="1278">
        <v>3.5</v>
      </c>
      <c r="O30" s="241"/>
      <c r="P30" s="1278">
        <f t="shared" si="6"/>
        <v>32.286561827473449</v>
      </c>
      <c r="Q30" s="1278">
        <f>20*J30/100</f>
        <v>17</v>
      </c>
      <c r="R30" s="244">
        <v>1.8220000000000001</v>
      </c>
      <c r="S30" s="244">
        <v>9.7149999999999999</v>
      </c>
      <c r="T30" s="1277">
        <v>5</v>
      </c>
      <c r="U30" s="1278">
        <f t="shared" si="0"/>
        <v>2.74423710208562</v>
      </c>
      <c r="V30" s="1278">
        <f t="shared" si="7"/>
        <v>81.245496654657742</v>
      </c>
      <c r="W30" s="1279">
        <v>0.3</v>
      </c>
      <c r="X30" s="1449">
        <v>85</v>
      </c>
      <c r="Y30" s="1277">
        <f t="shared" si="5"/>
        <v>57.147058823529406</v>
      </c>
      <c r="Z30" s="244">
        <f t="shared" si="1"/>
        <v>1.800136</v>
      </c>
      <c r="AA30" s="244">
        <f t="shared" si="1"/>
        <v>9.5984199999999991</v>
      </c>
      <c r="AB30" s="1277">
        <f t="shared" si="1"/>
        <v>4.9399999999999995</v>
      </c>
      <c r="AC30" s="244">
        <f t="shared" si="8"/>
        <v>2.74423710208562</v>
      </c>
      <c r="AD30" s="1277">
        <f t="shared" si="8"/>
        <v>81.245496654657742</v>
      </c>
      <c r="AE30" s="241">
        <f t="shared" si="2"/>
        <v>31</v>
      </c>
      <c r="AF30" s="244">
        <f>Z30*AE30</f>
        <v>55.804215999999997</v>
      </c>
      <c r="AG30" s="1285"/>
      <c r="AI30" s="1282">
        <f t="shared" si="4"/>
        <v>32.286561827473449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709" t="s">
        <v>79</v>
      </c>
      <c r="F31" s="241">
        <v>177.8</v>
      </c>
      <c r="G31" s="241" t="s">
        <v>28</v>
      </c>
      <c r="H31" s="1299" t="s">
        <v>565</v>
      </c>
      <c r="I31" s="1709">
        <v>526.29</v>
      </c>
      <c r="J31" s="1448">
        <v>315</v>
      </c>
      <c r="K31" s="241"/>
      <c r="L31" s="1277">
        <v>239</v>
      </c>
      <c r="M31" s="241"/>
      <c r="N31" s="1278">
        <v>2.4</v>
      </c>
      <c r="O31" s="241"/>
      <c r="P31" s="1278">
        <f t="shared" si="6"/>
        <v>30.155322282553772</v>
      </c>
      <c r="Q31" s="1278">
        <f>LEFT(H31,(FIND("E",H31,1)-1))*J31/100</f>
        <v>100.8</v>
      </c>
      <c r="R31" s="244">
        <v>15.119</v>
      </c>
      <c r="S31" s="244">
        <v>73.233999999999995</v>
      </c>
      <c r="T31" s="1277">
        <v>338</v>
      </c>
      <c r="U31" s="1278">
        <f t="shared" si="0"/>
        <v>22.35597592433362</v>
      </c>
      <c r="V31" s="1278">
        <f t="shared" si="7"/>
        <v>79.355217521916046</v>
      </c>
      <c r="W31" s="1279">
        <v>0.2</v>
      </c>
      <c r="X31" s="1449">
        <v>315</v>
      </c>
      <c r="Y31" s="1277">
        <f t="shared" si="5"/>
        <v>72.652777777777771</v>
      </c>
      <c r="Z31" s="244">
        <f t="shared" si="1"/>
        <v>14.937571999999999</v>
      </c>
      <c r="AA31" s="244">
        <f t="shared" si="1"/>
        <v>72.355191999999988</v>
      </c>
      <c r="AB31" s="1277">
        <f t="shared" si="1"/>
        <v>333.94400000000002</v>
      </c>
      <c r="AC31" s="244">
        <f t="shared" si="8"/>
        <v>22.35597592433362</v>
      </c>
      <c r="AD31" s="1277">
        <f t="shared" si="8"/>
        <v>79.355217521916046</v>
      </c>
      <c r="AE31" s="241">
        <f t="shared" si="2"/>
        <v>31</v>
      </c>
      <c r="AF31" s="244">
        <f>Z31*AE31</f>
        <v>463.06473199999999</v>
      </c>
      <c r="AG31" s="1281"/>
      <c r="AI31" s="1282">
        <f t="shared" si="4"/>
        <v>30.155322282553772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709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280</v>
      </c>
      <c r="K32" s="241"/>
      <c r="L32" s="1277">
        <v>412</v>
      </c>
      <c r="M32" s="241"/>
      <c r="N32" s="1278">
        <v>5.2</v>
      </c>
      <c r="O32" s="241"/>
      <c r="P32" s="1278">
        <f t="shared" si="6"/>
        <v>15.256108099356066</v>
      </c>
      <c r="Q32" s="1278">
        <f>RIGHT(H32,(FIND("T",H32,1)-0))*J32/100</f>
        <v>56</v>
      </c>
      <c r="R32" s="244">
        <v>9.6039999999999992</v>
      </c>
      <c r="S32" s="244">
        <v>22.452000000000002</v>
      </c>
      <c r="T32" s="1277">
        <v>407</v>
      </c>
      <c r="U32" s="1278">
        <f t="shared" si="0"/>
        <v>42.378175760099964</v>
      </c>
      <c r="V32" s="1278">
        <f t="shared" si="7"/>
        <v>57.224300730447183</v>
      </c>
      <c r="W32" s="1279">
        <v>0.2</v>
      </c>
      <c r="X32" s="1316">
        <v>280</v>
      </c>
      <c r="Y32" s="1277">
        <f t="shared" si="5"/>
        <v>40.092857142857149</v>
      </c>
      <c r="Z32" s="244">
        <f t="shared" si="1"/>
        <v>9.4887519999999999</v>
      </c>
      <c r="AA32" s="244">
        <f t="shared" si="1"/>
        <v>22.182576000000001</v>
      </c>
      <c r="AB32" s="1277">
        <f t="shared" si="1"/>
        <v>402.11599999999999</v>
      </c>
      <c r="AC32" s="244">
        <f t="shared" si="8"/>
        <v>42.378175760099964</v>
      </c>
      <c r="AD32" s="1277">
        <f t="shared" si="8"/>
        <v>57.224300730447183</v>
      </c>
      <c r="AE32" s="241">
        <f t="shared" si="2"/>
        <v>31</v>
      </c>
      <c r="AF32" s="244">
        <f t="shared" si="3"/>
        <v>294.15131200000002</v>
      </c>
      <c r="AG32" s="1281"/>
      <c r="AI32" s="1282">
        <f t="shared" si="4"/>
        <v>15.256108099356066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709">
        <v>569.99</v>
      </c>
      <c r="J33" s="1448">
        <v>220</v>
      </c>
      <c r="K33" s="241"/>
      <c r="L33" s="1277">
        <v>404</v>
      </c>
      <c r="M33" s="241"/>
      <c r="N33" s="1278">
        <v>3.7</v>
      </c>
      <c r="O33" s="241"/>
      <c r="P33" s="1278">
        <f t="shared" si="6"/>
        <v>19.666549962584401</v>
      </c>
      <c r="Q33" s="1278">
        <f>LEFT(H33,(FIND("K",H33,1)-1))*J33/100</f>
        <v>28.6</v>
      </c>
      <c r="R33" s="244">
        <v>5.7560000000000002</v>
      </c>
      <c r="S33" s="244">
        <v>18.675999999999998</v>
      </c>
      <c r="T33" s="1277">
        <v>76</v>
      </c>
      <c r="U33" s="1278">
        <f t="shared" si="0"/>
        <v>13.20361362056984</v>
      </c>
      <c r="V33" s="1278">
        <f t="shared" si="7"/>
        <v>69.179695866352532</v>
      </c>
      <c r="W33" s="1279">
        <v>0.2</v>
      </c>
      <c r="X33" s="1449">
        <v>220</v>
      </c>
      <c r="Y33" s="1277">
        <f t="shared" si="5"/>
        <v>65.300699300699293</v>
      </c>
      <c r="Z33" s="244">
        <f t="shared" si="1"/>
        <v>5.686928</v>
      </c>
      <c r="AA33" s="244">
        <f t="shared" si="1"/>
        <v>18.451887999999997</v>
      </c>
      <c r="AB33" s="1277">
        <f t="shared" si="1"/>
        <v>75.087999999999994</v>
      </c>
      <c r="AC33" s="244">
        <f t="shared" si="8"/>
        <v>13.20361362056984</v>
      </c>
      <c r="AD33" s="1277">
        <f t="shared" si="8"/>
        <v>69.179695866352532</v>
      </c>
      <c r="AE33" s="241">
        <f t="shared" si="2"/>
        <v>31</v>
      </c>
      <c r="AF33" s="244">
        <f>Z33*AE33</f>
        <v>176.294768</v>
      </c>
      <c r="AG33" s="1285"/>
      <c r="AI33" s="1282">
        <f t="shared" si="4"/>
        <v>19.666549962584401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6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7"/>
        <v>#DIV/0!</v>
      </c>
      <c r="W34" s="1308">
        <v>0</v>
      </c>
      <c r="X34" s="238">
        <v>0</v>
      </c>
      <c r="Y34" s="1277">
        <f t="shared" si="5"/>
        <v>0</v>
      </c>
      <c r="Z34" s="244">
        <v>0</v>
      </c>
      <c r="AA34" s="244">
        <v>0</v>
      </c>
      <c r="AB34" s="1277">
        <f t="shared" si="1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4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115</v>
      </c>
      <c r="K35" s="241"/>
      <c r="L35" s="1277">
        <v>445</v>
      </c>
      <c r="M35" s="241"/>
      <c r="N35" s="1278">
        <v>2.8</v>
      </c>
      <c r="O35" s="241"/>
      <c r="P35" s="1278">
        <f t="shared" si="6"/>
        <v>14.091677774552178</v>
      </c>
      <c r="Q35" s="1278">
        <f>20*J35/100</f>
        <v>23</v>
      </c>
      <c r="R35" s="244">
        <v>2.3490000000000002</v>
      </c>
      <c r="S35" s="244">
        <v>8.1</v>
      </c>
      <c r="T35" s="1277">
        <v>17.399999999999999</v>
      </c>
      <c r="U35" s="1278">
        <f t="shared" si="0"/>
        <v>7.4074074074074066</v>
      </c>
      <c r="V35" s="1278">
        <f t="shared" si="7"/>
        <v>71</v>
      </c>
      <c r="W35" s="1279">
        <v>0.2</v>
      </c>
      <c r="X35" s="1316">
        <v>115</v>
      </c>
      <c r="Y35" s="1277">
        <f t="shared" si="5"/>
        <v>35.217391304347821</v>
      </c>
      <c r="Z35" s="244">
        <f t="shared" si="1"/>
        <v>2.3208120000000001</v>
      </c>
      <c r="AA35" s="244">
        <f t="shared" si="1"/>
        <v>8.0027999999999988</v>
      </c>
      <c r="AB35" s="1277">
        <f t="shared" si="1"/>
        <v>17.191199999999998</v>
      </c>
      <c r="AC35" s="1307">
        <f t="shared" si="8"/>
        <v>7.4074074074074066</v>
      </c>
      <c r="AD35" s="1305">
        <f t="shared" si="8"/>
        <v>71</v>
      </c>
      <c r="AE35" s="241">
        <f t="shared" si="2"/>
        <v>31</v>
      </c>
      <c r="AF35" s="1307">
        <f>Z35*AE35</f>
        <v>71.945171999999999</v>
      </c>
      <c r="AG35" s="1285"/>
      <c r="AI35" s="1282">
        <f t="shared" si="4"/>
        <v>14.091677774552178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709">
        <v>564.05999999999995</v>
      </c>
      <c r="J36" s="241">
        <v>150</v>
      </c>
      <c r="K36" s="241"/>
      <c r="L36" s="1277">
        <v>353</v>
      </c>
      <c r="M36" s="241"/>
      <c r="N36" s="1278">
        <v>0</v>
      </c>
      <c r="O36" s="241"/>
      <c r="P36" s="1278">
        <f t="shared" si="6"/>
        <v>20.149681568600556</v>
      </c>
      <c r="Q36" s="1278">
        <f>LEFT(H36,(FIND("E",H36,1)-1))*J36/100</f>
        <v>19.5</v>
      </c>
      <c r="R36" s="244">
        <v>3.62</v>
      </c>
      <c r="S36" s="244">
        <v>10.696999999999999</v>
      </c>
      <c r="T36" s="1277">
        <v>9</v>
      </c>
      <c r="U36" s="1278">
        <f t="shared" si="0"/>
        <v>2.4861878453038675</v>
      </c>
      <c r="V36" s="1278">
        <f t="shared" si="7"/>
        <v>66.158736094232026</v>
      </c>
      <c r="W36" s="1279">
        <v>0</v>
      </c>
      <c r="X36" s="1316">
        <v>150</v>
      </c>
      <c r="Y36" s="1277">
        <f t="shared" si="5"/>
        <v>54.85641025641025</v>
      </c>
      <c r="Z36" s="244">
        <f t="shared" si="1"/>
        <v>3.5765600000000002</v>
      </c>
      <c r="AA36" s="244">
        <v>9.2829999999999995</v>
      </c>
      <c r="AB36" s="1277">
        <v>17</v>
      </c>
      <c r="AC36" s="1307">
        <f t="shared" si="8"/>
        <v>2.4861878453038675</v>
      </c>
      <c r="AD36" s="1305">
        <f t="shared" si="8"/>
        <v>66.158736094232026</v>
      </c>
      <c r="AE36" s="241">
        <f t="shared" si="2"/>
        <v>31</v>
      </c>
      <c r="AF36" s="244">
        <f t="shared" si="3"/>
        <v>110.87336000000001</v>
      </c>
      <c r="AG36" s="1281"/>
      <c r="AI36" s="1282">
        <f t="shared" si="4"/>
        <v>20.149681568600556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709">
        <v>551</v>
      </c>
      <c r="J37" s="1448">
        <v>165</v>
      </c>
      <c r="K37" s="241"/>
      <c r="L37" s="1277">
        <v>463</v>
      </c>
      <c r="M37" s="241"/>
      <c r="N37" s="1278">
        <v>2.5</v>
      </c>
      <c r="O37" s="241"/>
      <c r="P37" s="1278">
        <f t="shared" si="6"/>
        <v>10.615410083112709</v>
      </c>
      <c r="Q37" s="1278">
        <f>14*J37/100</f>
        <v>23.1</v>
      </c>
      <c r="R37" s="244">
        <v>4.7279999999999998</v>
      </c>
      <c r="S37" s="244">
        <v>8.6310000000000002</v>
      </c>
      <c r="T37" s="1277">
        <v>53</v>
      </c>
      <c r="U37" s="1278">
        <f t="shared" si="0"/>
        <v>11.209813874788495</v>
      </c>
      <c r="V37" s="1278">
        <f t="shared" si="7"/>
        <v>45.220716023635738</v>
      </c>
      <c r="W37" s="1279">
        <v>0.2</v>
      </c>
      <c r="X37" s="1449">
        <v>165</v>
      </c>
      <c r="Y37" s="1277">
        <f t="shared" si="5"/>
        <v>37.36363636363636</v>
      </c>
      <c r="Z37" s="244">
        <f t="shared" ref="Z37:AB45" si="10">R37*0.988</f>
        <v>4.6712639999999999</v>
      </c>
      <c r="AA37" s="244">
        <f t="shared" si="10"/>
        <v>8.5274280000000005</v>
      </c>
      <c r="AB37" s="1277">
        <f t="shared" si="10"/>
        <v>52.363999999999997</v>
      </c>
      <c r="AC37" s="244">
        <f t="shared" ref="AC37:AD38" si="11">U37</f>
        <v>11.209813874788495</v>
      </c>
      <c r="AD37" s="1305">
        <f t="shared" si="11"/>
        <v>45.220716023635738</v>
      </c>
      <c r="AE37" s="241">
        <f t="shared" si="2"/>
        <v>31</v>
      </c>
      <c r="AF37" s="244">
        <f t="shared" si="3"/>
        <v>144.80918399999999</v>
      </c>
      <c r="AG37" s="1450"/>
      <c r="AI37" s="1282">
        <f t="shared" si="4"/>
        <v>10.615410083112709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709">
        <v>565.36</v>
      </c>
      <c r="J38" s="241">
        <v>100</v>
      </c>
      <c r="K38" s="241"/>
      <c r="L38" s="1277">
        <v>325</v>
      </c>
      <c r="M38" s="241"/>
      <c r="N38" s="1278">
        <v>1.6</v>
      </c>
      <c r="O38" s="241"/>
      <c r="P38" s="1278">
        <f t="shared" si="6"/>
        <v>24.712929643030858</v>
      </c>
      <c r="Q38" s="1278">
        <f>13*J38/100</f>
        <v>13</v>
      </c>
      <c r="R38" s="244">
        <v>2.4380000000000002</v>
      </c>
      <c r="S38" s="244">
        <v>11.161</v>
      </c>
      <c r="T38" s="1277">
        <v>12.5</v>
      </c>
      <c r="U38" s="1278">
        <f>IF(R38=0,0,T38/R38)</f>
        <v>5.1271534044298601</v>
      </c>
      <c r="V38" s="1278">
        <f t="shared" si="7"/>
        <v>78.156079204372361</v>
      </c>
      <c r="W38" s="1279">
        <v>0.2</v>
      </c>
      <c r="X38" s="1316">
        <v>100</v>
      </c>
      <c r="Y38" s="1277">
        <f t="shared" si="5"/>
        <v>85.853846153846149</v>
      </c>
      <c r="Z38" s="244">
        <f t="shared" si="10"/>
        <v>2.408744</v>
      </c>
      <c r="AA38" s="244">
        <f t="shared" si="10"/>
        <v>11.027068</v>
      </c>
      <c r="AB38" s="1277">
        <f t="shared" si="10"/>
        <v>12.35</v>
      </c>
      <c r="AC38" s="244">
        <f t="shared" si="11"/>
        <v>5.1271534044298601</v>
      </c>
      <c r="AD38" s="1305">
        <f t="shared" si="11"/>
        <v>78.156079204372361</v>
      </c>
      <c r="AE38" s="241">
        <f t="shared" si="2"/>
        <v>31</v>
      </c>
      <c r="AF38" s="244">
        <f>Z38*AE38</f>
        <v>74.671064000000001</v>
      </c>
      <c r="AG38" s="1281"/>
      <c r="AI38" s="1282">
        <f t="shared" si="4"/>
        <v>24.712929643030858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709">
        <v>535.91</v>
      </c>
      <c r="J39" s="1448">
        <v>300</v>
      </c>
      <c r="K39" s="241"/>
      <c r="L39" s="1277">
        <v>447</v>
      </c>
      <c r="M39" s="241"/>
      <c r="N39" s="1278">
        <v>2.2999999999999998</v>
      </c>
      <c r="O39" s="241"/>
      <c r="P39" s="1278">
        <f t="shared" si="6"/>
        <v>10.413744174329938</v>
      </c>
      <c r="Q39" s="1278">
        <f>(20/100)*J39</f>
        <v>60</v>
      </c>
      <c r="R39" s="244">
        <v>8.94</v>
      </c>
      <c r="S39" s="244">
        <v>14.164</v>
      </c>
      <c r="T39" s="1277">
        <v>209</v>
      </c>
      <c r="U39" s="1278">
        <f t="shared" ref="U39:U86" si="12">IF(R39=0,0,T39/R39)</f>
        <v>23.378076062639824</v>
      </c>
      <c r="V39" s="1278">
        <f t="shared" si="7"/>
        <v>36.882236656311775</v>
      </c>
      <c r="W39" s="1279">
        <v>0.2</v>
      </c>
      <c r="X39" s="1449">
        <v>300</v>
      </c>
      <c r="Y39" s="1277">
        <f t="shared" si="5"/>
        <v>23.606666666666669</v>
      </c>
      <c r="Z39" s="244">
        <f t="shared" si="10"/>
        <v>8.8327200000000001</v>
      </c>
      <c r="AA39" s="244">
        <f t="shared" si="10"/>
        <v>13.994031999999999</v>
      </c>
      <c r="AB39" s="1277">
        <f t="shared" si="10"/>
        <v>206.49199999999999</v>
      </c>
      <c r="AC39" s="244">
        <v>89.536086956521729</v>
      </c>
      <c r="AD39" s="1305">
        <f>V39</f>
        <v>36.882236656311775</v>
      </c>
      <c r="AE39" s="241">
        <f t="shared" si="2"/>
        <v>31</v>
      </c>
      <c r="AF39" s="244">
        <f t="shared" si="3"/>
        <v>273.81432000000001</v>
      </c>
      <c r="AG39" s="1314"/>
      <c r="AI39" s="1282">
        <f t="shared" si="4"/>
        <v>10.413744174329938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730">
        <v>565.11</v>
      </c>
      <c r="J40" s="1448">
        <v>220</v>
      </c>
      <c r="K40" s="241"/>
      <c r="L40" s="1277">
        <v>0</v>
      </c>
      <c r="M40" s="241"/>
      <c r="N40" s="1278">
        <v>0</v>
      </c>
      <c r="O40" s="241"/>
      <c r="P40" s="1278">
        <f t="shared" si="6"/>
        <v>55.130686579166145</v>
      </c>
      <c r="Q40" s="1278">
        <f>LEFT(H40,(FIND("K",H40,1)-1))*J40/100</f>
        <v>50.6</v>
      </c>
      <c r="R40" s="244">
        <v>1.085</v>
      </c>
      <c r="S40" s="244">
        <v>7.0789999999999997</v>
      </c>
      <c r="T40" s="1277">
        <v>22</v>
      </c>
      <c r="U40" s="1278">
        <f t="shared" si="12"/>
        <v>20.276497695852534</v>
      </c>
      <c r="V40" s="1278">
        <f t="shared" si="7"/>
        <v>84.67297640909733</v>
      </c>
      <c r="W40" s="1279">
        <v>0</v>
      </c>
      <c r="X40" s="1449">
        <v>220</v>
      </c>
      <c r="Y40" s="1277">
        <f t="shared" si="5"/>
        <v>13.990118577075098</v>
      </c>
      <c r="Z40" s="244">
        <f t="shared" si="10"/>
        <v>1.0719799999999999</v>
      </c>
      <c r="AA40" s="244">
        <f t="shared" si="10"/>
        <v>6.9940519999999999</v>
      </c>
      <c r="AB40" s="1277">
        <f t="shared" si="10"/>
        <v>21.736000000000001</v>
      </c>
      <c r="AC40" s="244">
        <f>U40</f>
        <v>20.276497695852534</v>
      </c>
      <c r="AD40" s="1277">
        <f>V40</f>
        <v>84.67297640909733</v>
      </c>
      <c r="AE40" s="241">
        <v>31</v>
      </c>
      <c r="AF40" s="244">
        <f t="shared" si="3"/>
        <v>33.231380000000001</v>
      </c>
      <c r="AG40" s="1281"/>
      <c r="AI40" s="1282">
        <f t="shared" si="4"/>
        <v>55.130686579166145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85</v>
      </c>
      <c r="K41" s="241"/>
      <c r="L41" s="1277">
        <v>471</v>
      </c>
      <c r="M41" s="241"/>
      <c r="N41" s="1278">
        <v>3.2</v>
      </c>
      <c r="O41" s="241"/>
      <c r="P41" s="1278">
        <f t="shared" si="6"/>
        <v>11.181282208600813</v>
      </c>
      <c r="Q41" s="1278">
        <f>14*J41/100</f>
        <v>11.9</v>
      </c>
      <c r="R41" s="244">
        <v>2.4870000000000001</v>
      </c>
      <c r="S41" s="244">
        <v>10.88</v>
      </c>
      <c r="T41" s="1277">
        <v>0.5</v>
      </c>
      <c r="U41" s="1278">
        <f t="shared" si="12"/>
        <v>0.20104543626859669</v>
      </c>
      <c r="V41" s="1278">
        <f t="shared" si="7"/>
        <v>77.141544117647072</v>
      </c>
      <c r="W41" s="1279">
        <v>0.2</v>
      </c>
      <c r="X41" s="1316">
        <v>85</v>
      </c>
      <c r="Y41" s="1277">
        <f t="shared" si="5"/>
        <v>91.428571428571431</v>
      </c>
      <c r="Z41" s="244">
        <f t="shared" si="10"/>
        <v>2.4571559999999999</v>
      </c>
      <c r="AA41" s="244">
        <f t="shared" si="10"/>
        <v>10.74944</v>
      </c>
      <c r="AB41" s="1277">
        <f t="shared" si="10"/>
        <v>0.49399999999999999</v>
      </c>
      <c r="AC41" s="244">
        <f>U41</f>
        <v>0.20104543626859669</v>
      </c>
      <c r="AD41" s="1277">
        <f>V41</f>
        <v>77.141544117647072</v>
      </c>
      <c r="AE41" s="241">
        <f t="shared" si="2"/>
        <v>31</v>
      </c>
      <c r="AF41" s="244">
        <f t="shared" si="3"/>
        <v>76.171835999999999</v>
      </c>
      <c r="AG41" s="1285"/>
      <c r="AI41" s="1282">
        <f t="shared" si="4"/>
        <v>11.181282208600813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6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2"/>
        <v>0</v>
      </c>
      <c r="V42" s="1278" t="e">
        <f t="shared" si="7"/>
        <v>#DIV/0!</v>
      </c>
      <c r="W42" s="1279">
        <v>0</v>
      </c>
      <c r="X42" s="1316">
        <v>0</v>
      </c>
      <c r="Y42" s="1277">
        <f t="shared" si="5"/>
        <v>0</v>
      </c>
      <c r="Z42" s="244">
        <f t="shared" si="10"/>
        <v>0</v>
      </c>
      <c r="AA42" s="244">
        <f t="shared" si="10"/>
        <v>0</v>
      </c>
      <c r="AB42" s="1277">
        <f t="shared" si="10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3"/>
        <v>0</v>
      </c>
      <c r="AG42" s="1281" t="s">
        <v>769</v>
      </c>
      <c r="AI42" s="1282" t="e">
        <f t="shared" si="4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709">
        <v>554.16999999999996</v>
      </c>
      <c r="J43" s="1448">
        <v>125</v>
      </c>
      <c r="K43" s="241"/>
      <c r="L43" s="1277">
        <v>331</v>
      </c>
      <c r="M43" s="241"/>
      <c r="N43" s="1278">
        <v>4.3</v>
      </c>
      <c r="O43" s="241"/>
      <c r="P43" s="1278">
        <f t="shared" si="6"/>
        <v>25.89639409811198</v>
      </c>
      <c r="Q43" s="1278">
        <f>(32/100)*J43</f>
        <v>40</v>
      </c>
      <c r="R43" s="244">
        <v>7.4969999999999999</v>
      </c>
      <c r="S43" s="244">
        <v>36.384999999999998</v>
      </c>
      <c r="T43" s="1277">
        <v>110</v>
      </c>
      <c r="U43" s="1278">
        <f t="shared" si="12"/>
        <v>14.672535680939042</v>
      </c>
      <c r="V43" s="1278">
        <f t="shared" si="7"/>
        <v>79.395355228803083</v>
      </c>
      <c r="W43" s="1279">
        <v>0.2</v>
      </c>
      <c r="X43" s="1449">
        <v>125</v>
      </c>
      <c r="Y43" s="1277">
        <f t="shared" si="5"/>
        <v>90.962499999999991</v>
      </c>
      <c r="Z43" s="244">
        <f t="shared" si="10"/>
        <v>7.4070359999999997</v>
      </c>
      <c r="AA43" s="244">
        <f t="shared" si="10"/>
        <v>35.94838</v>
      </c>
      <c r="AB43" s="1277">
        <f t="shared" si="10"/>
        <v>108.67999999999999</v>
      </c>
      <c r="AC43" s="244">
        <f>U43</f>
        <v>14.672535680939042</v>
      </c>
      <c r="AD43" s="1277">
        <f>V43</f>
        <v>79.395355228803083</v>
      </c>
      <c r="AE43" s="241">
        <f>(DAY(EOMONTH($AH$17,0))-AH43)</f>
        <v>31</v>
      </c>
      <c r="AF43" s="244">
        <f t="shared" si="3"/>
        <v>229.61811599999999</v>
      </c>
      <c r="AG43" s="1281"/>
      <c r="AI43" s="1282">
        <f t="shared" si="4"/>
        <v>25.89639409811198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709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5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4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709">
        <v>544.70000000000005</v>
      </c>
      <c r="J45" s="241">
        <v>85</v>
      </c>
      <c r="K45" s="241"/>
      <c r="L45" s="1277">
        <v>108</v>
      </c>
      <c r="M45" s="241"/>
      <c r="N45" s="1278">
        <v>3.2</v>
      </c>
      <c r="O45" s="241"/>
      <c r="P45" s="1278">
        <f t="shared" si="6"/>
        <v>45.190519451777654</v>
      </c>
      <c r="Q45" s="1278">
        <f>J45*20/100</f>
        <v>17</v>
      </c>
      <c r="R45" s="244">
        <v>4.3</v>
      </c>
      <c r="S45" s="244">
        <v>19.533000000000001</v>
      </c>
      <c r="T45" s="1277">
        <v>23</v>
      </c>
      <c r="U45" s="1278">
        <f t="shared" si="12"/>
        <v>5.3488372093023262</v>
      </c>
      <c r="V45" s="1278">
        <f t="shared" si="7"/>
        <v>77.985972456867856</v>
      </c>
      <c r="W45" s="1279">
        <v>0.2</v>
      </c>
      <c r="X45" s="1316">
        <v>85</v>
      </c>
      <c r="Y45" s="1277">
        <f t="shared" si="5"/>
        <v>114.9</v>
      </c>
      <c r="Z45" s="244">
        <f t="shared" si="10"/>
        <v>4.2484000000000002</v>
      </c>
      <c r="AA45" s="244">
        <v>18.190999999999999</v>
      </c>
      <c r="AB45" s="1277">
        <v>31</v>
      </c>
      <c r="AC45" s="244">
        <f t="shared" ref="AC45:AD51" si="13">U45</f>
        <v>5.3488372093023262</v>
      </c>
      <c r="AD45" s="1277">
        <f t="shared" si="13"/>
        <v>77.985972456867856</v>
      </c>
      <c r="AE45" s="241">
        <f t="shared" ref="AE45:AE81" si="14">(DAY(EOMONTH($AH$17,0))-AH45)</f>
        <v>31</v>
      </c>
      <c r="AF45" s="244">
        <f t="shared" si="3"/>
        <v>131.7004</v>
      </c>
      <c r="AG45" s="1281"/>
      <c r="AI45" s="1282">
        <f t="shared" si="4"/>
        <v>45.190519451777654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712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712">
        <v>553.30999999999995</v>
      </c>
      <c r="J46" s="1712">
        <v>220</v>
      </c>
      <c r="K46" s="1712"/>
      <c r="L46" s="1319">
        <v>421</v>
      </c>
      <c r="M46" s="1712"/>
      <c r="N46" s="1278">
        <v>2.1</v>
      </c>
      <c r="O46" s="1712"/>
      <c r="P46" s="1278">
        <f t="shared" si="6"/>
        <v>14.584309198641819</v>
      </c>
      <c r="Q46" s="1278">
        <f>J46*32/100</f>
        <v>70.400000000000006</v>
      </c>
      <c r="R46" s="244">
        <v>9.9049999999999994</v>
      </c>
      <c r="S46" s="244">
        <v>24.436</v>
      </c>
      <c r="T46" s="1319">
        <v>299</v>
      </c>
      <c r="U46" s="1278">
        <f t="shared" si="12"/>
        <v>30.186774356385666</v>
      </c>
      <c r="V46" s="1278">
        <f t="shared" si="7"/>
        <v>59.465542642003598</v>
      </c>
      <c r="W46" s="1279">
        <v>0.2</v>
      </c>
      <c r="X46" s="1410">
        <v>220</v>
      </c>
      <c r="Y46" s="1277">
        <f t="shared" si="5"/>
        <v>34.710227272727266</v>
      </c>
      <c r="Z46" s="244">
        <f t="shared" ref="Z46:AB55" si="15">R46*0.988</f>
        <v>9.7861399999999996</v>
      </c>
      <c r="AA46" s="244">
        <f t="shared" si="15"/>
        <v>24.142768</v>
      </c>
      <c r="AB46" s="1277">
        <f t="shared" si="15"/>
        <v>295.41199999999998</v>
      </c>
      <c r="AC46" s="244">
        <f t="shared" si="13"/>
        <v>30.186774356385666</v>
      </c>
      <c r="AD46" s="1277">
        <f t="shared" si="13"/>
        <v>59.465542642003598</v>
      </c>
      <c r="AE46" s="241">
        <f t="shared" si="14"/>
        <v>31</v>
      </c>
      <c r="AF46" s="244">
        <f t="shared" si="3"/>
        <v>303.37034</v>
      </c>
      <c r="AG46" s="1285"/>
      <c r="AI46" s="1282">
        <f t="shared" si="4"/>
        <v>14.584309198641819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712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712">
        <v>550.59</v>
      </c>
      <c r="J47" s="1373">
        <v>70</v>
      </c>
      <c r="K47" s="1712"/>
      <c r="L47" s="1277">
        <v>379</v>
      </c>
      <c r="M47" s="1712"/>
      <c r="N47" s="1278">
        <v>0.3</v>
      </c>
      <c r="O47" s="1712"/>
      <c r="P47" s="1278">
        <f t="shared" si="6"/>
        <v>16.279026629959695</v>
      </c>
      <c r="Q47" s="1278">
        <f>RIGHT(H47,(FIND("T",H47,1)-0))*J47/100</f>
        <v>9.8000000000000007</v>
      </c>
      <c r="R47" s="244">
        <v>1.0620000000000001</v>
      </c>
      <c r="S47" s="244">
        <v>1.9430000000000001</v>
      </c>
      <c r="T47" s="1319">
        <v>1</v>
      </c>
      <c r="U47" s="1278">
        <f t="shared" si="12"/>
        <v>0.94161958568738224</v>
      </c>
      <c r="V47" s="1278">
        <f t="shared" si="7"/>
        <v>45.342254246011322</v>
      </c>
      <c r="W47" s="1279">
        <v>0.2</v>
      </c>
      <c r="X47" s="1452">
        <v>70</v>
      </c>
      <c r="Y47" s="1277">
        <f t="shared" si="5"/>
        <v>19.826530612244898</v>
      </c>
      <c r="Z47" s="244">
        <f t="shared" si="15"/>
        <v>1.049256</v>
      </c>
      <c r="AA47" s="244">
        <f t="shared" si="15"/>
        <v>1.9196839999999999</v>
      </c>
      <c r="AB47" s="1277">
        <f t="shared" si="15"/>
        <v>0.98799999999999999</v>
      </c>
      <c r="AC47" s="244">
        <f t="shared" si="13"/>
        <v>0.94161958568738224</v>
      </c>
      <c r="AD47" s="1277">
        <f t="shared" si="13"/>
        <v>45.342254246011322</v>
      </c>
      <c r="AE47" s="241">
        <f t="shared" si="14"/>
        <v>31</v>
      </c>
      <c r="AF47" s="244">
        <f t="shared" si="3"/>
        <v>32.526935999999999</v>
      </c>
      <c r="AG47" s="1285"/>
      <c r="AI47" s="1282">
        <f t="shared" si="4"/>
        <v>16.279026629959695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712">
        <v>579</v>
      </c>
      <c r="E48" s="241" t="s">
        <v>597</v>
      </c>
      <c r="F48" s="241">
        <v>177.8</v>
      </c>
      <c r="G48" s="241" t="s">
        <v>28</v>
      </c>
      <c r="H48" s="1299" t="s">
        <v>685</v>
      </c>
      <c r="I48" s="1712">
        <v>548.82000000000005</v>
      </c>
      <c r="J48" s="1712">
        <v>75</v>
      </c>
      <c r="K48" s="1712"/>
      <c r="L48" s="1319">
        <v>503</v>
      </c>
      <c r="M48" s="1712"/>
      <c r="N48" s="1278">
        <v>0.2</v>
      </c>
      <c r="O48" s="1712"/>
      <c r="P48" s="1278">
        <f t="shared" si="6"/>
        <v>4.379559758051176</v>
      </c>
      <c r="Q48" s="1278">
        <f>14*J48/100</f>
        <v>10.5</v>
      </c>
      <c r="R48" s="244">
        <v>4.1639999999999997</v>
      </c>
      <c r="S48" s="244">
        <v>5.8659999999999997</v>
      </c>
      <c r="T48" s="1319">
        <v>13.5</v>
      </c>
      <c r="U48" s="1278">
        <f t="shared" si="12"/>
        <v>3.2420749279538907</v>
      </c>
      <c r="V48" s="1278">
        <f t="shared" si="7"/>
        <v>29.014660756904192</v>
      </c>
      <c r="W48" s="1279">
        <v>0.2</v>
      </c>
      <c r="X48" s="1410">
        <v>75</v>
      </c>
      <c r="Y48" s="1277">
        <f t="shared" si="5"/>
        <v>55.866666666666667</v>
      </c>
      <c r="Z48" s="244">
        <f t="shared" si="15"/>
        <v>4.1140319999999999</v>
      </c>
      <c r="AA48" s="244">
        <v>6.0337160000000001</v>
      </c>
      <c r="AB48" s="1277">
        <v>14.82</v>
      </c>
      <c r="AC48" s="244">
        <f t="shared" si="13"/>
        <v>3.2420749279538907</v>
      </c>
      <c r="AD48" s="1277">
        <f t="shared" si="13"/>
        <v>29.014660756904192</v>
      </c>
      <c r="AE48" s="241">
        <f t="shared" si="14"/>
        <v>31</v>
      </c>
      <c r="AF48" s="244">
        <f t="shared" si="3"/>
        <v>127.534992</v>
      </c>
      <c r="AG48" s="1285"/>
      <c r="AI48" s="1282">
        <f t="shared" si="4"/>
        <v>4.379559758051176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712">
        <v>538.69000000000005</v>
      </c>
      <c r="J49" s="241">
        <v>100</v>
      </c>
      <c r="K49" s="241"/>
      <c r="L49" s="1277">
        <v>491</v>
      </c>
      <c r="M49" s="241"/>
      <c r="N49" s="1278">
        <v>2.2000000000000002</v>
      </c>
      <c r="O49" s="241"/>
      <c r="P49" s="1278">
        <f t="shared" si="6"/>
        <v>6.7918722928816901</v>
      </c>
      <c r="Q49" s="1278">
        <f>20*J49/100</f>
        <v>20</v>
      </c>
      <c r="R49" s="244">
        <v>3.2810000000000001</v>
      </c>
      <c r="S49" s="244">
        <v>11.708</v>
      </c>
      <c r="T49" s="1277">
        <v>11.5</v>
      </c>
      <c r="U49" s="1278">
        <f t="shared" si="12"/>
        <v>3.5050289545870159</v>
      </c>
      <c r="V49" s="1278">
        <f t="shared" si="7"/>
        <v>71.976426375128113</v>
      </c>
      <c r="W49" s="1279">
        <v>0.2</v>
      </c>
      <c r="X49" s="1316">
        <v>100</v>
      </c>
      <c r="Y49" s="1277">
        <f t="shared" si="5"/>
        <v>58.540000000000006</v>
      </c>
      <c r="Z49" s="244">
        <f t="shared" si="15"/>
        <v>3.241628</v>
      </c>
      <c r="AA49" s="244">
        <f t="shared" si="15"/>
        <v>11.567504</v>
      </c>
      <c r="AB49" s="1277">
        <f t="shared" si="15"/>
        <v>11.362</v>
      </c>
      <c r="AC49" s="244">
        <f t="shared" si="13"/>
        <v>3.5050289545870159</v>
      </c>
      <c r="AD49" s="1277">
        <f t="shared" si="13"/>
        <v>71.976426375128113</v>
      </c>
      <c r="AE49" s="241">
        <f t="shared" si="14"/>
        <v>31</v>
      </c>
      <c r="AF49" s="244">
        <f t="shared" si="3"/>
        <v>100.49046799999999</v>
      </c>
      <c r="AG49" s="1285"/>
      <c r="AI49" s="1282">
        <f t="shared" si="4"/>
        <v>6.7918722928816901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686</v>
      </c>
      <c r="I50" s="1712">
        <v>572.09</v>
      </c>
      <c r="J50" s="241">
        <v>85</v>
      </c>
      <c r="K50" s="241"/>
      <c r="L50" s="1277">
        <v>358</v>
      </c>
      <c r="M50" s="241"/>
      <c r="N50" s="1278">
        <v>1.2</v>
      </c>
      <c r="O50" s="241"/>
      <c r="P50" s="1278">
        <f t="shared" si="6"/>
        <v>21.818050039625255</v>
      </c>
      <c r="Q50" s="1278">
        <f>20*J50/100</f>
        <v>17</v>
      </c>
      <c r="R50" s="244">
        <v>3.9089999999999998</v>
      </c>
      <c r="S50" s="244">
        <v>13.648999999999999</v>
      </c>
      <c r="T50" s="1277">
        <v>0.5</v>
      </c>
      <c r="U50" s="1278">
        <f t="shared" si="12"/>
        <v>0.12790995139421849</v>
      </c>
      <c r="V50" s="1278">
        <f t="shared" si="7"/>
        <v>71.360539233643479</v>
      </c>
      <c r="W50" s="1279">
        <v>0.3</v>
      </c>
      <c r="X50" s="1316">
        <v>85</v>
      </c>
      <c r="Y50" s="1277">
        <f t="shared" si="5"/>
        <v>80.288235294117641</v>
      </c>
      <c r="Z50" s="244">
        <f t="shared" si="15"/>
        <v>3.8620919999999996</v>
      </c>
      <c r="AA50" s="244">
        <f t="shared" si="15"/>
        <v>13.485211999999999</v>
      </c>
      <c r="AB50" s="1277">
        <f t="shared" si="15"/>
        <v>0.49399999999999999</v>
      </c>
      <c r="AC50" s="244">
        <f t="shared" si="13"/>
        <v>0.12790995139421849</v>
      </c>
      <c r="AD50" s="1277">
        <f t="shared" si="13"/>
        <v>71.360539233643479</v>
      </c>
      <c r="AE50" s="241">
        <f t="shared" si="14"/>
        <v>31</v>
      </c>
      <c r="AF50" s="244">
        <f t="shared" si="3"/>
        <v>119.72485199999998</v>
      </c>
      <c r="AG50" s="1285"/>
      <c r="AH50" s="1252"/>
      <c r="AI50" s="1282">
        <f t="shared" si="4"/>
        <v>21.818050039625255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712" t="s">
        <v>600</v>
      </c>
      <c r="F51" s="241">
        <v>177.8</v>
      </c>
      <c r="G51" s="241" t="s">
        <v>28</v>
      </c>
      <c r="H51" s="1299" t="s">
        <v>687</v>
      </c>
      <c r="I51" s="1712">
        <v>546.08000000000004</v>
      </c>
      <c r="J51" s="241">
        <v>85</v>
      </c>
      <c r="K51" s="241"/>
      <c r="L51" s="1322">
        <v>175</v>
      </c>
      <c r="M51" s="241"/>
      <c r="N51" s="1306">
        <v>3.2</v>
      </c>
      <c r="O51" s="241"/>
      <c r="P51" s="1278">
        <f t="shared" si="6"/>
        <v>39.434387887860197</v>
      </c>
      <c r="Q51" s="1278">
        <v>20</v>
      </c>
      <c r="R51" s="244">
        <v>3</v>
      </c>
      <c r="S51" s="244">
        <v>16.994</v>
      </c>
      <c r="T51" s="1277">
        <v>60</v>
      </c>
      <c r="U51" s="1278">
        <f t="shared" si="12"/>
        <v>20</v>
      </c>
      <c r="V51" s="1278">
        <f t="shared" si="7"/>
        <v>82.346710603742508</v>
      </c>
      <c r="W51" s="1279">
        <v>0.2</v>
      </c>
      <c r="X51" s="1316">
        <v>85</v>
      </c>
      <c r="Y51" s="1277">
        <f t="shared" si="5"/>
        <v>84.97</v>
      </c>
      <c r="Z51" s="244">
        <f t="shared" si="15"/>
        <v>2.964</v>
      </c>
      <c r="AA51" s="244">
        <f t="shared" si="15"/>
        <v>16.790071999999999</v>
      </c>
      <c r="AB51" s="1277">
        <f t="shared" si="15"/>
        <v>59.28</v>
      </c>
      <c r="AC51" s="244">
        <f t="shared" si="13"/>
        <v>20</v>
      </c>
      <c r="AD51" s="1277">
        <f t="shared" si="13"/>
        <v>82.346710603742508</v>
      </c>
      <c r="AE51" s="241">
        <f t="shared" si="14"/>
        <v>31</v>
      </c>
      <c r="AF51" s="244">
        <f t="shared" si="3"/>
        <v>91.884</v>
      </c>
      <c r="AG51" s="1285"/>
      <c r="AI51" s="1282">
        <f t="shared" si="4"/>
        <v>39.434387887860197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709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6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5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4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712">
        <v>535</v>
      </c>
      <c r="J53" s="1448">
        <v>100</v>
      </c>
      <c r="K53" s="241"/>
      <c r="L53" s="1277">
        <v>496</v>
      </c>
      <c r="M53" s="241"/>
      <c r="N53" s="1278">
        <v>3.2</v>
      </c>
      <c r="O53" s="241"/>
      <c r="P53" s="1278">
        <f t="shared" si="6"/>
        <v>6.9356445875414856</v>
      </c>
      <c r="Q53" s="1278">
        <f>RIGHT(H53,(FIND("T",H53,1)-0))*J53/100</f>
        <v>14</v>
      </c>
      <c r="R53" s="244">
        <v>5.2450000000000001</v>
      </c>
      <c r="S53" s="244">
        <v>15.069000000000001</v>
      </c>
      <c r="T53" s="1277">
        <v>191</v>
      </c>
      <c r="U53" s="1278">
        <f t="shared" si="12"/>
        <v>36.415633937082937</v>
      </c>
      <c r="V53" s="1278">
        <f t="shared" si="7"/>
        <v>65.193443493264326</v>
      </c>
      <c r="W53" s="1279">
        <v>0</v>
      </c>
      <c r="X53" s="1449">
        <v>100</v>
      </c>
      <c r="Y53" s="1277">
        <f t="shared" si="5"/>
        <v>107.6357142857143</v>
      </c>
      <c r="Z53" s="244">
        <f t="shared" si="15"/>
        <v>5.1820599999999999</v>
      </c>
      <c r="AA53" s="244">
        <f t="shared" si="15"/>
        <v>14.888172000000001</v>
      </c>
      <c r="AB53" s="1277">
        <f t="shared" si="15"/>
        <v>188.708</v>
      </c>
      <c r="AC53" s="244">
        <f>U53</f>
        <v>36.415633937082937</v>
      </c>
      <c r="AD53" s="1278">
        <f t="shared" ref="AD53" si="16">(AA53-Z53)/AA53*100</f>
        <v>65.193443493264326</v>
      </c>
      <c r="AE53" s="241">
        <f t="shared" si="14"/>
        <v>31</v>
      </c>
      <c r="AF53" s="244">
        <f t="shared" si="3"/>
        <v>160.64385999999999</v>
      </c>
      <c r="AG53" s="1281"/>
      <c r="AI53" s="1282">
        <f t="shared" si="4"/>
        <v>6.9356445875414856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709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6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5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4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712" t="s">
        <v>442</v>
      </c>
      <c r="F55" s="241">
        <v>177.8</v>
      </c>
      <c r="G55" s="241" t="s">
        <v>28</v>
      </c>
      <c r="H55" s="241" t="s">
        <v>687</v>
      </c>
      <c r="I55" s="1712">
        <v>515.54</v>
      </c>
      <c r="J55" s="241">
        <v>95</v>
      </c>
      <c r="K55" s="241"/>
      <c r="L55" s="1277">
        <v>506</v>
      </c>
      <c r="M55" s="241"/>
      <c r="N55" s="1278">
        <v>3</v>
      </c>
      <c r="O55" s="241"/>
      <c r="P55" s="1278">
        <f t="shared" si="6"/>
        <v>3.9494673200972628</v>
      </c>
      <c r="Q55" s="1325">
        <f>J55*20/100</f>
        <v>19</v>
      </c>
      <c r="R55" s="244">
        <v>4.6520000000000001</v>
      </c>
      <c r="S55" s="244">
        <v>14.228999999999999</v>
      </c>
      <c r="T55" s="1277">
        <v>16.600000000000001</v>
      </c>
      <c r="U55" s="1278">
        <f t="shared" si="12"/>
        <v>3.5683576956147895</v>
      </c>
      <c r="V55" s="1278">
        <f t="shared" si="7"/>
        <v>67.306205636376404</v>
      </c>
      <c r="W55" s="1279">
        <v>0</v>
      </c>
      <c r="X55" s="1316">
        <v>95</v>
      </c>
      <c r="Y55" s="1277">
        <f t="shared" si="5"/>
        <v>74.889473684210515</v>
      </c>
      <c r="Z55" s="244">
        <f t="shared" si="15"/>
        <v>4.5961759999999998</v>
      </c>
      <c r="AA55" s="244">
        <f t="shared" si="15"/>
        <v>14.058252</v>
      </c>
      <c r="AB55" s="1277">
        <f t="shared" si="15"/>
        <v>16.4008</v>
      </c>
      <c r="AC55" s="1278">
        <f t="shared" ref="AC55" si="17">IF(Z55=0,0,AB55/Z55)</f>
        <v>3.5683576956147895</v>
      </c>
      <c r="AD55" s="1278">
        <f t="shared" ref="AD55" si="18">(AA55-Z55)/AA55*100</f>
        <v>67.306205636376419</v>
      </c>
      <c r="AE55" s="241">
        <f t="shared" si="14"/>
        <v>31</v>
      </c>
      <c r="AF55" s="244">
        <f t="shared" si="3"/>
        <v>142.48145599999998</v>
      </c>
      <c r="AG55" s="1281"/>
      <c r="AI55" s="1282">
        <f t="shared" si="4"/>
        <v>3.9494673200972628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709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6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5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4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75</v>
      </c>
      <c r="K57" s="1275"/>
      <c r="L57" s="1323">
        <v>407</v>
      </c>
      <c r="M57" s="1275"/>
      <c r="N57" s="1278">
        <v>2.6</v>
      </c>
      <c r="O57" s="1275"/>
      <c r="P57" s="1278">
        <f t="shared" si="6"/>
        <v>17.728923323844196</v>
      </c>
      <c r="Q57" s="1278">
        <f>J57*14/100</f>
        <v>10.5</v>
      </c>
      <c r="R57" s="1459">
        <v>7.11</v>
      </c>
      <c r="S57" s="244">
        <v>13.928000000000001</v>
      </c>
      <c r="T57" s="1323">
        <v>16</v>
      </c>
      <c r="U57" s="1278">
        <f t="shared" si="12"/>
        <v>2.2503516174402249</v>
      </c>
      <c r="V57" s="1278">
        <f t="shared" ref="V57:V86" si="19">(S57-R57)/S57*100</f>
        <v>48.951751866743251</v>
      </c>
      <c r="W57" s="1460">
        <v>0.2</v>
      </c>
      <c r="X57" s="1453">
        <v>75</v>
      </c>
      <c r="Y57" s="1277">
        <f t="shared" si="5"/>
        <v>132.64761904761906</v>
      </c>
      <c r="Z57" s="244">
        <f t="shared" ref="Z57:AB61" si="20">R57*0.988</f>
        <v>7.02468</v>
      </c>
      <c r="AA57" s="244">
        <f t="shared" si="20"/>
        <v>13.760864000000002</v>
      </c>
      <c r="AB57" s="1277">
        <f t="shared" si="20"/>
        <v>15.808</v>
      </c>
      <c r="AC57" s="1459">
        <f t="shared" ref="AC57:AD59" si="21">U57</f>
        <v>2.2503516174402249</v>
      </c>
      <c r="AD57" s="1277">
        <f t="shared" si="21"/>
        <v>48.951751866743251</v>
      </c>
      <c r="AE57" s="241">
        <f t="shared" si="14"/>
        <v>31</v>
      </c>
      <c r="AF57" s="1459">
        <f t="shared" si="3"/>
        <v>217.76508000000001</v>
      </c>
      <c r="AG57" s="1285"/>
      <c r="AI57" s="1282">
        <f t="shared" si="4"/>
        <v>17.728923323844196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712">
        <v>589.64</v>
      </c>
      <c r="J58" s="1448">
        <v>85</v>
      </c>
      <c r="K58" s="241"/>
      <c r="L58" s="1277">
        <v>192</v>
      </c>
      <c r="M58" s="241"/>
      <c r="N58" s="1278">
        <v>2.4</v>
      </c>
      <c r="O58" s="241"/>
      <c r="P58" s="1278">
        <f t="shared" si="6"/>
        <v>41.470016284272852</v>
      </c>
      <c r="Q58" s="1325">
        <f>J58*20/100</f>
        <v>17</v>
      </c>
      <c r="R58" s="244">
        <v>0.93600000000000005</v>
      </c>
      <c r="S58" s="244">
        <v>15.935</v>
      </c>
      <c r="T58" s="1277">
        <v>4</v>
      </c>
      <c r="U58" s="1278">
        <f t="shared" si="12"/>
        <v>4.2735042735042734</v>
      </c>
      <c r="V58" s="1278">
        <f t="shared" si="19"/>
        <v>94.126137433322882</v>
      </c>
      <c r="W58" s="1279">
        <v>0</v>
      </c>
      <c r="X58" s="1449">
        <v>85</v>
      </c>
      <c r="Y58" s="1277">
        <f t="shared" si="5"/>
        <v>93.735294117647058</v>
      </c>
      <c r="Z58" s="244">
        <f t="shared" si="20"/>
        <v>0.92476800000000003</v>
      </c>
      <c r="AA58" s="244">
        <f t="shared" si="20"/>
        <v>15.743780000000001</v>
      </c>
      <c r="AB58" s="1277">
        <f t="shared" si="20"/>
        <v>3.952</v>
      </c>
      <c r="AC58" s="1459">
        <f t="shared" si="21"/>
        <v>4.2735042735042734</v>
      </c>
      <c r="AD58" s="1277">
        <f t="shared" si="21"/>
        <v>94.126137433322882</v>
      </c>
      <c r="AE58" s="241">
        <f t="shared" si="14"/>
        <v>31</v>
      </c>
      <c r="AF58" s="244">
        <f t="shared" si="3"/>
        <v>28.667808000000001</v>
      </c>
      <c r="AG58" s="1281"/>
      <c r="AI58" s="1282">
        <f t="shared" si="4"/>
        <v>41.470016284272852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712">
        <v>560.83000000000004</v>
      </c>
      <c r="J59" s="241">
        <v>90</v>
      </c>
      <c r="K59" s="241"/>
      <c r="L59" s="1277">
        <v>272</v>
      </c>
      <c r="M59" s="241"/>
      <c r="N59" s="1278">
        <v>0</v>
      </c>
      <c r="O59" s="241"/>
      <c r="P59" s="1278">
        <f t="shared" si="6"/>
        <v>27.452359034404072</v>
      </c>
      <c r="Q59" s="1325">
        <f>J59*15/100</f>
        <v>13.5</v>
      </c>
      <c r="R59" s="244">
        <v>6.5220000000000002</v>
      </c>
      <c r="S59" s="244">
        <v>16.169</v>
      </c>
      <c r="T59" s="1277">
        <v>10</v>
      </c>
      <c r="U59" s="1278">
        <f t="shared" si="12"/>
        <v>1.5332720024532351</v>
      </c>
      <c r="V59" s="1278">
        <f t="shared" si="19"/>
        <v>59.663553713896967</v>
      </c>
      <c r="W59" s="1279">
        <v>0.2</v>
      </c>
      <c r="X59" s="1316">
        <v>90</v>
      </c>
      <c r="Y59" s="1277">
        <f t="shared" si="5"/>
        <v>119.77037037037037</v>
      </c>
      <c r="Z59" s="244">
        <f t="shared" si="20"/>
        <v>6.4437360000000004</v>
      </c>
      <c r="AA59" s="244">
        <f t="shared" si="20"/>
        <v>15.974972000000001</v>
      </c>
      <c r="AB59" s="1277">
        <f t="shared" si="20"/>
        <v>9.879999999999999</v>
      </c>
      <c r="AC59" s="244">
        <f t="shared" si="21"/>
        <v>1.5332720024532351</v>
      </c>
      <c r="AD59" s="1277">
        <f t="shared" si="21"/>
        <v>59.663553713896967</v>
      </c>
      <c r="AE59" s="241">
        <f t="shared" si="14"/>
        <v>31</v>
      </c>
      <c r="AF59" s="244">
        <f t="shared" si="3"/>
        <v>199.75581600000001</v>
      </c>
      <c r="AG59" s="1281"/>
      <c r="AI59" s="1282">
        <f t="shared" si="4"/>
        <v>27.452359034404072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709">
        <v>556.55999999999995</v>
      </c>
      <c r="J60" s="241">
        <v>0</v>
      </c>
      <c r="K60" s="241"/>
      <c r="L60" s="1277">
        <v>0</v>
      </c>
      <c r="M60" s="241"/>
      <c r="N60" s="1278">
        <v>0</v>
      </c>
      <c r="O60" s="241"/>
      <c r="P60" s="1278" t="e">
        <f t="shared" si="6"/>
        <v>#DIV/0!</v>
      </c>
      <c r="Q60" s="1278">
        <f>J60*22/100</f>
        <v>0</v>
      </c>
      <c r="R60" s="244">
        <v>0</v>
      </c>
      <c r="S60" s="244">
        <v>0</v>
      </c>
      <c r="T60" s="1277">
        <v>0</v>
      </c>
      <c r="U60" s="1278">
        <f t="shared" si="12"/>
        <v>0</v>
      </c>
      <c r="V60" s="1278" t="e">
        <f t="shared" si="19"/>
        <v>#DIV/0!</v>
      </c>
      <c r="W60" s="1279">
        <v>0</v>
      </c>
      <c r="X60" s="1316">
        <v>0</v>
      </c>
      <c r="Y60" s="1277">
        <v>0</v>
      </c>
      <c r="Z60" s="244">
        <v>0</v>
      </c>
      <c r="AA60" s="244">
        <v>0</v>
      </c>
      <c r="AB60" s="1277">
        <v>0</v>
      </c>
      <c r="AC60" s="244">
        <v>0</v>
      </c>
      <c r="AD60" s="1277">
        <v>0</v>
      </c>
      <c r="AE60" s="241">
        <v>0</v>
      </c>
      <c r="AF60" s="244">
        <f t="shared" si="3"/>
        <v>0</v>
      </c>
      <c r="AG60" s="1281" t="s">
        <v>772</v>
      </c>
      <c r="AI60" s="1282" t="e">
        <f t="shared" si="4"/>
        <v>#DIV/0!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712">
        <v>551.66</v>
      </c>
      <c r="J61" s="241">
        <v>120</v>
      </c>
      <c r="K61" s="241"/>
      <c r="L61" s="1277">
        <v>352</v>
      </c>
      <c r="M61" s="241"/>
      <c r="N61" s="1278">
        <v>2.2000000000000002</v>
      </c>
      <c r="O61" s="241"/>
      <c r="P61" s="1278">
        <f t="shared" si="6"/>
        <v>21.838081902001303</v>
      </c>
      <c r="Q61" s="1278">
        <f>14*J61/100</f>
        <v>16.8</v>
      </c>
      <c r="R61" s="244">
        <v>0.60299999999999998</v>
      </c>
      <c r="S61" s="244">
        <v>5.742</v>
      </c>
      <c r="T61" s="1277">
        <v>4</v>
      </c>
      <c r="U61" s="1278">
        <f t="shared" si="12"/>
        <v>6.6334991708126037</v>
      </c>
      <c r="V61" s="1278">
        <f t="shared" si="19"/>
        <v>89.498432601880879</v>
      </c>
      <c r="W61" s="1279">
        <v>0.2</v>
      </c>
      <c r="X61" s="1316">
        <v>120</v>
      </c>
      <c r="Y61" s="1277">
        <f t="shared" si="5"/>
        <v>34.178571428571423</v>
      </c>
      <c r="Z61" s="244">
        <f t="shared" si="20"/>
        <v>0.59576399999999996</v>
      </c>
      <c r="AA61" s="244">
        <f t="shared" si="20"/>
        <v>5.6730960000000001</v>
      </c>
      <c r="AB61" s="1277">
        <f t="shared" si="20"/>
        <v>3.952</v>
      </c>
      <c r="AC61" s="244">
        <f>U61</f>
        <v>6.6334991708126037</v>
      </c>
      <c r="AD61" s="1277">
        <f>V61</f>
        <v>89.498432601880879</v>
      </c>
      <c r="AE61" s="241">
        <f t="shared" si="14"/>
        <v>31</v>
      </c>
      <c r="AF61" s="244">
        <f t="shared" si="3"/>
        <v>18.468684</v>
      </c>
      <c r="AG61" s="1281"/>
      <c r="AI61" s="1282">
        <f t="shared" si="4"/>
        <v>21.838081902001303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46</v>
      </c>
      <c r="D62" s="241">
        <v>565</v>
      </c>
      <c r="E62" s="241" t="s">
        <v>604</v>
      </c>
      <c r="F62" s="241">
        <v>177.8</v>
      </c>
      <c r="G62" s="241" t="s">
        <v>28</v>
      </c>
      <c r="H62" s="241" t="s">
        <v>48</v>
      </c>
      <c r="I62" s="1709">
        <v>506.61000000000013</v>
      </c>
      <c r="J62" s="241"/>
      <c r="K62" s="241"/>
      <c r="L62" s="1319"/>
      <c r="M62" s="1278"/>
      <c r="N62" s="1278"/>
      <c r="O62" s="241"/>
      <c r="P62" s="1278">
        <f t="shared" si="6"/>
        <v>44.055405582235394</v>
      </c>
      <c r="Q62" s="1278"/>
      <c r="R62" s="244"/>
      <c r="S62" s="244"/>
      <c r="T62" s="1277"/>
      <c r="U62" s="1278"/>
      <c r="V62" s="1278"/>
      <c r="W62" s="1279"/>
      <c r="X62" s="1316"/>
      <c r="Y62" s="1277">
        <f t="shared" si="5"/>
        <v>0</v>
      </c>
      <c r="Z62" s="244"/>
      <c r="AA62" s="244"/>
      <c r="AB62" s="1277"/>
      <c r="AC62" s="244"/>
      <c r="AD62" s="1277"/>
      <c r="AE62" s="241"/>
      <c r="AF62" s="244"/>
      <c r="AG62" s="1281" t="s">
        <v>682</v>
      </c>
      <c r="AI62" s="1282">
        <f t="shared" si="4"/>
        <v>44.055405582235394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712" t="s">
        <v>692</v>
      </c>
      <c r="F63" s="241">
        <v>177.8</v>
      </c>
      <c r="G63" s="241" t="s">
        <v>28</v>
      </c>
      <c r="H63" s="1299" t="s">
        <v>683</v>
      </c>
      <c r="I63" s="1712">
        <v>545.4</v>
      </c>
      <c r="J63" s="241">
        <v>70</v>
      </c>
      <c r="K63" s="241"/>
      <c r="L63" s="1277">
        <v>39</v>
      </c>
      <c r="M63" s="241"/>
      <c r="N63" s="1278">
        <v>0</v>
      </c>
      <c r="O63" s="241"/>
      <c r="P63" s="1278">
        <f t="shared" si="6"/>
        <v>44.909890521952121</v>
      </c>
      <c r="Q63" s="1278">
        <f>J63*13/100</f>
        <v>9.1</v>
      </c>
      <c r="R63" s="244">
        <v>2.4660000000000002</v>
      </c>
      <c r="S63" s="244">
        <v>2.9239999999999999</v>
      </c>
      <c r="T63" s="1277">
        <v>15.5</v>
      </c>
      <c r="U63" s="1278">
        <f t="shared" si="12"/>
        <v>6.285482562854825</v>
      </c>
      <c r="V63" s="1278">
        <f t="shared" si="19"/>
        <v>15.663474692202453</v>
      </c>
      <c r="W63" s="1279">
        <v>0.2</v>
      </c>
      <c r="X63" s="1316">
        <v>70</v>
      </c>
      <c r="Y63" s="1277">
        <f t="shared" si="5"/>
        <v>32.131868131868131</v>
      </c>
      <c r="Z63" s="244">
        <f t="shared" ref="Z63:AB75" si="22">R63*0.988</f>
        <v>2.4364080000000001</v>
      </c>
      <c r="AA63" s="244">
        <f t="shared" si="22"/>
        <v>2.8889119999999999</v>
      </c>
      <c r="AB63" s="1277">
        <f t="shared" si="22"/>
        <v>15.314</v>
      </c>
      <c r="AC63" s="244">
        <f t="shared" ref="AC63:AD70" si="23">U63</f>
        <v>6.285482562854825</v>
      </c>
      <c r="AD63" s="1277">
        <f t="shared" si="23"/>
        <v>15.663474692202453</v>
      </c>
      <c r="AE63" s="241">
        <f t="shared" si="14"/>
        <v>31</v>
      </c>
      <c r="AF63" s="244">
        <f t="shared" si="3"/>
        <v>75.528648000000004</v>
      </c>
      <c r="AG63" s="1281"/>
      <c r="AI63" s="1282">
        <f t="shared" si="4"/>
        <v>44.909890521952121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712">
        <v>674.45</v>
      </c>
      <c r="E64" s="1712" t="s">
        <v>232</v>
      </c>
      <c r="F64" s="241">
        <v>177.8</v>
      </c>
      <c r="G64" s="241" t="s">
        <v>28</v>
      </c>
      <c r="H64" s="1299" t="s">
        <v>464</v>
      </c>
      <c r="I64" s="1712">
        <v>542.6</v>
      </c>
      <c r="J64" s="1712">
        <v>150</v>
      </c>
      <c r="K64" s="1712"/>
      <c r="L64" s="1319">
        <v>485</v>
      </c>
      <c r="M64" s="1712"/>
      <c r="N64" s="1278">
        <v>2.9</v>
      </c>
      <c r="O64" s="1712"/>
      <c r="P64" s="1278">
        <f t="shared" si="6"/>
        <v>8.3543650120991373</v>
      </c>
      <c r="Q64" s="1278">
        <f>RIGHT(H64,(FIND("T",H64,1)-0))*J64/100</f>
        <v>21</v>
      </c>
      <c r="R64" s="244">
        <v>6.4080000000000004</v>
      </c>
      <c r="S64" s="244">
        <v>8.8369999999999997</v>
      </c>
      <c r="T64" s="1319">
        <v>19</v>
      </c>
      <c r="U64" s="1278">
        <f t="shared" si="12"/>
        <v>2.9650436953807739</v>
      </c>
      <c r="V64" s="1278">
        <f t="shared" si="19"/>
        <v>27.486703632454446</v>
      </c>
      <c r="W64" s="1279">
        <v>0.2</v>
      </c>
      <c r="X64" s="1410">
        <v>150</v>
      </c>
      <c r="Y64" s="1277">
        <f t="shared" si="5"/>
        <v>42.080952380952382</v>
      </c>
      <c r="Z64" s="244">
        <f t="shared" si="22"/>
        <v>6.3311040000000007</v>
      </c>
      <c r="AA64" s="244">
        <f t="shared" si="22"/>
        <v>8.7309559999999991</v>
      </c>
      <c r="AB64" s="1277">
        <f t="shared" si="22"/>
        <v>18.771999999999998</v>
      </c>
      <c r="AC64" s="244">
        <f t="shared" si="23"/>
        <v>2.9650436953807739</v>
      </c>
      <c r="AD64" s="1277">
        <f t="shared" si="23"/>
        <v>27.486703632454446</v>
      </c>
      <c r="AE64" s="241">
        <f t="shared" si="14"/>
        <v>31</v>
      </c>
      <c r="AF64" s="244">
        <f>Z64*AE64</f>
        <v>196.26422400000001</v>
      </c>
      <c r="AG64" s="1342"/>
      <c r="AI64" s="1282">
        <f t="shared" si="4"/>
        <v>8.3543650120991373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709">
        <v>678.47</v>
      </c>
      <c r="E65" s="1709" t="s">
        <v>606</v>
      </c>
      <c r="F65" s="241">
        <v>177.8</v>
      </c>
      <c r="G65" s="241" t="s">
        <v>28</v>
      </c>
      <c r="H65" s="1299" t="s">
        <v>466</v>
      </c>
      <c r="I65" s="1709">
        <v>574.4</v>
      </c>
      <c r="J65" s="1373">
        <v>0</v>
      </c>
      <c r="K65" s="1709"/>
      <c r="L65" s="1319">
        <v>0</v>
      </c>
      <c r="M65" s="1709"/>
      <c r="N65" s="1278">
        <v>0</v>
      </c>
      <c r="O65" s="1709"/>
      <c r="P65" s="1278" t="e">
        <f t="shared" si="6"/>
        <v>#DIV/0!</v>
      </c>
      <c r="Q65" s="1278">
        <f>LEFT(H65,(FIND("E",H65,1)-1))*J65/100</f>
        <v>0</v>
      </c>
      <c r="R65" s="244">
        <v>0</v>
      </c>
      <c r="S65" s="244">
        <v>0</v>
      </c>
      <c r="T65" s="1277">
        <v>0</v>
      </c>
      <c r="U65" s="1278">
        <f t="shared" si="12"/>
        <v>0</v>
      </c>
      <c r="V65" s="1278" t="e">
        <f t="shared" si="19"/>
        <v>#DIV/0!</v>
      </c>
      <c r="W65" s="1279">
        <v>0</v>
      </c>
      <c r="X65" s="1452">
        <v>0</v>
      </c>
      <c r="Y65" s="1277">
        <v>0</v>
      </c>
      <c r="Z65" s="244">
        <v>0</v>
      </c>
      <c r="AA65" s="244">
        <v>0</v>
      </c>
      <c r="AB65" s="1277">
        <v>0</v>
      </c>
      <c r="AC65" s="244">
        <v>0</v>
      </c>
      <c r="AD65" s="1277">
        <v>0</v>
      </c>
      <c r="AE65" s="241">
        <v>0</v>
      </c>
      <c r="AF65" s="244">
        <f t="shared" ref="AF65:AF75" si="24">Z65*AE65</f>
        <v>0</v>
      </c>
      <c r="AG65" s="1281" t="s">
        <v>771</v>
      </c>
      <c r="AI65" s="1282" t="e">
        <f t="shared" si="4"/>
        <v>#DIV/0!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712">
        <v>541.12</v>
      </c>
      <c r="J66" s="241">
        <v>175</v>
      </c>
      <c r="K66" s="241"/>
      <c r="L66" s="1277">
        <v>449</v>
      </c>
      <c r="M66" s="241"/>
      <c r="N66" s="1278">
        <v>4.0999999999999996</v>
      </c>
      <c r="O66" s="241"/>
      <c r="P66" s="1278">
        <f t="shared" si="6"/>
        <v>13.053004391085993</v>
      </c>
      <c r="Q66" s="1278">
        <f>20*J66/100</f>
        <v>35</v>
      </c>
      <c r="R66" s="244">
        <v>7.4349999999999996</v>
      </c>
      <c r="S66" s="244">
        <v>21.155000000000001</v>
      </c>
      <c r="T66" s="1277">
        <v>78</v>
      </c>
      <c r="U66" s="1278">
        <f t="shared" si="12"/>
        <v>10.490921318090114</v>
      </c>
      <c r="V66" s="1278">
        <f t="shared" si="19"/>
        <v>64.854644292129521</v>
      </c>
      <c r="W66" s="1279">
        <v>0.2</v>
      </c>
      <c r="X66" s="1316">
        <v>175</v>
      </c>
      <c r="Y66" s="1277">
        <f t="shared" si="5"/>
        <v>60.442857142857143</v>
      </c>
      <c r="Z66" s="244">
        <f t="shared" si="22"/>
        <v>7.3457799999999995</v>
      </c>
      <c r="AA66" s="244">
        <f t="shared" si="22"/>
        <v>20.901140000000002</v>
      </c>
      <c r="AB66" s="1277">
        <f t="shared" si="22"/>
        <v>77.063999999999993</v>
      </c>
      <c r="AC66" s="244">
        <f t="shared" si="23"/>
        <v>10.490921318090114</v>
      </c>
      <c r="AD66" s="1277">
        <f t="shared" si="23"/>
        <v>64.854644292129521</v>
      </c>
      <c r="AE66" s="241">
        <f t="shared" si="14"/>
        <v>31</v>
      </c>
      <c r="AF66" s="244">
        <f t="shared" si="24"/>
        <v>227.71917999999999</v>
      </c>
      <c r="AG66" s="1285"/>
      <c r="AI66" s="1282">
        <f t="shared" si="4"/>
        <v>13.053004391085993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712">
        <v>521.42999999999995</v>
      </c>
      <c r="J67" s="241">
        <v>300</v>
      </c>
      <c r="K67" s="241"/>
      <c r="L67" s="1277">
        <v>458</v>
      </c>
      <c r="M67" s="241"/>
      <c r="N67" s="1278">
        <v>5.2</v>
      </c>
      <c r="O67" s="241"/>
      <c r="P67" s="1278">
        <f t="shared" si="6"/>
        <v>11.160586800609455</v>
      </c>
      <c r="Q67" s="1278">
        <f>J67*14/100</f>
        <v>42</v>
      </c>
      <c r="R67" s="244">
        <v>8.0860000000000003</v>
      </c>
      <c r="S67" s="244">
        <v>12.318</v>
      </c>
      <c r="T67" s="1277">
        <v>339</v>
      </c>
      <c r="U67" s="1278">
        <f t="shared" si="12"/>
        <v>41.924313628493692</v>
      </c>
      <c r="V67" s="1278">
        <f t="shared" si="19"/>
        <v>34.356226660172098</v>
      </c>
      <c r="W67" s="1279">
        <v>0.2</v>
      </c>
      <c r="X67" s="1316">
        <v>300</v>
      </c>
      <c r="Y67" s="1277">
        <f t="shared" si="5"/>
        <v>29.328571428571426</v>
      </c>
      <c r="Z67" s="244">
        <f t="shared" si="22"/>
        <v>7.9889679999999998</v>
      </c>
      <c r="AA67" s="244">
        <f t="shared" si="22"/>
        <v>12.170183999999999</v>
      </c>
      <c r="AB67" s="1277">
        <f t="shared" si="22"/>
        <v>334.93200000000002</v>
      </c>
      <c r="AC67" s="244">
        <f t="shared" si="23"/>
        <v>41.924313628493692</v>
      </c>
      <c r="AD67" s="1277">
        <f t="shared" si="23"/>
        <v>34.356226660172098</v>
      </c>
      <c r="AE67" s="241">
        <f t="shared" si="14"/>
        <v>31</v>
      </c>
      <c r="AF67" s="244">
        <f t="shared" si="24"/>
        <v>247.658008</v>
      </c>
      <c r="AG67" s="1285"/>
      <c r="AI67" s="1282">
        <f t="shared" si="4"/>
        <v>11.160586800609455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712" t="s">
        <v>607</v>
      </c>
      <c r="F68" s="241">
        <v>177.8</v>
      </c>
      <c r="G68" s="241" t="s">
        <v>28</v>
      </c>
      <c r="H68" s="241" t="s">
        <v>464</v>
      </c>
      <c r="I68" s="1712">
        <v>512.28</v>
      </c>
      <c r="J68" s="241">
        <v>175</v>
      </c>
      <c r="K68" s="241"/>
      <c r="L68" s="1277">
        <v>413</v>
      </c>
      <c r="M68" s="241"/>
      <c r="N68" s="1278">
        <v>3.5</v>
      </c>
      <c r="O68" s="241"/>
      <c r="P68" s="1278">
        <f t="shared" si="6"/>
        <v>13.047925490577994</v>
      </c>
      <c r="Q68" s="1278">
        <f>J68*14/100</f>
        <v>24.5</v>
      </c>
      <c r="R68" s="244">
        <v>5.6849999999999996</v>
      </c>
      <c r="S68" s="244">
        <v>12.36</v>
      </c>
      <c r="T68" s="1277">
        <v>65</v>
      </c>
      <c r="U68" s="1278">
        <f t="shared" si="12"/>
        <v>11.433597185576078</v>
      </c>
      <c r="V68" s="1278">
        <f t="shared" si="19"/>
        <v>54.004854368932044</v>
      </c>
      <c r="W68" s="1279">
        <v>0.2</v>
      </c>
      <c r="X68" s="1316">
        <v>175</v>
      </c>
      <c r="Y68" s="1277">
        <f t="shared" si="5"/>
        <v>50.448979591836732</v>
      </c>
      <c r="Z68" s="244">
        <f t="shared" si="22"/>
        <v>5.6167799999999994</v>
      </c>
      <c r="AA68" s="244">
        <f t="shared" si="22"/>
        <v>12.211679999999999</v>
      </c>
      <c r="AB68" s="1277">
        <f t="shared" si="22"/>
        <v>64.22</v>
      </c>
      <c r="AC68" s="244">
        <f t="shared" si="23"/>
        <v>11.433597185576078</v>
      </c>
      <c r="AD68" s="1277">
        <f t="shared" si="23"/>
        <v>54.004854368932044</v>
      </c>
      <c r="AE68" s="241">
        <f t="shared" si="14"/>
        <v>31</v>
      </c>
      <c r="AF68" s="244">
        <f t="shared" si="24"/>
        <v>174.12017999999998</v>
      </c>
      <c r="AG68" s="1285"/>
      <c r="AI68" s="1282">
        <f t="shared" si="4"/>
        <v>13.047925490577994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712">
        <v>539.28</v>
      </c>
      <c r="J69" s="241">
        <v>100</v>
      </c>
      <c r="K69" s="241"/>
      <c r="L69" s="1277">
        <v>227</v>
      </c>
      <c r="M69" s="241"/>
      <c r="N69" s="1278">
        <v>3.9</v>
      </c>
      <c r="O69" s="241"/>
      <c r="P69" s="1278">
        <f t="shared" si="6"/>
        <v>34.507240221093511</v>
      </c>
      <c r="Q69" s="1278">
        <f>J69*13/100</f>
        <v>13</v>
      </c>
      <c r="R69" s="244">
        <v>0.59599999999999997</v>
      </c>
      <c r="S69" s="244">
        <v>6.5380000000000003</v>
      </c>
      <c r="T69" s="1277">
        <v>7.3</v>
      </c>
      <c r="U69" s="1278">
        <f t="shared" si="12"/>
        <v>12.248322147651008</v>
      </c>
      <c r="V69" s="1278">
        <f t="shared" si="19"/>
        <v>90.884062404405014</v>
      </c>
      <c r="W69" s="1279">
        <v>0.2</v>
      </c>
      <c r="X69" s="1316">
        <v>100</v>
      </c>
      <c r="Y69" s="1277">
        <f t="shared" si="5"/>
        <v>50.292307692307695</v>
      </c>
      <c r="Z69" s="244">
        <f t="shared" si="22"/>
        <v>0.58884799999999993</v>
      </c>
      <c r="AA69" s="244">
        <f t="shared" si="22"/>
        <v>6.4595440000000002</v>
      </c>
      <c r="AB69" s="1277">
        <f t="shared" si="22"/>
        <v>7.2123999999999997</v>
      </c>
      <c r="AC69" s="244">
        <f t="shared" si="23"/>
        <v>12.248322147651008</v>
      </c>
      <c r="AD69" s="1277">
        <f t="shared" si="23"/>
        <v>90.884062404405014</v>
      </c>
      <c r="AE69" s="241">
        <f t="shared" si="14"/>
        <v>31</v>
      </c>
      <c r="AF69" s="244">
        <f>Z69*AE69</f>
        <v>18.254287999999999</v>
      </c>
      <c r="AG69" s="1281"/>
      <c r="AI69" s="1282">
        <f t="shared" si="4"/>
        <v>34.507240221093511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712">
        <v>541.46</v>
      </c>
      <c r="J70" s="241">
        <v>100</v>
      </c>
      <c r="K70" s="241"/>
      <c r="L70" s="1277">
        <v>235</v>
      </c>
      <c r="M70" s="241"/>
      <c r="N70" s="1278">
        <v>5.4</v>
      </c>
      <c r="O70" s="241"/>
      <c r="P70" s="1278">
        <f t="shared" si="6"/>
        <v>35.158876756257882</v>
      </c>
      <c r="Q70" s="1278">
        <f>(32/100)*J70</f>
        <v>32</v>
      </c>
      <c r="R70" s="244">
        <v>5.2439999999999998</v>
      </c>
      <c r="S70" s="244">
        <v>31.300999999999998</v>
      </c>
      <c r="T70" s="1277">
        <v>44</v>
      </c>
      <c r="U70" s="1278">
        <f t="shared" si="12"/>
        <v>8.3905415713196039</v>
      </c>
      <c r="V70" s="1278">
        <f t="shared" si="19"/>
        <v>83.246541644036938</v>
      </c>
      <c r="W70" s="1279">
        <v>0.2</v>
      </c>
      <c r="X70" s="1316">
        <v>100</v>
      </c>
      <c r="Y70" s="1277">
        <f t="shared" si="5"/>
        <v>97.815624999999997</v>
      </c>
      <c r="Z70" s="244">
        <f t="shared" si="22"/>
        <v>5.1810719999999995</v>
      </c>
      <c r="AA70" s="244">
        <f t="shared" si="22"/>
        <v>30.925387999999998</v>
      </c>
      <c r="AB70" s="1277">
        <f t="shared" si="22"/>
        <v>43.472000000000001</v>
      </c>
      <c r="AC70" s="244">
        <f>U70</f>
        <v>8.3905415713196039</v>
      </c>
      <c r="AD70" s="1277">
        <f t="shared" si="23"/>
        <v>83.246541644036938</v>
      </c>
      <c r="AE70" s="241">
        <f t="shared" si="14"/>
        <v>31</v>
      </c>
      <c r="AF70" s="244">
        <f t="shared" si="24"/>
        <v>160.61323199999998</v>
      </c>
      <c r="AG70" s="1285"/>
      <c r="AI70" s="1282">
        <f t="shared" si="4"/>
        <v>35.158876756257882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709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6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2"/>
        <v>0</v>
      </c>
      <c r="V71" s="1278" t="e">
        <f t="shared" si="19"/>
        <v>#DIV/0!</v>
      </c>
      <c r="W71" s="1279">
        <v>0</v>
      </c>
      <c r="X71" s="1449">
        <v>0</v>
      </c>
      <c r="Y71" s="1277">
        <f t="shared" si="5"/>
        <v>0</v>
      </c>
      <c r="Z71" s="244">
        <f t="shared" ref="Z71:AA75" si="25">R71*0.988</f>
        <v>0</v>
      </c>
      <c r="AA71" s="244">
        <f t="shared" si="25"/>
        <v>0</v>
      </c>
      <c r="AB71" s="1277">
        <f t="shared" si="22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4"/>
        <v>0</v>
      </c>
      <c r="AG71" s="1281" t="s">
        <v>769</v>
      </c>
      <c r="AI71" s="1282" t="e">
        <f t="shared" si="4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712">
        <v>512.47</v>
      </c>
      <c r="J72" s="1277">
        <v>245</v>
      </c>
      <c r="K72" s="241"/>
      <c r="L72" s="1277">
        <v>465</v>
      </c>
      <c r="M72" s="241"/>
      <c r="N72" s="1278">
        <v>5.0999999999999996</v>
      </c>
      <c r="O72" s="241"/>
      <c r="P72" s="1278">
        <f t="shared" si="6"/>
        <v>9.5038083461899898</v>
      </c>
      <c r="Q72" s="1278">
        <f>(32*J72)/100</f>
        <v>78.400000000000006</v>
      </c>
      <c r="R72" s="244">
        <v>13.228</v>
      </c>
      <c r="S72" s="244">
        <v>16.265000000000001</v>
      </c>
      <c r="T72" s="1277">
        <v>616</v>
      </c>
      <c r="U72" s="1278">
        <f t="shared" si="12"/>
        <v>46.567886301784092</v>
      </c>
      <c r="V72" s="1278">
        <f t="shared" si="19"/>
        <v>18.671995081463269</v>
      </c>
      <c r="W72" s="1279">
        <v>0.2</v>
      </c>
      <c r="X72" s="1454">
        <v>245</v>
      </c>
      <c r="Y72" s="1277">
        <f t="shared" si="5"/>
        <v>20.746173469387756</v>
      </c>
      <c r="Z72" s="244">
        <f t="shared" si="25"/>
        <v>13.069264</v>
      </c>
      <c r="AA72" s="244">
        <f t="shared" si="25"/>
        <v>16.06982</v>
      </c>
      <c r="AB72" s="1277">
        <f t="shared" si="22"/>
        <v>608.60799999999995</v>
      </c>
      <c r="AC72" s="244">
        <f>U72</f>
        <v>46.567886301784092</v>
      </c>
      <c r="AD72" s="1277">
        <f>V72</f>
        <v>18.671995081463269</v>
      </c>
      <c r="AE72" s="241">
        <f t="shared" si="14"/>
        <v>31</v>
      </c>
      <c r="AF72" s="244">
        <f t="shared" si="24"/>
        <v>405.14718400000004</v>
      </c>
      <c r="AG72" s="1281"/>
      <c r="AI72" s="1282">
        <f t="shared" si="4"/>
        <v>9.5038083461899898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712">
        <v>507.46</v>
      </c>
      <c r="J73" s="1448">
        <v>100</v>
      </c>
      <c r="K73" s="241"/>
      <c r="L73" s="1277">
        <v>466</v>
      </c>
      <c r="M73" s="241"/>
      <c r="N73" s="1278">
        <v>6.4</v>
      </c>
      <c r="O73" s="241"/>
      <c r="P73" s="1278">
        <f t="shared" si="6"/>
        <v>10.313731246463426</v>
      </c>
      <c r="Q73" s="1278">
        <f>J73*32/100</f>
        <v>32</v>
      </c>
      <c r="R73" s="244">
        <v>4.6420000000000003</v>
      </c>
      <c r="S73" s="244">
        <v>5.9340000000000002</v>
      </c>
      <c r="T73" s="1277">
        <v>108</v>
      </c>
      <c r="U73" s="1278">
        <f t="shared" si="12"/>
        <v>23.265833692373974</v>
      </c>
      <c r="V73" s="1278">
        <f t="shared" si="19"/>
        <v>21.772834512976065</v>
      </c>
      <c r="W73" s="1279">
        <v>0.2</v>
      </c>
      <c r="X73" s="1449">
        <v>100</v>
      </c>
      <c r="Y73" s="1277">
        <f t="shared" si="5"/>
        <v>18.543749999999999</v>
      </c>
      <c r="Z73" s="244">
        <f t="shared" si="25"/>
        <v>4.5862959999999999</v>
      </c>
      <c r="AA73" s="244">
        <f t="shared" si="25"/>
        <v>5.8627919999999998</v>
      </c>
      <c r="AB73" s="1277">
        <f t="shared" si="22"/>
        <v>106.70399999999999</v>
      </c>
      <c r="AC73" s="244">
        <v>20</v>
      </c>
      <c r="AD73" s="1277">
        <v>17</v>
      </c>
      <c r="AE73" s="241">
        <f t="shared" si="14"/>
        <v>31</v>
      </c>
      <c r="AF73" s="244">
        <f t="shared" si="24"/>
        <v>142.17517599999999</v>
      </c>
      <c r="AG73" s="1281"/>
      <c r="AI73" s="1282">
        <f t="shared" si="4"/>
        <v>10.313731246463426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712">
        <v>549.1</v>
      </c>
      <c r="J74" s="1448">
        <v>185</v>
      </c>
      <c r="K74" s="241"/>
      <c r="L74" s="1277">
        <v>424</v>
      </c>
      <c r="M74" s="241"/>
      <c r="N74" s="1278">
        <v>7.2</v>
      </c>
      <c r="O74" s="241"/>
      <c r="P74" s="1278">
        <f t="shared" si="6"/>
        <v>19.019361754374327</v>
      </c>
      <c r="Q74" s="1278">
        <f>LEFT(H74,(FIND("E",H74,1)-1))*J74/100</f>
        <v>40.700000000000003</v>
      </c>
      <c r="R74" s="244">
        <v>12.002000000000001</v>
      </c>
      <c r="S74" s="244">
        <v>24.97</v>
      </c>
      <c r="T74" s="1277">
        <v>432</v>
      </c>
      <c r="U74" s="1278">
        <f t="shared" si="12"/>
        <v>35.994000999833361</v>
      </c>
      <c r="V74" s="1278">
        <f t="shared" si="19"/>
        <v>51.934321185422505</v>
      </c>
      <c r="W74" s="1279">
        <v>0.2</v>
      </c>
      <c r="X74" s="1449">
        <v>185</v>
      </c>
      <c r="Y74" s="1277">
        <f t="shared" si="5"/>
        <v>61.351351351351347</v>
      </c>
      <c r="Z74" s="244">
        <f t="shared" si="25"/>
        <v>11.857976000000001</v>
      </c>
      <c r="AA74" s="244">
        <f t="shared" si="25"/>
        <v>24.670359999999999</v>
      </c>
      <c r="AB74" s="1277">
        <f t="shared" si="22"/>
        <v>426.81599999999997</v>
      </c>
      <c r="AC74" s="244">
        <f>U74</f>
        <v>35.994000999833361</v>
      </c>
      <c r="AD74" s="1277">
        <f>V74</f>
        <v>51.934321185422505</v>
      </c>
      <c r="AE74" s="241">
        <f t="shared" si="14"/>
        <v>31</v>
      </c>
      <c r="AF74" s="244">
        <f t="shared" si="24"/>
        <v>367.59725600000002</v>
      </c>
      <c r="AG74" s="1285"/>
      <c r="AI74" s="1282">
        <f t="shared" si="4"/>
        <v>19.019361754374327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763</v>
      </c>
      <c r="I75" s="1712">
        <v>542.46</v>
      </c>
      <c r="J75" s="1448">
        <v>120</v>
      </c>
      <c r="K75" s="241"/>
      <c r="L75" s="1277">
        <v>320</v>
      </c>
      <c r="M75" s="241"/>
      <c r="N75" s="1278">
        <v>5.2</v>
      </c>
      <c r="O75" s="241"/>
      <c r="P75" s="1278">
        <f t="shared" si="6"/>
        <v>26.139018785477447</v>
      </c>
      <c r="Q75" s="1278">
        <f>(20/100)*J75</f>
        <v>24</v>
      </c>
      <c r="R75" s="244">
        <v>8.4570000000000007</v>
      </c>
      <c r="S75" s="244">
        <v>19.103999999999999</v>
      </c>
      <c r="T75" s="1277">
        <v>108</v>
      </c>
      <c r="U75" s="1278">
        <f t="shared" si="12"/>
        <v>12.770485987938985</v>
      </c>
      <c r="V75" s="1278">
        <f t="shared" si="19"/>
        <v>55.731783919597987</v>
      </c>
      <c r="W75" s="1279">
        <v>0.2</v>
      </c>
      <c r="X75" s="1449">
        <v>120</v>
      </c>
      <c r="Y75" s="1277">
        <f t="shared" si="5"/>
        <v>79.599999999999994</v>
      </c>
      <c r="Z75" s="244">
        <f t="shared" si="25"/>
        <v>8.3555160000000015</v>
      </c>
      <c r="AA75" s="244">
        <f t="shared" si="25"/>
        <v>18.874751999999997</v>
      </c>
      <c r="AB75" s="1277">
        <f t="shared" si="22"/>
        <v>106.70399999999999</v>
      </c>
      <c r="AC75" s="244">
        <f>U75</f>
        <v>12.770485987938985</v>
      </c>
      <c r="AD75" s="1277">
        <f>V75</f>
        <v>55.731783919597987</v>
      </c>
      <c r="AE75" s="241">
        <f t="shared" si="14"/>
        <v>31</v>
      </c>
      <c r="AF75" s="244">
        <f t="shared" si="24"/>
        <v>259.02099600000003</v>
      </c>
      <c r="AG75" s="1285"/>
      <c r="AI75" s="1282">
        <f t="shared" si="4"/>
        <v>26.139018785477447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709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6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5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4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712">
        <v>560.02</v>
      </c>
      <c r="J77" s="1448">
        <v>180</v>
      </c>
      <c r="K77" s="241"/>
      <c r="L77" s="1277">
        <v>175</v>
      </c>
      <c r="M77" s="241"/>
      <c r="N77" s="1278">
        <v>0.5</v>
      </c>
      <c r="O77" s="241"/>
      <c r="P77" s="1278">
        <f t="shared" si="6"/>
        <v>37.766899571051788</v>
      </c>
      <c r="Q77" s="1278">
        <f>(20*J77)/100</f>
        <v>36</v>
      </c>
      <c r="R77" s="244">
        <v>1.6639999999999999</v>
      </c>
      <c r="S77" s="244">
        <v>7.73</v>
      </c>
      <c r="T77" s="1277">
        <v>48</v>
      </c>
      <c r="U77" s="1278">
        <f t="shared" si="12"/>
        <v>28.846153846153847</v>
      </c>
      <c r="V77" s="1278">
        <f t="shared" si="19"/>
        <v>78.473479948253569</v>
      </c>
      <c r="W77" s="1279">
        <v>0</v>
      </c>
      <c r="X77" s="1449">
        <v>180</v>
      </c>
      <c r="Y77" s="1277">
        <f t="shared" si="5"/>
        <v>21.472222222222221</v>
      </c>
      <c r="Z77" s="244">
        <f t="shared" ref="Z77:AB82" si="26">R77*0.988</f>
        <v>1.6440319999999999</v>
      </c>
      <c r="AA77" s="244">
        <f t="shared" si="26"/>
        <v>7.6372400000000003</v>
      </c>
      <c r="AB77" s="1277">
        <f t="shared" si="26"/>
        <v>47.423999999999999</v>
      </c>
      <c r="AC77" s="244">
        <f t="shared" ref="AC77:AD81" si="27">U77</f>
        <v>28.846153846153847</v>
      </c>
      <c r="AD77" s="1277">
        <f t="shared" si="27"/>
        <v>78.473479948253569</v>
      </c>
      <c r="AE77" s="241">
        <f t="shared" si="14"/>
        <v>31</v>
      </c>
      <c r="AF77" s="244">
        <f t="shared" ref="AF77:AF83" si="28">Z77*AE77</f>
        <v>50.964991999999995</v>
      </c>
      <c r="AG77" s="1281"/>
      <c r="AI77" s="1282">
        <f t="shared" si="4"/>
        <v>37.766899571051788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762</v>
      </c>
      <c r="I78" s="1712">
        <v>531.27</v>
      </c>
      <c r="J78" s="1448">
        <v>140</v>
      </c>
      <c r="K78" s="241"/>
      <c r="L78" s="1277">
        <v>255</v>
      </c>
      <c r="M78" s="241"/>
      <c r="N78" s="1278">
        <v>6.6</v>
      </c>
      <c r="O78" s="241"/>
      <c r="P78" s="1278">
        <f t="shared" si="6"/>
        <v>32.551083280447052</v>
      </c>
      <c r="Q78" s="1278">
        <f>(32*J78)/100</f>
        <v>44.8</v>
      </c>
      <c r="R78" s="244">
        <v>12.340999999999999</v>
      </c>
      <c r="S78" s="244">
        <v>28.558</v>
      </c>
      <c r="T78" s="1277">
        <v>195</v>
      </c>
      <c r="U78" s="1278">
        <f t="shared" si="12"/>
        <v>15.8009885746698</v>
      </c>
      <c r="V78" s="1278">
        <f t="shared" si="19"/>
        <v>56.78618950906926</v>
      </c>
      <c r="W78" s="1279">
        <v>0.2</v>
      </c>
      <c r="X78" s="1449">
        <v>140</v>
      </c>
      <c r="Y78" s="1277">
        <f t="shared" si="5"/>
        <v>63.745535714285715</v>
      </c>
      <c r="Z78" s="244">
        <f t="shared" si="26"/>
        <v>12.192907999999999</v>
      </c>
      <c r="AA78" s="244">
        <f t="shared" si="26"/>
        <v>28.215304</v>
      </c>
      <c r="AB78" s="1277">
        <f t="shared" si="26"/>
        <v>192.66</v>
      </c>
      <c r="AC78" s="244">
        <f t="shared" si="27"/>
        <v>15.8009885746698</v>
      </c>
      <c r="AD78" s="1277">
        <f t="shared" si="27"/>
        <v>56.78618950906926</v>
      </c>
      <c r="AE78" s="241">
        <f t="shared" si="14"/>
        <v>31</v>
      </c>
      <c r="AF78" s="244">
        <f t="shared" si="28"/>
        <v>377.98014799999999</v>
      </c>
      <c r="AG78" s="1285"/>
      <c r="AI78" s="1282">
        <f t="shared" si="4"/>
        <v>32.551083280447052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709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6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12"/>
        <v>0</v>
      </c>
      <c r="V79" s="1278" t="e">
        <f t="shared" si="19"/>
        <v>#DIV/0!</v>
      </c>
      <c r="W79" s="1279">
        <v>0</v>
      </c>
      <c r="X79" s="1449">
        <v>0</v>
      </c>
      <c r="Y79" s="1277">
        <v>0</v>
      </c>
      <c r="Z79" s="244">
        <v>0</v>
      </c>
      <c r="AA79" s="244">
        <v>0</v>
      </c>
      <c r="AB79" s="1277">
        <v>0</v>
      </c>
      <c r="AC79" s="244">
        <v>0</v>
      </c>
      <c r="AD79" s="1277">
        <v>0</v>
      </c>
      <c r="AE79" s="241">
        <v>0</v>
      </c>
      <c r="AF79" s="244">
        <f t="shared" si="28"/>
        <v>0</v>
      </c>
      <c r="AG79" s="1281" t="s">
        <v>772</v>
      </c>
      <c r="AI79" s="1282" t="e">
        <f t="shared" si="4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712">
        <v>572.76</v>
      </c>
      <c r="J80" s="1448">
        <v>150</v>
      </c>
      <c r="K80" s="241"/>
      <c r="L80" s="1277">
        <v>339</v>
      </c>
      <c r="M80" s="241"/>
      <c r="N80" s="1278">
        <v>5.7</v>
      </c>
      <c r="O80" s="241"/>
      <c r="P80" s="1278">
        <f t="shared" si="6"/>
        <v>25.012230295925328</v>
      </c>
      <c r="Q80" s="1278">
        <f>(32/100)*J80</f>
        <v>48</v>
      </c>
      <c r="R80" s="244">
        <v>10.853</v>
      </c>
      <c r="S80" s="244">
        <v>11.808</v>
      </c>
      <c r="T80" s="1277">
        <v>657</v>
      </c>
      <c r="U80" s="1278">
        <f t="shared" si="12"/>
        <v>60.536257256058235</v>
      </c>
      <c r="V80" s="1278">
        <f t="shared" si="19"/>
        <v>8.087737127371275</v>
      </c>
      <c r="W80" s="1279">
        <v>0.2</v>
      </c>
      <c r="X80" s="1449">
        <v>150</v>
      </c>
      <c r="Y80" s="1277">
        <f t="shared" si="5"/>
        <v>24.6</v>
      </c>
      <c r="Z80" s="244">
        <f t="shared" si="26"/>
        <v>10.722764</v>
      </c>
      <c r="AA80" s="244">
        <f t="shared" si="26"/>
        <v>11.666304</v>
      </c>
      <c r="AB80" s="1277">
        <f t="shared" si="26"/>
        <v>649.11599999999999</v>
      </c>
      <c r="AC80" s="244">
        <f t="shared" si="27"/>
        <v>60.536257256058235</v>
      </c>
      <c r="AD80" s="1277">
        <f t="shared" si="27"/>
        <v>8.087737127371275</v>
      </c>
      <c r="AE80" s="241">
        <f t="shared" si="14"/>
        <v>31</v>
      </c>
      <c r="AF80" s="244">
        <f t="shared" si="28"/>
        <v>332.40568400000001</v>
      </c>
      <c r="AG80" s="1285"/>
      <c r="AI80" s="1282">
        <f t="shared" si="4"/>
        <v>25.012230295925328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712">
        <v>664.19</v>
      </c>
      <c r="J81" s="1448">
        <v>165</v>
      </c>
      <c r="K81" s="241"/>
      <c r="L81" s="1277">
        <v>53</v>
      </c>
      <c r="M81" s="241"/>
      <c r="N81" s="1278">
        <v>3.1</v>
      </c>
      <c r="O81" s="241"/>
      <c r="P81" s="1278">
        <f t="shared" si="6"/>
        <v>57.359949407894845</v>
      </c>
      <c r="Q81" s="1278">
        <f>14*J81/100</f>
        <v>23.1</v>
      </c>
      <c r="R81" s="244">
        <v>4.9619999999999997</v>
      </c>
      <c r="S81" s="244">
        <v>5.1150000000000002</v>
      </c>
      <c r="T81" s="1277">
        <v>478</v>
      </c>
      <c r="U81" s="1278">
        <f t="shared" si="12"/>
        <v>96.332124143490532</v>
      </c>
      <c r="V81" s="1278">
        <f t="shared" si="19"/>
        <v>2.9912023460410646</v>
      </c>
      <c r="W81" s="1279">
        <v>0.2</v>
      </c>
      <c r="X81" s="1449">
        <v>165</v>
      </c>
      <c r="Y81" s="1277">
        <f t="shared" si="5"/>
        <v>22.142857142857142</v>
      </c>
      <c r="Z81" s="244">
        <f t="shared" si="26"/>
        <v>4.9024559999999999</v>
      </c>
      <c r="AA81" s="244">
        <f t="shared" si="26"/>
        <v>5.0536200000000004</v>
      </c>
      <c r="AB81" s="1277">
        <f t="shared" si="26"/>
        <v>472.26400000000001</v>
      </c>
      <c r="AC81" s="244">
        <f t="shared" si="27"/>
        <v>96.332124143490532</v>
      </c>
      <c r="AD81" s="1277">
        <f t="shared" si="27"/>
        <v>2.9912023460410646</v>
      </c>
      <c r="AE81" s="241">
        <f t="shared" si="14"/>
        <v>31</v>
      </c>
      <c r="AF81" s="244">
        <f t="shared" si="28"/>
        <v>151.976136</v>
      </c>
      <c r="AG81" s="1281"/>
      <c r="AI81" s="1282">
        <f t="shared" si="4"/>
        <v>57.359949407894845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709">
        <v>700</v>
      </c>
      <c r="E82" s="1709" t="s">
        <v>547</v>
      </c>
      <c r="F82" s="241">
        <v>177.8</v>
      </c>
      <c r="G82" s="241" t="s">
        <v>28</v>
      </c>
      <c r="H82" s="241" t="s">
        <v>464</v>
      </c>
      <c r="I82" s="1709">
        <v>608.22</v>
      </c>
      <c r="J82" s="1709">
        <v>0</v>
      </c>
      <c r="K82" s="1709"/>
      <c r="L82" s="1319">
        <v>0</v>
      </c>
      <c r="M82" s="1709"/>
      <c r="N82" s="1278">
        <v>0</v>
      </c>
      <c r="O82" s="1709"/>
      <c r="P82" s="1278">
        <f t="shared" si="6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5"/>
        <v>0</v>
      </c>
      <c r="Z82" s="244">
        <f t="shared" si="26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4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709">
        <v>619.66</v>
      </c>
      <c r="E83" s="1709" t="s">
        <v>613</v>
      </c>
      <c r="F83" s="241">
        <v>177.8</v>
      </c>
      <c r="G83" s="241" t="s">
        <v>28</v>
      </c>
      <c r="H83" s="1299" t="s">
        <v>687</v>
      </c>
      <c r="I83" s="1709">
        <v>595.26</v>
      </c>
      <c r="J83" s="1709">
        <v>0</v>
      </c>
      <c r="K83" s="1709"/>
      <c r="L83" s="1319">
        <v>0</v>
      </c>
      <c r="M83" s="1709"/>
      <c r="N83" s="1278">
        <v>0</v>
      </c>
      <c r="O83" s="1709"/>
      <c r="P83" s="1278" t="e">
        <f t="shared" si="6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2"/>
        <v>0</v>
      </c>
      <c r="V83" s="1278" t="e">
        <f t="shared" si="19"/>
        <v>#DIV/0!</v>
      </c>
      <c r="W83" s="1279">
        <v>0</v>
      </c>
      <c r="X83" s="1410">
        <v>0</v>
      </c>
      <c r="Y83" s="1277">
        <v>0</v>
      </c>
      <c r="Z83" s="244">
        <v>0</v>
      </c>
      <c r="AA83" s="244">
        <v>0</v>
      </c>
      <c r="AB83" s="1277">
        <v>0</v>
      </c>
      <c r="AC83" s="244">
        <v>0</v>
      </c>
      <c r="AD83" s="244">
        <v>0</v>
      </c>
      <c r="AE83" s="241">
        <v>0</v>
      </c>
      <c r="AF83" s="244">
        <f t="shared" si="28"/>
        <v>0</v>
      </c>
      <c r="AG83" s="1281" t="s">
        <v>780</v>
      </c>
      <c r="AI83" s="1282" t="e">
        <f t="shared" ref="AI83:AI86" si="29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709">
        <v>689.4</v>
      </c>
      <c r="E84" s="1709" t="s">
        <v>616</v>
      </c>
      <c r="F84" s="241">
        <v>177.8</v>
      </c>
      <c r="G84" s="241" t="s">
        <v>28</v>
      </c>
      <c r="H84" s="1299" t="s">
        <v>466</v>
      </c>
      <c r="I84" s="1709">
        <v>604.96</v>
      </c>
      <c r="J84" s="1709">
        <v>0</v>
      </c>
      <c r="K84" s="1709"/>
      <c r="L84" s="1319"/>
      <c r="M84" s="1709"/>
      <c r="N84" s="1278"/>
      <c r="O84" s="1709"/>
      <c r="P84" s="1278">
        <f t="shared" si="6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0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9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712">
        <v>577.12</v>
      </c>
      <c r="E85" s="1712" t="s">
        <v>614</v>
      </c>
      <c r="F85" s="241">
        <v>177.8</v>
      </c>
      <c r="G85" s="241" t="s">
        <v>28</v>
      </c>
      <c r="H85" s="1299" t="s">
        <v>687</v>
      </c>
      <c r="I85" s="1712">
        <v>536.02</v>
      </c>
      <c r="J85" s="1712">
        <v>85</v>
      </c>
      <c r="K85" s="1712"/>
      <c r="L85" s="1319">
        <v>486</v>
      </c>
      <c r="M85" s="1712"/>
      <c r="N85" s="1278">
        <v>0.1</v>
      </c>
      <c r="O85" s="1712"/>
      <c r="P85" s="1278">
        <f t="shared" ref="P85:P86" si="31">AI85</f>
        <v>5.0607242486053616</v>
      </c>
      <c r="Q85" s="1278">
        <f>RIGHT(H85,(FIND("T",H85,1)-0))*J85/100</f>
        <v>17</v>
      </c>
      <c r="R85" s="244">
        <v>3.0830000000000002</v>
      </c>
      <c r="S85" s="244">
        <v>6.3330000000000002</v>
      </c>
      <c r="T85" s="1319">
        <v>5.5</v>
      </c>
      <c r="U85" s="244">
        <f t="shared" ref="U85" si="32">IF(R85=0,0,T85/R85)</f>
        <v>1.7839766461239053</v>
      </c>
      <c r="V85" s="1278">
        <f t="shared" si="19"/>
        <v>51.318490446865624</v>
      </c>
      <c r="W85" s="1279">
        <v>0.2</v>
      </c>
      <c r="X85" s="1410">
        <v>85</v>
      </c>
      <c r="Y85" s="1277">
        <f t="shared" si="30"/>
        <v>37.252941176470586</v>
      </c>
      <c r="Z85" s="244">
        <f t="shared" ref="Z85:AB86" si="33">R85*0.988</f>
        <v>3.0460039999999999</v>
      </c>
      <c r="AA85" s="244">
        <f t="shared" si="33"/>
        <v>6.2570040000000002</v>
      </c>
      <c r="AB85" s="1277">
        <f t="shared" si="33"/>
        <v>5.4340000000000002</v>
      </c>
      <c r="AC85" s="244">
        <f t="shared" ref="AC85:AD85" si="34">U85</f>
        <v>1.7839766461239053</v>
      </c>
      <c r="AD85" s="1277">
        <f t="shared" si="34"/>
        <v>51.318490446865624</v>
      </c>
      <c r="AE85" s="241">
        <v>30</v>
      </c>
      <c r="AF85" s="244">
        <f>Z85*AE85</f>
        <v>91.380120000000005</v>
      </c>
      <c r="AG85" s="1281"/>
      <c r="AI85" s="1282">
        <f t="shared" si="29"/>
        <v>5.0607242486053616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709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1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2"/>
        <v>0</v>
      </c>
      <c r="V86" s="1278" t="e">
        <f t="shared" si="19"/>
        <v>#DIV/0!</v>
      </c>
      <c r="W86" s="1279">
        <v>0</v>
      </c>
      <c r="X86" s="1449">
        <v>0</v>
      </c>
      <c r="Y86" s="1277">
        <f t="shared" si="30"/>
        <v>0</v>
      </c>
      <c r="Z86" s="244">
        <f t="shared" si="33"/>
        <v>0</v>
      </c>
      <c r="AA86" s="244">
        <f t="shared" si="33"/>
        <v>0</v>
      </c>
      <c r="AB86" s="1277">
        <f t="shared" si="33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9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709"/>
      <c r="E87" s="1709"/>
      <c r="F87" s="1274"/>
      <c r="G87" s="241"/>
      <c r="H87" s="241"/>
      <c r="I87" s="1709"/>
      <c r="J87" s="1709"/>
      <c r="K87" s="1709"/>
      <c r="L87" s="1709"/>
      <c r="M87" s="1709"/>
      <c r="N87" s="241"/>
      <c r="O87" s="1709"/>
      <c r="P87" s="1278"/>
      <c r="Q87" s="1269"/>
      <c r="R87" s="1348">
        <f>SUM(R19:R86)</f>
        <v>275.84500000000003</v>
      </c>
      <c r="S87" s="1348">
        <f>SUM(S19:S86)</f>
        <v>728.75699999999995</v>
      </c>
      <c r="T87" s="1349">
        <f>SUM(T19:T86)</f>
        <v>5538.8</v>
      </c>
      <c r="U87" s="1348">
        <f>T87/R87</f>
        <v>20.079392412405515</v>
      </c>
      <c r="V87" s="1348"/>
      <c r="W87" s="1350"/>
      <c r="X87" s="1410"/>
      <c r="Y87" s="1348"/>
      <c r="Z87" s="1348">
        <f>SUM(Z19:Z86)</f>
        <v>272.53485999999998</v>
      </c>
      <c r="AA87" s="1348">
        <f>SUM(AA19:AA86)</f>
        <v>717.85678399999995</v>
      </c>
      <c r="AB87" s="1351">
        <f>SUM(AB19:AB86)</f>
        <v>5490.2003999999997</v>
      </c>
      <c r="AC87" s="1348">
        <f>AB87/Z87</f>
        <v>20.144947328939864</v>
      </c>
      <c r="AD87" s="1348"/>
      <c r="AE87" s="1302"/>
      <c r="AF87" s="1348">
        <f>SUM(AF19:AF86)</f>
        <v>8445.5346560000016</v>
      </c>
      <c r="AG87" s="1281"/>
      <c r="AI87" s="1282"/>
    </row>
    <row r="88" spans="1:38" ht="18.75" customHeight="1" x14ac:dyDescent="0.2">
      <c r="A88" s="1347"/>
      <c r="B88" s="241"/>
      <c r="C88" s="241"/>
      <c r="D88" s="1709"/>
      <c r="E88" s="1709"/>
      <c r="F88" s="1274"/>
      <c r="G88" s="241"/>
      <c r="H88" s="241"/>
      <c r="I88" s="1709"/>
      <c r="J88" s="1709"/>
      <c r="K88" s="1709"/>
      <c r="L88" s="1709"/>
      <c r="M88" s="1709"/>
      <c r="N88" s="241"/>
      <c r="O88" s="1709"/>
      <c r="P88" s="1278"/>
      <c r="Q88" s="1269"/>
      <c r="R88" s="1348"/>
      <c r="S88" s="1348"/>
      <c r="T88" s="1349">
        <f>S87-R87</f>
        <v>452.91199999999992</v>
      </c>
      <c r="U88" s="1348"/>
      <c r="V88" s="1348"/>
      <c r="W88" s="1350"/>
      <c r="X88" s="1410"/>
      <c r="Y88" s="1348"/>
      <c r="Z88" s="1348"/>
      <c r="AA88" s="1352">
        <f>AA87-Z87</f>
        <v>445.32192399999997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709"/>
      <c r="E89" s="1708" t="s">
        <v>388</v>
      </c>
      <c r="F89" s="1274"/>
      <c r="G89" s="241"/>
      <c r="H89" s="241"/>
      <c r="I89" s="1709"/>
      <c r="J89" s="1709"/>
      <c r="K89" s="1709"/>
      <c r="L89" s="1709"/>
      <c r="M89" s="1709"/>
      <c r="N89" s="241"/>
      <c r="O89" s="1709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709">
        <v>737.21</v>
      </c>
      <c r="E90" s="1709" t="s">
        <v>507</v>
      </c>
      <c r="F90" s="241">
        <v>177.8</v>
      </c>
      <c r="G90" s="241" t="s">
        <v>28</v>
      </c>
      <c r="H90" s="1354" t="s">
        <v>466</v>
      </c>
      <c r="I90" s="1709">
        <v>680.94</v>
      </c>
      <c r="J90" s="1709"/>
      <c r="K90" s="1709"/>
      <c r="L90" s="1709"/>
      <c r="M90" s="1709"/>
      <c r="N90" s="241"/>
      <c r="O90" s="1709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5">R90*0.988</f>
        <v>0</v>
      </c>
      <c r="AA90" s="244">
        <f t="shared" si="35"/>
        <v>0</v>
      </c>
      <c r="AB90" s="1277">
        <f t="shared" si="35"/>
        <v>0</v>
      </c>
      <c r="AC90" s="244">
        <f t="shared" ref="AC90:AD93" si="36">U90</f>
        <v>0</v>
      </c>
      <c r="AD90" s="244">
        <f t="shared" si="36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709">
        <v>695.15</v>
      </c>
      <c r="E91" s="1709" t="s">
        <v>508</v>
      </c>
      <c r="F91" s="1274">
        <v>177.8</v>
      </c>
      <c r="G91" s="241" t="s">
        <v>28</v>
      </c>
      <c r="H91" s="241" t="s">
        <v>491</v>
      </c>
      <c r="I91" s="1709">
        <v>658.9</v>
      </c>
      <c r="J91" s="1709"/>
      <c r="K91" s="1709"/>
      <c r="L91" s="1709"/>
      <c r="M91" s="1709"/>
      <c r="N91" s="241"/>
      <c r="O91" s="1709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5"/>
        <v>0</v>
      </c>
      <c r="AA91" s="244">
        <f t="shared" si="35"/>
        <v>0</v>
      </c>
      <c r="AB91" s="1277">
        <f t="shared" si="35"/>
        <v>0</v>
      </c>
      <c r="AC91" s="244">
        <f t="shared" si="36"/>
        <v>0</v>
      </c>
      <c r="AD91" s="244">
        <f t="shared" si="36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709">
        <v>685.69</v>
      </c>
      <c r="E92" s="1709" t="s">
        <v>579</v>
      </c>
      <c r="F92" s="241">
        <v>177.8</v>
      </c>
      <c r="G92" s="241" t="s">
        <v>28</v>
      </c>
      <c r="H92" s="1299" t="s">
        <v>466</v>
      </c>
      <c r="I92" s="1709">
        <v>639.97</v>
      </c>
      <c r="J92" s="1709"/>
      <c r="K92" s="1709"/>
      <c r="L92" s="1709"/>
      <c r="M92" s="1709"/>
      <c r="N92" s="241"/>
      <c r="O92" s="1709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5"/>
        <v>0</v>
      </c>
      <c r="AA92" s="244">
        <f t="shared" si="35"/>
        <v>0</v>
      </c>
      <c r="AB92" s="1277">
        <f t="shared" si="35"/>
        <v>0</v>
      </c>
      <c r="AC92" s="244">
        <f t="shared" si="36"/>
        <v>0</v>
      </c>
      <c r="AD92" s="244">
        <f t="shared" si="36"/>
        <v>0</v>
      </c>
      <c r="AE92" s="241">
        <v>0</v>
      </c>
      <c r="AF92" s="244">
        <f t="shared" ref="AF92:AF93" si="37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709">
        <v>9.5</v>
      </c>
      <c r="J93" s="1709"/>
      <c r="K93" s="1709"/>
      <c r="L93" s="1709"/>
      <c r="M93" s="1709"/>
      <c r="N93" s="241"/>
      <c r="O93" s="1709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5"/>
        <v>0</v>
      </c>
      <c r="AA93" s="244">
        <f t="shared" si="35"/>
        <v>0</v>
      </c>
      <c r="AB93" s="1277">
        <f t="shared" si="35"/>
        <v>0</v>
      </c>
      <c r="AC93" s="244">
        <f t="shared" si="36"/>
        <v>0</v>
      </c>
      <c r="AD93" s="244">
        <f t="shared" si="36"/>
        <v>0</v>
      </c>
      <c r="AE93" s="241">
        <v>0</v>
      </c>
      <c r="AF93" s="244">
        <f t="shared" si="37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709"/>
      <c r="K94" s="1709"/>
      <c r="L94" s="1709"/>
      <c r="M94" s="1709"/>
      <c r="N94" s="1709"/>
      <c r="O94" s="1709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709"/>
      <c r="K95" s="1709"/>
      <c r="L95" s="1709"/>
      <c r="M95" s="1709"/>
      <c r="N95" s="1709"/>
      <c r="O95" s="1709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709">
        <v>183.38</v>
      </c>
      <c r="J96" s="1709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8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9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0">R96*0.988</f>
        <v>0</v>
      </c>
      <c r="AA96" s="244">
        <f t="shared" si="40"/>
        <v>0</v>
      </c>
      <c r="AB96" s="244">
        <f t="shared" si="40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1">Z96*AE96</f>
        <v>0</v>
      </c>
      <c r="AG96" s="1285"/>
      <c r="AI96" s="1282">
        <f t="shared" ref="AI96:AI101" si="42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709">
        <v>136.35</v>
      </c>
      <c r="J97" s="1709">
        <v>0</v>
      </c>
      <c r="K97" s="1709"/>
      <c r="L97" s="1319">
        <v>27</v>
      </c>
      <c r="M97" s="1709"/>
      <c r="N97" s="1278">
        <v>0</v>
      </c>
      <c r="O97" s="1709"/>
      <c r="P97" s="1278">
        <f t="shared" si="38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9"/>
        <v>0</v>
      </c>
      <c r="V97" s="1278">
        <v>0</v>
      </c>
      <c r="W97" s="1279">
        <v>0.2</v>
      </c>
      <c r="X97" s="1410">
        <v>0</v>
      </c>
      <c r="Y97" s="1277">
        <f t="shared" ref="Y97:Y105" si="43">IF(S97=0,0,S97/Q97)*100</f>
        <v>0</v>
      </c>
      <c r="Z97" s="244">
        <f t="shared" si="40"/>
        <v>0</v>
      </c>
      <c r="AA97" s="244">
        <f t="shared" si="40"/>
        <v>0</v>
      </c>
      <c r="AB97" s="244">
        <f t="shared" si="40"/>
        <v>0</v>
      </c>
      <c r="AC97" s="244">
        <f t="shared" ref="AC97:AD101" si="44">U97</f>
        <v>0</v>
      </c>
      <c r="AD97" s="244">
        <f t="shared" si="44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2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709">
        <v>130.11000000000001</v>
      </c>
      <c r="J98" s="1709">
        <v>0</v>
      </c>
      <c r="K98" s="1709"/>
      <c r="L98" s="1319">
        <v>32</v>
      </c>
      <c r="M98" s="1709"/>
      <c r="N98" s="1278">
        <v>0</v>
      </c>
      <c r="O98" s="1709"/>
      <c r="P98" s="1278">
        <f t="shared" si="38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9"/>
        <v>0</v>
      </c>
      <c r="V98" s="1278">
        <v>0</v>
      </c>
      <c r="W98" s="1279">
        <v>0.2</v>
      </c>
      <c r="X98" s="1410">
        <v>0</v>
      </c>
      <c r="Y98" s="1277">
        <f t="shared" si="43"/>
        <v>0</v>
      </c>
      <c r="Z98" s="244">
        <f t="shared" si="40"/>
        <v>0</v>
      </c>
      <c r="AA98" s="244">
        <f t="shared" si="40"/>
        <v>0</v>
      </c>
      <c r="AB98" s="244">
        <f t="shared" si="40"/>
        <v>0</v>
      </c>
      <c r="AC98" s="244">
        <f t="shared" si="44"/>
        <v>0</v>
      </c>
      <c r="AD98" s="244">
        <f t="shared" si="44"/>
        <v>0</v>
      </c>
      <c r="AE98" s="241">
        <v>0</v>
      </c>
      <c r="AF98" s="244">
        <f t="shared" si="41"/>
        <v>0</v>
      </c>
      <c r="AG98" s="1285" t="s">
        <v>782</v>
      </c>
      <c r="AI98" s="1282">
        <f t="shared" si="42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709">
        <v>134.24</v>
      </c>
      <c r="J99" s="1709">
        <v>0</v>
      </c>
      <c r="K99" s="1709"/>
      <c r="L99" s="1319">
        <v>25</v>
      </c>
      <c r="M99" s="1709"/>
      <c r="N99" s="1278">
        <v>0.2</v>
      </c>
      <c r="O99" s="1709"/>
      <c r="P99" s="1278">
        <f t="shared" si="38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9"/>
        <v>0</v>
      </c>
      <c r="V99" s="1278">
        <v>0</v>
      </c>
      <c r="W99" s="1279">
        <v>0.2</v>
      </c>
      <c r="X99" s="1410">
        <v>0</v>
      </c>
      <c r="Y99" s="1277">
        <f t="shared" si="43"/>
        <v>0</v>
      </c>
      <c r="Z99" s="244">
        <f t="shared" si="40"/>
        <v>0</v>
      </c>
      <c r="AA99" s="244">
        <f t="shared" si="40"/>
        <v>0</v>
      </c>
      <c r="AB99" s="244">
        <f t="shared" si="40"/>
        <v>0</v>
      </c>
      <c r="AC99" s="244">
        <f t="shared" si="44"/>
        <v>0</v>
      </c>
      <c r="AD99" s="244">
        <f t="shared" si="44"/>
        <v>0</v>
      </c>
      <c r="AE99" s="241">
        <v>0</v>
      </c>
      <c r="AF99" s="244">
        <f t="shared" si="41"/>
        <v>0</v>
      </c>
      <c r="AG99" s="1281" t="s">
        <v>782</v>
      </c>
      <c r="AI99" s="1282">
        <f t="shared" si="42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709">
        <v>0</v>
      </c>
      <c r="K100" s="1709"/>
      <c r="L100" s="1319">
        <v>30</v>
      </c>
      <c r="M100" s="1709"/>
      <c r="N100" s="1278">
        <v>0.7</v>
      </c>
      <c r="O100" s="1709"/>
      <c r="P100" s="1278">
        <f t="shared" si="38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9"/>
        <v>0</v>
      </c>
      <c r="V100" s="1278">
        <v>0</v>
      </c>
      <c r="W100" s="1279">
        <v>0.2</v>
      </c>
      <c r="X100" s="1410">
        <v>0</v>
      </c>
      <c r="Y100" s="1277">
        <f t="shared" si="43"/>
        <v>0</v>
      </c>
      <c r="Z100" s="244">
        <f t="shared" si="40"/>
        <v>0</v>
      </c>
      <c r="AA100" s="244">
        <f t="shared" si="40"/>
        <v>0</v>
      </c>
      <c r="AB100" s="244">
        <f t="shared" si="40"/>
        <v>0</v>
      </c>
      <c r="AC100" s="244">
        <f t="shared" si="44"/>
        <v>0</v>
      </c>
      <c r="AD100" s="244">
        <f t="shared" si="44"/>
        <v>0</v>
      </c>
      <c r="AE100" s="241">
        <v>0</v>
      </c>
      <c r="AF100" s="244">
        <f t="shared" si="41"/>
        <v>0</v>
      </c>
      <c r="AG100" s="1363" t="s">
        <v>782</v>
      </c>
      <c r="AI100" s="1282">
        <f t="shared" si="42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8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9"/>
        <v>0</v>
      </c>
      <c r="V101" s="1278">
        <v>0</v>
      </c>
      <c r="W101" s="1355">
        <v>0.2</v>
      </c>
      <c r="X101" s="1410">
        <v>0</v>
      </c>
      <c r="Y101" s="1277">
        <f t="shared" si="43"/>
        <v>0</v>
      </c>
      <c r="Z101" s="244">
        <f t="shared" si="40"/>
        <v>0</v>
      </c>
      <c r="AA101" s="244">
        <f t="shared" si="40"/>
        <v>0</v>
      </c>
      <c r="AB101" s="244">
        <f t="shared" si="40"/>
        <v>0</v>
      </c>
      <c r="AC101" s="244">
        <f t="shared" si="44"/>
        <v>0</v>
      </c>
      <c r="AD101" s="244">
        <f t="shared" si="44"/>
        <v>0</v>
      </c>
      <c r="AE101" s="241">
        <v>0</v>
      </c>
      <c r="AF101" s="244">
        <f t="shared" si="41"/>
        <v>0</v>
      </c>
      <c r="AG101" s="1363" t="s">
        <v>782</v>
      </c>
      <c r="AI101" s="1282">
        <f t="shared" si="42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3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3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709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5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3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709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5"/>
        <v>0</v>
      </c>
      <c r="V105" s="1278">
        <v>0.3</v>
      </c>
      <c r="W105" s="1279">
        <v>0.3</v>
      </c>
      <c r="X105" s="1449">
        <v>0</v>
      </c>
      <c r="Y105" s="1277">
        <f t="shared" si="43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709"/>
      <c r="G106" s="1706"/>
      <c r="H106" s="1708"/>
      <c r="I106" s="1708"/>
      <c r="J106" s="1709"/>
      <c r="K106" s="1709"/>
      <c r="L106" s="1709"/>
      <c r="M106" s="1709"/>
      <c r="N106" s="1709"/>
      <c r="O106" s="1709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706"/>
      <c r="W106" s="1707"/>
      <c r="X106" s="1410"/>
      <c r="Y106" s="1706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706"/>
      <c r="AE106" s="1709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706"/>
      <c r="H108" s="1708"/>
      <c r="I108" s="1708"/>
      <c r="J108" s="1709"/>
      <c r="K108" s="1709"/>
      <c r="L108" s="1709"/>
      <c r="M108" s="1709"/>
      <c r="N108" s="1709"/>
      <c r="O108" s="1709"/>
      <c r="P108" s="1269"/>
      <c r="Q108" s="1269"/>
      <c r="R108" s="1709"/>
      <c r="S108" s="1709"/>
      <c r="T108" s="1709"/>
      <c r="U108" s="1706"/>
      <c r="V108" s="1706"/>
      <c r="W108" s="1707"/>
      <c r="X108" s="1410"/>
      <c r="Y108" s="1706"/>
      <c r="Z108" s="1709"/>
      <c r="AA108" s="1709"/>
      <c r="AB108" s="1709"/>
      <c r="AC108" s="1706"/>
      <c r="AD108" s="1706"/>
      <c r="AE108" s="1709"/>
      <c r="AF108" s="1709"/>
      <c r="AG108" s="1711"/>
    </row>
    <row r="109" spans="1:38" ht="18.75" customHeight="1" x14ac:dyDescent="0.2">
      <c r="A109" s="1273">
        <v>83</v>
      </c>
      <c r="B109" s="1317" t="s">
        <v>107</v>
      </c>
      <c r="C109" s="1709" t="s">
        <v>109</v>
      </c>
      <c r="D109" s="1709"/>
      <c r="E109" s="1709"/>
      <c r="F109" s="1709"/>
      <c r="G109" s="1706"/>
      <c r="H109" s="1708"/>
      <c r="I109" s="1708"/>
      <c r="J109" s="1709"/>
      <c r="K109" s="1709"/>
      <c r="L109" s="1709"/>
      <c r="M109" s="1709"/>
      <c r="N109" s="1709"/>
      <c r="O109" s="1709"/>
      <c r="P109" s="1269"/>
      <c r="Q109" s="1269"/>
      <c r="R109" s="1709"/>
      <c r="S109" s="1709"/>
      <c r="T109" s="1709"/>
      <c r="U109" s="1706"/>
      <c r="V109" s="1706"/>
      <c r="W109" s="1707"/>
      <c r="X109" s="1410"/>
      <c r="Y109" s="1706"/>
      <c r="Z109" s="1708"/>
      <c r="AA109" s="1708"/>
      <c r="AB109" s="1709"/>
      <c r="AC109" s="1706"/>
      <c r="AD109" s="1706"/>
      <c r="AE109" s="1373"/>
      <c r="AF109" s="1709"/>
      <c r="AG109" s="1711"/>
    </row>
    <row r="110" spans="1:38" ht="18.75" customHeight="1" x14ac:dyDescent="0.2">
      <c r="A110" s="1273">
        <v>84</v>
      </c>
      <c r="B110" s="1317" t="s">
        <v>108</v>
      </c>
      <c r="C110" s="1709" t="s">
        <v>109</v>
      </c>
      <c r="D110" s="1709"/>
      <c r="E110" s="1709"/>
      <c r="F110" s="1709"/>
      <c r="G110" s="1706"/>
      <c r="H110" s="1708"/>
      <c r="I110" s="1708"/>
      <c r="J110" s="1709"/>
      <c r="K110" s="1709"/>
      <c r="L110" s="1709"/>
      <c r="M110" s="1709"/>
      <c r="N110" s="1709"/>
      <c r="O110" s="1709"/>
      <c r="P110" s="1269"/>
      <c r="Q110" s="1269"/>
      <c r="R110" s="1301"/>
      <c r="S110" s="1709"/>
      <c r="T110" s="1709"/>
      <c r="U110" s="1706"/>
      <c r="V110" s="1706"/>
      <c r="W110" s="1707"/>
      <c r="X110" s="1410"/>
      <c r="Y110" s="1706"/>
      <c r="Z110" s="1708"/>
      <c r="AA110" s="1708"/>
      <c r="AB110" s="1709"/>
      <c r="AC110" s="1706"/>
      <c r="AD110" s="1706"/>
      <c r="AE110" s="1373"/>
      <c r="AF110" s="1709"/>
      <c r="AG110" s="1711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709"/>
      <c r="E111" s="1709"/>
      <c r="F111" s="1709"/>
      <c r="G111" s="1706"/>
      <c r="H111" s="1708"/>
      <c r="I111" s="1708"/>
      <c r="J111" s="1709"/>
      <c r="K111" s="1709"/>
      <c r="L111" s="1709"/>
      <c r="M111" s="1709"/>
      <c r="N111" s="1709"/>
      <c r="O111" s="1709"/>
      <c r="P111" s="1269"/>
      <c r="Q111" s="1269"/>
      <c r="R111" s="1709"/>
      <c r="S111" s="1709"/>
      <c r="T111" s="1709"/>
      <c r="U111" s="1706"/>
      <c r="V111" s="1706"/>
      <c r="W111" s="1707"/>
      <c r="X111" s="1410"/>
      <c r="Y111" s="1706"/>
      <c r="Z111" s="1708"/>
      <c r="AA111" s="1708"/>
      <c r="AB111" s="1709"/>
      <c r="AC111" s="1706"/>
      <c r="AD111" s="1706"/>
      <c r="AE111" s="1373"/>
      <c r="AF111" s="1709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709"/>
      <c r="E112" s="1709"/>
      <c r="F112" s="1709"/>
      <c r="G112" s="1706"/>
      <c r="H112" s="1708"/>
      <c r="I112" s="1708"/>
      <c r="J112" s="1709"/>
      <c r="K112" s="1709"/>
      <c r="L112" s="1709"/>
      <c r="M112" s="1709"/>
      <c r="N112" s="1709"/>
      <c r="O112" s="1709"/>
      <c r="P112" s="1269"/>
      <c r="Q112" s="1269"/>
      <c r="R112" s="1709"/>
      <c r="S112" s="1709"/>
      <c r="T112" s="1709"/>
      <c r="U112" s="1706"/>
      <c r="V112" s="1706"/>
      <c r="W112" s="1707"/>
      <c r="X112" s="1410"/>
      <c r="Y112" s="1706"/>
      <c r="Z112" s="1708"/>
      <c r="AA112" s="1708"/>
      <c r="AB112" s="1709"/>
      <c r="AC112" s="1706"/>
      <c r="AD112" s="1706"/>
      <c r="AE112" s="1373"/>
      <c r="AF112" s="1709"/>
      <c r="AG112" s="1285"/>
    </row>
    <row r="113" spans="1:33" ht="18.75" customHeight="1" x14ac:dyDescent="0.2">
      <c r="A113" s="1273"/>
      <c r="B113" s="1262"/>
      <c r="C113" s="1371"/>
      <c r="D113" s="1371"/>
      <c r="E113" s="1708" t="s">
        <v>278</v>
      </c>
      <c r="F113" s="1371"/>
      <c r="G113" s="1706"/>
      <c r="H113" s="1708"/>
      <c r="I113" s="1708"/>
      <c r="J113" s="1709"/>
      <c r="K113" s="1709"/>
      <c r="L113" s="1709"/>
      <c r="M113" s="1709"/>
      <c r="N113" s="1709"/>
      <c r="O113" s="1709"/>
      <c r="P113" s="1269"/>
      <c r="Q113" s="1269"/>
      <c r="R113" s="1709"/>
      <c r="S113" s="1709"/>
      <c r="T113" s="1709"/>
      <c r="U113" s="1706"/>
      <c r="V113" s="1706"/>
      <c r="W113" s="1707"/>
      <c r="X113" s="1410"/>
      <c r="Y113" s="1706"/>
      <c r="Z113" s="1301"/>
      <c r="AA113" s="1709"/>
      <c r="AB113" s="1709"/>
      <c r="AC113" s="1706"/>
      <c r="AD113" s="1706"/>
      <c r="AE113" s="1709"/>
      <c r="AF113" s="1709"/>
      <c r="AG113" s="1711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709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709">
        <v>625.1</v>
      </c>
      <c r="E115" s="1709" t="s">
        <v>578</v>
      </c>
      <c r="F115" s="241">
        <v>177.8</v>
      </c>
      <c r="G115" s="241"/>
      <c r="H115" s="241"/>
      <c r="I115" s="244"/>
      <c r="J115" s="1709"/>
      <c r="K115" s="1709"/>
      <c r="L115" s="1709"/>
      <c r="M115" s="1709"/>
      <c r="N115" s="1709"/>
      <c r="O115" s="1709"/>
      <c r="P115" s="1269"/>
      <c r="Q115" s="1269"/>
      <c r="R115" s="1709"/>
      <c r="S115" s="1709"/>
      <c r="T115" s="1709"/>
      <c r="U115" s="1706"/>
      <c r="V115" s="1706"/>
      <c r="W115" s="1707"/>
      <c r="X115" s="1410"/>
      <c r="Y115" s="1376"/>
      <c r="Z115" s="1319"/>
      <c r="AA115" s="1709"/>
      <c r="AB115" s="1709"/>
      <c r="AC115" s="1706"/>
      <c r="AD115" s="1709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709"/>
      <c r="J116" s="1709"/>
      <c r="K116" s="1709"/>
      <c r="L116" s="1709"/>
      <c r="M116" s="1709"/>
      <c r="N116" s="1709"/>
      <c r="O116" s="1709"/>
      <c r="P116" s="1269"/>
      <c r="Q116" s="1270"/>
      <c r="R116" s="1709"/>
      <c r="S116" s="1709"/>
      <c r="T116" s="1709"/>
      <c r="U116" s="1706"/>
      <c r="V116" s="1706"/>
      <c r="W116" s="1707"/>
      <c r="X116" s="1410"/>
      <c r="Y116" s="1376"/>
      <c r="Z116" s="1319"/>
      <c r="AA116" s="1709"/>
      <c r="AB116" s="1709"/>
      <c r="AC116" s="1706"/>
      <c r="AD116" s="1709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709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709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702"/>
      <c r="C119" s="1702"/>
      <c r="D119" s="1702"/>
      <c r="E119" s="1703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275.84500000000003</v>
      </c>
      <c r="S119" s="1386">
        <f>S87+S94+S106</f>
        <v>728.75699999999995</v>
      </c>
      <c r="T119" s="1387">
        <f>T87+T94+T106</f>
        <v>5538.8</v>
      </c>
      <c r="U119" s="1386">
        <f>T119/R119</f>
        <v>20.079392412405515</v>
      </c>
      <c r="V119" s="1386"/>
      <c r="W119" s="1388"/>
      <c r="X119" s="1456"/>
      <c r="Y119" s="1386"/>
      <c r="Z119" s="1386">
        <f>Z87+Z94+Z106</f>
        <v>272.53485999999998</v>
      </c>
      <c r="AA119" s="1386">
        <f>AA87+AA106+AA94</f>
        <v>717.85678399999995</v>
      </c>
      <c r="AB119" s="1387">
        <f>AB87+AB106+AB94</f>
        <v>5490.2003999999997</v>
      </c>
      <c r="AC119" s="1386">
        <f>AC87+AC106+AC94</f>
        <v>20.144947328939864</v>
      </c>
      <c r="AD119" s="1386"/>
      <c r="AE119" s="1386"/>
      <c r="AF119" s="1390">
        <f>AF87+AF94+AF106</f>
        <v>8445.5346560000016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710"/>
      <c r="D121" s="148"/>
      <c r="E121" s="1394">
        <v>0.98</v>
      </c>
      <c r="F121" s="148"/>
      <c r="G121" s="148" t="s">
        <v>102</v>
      </c>
      <c r="H121" s="1710"/>
      <c r="I121" s="1395"/>
      <c r="J121" s="148"/>
      <c r="K121" s="1983">
        <f>AF119*E121</f>
        <v>8276.6239628800013</v>
      </c>
      <c r="L121" s="1984"/>
      <c r="M121" s="1984"/>
      <c r="N121" s="1710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710"/>
      <c r="D122" s="148"/>
      <c r="E122" s="154"/>
      <c r="F122" s="148"/>
      <c r="G122" s="148" t="s">
        <v>733</v>
      </c>
      <c r="H122" s="1710"/>
      <c r="I122" s="1395"/>
      <c r="J122" s="148"/>
      <c r="K122" s="1710"/>
      <c r="L122" s="1397"/>
      <c r="M122" s="148">
        <f>K121*0.875</f>
        <v>7242.0459675200009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705"/>
      <c r="Z122" s="1705"/>
      <c r="AA122" s="150"/>
      <c r="AB122" s="1705"/>
      <c r="AC122" s="1705"/>
      <c r="AD122" s="1705"/>
      <c r="AE122" s="1705"/>
      <c r="AF122" s="1705"/>
      <c r="AG122" s="1400"/>
    </row>
    <row r="123" spans="1:33" ht="15" x14ac:dyDescent="0.2">
      <c r="B123" s="148"/>
      <c r="C123" s="1710"/>
      <c r="D123" s="148"/>
      <c r="E123" s="154"/>
      <c r="F123" s="148"/>
      <c r="G123" s="148"/>
      <c r="H123" s="1710"/>
      <c r="I123" s="1395"/>
      <c r="J123" s="148"/>
      <c r="K123" s="1710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705"/>
      <c r="Z123" s="1705"/>
      <c r="AA123" s="1705"/>
      <c r="AB123" s="1705"/>
      <c r="AC123" s="1705"/>
      <c r="AD123" s="1705"/>
      <c r="AE123" s="1705"/>
      <c r="AF123" s="1705"/>
      <c r="AG123" s="1400"/>
    </row>
    <row r="124" spans="1:33" ht="15" x14ac:dyDescent="0.2">
      <c r="B124" s="148"/>
      <c r="C124" s="1710"/>
      <c r="D124" s="148"/>
      <c r="E124" s="154"/>
      <c r="F124" s="148"/>
      <c r="G124" s="148"/>
      <c r="H124" s="1710"/>
      <c r="I124" s="1395"/>
      <c r="J124" s="148"/>
      <c r="K124" s="1710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705"/>
      <c r="Z124" s="1705"/>
      <c r="AA124" s="1705"/>
      <c r="AB124" s="1705"/>
      <c r="AC124" s="1705"/>
      <c r="AD124" s="1705"/>
      <c r="AE124" s="1705"/>
      <c r="AF124" s="1705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710"/>
      <c r="L125" s="1710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705" t="s">
        <v>561</v>
      </c>
      <c r="AD125" s="1705"/>
      <c r="AE125" s="1705"/>
      <c r="AF125" s="1705"/>
      <c r="AG125" s="1705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58ED-88D0-4AAD-A1DA-BC012DA6D512}">
  <dimension ref="A1:AQ129"/>
  <sheetViews>
    <sheetView topLeftCell="A45" zoomScale="80" zoomScaleNormal="80" workbookViewId="0">
      <selection activeCell="A57" sqref="A57:XFD57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721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721"/>
      <c r="F2" s="1721"/>
      <c r="G2" s="1714"/>
      <c r="H2" s="1720"/>
      <c r="I2" s="1720"/>
      <c r="J2" s="1720"/>
      <c r="K2" s="1720"/>
      <c r="L2" s="1720"/>
      <c r="M2" s="1720"/>
      <c r="N2" s="1720"/>
      <c r="O2" s="1720"/>
      <c r="P2" s="1720"/>
      <c r="Q2" s="1256"/>
      <c r="R2" s="1721"/>
      <c r="S2" s="1721"/>
      <c r="T2" s="1721"/>
      <c r="U2" s="1721"/>
      <c r="V2" s="1721"/>
      <c r="W2" s="1721"/>
      <c r="X2" s="1720"/>
      <c r="Y2" s="1721"/>
      <c r="Z2" s="1721"/>
      <c r="AA2" s="1721"/>
      <c r="AC2" s="1721"/>
      <c r="AD2" s="1721"/>
      <c r="AE2" s="1721"/>
      <c r="AF2" s="1998" t="s">
        <v>750</v>
      </c>
      <c r="AG2" s="1998"/>
    </row>
    <row r="3" spans="1:38" ht="15.75" x14ac:dyDescent="0.25">
      <c r="A3" s="1408" t="s">
        <v>751</v>
      </c>
      <c r="B3" s="1715"/>
      <c r="C3" s="1715"/>
      <c r="D3" s="1715"/>
      <c r="E3" s="1721"/>
      <c r="F3" s="1721"/>
      <c r="G3" s="1714"/>
      <c r="H3" s="1720"/>
      <c r="I3" s="1720"/>
      <c r="J3" s="1720"/>
      <c r="K3" s="1720"/>
      <c r="L3" s="1720"/>
      <c r="M3" s="1720"/>
      <c r="N3" s="1720"/>
      <c r="O3" s="1720"/>
      <c r="P3" s="1720"/>
      <c r="Q3" s="1256"/>
      <c r="R3" s="1721"/>
      <c r="S3" s="1721"/>
      <c r="T3" s="1721"/>
      <c r="U3" s="1721"/>
      <c r="V3" s="1721"/>
      <c r="W3" s="1721"/>
      <c r="X3" s="1720"/>
      <c r="Y3" s="1721"/>
      <c r="Z3" s="1721"/>
      <c r="AA3" s="1721"/>
      <c r="AB3" s="1721"/>
      <c r="AC3" s="1260"/>
      <c r="AE3" s="1222"/>
      <c r="AF3" s="1720" t="s">
        <v>739</v>
      </c>
      <c r="AG3" s="1494"/>
    </row>
    <row r="4" spans="1:38" ht="15" x14ac:dyDescent="0.25">
      <c r="A4" s="1976"/>
      <c r="B4" s="1976"/>
      <c r="C4" s="1976"/>
      <c r="D4" s="1976"/>
      <c r="E4" s="1716"/>
      <c r="F4" s="1721"/>
      <c r="G4" s="1714"/>
      <c r="H4" s="1714"/>
      <c r="I4" s="1720"/>
      <c r="J4" s="1720"/>
      <c r="K4" s="1720"/>
      <c r="L4" s="1720"/>
      <c r="M4" s="1720"/>
      <c r="N4" s="1720"/>
      <c r="O4" s="1720"/>
      <c r="P4" s="1720"/>
      <c r="Q4" s="1256"/>
      <c r="R4" s="1713"/>
      <c r="S4" s="1713"/>
      <c r="T4" s="1713"/>
      <c r="U4" s="1713"/>
      <c r="V4" s="1713"/>
      <c r="W4" s="1713"/>
      <c r="X4" s="1720"/>
      <c r="Y4" s="1721"/>
      <c r="Z4" s="1721"/>
      <c r="AB4" s="1721"/>
      <c r="AD4" s="1721"/>
      <c r="AE4" s="1258"/>
      <c r="AF4" s="154" t="s">
        <v>803</v>
      </c>
      <c r="AG4" s="1495"/>
    </row>
    <row r="5" spans="1:38" ht="27" customHeight="1" x14ac:dyDescent="0.2">
      <c r="A5" s="1976" t="s">
        <v>802</v>
      </c>
      <c r="B5" s="1976"/>
      <c r="C5" s="1976"/>
      <c r="D5" s="1976"/>
      <c r="E5" s="1721"/>
      <c r="F5" s="1721"/>
      <c r="G5" s="1714"/>
      <c r="H5" s="1714"/>
      <c r="I5" s="1721"/>
      <c r="J5" s="1721"/>
      <c r="K5" s="1714"/>
      <c r="L5" s="1714"/>
      <c r="M5" s="1721"/>
      <c r="N5" s="1721"/>
      <c r="O5" s="1721"/>
      <c r="P5" s="149"/>
      <c r="Q5" s="1257"/>
      <c r="R5" s="1721"/>
      <c r="S5" s="1721"/>
      <c r="T5" s="1721"/>
      <c r="U5" s="1721"/>
      <c r="V5" s="1721"/>
      <c r="W5" s="1721"/>
      <c r="X5" s="1721"/>
      <c r="Y5" s="1721"/>
      <c r="Z5" s="1721"/>
      <c r="AA5" s="1721"/>
      <c r="AB5" s="1721"/>
      <c r="AC5" s="1721"/>
      <c r="AD5" s="1721"/>
      <c r="AG5" s="151"/>
    </row>
    <row r="6" spans="1:38" ht="27" customHeight="1" x14ac:dyDescent="0.2">
      <c r="A6" s="1942"/>
      <c r="B6" s="1942"/>
      <c r="C6" s="1942"/>
      <c r="D6" s="1942"/>
      <c r="E6" s="1721"/>
      <c r="F6" s="1721"/>
      <c r="G6" s="1714"/>
      <c r="H6" s="1714"/>
      <c r="I6" s="1721"/>
      <c r="J6" s="1721"/>
      <c r="K6" s="1714"/>
      <c r="L6" s="1714"/>
      <c r="M6" s="1721"/>
      <c r="N6" s="1721"/>
      <c r="O6" s="1721"/>
      <c r="P6" s="149"/>
      <c r="Q6" s="1257"/>
      <c r="R6" s="1721"/>
      <c r="S6" s="1721"/>
      <c r="T6" s="1721"/>
      <c r="U6" s="1721"/>
      <c r="V6" s="1721"/>
      <c r="W6" s="1721"/>
      <c r="X6" s="1721"/>
      <c r="Y6" s="1721"/>
      <c r="Z6" s="1721"/>
      <c r="AA6" s="1721"/>
      <c r="AB6" s="1721"/>
      <c r="AC6" s="1721"/>
      <c r="AD6" s="1721"/>
      <c r="AE6" s="1721"/>
      <c r="AF6" s="1721"/>
    </row>
    <row r="7" spans="1:38" ht="27" customHeight="1" x14ac:dyDescent="0.2">
      <c r="A7" s="1942" t="s">
        <v>54</v>
      </c>
      <c r="B7" s="1942"/>
      <c r="C7" s="1942"/>
      <c r="D7" s="1942"/>
      <c r="E7" s="1721"/>
      <c r="F7" s="1721"/>
      <c r="G7" s="1714"/>
      <c r="H7" s="1714"/>
      <c r="I7" s="1721"/>
      <c r="J7" s="1721"/>
      <c r="K7" s="1714"/>
      <c r="L7" s="1714"/>
      <c r="M7" s="1721"/>
      <c r="N7" s="1721"/>
      <c r="O7" s="1721"/>
      <c r="P7" s="149"/>
      <c r="Q7" s="1257"/>
      <c r="R7" s="1721"/>
      <c r="S7" s="1721"/>
      <c r="T7" s="1721"/>
      <c r="U7" s="1721"/>
      <c r="V7" s="1721"/>
      <c r="W7" s="1721"/>
      <c r="X7" s="1721"/>
      <c r="Y7" s="1721"/>
      <c r="Z7" s="1721"/>
      <c r="AA7" s="1721"/>
      <c r="AB7" s="1721"/>
      <c r="AC7" s="1721"/>
      <c r="AD7" s="1721"/>
      <c r="AE7" s="1721"/>
      <c r="AF7" s="1721"/>
    </row>
    <row r="8" spans="1:38" ht="27" customHeight="1" x14ac:dyDescent="0.2">
      <c r="A8" s="1977" t="s">
        <v>736</v>
      </c>
      <c r="B8" s="1977"/>
      <c r="C8" s="1977"/>
      <c r="D8" s="1977"/>
      <c r="E8" s="1721"/>
      <c r="F8" s="1721"/>
      <c r="G8" s="1714"/>
      <c r="H8" s="1714"/>
      <c r="I8" s="1721"/>
      <c r="J8" s="1721"/>
      <c r="K8" s="1714"/>
      <c r="L8" s="1714"/>
      <c r="M8" s="1721"/>
      <c r="N8" s="1721"/>
      <c r="O8" s="1721"/>
      <c r="P8" s="149"/>
      <c r="Q8" s="1257"/>
      <c r="R8" s="1721"/>
      <c r="S8" s="1721"/>
      <c r="T8" s="1721"/>
      <c r="U8" s="1721"/>
      <c r="V8" s="1721"/>
      <c r="W8" s="1721"/>
      <c r="X8" s="1721"/>
      <c r="Y8" s="1721"/>
      <c r="Z8" s="1721"/>
      <c r="AA8" s="1721"/>
      <c r="AB8" s="1721"/>
      <c r="AC8" s="1721"/>
      <c r="AD8" s="1721"/>
      <c r="AE8" s="1721"/>
      <c r="AF8" s="1721"/>
    </row>
    <row r="9" spans="1:38" ht="27" customHeight="1" x14ac:dyDescent="0.2">
      <c r="A9" s="1408" t="s">
        <v>737</v>
      </c>
      <c r="B9" s="1715"/>
      <c r="C9" s="1715"/>
      <c r="D9" s="1715"/>
      <c r="E9" s="1721"/>
      <c r="F9" s="1721"/>
      <c r="G9" s="1714"/>
      <c r="H9" s="1714"/>
      <c r="I9" s="1721"/>
      <c r="J9" s="1721"/>
      <c r="K9" s="1714"/>
      <c r="L9" s="1714"/>
      <c r="M9" s="1721"/>
      <c r="N9" s="1721"/>
      <c r="O9" s="1721"/>
      <c r="P9" s="149"/>
      <c r="Q9" s="1257"/>
      <c r="R9" s="1721"/>
      <c r="S9" s="1721"/>
      <c r="T9" s="1721"/>
      <c r="U9" s="1721"/>
      <c r="V9" s="1721"/>
      <c r="W9" s="1721"/>
      <c r="X9" s="1721"/>
      <c r="Y9" s="1721"/>
      <c r="Z9" s="1721"/>
      <c r="AA9" s="1721"/>
      <c r="AB9" s="1721"/>
      <c r="AC9" s="1721"/>
      <c r="AD9" s="1721"/>
      <c r="AE9" s="1721"/>
      <c r="AF9" s="1721"/>
    </row>
    <row r="10" spans="1:38" ht="27" customHeight="1" x14ac:dyDescent="0.2">
      <c r="A10" s="1976"/>
      <c r="B10" s="1976"/>
      <c r="C10" s="1976"/>
      <c r="D10" s="1976"/>
      <c r="E10" s="1716"/>
      <c r="F10" s="1721"/>
      <c r="G10" s="1714"/>
      <c r="H10" s="1714"/>
      <c r="I10" s="1721"/>
      <c r="J10" s="1721"/>
      <c r="K10" s="1714"/>
      <c r="L10" s="1714"/>
      <c r="M10" s="1721"/>
      <c r="N10" s="1721"/>
      <c r="O10" s="1721"/>
      <c r="P10" s="149"/>
      <c r="Q10" s="1257"/>
      <c r="R10" s="1721"/>
      <c r="S10" s="1721"/>
      <c r="T10" s="1721"/>
      <c r="U10" s="1721"/>
      <c r="V10" s="1721"/>
      <c r="W10" s="1721"/>
      <c r="X10" s="1721"/>
      <c r="Y10" s="1721"/>
      <c r="Z10" s="1721"/>
      <c r="AA10" s="1721"/>
      <c r="AB10" s="1721"/>
      <c r="AC10" s="1721"/>
      <c r="AD10" s="1721"/>
      <c r="AE10" s="1721"/>
      <c r="AF10" s="1721"/>
    </row>
    <row r="11" spans="1:38" ht="27" customHeight="1" x14ac:dyDescent="0.2">
      <c r="A11" s="1976" t="s">
        <v>802</v>
      </c>
      <c r="B11" s="1976"/>
      <c r="C11" s="1976"/>
      <c r="D11" s="1976"/>
      <c r="E11" s="1721"/>
      <c r="F11" s="1721"/>
      <c r="G11" s="1714"/>
      <c r="H11" s="1714"/>
      <c r="I11" s="1721"/>
      <c r="J11" s="1721"/>
      <c r="K11" s="1714"/>
      <c r="L11" s="1714"/>
      <c r="M11" s="1721"/>
      <c r="N11" s="1721"/>
      <c r="O11" s="1721"/>
      <c r="P11" s="149"/>
      <c r="Q11" s="1257"/>
      <c r="R11" s="1721"/>
      <c r="S11" s="1721"/>
      <c r="T11" s="1721"/>
      <c r="U11" s="1721"/>
      <c r="V11" s="1721"/>
      <c r="W11" s="1721"/>
      <c r="X11" s="1721"/>
      <c r="Y11" s="1721"/>
      <c r="Z11" s="1721"/>
      <c r="AA11" s="1721"/>
      <c r="AB11" s="1721"/>
      <c r="AC11" s="1721"/>
      <c r="AD11" s="1721"/>
      <c r="AE11" s="1721"/>
      <c r="AF11" s="1721"/>
    </row>
    <row r="12" spans="1:38" ht="27" customHeight="1" x14ac:dyDescent="0.2">
      <c r="A12" s="1717"/>
      <c r="B12" s="1717"/>
      <c r="C12" s="1717"/>
      <c r="D12" s="1717"/>
      <c r="E12" s="1721"/>
      <c r="F12" s="1721"/>
      <c r="G12" s="1714"/>
      <c r="H12" s="1714"/>
      <c r="I12" s="1721"/>
      <c r="J12" s="1721"/>
      <c r="K12" s="1714"/>
      <c r="L12" s="1714"/>
      <c r="M12" s="1721"/>
      <c r="N12" s="1721"/>
      <c r="O12" s="1721"/>
      <c r="P12" s="149"/>
      <c r="Q12" s="1257"/>
      <c r="R12" s="1721"/>
      <c r="S12" s="1721"/>
      <c r="T12" s="1721"/>
      <c r="U12" s="1721"/>
      <c r="V12" s="1721"/>
      <c r="W12" s="1721"/>
      <c r="X12" s="1721"/>
      <c r="Y12" s="1721"/>
      <c r="Z12" s="1721"/>
      <c r="AA12" s="1721"/>
      <c r="AB12" s="1721"/>
      <c r="AC12" s="1721"/>
      <c r="AD12" s="1721"/>
      <c r="AE12" s="1721"/>
      <c r="AF12" s="1721"/>
    </row>
    <row r="13" spans="1:38" ht="32.25" customHeight="1" x14ac:dyDescent="0.25">
      <c r="A13" s="1976"/>
      <c r="B13" s="1976"/>
      <c r="C13" s="1976"/>
      <c r="D13" s="1976"/>
      <c r="E13" s="1716"/>
      <c r="F13" s="1721"/>
      <c r="G13" s="1714"/>
      <c r="H13" s="1714"/>
      <c r="I13" s="140"/>
      <c r="J13" s="1721"/>
      <c r="K13" s="1714"/>
      <c r="L13" s="1714"/>
      <c r="M13" s="1721"/>
      <c r="N13" s="1721"/>
      <c r="O13" s="1721"/>
      <c r="P13" s="149"/>
      <c r="Q13" s="1257"/>
      <c r="R13" s="1721"/>
      <c r="S13" s="1721"/>
      <c r="T13" s="1721"/>
      <c r="U13" s="1721"/>
      <c r="V13" s="1721"/>
      <c r="W13" s="147"/>
      <c r="X13" s="1721"/>
      <c r="Y13" s="1721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714"/>
      <c r="C14" s="1714"/>
      <c r="D14" s="1714"/>
      <c r="E14" s="1721"/>
      <c r="F14" s="1721"/>
      <c r="G14" s="1714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721"/>
      <c r="Z14" s="148"/>
      <c r="AA14" s="148"/>
      <c r="AB14" s="148"/>
      <c r="AC14" s="148"/>
    </row>
    <row r="15" spans="1:38" ht="31.5" customHeight="1" thickBot="1" x14ac:dyDescent="0.25">
      <c r="B15" s="1714"/>
      <c r="C15" s="1714"/>
      <c r="D15" s="1714"/>
      <c r="E15" s="1721"/>
      <c r="F15" s="1721"/>
      <c r="G15" s="1714"/>
      <c r="H15" s="1714"/>
      <c r="I15" s="140"/>
      <c r="J15" s="1964" t="s">
        <v>796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721"/>
      <c r="Y15" s="1721"/>
      <c r="Z15" s="148"/>
      <c r="AA15" s="148"/>
      <c r="AB15" s="148"/>
      <c r="AC15" s="148"/>
      <c r="AD15" s="1721"/>
      <c r="AE15" s="1721"/>
      <c r="AF15" s="1721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722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722" t="s">
        <v>18</v>
      </c>
      <c r="AF17" s="1722" t="s">
        <v>20</v>
      </c>
      <c r="AG17" s="1967" t="s">
        <v>21</v>
      </c>
      <c r="AH17" s="1267">
        <v>45292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725" t="s">
        <v>3</v>
      </c>
      <c r="J18" s="1725" t="s">
        <v>7</v>
      </c>
      <c r="K18" s="1725" t="s">
        <v>30</v>
      </c>
      <c r="L18" s="1725" t="s">
        <v>29</v>
      </c>
      <c r="M18" s="1725" t="s">
        <v>31</v>
      </c>
      <c r="N18" s="1725" t="s">
        <v>32</v>
      </c>
      <c r="O18" s="1725" t="s">
        <v>12</v>
      </c>
      <c r="P18" s="1269" t="s">
        <v>673</v>
      </c>
      <c r="Q18" s="1270" t="s">
        <v>26</v>
      </c>
      <c r="R18" s="1725" t="s">
        <v>675</v>
      </c>
      <c r="S18" s="1725" t="s">
        <v>25</v>
      </c>
      <c r="T18" s="1725" t="s">
        <v>676</v>
      </c>
      <c r="U18" s="1968"/>
      <c r="V18" s="1968"/>
      <c r="W18" s="1987"/>
      <c r="X18" s="1410" t="s">
        <v>7</v>
      </c>
      <c r="Y18" s="1968"/>
      <c r="Z18" s="1725" t="s">
        <v>14</v>
      </c>
      <c r="AA18" s="1725" t="s">
        <v>679</v>
      </c>
      <c r="AB18" s="1725" t="s">
        <v>113</v>
      </c>
      <c r="AC18" s="1968"/>
      <c r="AD18" s="1968"/>
      <c r="AE18" s="1725" t="s">
        <v>19</v>
      </c>
      <c r="AF18" s="1725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725">
        <v>557.80999999999995</v>
      </c>
      <c r="J19" s="1448">
        <v>180</v>
      </c>
      <c r="K19" s="241"/>
      <c r="L19" s="1277">
        <v>277</v>
      </c>
      <c r="M19" s="241"/>
      <c r="N19" s="1278">
        <v>3.1</v>
      </c>
      <c r="O19" s="241"/>
      <c r="P19" s="1278">
        <f>AI19</f>
        <v>30.360836934557408</v>
      </c>
      <c r="Q19" s="1278">
        <f>LEFT(H19,(FIND("Е",H19,1)-1))*J19/100</f>
        <v>23.4</v>
      </c>
      <c r="R19" s="244">
        <v>1.355</v>
      </c>
      <c r="S19" s="244">
        <v>8.6329999999999991</v>
      </c>
      <c r="T19" s="1277">
        <v>9.5</v>
      </c>
      <c r="U19" s="1278">
        <f t="shared" ref="U19:U37" si="0">IF(R19=0,0,T19/R19)</f>
        <v>7.0110701107011071</v>
      </c>
      <c r="V19" s="1278">
        <f>(S19-R19)/S19*100</f>
        <v>84.304413297810726</v>
      </c>
      <c r="W19" s="1279">
        <v>0.2</v>
      </c>
      <c r="X19" s="1449">
        <v>180</v>
      </c>
      <c r="Y19" s="1277">
        <f>IF(S19=0,0,S19/Q19)*100</f>
        <v>36.893162393162392</v>
      </c>
      <c r="Z19" s="244">
        <f t="shared" ref="Z19:AB36" si="1">R19*0.988</f>
        <v>1.33874</v>
      </c>
      <c r="AA19" s="244">
        <f t="shared" si="1"/>
        <v>8.5294039999999995</v>
      </c>
      <c r="AB19" s="1277">
        <f>T19*0.988</f>
        <v>9.3859999999999992</v>
      </c>
      <c r="AC19" s="244">
        <f>U19</f>
        <v>7.0110701107011071</v>
      </c>
      <c r="AD19" s="1277">
        <f>V19</f>
        <v>84.304413297810726</v>
      </c>
      <c r="AE19" s="241">
        <f t="shared" ref="AE19:AE41" si="2">(DAY(EOMONTH($AH$17,0))-AH19)</f>
        <v>31</v>
      </c>
      <c r="AF19" s="244">
        <f t="shared" ref="AF19:AF63" si="3">Z19*AE19</f>
        <v>41.50094</v>
      </c>
      <c r="AG19" s="1281"/>
      <c r="AI19" s="1282">
        <f t="shared" ref="AI19:AI82" si="4">(9.81*(AJ19*(100%-(V19/100))+AK19*(V19/100))*(I19-L19)+N19*101.325+9.81*(AL19)*L19)/101.325</f>
        <v>30.360836934557408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65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725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2" si="5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4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728">
        <v>528.5</v>
      </c>
      <c r="J21" s="241">
        <v>85</v>
      </c>
      <c r="K21" s="241"/>
      <c r="L21" s="1277">
        <v>481</v>
      </c>
      <c r="M21" s="241"/>
      <c r="N21" s="1278">
        <v>9.5</v>
      </c>
      <c r="O21" s="241"/>
      <c r="P21" s="1278">
        <f t="shared" ref="P21:P84" si="6">AI21</f>
        <v>13.994925853413658</v>
      </c>
      <c r="Q21" s="1278">
        <f>RIGHT(H21,(FIND("T",H21,1)-0))*J21/100</f>
        <v>17</v>
      </c>
      <c r="R21" s="244">
        <v>4.298</v>
      </c>
      <c r="S21" s="244">
        <v>10.394</v>
      </c>
      <c r="T21" s="1277">
        <v>15.5</v>
      </c>
      <c r="U21" s="1278">
        <f t="shared" si="0"/>
        <v>3.6063285248953001</v>
      </c>
      <c r="V21" s="1278">
        <f t="shared" ref="V21:V55" si="7">(S21-R21)/S21*100</f>
        <v>58.649220704252457</v>
      </c>
      <c r="W21" s="1279">
        <v>0.2</v>
      </c>
      <c r="X21" s="1316">
        <v>85</v>
      </c>
      <c r="Y21" s="1277">
        <f t="shared" si="5"/>
        <v>61.141176470588235</v>
      </c>
      <c r="Z21" s="244">
        <f t="shared" si="1"/>
        <v>4.2464240000000002</v>
      </c>
      <c r="AA21" s="244">
        <f t="shared" si="1"/>
        <v>10.269272000000001</v>
      </c>
      <c r="AB21" s="1277">
        <f t="shared" si="1"/>
        <v>15.314</v>
      </c>
      <c r="AC21" s="244">
        <f t="shared" ref="AC21:AD36" si="8">U21</f>
        <v>3.6063285248953001</v>
      </c>
      <c r="AD21" s="1277">
        <f t="shared" si="8"/>
        <v>58.649220704252457</v>
      </c>
      <c r="AE21" s="241">
        <f t="shared" si="2"/>
        <v>31</v>
      </c>
      <c r="AF21" s="244">
        <f t="shared" si="3"/>
        <v>131.63914400000002</v>
      </c>
      <c r="AG21" s="1281"/>
      <c r="AI21" s="1282">
        <f t="shared" si="4"/>
        <v>13.994925853413658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728">
        <v>544.29999999999995</v>
      </c>
      <c r="J22" s="241">
        <v>195</v>
      </c>
      <c r="K22" s="241"/>
      <c r="L22" s="1277">
        <v>446</v>
      </c>
      <c r="M22" s="241"/>
      <c r="N22" s="1278">
        <v>3.5</v>
      </c>
      <c r="O22" s="241"/>
      <c r="P22" s="1278">
        <f t="shared" si="6"/>
        <v>12.619575404530073</v>
      </c>
      <c r="Q22" s="1278">
        <f t="shared" ref="Q22:Q27" si="9">RIGHT(H22,(FIND("T",H22,1)-0))*J22/100</f>
        <v>27.3</v>
      </c>
      <c r="R22" s="244">
        <v>9.0120000000000005</v>
      </c>
      <c r="S22" s="244">
        <v>17.28</v>
      </c>
      <c r="T22" s="1277">
        <v>163</v>
      </c>
      <c r="U22" s="1278">
        <f t="shared" si="0"/>
        <v>18.086995117620948</v>
      </c>
      <c r="V22" s="1278">
        <f t="shared" si="7"/>
        <v>47.847222222222221</v>
      </c>
      <c r="W22" s="1279">
        <v>0.23</v>
      </c>
      <c r="X22" s="1316">
        <v>195</v>
      </c>
      <c r="Y22" s="1277">
        <f t="shared" si="5"/>
        <v>63.296703296703292</v>
      </c>
      <c r="Z22" s="244">
        <f t="shared" si="1"/>
        <v>8.9038560000000011</v>
      </c>
      <c r="AA22" s="244">
        <f t="shared" si="1"/>
        <v>17.07264</v>
      </c>
      <c r="AB22" s="1277">
        <f t="shared" si="1"/>
        <v>161.04400000000001</v>
      </c>
      <c r="AC22" s="244">
        <f t="shared" si="8"/>
        <v>18.086995117620948</v>
      </c>
      <c r="AD22" s="1277">
        <f t="shared" si="8"/>
        <v>47.847222222222221</v>
      </c>
      <c r="AE22" s="241">
        <f t="shared" si="2"/>
        <v>31</v>
      </c>
      <c r="AF22" s="244">
        <f t="shared" si="3"/>
        <v>276.01953600000002</v>
      </c>
      <c r="AG22" s="1281"/>
      <c r="AI22" s="1282">
        <f t="shared" si="4"/>
        <v>12.619575404530073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728">
        <v>548.32000000000005</v>
      </c>
      <c r="J23" s="241">
        <v>70</v>
      </c>
      <c r="K23" s="241"/>
      <c r="L23" s="1277">
        <v>431</v>
      </c>
      <c r="M23" s="241"/>
      <c r="N23" s="1278">
        <v>3.9</v>
      </c>
      <c r="O23" s="241"/>
      <c r="P23" s="1278">
        <f t="shared" si="6"/>
        <v>14.479804434790779</v>
      </c>
      <c r="Q23" s="1278">
        <f t="shared" si="9"/>
        <v>9.8000000000000007</v>
      </c>
      <c r="R23" s="244">
        <v>5.2160000000000002</v>
      </c>
      <c r="S23" s="244">
        <v>6.29</v>
      </c>
      <c r="T23" s="1277">
        <v>34</v>
      </c>
      <c r="U23" s="1278">
        <f t="shared" si="0"/>
        <v>6.5184049079754596</v>
      </c>
      <c r="V23" s="1278">
        <f t="shared" si="7"/>
        <v>17.074721780604129</v>
      </c>
      <c r="W23" s="1279">
        <v>0.2</v>
      </c>
      <c r="X23" s="1316">
        <v>70</v>
      </c>
      <c r="Y23" s="1277">
        <f t="shared" si="5"/>
        <v>64.183673469387742</v>
      </c>
      <c r="Z23" s="244">
        <f t="shared" si="1"/>
        <v>5.1534079999999998</v>
      </c>
      <c r="AA23" s="244">
        <f t="shared" si="1"/>
        <v>6.2145200000000003</v>
      </c>
      <c r="AB23" s="1277">
        <f t="shared" si="1"/>
        <v>33.591999999999999</v>
      </c>
      <c r="AC23" s="244">
        <f t="shared" si="8"/>
        <v>6.5184049079754596</v>
      </c>
      <c r="AD23" s="1277">
        <f t="shared" si="8"/>
        <v>17.074721780604129</v>
      </c>
      <c r="AE23" s="241">
        <f t="shared" si="2"/>
        <v>31</v>
      </c>
      <c r="AF23" s="244">
        <f t="shared" si="3"/>
        <v>159.75564799999998</v>
      </c>
      <c r="AG23" s="1281"/>
      <c r="AI23" s="1282">
        <f t="shared" si="4"/>
        <v>14.479804434790779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728">
        <v>564.33000000000004</v>
      </c>
      <c r="J24" s="241">
        <v>85</v>
      </c>
      <c r="K24" s="241"/>
      <c r="L24" s="1277">
        <v>517</v>
      </c>
      <c r="M24" s="241"/>
      <c r="N24" s="1278">
        <v>2.4</v>
      </c>
      <c r="O24" s="241"/>
      <c r="P24" s="1278">
        <f t="shared" si="6"/>
        <v>6.8251871907717456</v>
      </c>
      <c r="Q24" s="1278">
        <f t="shared" si="9"/>
        <v>11.9</v>
      </c>
      <c r="R24" s="244">
        <v>5.5750000000000002</v>
      </c>
      <c r="S24" s="244">
        <v>7.4809999999999999</v>
      </c>
      <c r="T24" s="1277">
        <v>7</v>
      </c>
      <c r="U24" s="1278">
        <f t="shared" si="0"/>
        <v>1.2556053811659191</v>
      </c>
      <c r="V24" s="1278">
        <f t="shared" si="7"/>
        <v>25.477877289132465</v>
      </c>
      <c r="W24" s="1279">
        <v>0.2</v>
      </c>
      <c r="X24" s="1316">
        <v>85</v>
      </c>
      <c r="Y24" s="1277">
        <f t="shared" si="5"/>
        <v>62.865546218487388</v>
      </c>
      <c r="Z24" s="244">
        <f t="shared" si="1"/>
        <v>5.5080999999999998</v>
      </c>
      <c r="AA24" s="244">
        <f t="shared" si="1"/>
        <v>7.3912279999999999</v>
      </c>
      <c r="AB24" s="1277">
        <f t="shared" si="1"/>
        <v>6.9160000000000004</v>
      </c>
      <c r="AC24" s="244">
        <f t="shared" si="8"/>
        <v>1.2556053811659191</v>
      </c>
      <c r="AD24" s="1277">
        <f t="shared" si="8"/>
        <v>25.477877289132465</v>
      </c>
      <c r="AE24" s="241">
        <f t="shared" si="2"/>
        <v>31</v>
      </c>
      <c r="AF24" s="244">
        <f t="shared" si="3"/>
        <v>170.75109999999998</v>
      </c>
      <c r="AG24" s="1281"/>
      <c r="AI24" s="1282">
        <f t="shared" si="4"/>
        <v>6.8251871907717456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728">
        <v>540.01</v>
      </c>
      <c r="J25" s="241">
        <v>85</v>
      </c>
      <c r="K25" s="241"/>
      <c r="L25" s="1277">
        <v>519</v>
      </c>
      <c r="M25" s="241"/>
      <c r="N25" s="1278">
        <v>1.8</v>
      </c>
      <c r="O25" s="241"/>
      <c r="P25" s="1278">
        <f t="shared" si="6"/>
        <v>3.8060441037591488</v>
      </c>
      <c r="Q25" s="1278">
        <f t="shared" si="9"/>
        <v>11.9</v>
      </c>
      <c r="R25" s="244">
        <v>3.5350000000000001</v>
      </c>
      <c r="S25" s="244">
        <v>7.3810000000000002</v>
      </c>
      <c r="T25" s="1277">
        <v>14</v>
      </c>
      <c r="U25" s="1278">
        <f t="shared" si="0"/>
        <v>3.9603960396039604</v>
      </c>
      <c r="V25" s="1278">
        <f t="shared" si="7"/>
        <v>52.106760601544508</v>
      </c>
      <c r="W25" s="1279">
        <v>0.2</v>
      </c>
      <c r="X25" s="1316">
        <v>85</v>
      </c>
      <c r="Y25" s="1277">
        <f t="shared" si="5"/>
        <v>62.02521008403361</v>
      </c>
      <c r="Z25" s="244">
        <f t="shared" si="1"/>
        <v>3.4925800000000002</v>
      </c>
      <c r="AA25" s="244">
        <f t="shared" si="1"/>
        <v>7.2924280000000001</v>
      </c>
      <c r="AB25" s="1277">
        <f t="shared" si="1"/>
        <v>13.832000000000001</v>
      </c>
      <c r="AC25" s="244">
        <f t="shared" si="8"/>
        <v>3.9603960396039604</v>
      </c>
      <c r="AD25" s="1277">
        <f t="shared" si="8"/>
        <v>52.106760601544508</v>
      </c>
      <c r="AE25" s="241">
        <f t="shared" si="2"/>
        <v>31</v>
      </c>
      <c r="AF25" s="244">
        <f t="shared" si="3"/>
        <v>108.26998</v>
      </c>
      <c r="AG25" s="1281"/>
      <c r="AI25" s="1282">
        <f t="shared" si="4"/>
        <v>3.8060441037591488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446</v>
      </c>
      <c r="M26" s="1302"/>
      <c r="N26" s="1278">
        <v>3.9</v>
      </c>
      <c r="O26" s="1302"/>
      <c r="P26" s="1278">
        <f t="shared" si="6"/>
        <v>13.993811166851188</v>
      </c>
      <c r="Q26" s="1278">
        <f t="shared" si="9"/>
        <v>20</v>
      </c>
      <c r="R26" s="244">
        <v>4.8520000000000003</v>
      </c>
      <c r="S26" s="244">
        <v>13.018000000000001</v>
      </c>
      <c r="T26" s="1277">
        <v>75</v>
      </c>
      <c r="U26" s="1278">
        <f t="shared" si="0"/>
        <v>15.457543281121186</v>
      </c>
      <c r="V26" s="1278">
        <f t="shared" si="7"/>
        <v>62.728529728068828</v>
      </c>
      <c r="W26" s="1279">
        <v>0.2</v>
      </c>
      <c r="X26" s="1316">
        <v>100</v>
      </c>
      <c r="Y26" s="1277">
        <f t="shared" si="5"/>
        <v>65.09</v>
      </c>
      <c r="Z26" s="244">
        <f t="shared" si="1"/>
        <v>4.7937760000000003</v>
      </c>
      <c r="AA26" s="244">
        <f t="shared" si="1"/>
        <v>12.861784</v>
      </c>
      <c r="AB26" s="1277">
        <f t="shared" si="1"/>
        <v>74.099999999999994</v>
      </c>
      <c r="AC26" s="244">
        <f t="shared" si="8"/>
        <v>15.457543281121186</v>
      </c>
      <c r="AD26" s="1277">
        <f t="shared" si="8"/>
        <v>62.728529728068828</v>
      </c>
      <c r="AE26" s="241">
        <f t="shared" si="2"/>
        <v>31</v>
      </c>
      <c r="AF26" s="244">
        <f t="shared" si="3"/>
        <v>148.607056</v>
      </c>
      <c r="AG26" s="1281"/>
      <c r="AI26" s="1282">
        <f t="shared" si="4"/>
        <v>13.993811166851188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793</v>
      </c>
      <c r="I27" s="1728">
        <v>547.62</v>
      </c>
      <c r="J27" s="241">
        <v>100</v>
      </c>
      <c r="K27" s="241"/>
      <c r="L27" s="1277">
        <v>514</v>
      </c>
      <c r="M27" s="241"/>
      <c r="N27" s="1278">
        <v>4.3</v>
      </c>
      <c r="O27" s="241"/>
      <c r="P27" s="1278">
        <f t="shared" si="6"/>
        <v>7.4921969727173554</v>
      </c>
      <c r="Q27" s="1278">
        <f t="shared" si="9"/>
        <v>14</v>
      </c>
      <c r="R27" s="244">
        <v>7.67</v>
      </c>
      <c r="S27" s="244">
        <v>17.065999999999999</v>
      </c>
      <c r="T27" s="1277">
        <v>9.5</v>
      </c>
      <c r="U27" s="1278">
        <f t="shared" si="0"/>
        <v>1.2385919165580184</v>
      </c>
      <c r="V27" s="1278">
        <f t="shared" si="7"/>
        <v>55.056838157740543</v>
      </c>
      <c r="W27" s="1279">
        <v>0.2</v>
      </c>
      <c r="X27" s="1316">
        <v>100</v>
      </c>
      <c r="Y27" s="1277">
        <f t="shared" si="5"/>
        <v>121.89999999999999</v>
      </c>
      <c r="Z27" s="244">
        <f t="shared" si="1"/>
        <v>7.57796</v>
      </c>
      <c r="AA27" s="244">
        <f t="shared" si="1"/>
        <v>16.861207999999998</v>
      </c>
      <c r="AB27" s="1277">
        <f t="shared" si="1"/>
        <v>9.3859999999999992</v>
      </c>
      <c r="AC27" s="244">
        <f t="shared" si="8"/>
        <v>1.2385919165580184</v>
      </c>
      <c r="AD27" s="1277">
        <f t="shared" si="8"/>
        <v>55.056838157740543</v>
      </c>
      <c r="AE27" s="241">
        <f t="shared" si="2"/>
        <v>31</v>
      </c>
      <c r="AF27" s="244">
        <f t="shared" si="3"/>
        <v>234.91676000000001</v>
      </c>
      <c r="AG27" s="1281"/>
      <c r="AI27" s="1282">
        <f t="shared" si="4"/>
        <v>7.4921969727173554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728">
        <v>566.99</v>
      </c>
      <c r="J28" s="1448">
        <v>85</v>
      </c>
      <c r="K28" s="241"/>
      <c r="L28" s="1277">
        <v>343</v>
      </c>
      <c r="M28" s="241"/>
      <c r="N28" s="1278">
        <v>0.8</v>
      </c>
      <c r="O28" s="241"/>
      <c r="P28" s="1278">
        <f t="shared" si="6"/>
        <v>22.209239764405503</v>
      </c>
      <c r="Q28" s="1278">
        <f>J28*14/100</f>
        <v>11.9</v>
      </c>
      <c r="R28" s="244">
        <v>3.6459999999999999</v>
      </c>
      <c r="S28" s="244">
        <v>9.798</v>
      </c>
      <c r="T28" s="1277">
        <v>15.5</v>
      </c>
      <c r="U28" s="1278">
        <f t="shared" si="0"/>
        <v>4.2512342292923755</v>
      </c>
      <c r="V28" s="1278">
        <f t="shared" si="7"/>
        <v>62.788324147785268</v>
      </c>
      <c r="W28" s="1279">
        <v>0.2</v>
      </c>
      <c r="X28" s="1449">
        <v>85</v>
      </c>
      <c r="Y28" s="1277">
        <f t="shared" si="5"/>
        <v>82.336134453781511</v>
      </c>
      <c r="Z28" s="244">
        <f t="shared" si="1"/>
        <v>3.6022479999999999</v>
      </c>
      <c r="AA28" s="244">
        <f t="shared" si="1"/>
        <v>9.6804240000000004</v>
      </c>
      <c r="AB28" s="1277">
        <f t="shared" si="1"/>
        <v>15.314</v>
      </c>
      <c r="AC28" s="244">
        <f t="shared" si="8"/>
        <v>4.2512342292923755</v>
      </c>
      <c r="AD28" s="1277">
        <f t="shared" si="8"/>
        <v>62.788324147785268</v>
      </c>
      <c r="AE28" s="241">
        <f t="shared" si="2"/>
        <v>31</v>
      </c>
      <c r="AF28" s="244">
        <f t="shared" si="3"/>
        <v>111.66968799999999</v>
      </c>
      <c r="AG28" s="1285"/>
      <c r="AI28" s="1282">
        <f t="shared" si="4"/>
        <v>22.209239764405503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728">
        <v>593.29</v>
      </c>
      <c r="J29" s="241">
        <v>260</v>
      </c>
      <c r="K29" s="241"/>
      <c r="L29" s="1277">
        <v>367</v>
      </c>
      <c r="M29" s="241"/>
      <c r="N29" s="1278">
        <v>4.2</v>
      </c>
      <c r="O29" s="241"/>
      <c r="P29" s="1278">
        <f t="shared" si="6"/>
        <v>26.362670204881731</v>
      </c>
      <c r="Q29" s="1278">
        <f>(15/100)*J29</f>
        <v>39</v>
      </c>
      <c r="R29" s="244">
        <v>1.5289999999999999</v>
      </c>
      <c r="S29" s="244">
        <v>5.5090000000000003</v>
      </c>
      <c r="T29" s="1277">
        <v>36</v>
      </c>
      <c r="U29" s="1278">
        <f t="shared" si="0"/>
        <v>23.544800523217791</v>
      </c>
      <c r="V29" s="1278">
        <f t="shared" si="7"/>
        <v>72.245416591032864</v>
      </c>
      <c r="W29" s="1279">
        <v>0.27</v>
      </c>
      <c r="X29" s="1316">
        <v>260</v>
      </c>
      <c r="Y29" s="1277">
        <f t="shared" si="5"/>
        <v>14.125641025641025</v>
      </c>
      <c r="Z29" s="244">
        <f t="shared" si="1"/>
        <v>1.5106519999999999</v>
      </c>
      <c r="AA29" s="244">
        <f t="shared" si="1"/>
        <v>5.4428920000000005</v>
      </c>
      <c r="AB29" s="1277">
        <f t="shared" si="1"/>
        <v>35.567999999999998</v>
      </c>
      <c r="AC29" s="244">
        <f t="shared" si="8"/>
        <v>23.544800523217791</v>
      </c>
      <c r="AD29" s="1277">
        <f t="shared" si="8"/>
        <v>72.245416591032864</v>
      </c>
      <c r="AE29" s="241">
        <f t="shared" si="2"/>
        <v>31</v>
      </c>
      <c r="AF29" s="244">
        <f t="shared" si="3"/>
        <v>46.830211999999996</v>
      </c>
      <c r="AG29" s="1285"/>
      <c r="AI29" s="1282">
        <f t="shared" si="4"/>
        <v>26.362670204881731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728" t="s">
        <v>298</v>
      </c>
      <c r="F30" s="241">
        <v>177.8</v>
      </c>
      <c r="G30" s="241" t="s">
        <v>28</v>
      </c>
      <c r="H30" s="1299" t="s">
        <v>687</v>
      </c>
      <c r="I30" s="1728">
        <v>558.21</v>
      </c>
      <c r="J30" s="1448">
        <v>85</v>
      </c>
      <c r="K30" s="241"/>
      <c r="L30" s="1277">
        <v>260</v>
      </c>
      <c r="M30" s="241"/>
      <c r="N30" s="1278">
        <v>3.8</v>
      </c>
      <c r="O30" s="241"/>
      <c r="P30" s="1278">
        <f t="shared" si="6"/>
        <v>32.732591922721376</v>
      </c>
      <c r="Q30" s="1278">
        <f>20*J30/100</f>
        <v>17</v>
      </c>
      <c r="R30" s="244">
        <v>1.1459999999999999</v>
      </c>
      <c r="S30" s="244">
        <v>8.5690000000000008</v>
      </c>
      <c r="T30" s="1277">
        <v>4.5</v>
      </c>
      <c r="U30" s="1278">
        <f t="shared" si="0"/>
        <v>3.9267015706806285</v>
      </c>
      <c r="V30" s="1278">
        <f t="shared" si="7"/>
        <v>86.626210759715249</v>
      </c>
      <c r="W30" s="1279">
        <v>0.3</v>
      </c>
      <c r="X30" s="1449">
        <v>85</v>
      </c>
      <c r="Y30" s="1277">
        <f t="shared" si="5"/>
        <v>50.405882352941177</v>
      </c>
      <c r="Z30" s="244">
        <f t="shared" si="1"/>
        <v>1.1322479999999999</v>
      </c>
      <c r="AA30" s="244">
        <f t="shared" si="1"/>
        <v>8.4661720000000003</v>
      </c>
      <c r="AB30" s="1277">
        <f t="shared" si="1"/>
        <v>4.4459999999999997</v>
      </c>
      <c r="AC30" s="244">
        <f t="shared" si="8"/>
        <v>3.9267015706806285</v>
      </c>
      <c r="AD30" s="1277">
        <f t="shared" si="8"/>
        <v>86.626210759715249</v>
      </c>
      <c r="AE30" s="241">
        <f t="shared" si="2"/>
        <v>31</v>
      </c>
      <c r="AF30" s="244">
        <f>Z30*AE30</f>
        <v>35.099688</v>
      </c>
      <c r="AG30" s="1285"/>
      <c r="AI30" s="1282">
        <f t="shared" si="4"/>
        <v>32.732591922721376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728" t="s">
        <v>79</v>
      </c>
      <c r="F31" s="241">
        <v>177.8</v>
      </c>
      <c r="G31" s="241" t="s">
        <v>28</v>
      </c>
      <c r="H31" s="1299" t="s">
        <v>565</v>
      </c>
      <c r="I31" s="1728">
        <v>526.29</v>
      </c>
      <c r="J31" s="1448">
        <v>315</v>
      </c>
      <c r="K31" s="241"/>
      <c r="L31" s="1277">
        <v>261</v>
      </c>
      <c r="M31" s="241"/>
      <c r="N31" s="1278">
        <v>4.4000000000000004</v>
      </c>
      <c r="O31" s="241"/>
      <c r="P31" s="1278">
        <f t="shared" si="6"/>
        <v>30.026747875509969</v>
      </c>
      <c r="Q31" s="1278">
        <f>LEFT(H31,(FIND("E",H31,1)-1))*J31/100</f>
        <v>100.8</v>
      </c>
      <c r="R31" s="244">
        <v>15.090999999999999</v>
      </c>
      <c r="S31" s="244">
        <v>72.457999999999998</v>
      </c>
      <c r="T31" s="1277">
        <v>357</v>
      </c>
      <c r="U31" s="1278">
        <f t="shared" si="0"/>
        <v>23.656483997084354</v>
      </c>
      <c r="V31" s="1278">
        <f t="shared" si="7"/>
        <v>79.172762151867289</v>
      </c>
      <c r="W31" s="1279">
        <v>0.2</v>
      </c>
      <c r="X31" s="1449">
        <v>315</v>
      </c>
      <c r="Y31" s="1277">
        <f t="shared" si="5"/>
        <v>71.882936507936506</v>
      </c>
      <c r="Z31" s="244">
        <f t="shared" si="1"/>
        <v>14.909908</v>
      </c>
      <c r="AA31" s="244">
        <f t="shared" si="1"/>
        <v>71.588504</v>
      </c>
      <c r="AB31" s="1277">
        <f t="shared" si="1"/>
        <v>352.71600000000001</v>
      </c>
      <c r="AC31" s="244">
        <f t="shared" si="8"/>
        <v>23.656483997084354</v>
      </c>
      <c r="AD31" s="1277">
        <f t="shared" si="8"/>
        <v>79.172762151867289</v>
      </c>
      <c r="AE31" s="241">
        <f t="shared" si="2"/>
        <v>31</v>
      </c>
      <c r="AF31" s="244">
        <f>Z31*AE31</f>
        <v>462.20714800000002</v>
      </c>
      <c r="AG31" s="1281"/>
      <c r="AI31" s="1282">
        <f t="shared" si="4"/>
        <v>30.026747875509969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728" t="s">
        <v>80</v>
      </c>
      <c r="F32" s="241">
        <v>177.8</v>
      </c>
      <c r="G32" s="241" t="s">
        <v>28</v>
      </c>
      <c r="H32" s="244" t="s">
        <v>589</v>
      </c>
      <c r="I32" s="1301">
        <v>519.30999999999995</v>
      </c>
      <c r="J32" s="241">
        <v>310</v>
      </c>
      <c r="K32" s="241"/>
      <c r="L32" s="1277">
        <v>436</v>
      </c>
      <c r="M32" s="241"/>
      <c r="N32" s="1278">
        <v>7.4</v>
      </c>
      <c r="O32" s="241"/>
      <c r="P32" s="1278">
        <f t="shared" si="6"/>
        <v>15.211459702983884</v>
      </c>
      <c r="Q32" s="1278">
        <f>RIGHT(H32,(FIND("T",H32,1)-0))*J32/100</f>
        <v>62</v>
      </c>
      <c r="R32" s="244">
        <v>8.7279999999999998</v>
      </c>
      <c r="S32" s="244">
        <v>20.175999999999998</v>
      </c>
      <c r="T32" s="1277">
        <v>370</v>
      </c>
      <c r="U32" s="1278">
        <f t="shared" si="0"/>
        <v>42.392300641613197</v>
      </c>
      <c r="V32" s="1278">
        <f t="shared" si="7"/>
        <v>56.740681998413955</v>
      </c>
      <c r="W32" s="1279">
        <v>0.2</v>
      </c>
      <c r="X32" s="1316">
        <v>310</v>
      </c>
      <c r="Y32" s="1277">
        <f t="shared" si="5"/>
        <v>32.541935483870965</v>
      </c>
      <c r="Z32" s="244">
        <f t="shared" si="1"/>
        <v>8.6232639999999989</v>
      </c>
      <c r="AA32" s="244">
        <f t="shared" si="1"/>
        <v>19.933888</v>
      </c>
      <c r="AB32" s="1277">
        <f t="shared" si="1"/>
        <v>365.56</v>
      </c>
      <c r="AC32" s="244">
        <f t="shared" si="8"/>
        <v>42.392300641613197</v>
      </c>
      <c r="AD32" s="1277">
        <f t="shared" si="8"/>
        <v>56.740681998413955</v>
      </c>
      <c r="AE32" s="241">
        <f t="shared" si="2"/>
        <v>31</v>
      </c>
      <c r="AF32" s="244">
        <f t="shared" si="3"/>
        <v>267.32118399999996</v>
      </c>
      <c r="AG32" s="1281"/>
      <c r="AI32" s="1282">
        <f t="shared" si="4"/>
        <v>15.211459702983884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728">
        <v>569.99</v>
      </c>
      <c r="J33" s="1448">
        <v>220</v>
      </c>
      <c r="K33" s="241"/>
      <c r="L33" s="1277">
        <v>406</v>
      </c>
      <c r="M33" s="241"/>
      <c r="N33" s="1278">
        <v>4.7</v>
      </c>
      <c r="O33" s="241"/>
      <c r="P33" s="1278">
        <f t="shared" si="6"/>
        <v>20.543980533299969</v>
      </c>
      <c r="Q33" s="1278">
        <f>LEFT(H33,(FIND("K",H33,1)-1))*J33/100</f>
        <v>28.6</v>
      </c>
      <c r="R33" s="244">
        <v>4.9059999999999997</v>
      </c>
      <c r="S33" s="244">
        <v>18.411999999999999</v>
      </c>
      <c r="T33" s="1277">
        <v>69</v>
      </c>
      <c r="U33" s="1278">
        <f t="shared" si="0"/>
        <v>14.064410925397473</v>
      </c>
      <c r="V33" s="1278">
        <f t="shared" si="7"/>
        <v>73.354334129915273</v>
      </c>
      <c r="W33" s="1279">
        <v>0.2</v>
      </c>
      <c r="X33" s="1449">
        <v>220</v>
      </c>
      <c r="Y33" s="1277">
        <f t="shared" si="5"/>
        <v>64.377622377622373</v>
      </c>
      <c r="Z33" s="244">
        <f t="shared" si="1"/>
        <v>4.8471279999999997</v>
      </c>
      <c r="AA33" s="244">
        <f t="shared" si="1"/>
        <v>18.191056</v>
      </c>
      <c r="AB33" s="1277">
        <f t="shared" si="1"/>
        <v>68.171999999999997</v>
      </c>
      <c r="AC33" s="244">
        <f t="shared" si="8"/>
        <v>14.064410925397473</v>
      </c>
      <c r="AD33" s="1277">
        <f t="shared" si="8"/>
        <v>73.354334129915273</v>
      </c>
      <c r="AE33" s="241">
        <f t="shared" si="2"/>
        <v>31</v>
      </c>
      <c r="AF33" s="244">
        <f>Z33*AE33</f>
        <v>150.26096799999999</v>
      </c>
      <c r="AG33" s="1285"/>
      <c r="AI33" s="1282">
        <f t="shared" si="4"/>
        <v>20.543980533299969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6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7"/>
        <v>#DIV/0!</v>
      </c>
      <c r="W34" s="1308">
        <v>0</v>
      </c>
      <c r="X34" s="238">
        <v>0</v>
      </c>
      <c r="Y34" s="1277">
        <f t="shared" si="5"/>
        <v>0</v>
      </c>
      <c r="Z34" s="244">
        <v>0</v>
      </c>
      <c r="AA34" s="244">
        <f t="shared" si="1"/>
        <v>0</v>
      </c>
      <c r="AB34" s="1277">
        <f t="shared" si="1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4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115</v>
      </c>
      <c r="K35" s="241"/>
      <c r="L35" s="1277">
        <v>442</v>
      </c>
      <c r="M35" s="241"/>
      <c r="N35" s="1278">
        <v>2.6</v>
      </c>
      <c r="O35" s="241"/>
      <c r="P35" s="1278">
        <f t="shared" si="6"/>
        <v>14.022393615538553</v>
      </c>
      <c r="Q35" s="1278">
        <f>20*J35/100</f>
        <v>23</v>
      </c>
      <c r="R35" s="244">
        <v>2.8839999999999999</v>
      </c>
      <c r="S35" s="244">
        <v>7.4749999999999996</v>
      </c>
      <c r="T35" s="1277">
        <v>16</v>
      </c>
      <c r="U35" s="1278">
        <f t="shared" si="0"/>
        <v>5.547850208044383</v>
      </c>
      <c r="V35" s="1278">
        <f t="shared" si="7"/>
        <v>61.41806020066889</v>
      </c>
      <c r="W35" s="1279">
        <v>0.2</v>
      </c>
      <c r="X35" s="1316">
        <v>115</v>
      </c>
      <c r="Y35" s="1277">
        <f t="shared" si="5"/>
        <v>32.5</v>
      </c>
      <c r="Z35" s="244">
        <f t="shared" si="1"/>
        <v>2.8493919999999999</v>
      </c>
      <c r="AA35" s="244">
        <f t="shared" si="1"/>
        <v>7.3853</v>
      </c>
      <c r="AB35" s="1277">
        <f t="shared" si="1"/>
        <v>15.808</v>
      </c>
      <c r="AC35" s="1307">
        <f t="shared" si="8"/>
        <v>5.547850208044383</v>
      </c>
      <c r="AD35" s="1305">
        <f t="shared" si="8"/>
        <v>61.41806020066889</v>
      </c>
      <c r="AE35" s="241">
        <f t="shared" si="2"/>
        <v>31</v>
      </c>
      <c r="AF35" s="1307">
        <f>Z35*AE35</f>
        <v>88.331152000000003</v>
      </c>
      <c r="AG35" s="1285"/>
      <c r="AI35" s="1282">
        <f t="shared" si="4"/>
        <v>14.022393615538553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466</v>
      </c>
      <c r="I36" s="1728">
        <v>564.05999999999995</v>
      </c>
      <c r="J36" s="241">
        <v>150</v>
      </c>
      <c r="K36" s="241"/>
      <c r="L36" s="1277">
        <v>341</v>
      </c>
      <c r="M36" s="241"/>
      <c r="N36" s="1278">
        <v>0</v>
      </c>
      <c r="O36" s="241"/>
      <c r="P36" s="1278">
        <f t="shared" si="6"/>
        <v>21.212485423277208</v>
      </c>
      <c r="Q36" s="1278">
        <f>LEFT(H36,(FIND("E",H36,1)-1))*J36/100</f>
        <v>19.5</v>
      </c>
      <c r="R36" s="244">
        <v>3.8119999999999998</v>
      </c>
      <c r="S36" s="244">
        <v>10.101000000000001</v>
      </c>
      <c r="T36" s="1277">
        <v>8</v>
      </c>
      <c r="U36" s="1278">
        <f t="shared" si="0"/>
        <v>2.0986358866736623</v>
      </c>
      <c r="V36" s="1278">
        <f t="shared" si="7"/>
        <v>62.261162261162269</v>
      </c>
      <c r="W36" s="1279">
        <v>0</v>
      </c>
      <c r="X36" s="1316">
        <v>150</v>
      </c>
      <c r="Y36" s="1277">
        <f t="shared" si="5"/>
        <v>51.800000000000004</v>
      </c>
      <c r="Z36" s="244">
        <f t="shared" si="1"/>
        <v>3.7662559999999998</v>
      </c>
      <c r="AA36" s="244">
        <f t="shared" si="1"/>
        <v>9.979788000000001</v>
      </c>
      <c r="AB36" s="1277">
        <f t="shared" si="1"/>
        <v>7.9039999999999999</v>
      </c>
      <c r="AC36" s="1307">
        <f t="shared" si="8"/>
        <v>2.0986358866736623</v>
      </c>
      <c r="AD36" s="1305">
        <f t="shared" si="8"/>
        <v>62.261162261162269</v>
      </c>
      <c r="AE36" s="241">
        <f t="shared" si="2"/>
        <v>31</v>
      </c>
      <c r="AF36" s="244">
        <f t="shared" si="3"/>
        <v>116.753936</v>
      </c>
      <c r="AG36" s="1281"/>
      <c r="AI36" s="1282">
        <f t="shared" si="4"/>
        <v>21.212485423277208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728">
        <v>551</v>
      </c>
      <c r="J37" s="1448">
        <v>185</v>
      </c>
      <c r="K37" s="241"/>
      <c r="L37" s="1277">
        <v>470</v>
      </c>
      <c r="M37" s="241"/>
      <c r="N37" s="1278">
        <v>4.2</v>
      </c>
      <c r="O37" s="241"/>
      <c r="P37" s="1278">
        <f t="shared" si="6"/>
        <v>11.703752949446299</v>
      </c>
      <c r="Q37" s="1278">
        <f>14*J37/100</f>
        <v>25.9</v>
      </c>
      <c r="R37" s="244">
        <v>5.61</v>
      </c>
      <c r="S37" s="244">
        <v>10.794</v>
      </c>
      <c r="T37" s="1277">
        <v>48</v>
      </c>
      <c r="U37" s="1278">
        <f t="shared" si="0"/>
        <v>8.5561497326203195</v>
      </c>
      <c r="V37" s="1278">
        <f t="shared" si="7"/>
        <v>48.026681489716509</v>
      </c>
      <c r="W37" s="1279">
        <v>0.2</v>
      </c>
      <c r="X37" s="1449">
        <v>185</v>
      </c>
      <c r="Y37" s="1277">
        <f t="shared" si="5"/>
        <v>41.675675675675677</v>
      </c>
      <c r="Z37" s="244">
        <f t="shared" ref="Z37:AB51" si="10">R37*0.988</f>
        <v>5.5426799999999998</v>
      </c>
      <c r="AA37" s="244">
        <f t="shared" si="10"/>
        <v>10.664472</v>
      </c>
      <c r="AB37" s="1277">
        <f t="shared" si="10"/>
        <v>47.423999999999999</v>
      </c>
      <c r="AC37" s="244">
        <f t="shared" ref="AC37:AD38" si="11">U37</f>
        <v>8.5561497326203195</v>
      </c>
      <c r="AD37" s="1305">
        <f t="shared" si="11"/>
        <v>48.026681489716509</v>
      </c>
      <c r="AE37" s="241">
        <f t="shared" si="2"/>
        <v>31</v>
      </c>
      <c r="AF37" s="244">
        <f t="shared" si="3"/>
        <v>171.82308</v>
      </c>
      <c r="AG37" s="1450"/>
      <c r="AI37" s="1282">
        <f t="shared" si="4"/>
        <v>11.703752949446299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728">
        <v>565.36</v>
      </c>
      <c r="J38" s="241">
        <v>100</v>
      </c>
      <c r="K38" s="241"/>
      <c r="L38" s="1277">
        <v>320</v>
      </c>
      <c r="M38" s="241"/>
      <c r="N38" s="1278">
        <v>1.3</v>
      </c>
      <c r="O38" s="241"/>
      <c r="P38" s="1278">
        <f t="shared" si="6"/>
        <v>24.89020982004395</v>
      </c>
      <c r="Q38" s="1278">
        <f>13*J38/100</f>
        <v>13</v>
      </c>
      <c r="R38" s="244">
        <v>2.262</v>
      </c>
      <c r="S38" s="244">
        <v>10.3</v>
      </c>
      <c r="T38" s="1277">
        <v>11</v>
      </c>
      <c r="U38" s="1278">
        <f>IF(R38=0,0,T38/R38)</f>
        <v>4.8629531388152074</v>
      </c>
      <c r="V38" s="1278">
        <f t="shared" si="7"/>
        <v>78.038834951456309</v>
      </c>
      <c r="W38" s="1279">
        <v>0.2</v>
      </c>
      <c r="X38" s="1316">
        <v>100</v>
      </c>
      <c r="Y38" s="1277">
        <f t="shared" si="5"/>
        <v>79.230769230769241</v>
      </c>
      <c r="Z38" s="244">
        <f t="shared" si="10"/>
        <v>2.2348560000000002</v>
      </c>
      <c r="AA38" s="244">
        <f t="shared" si="10"/>
        <v>10.176400000000001</v>
      </c>
      <c r="AB38" s="1277">
        <f t="shared" si="10"/>
        <v>10.868</v>
      </c>
      <c r="AC38" s="244">
        <f t="shared" si="11"/>
        <v>4.8629531388152074</v>
      </c>
      <c r="AD38" s="1305">
        <f t="shared" si="11"/>
        <v>78.038834951456309</v>
      </c>
      <c r="AE38" s="241">
        <f t="shared" si="2"/>
        <v>31</v>
      </c>
      <c r="AF38" s="244">
        <f>Z38*AE38</f>
        <v>69.280536000000012</v>
      </c>
      <c r="AG38" s="1281"/>
      <c r="AI38" s="1282">
        <f t="shared" si="4"/>
        <v>24.89020982004395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728">
        <v>535.91</v>
      </c>
      <c r="J39" s="1448">
        <v>300</v>
      </c>
      <c r="K39" s="241"/>
      <c r="L39" s="1277">
        <v>447</v>
      </c>
      <c r="M39" s="241"/>
      <c r="N39" s="1278">
        <v>2.4</v>
      </c>
      <c r="O39" s="241"/>
      <c r="P39" s="1278">
        <f t="shared" si="6"/>
        <v>10.534181020032875</v>
      </c>
      <c r="Q39" s="1278">
        <f>(20/100)*J39</f>
        <v>60</v>
      </c>
      <c r="R39" s="244">
        <v>8.2469999999999999</v>
      </c>
      <c r="S39" s="244">
        <v>13.444000000000001</v>
      </c>
      <c r="T39" s="1277">
        <v>186</v>
      </c>
      <c r="U39" s="1278">
        <f t="shared" ref="U39:U86" si="12">IF(R39=0,0,T39/R39)</f>
        <v>22.553655874863587</v>
      </c>
      <c r="V39" s="1278">
        <f t="shared" si="7"/>
        <v>38.656649806605181</v>
      </c>
      <c r="W39" s="1279">
        <v>0.2</v>
      </c>
      <c r="X39" s="1449">
        <v>300</v>
      </c>
      <c r="Y39" s="1277">
        <f t="shared" si="5"/>
        <v>22.40666666666667</v>
      </c>
      <c r="Z39" s="244">
        <f t="shared" si="10"/>
        <v>8.1480359999999994</v>
      </c>
      <c r="AA39" s="244">
        <f t="shared" si="10"/>
        <v>13.282672</v>
      </c>
      <c r="AB39" s="1277">
        <f t="shared" si="10"/>
        <v>183.768</v>
      </c>
      <c r="AC39" s="244">
        <v>89.536086956521729</v>
      </c>
      <c r="AD39" s="1305">
        <f>V39</f>
        <v>38.656649806605181</v>
      </c>
      <c r="AE39" s="241">
        <f t="shared" si="2"/>
        <v>31</v>
      </c>
      <c r="AF39" s="244">
        <f t="shared" si="3"/>
        <v>252.58911599999999</v>
      </c>
      <c r="AG39" s="1314"/>
      <c r="AI39" s="1282">
        <f t="shared" si="4"/>
        <v>10.534181020032875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241" t="s">
        <v>491</v>
      </c>
      <c r="I40" s="1728">
        <v>565.11</v>
      </c>
      <c r="J40" s="1448">
        <v>220</v>
      </c>
      <c r="K40" s="241"/>
      <c r="L40" s="1277">
        <v>0</v>
      </c>
      <c r="M40" s="241"/>
      <c r="N40" s="1278">
        <v>0</v>
      </c>
      <c r="O40" s="241"/>
      <c r="P40" s="1278">
        <f t="shared" si="6"/>
        <v>55.103385505741379</v>
      </c>
      <c r="Q40" s="1278">
        <f>LEFT(H40,(FIND("K",H40,1)-1))*J40/100</f>
        <v>50.6</v>
      </c>
      <c r="R40" s="244">
        <v>1.117</v>
      </c>
      <c r="S40" s="244">
        <v>7.0720000000000001</v>
      </c>
      <c r="T40" s="1277">
        <v>22</v>
      </c>
      <c r="U40" s="1278">
        <f t="shared" si="12"/>
        <v>19.695613249776187</v>
      </c>
      <c r="V40" s="1278">
        <f t="shared" si="7"/>
        <v>84.20531674208145</v>
      </c>
      <c r="W40" s="1279">
        <v>0</v>
      </c>
      <c r="X40" s="1449">
        <v>220</v>
      </c>
      <c r="Y40" s="1277">
        <f t="shared" si="5"/>
        <v>13.976284584980236</v>
      </c>
      <c r="Z40" s="244">
        <f t="shared" si="10"/>
        <v>1.103596</v>
      </c>
      <c r="AA40" s="244">
        <f t="shared" si="10"/>
        <v>6.9871359999999996</v>
      </c>
      <c r="AB40" s="1277">
        <f t="shared" si="10"/>
        <v>21.736000000000001</v>
      </c>
      <c r="AC40" s="244">
        <f>U40</f>
        <v>19.695613249776187</v>
      </c>
      <c r="AD40" s="1277">
        <f>V40</f>
        <v>84.20531674208145</v>
      </c>
      <c r="AE40" s="241">
        <f t="shared" si="2"/>
        <v>31</v>
      </c>
      <c r="AF40" s="244">
        <f t="shared" si="3"/>
        <v>34.211475999999998</v>
      </c>
      <c r="AG40" s="1281"/>
      <c r="AI40" s="1282">
        <f t="shared" si="4"/>
        <v>55.103385505741379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95</v>
      </c>
      <c r="K41" s="241"/>
      <c r="L41" s="1277">
        <v>450</v>
      </c>
      <c r="M41" s="241"/>
      <c r="N41" s="1278">
        <v>3.6</v>
      </c>
      <c r="O41" s="241"/>
      <c r="P41" s="1278">
        <f t="shared" si="6"/>
        <v>13.618984234701292</v>
      </c>
      <c r="Q41" s="1278">
        <f>14*J41/100</f>
        <v>13.3</v>
      </c>
      <c r="R41" s="244">
        <v>2.145</v>
      </c>
      <c r="S41" s="244">
        <v>10.363</v>
      </c>
      <c r="T41" s="1277">
        <v>8</v>
      </c>
      <c r="U41" s="1278">
        <f t="shared" si="12"/>
        <v>3.7296037296037294</v>
      </c>
      <c r="V41" s="1278">
        <f t="shared" si="7"/>
        <v>79.301360609862016</v>
      </c>
      <c r="W41" s="1279">
        <v>0.2</v>
      </c>
      <c r="X41" s="1316">
        <v>95</v>
      </c>
      <c r="Y41" s="1277">
        <f t="shared" si="5"/>
        <v>77.917293233082702</v>
      </c>
      <c r="Z41" s="244">
        <f t="shared" si="10"/>
        <v>2.1192600000000001</v>
      </c>
      <c r="AA41" s="244">
        <f t="shared" si="10"/>
        <v>10.238643999999999</v>
      </c>
      <c r="AB41" s="1277">
        <f t="shared" si="10"/>
        <v>7.9039999999999999</v>
      </c>
      <c r="AC41" s="244">
        <f>U41</f>
        <v>3.7296037296037294</v>
      </c>
      <c r="AD41" s="1277">
        <f>V41</f>
        <v>79.301360609862016</v>
      </c>
      <c r="AE41" s="241">
        <f t="shared" si="2"/>
        <v>31</v>
      </c>
      <c r="AF41" s="244">
        <f t="shared" si="3"/>
        <v>65.697060000000008</v>
      </c>
      <c r="AG41" s="1285"/>
      <c r="AI41" s="1282">
        <f t="shared" si="4"/>
        <v>13.618984234701292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6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2"/>
        <v>0</v>
      </c>
      <c r="V42" s="1278" t="e">
        <f t="shared" si="7"/>
        <v>#DIV/0!</v>
      </c>
      <c r="W42" s="1279">
        <v>0</v>
      </c>
      <c r="X42" s="1316">
        <v>0</v>
      </c>
      <c r="Y42" s="1277">
        <f t="shared" si="5"/>
        <v>0</v>
      </c>
      <c r="Z42" s="244">
        <f t="shared" si="10"/>
        <v>0</v>
      </c>
      <c r="AA42" s="244">
        <f t="shared" si="10"/>
        <v>0</v>
      </c>
      <c r="AB42" s="1277">
        <f t="shared" si="10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3"/>
        <v>0</v>
      </c>
      <c r="AG42" s="1281" t="s">
        <v>769</v>
      </c>
      <c r="AI42" s="1282" t="e">
        <f t="shared" si="4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728">
        <v>554.16999999999996</v>
      </c>
      <c r="J43" s="1448">
        <v>125</v>
      </c>
      <c r="K43" s="241"/>
      <c r="L43" s="1277">
        <v>358</v>
      </c>
      <c r="M43" s="241"/>
      <c r="N43" s="1278">
        <v>7</v>
      </c>
      <c r="O43" s="241"/>
      <c r="P43" s="1278">
        <f t="shared" si="6"/>
        <v>25.943778765381655</v>
      </c>
      <c r="Q43" s="1278">
        <f>(32/100)*J43</f>
        <v>40</v>
      </c>
      <c r="R43" s="244">
        <v>8.1679999999999993</v>
      </c>
      <c r="S43" s="244">
        <v>36.311999999999998</v>
      </c>
      <c r="T43" s="1277">
        <v>99</v>
      </c>
      <c r="U43" s="1278">
        <f t="shared" si="12"/>
        <v>12.120470127326152</v>
      </c>
      <c r="V43" s="1278">
        <f t="shared" si="7"/>
        <v>77.506058603216559</v>
      </c>
      <c r="W43" s="1279">
        <v>0.2</v>
      </c>
      <c r="X43" s="1449">
        <v>125</v>
      </c>
      <c r="Y43" s="1277">
        <f t="shared" si="5"/>
        <v>90.78</v>
      </c>
      <c r="Z43" s="244">
        <f t="shared" si="10"/>
        <v>8.0699839999999998</v>
      </c>
      <c r="AA43" s="244">
        <f t="shared" si="10"/>
        <v>35.876255999999998</v>
      </c>
      <c r="AB43" s="1277">
        <f t="shared" si="10"/>
        <v>97.811999999999998</v>
      </c>
      <c r="AC43" s="244">
        <f>U43</f>
        <v>12.120470127326152</v>
      </c>
      <c r="AD43" s="1277">
        <f>V43</f>
        <v>77.506058603216559</v>
      </c>
      <c r="AE43" s="241">
        <f>(DAY(EOMONTH($AH$17,0))-AH43)</f>
        <v>31</v>
      </c>
      <c r="AF43" s="244">
        <f t="shared" si="3"/>
        <v>250.16950399999999</v>
      </c>
      <c r="AG43" s="1281"/>
      <c r="AI43" s="1282">
        <f t="shared" si="4"/>
        <v>25.943778765381655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725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5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4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728">
        <v>544.70000000000005</v>
      </c>
      <c r="J45" s="241">
        <v>85</v>
      </c>
      <c r="K45" s="241"/>
      <c r="L45" s="1277">
        <v>112</v>
      </c>
      <c r="M45" s="241"/>
      <c r="N45" s="1278">
        <v>5.2</v>
      </c>
      <c r="O45" s="241"/>
      <c r="P45" s="1278">
        <f t="shared" si="6"/>
        <v>46.826081368259757</v>
      </c>
      <c r="Q45" s="1278">
        <f>J45*20/100</f>
        <v>17</v>
      </c>
      <c r="R45" s="244">
        <v>3.8</v>
      </c>
      <c r="S45" s="244">
        <v>17.608000000000001</v>
      </c>
      <c r="T45" s="1277">
        <v>20</v>
      </c>
      <c r="U45" s="1278">
        <f t="shared" si="12"/>
        <v>5.2631578947368425</v>
      </c>
      <c r="V45" s="1278">
        <f t="shared" si="7"/>
        <v>78.418900499772832</v>
      </c>
      <c r="W45" s="1279">
        <v>0.2</v>
      </c>
      <c r="X45" s="1316">
        <v>85</v>
      </c>
      <c r="Y45" s="1277">
        <f t="shared" si="5"/>
        <v>103.5764705882353</v>
      </c>
      <c r="Z45" s="244">
        <f t="shared" si="10"/>
        <v>3.7544</v>
      </c>
      <c r="AA45" s="244">
        <f t="shared" si="10"/>
        <v>17.396704</v>
      </c>
      <c r="AB45" s="1277">
        <f t="shared" si="10"/>
        <v>19.759999999999998</v>
      </c>
      <c r="AC45" s="244">
        <f t="shared" ref="AC45:AD51" si="13">U45</f>
        <v>5.2631578947368425</v>
      </c>
      <c r="AD45" s="1277">
        <f t="shared" si="13"/>
        <v>78.418900499772832</v>
      </c>
      <c r="AE45" s="241">
        <f t="shared" ref="AE45:AE81" si="14">(DAY(EOMONTH($AH$17,0))-AH45)</f>
        <v>31</v>
      </c>
      <c r="AF45" s="244">
        <f t="shared" si="3"/>
        <v>116.38639999999999</v>
      </c>
      <c r="AG45" s="1281"/>
      <c r="AI45" s="1282">
        <f t="shared" si="4"/>
        <v>46.826081368259757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728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728">
        <v>553.30999999999995</v>
      </c>
      <c r="J46" s="1728">
        <v>220</v>
      </c>
      <c r="K46" s="1728"/>
      <c r="L46" s="1319">
        <v>420</v>
      </c>
      <c r="M46" s="1728"/>
      <c r="N46" s="1278">
        <v>2</v>
      </c>
      <c r="O46" s="1728"/>
      <c r="P46" s="1278">
        <f t="shared" si="6"/>
        <v>14.565117021106738</v>
      </c>
      <c r="Q46" s="1278">
        <f>J46*32/100</f>
        <v>70.400000000000006</v>
      </c>
      <c r="R46" s="244">
        <v>8.8469999999999995</v>
      </c>
      <c r="S46" s="244">
        <v>21.388000000000002</v>
      </c>
      <c r="T46" s="1319">
        <v>270</v>
      </c>
      <c r="U46" s="1278">
        <f t="shared" si="12"/>
        <v>30.518819938962363</v>
      </c>
      <c r="V46" s="1278">
        <f t="shared" si="7"/>
        <v>58.635683560875265</v>
      </c>
      <c r="W46" s="1279">
        <v>0.2</v>
      </c>
      <c r="X46" s="1410">
        <v>220</v>
      </c>
      <c r="Y46" s="1277">
        <f t="shared" si="5"/>
        <v>30.38068181818182</v>
      </c>
      <c r="Z46" s="244">
        <f t="shared" si="10"/>
        <v>8.7408359999999998</v>
      </c>
      <c r="AA46" s="244">
        <f t="shared" si="10"/>
        <v>21.131344000000002</v>
      </c>
      <c r="AB46" s="1277">
        <f t="shared" si="10"/>
        <v>266.76</v>
      </c>
      <c r="AC46" s="244">
        <f t="shared" si="13"/>
        <v>30.518819938962363</v>
      </c>
      <c r="AD46" s="1277">
        <f t="shared" si="13"/>
        <v>58.635683560875265</v>
      </c>
      <c r="AE46" s="241">
        <f t="shared" si="14"/>
        <v>31</v>
      </c>
      <c r="AF46" s="244">
        <f t="shared" si="3"/>
        <v>270.96591599999999</v>
      </c>
      <c r="AG46" s="1285"/>
      <c r="AI46" s="1282">
        <f t="shared" si="4"/>
        <v>14.565117021106738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728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728">
        <v>550.59</v>
      </c>
      <c r="J47" s="1373">
        <v>70</v>
      </c>
      <c r="K47" s="1728"/>
      <c r="L47" s="1277">
        <v>397</v>
      </c>
      <c r="M47" s="1728"/>
      <c r="N47" s="1278">
        <v>0.3</v>
      </c>
      <c r="O47" s="1728"/>
      <c r="P47" s="1278">
        <f t="shared" si="6"/>
        <v>14.690168602814417</v>
      </c>
      <c r="Q47" s="1278">
        <f>RIGHT(H47,(FIND("T",H47,1)-0))*J47/100</f>
        <v>9.8000000000000007</v>
      </c>
      <c r="R47" s="244">
        <v>0.66800000000000004</v>
      </c>
      <c r="S47" s="244">
        <v>1.341</v>
      </c>
      <c r="T47" s="1319">
        <v>4</v>
      </c>
      <c r="U47" s="1278">
        <f t="shared" si="12"/>
        <v>5.9880239520958076</v>
      </c>
      <c r="V47" s="1278">
        <f t="shared" si="7"/>
        <v>50.186428038777031</v>
      </c>
      <c r="W47" s="1279">
        <v>0.2</v>
      </c>
      <c r="X47" s="1452">
        <v>70</v>
      </c>
      <c r="Y47" s="1277">
        <f t="shared" si="5"/>
        <v>13.683673469387752</v>
      </c>
      <c r="Z47" s="244">
        <f t="shared" si="10"/>
        <v>0.65998400000000002</v>
      </c>
      <c r="AA47" s="244">
        <f t="shared" si="10"/>
        <v>1.324908</v>
      </c>
      <c r="AB47" s="1277">
        <f t="shared" si="10"/>
        <v>3.952</v>
      </c>
      <c r="AC47" s="244">
        <f t="shared" si="13"/>
        <v>5.9880239520958076</v>
      </c>
      <c r="AD47" s="1277">
        <f t="shared" si="13"/>
        <v>50.186428038777031</v>
      </c>
      <c r="AE47" s="241">
        <f t="shared" si="14"/>
        <v>31</v>
      </c>
      <c r="AF47" s="244">
        <f t="shared" si="3"/>
        <v>20.459503999999999</v>
      </c>
      <c r="AG47" s="1285"/>
      <c r="AI47" s="1282">
        <f t="shared" si="4"/>
        <v>14.690168602814417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728">
        <v>579</v>
      </c>
      <c r="E48" s="241" t="s">
        <v>597</v>
      </c>
      <c r="F48" s="241">
        <v>177.8</v>
      </c>
      <c r="G48" s="241" t="s">
        <v>28</v>
      </c>
      <c r="H48" s="1299" t="s">
        <v>800</v>
      </c>
      <c r="I48" s="1728">
        <v>548.82000000000005</v>
      </c>
      <c r="J48" s="1728">
        <v>85</v>
      </c>
      <c r="K48" s="1728"/>
      <c r="L48" s="1319">
        <v>503</v>
      </c>
      <c r="M48" s="1728"/>
      <c r="N48" s="1278">
        <v>0.2</v>
      </c>
      <c r="O48" s="1728"/>
      <c r="P48" s="1278">
        <f t="shared" si="6"/>
        <v>4.379559758051176</v>
      </c>
      <c r="Q48" s="1278">
        <f>7*J48/100</f>
        <v>5.95</v>
      </c>
      <c r="R48" s="244">
        <v>4.1639999999999997</v>
      </c>
      <c r="S48" s="244">
        <v>5.8659999999999997</v>
      </c>
      <c r="T48" s="1319">
        <v>13.5</v>
      </c>
      <c r="U48" s="1278">
        <f t="shared" si="12"/>
        <v>3.2420749279538907</v>
      </c>
      <c r="V48" s="1278">
        <f t="shared" si="7"/>
        <v>29.014660756904192</v>
      </c>
      <c r="W48" s="1279">
        <v>0.2</v>
      </c>
      <c r="X48" s="1410">
        <v>85</v>
      </c>
      <c r="Y48" s="1277">
        <f t="shared" si="5"/>
        <v>98.588235294117638</v>
      </c>
      <c r="Z48" s="244">
        <f t="shared" si="10"/>
        <v>4.1140319999999999</v>
      </c>
      <c r="AA48" s="244">
        <f t="shared" si="10"/>
        <v>5.7956079999999996</v>
      </c>
      <c r="AB48" s="1277">
        <f t="shared" si="10"/>
        <v>13.337999999999999</v>
      </c>
      <c r="AC48" s="244">
        <f t="shared" si="13"/>
        <v>3.2420749279538907</v>
      </c>
      <c r="AD48" s="1277">
        <f t="shared" si="13"/>
        <v>29.014660756904192</v>
      </c>
      <c r="AE48" s="241">
        <f t="shared" si="14"/>
        <v>31</v>
      </c>
      <c r="AF48" s="244">
        <f t="shared" si="3"/>
        <v>127.534992</v>
      </c>
      <c r="AG48" s="1285"/>
      <c r="AI48" s="1282">
        <f t="shared" si="4"/>
        <v>4.379559758051176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728">
        <v>538.69000000000005</v>
      </c>
      <c r="J49" s="241">
        <v>100</v>
      </c>
      <c r="K49" s="241"/>
      <c r="L49" s="1277">
        <v>513</v>
      </c>
      <c r="M49" s="241"/>
      <c r="N49" s="1278">
        <v>2</v>
      </c>
      <c r="O49" s="241"/>
      <c r="P49" s="1278">
        <f t="shared" si="6"/>
        <v>4.4870250474942468</v>
      </c>
      <c r="Q49" s="1278">
        <f>20*J49/100</f>
        <v>20</v>
      </c>
      <c r="R49" s="244">
        <v>2.8860000000000001</v>
      </c>
      <c r="S49" s="244">
        <v>9.6379999999999999</v>
      </c>
      <c r="T49" s="1277">
        <v>9</v>
      </c>
      <c r="U49" s="1278">
        <f t="shared" si="12"/>
        <v>3.1185031185031185</v>
      </c>
      <c r="V49" s="1278">
        <f t="shared" si="7"/>
        <v>70.056028221622739</v>
      </c>
      <c r="W49" s="1279">
        <v>0.2</v>
      </c>
      <c r="X49" s="1316">
        <v>100</v>
      </c>
      <c r="Y49" s="1277">
        <f t="shared" si="5"/>
        <v>48.19</v>
      </c>
      <c r="Z49" s="244">
        <f t="shared" si="10"/>
        <v>2.8513679999999999</v>
      </c>
      <c r="AA49" s="244">
        <f t="shared" si="10"/>
        <v>9.5223440000000004</v>
      </c>
      <c r="AB49" s="1277">
        <f t="shared" si="10"/>
        <v>8.8919999999999995</v>
      </c>
      <c r="AC49" s="244">
        <f t="shared" si="13"/>
        <v>3.1185031185031185</v>
      </c>
      <c r="AD49" s="1277">
        <f t="shared" si="13"/>
        <v>70.056028221622739</v>
      </c>
      <c r="AE49" s="241">
        <f t="shared" si="14"/>
        <v>31</v>
      </c>
      <c r="AF49" s="244">
        <f t="shared" si="3"/>
        <v>88.392408000000003</v>
      </c>
      <c r="AG49" s="1285"/>
      <c r="AI49" s="1282">
        <f t="shared" si="4"/>
        <v>4.4870250474942468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686</v>
      </c>
      <c r="I50" s="1728">
        <v>572.09</v>
      </c>
      <c r="J50" s="241">
        <v>85</v>
      </c>
      <c r="K50" s="241"/>
      <c r="L50" s="1277">
        <v>317</v>
      </c>
      <c r="M50" s="241"/>
      <c r="N50" s="1278">
        <v>1.5</v>
      </c>
      <c r="O50" s="241"/>
      <c r="P50" s="1278">
        <f t="shared" si="6"/>
        <v>26.341415010773613</v>
      </c>
      <c r="Q50" s="1278">
        <f>20*J50/100</f>
        <v>17</v>
      </c>
      <c r="R50" s="244">
        <v>1.9139999999999999</v>
      </c>
      <c r="S50" s="244">
        <v>10.686999999999999</v>
      </c>
      <c r="T50" s="1277">
        <v>9</v>
      </c>
      <c r="U50" s="1278">
        <f t="shared" si="12"/>
        <v>4.7021943573667713</v>
      </c>
      <c r="V50" s="1278">
        <f t="shared" si="7"/>
        <v>82.090390193693281</v>
      </c>
      <c r="W50" s="1279">
        <v>0.3</v>
      </c>
      <c r="X50" s="1316">
        <v>85</v>
      </c>
      <c r="Y50" s="1277">
        <f t="shared" si="5"/>
        <v>62.864705882352936</v>
      </c>
      <c r="Z50" s="244">
        <f t="shared" si="10"/>
        <v>1.8910319999999998</v>
      </c>
      <c r="AA50" s="244">
        <f t="shared" si="10"/>
        <v>10.558755999999999</v>
      </c>
      <c r="AB50" s="1277">
        <f t="shared" si="10"/>
        <v>8.8919999999999995</v>
      </c>
      <c r="AC50" s="244">
        <f t="shared" si="13"/>
        <v>4.7021943573667713</v>
      </c>
      <c r="AD50" s="1277">
        <f t="shared" si="13"/>
        <v>82.090390193693281</v>
      </c>
      <c r="AE50" s="241">
        <f t="shared" si="14"/>
        <v>31</v>
      </c>
      <c r="AF50" s="244">
        <f t="shared" si="3"/>
        <v>58.621991999999992</v>
      </c>
      <c r="AG50" s="1285"/>
      <c r="AH50" s="1252"/>
      <c r="AI50" s="1282">
        <f t="shared" si="4"/>
        <v>26.341415010773613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728" t="s">
        <v>600</v>
      </c>
      <c r="F51" s="241">
        <v>177.8</v>
      </c>
      <c r="G51" s="241" t="s">
        <v>28</v>
      </c>
      <c r="H51" s="1299" t="s">
        <v>687</v>
      </c>
      <c r="I51" s="1728">
        <v>546.08000000000004</v>
      </c>
      <c r="J51" s="241">
        <v>85</v>
      </c>
      <c r="K51" s="241"/>
      <c r="L51" s="1322">
        <v>177</v>
      </c>
      <c r="M51" s="241"/>
      <c r="N51" s="1306">
        <v>3.7</v>
      </c>
      <c r="O51" s="241"/>
      <c r="P51" s="1278">
        <f t="shared" si="6"/>
        <v>39.705493492438059</v>
      </c>
      <c r="Q51" s="1278">
        <v>20</v>
      </c>
      <c r="R51" s="244">
        <v>2.855</v>
      </c>
      <c r="S51" s="244">
        <v>15.435</v>
      </c>
      <c r="T51" s="1277">
        <v>54</v>
      </c>
      <c r="U51" s="1278">
        <f t="shared" si="12"/>
        <v>18.914185639229423</v>
      </c>
      <c r="V51" s="1278">
        <f t="shared" si="7"/>
        <v>81.503077421444772</v>
      </c>
      <c r="W51" s="1279">
        <v>0.2</v>
      </c>
      <c r="X51" s="1316">
        <v>85</v>
      </c>
      <c r="Y51" s="1277">
        <f t="shared" si="5"/>
        <v>77.175000000000011</v>
      </c>
      <c r="Z51" s="244">
        <f t="shared" si="10"/>
        <v>2.8207399999999998</v>
      </c>
      <c r="AA51" s="244">
        <f t="shared" si="10"/>
        <v>15.249779999999999</v>
      </c>
      <c r="AB51" s="1277">
        <f t="shared" si="10"/>
        <v>53.351999999999997</v>
      </c>
      <c r="AC51" s="244">
        <f t="shared" si="13"/>
        <v>18.914185639229423</v>
      </c>
      <c r="AD51" s="1277">
        <f t="shared" si="13"/>
        <v>81.503077421444772</v>
      </c>
      <c r="AE51" s="241">
        <f t="shared" si="14"/>
        <v>31</v>
      </c>
      <c r="AF51" s="244">
        <f t="shared" si="3"/>
        <v>87.442939999999993</v>
      </c>
      <c r="AG51" s="1285"/>
      <c r="AI51" s="1282">
        <f t="shared" si="4"/>
        <v>39.705493492438059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725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6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5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4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728">
        <v>535</v>
      </c>
      <c r="J53" s="1448">
        <v>100</v>
      </c>
      <c r="K53" s="241"/>
      <c r="L53" s="1277">
        <v>508</v>
      </c>
      <c r="M53" s="241"/>
      <c r="N53" s="1278">
        <v>4</v>
      </c>
      <c r="O53" s="241"/>
      <c r="P53" s="1278">
        <f t="shared" si="6"/>
        <v>6.6094750545572554</v>
      </c>
      <c r="Q53" s="1278">
        <f>RIGHT(H53,(FIND("T",H53,1)-0))*J53/100</f>
        <v>14</v>
      </c>
      <c r="R53" s="244">
        <v>3.8149999999999999</v>
      </c>
      <c r="S53" s="244">
        <v>11.407999999999999</v>
      </c>
      <c r="T53" s="1277">
        <v>170</v>
      </c>
      <c r="U53" s="1278">
        <f t="shared" si="12"/>
        <v>44.560943643512452</v>
      </c>
      <c r="V53" s="1278">
        <f t="shared" si="7"/>
        <v>66.558555399719495</v>
      </c>
      <c r="W53" s="1279">
        <v>0</v>
      </c>
      <c r="X53" s="1449">
        <v>100</v>
      </c>
      <c r="Y53" s="1277">
        <f t="shared" si="5"/>
        <v>81.48571428571428</v>
      </c>
      <c r="Z53" s="244">
        <f t="shared" ref="Z53:AB55" si="15">R53*0.988</f>
        <v>3.7692199999999998</v>
      </c>
      <c r="AA53" s="244">
        <f t="shared" si="15"/>
        <v>11.271103999999999</v>
      </c>
      <c r="AB53" s="1277">
        <f t="shared" si="15"/>
        <v>167.96</v>
      </c>
      <c r="AC53" s="244">
        <f>U53</f>
        <v>44.560943643512452</v>
      </c>
      <c r="AD53" s="1278">
        <f t="shared" ref="AD53" si="16">(AA53-Z53)/AA53*100</f>
        <v>66.558555399719495</v>
      </c>
      <c r="AE53" s="241">
        <f t="shared" si="14"/>
        <v>31</v>
      </c>
      <c r="AF53" s="244">
        <f t="shared" si="3"/>
        <v>116.84581999999999</v>
      </c>
      <c r="AG53" s="1281"/>
      <c r="AI53" s="1282">
        <f t="shared" si="4"/>
        <v>6.6094750545572554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725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6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5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4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729" t="s">
        <v>442</v>
      </c>
      <c r="F55" s="241">
        <v>177.8</v>
      </c>
      <c r="G55" s="241" t="s">
        <v>28</v>
      </c>
      <c r="H55" s="241" t="s">
        <v>687</v>
      </c>
      <c r="I55" s="1729">
        <v>515.54</v>
      </c>
      <c r="J55" s="241">
        <v>95</v>
      </c>
      <c r="K55" s="241"/>
      <c r="L55" s="1277">
        <v>518</v>
      </c>
      <c r="M55" s="241"/>
      <c r="N55" s="1278">
        <v>2.7</v>
      </c>
      <c r="O55" s="241"/>
      <c r="P55" s="1278">
        <f t="shared" si="6"/>
        <v>2.506792448873238</v>
      </c>
      <c r="Q55" s="1325">
        <f>J55*20/100</f>
        <v>19</v>
      </c>
      <c r="R55" s="244">
        <v>4.6920000000000002</v>
      </c>
      <c r="S55" s="244">
        <v>14.62</v>
      </c>
      <c r="T55" s="1277">
        <v>14</v>
      </c>
      <c r="U55" s="1278">
        <f t="shared" si="12"/>
        <v>2.9838022165387894</v>
      </c>
      <c r="V55" s="1278">
        <f t="shared" si="7"/>
        <v>67.906976744186039</v>
      </c>
      <c r="W55" s="1279">
        <v>0</v>
      </c>
      <c r="X55" s="1316">
        <v>95</v>
      </c>
      <c r="Y55" s="1277">
        <f t="shared" si="5"/>
        <v>76.94736842105263</v>
      </c>
      <c r="Z55" s="244">
        <f t="shared" si="15"/>
        <v>4.6356960000000003</v>
      </c>
      <c r="AA55" s="244">
        <f t="shared" si="15"/>
        <v>14.444559999999999</v>
      </c>
      <c r="AB55" s="1277">
        <f t="shared" si="15"/>
        <v>13.832000000000001</v>
      </c>
      <c r="AC55" s="1278">
        <f t="shared" ref="AC55" si="17">IF(Z55=0,0,AB55/Z55)</f>
        <v>2.9838022165387894</v>
      </c>
      <c r="AD55" s="1278">
        <f t="shared" ref="AD55" si="18">(AA55-Z55)/AA55*100</f>
        <v>67.906976744186053</v>
      </c>
      <c r="AE55" s="241">
        <f t="shared" si="14"/>
        <v>31</v>
      </c>
      <c r="AF55" s="244">
        <f t="shared" si="3"/>
        <v>143.70657600000001</v>
      </c>
      <c r="AG55" s="1281"/>
      <c r="AI55" s="1282">
        <f t="shared" si="4"/>
        <v>2.506792448873238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725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6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5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4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95</v>
      </c>
      <c r="K57" s="1275"/>
      <c r="L57" s="1323">
        <v>447</v>
      </c>
      <c r="M57" s="1275"/>
      <c r="N57" s="1278">
        <v>4.3</v>
      </c>
      <c r="O57" s="1275"/>
      <c r="P57" s="1278">
        <f t="shared" si="6"/>
        <v>15.765218184631067</v>
      </c>
      <c r="Q57" s="1278">
        <f>J57*14/100</f>
        <v>13.3</v>
      </c>
      <c r="R57" s="1459">
        <v>6.4409999999999998</v>
      </c>
      <c r="S57" s="244">
        <v>13.676</v>
      </c>
      <c r="T57" s="1323">
        <v>14</v>
      </c>
      <c r="U57" s="1278">
        <f t="shared" si="12"/>
        <v>2.1735755317497283</v>
      </c>
      <c r="V57" s="1278">
        <f t="shared" ref="V57:V86" si="19">(S57-R57)/S57*100</f>
        <v>52.902895583503948</v>
      </c>
      <c r="W57" s="1460">
        <v>0.2</v>
      </c>
      <c r="X57" s="1453">
        <v>95</v>
      </c>
      <c r="Y57" s="1277">
        <f t="shared" si="5"/>
        <v>102.82706766917293</v>
      </c>
      <c r="Z57" s="244">
        <f t="shared" ref="Z57:AB61" si="20">R57*0.988</f>
        <v>6.3637079999999999</v>
      </c>
      <c r="AA57" s="244">
        <f t="shared" si="20"/>
        <v>13.511888000000001</v>
      </c>
      <c r="AB57" s="1277">
        <f t="shared" si="20"/>
        <v>13.832000000000001</v>
      </c>
      <c r="AC57" s="1459">
        <f t="shared" ref="AC57:AD60" si="21">U57</f>
        <v>2.1735755317497283</v>
      </c>
      <c r="AD57" s="1277">
        <f t="shared" si="21"/>
        <v>52.902895583503948</v>
      </c>
      <c r="AE57" s="241">
        <f t="shared" si="14"/>
        <v>31</v>
      </c>
      <c r="AF57" s="1459">
        <f t="shared" si="3"/>
        <v>197.27494799999999</v>
      </c>
      <c r="AG57" s="1285"/>
      <c r="AI57" s="1282">
        <f t="shared" si="4"/>
        <v>15.765218184631067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729">
        <v>589.64</v>
      </c>
      <c r="J58" s="1448">
        <v>110</v>
      </c>
      <c r="K58" s="241"/>
      <c r="L58" s="1277">
        <v>220</v>
      </c>
      <c r="M58" s="241"/>
      <c r="N58" s="1278">
        <v>3.5</v>
      </c>
      <c r="O58" s="241"/>
      <c r="P58" s="1278">
        <f t="shared" si="6"/>
        <v>39.644105445980735</v>
      </c>
      <c r="Q58" s="1325">
        <f>J58*20/100</f>
        <v>22</v>
      </c>
      <c r="R58" s="244">
        <v>1.69</v>
      </c>
      <c r="S58" s="244">
        <v>15.037000000000001</v>
      </c>
      <c r="T58" s="1277">
        <v>3.4</v>
      </c>
      <c r="U58" s="1278">
        <f t="shared" si="12"/>
        <v>2.0118343195266273</v>
      </c>
      <c r="V58" s="1278">
        <f t="shared" si="19"/>
        <v>88.761056061714442</v>
      </c>
      <c r="W58" s="1279">
        <v>0</v>
      </c>
      <c r="X58" s="1449">
        <v>110</v>
      </c>
      <c r="Y58" s="1277">
        <f t="shared" si="5"/>
        <v>68.349999999999994</v>
      </c>
      <c r="Z58" s="244">
        <f t="shared" si="20"/>
        <v>1.6697199999999999</v>
      </c>
      <c r="AA58" s="244">
        <f t="shared" si="20"/>
        <v>14.856556000000001</v>
      </c>
      <c r="AB58" s="1277">
        <f t="shared" si="20"/>
        <v>3.3592</v>
      </c>
      <c r="AC58" s="1459">
        <f t="shared" si="21"/>
        <v>2.0118343195266273</v>
      </c>
      <c r="AD58" s="1277">
        <f t="shared" si="21"/>
        <v>88.761056061714442</v>
      </c>
      <c r="AE58" s="241">
        <f t="shared" si="14"/>
        <v>31</v>
      </c>
      <c r="AF58" s="244">
        <f t="shared" si="3"/>
        <v>51.761319999999998</v>
      </c>
      <c r="AG58" s="1281"/>
      <c r="AI58" s="1282">
        <f t="shared" si="4"/>
        <v>39.644105445980735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729">
        <v>560.83000000000004</v>
      </c>
      <c r="J59" s="241">
        <v>110</v>
      </c>
      <c r="K59" s="241"/>
      <c r="L59" s="1277">
        <v>285</v>
      </c>
      <c r="M59" s="241"/>
      <c r="N59" s="1278">
        <v>0</v>
      </c>
      <c r="O59" s="241"/>
      <c r="P59" s="1278">
        <f t="shared" si="6"/>
        <v>26.226450771006128</v>
      </c>
      <c r="Q59" s="1325">
        <f>J59*15/100</f>
        <v>16.5</v>
      </c>
      <c r="R59" s="244">
        <v>7.2439999999999998</v>
      </c>
      <c r="S59" s="244">
        <v>17.876000000000001</v>
      </c>
      <c r="T59" s="1277">
        <v>8</v>
      </c>
      <c r="U59" s="1278">
        <f t="shared" si="12"/>
        <v>1.1043622308117063</v>
      </c>
      <c r="V59" s="1278">
        <f t="shared" si="19"/>
        <v>59.476392929066911</v>
      </c>
      <c r="W59" s="1279">
        <v>0.2</v>
      </c>
      <c r="X59" s="1316">
        <v>110</v>
      </c>
      <c r="Y59" s="1277">
        <f t="shared" si="5"/>
        <v>108.33939393939396</v>
      </c>
      <c r="Z59" s="244">
        <f t="shared" si="20"/>
        <v>7.1570719999999994</v>
      </c>
      <c r="AA59" s="244">
        <f t="shared" si="20"/>
        <v>17.661488000000002</v>
      </c>
      <c r="AB59" s="1277">
        <f t="shared" si="20"/>
        <v>7.9039999999999999</v>
      </c>
      <c r="AC59" s="244">
        <f t="shared" si="21"/>
        <v>1.1043622308117063</v>
      </c>
      <c r="AD59" s="1277">
        <f t="shared" si="21"/>
        <v>59.476392929066911</v>
      </c>
      <c r="AE59" s="241">
        <f t="shared" si="14"/>
        <v>31</v>
      </c>
      <c r="AF59" s="244">
        <f t="shared" si="3"/>
        <v>221.86923199999998</v>
      </c>
      <c r="AG59" s="1281"/>
      <c r="AI59" s="1282">
        <f t="shared" si="4"/>
        <v>26.226450771006128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729">
        <v>556.55999999999995</v>
      </c>
      <c r="J60" s="241">
        <v>155</v>
      </c>
      <c r="K60" s="241"/>
      <c r="L60" s="1277">
        <v>142</v>
      </c>
      <c r="M60" s="241"/>
      <c r="N60" s="1278">
        <v>0.3</v>
      </c>
      <c r="O60" s="241"/>
      <c r="P60" s="1278">
        <f t="shared" si="6"/>
        <v>40.585281273493116</v>
      </c>
      <c r="Q60" s="1278">
        <f>J60*22/100</f>
        <v>34.1</v>
      </c>
      <c r="R60" s="244">
        <v>3.9180000000000001</v>
      </c>
      <c r="S60" s="244">
        <v>22.145</v>
      </c>
      <c r="T60" s="1277">
        <v>14</v>
      </c>
      <c r="U60" s="1278">
        <f t="shared" si="12"/>
        <v>3.5732516590096988</v>
      </c>
      <c r="V60" s="1278">
        <f t="shared" si="19"/>
        <v>82.307518627229626</v>
      </c>
      <c r="W60" s="1279">
        <v>0.2</v>
      </c>
      <c r="X60" s="1316">
        <v>155</v>
      </c>
      <c r="Y60" s="1277">
        <f t="shared" si="5"/>
        <v>64.941348973607035</v>
      </c>
      <c r="Z60" s="244">
        <f t="shared" si="20"/>
        <v>3.870984</v>
      </c>
      <c r="AA60" s="244">
        <f t="shared" si="20"/>
        <v>21.879259999999999</v>
      </c>
      <c r="AB60" s="1277">
        <f t="shared" si="20"/>
        <v>13.832000000000001</v>
      </c>
      <c r="AC60" s="244">
        <f t="shared" si="21"/>
        <v>3.5732516590096988</v>
      </c>
      <c r="AD60" s="1277">
        <f t="shared" si="21"/>
        <v>82.307518627229626</v>
      </c>
      <c r="AE60" s="241">
        <f t="shared" si="14"/>
        <v>31</v>
      </c>
      <c r="AF60" s="244">
        <f t="shared" si="3"/>
        <v>120.00050400000001</v>
      </c>
      <c r="AG60" s="1281"/>
      <c r="AI60" s="1282">
        <f t="shared" si="4"/>
        <v>40.585281273493116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729">
        <v>551.66</v>
      </c>
      <c r="J61" s="241">
        <v>120</v>
      </c>
      <c r="K61" s="241"/>
      <c r="L61" s="1277">
        <v>392</v>
      </c>
      <c r="M61" s="241"/>
      <c r="N61" s="1278">
        <v>3.4</v>
      </c>
      <c r="O61" s="241"/>
      <c r="P61" s="1278">
        <f t="shared" si="6"/>
        <v>19.176692607066826</v>
      </c>
      <c r="Q61" s="1278">
        <f>14*J61/100</f>
        <v>16.8</v>
      </c>
      <c r="R61" s="244">
        <v>1.1319999999999999</v>
      </c>
      <c r="S61" s="244">
        <v>11.211</v>
      </c>
      <c r="T61" s="1277">
        <v>3.4</v>
      </c>
      <c r="U61" s="1278">
        <f t="shared" si="12"/>
        <v>3.0035335689045937</v>
      </c>
      <c r="V61" s="1278">
        <f t="shared" si="19"/>
        <v>89.902774061189902</v>
      </c>
      <c r="W61" s="1279">
        <v>0.2</v>
      </c>
      <c r="X61" s="1316">
        <v>120</v>
      </c>
      <c r="Y61" s="1277">
        <f t="shared" si="5"/>
        <v>66.732142857142847</v>
      </c>
      <c r="Z61" s="244">
        <f t="shared" si="20"/>
        <v>1.1184159999999999</v>
      </c>
      <c r="AA61" s="244">
        <f t="shared" si="20"/>
        <v>11.076468</v>
      </c>
      <c r="AB61" s="1277">
        <f t="shared" si="20"/>
        <v>3.3592</v>
      </c>
      <c r="AC61" s="244">
        <f>U61</f>
        <v>3.0035335689045937</v>
      </c>
      <c r="AD61" s="1277">
        <f>V61</f>
        <v>89.902774061189902</v>
      </c>
      <c r="AE61" s="241">
        <f t="shared" si="14"/>
        <v>31</v>
      </c>
      <c r="AF61" s="244">
        <f t="shared" si="3"/>
        <v>34.670895999999999</v>
      </c>
      <c r="AG61" s="1281"/>
      <c r="AI61" s="1282">
        <f t="shared" si="4"/>
        <v>19.176692607066826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445</v>
      </c>
      <c r="D62" s="241">
        <v>565</v>
      </c>
      <c r="E62" s="241" t="s">
        <v>797</v>
      </c>
      <c r="F62" s="241">
        <v>177.8</v>
      </c>
      <c r="G62" s="241" t="s">
        <v>28</v>
      </c>
      <c r="H62" s="241" t="s">
        <v>48</v>
      </c>
      <c r="I62" s="1730">
        <v>581.09</v>
      </c>
      <c r="J62" s="241">
        <v>250</v>
      </c>
      <c r="K62" s="241"/>
      <c r="L62" s="1319">
        <v>380</v>
      </c>
      <c r="M62" s="1278"/>
      <c r="N62" s="1278">
        <v>1.2</v>
      </c>
      <c r="O62" s="241"/>
      <c r="P62" s="1278" t="e">
        <f t="shared" si="6"/>
        <v>#DIV/0!</v>
      </c>
      <c r="Q62" s="1278">
        <f>13*J62/100</f>
        <v>32.5</v>
      </c>
      <c r="R62" s="244">
        <v>0</v>
      </c>
      <c r="S62" s="244">
        <v>0</v>
      </c>
      <c r="T62" s="1277">
        <v>0</v>
      </c>
      <c r="U62" s="1278">
        <f t="shared" si="12"/>
        <v>0</v>
      </c>
      <c r="V62" s="1278" t="e">
        <f t="shared" si="19"/>
        <v>#DIV/0!</v>
      </c>
      <c r="W62" s="1279">
        <v>0.2</v>
      </c>
      <c r="X62" s="1316">
        <v>250</v>
      </c>
      <c r="Y62" s="1277">
        <f t="shared" si="5"/>
        <v>0</v>
      </c>
      <c r="Z62" s="244">
        <v>4.5960000000000001</v>
      </c>
      <c r="AA62" s="244">
        <v>4.93</v>
      </c>
      <c r="AB62" s="1277">
        <v>19</v>
      </c>
      <c r="AC62" s="244">
        <f>U62</f>
        <v>0</v>
      </c>
      <c r="AD62" s="1277">
        <v>6.6</v>
      </c>
      <c r="AE62" s="241">
        <v>28</v>
      </c>
      <c r="AF62" s="244">
        <f t="shared" si="3"/>
        <v>128.68799999999999</v>
      </c>
      <c r="AG62" s="1281" t="s">
        <v>798</v>
      </c>
      <c r="AI62" s="1282" t="e">
        <f t="shared" si="4"/>
        <v>#DIV/0!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725" t="s">
        <v>692</v>
      </c>
      <c r="F63" s="241">
        <v>177.8</v>
      </c>
      <c r="G63" s="241" t="s">
        <v>28</v>
      </c>
      <c r="H63" s="1299" t="s">
        <v>683</v>
      </c>
      <c r="I63" s="1725">
        <v>513.6</v>
      </c>
      <c r="J63" s="241">
        <v>70</v>
      </c>
      <c r="K63" s="241"/>
      <c r="L63" s="1277">
        <v>39</v>
      </c>
      <c r="M63" s="241"/>
      <c r="N63" s="1278">
        <v>0</v>
      </c>
      <c r="O63" s="241"/>
      <c r="P63" s="1278" t="e">
        <f t="shared" si="6"/>
        <v>#DIV/0!</v>
      </c>
      <c r="Q63" s="1278">
        <f>J63*13/100</f>
        <v>9.1</v>
      </c>
      <c r="R63" s="244">
        <v>0</v>
      </c>
      <c r="S63" s="244">
        <v>0</v>
      </c>
      <c r="T63" s="1277">
        <v>0</v>
      </c>
      <c r="U63" s="1278">
        <f t="shared" si="12"/>
        <v>0</v>
      </c>
      <c r="V63" s="1278" t="e">
        <f t="shared" si="19"/>
        <v>#DIV/0!</v>
      </c>
      <c r="W63" s="1279">
        <v>0.2</v>
      </c>
      <c r="X63" s="1316">
        <v>70</v>
      </c>
      <c r="Y63" s="1277">
        <f t="shared" si="5"/>
        <v>0</v>
      </c>
      <c r="Z63" s="244">
        <v>2.4660000000000002</v>
      </c>
      <c r="AA63" s="244">
        <v>2.9239999999999999</v>
      </c>
      <c r="AB63" s="1277">
        <v>15.5</v>
      </c>
      <c r="AC63" s="244">
        <f t="shared" ref="AC63:AD70" si="22">U63</f>
        <v>0</v>
      </c>
      <c r="AD63" s="1277">
        <v>15.4</v>
      </c>
      <c r="AE63" s="241">
        <v>20</v>
      </c>
      <c r="AF63" s="244">
        <f t="shared" si="3"/>
        <v>49.320000000000007</v>
      </c>
      <c r="AG63" s="1281" t="s">
        <v>801</v>
      </c>
      <c r="AI63" s="1282" t="e">
        <f t="shared" si="4"/>
        <v>#DIV/0!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729">
        <v>674.45</v>
      </c>
      <c r="E64" s="1729" t="s">
        <v>232</v>
      </c>
      <c r="F64" s="241">
        <v>177.8</v>
      </c>
      <c r="G64" s="241" t="s">
        <v>28</v>
      </c>
      <c r="H64" s="1299" t="s">
        <v>464</v>
      </c>
      <c r="I64" s="1729">
        <v>542.6</v>
      </c>
      <c r="J64" s="1729">
        <v>150</v>
      </c>
      <c r="K64" s="1729"/>
      <c r="L64" s="1319">
        <v>479</v>
      </c>
      <c r="M64" s="1729"/>
      <c r="N64" s="1278">
        <v>2.5</v>
      </c>
      <c r="O64" s="1729"/>
      <c r="P64" s="1278">
        <f t="shared" si="6"/>
        <v>8.5055932385308601</v>
      </c>
      <c r="Q64" s="1278">
        <f>RIGHT(H64,(FIND("T",H64,1)-0))*J64/100</f>
        <v>21</v>
      </c>
      <c r="R64" s="244">
        <v>5.8010000000000002</v>
      </c>
      <c r="S64" s="244">
        <v>8.2409999999999997</v>
      </c>
      <c r="T64" s="1319">
        <v>17</v>
      </c>
      <c r="U64" s="1278">
        <f t="shared" si="12"/>
        <v>2.9305292191001548</v>
      </c>
      <c r="V64" s="1278">
        <f t="shared" si="19"/>
        <v>29.60805727460259</v>
      </c>
      <c r="W64" s="1279">
        <v>0.2</v>
      </c>
      <c r="X64" s="1410">
        <v>150</v>
      </c>
      <c r="Y64" s="1277">
        <f t="shared" si="5"/>
        <v>39.24285714285714</v>
      </c>
      <c r="Z64" s="244">
        <f t="shared" ref="Z64:AB78" si="23">R64*0.988</f>
        <v>5.7313879999999999</v>
      </c>
      <c r="AA64" s="244">
        <f t="shared" si="23"/>
        <v>8.1421080000000003</v>
      </c>
      <c r="AB64" s="1277">
        <f t="shared" si="23"/>
        <v>16.795999999999999</v>
      </c>
      <c r="AC64" s="244">
        <f t="shared" si="22"/>
        <v>2.9305292191001548</v>
      </c>
      <c r="AD64" s="1277">
        <f t="shared" si="22"/>
        <v>29.60805727460259</v>
      </c>
      <c r="AE64" s="241">
        <f t="shared" si="14"/>
        <v>31</v>
      </c>
      <c r="AF64" s="244">
        <f>Z64*AE64</f>
        <v>177.67302799999999</v>
      </c>
      <c r="AG64" s="1342"/>
      <c r="AI64" s="1282">
        <f t="shared" si="4"/>
        <v>8.5055932385308601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729">
        <v>678.47</v>
      </c>
      <c r="E65" s="1729" t="s">
        <v>606</v>
      </c>
      <c r="F65" s="241">
        <v>177.8</v>
      </c>
      <c r="G65" s="241" t="s">
        <v>28</v>
      </c>
      <c r="H65" s="1299" t="s">
        <v>466</v>
      </c>
      <c r="I65" s="1729">
        <v>574.4</v>
      </c>
      <c r="J65" s="1373">
        <v>85</v>
      </c>
      <c r="K65" s="1729"/>
      <c r="L65" s="1319">
        <v>138</v>
      </c>
      <c r="M65" s="1729"/>
      <c r="N65" s="1278">
        <v>0.3</v>
      </c>
      <c r="O65" s="1729"/>
      <c r="P65" s="1278">
        <f t="shared" si="6"/>
        <v>42.935907846609801</v>
      </c>
      <c r="Q65" s="1278">
        <f>LEFT(H65,(FIND("E",H65,1)-1))*J65/100</f>
        <v>11.05</v>
      </c>
      <c r="R65" s="244">
        <v>1.2789999999999999</v>
      </c>
      <c r="S65" s="244">
        <v>11.987</v>
      </c>
      <c r="T65" s="1277">
        <v>32.5</v>
      </c>
      <c r="U65" s="1278">
        <f t="shared" si="12"/>
        <v>25.410476935105553</v>
      </c>
      <c r="V65" s="1278">
        <f t="shared" si="19"/>
        <v>89.330107616584627</v>
      </c>
      <c r="W65" s="1279">
        <v>0</v>
      </c>
      <c r="X65" s="1452">
        <v>85</v>
      </c>
      <c r="Y65" s="1277">
        <f t="shared" si="5"/>
        <v>108.47963800904976</v>
      </c>
      <c r="Z65" s="244">
        <f t="shared" si="23"/>
        <v>1.263652</v>
      </c>
      <c r="AA65" s="244">
        <f t="shared" si="23"/>
        <v>11.843156</v>
      </c>
      <c r="AB65" s="1277">
        <f t="shared" si="23"/>
        <v>32.11</v>
      </c>
      <c r="AC65" s="244">
        <f t="shared" si="22"/>
        <v>25.410476935105553</v>
      </c>
      <c r="AD65" s="1277">
        <f t="shared" si="22"/>
        <v>89.330107616584627</v>
      </c>
      <c r="AE65" s="241">
        <f t="shared" si="14"/>
        <v>31</v>
      </c>
      <c r="AF65" s="244">
        <f t="shared" ref="AF65:AF75" si="24">Z65*AE65</f>
        <v>39.173211999999999</v>
      </c>
      <c r="AG65" s="1281"/>
      <c r="AI65" s="1282">
        <f t="shared" si="4"/>
        <v>42.935907846609801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729">
        <v>541.12</v>
      </c>
      <c r="J66" s="241">
        <v>175</v>
      </c>
      <c r="K66" s="241"/>
      <c r="L66" s="1277">
        <v>448</v>
      </c>
      <c r="M66" s="241"/>
      <c r="N66" s="1278">
        <v>3.9</v>
      </c>
      <c r="O66" s="241"/>
      <c r="P66" s="1278">
        <f t="shared" si="6"/>
        <v>12.968373243645029</v>
      </c>
      <c r="Q66" s="1278">
        <f>20*J66/100</f>
        <v>35</v>
      </c>
      <c r="R66" s="244">
        <v>6.91</v>
      </c>
      <c r="S66" s="244">
        <v>20.798999999999999</v>
      </c>
      <c r="T66" s="1277">
        <v>70</v>
      </c>
      <c r="U66" s="1278">
        <f t="shared" si="12"/>
        <v>10.130246020260492</v>
      </c>
      <c r="V66" s="1278">
        <f t="shared" si="19"/>
        <v>66.777248906197414</v>
      </c>
      <c r="W66" s="1279">
        <v>0.2</v>
      </c>
      <c r="X66" s="1316">
        <v>175</v>
      </c>
      <c r="Y66" s="1277">
        <f t="shared" si="5"/>
        <v>59.425714285714278</v>
      </c>
      <c r="Z66" s="244">
        <f t="shared" si="23"/>
        <v>6.8270800000000005</v>
      </c>
      <c r="AA66" s="244">
        <f t="shared" si="23"/>
        <v>20.549412</v>
      </c>
      <c r="AB66" s="1277">
        <f t="shared" si="23"/>
        <v>69.16</v>
      </c>
      <c r="AC66" s="244">
        <f t="shared" si="22"/>
        <v>10.130246020260492</v>
      </c>
      <c r="AD66" s="1277">
        <f t="shared" si="22"/>
        <v>66.777248906197414</v>
      </c>
      <c r="AE66" s="241">
        <f t="shared" si="14"/>
        <v>31</v>
      </c>
      <c r="AF66" s="244">
        <f t="shared" si="24"/>
        <v>211.63948000000002</v>
      </c>
      <c r="AG66" s="1285"/>
      <c r="AI66" s="1282">
        <f t="shared" si="4"/>
        <v>12.968373243645029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729">
        <v>521.42999999999995</v>
      </c>
      <c r="J67" s="241">
        <v>300</v>
      </c>
      <c r="K67" s="241"/>
      <c r="L67" s="1277">
        <v>460</v>
      </c>
      <c r="M67" s="241"/>
      <c r="N67" s="1278">
        <v>4.9000000000000004</v>
      </c>
      <c r="O67" s="241"/>
      <c r="P67" s="1278">
        <f t="shared" si="6"/>
        <v>10.683453748230789</v>
      </c>
      <c r="Q67" s="1278">
        <f>J67*14/100</f>
        <v>42</v>
      </c>
      <c r="R67" s="244">
        <v>7.71</v>
      </c>
      <c r="S67" s="244">
        <v>11.769</v>
      </c>
      <c r="T67" s="1277">
        <v>305</v>
      </c>
      <c r="U67" s="1278">
        <f t="shared" si="12"/>
        <v>39.559014267185475</v>
      </c>
      <c r="V67" s="1278">
        <f t="shared" si="19"/>
        <v>34.488911547285241</v>
      </c>
      <c r="W67" s="1279">
        <v>0.2</v>
      </c>
      <c r="X67" s="1316">
        <v>300</v>
      </c>
      <c r="Y67" s="1277">
        <f t="shared" si="5"/>
        <v>28.021428571428569</v>
      </c>
      <c r="Z67" s="244">
        <f t="shared" si="23"/>
        <v>7.6174799999999996</v>
      </c>
      <c r="AA67" s="244">
        <f t="shared" si="23"/>
        <v>11.627772</v>
      </c>
      <c r="AB67" s="1277">
        <f t="shared" si="23"/>
        <v>301.33999999999997</v>
      </c>
      <c r="AC67" s="244">
        <f t="shared" si="22"/>
        <v>39.559014267185475</v>
      </c>
      <c r="AD67" s="1277">
        <f t="shared" si="22"/>
        <v>34.488911547285241</v>
      </c>
      <c r="AE67" s="241">
        <f t="shared" si="14"/>
        <v>31</v>
      </c>
      <c r="AF67" s="244">
        <f t="shared" si="24"/>
        <v>236.14187999999999</v>
      </c>
      <c r="AG67" s="1285"/>
      <c r="AI67" s="1282">
        <f t="shared" si="4"/>
        <v>10.683453748230789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729" t="s">
        <v>607</v>
      </c>
      <c r="F68" s="241">
        <v>177.8</v>
      </c>
      <c r="G68" s="241" t="s">
        <v>28</v>
      </c>
      <c r="H68" s="241" t="s">
        <v>464</v>
      </c>
      <c r="I68" s="1729">
        <v>512.28</v>
      </c>
      <c r="J68" s="241">
        <v>195</v>
      </c>
      <c r="K68" s="241"/>
      <c r="L68" s="1277">
        <v>411</v>
      </c>
      <c r="M68" s="241"/>
      <c r="N68" s="1278">
        <v>2.7</v>
      </c>
      <c r="O68" s="241"/>
      <c r="P68" s="1278">
        <f t="shared" si="6"/>
        <v>12.394422729328975</v>
      </c>
      <c r="Q68" s="1278">
        <f>J68*14/100</f>
        <v>27.3</v>
      </c>
      <c r="R68" s="244">
        <v>5.9740000000000002</v>
      </c>
      <c r="S68" s="244">
        <v>12.015000000000001</v>
      </c>
      <c r="T68" s="1277">
        <v>59</v>
      </c>
      <c r="U68" s="1278">
        <f t="shared" si="12"/>
        <v>9.8761298962169395</v>
      </c>
      <c r="V68" s="1278">
        <f t="shared" si="19"/>
        <v>50.278818143986683</v>
      </c>
      <c r="W68" s="1279">
        <v>0.2</v>
      </c>
      <c r="X68" s="1316">
        <v>195</v>
      </c>
      <c r="Y68" s="1277">
        <f t="shared" si="5"/>
        <v>44.010989010989007</v>
      </c>
      <c r="Z68" s="244">
        <f t="shared" si="23"/>
        <v>5.9023120000000002</v>
      </c>
      <c r="AA68" s="244">
        <f t="shared" si="23"/>
        <v>11.87082</v>
      </c>
      <c r="AB68" s="1277">
        <f t="shared" si="23"/>
        <v>58.292000000000002</v>
      </c>
      <c r="AC68" s="244">
        <f t="shared" si="22"/>
        <v>9.8761298962169395</v>
      </c>
      <c r="AD68" s="1277">
        <f t="shared" si="22"/>
        <v>50.278818143986683</v>
      </c>
      <c r="AE68" s="241">
        <f t="shared" si="14"/>
        <v>31</v>
      </c>
      <c r="AF68" s="244">
        <f t="shared" si="24"/>
        <v>182.97167200000001</v>
      </c>
      <c r="AG68" s="1285"/>
      <c r="AI68" s="1282">
        <f t="shared" si="4"/>
        <v>12.394422729328975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729">
        <v>539.28</v>
      </c>
      <c r="J69" s="241">
        <v>100</v>
      </c>
      <c r="K69" s="241"/>
      <c r="L69" s="1277">
        <v>223</v>
      </c>
      <c r="M69" s="241"/>
      <c r="N69" s="1278">
        <v>3.9</v>
      </c>
      <c r="O69" s="241"/>
      <c r="P69" s="1278">
        <f t="shared" si="6"/>
        <v>34.771034224663651</v>
      </c>
      <c r="Q69" s="1278">
        <f>J69*13/100</f>
        <v>13</v>
      </c>
      <c r="R69" s="244">
        <v>0.92700000000000005</v>
      </c>
      <c r="S69" s="244">
        <v>7.2539999999999996</v>
      </c>
      <c r="T69" s="1277">
        <v>6</v>
      </c>
      <c r="U69" s="1278">
        <f t="shared" si="12"/>
        <v>6.4724919093851128</v>
      </c>
      <c r="V69" s="1278">
        <f t="shared" si="19"/>
        <v>87.220843672456581</v>
      </c>
      <c r="W69" s="1279">
        <v>0.2</v>
      </c>
      <c r="X69" s="1316">
        <v>100</v>
      </c>
      <c r="Y69" s="1277">
        <f t="shared" si="5"/>
        <v>55.8</v>
      </c>
      <c r="Z69" s="244">
        <f t="shared" si="23"/>
        <v>0.91587600000000002</v>
      </c>
      <c r="AA69" s="244">
        <f t="shared" si="23"/>
        <v>7.1669519999999993</v>
      </c>
      <c r="AB69" s="1277">
        <f t="shared" si="23"/>
        <v>5.9279999999999999</v>
      </c>
      <c r="AC69" s="244">
        <f t="shared" si="22"/>
        <v>6.4724919093851128</v>
      </c>
      <c r="AD69" s="1277">
        <f t="shared" si="22"/>
        <v>87.220843672456581</v>
      </c>
      <c r="AE69" s="241">
        <f t="shared" si="14"/>
        <v>31</v>
      </c>
      <c r="AF69" s="244">
        <f>Z69*AE69</f>
        <v>28.392156</v>
      </c>
      <c r="AG69" s="1281"/>
      <c r="AI69" s="1282">
        <f t="shared" si="4"/>
        <v>34.771034224663651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729">
        <v>541.46</v>
      </c>
      <c r="J70" s="241">
        <v>100</v>
      </c>
      <c r="K70" s="241"/>
      <c r="L70" s="1277">
        <v>234</v>
      </c>
      <c r="M70" s="241"/>
      <c r="N70" s="1278">
        <v>4.9000000000000004</v>
      </c>
      <c r="O70" s="241"/>
      <c r="P70" s="1278">
        <f t="shared" si="6"/>
        <v>34.658638275531956</v>
      </c>
      <c r="Q70" s="1278">
        <f>(32/100)*J70</f>
        <v>32</v>
      </c>
      <c r="R70" s="244">
        <v>6.0919999999999996</v>
      </c>
      <c r="S70" s="244">
        <v>31.234000000000002</v>
      </c>
      <c r="T70" s="1277">
        <v>41</v>
      </c>
      <c r="U70" s="1278">
        <f t="shared" si="12"/>
        <v>6.7301378857518062</v>
      </c>
      <c r="V70" s="1278">
        <f t="shared" si="19"/>
        <v>80.495613754242186</v>
      </c>
      <c r="W70" s="1279">
        <v>0.2</v>
      </c>
      <c r="X70" s="1316">
        <v>100</v>
      </c>
      <c r="Y70" s="1277">
        <f t="shared" si="5"/>
        <v>97.606250000000003</v>
      </c>
      <c r="Z70" s="244">
        <f t="shared" si="23"/>
        <v>6.0188959999999998</v>
      </c>
      <c r="AA70" s="244">
        <f t="shared" si="23"/>
        <v>30.859192</v>
      </c>
      <c r="AB70" s="1277">
        <f t="shared" si="23"/>
        <v>40.508000000000003</v>
      </c>
      <c r="AC70" s="244">
        <f>U70</f>
        <v>6.7301378857518062</v>
      </c>
      <c r="AD70" s="1277">
        <f t="shared" si="22"/>
        <v>80.495613754242186</v>
      </c>
      <c r="AE70" s="241">
        <f t="shared" si="14"/>
        <v>31</v>
      </c>
      <c r="AF70" s="244">
        <f t="shared" si="24"/>
        <v>186.58577599999998</v>
      </c>
      <c r="AG70" s="1285"/>
      <c r="AI70" s="1282">
        <f t="shared" si="4"/>
        <v>34.658638275531956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725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6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2"/>
        <v>0</v>
      </c>
      <c r="V71" s="1278" t="e">
        <f t="shared" si="19"/>
        <v>#DIV/0!</v>
      </c>
      <c r="W71" s="1279">
        <v>0</v>
      </c>
      <c r="X71" s="1449">
        <v>0</v>
      </c>
      <c r="Y71" s="1277">
        <f t="shared" si="5"/>
        <v>0</v>
      </c>
      <c r="Z71" s="244">
        <f t="shared" si="23"/>
        <v>0</v>
      </c>
      <c r="AA71" s="244">
        <f t="shared" si="23"/>
        <v>0</v>
      </c>
      <c r="AB71" s="1277">
        <f t="shared" si="23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4"/>
        <v>0</v>
      </c>
      <c r="AG71" s="1281" t="s">
        <v>769</v>
      </c>
      <c r="AI71" s="1282" t="e">
        <f t="shared" si="4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729">
        <v>512.47</v>
      </c>
      <c r="J72" s="1277">
        <v>245</v>
      </c>
      <c r="K72" s="241"/>
      <c r="L72" s="1277">
        <v>466</v>
      </c>
      <c r="M72" s="241"/>
      <c r="N72" s="1278">
        <v>5.0999999999999996</v>
      </c>
      <c r="O72" s="241"/>
      <c r="P72" s="1278">
        <f t="shared" si="6"/>
        <v>9.4193200124710277</v>
      </c>
      <c r="Q72" s="1278">
        <f>(32*J72)/100</f>
        <v>78.400000000000006</v>
      </c>
      <c r="R72" s="244">
        <v>12.938000000000001</v>
      </c>
      <c r="S72" s="244">
        <v>15.965</v>
      </c>
      <c r="T72" s="1277">
        <v>558</v>
      </c>
      <c r="U72" s="1278">
        <f t="shared" si="12"/>
        <v>43.128767970319984</v>
      </c>
      <c r="V72" s="1278">
        <f t="shared" si="19"/>
        <v>18.960225493266517</v>
      </c>
      <c r="W72" s="1279">
        <v>0.2</v>
      </c>
      <c r="X72" s="1454">
        <v>245</v>
      </c>
      <c r="Y72" s="1277">
        <f t="shared" si="5"/>
        <v>20.363520408163264</v>
      </c>
      <c r="Z72" s="244">
        <f t="shared" si="23"/>
        <v>12.782744000000001</v>
      </c>
      <c r="AA72" s="244">
        <f t="shared" si="23"/>
        <v>15.77342</v>
      </c>
      <c r="AB72" s="1277">
        <f t="shared" si="23"/>
        <v>551.30399999999997</v>
      </c>
      <c r="AC72" s="244">
        <f>U72</f>
        <v>43.128767970319984</v>
      </c>
      <c r="AD72" s="1277">
        <f>V72</f>
        <v>18.960225493266517</v>
      </c>
      <c r="AE72" s="241">
        <f t="shared" si="14"/>
        <v>31</v>
      </c>
      <c r="AF72" s="244">
        <f t="shared" si="24"/>
        <v>396.26506400000005</v>
      </c>
      <c r="AG72" s="1281"/>
      <c r="AI72" s="1282">
        <f t="shared" si="4"/>
        <v>9.4193200124710277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729">
        <v>507.46</v>
      </c>
      <c r="J73" s="1448">
        <v>115</v>
      </c>
      <c r="K73" s="241"/>
      <c r="L73" s="1277">
        <v>446</v>
      </c>
      <c r="M73" s="241"/>
      <c r="N73" s="1278">
        <v>7.1</v>
      </c>
      <c r="O73" s="241"/>
      <c r="P73" s="1278">
        <f t="shared" si="6"/>
        <v>12.715910549465452</v>
      </c>
      <c r="Q73" s="1278">
        <f>J73*32/100</f>
        <v>36.799999999999997</v>
      </c>
      <c r="R73" s="244">
        <v>6.4189999999999996</v>
      </c>
      <c r="S73" s="244">
        <v>7.726</v>
      </c>
      <c r="T73" s="1277">
        <v>97.5</v>
      </c>
      <c r="U73" s="1278">
        <f t="shared" si="12"/>
        <v>15.189281819598069</v>
      </c>
      <c r="V73" s="1278">
        <f t="shared" si="19"/>
        <v>16.916903960652348</v>
      </c>
      <c r="W73" s="1279">
        <v>0.2</v>
      </c>
      <c r="X73" s="1449">
        <v>115</v>
      </c>
      <c r="Y73" s="1277">
        <f t="shared" si="5"/>
        <v>20.994565217391305</v>
      </c>
      <c r="Z73" s="244">
        <f t="shared" si="23"/>
        <v>6.3419719999999993</v>
      </c>
      <c r="AA73" s="244">
        <f t="shared" si="23"/>
        <v>7.6332880000000003</v>
      </c>
      <c r="AB73" s="1277">
        <f t="shared" si="23"/>
        <v>96.33</v>
      </c>
      <c r="AC73" s="244">
        <v>20</v>
      </c>
      <c r="AD73" s="1277">
        <v>17</v>
      </c>
      <c r="AE73" s="241">
        <f t="shared" si="14"/>
        <v>31</v>
      </c>
      <c r="AF73" s="244">
        <f t="shared" si="24"/>
        <v>196.60113199999998</v>
      </c>
      <c r="AG73" s="1281"/>
      <c r="AI73" s="1282">
        <f t="shared" si="4"/>
        <v>12.715910549465452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729">
        <v>549.1</v>
      </c>
      <c r="J74" s="1448">
        <v>205</v>
      </c>
      <c r="K74" s="241"/>
      <c r="L74" s="1277">
        <v>444</v>
      </c>
      <c r="M74" s="241"/>
      <c r="N74" s="1278">
        <v>8.3000000000000007</v>
      </c>
      <c r="O74" s="241"/>
      <c r="P74" s="1278">
        <f t="shared" si="6"/>
        <v>18.312378621996281</v>
      </c>
      <c r="Q74" s="1278">
        <f>LEFT(H74,(FIND("E",H74,1)-1))*J74/100</f>
        <v>45.1</v>
      </c>
      <c r="R74" s="244">
        <v>12.044</v>
      </c>
      <c r="S74" s="244">
        <v>26.324000000000002</v>
      </c>
      <c r="T74" s="1277">
        <v>389</v>
      </c>
      <c r="U74" s="1278">
        <f t="shared" si="12"/>
        <v>32.298239787446029</v>
      </c>
      <c r="V74" s="1278">
        <f t="shared" si="19"/>
        <v>54.247074912627255</v>
      </c>
      <c r="W74" s="1279">
        <v>0.2</v>
      </c>
      <c r="X74" s="1449">
        <v>205</v>
      </c>
      <c r="Y74" s="1277">
        <f t="shared" si="5"/>
        <v>58.368070953436813</v>
      </c>
      <c r="Z74" s="244">
        <f t="shared" si="23"/>
        <v>11.899472000000001</v>
      </c>
      <c r="AA74" s="244">
        <f t="shared" si="23"/>
        <v>26.008112000000001</v>
      </c>
      <c r="AB74" s="1277">
        <f t="shared" si="23"/>
        <v>384.33199999999999</v>
      </c>
      <c r="AC74" s="244">
        <f>U74</f>
        <v>32.298239787446029</v>
      </c>
      <c r="AD74" s="1277">
        <f>V74</f>
        <v>54.247074912627255</v>
      </c>
      <c r="AE74" s="241">
        <f t="shared" si="14"/>
        <v>31</v>
      </c>
      <c r="AF74" s="244">
        <f t="shared" si="24"/>
        <v>368.88363200000003</v>
      </c>
      <c r="AG74" s="1285"/>
      <c r="AI74" s="1282">
        <f t="shared" si="4"/>
        <v>18.312378621996281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686</v>
      </c>
      <c r="I75" s="1730">
        <v>542.46</v>
      </c>
      <c r="J75" s="1448">
        <v>140</v>
      </c>
      <c r="K75" s="241"/>
      <c r="L75" s="1277">
        <v>346</v>
      </c>
      <c r="M75" s="241"/>
      <c r="N75" s="1278">
        <v>8.5</v>
      </c>
      <c r="O75" s="241"/>
      <c r="P75" s="1278">
        <f t="shared" si="6"/>
        <v>27.060644494545709</v>
      </c>
      <c r="Q75" s="1278">
        <f>(20/100)*J75</f>
        <v>28</v>
      </c>
      <c r="R75" s="244">
        <v>8.125</v>
      </c>
      <c r="S75" s="244">
        <v>18.927</v>
      </c>
      <c r="T75" s="1277">
        <v>98.2</v>
      </c>
      <c r="U75" s="1278">
        <f t="shared" si="12"/>
        <v>12.086153846153847</v>
      </c>
      <c r="V75" s="1278">
        <f t="shared" si="19"/>
        <v>57.071907856501291</v>
      </c>
      <c r="W75" s="1279">
        <v>0.2</v>
      </c>
      <c r="X75" s="1449">
        <v>140</v>
      </c>
      <c r="Y75" s="1277">
        <f t="shared" si="5"/>
        <v>67.596428571428575</v>
      </c>
      <c r="Z75" s="244">
        <f t="shared" si="23"/>
        <v>8.0274999999999999</v>
      </c>
      <c r="AA75" s="244">
        <f t="shared" si="23"/>
        <v>18.699876</v>
      </c>
      <c r="AB75" s="1277">
        <f t="shared" si="23"/>
        <v>97.021600000000007</v>
      </c>
      <c r="AC75" s="244">
        <f>U75</f>
        <v>12.086153846153847</v>
      </c>
      <c r="AD75" s="1277">
        <f>V75</f>
        <v>57.071907856501291</v>
      </c>
      <c r="AE75" s="241">
        <f t="shared" si="14"/>
        <v>31</v>
      </c>
      <c r="AF75" s="244">
        <f t="shared" si="24"/>
        <v>248.85249999999999</v>
      </c>
      <c r="AG75" s="1285"/>
      <c r="AI75" s="1282">
        <f t="shared" si="4"/>
        <v>27.060644494545709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725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6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5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4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730">
        <v>560.02</v>
      </c>
      <c r="J77" s="1448">
        <v>200</v>
      </c>
      <c r="K77" s="241"/>
      <c r="L77" s="1277">
        <v>195</v>
      </c>
      <c r="M77" s="241"/>
      <c r="N77" s="1278">
        <v>0.6</v>
      </c>
      <c r="O77" s="241"/>
      <c r="P77" s="1278">
        <f t="shared" si="6"/>
        <v>35.848029469906869</v>
      </c>
      <c r="Q77" s="1278">
        <f>(20*J77)/100</f>
        <v>40</v>
      </c>
      <c r="R77" s="244">
        <v>2.117</v>
      </c>
      <c r="S77" s="244">
        <v>8.6660000000000004</v>
      </c>
      <c r="T77" s="1277">
        <v>43.7</v>
      </c>
      <c r="U77" s="1278">
        <f t="shared" si="12"/>
        <v>20.642418516769013</v>
      </c>
      <c r="V77" s="1278">
        <f t="shared" si="19"/>
        <v>75.571197784444948</v>
      </c>
      <c r="W77" s="1279">
        <v>0</v>
      </c>
      <c r="X77" s="1449">
        <v>200</v>
      </c>
      <c r="Y77" s="1277">
        <f t="shared" si="5"/>
        <v>21.664999999999999</v>
      </c>
      <c r="Z77" s="244">
        <f t="shared" ref="Z77:AB82" si="25">R77*0.988</f>
        <v>2.091596</v>
      </c>
      <c r="AA77" s="244">
        <f t="shared" si="23"/>
        <v>8.5620080000000005</v>
      </c>
      <c r="AB77" s="1277">
        <f t="shared" si="25"/>
        <v>43.175600000000003</v>
      </c>
      <c r="AC77" s="244">
        <f t="shared" ref="AC77:AD81" si="26">U77</f>
        <v>20.642418516769013</v>
      </c>
      <c r="AD77" s="1277">
        <f t="shared" si="26"/>
        <v>75.571197784444948</v>
      </c>
      <c r="AE77" s="241">
        <f t="shared" si="14"/>
        <v>31</v>
      </c>
      <c r="AF77" s="244">
        <f t="shared" ref="AF77:AF83" si="27">Z77*AE77</f>
        <v>64.839476000000005</v>
      </c>
      <c r="AG77" s="1281"/>
      <c r="AI77" s="1282">
        <f t="shared" si="4"/>
        <v>35.848029469906869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799</v>
      </c>
      <c r="I78" s="1730">
        <v>510.1</v>
      </c>
      <c r="J78" s="1448">
        <v>100</v>
      </c>
      <c r="K78" s="241"/>
      <c r="L78" s="1277">
        <v>300</v>
      </c>
      <c r="M78" s="241"/>
      <c r="N78" s="1278">
        <v>7.9</v>
      </c>
      <c r="O78" s="241"/>
      <c r="P78" s="1278">
        <f t="shared" si="6"/>
        <v>27.800645884784657</v>
      </c>
      <c r="Q78" s="1278">
        <f>(32*J78)/100</f>
        <v>32</v>
      </c>
      <c r="R78" s="244">
        <v>7.9939999999999998</v>
      </c>
      <c r="S78" s="244">
        <v>20.425999999999998</v>
      </c>
      <c r="T78" s="1277">
        <v>171</v>
      </c>
      <c r="U78" s="1278">
        <f t="shared" si="12"/>
        <v>21.391043282461847</v>
      </c>
      <c r="V78" s="1278">
        <f t="shared" si="19"/>
        <v>60.863605209047286</v>
      </c>
      <c r="W78" s="1279">
        <v>0.2</v>
      </c>
      <c r="X78" s="1449">
        <v>140</v>
      </c>
      <c r="Y78" s="1277">
        <f t="shared" si="5"/>
        <v>63.831249999999997</v>
      </c>
      <c r="Z78" s="244">
        <f t="shared" si="25"/>
        <v>7.898072</v>
      </c>
      <c r="AA78" s="244">
        <f t="shared" si="23"/>
        <v>20.180887999999999</v>
      </c>
      <c r="AB78" s="1277">
        <f t="shared" si="25"/>
        <v>168.94800000000001</v>
      </c>
      <c r="AC78" s="244">
        <f t="shared" si="26"/>
        <v>21.391043282461847</v>
      </c>
      <c r="AD78" s="1277">
        <f t="shared" si="26"/>
        <v>60.863605209047286</v>
      </c>
      <c r="AE78" s="241">
        <f t="shared" si="14"/>
        <v>31</v>
      </c>
      <c r="AF78" s="244">
        <f t="shared" si="27"/>
        <v>244.84023199999999</v>
      </c>
      <c r="AG78" s="1285"/>
      <c r="AI78" s="1282">
        <f t="shared" si="4"/>
        <v>27.800645884784657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730">
        <v>533.89</v>
      </c>
      <c r="J79" s="1448">
        <v>85</v>
      </c>
      <c r="K79" s="241"/>
      <c r="L79" s="1277">
        <v>62</v>
      </c>
      <c r="M79" s="241"/>
      <c r="N79" s="1278">
        <v>2.4</v>
      </c>
      <c r="O79" s="241"/>
      <c r="P79" s="1278">
        <f t="shared" si="6"/>
        <v>48.312837978027346</v>
      </c>
      <c r="Q79" s="1278">
        <f>(20/100)*J79</f>
        <v>17</v>
      </c>
      <c r="R79" s="244">
        <v>1.667</v>
      </c>
      <c r="S79" s="244">
        <v>12.532999999999999</v>
      </c>
      <c r="T79" s="1277">
        <v>118.5</v>
      </c>
      <c r="U79" s="1278">
        <f t="shared" si="12"/>
        <v>71.085782843431318</v>
      </c>
      <c r="V79" s="1278">
        <f t="shared" si="19"/>
        <v>86.699114338147282</v>
      </c>
      <c r="W79" s="1279">
        <v>0</v>
      </c>
      <c r="X79" s="1449">
        <v>85</v>
      </c>
      <c r="Y79" s="1277">
        <f t="shared" si="5"/>
        <v>73.723529411764702</v>
      </c>
      <c r="Z79" s="244">
        <f t="shared" si="25"/>
        <v>1.6469960000000001</v>
      </c>
      <c r="AA79" s="244">
        <f t="shared" si="25"/>
        <v>12.382603999999999</v>
      </c>
      <c r="AB79" s="1277">
        <f t="shared" si="25"/>
        <v>117.078</v>
      </c>
      <c r="AC79" s="244">
        <v>0</v>
      </c>
      <c r="AD79" s="1277">
        <f t="shared" si="26"/>
        <v>86.699114338147282</v>
      </c>
      <c r="AE79" s="241">
        <f t="shared" si="14"/>
        <v>31</v>
      </c>
      <c r="AF79" s="244">
        <f t="shared" si="27"/>
        <v>51.056876000000003</v>
      </c>
      <c r="AG79" s="1281"/>
      <c r="AI79" s="1282">
        <f t="shared" si="4"/>
        <v>48.312837978027346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730">
        <v>572.76</v>
      </c>
      <c r="J80" s="1448">
        <v>150</v>
      </c>
      <c r="K80" s="241"/>
      <c r="L80" s="1277">
        <v>309</v>
      </c>
      <c r="M80" s="241"/>
      <c r="N80" s="1278">
        <v>7.5</v>
      </c>
      <c r="O80" s="241"/>
      <c r="P80" s="1278">
        <f t="shared" si="6"/>
        <v>29.39974954516655</v>
      </c>
      <c r="Q80" s="1278">
        <f>(32/100)*J80</f>
        <v>48</v>
      </c>
      <c r="R80" s="244">
        <v>10.863</v>
      </c>
      <c r="S80" s="244">
        <v>12.24</v>
      </c>
      <c r="T80" s="1277">
        <v>593</v>
      </c>
      <c r="U80" s="1278">
        <f t="shared" si="12"/>
        <v>54.588971738930319</v>
      </c>
      <c r="V80" s="1278">
        <f t="shared" si="19"/>
        <v>11.250000000000005</v>
      </c>
      <c r="W80" s="1279">
        <v>0.2</v>
      </c>
      <c r="X80" s="1449">
        <v>150</v>
      </c>
      <c r="Y80" s="1277">
        <f t="shared" si="5"/>
        <v>25.5</v>
      </c>
      <c r="Z80" s="244">
        <f t="shared" si="25"/>
        <v>10.732643999999999</v>
      </c>
      <c r="AA80" s="244">
        <f t="shared" si="25"/>
        <v>12.093120000000001</v>
      </c>
      <c r="AB80" s="1277">
        <f t="shared" si="25"/>
        <v>585.88400000000001</v>
      </c>
      <c r="AC80" s="244">
        <f t="shared" si="26"/>
        <v>54.588971738930319</v>
      </c>
      <c r="AD80" s="1277">
        <f t="shared" si="26"/>
        <v>11.250000000000005</v>
      </c>
      <c r="AE80" s="241">
        <f t="shared" si="14"/>
        <v>31</v>
      </c>
      <c r="AF80" s="244">
        <f t="shared" si="27"/>
        <v>332.71196399999997</v>
      </c>
      <c r="AG80" s="1285"/>
      <c r="AI80" s="1282">
        <f t="shared" si="4"/>
        <v>29.39974954516655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730">
        <v>664.19</v>
      </c>
      <c r="J81" s="1448">
        <v>165</v>
      </c>
      <c r="K81" s="241"/>
      <c r="L81" s="1277">
        <v>63</v>
      </c>
      <c r="M81" s="241"/>
      <c r="N81" s="1278">
        <v>3.6</v>
      </c>
      <c r="O81" s="241"/>
      <c r="P81" s="1278">
        <f t="shared" si="6"/>
        <v>57.280433932264458</v>
      </c>
      <c r="Q81" s="1278">
        <f>14*J81/100</f>
        <v>23.1</v>
      </c>
      <c r="R81" s="244">
        <v>4.5540000000000003</v>
      </c>
      <c r="S81" s="244">
        <v>4.9470000000000001</v>
      </c>
      <c r="T81" s="1277">
        <v>433</v>
      </c>
      <c r="U81" s="1278">
        <f t="shared" si="12"/>
        <v>95.081247255160292</v>
      </c>
      <c r="V81" s="1278">
        <f t="shared" si="19"/>
        <v>7.9442086112795591</v>
      </c>
      <c r="W81" s="1279">
        <v>0.2</v>
      </c>
      <c r="X81" s="1449">
        <v>165</v>
      </c>
      <c r="Y81" s="1277">
        <f t="shared" si="5"/>
        <v>21.415584415584416</v>
      </c>
      <c r="Z81" s="244">
        <f t="shared" si="25"/>
        <v>4.499352</v>
      </c>
      <c r="AA81" s="244">
        <f t="shared" si="25"/>
        <v>4.8876359999999996</v>
      </c>
      <c r="AB81" s="1277">
        <f t="shared" si="25"/>
        <v>427.80399999999997</v>
      </c>
      <c r="AC81" s="244">
        <f t="shared" si="26"/>
        <v>95.081247255160292</v>
      </c>
      <c r="AD81" s="1277">
        <f t="shared" si="26"/>
        <v>7.9442086112795591</v>
      </c>
      <c r="AE81" s="241">
        <f t="shared" si="14"/>
        <v>31</v>
      </c>
      <c r="AF81" s="244">
        <f t="shared" si="27"/>
        <v>139.47991200000001</v>
      </c>
      <c r="AG81" s="1281"/>
      <c r="AI81" s="1282">
        <f t="shared" si="4"/>
        <v>57.280433932264458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725">
        <v>700</v>
      </c>
      <c r="E82" s="1725" t="s">
        <v>547</v>
      </c>
      <c r="F82" s="241">
        <v>177.8</v>
      </c>
      <c r="G82" s="241" t="s">
        <v>28</v>
      </c>
      <c r="H82" s="241" t="s">
        <v>464</v>
      </c>
      <c r="I82" s="1725">
        <v>608.22</v>
      </c>
      <c r="J82" s="1725">
        <v>0</v>
      </c>
      <c r="K82" s="1725"/>
      <c r="L82" s="1319">
        <v>0</v>
      </c>
      <c r="M82" s="1725"/>
      <c r="N82" s="1278">
        <v>0</v>
      </c>
      <c r="O82" s="1725"/>
      <c r="P82" s="1278">
        <f t="shared" si="6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5"/>
        <v>0</v>
      </c>
      <c r="Z82" s="244">
        <f t="shared" si="25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4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725">
        <v>619.66</v>
      </c>
      <c r="E83" s="1725" t="s">
        <v>613</v>
      </c>
      <c r="F83" s="241">
        <v>177.8</v>
      </c>
      <c r="G83" s="241" t="s">
        <v>28</v>
      </c>
      <c r="H83" s="1299" t="s">
        <v>687</v>
      </c>
      <c r="I83" s="1725">
        <v>595.26</v>
      </c>
      <c r="J83" s="1725">
        <v>0</v>
      </c>
      <c r="K83" s="1725"/>
      <c r="L83" s="1319">
        <v>0</v>
      </c>
      <c r="M83" s="1725"/>
      <c r="N83" s="1278">
        <v>0</v>
      </c>
      <c r="O83" s="1725"/>
      <c r="P83" s="1278" t="e">
        <f t="shared" si="6"/>
        <v>#DIV/0!</v>
      </c>
      <c r="Q83" s="1278">
        <f>(20/100)*J83</f>
        <v>0</v>
      </c>
      <c r="R83" s="244">
        <v>0</v>
      </c>
      <c r="S83" s="244">
        <v>0</v>
      </c>
      <c r="T83" s="1319">
        <v>0</v>
      </c>
      <c r="U83" s="244">
        <f t="shared" si="12"/>
        <v>0</v>
      </c>
      <c r="V83" s="1278" t="e">
        <f t="shared" si="19"/>
        <v>#DIV/0!</v>
      </c>
      <c r="W83" s="1279">
        <v>0</v>
      </c>
      <c r="X83" s="1410">
        <v>85</v>
      </c>
      <c r="Y83" s="1277">
        <v>0</v>
      </c>
      <c r="Z83" s="244">
        <v>2.226</v>
      </c>
      <c r="AA83" s="244">
        <v>2.2349999999999999</v>
      </c>
      <c r="AB83" s="1277">
        <v>0</v>
      </c>
      <c r="AC83" s="244">
        <v>0</v>
      </c>
      <c r="AD83" s="244">
        <v>0.4</v>
      </c>
      <c r="AE83" s="241">
        <v>15</v>
      </c>
      <c r="AF83" s="244">
        <f t="shared" si="27"/>
        <v>33.39</v>
      </c>
      <c r="AG83" s="1281" t="s">
        <v>801</v>
      </c>
      <c r="AI83" s="1282" t="e">
        <f t="shared" ref="AI83:AI86" si="28">(9.81*(AJ83*(100%-(V83/100))+AK83*(V83/100))*(I83-L83)+N83*101.325+9.81*(AL83)*L83)/101.325</f>
        <v>#DIV/0!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725">
        <v>689.4</v>
      </c>
      <c r="E84" s="1725" t="s">
        <v>616</v>
      </c>
      <c r="F84" s="241">
        <v>177.8</v>
      </c>
      <c r="G84" s="241" t="s">
        <v>28</v>
      </c>
      <c r="H84" s="1299" t="s">
        <v>466</v>
      </c>
      <c r="I84" s="1725">
        <v>604.96</v>
      </c>
      <c r="J84" s="1725">
        <v>0</v>
      </c>
      <c r="K84" s="1725"/>
      <c r="L84" s="1319"/>
      <c r="M84" s="1725"/>
      <c r="N84" s="1278"/>
      <c r="O84" s="1725"/>
      <c r="P84" s="1278">
        <f t="shared" si="6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29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8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730">
        <v>577.12</v>
      </c>
      <c r="E85" s="1730" t="s">
        <v>614</v>
      </c>
      <c r="F85" s="241">
        <v>177.8</v>
      </c>
      <c r="G85" s="241" t="s">
        <v>28</v>
      </c>
      <c r="H85" s="1299" t="s">
        <v>687</v>
      </c>
      <c r="I85" s="1730">
        <v>536.02</v>
      </c>
      <c r="J85" s="1730">
        <v>85</v>
      </c>
      <c r="K85" s="1730"/>
      <c r="L85" s="1319">
        <v>495</v>
      </c>
      <c r="M85" s="1730"/>
      <c r="N85" s="1278">
        <v>0.1</v>
      </c>
      <c r="O85" s="1730"/>
      <c r="P85" s="1278">
        <f t="shared" ref="P85:P86" si="30">AI85</f>
        <v>4.2676979369757522</v>
      </c>
      <c r="Q85" s="1278">
        <f>RIGHT(H85,(FIND("T",H85,1)-0))*J85/100</f>
        <v>17</v>
      </c>
      <c r="R85" s="244">
        <v>2.4329999999999998</v>
      </c>
      <c r="S85" s="244">
        <v>6.2679999999999998</v>
      </c>
      <c r="T85" s="1319">
        <v>4.5</v>
      </c>
      <c r="U85" s="244">
        <f t="shared" ref="U85" si="31">IF(R85=0,0,T85/R85)</f>
        <v>1.8495684340320593</v>
      </c>
      <c r="V85" s="1278">
        <f t="shared" si="19"/>
        <v>61.18379068283344</v>
      </c>
      <c r="W85" s="1279">
        <v>0.2</v>
      </c>
      <c r="X85" s="1410">
        <v>85</v>
      </c>
      <c r="Y85" s="1277">
        <f t="shared" si="29"/>
        <v>36.870588235294115</v>
      </c>
      <c r="Z85" s="244">
        <f t="shared" ref="Z85:AB86" si="32">R85*0.988</f>
        <v>2.4038039999999996</v>
      </c>
      <c r="AA85" s="244">
        <f t="shared" si="32"/>
        <v>6.1927839999999996</v>
      </c>
      <c r="AB85" s="1277">
        <f t="shared" si="32"/>
        <v>4.4459999999999997</v>
      </c>
      <c r="AC85" s="244">
        <f t="shared" ref="AC85:AD85" si="33">U85</f>
        <v>1.8495684340320593</v>
      </c>
      <c r="AD85" s="1277">
        <f t="shared" si="33"/>
        <v>61.18379068283344</v>
      </c>
      <c r="AE85" s="241">
        <v>31</v>
      </c>
      <c r="AF85" s="244">
        <f>Z85*AE85</f>
        <v>74.517923999999994</v>
      </c>
      <c r="AG85" s="1281"/>
      <c r="AI85" s="1282">
        <f t="shared" si="28"/>
        <v>4.2676979369757522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725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0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2"/>
        <v>0</v>
      </c>
      <c r="V86" s="1278" t="e">
        <f t="shared" si="19"/>
        <v>#DIV/0!</v>
      </c>
      <c r="W86" s="1279">
        <v>0</v>
      </c>
      <c r="X86" s="1449">
        <v>0</v>
      </c>
      <c r="Y86" s="1277">
        <f t="shared" si="29"/>
        <v>0</v>
      </c>
      <c r="Z86" s="244">
        <f t="shared" si="32"/>
        <v>0</v>
      </c>
      <c r="AA86" s="244">
        <f t="shared" si="32"/>
        <v>0</v>
      </c>
      <c r="AB86" s="1277">
        <f t="shared" si="32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8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725"/>
      <c r="E87" s="1725"/>
      <c r="F87" s="1274"/>
      <c r="G87" s="241"/>
      <c r="H87" s="241"/>
      <c r="I87" s="1725"/>
      <c r="J87" s="1725"/>
      <c r="K87" s="1725"/>
      <c r="L87" s="1725"/>
      <c r="M87" s="1725"/>
      <c r="N87" s="241"/>
      <c r="O87" s="1725"/>
      <c r="P87" s="1278"/>
      <c r="Q87" s="1269"/>
      <c r="R87" s="1348">
        <f>SUM(R19:R86)</f>
        <v>268.71699999999993</v>
      </c>
      <c r="S87" s="1348">
        <f>SUM(S19:S86)</f>
        <v>753.58300000000008</v>
      </c>
      <c r="T87" s="1349">
        <f>SUM(T19:T86)</f>
        <v>5220.7</v>
      </c>
      <c r="U87" s="1348">
        <f>T87/R87</f>
        <v>19.428246073006179</v>
      </c>
      <c r="V87" s="1348"/>
      <c r="W87" s="1350"/>
      <c r="X87" s="1410"/>
      <c r="Y87" s="1348"/>
      <c r="Z87" s="1348">
        <f>SUM(Z19:Z86)</f>
        <v>274.780396</v>
      </c>
      <c r="AA87" s="1348">
        <f>SUM(AA19:AA86)</f>
        <v>754.62900400000012</v>
      </c>
      <c r="AB87" s="1351">
        <f>SUM(AB19:AB86)</f>
        <v>5192.5515999999989</v>
      </c>
      <c r="AC87" s="1348">
        <f>AB87/Z87</f>
        <v>18.897096283389878</v>
      </c>
      <c r="AD87" s="1348"/>
      <c r="AE87" s="1302"/>
      <c r="AF87" s="1348">
        <f>SUM(AF19:AF86)</f>
        <v>8441.6622759999973</v>
      </c>
      <c r="AG87" s="1281"/>
      <c r="AI87" s="1282"/>
    </row>
    <row r="88" spans="1:38" ht="18.75" customHeight="1" x14ac:dyDescent="0.2">
      <c r="A88" s="1347"/>
      <c r="B88" s="241"/>
      <c r="C88" s="241"/>
      <c r="D88" s="1725"/>
      <c r="E88" s="1725"/>
      <c r="F88" s="1274"/>
      <c r="G88" s="241"/>
      <c r="H88" s="241"/>
      <c r="I88" s="1725"/>
      <c r="J88" s="1725"/>
      <c r="K88" s="1725"/>
      <c r="L88" s="1725"/>
      <c r="M88" s="1725"/>
      <c r="N88" s="241"/>
      <c r="O88" s="1725"/>
      <c r="P88" s="1278"/>
      <c r="Q88" s="1269"/>
      <c r="R88" s="1348"/>
      <c r="S88" s="1348"/>
      <c r="T88" s="1349">
        <f>S87-R87</f>
        <v>484.86600000000016</v>
      </c>
      <c r="U88" s="1348"/>
      <c r="V88" s="1348"/>
      <c r="W88" s="1350"/>
      <c r="X88" s="1410"/>
      <c r="Y88" s="1348"/>
      <c r="Z88" s="1348"/>
      <c r="AA88" s="1352">
        <f>AA87-Z87</f>
        <v>479.84860800000013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725"/>
      <c r="E89" s="1724" t="s">
        <v>388</v>
      </c>
      <c r="F89" s="1274"/>
      <c r="G89" s="241"/>
      <c r="H89" s="241"/>
      <c r="I89" s="1725"/>
      <c r="J89" s="1725"/>
      <c r="K89" s="1725"/>
      <c r="L89" s="1725"/>
      <c r="M89" s="1725"/>
      <c r="N89" s="241"/>
      <c r="O89" s="1725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725">
        <v>737.21</v>
      </c>
      <c r="E90" s="1725" t="s">
        <v>507</v>
      </c>
      <c r="F90" s="241">
        <v>177.8</v>
      </c>
      <c r="G90" s="241" t="s">
        <v>28</v>
      </c>
      <c r="H90" s="1354" t="s">
        <v>466</v>
      </c>
      <c r="I90" s="1725">
        <v>680.94</v>
      </c>
      <c r="J90" s="1725"/>
      <c r="K90" s="1725"/>
      <c r="L90" s="1725"/>
      <c r="M90" s="1725"/>
      <c r="N90" s="241"/>
      <c r="O90" s="1725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4">R90*0.988</f>
        <v>0</v>
      </c>
      <c r="AA90" s="244">
        <f t="shared" si="34"/>
        <v>0</v>
      </c>
      <c r="AB90" s="1277">
        <f t="shared" si="34"/>
        <v>0</v>
      </c>
      <c r="AC90" s="244">
        <f t="shared" ref="AC90:AD93" si="35">U90</f>
        <v>0</v>
      </c>
      <c r="AD90" s="244">
        <f t="shared" si="35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725">
        <v>695.15</v>
      </c>
      <c r="E91" s="1725" t="s">
        <v>508</v>
      </c>
      <c r="F91" s="1274">
        <v>177.8</v>
      </c>
      <c r="G91" s="241" t="s">
        <v>28</v>
      </c>
      <c r="H91" s="241" t="s">
        <v>491</v>
      </c>
      <c r="I91" s="1725">
        <v>658.9</v>
      </c>
      <c r="J91" s="1725"/>
      <c r="K91" s="1725"/>
      <c r="L91" s="1725"/>
      <c r="M91" s="1725"/>
      <c r="N91" s="241"/>
      <c r="O91" s="1725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4"/>
        <v>0</v>
      </c>
      <c r="AA91" s="244">
        <f t="shared" si="34"/>
        <v>0</v>
      </c>
      <c r="AB91" s="1277">
        <f t="shared" si="34"/>
        <v>0</v>
      </c>
      <c r="AC91" s="244">
        <f t="shared" si="35"/>
        <v>0</v>
      </c>
      <c r="AD91" s="244">
        <f t="shared" si="35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725">
        <v>685.69</v>
      </c>
      <c r="E92" s="1725" t="s">
        <v>579</v>
      </c>
      <c r="F92" s="241">
        <v>177.8</v>
      </c>
      <c r="G92" s="241" t="s">
        <v>28</v>
      </c>
      <c r="H92" s="1299" t="s">
        <v>466</v>
      </c>
      <c r="I92" s="1725">
        <v>639.97</v>
      </c>
      <c r="J92" s="1725"/>
      <c r="K92" s="1725"/>
      <c r="L92" s="1725"/>
      <c r="M92" s="1725"/>
      <c r="N92" s="241"/>
      <c r="O92" s="1725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4"/>
        <v>0</v>
      </c>
      <c r="AA92" s="244">
        <f t="shared" si="34"/>
        <v>0</v>
      </c>
      <c r="AB92" s="1277">
        <f t="shared" si="34"/>
        <v>0</v>
      </c>
      <c r="AC92" s="244">
        <f t="shared" si="35"/>
        <v>0</v>
      </c>
      <c r="AD92" s="244">
        <f t="shared" si="35"/>
        <v>0</v>
      </c>
      <c r="AE92" s="241">
        <v>0</v>
      </c>
      <c r="AF92" s="244">
        <f t="shared" ref="AF92:AF93" si="36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725">
        <v>9.5</v>
      </c>
      <c r="J93" s="1725"/>
      <c r="K93" s="1725"/>
      <c r="L93" s="1725"/>
      <c r="M93" s="1725"/>
      <c r="N93" s="241"/>
      <c r="O93" s="1725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4"/>
        <v>0</v>
      </c>
      <c r="AA93" s="244">
        <f t="shared" si="34"/>
        <v>0</v>
      </c>
      <c r="AB93" s="1277">
        <f t="shared" si="34"/>
        <v>0</v>
      </c>
      <c r="AC93" s="244">
        <f t="shared" si="35"/>
        <v>0</v>
      </c>
      <c r="AD93" s="244">
        <f t="shared" si="35"/>
        <v>0</v>
      </c>
      <c r="AE93" s="241">
        <v>0</v>
      </c>
      <c r="AF93" s="244">
        <f t="shared" si="36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725"/>
      <c r="K94" s="1725"/>
      <c r="L94" s="1725"/>
      <c r="M94" s="1725"/>
      <c r="N94" s="1725"/>
      <c r="O94" s="1725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725"/>
      <c r="K95" s="1725"/>
      <c r="L95" s="1725"/>
      <c r="M95" s="1725"/>
      <c r="N95" s="1725"/>
      <c r="O95" s="1725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725">
        <v>183.38</v>
      </c>
      <c r="J96" s="1725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7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8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39">R96*0.988</f>
        <v>0</v>
      </c>
      <c r="AA96" s="244">
        <f t="shared" si="39"/>
        <v>0</v>
      </c>
      <c r="AB96" s="244">
        <f t="shared" si="39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0">Z96*AE96</f>
        <v>0</v>
      </c>
      <c r="AG96" s="1285"/>
      <c r="AI96" s="1282">
        <f t="shared" ref="AI96:AI101" si="41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725">
        <v>136.35</v>
      </c>
      <c r="J97" s="1725">
        <v>0</v>
      </c>
      <c r="K97" s="1725"/>
      <c r="L97" s="1319">
        <v>27</v>
      </c>
      <c r="M97" s="1725"/>
      <c r="N97" s="1278">
        <v>0</v>
      </c>
      <c r="O97" s="1725"/>
      <c r="P97" s="1278">
        <f t="shared" si="37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8"/>
        <v>0</v>
      </c>
      <c r="V97" s="1278">
        <v>0</v>
      </c>
      <c r="W97" s="1279">
        <v>0.2</v>
      </c>
      <c r="X97" s="1410">
        <v>0</v>
      </c>
      <c r="Y97" s="1277">
        <f t="shared" ref="Y97:Y105" si="42">IF(S97=0,0,S97/Q97)*100</f>
        <v>0</v>
      </c>
      <c r="Z97" s="244">
        <f t="shared" si="39"/>
        <v>0</v>
      </c>
      <c r="AA97" s="244">
        <f t="shared" si="39"/>
        <v>0</v>
      </c>
      <c r="AB97" s="244">
        <f t="shared" si="39"/>
        <v>0</v>
      </c>
      <c r="AC97" s="244">
        <f t="shared" ref="AC97:AD101" si="43">U97</f>
        <v>0</v>
      </c>
      <c r="AD97" s="244">
        <f t="shared" si="43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1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725">
        <v>130.11000000000001</v>
      </c>
      <c r="J98" s="1725">
        <v>0</v>
      </c>
      <c r="K98" s="1725"/>
      <c r="L98" s="1319">
        <v>32</v>
      </c>
      <c r="M98" s="1725"/>
      <c r="N98" s="1278">
        <v>0</v>
      </c>
      <c r="O98" s="1725"/>
      <c r="P98" s="1278">
        <f t="shared" si="37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8"/>
        <v>0</v>
      </c>
      <c r="V98" s="1278">
        <v>0</v>
      </c>
      <c r="W98" s="1279">
        <v>0.2</v>
      </c>
      <c r="X98" s="1410">
        <v>0</v>
      </c>
      <c r="Y98" s="1277">
        <f t="shared" si="42"/>
        <v>0</v>
      </c>
      <c r="Z98" s="244">
        <f t="shared" si="39"/>
        <v>0</v>
      </c>
      <c r="AA98" s="244">
        <f t="shared" si="39"/>
        <v>0</v>
      </c>
      <c r="AB98" s="244">
        <f t="shared" si="39"/>
        <v>0</v>
      </c>
      <c r="AC98" s="244">
        <f t="shared" si="43"/>
        <v>0</v>
      </c>
      <c r="AD98" s="244">
        <f t="shared" si="43"/>
        <v>0</v>
      </c>
      <c r="AE98" s="241">
        <v>0</v>
      </c>
      <c r="AF98" s="244">
        <f t="shared" si="40"/>
        <v>0</v>
      </c>
      <c r="AG98" s="1285" t="s">
        <v>782</v>
      </c>
      <c r="AI98" s="1282">
        <f t="shared" si="41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725">
        <v>134.24</v>
      </c>
      <c r="J99" s="1725">
        <v>0</v>
      </c>
      <c r="K99" s="1725"/>
      <c r="L99" s="1319">
        <v>25</v>
      </c>
      <c r="M99" s="1725"/>
      <c r="N99" s="1278">
        <v>0.2</v>
      </c>
      <c r="O99" s="1725"/>
      <c r="P99" s="1278">
        <f t="shared" si="37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8"/>
        <v>0</v>
      </c>
      <c r="V99" s="1278">
        <v>0</v>
      </c>
      <c r="W99" s="1279">
        <v>0.2</v>
      </c>
      <c r="X99" s="1410">
        <v>0</v>
      </c>
      <c r="Y99" s="1277">
        <f t="shared" si="42"/>
        <v>0</v>
      </c>
      <c r="Z99" s="244">
        <f t="shared" si="39"/>
        <v>0</v>
      </c>
      <c r="AA99" s="244">
        <f t="shared" si="39"/>
        <v>0</v>
      </c>
      <c r="AB99" s="244">
        <f t="shared" si="39"/>
        <v>0</v>
      </c>
      <c r="AC99" s="244">
        <f t="shared" si="43"/>
        <v>0</v>
      </c>
      <c r="AD99" s="244">
        <f t="shared" si="43"/>
        <v>0</v>
      </c>
      <c r="AE99" s="241">
        <v>0</v>
      </c>
      <c r="AF99" s="244">
        <f t="shared" si="40"/>
        <v>0</v>
      </c>
      <c r="AG99" s="1281" t="s">
        <v>782</v>
      </c>
      <c r="AI99" s="1282">
        <f t="shared" si="41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725">
        <v>0</v>
      </c>
      <c r="K100" s="1725"/>
      <c r="L100" s="1319">
        <v>30</v>
      </c>
      <c r="M100" s="1725"/>
      <c r="N100" s="1278">
        <v>0.7</v>
      </c>
      <c r="O100" s="1725"/>
      <c r="P100" s="1278">
        <f t="shared" si="37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8"/>
        <v>0</v>
      </c>
      <c r="V100" s="1278">
        <v>0</v>
      </c>
      <c r="W100" s="1279">
        <v>0.2</v>
      </c>
      <c r="X100" s="1410">
        <v>0</v>
      </c>
      <c r="Y100" s="1277">
        <f t="shared" si="42"/>
        <v>0</v>
      </c>
      <c r="Z100" s="244">
        <f t="shared" si="39"/>
        <v>0</v>
      </c>
      <c r="AA100" s="244">
        <f t="shared" si="39"/>
        <v>0</v>
      </c>
      <c r="AB100" s="244">
        <f t="shared" si="39"/>
        <v>0</v>
      </c>
      <c r="AC100" s="244">
        <f t="shared" si="43"/>
        <v>0</v>
      </c>
      <c r="AD100" s="244">
        <f t="shared" si="43"/>
        <v>0</v>
      </c>
      <c r="AE100" s="241">
        <v>0</v>
      </c>
      <c r="AF100" s="244">
        <f t="shared" si="40"/>
        <v>0</v>
      </c>
      <c r="AG100" s="1363" t="s">
        <v>782</v>
      </c>
      <c r="AI100" s="1282">
        <f t="shared" si="41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7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8"/>
        <v>0</v>
      </c>
      <c r="V101" s="1278">
        <v>0</v>
      </c>
      <c r="W101" s="1355">
        <v>0.2</v>
      </c>
      <c r="X101" s="1410">
        <v>0</v>
      </c>
      <c r="Y101" s="1277">
        <f t="shared" si="42"/>
        <v>0</v>
      </c>
      <c r="Z101" s="244">
        <f t="shared" si="39"/>
        <v>0</v>
      </c>
      <c r="AA101" s="244">
        <f t="shared" si="39"/>
        <v>0</v>
      </c>
      <c r="AB101" s="244">
        <f t="shared" si="39"/>
        <v>0</v>
      </c>
      <c r="AC101" s="244">
        <f t="shared" si="43"/>
        <v>0</v>
      </c>
      <c r="AD101" s="244">
        <f t="shared" si="43"/>
        <v>0</v>
      </c>
      <c r="AE101" s="241">
        <v>0</v>
      </c>
      <c r="AF101" s="244">
        <f t="shared" si="40"/>
        <v>0</v>
      </c>
      <c r="AG101" s="1363" t="s">
        <v>782</v>
      </c>
      <c r="AI101" s="1282">
        <f t="shared" si="41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2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2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725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4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2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725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4"/>
        <v>0</v>
      </c>
      <c r="V105" s="1278">
        <v>0.3</v>
      </c>
      <c r="W105" s="1279">
        <v>0.3</v>
      </c>
      <c r="X105" s="1449">
        <v>0</v>
      </c>
      <c r="Y105" s="1277">
        <f t="shared" si="42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725"/>
      <c r="G106" s="1722"/>
      <c r="H106" s="1724"/>
      <c r="I106" s="1724"/>
      <c r="J106" s="1725"/>
      <c r="K106" s="1725"/>
      <c r="L106" s="1725"/>
      <c r="M106" s="1725"/>
      <c r="N106" s="1725"/>
      <c r="O106" s="1725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722"/>
      <c r="W106" s="1723"/>
      <c r="X106" s="1410"/>
      <c r="Y106" s="1722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722"/>
      <c r="AE106" s="1725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722"/>
      <c r="H108" s="1724"/>
      <c r="I108" s="1724"/>
      <c r="J108" s="1725"/>
      <c r="K108" s="1725"/>
      <c r="L108" s="1725"/>
      <c r="M108" s="1725"/>
      <c r="N108" s="1725"/>
      <c r="O108" s="1725"/>
      <c r="P108" s="1269"/>
      <c r="Q108" s="1269"/>
      <c r="R108" s="1725"/>
      <c r="S108" s="1725"/>
      <c r="T108" s="1725"/>
      <c r="U108" s="1722"/>
      <c r="V108" s="1722"/>
      <c r="W108" s="1723"/>
      <c r="X108" s="1410"/>
      <c r="Y108" s="1722"/>
      <c r="Z108" s="1725"/>
      <c r="AA108" s="1725"/>
      <c r="AB108" s="1725"/>
      <c r="AC108" s="1722"/>
      <c r="AD108" s="1722"/>
      <c r="AE108" s="1725"/>
      <c r="AF108" s="1725"/>
      <c r="AG108" s="1727"/>
    </row>
    <row r="109" spans="1:38" ht="18.75" customHeight="1" x14ac:dyDescent="0.2">
      <c r="A109" s="1273">
        <v>83</v>
      </c>
      <c r="B109" s="1317" t="s">
        <v>107</v>
      </c>
      <c r="C109" s="1725" t="s">
        <v>109</v>
      </c>
      <c r="D109" s="1725"/>
      <c r="E109" s="1725"/>
      <c r="F109" s="1725"/>
      <c r="G109" s="1722"/>
      <c r="H109" s="1724"/>
      <c r="I109" s="1724"/>
      <c r="J109" s="1725"/>
      <c r="K109" s="1725"/>
      <c r="L109" s="1725"/>
      <c r="M109" s="1725"/>
      <c r="N109" s="1725"/>
      <c r="O109" s="1725"/>
      <c r="P109" s="1269"/>
      <c r="Q109" s="1269"/>
      <c r="R109" s="1725"/>
      <c r="S109" s="1725"/>
      <c r="T109" s="1725"/>
      <c r="U109" s="1722"/>
      <c r="V109" s="1722"/>
      <c r="W109" s="1723"/>
      <c r="X109" s="1410"/>
      <c r="Y109" s="1722"/>
      <c r="Z109" s="1724"/>
      <c r="AA109" s="1724"/>
      <c r="AB109" s="1725"/>
      <c r="AC109" s="1722"/>
      <c r="AD109" s="1722"/>
      <c r="AE109" s="1373"/>
      <c r="AF109" s="1725"/>
      <c r="AG109" s="1727"/>
    </row>
    <row r="110" spans="1:38" ht="18.75" customHeight="1" x14ac:dyDescent="0.2">
      <c r="A110" s="1273">
        <v>84</v>
      </c>
      <c r="B110" s="1317" t="s">
        <v>108</v>
      </c>
      <c r="C110" s="1725" t="s">
        <v>109</v>
      </c>
      <c r="D110" s="1725"/>
      <c r="E110" s="1725"/>
      <c r="F110" s="1725"/>
      <c r="G110" s="1722"/>
      <c r="H110" s="1724"/>
      <c r="I110" s="1724"/>
      <c r="J110" s="1725"/>
      <c r="K110" s="1725"/>
      <c r="L110" s="1725"/>
      <c r="M110" s="1725"/>
      <c r="N110" s="1725"/>
      <c r="O110" s="1725"/>
      <c r="P110" s="1269"/>
      <c r="Q110" s="1269"/>
      <c r="R110" s="1301"/>
      <c r="S110" s="1725"/>
      <c r="T110" s="1725"/>
      <c r="U110" s="1722"/>
      <c r="V110" s="1722"/>
      <c r="W110" s="1723"/>
      <c r="X110" s="1410"/>
      <c r="Y110" s="1722"/>
      <c r="Z110" s="1724"/>
      <c r="AA110" s="1724"/>
      <c r="AB110" s="1725"/>
      <c r="AC110" s="1722"/>
      <c r="AD110" s="1722"/>
      <c r="AE110" s="1373"/>
      <c r="AF110" s="1725"/>
      <c r="AG110" s="1727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725"/>
      <c r="E111" s="1725"/>
      <c r="F111" s="1725"/>
      <c r="G111" s="1722"/>
      <c r="H111" s="1724"/>
      <c r="I111" s="1724"/>
      <c r="J111" s="1725"/>
      <c r="K111" s="1725"/>
      <c r="L111" s="1725"/>
      <c r="M111" s="1725"/>
      <c r="N111" s="1725"/>
      <c r="O111" s="1725"/>
      <c r="P111" s="1269"/>
      <c r="Q111" s="1269"/>
      <c r="R111" s="1725"/>
      <c r="S111" s="1725"/>
      <c r="T111" s="1725"/>
      <c r="U111" s="1722"/>
      <c r="V111" s="1722"/>
      <c r="W111" s="1723"/>
      <c r="X111" s="1410"/>
      <c r="Y111" s="1722"/>
      <c r="Z111" s="1724"/>
      <c r="AA111" s="1724"/>
      <c r="AB111" s="1725"/>
      <c r="AC111" s="1722"/>
      <c r="AD111" s="1722"/>
      <c r="AE111" s="1373"/>
      <c r="AF111" s="1725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725"/>
      <c r="E112" s="1725"/>
      <c r="F112" s="1725"/>
      <c r="G112" s="1722"/>
      <c r="H112" s="1724"/>
      <c r="I112" s="1724"/>
      <c r="J112" s="1725"/>
      <c r="K112" s="1725"/>
      <c r="L112" s="1725"/>
      <c r="M112" s="1725"/>
      <c r="N112" s="1725"/>
      <c r="O112" s="1725"/>
      <c r="P112" s="1269"/>
      <c r="Q112" s="1269"/>
      <c r="R112" s="1725"/>
      <c r="S112" s="1725"/>
      <c r="T112" s="1725"/>
      <c r="U112" s="1722"/>
      <c r="V112" s="1722"/>
      <c r="W112" s="1723"/>
      <c r="X112" s="1410"/>
      <c r="Y112" s="1722"/>
      <c r="Z112" s="1724"/>
      <c r="AA112" s="1724"/>
      <c r="AB112" s="1725"/>
      <c r="AC112" s="1722"/>
      <c r="AD112" s="1722"/>
      <c r="AE112" s="1373"/>
      <c r="AF112" s="1725"/>
      <c r="AG112" s="1285"/>
    </row>
    <row r="113" spans="1:33" ht="18.75" customHeight="1" x14ac:dyDescent="0.2">
      <c r="A113" s="1273"/>
      <c r="B113" s="1262"/>
      <c r="C113" s="1371"/>
      <c r="D113" s="1371"/>
      <c r="E113" s="1724" t="s">
        <v>278</v>
      </c>
      <c r="F113" s="1371"/>
      <c r="G113" s="1722"/>
      <c r="H113" s="1724"/>
      <c r="I113" s="1724"/>
      <c r="J113" s="1725"/>
      <c r="K113" s="1725"/>
      <c r="L113" s="1725"/>
      <c r="M113" s="1725"/>
      <c r="N113" s="1725"/>
      <c r="O113" s="1725"/>
      <c r="P113" s="1269"/>
      <c r="Q113" s="1269"/>
      <c r="R113" s="1725"/>
      <c r="S113" s="1725"/>
      <c r="T113" s="1725"/>
      <c r="U113" s="1722"/>
      <c r="V113" s="1722"/>
      <c r="W113" s="1723"/>
      <c r="X113" s="1410"/>
      <c r="Y113" s="1722"/>
      <c r="Z113" s="1301"/>
      <c r="AA113" s="1725"/>
      <c r="AB113" s="1725"/>
      <c r="AC113" s="1722"/>
      <c r="AD113" s="1722"/>
      <c r="AE113" s="1725"/>
      <c r="AF113" s="1725"/>
      <c r="AG113" s="1727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725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725">
        <v>625.1</v>
      </c>
      <c r="E115" s="1725" t="s">
        <v>578</v>
      </c>
      <c r="F115" s="241">
        <v>177.8</v>
      </c>
      <c r="G115" s="241"/>
      <c r="H115" s="241"/>
      <c r="I115" s="244"/>
      <c r="J115" s="1725"/>
      <c r="K115" s="1725"/>
      <c r="L115" s="1725"/>
      <c r="M115" s="1725"/>
      <c r="N115" s="1725"/>
      <c r="O115" s="1725"/>
      <c r="P115" s="1269"/>
      <c r="Q115" s="1269"/>
      <c r="R115" s="1725"/>
      <c r="S115" s="1725"/>
      <c r="T115" s="1725"/>
      <c r="U115" s="1722"/>
      <c r="V115" s="1722"/>
      <c r="W115" s="1723"/>
      <c r="X115" s="1410"/>
      <c r="Y115" s="1376"/>
      <c r="Z115" s="1319"/>
      <c r="AA115" s="1725"/>
      <c r="AB115" s="1725"/>
      <c r="AC115" s="1722"/>
      <c r="AD115" s="1725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725"/>
      <c r="J116" s="1725"/>
      <c r="K116" s="1725"/>
      <c r="L116" s="1725"/>
      <c r="M116" s="1725"/>
      <c r="N116" s="1725"/>
      <c r="O116" s="1725"/>
      <c r="P116" s="1269"/>
      <c r="Q116" s="1270"/>
      <c r="R116" s="1725"/>
      <c r="S116" s="1725"/>
      <c r="T116" s="1725"/>
      <c r="U116" s="1722"/>
      <c r="V116" s="1722"/>
      <c r="W116" s="1723"/>
      <c r="X116" s="1410"/>
      <c r="Y116" s="1376"/>
      <c r="Z116" s="1319"/>
      <c r="AA116" s="1725"/>
      <c r="AB116" s="1725"/>
      <c r="AC116" s="1722"/>
      <c r="AD116" s="1725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725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725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718"/>
      <c r="C119" s="1718"/>
      <c r="D119" s="1718"/>
      <c r="E119" s="1719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268.71699999999993</v>
      </c>
      <c r="S119" s="1386">
        <f>S87+S94+S106</f>
        <v>753.58300000000008</v>
      </c>
      <c r="T119" s="1387">
        <f>T87+T94+T106</f>
        <v>5220.7</v>
      </c>
      <c r="U119" s="1386">
        <f>T119/R119</f>
        <v>19.428246073006179</v>
      </c>
      <c r="V119" s="1386"/>
      <c r="W119" s="1388"/>
      <c r="X119" s="1456"/>
      <c r="Y119" s="1386"/>
      <c r="Z119" s="1386">
        <f>Z87+Z94+Z106</f>
        <v>274.780396</v>
      </c>
      <c r="AA119" s="1386">
        <f>AA87+AA106+AA94</f>
        <v>754.62900400000012</v>
      </c>
      <c r="AB119" s="1387">
        <f>AB87+AB106+AB94</f>
        <v>5192.5515999999989</v>
      </c>
      <c r="AC119" s="1386">
        <f>AC87+AC106+AC94</f>
        <v>18.897096283389878</v>
      </c>
      <c r="AD119" s="1386"/>
      <c r="AE119" s="1386"/>
      <c r="AF119" s="1390">
        <f>AF87+AF94+AF106</f>
        <v>8441.6622759999973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726"/>
      <c r="D121" s="148"/>
      <c r="E121" s="1394">
        <v>0.98</v>
      </c>
      <c r="F121" s="148"/>
      <c r="G121" s="148" t="s">
        <v>102</v>
      </c>
      <c r="H121" s="1726"/>
      <c r="I121" s="1395"/>
      <c r="J121" s="148"/>
      <c r="K121" s="1983">
        <f>AF119*E121</f>
        <v>8272.8290304799975</v>
      </c>
      <c r="L121" s="1984"/>
      <c r="M121" s="1984"/>
      <c r="N121" s="1726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4"/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726"/>
      <c r="D122" s="148"/>
      <c r="E122" s="154"/>
      <c r="F122" s="148"/>
      <c r="G122" s="148" t="s">
        <v>733</v>
      </c>
      <c r="H122" s="1726"/>
      <c r="I122" s="1395"/>
      <c r="J122" s="148"/>
      <c r="K122" s="1726"/>
      <c r="L122" s="1397"/>
      <c r="M122" s="148">
        <f>K121*0.875</f>
        <v>7238.7254016699981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721"/>
      <c r="Z122" s="1721"/>
      <c r="AA122" s="150"/>
      <c r="AB122" s="1721"/>
      <c r="AC122" s="1721"/>
      <c r="AD122" s="1721"/>
      <c r="AE122" s="1721"/>
      <c r="AF122" s="1721"/>
      <c r="AG122" s="1400"/>
    </row>
    <row r="123" spans="1:33" ht="15" x14ac:dyDescent="0.2">
      <c r="B123" s="148"/>
      <c r="C123" s="1726"/>
      <c r="D123" s="148"/>
      <c r="E123" s="154"/>
      <c r="F123" s="148"/>
      <c r="G123" s="148"/>
      <c r="H123" s="1726"/>
      <c r="I123" s="1395"/>
      <c r="J123" s="148"/>
      <c r="K123" s="1726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721"/>
      <c r="Z123" s="1721"/>
      <c r="AA123" s="1721"/>
      <c r="AB123" s="1721"/>
      <c r="AC123" s="1721"/>
      <c r="AD123" s="1721"/>
      <c r="AE123" s="1721"/>
      <c r="AF123" s="1721"/>
      <c r="AG123" s="1400"/>
    </row>
    <row r="124" spans="1:33" ht="15" x14ac:dyDescent="0.2">
      <c r="B124" s="148"/>
      <c r="C124" s="1726"/>
      <c r="D124" s="148"/>
      <c r="E124" s="154"/>
      <c r="F124" s="148"/>
      <c r="G124" s="148"/>
      <c r="H124" s="1726"/>
      <c r="I124" s="1395"/>
      <c r="J124" s="148"/>
      <c r="K124" s="1726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721"/>
      <c r="Z124" s="1721"/>
      <c r="AA124" s="1721"/>
      <c r="AB124" s="1721"/>
      <c r="AC124" s="1721"/>
      <c r="AD124" s="1721"/>
      <c r="AE124" s="1721"/>
      <c r="AF124" s="1721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726"/>
      <c r="L125" s="1726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721" t="s">
        <v>561</v>
      </c>
      <c r="AD125" s="1721"/>
      <c r="AE125" s="1721"/>
      <c r="AF125" s="1721"/>
      <c r="AG125" s="1721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8B57-85DB-4A38-AF8D-7E873F35A242}">
  <dimension ref="A1:AQ129"/>
  <sheetViews>
    <sheetView topLeftCell="A46" zoomScale="70" zoomScaleNormal="70" workbookViewId="0">
      <selection activeCell="R65" sqref="R65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4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38" ht="18.75" x14ac:dyDescent="0.3">
      <c r="A1" s="1942" t="s">
        <v>54</v>
      </c>
      <c r="B1" s="1942"/>
      <c r="C1" s="1942"/>
      <c r="D1" s="1942"/>
      <c r="E1" s="1739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38" ht="81" customHeight="1" x14ac:dyDescent="0.2">
      <c r="A2" s="1977" t="s">
        <v>754</v>
      </c>
      <c r="B2" s="1977"/>
      <c r="C2" s="1977"/>
      <c r="D2" s="1977"/>
      <c r="E2" s="1739"/>
      <c r="F2" s="1739"/>
      <c r="G2" s="1732"/>
      <c r="H2" s="1738"/>
      <c r="I2" s="1738"/>
      <c r="J2" s="1738"/>
      <c r="K2" s="1738"/>
      <c r="L2" s="1738"/>
      <c r="M2" s="1738"/>
      <c r="N2" s="1738"/>
      <c r="O2" s="1738"/>
      <c r="P2" s="1738"/>
      <c r="Q2" s="1256"/>
      <c r="R2" s="1739"/>
      <c r="S2" s="1739"/>
      <c r="T2" s="1739"/>
      <c r="U2" s="1739"/>
      <c r="V2" s="1739"/>
      <c r="W2" s="1739"/>
      <c r="X2" s="1738"/>
      <c r="Y2" s="1739"/>
      <c r="Z2" s="1739"/>
      <c r="AA2" s="1739"/>
      <c r="AC2" s="1739"/>
      <c r="AD2" s="1739"/>
      <c r="AE2" s="1739"/>
      <c r="AF2" s="1998" t="s">
        <v>750</v>
      </c>
      <c r="AG2" s="1998"/>
    </row>
    <row r="3" spans="1:38" ht="15.75" x14ac:dyDescent="0.25">
      <c r="A3" s="1408" t="s">
        <v>751</v>
      </c>
      <c r="B3" s="1733"/>
      <c r="C3" s="1733"/>
      <c r="D3" s="1733"/>
      <c r="E3" s="1739"/>
      <c r="F3" s="1739"/>
      <c r="G3" s="1732"/>
      <c r="H3" s="1738"/>
      <c r="I3" s="1738"/>
      <c r="J3" s="1738"/>
      <c r="K3" s="1738"/>
      <c r="L3" s="1738"/>
      <c r="M3" s="1738"/>
      <c r="N3" s="1738"/>
      <c r="O3" s="1738"/>
      <c r="P3" s="1738"/>
      <c r="Q3" s="1256"/>
      <c r="R3" s="1739"/>
      <c r="S3" s="1739"/>
      <c r="T3" s="1739"/>
      <c r="U3" s="1739"/>
      <c r="V3" s="1739"/>
      <c r="W3" s="1739"/>
      <c r="X3" s="1738"/>
      <c r="Y3" s="1739"/>
      <c r="Z3" s="1739"/>
      <c r="AA3" s="1739"/>
      <c r="AB3" s="1739"/>
      <c r="AC3" s="1260"/>
      <c r="AE3" s="1222"/>
      <c r="AF3" s="1738" t="s">
        <v>739</v>
      </c>
      <c r="AG3" s="1494"/>
    </row>
    <row r="4" spans="1:38" ht="15" x14ac:dyDescent="0.25">
      <c r="A4" s="1976"/>
      <c r="B4" s="1976"/>
      <c r="C4" s="1976"/>
      <c r="D4" s="1976"/>
      <c r="E4" s="1734"/>
      <c r="F4" s="1739"/>
      <c r="G4" s="1732"/>
      <c r="H4" s="1732"/>
      <c r="I4" s="1738"/>
      <c r="J4" s="1738"/>
      <c r="K4" s="1738"/>
      <c r="L4" s="1738"/>
      <c r="M4" s="1738"/>
      <c r="N4" s="1738"/>
      <c r="O4" s="1738"/>
      <c r="P4" s="1738"/>
      <c r="Q4" s="1256"/>
      <c r="R4" s="1731"/>
      <c r="S4" s="1731"/>
      <c r="T4" s="1731"/>
      <c r="U4" s="1731"/>
      <c r="V4" s="1731"/>
      <c r="W4" s="1731"/>
      <c r="X4" s="1738"/>
      <c r="Y4" s="1739"/>
      <c r="Z4" s="1739"/>
      <c r="AB4" s="1739"/>
      <c r="AD4" s="1739"/>
      <c r="AE4" s="1258"/>
      <c r="AF4" s="154" t="s">
        <v>803</v>
      </c>
      <c r="AG4" s="1495"/>
    </row>
    <row r="5" spans="1:38" ht="27" customHeight="1" x14ac:dyDescent="0.2">
      <c r="A5" s="1976" t="s">
        <v>802</v>
      </c>
      <c r="B5" s="1976"/>
      <c r="C5" s="1976"/>
      <c r="D5" s="1976"/>
      <c r="E5" s="1739"/>
      <c r="F5" s="1739"/>
      <c r="G5" s="1732"/>
      <c r="H5" s="1732"/>
      <c r="I5" s="1739"/>
      <c r="J5" s="1739"/>
      <c r="K5" s="1732"/>
      <c r="L5" s="1732"/>
      <c r="M5" s="1739"/>
      <c r="N5" s="1739"/>
      <c r="O5" s="1739"/>
      <c r="P5" s="149"/>
      <c r="Q5" s="1257"/>
      <c r="R5" s="1739"/>
      <c r="S5" s="1739"/>
      <c r="T5" s="1739"/>
      <c r="U5" s="1739"/>
      <c r="V5" s="1739"/>
      <c r="W5" s="1739"/>
      <c r="X5" s="1739"/>
      <c r="Y5" s="1739"/>
      <c r="Z5" s="1739"/>
      <c r="AA5" s="1739"/>
      <c r="AB5" s="1739"/>
      <c r="AC5" s="1739"/>
      <c r="AD5" s="1739"/>
      <c r="AG5" s="151"/>
    </row>
    <row r="6" spans="1:38" ht="27" customHeight="1" x14ac:dyDescent="0.2">
      <c r="A6" s="1942"/>
      <c r="B6" s="1942"/>
      <c r="C6" s="1942"/>
      <c r="D6" s="1942"/>
      <c r="E6" s="1739"/>
      <c r="F6" s="1739"/>
      <c r="G6" s="1732"/>
      <c r="H6" s="1732"/>
      <c r="I6" s="1739"/>
      <c r="J6" s="1739"/>
      <c r="K6" s="1732"/>
      <c r="L6" s="1732"/>
      <c r="M6" s="1739"/>
      <c r="N6" s="1739"/>
      <c r="O6" s="1739"/>
      <c r="P6" s="149"/>
      <c r="Q6" s="1257"/>
      <c r="R6" s="1739"/>
      <c r="S6" s="1739"/>
      <c r="T6" s="1739"/>
      <c r="U6" s="1739"/>
      <c r="V6" s="1739"/>
      <c r="W6" s="1739"/>
      <c r="X6" s="1739"/>
      <c r="Y6" s="1739"/>
      <c r="Z6" s="1739"/>
      <c r="AA6" s="1739"/>
      <c r="AB6" s="1739"/>
      <c r="AC6" s="1739"/>
      <c r="AD6" s="1739"/>
      <c r="AE6" s="1739"/>
      <c r="AF6" s="1739"/>
    </row>
    <row r="7" spans="1:38" ht="27" customHeight="1" x14ac:dyDescent="0.2">
      <c r="A7" s="1942" t="s">
        <v>54</v>
      </c>
      <c r="B7" s="1942"/>
      <c r="C7" s="1942"/>
      <c r="D7" s="1942"/>
      <c r="E7" s="1739"/>
      <c r="F7" s="1739"/>
      <c r="G7" s="1732"/>
      <c r="H7" s="1732"/>
      <c r="I7" s="1739"/>
      <c r="J7" s="1739"/>
      <c r="K7" s="1732"/>
      <c r="L7" s="1732"/>
      <c r="M7" s="1739"/>
      <c r="N7" s="1739"/>
      <c r="O7" s="1739"/>
      <c r="P7" s="149"/>
      <c r="Q7" s="1257"/>
      <c r="R7" s="1739"/>
      <c r="S7" s="1739"/>
      <c r="T7" s="1739"/>
      <c r="U7" s="1739"/>
      <c r="V7" s="1739"/>
      <c r="W7" s="1739"/>
      <c r="X7" s="1739"/>
      <c r="Y7" s="1739"/>
      <c r="Z7" s="1739"/>
      <c r="AA7" s="1739"/>
      <c r="AB7" s="1739"/>
      <c r="AC7" s="1739"/>
      <c r="AD7" s="1739"/>
      <c r="AE7" s="1739"/>
      <c r="AF7" s="1739"/>
    </row>
    <row r="8" spans="1:38" ht="27" customHeight="1" x14ac:dyDescent="0.2">
      <c r="A8" s="1977" t="s">
        <v>736</v>
      </c>
      <c r="B8" s="1977"/>
      <c r="C8" s="1977"/>
      <c r="D8" s="1977"/>
      <c r="E8" s="1739"/>
      <c r="F8" s="1739"/>
      <c r="G8" s="1732"/>
      <c r="H8" s="1732"/>
      <c r="I8" s="1739"/>
      <c r="J8" s="1739"/>
      <c r="K8" s="1732"/>
      <c r="L8" s="1732"/>
      <c r="M8" s="1739"/>
      <c r="N8" s="1739"/>
      <c r="O8" s="1739"/>
      <c r="P8" s="149"/>
      <c r="Q8" s="1257"/>
      <c r="R8" s="1739"/>
      <c r="S8" s="1739"/>
      <c r="T8" s="1739"/>
      <c r="U8" s="1739"/>
      <c r="V8" s="1739"/>
      <c r="W8" s="1739"/>
      <c r="X8" s="1739"/>
      <c r="Y8" s="1739"/>
      <c r="Z8" s="1739"/>
      <c r="AA8" s="1739"/>
      <c r="AB8" s="1739"/>
      <c r="AC8" s="1739"/>
      <c r="AD8" s="1739"/>
      <c r="AE8" s="1739"/>
      <c r="AF8" s="1739"/>
    </row>
    <row r="9" spans="1:38" ht="27" customHeight="1" x14ac:dyDescent="0.2">
      <c r="A9" s="1408" t="s">
        <v>737</v>
      </c>
      <c r="B9" s="1733"/>
      <c r="C9" s="1733"/>
      <c r="D9" s="1733"/>
      <c r="E9" s="1739"/>
      <c r="F9" s="1739"/>
      <c r="G9" s="1732"/>
      <c r="H9" s="1732"/>
      <c r="I9" s="1739"/>
      <c r="J9" s="1739"/>
      <c r="K9" s="1732"/>
      <c r="L9" s="1732"/>
      <c r="M9" s="1739"/>
      <c r="N9" s="1739"/>
      <c r="O9" s="1739"/>
      <c r="P9" s="149"/>
      <c r="Q9" s="1257"/>
      <c r="R9" s="1739"/>
      <c r="S9" s="1739"/>
      <c r="T9" s="1739"/>
      <c r="U9" s="1739"/>
      <c r="V9" s="1739"/>
      <c r="W9" s="1739"/>
      <c r="X9" s="1739"/>
      <c r="Y9" s="1739"/>
      <c r="Z9" s="1739"/>
      <c r="AA9" s="1739"/>
      <c r="AB9" s="1739"/>
      <c r="AC9" s="1739"/>
      <c r="AD9" s="1739"/>
      <c r="AE9" s="1739"/>
      <c r="AF9" s="1739"/>
    </row>
    <row r="10" spans="1:38" ht="27" customHeight="1" x14ac:dyDescent="0.2">
      <c r="A10" s="1976"/>
      <c r="B10" s="1976"/>
      <c r="C10" s="1976"/>
      <c r="D10" s="1976"/>
      <c r="E10" s="1734"/>
      <c r="F10" s="1739"/>
      <c r="G10" s="1732"/>
      <c r="H10" s="1732"/>
      <c r="I10" s="1739"/>
      <c r="J10" s="1739"/>
      <c r="K10" s="1732"/>
      <c r="L10" s="1732"/>
      <c r="M10" s="1739"/>
      <c r="N10" s="1739"/>
      <c r="O10" s="1739"/>
      <c r="P10" s="149"/>
      <c r="Q10" s="1257"/>
      <c r="R10" s="1739"/>
      <c r="S10" s="1739"/>
      <c r="T10" s="1739"/>
      <c r="U10" s="1739"/>
      <c r="V10" s="1739"/>
      <c r="W10" s="1739"/>
      <c r="X10" s="1739"/>
      <c r="Y10" s="1739"/>
      <c r="Z10" s="1739"/>
      <c r="AA10" s="1739"/>
      <c r="AB10" s="1739"/>
      <c r="AC10" s="1739"/>
      <c r="AD10" s="1739"/>
      <c r="AE10" s="1739"/>
      <c r="AF10" s="1739"/>
    </row>
    <row r="11" spans="1:38" ht="27" customHeight="1" x14ac:dyDescent="0.2">
      <c r="A11" s="1976" t="s">
        <v>802</v>
      </c>
      <c r="B11" s="1976"/>
      <c r="C11" s="1976"/>
      <c r="D11" s="1976"/>
      <c r="E11" s="1739"/>
      <c r="F11" s="1739"/>
      <c r="G11" s="1732"/>
      <c r="H11" s="1732"/>
      <c r="I11" s="1739"/>
      <c r="J11" s="1739"/>
      <c r="K11" s="1732"/>
      <c r="L11" s="1732"/>
      <c r="M11" s="1739"/>
      <c r="N11" s="1739"/>
      <c r="O11" s="1739"/>
      <c r="P11" s="149"/>
      <c r="Q11" s="1257"/>
      <c r="R11" s="1739"/>
      <c r="S11" s="1739"/>
      <c r="T11" s="1739"/>
      <c r="U11" s="1739"/>
      <c r="V11" s="1739"/>
      <c r="W11" s="1739"/>
      <c r="X11" s="1739"/>
      <c r="Y11" s="1739"/>
      <c r="Z11" s="1739"/>
      <c r="AA11" s="1739"/>
      <c r="AB11" s="1739"/>
      <c r="AC11" s="1739"/>
      <c r="AD11" s="1739"/>
      <c r="AE11" s="1739"/>
      <c r="AF11" s="1739"/>
    </row>
    <row r="12" spans="1:38" ht="27" customHeight="1" x14ac:dyDescent="0.2">
      <c r="A12" s="1735"/>
      <c r="B12" s="1735"/>
      <c r="C12" s="1735"/>
      <c r="D12" s="1735"/>
      <c r="E12" s="1739"/>
      <c r="F12" s="1739"/>
      <c r="G12" s="1732"/>
      <c r="H12" s="1732"/>
      <c r="I12" s="1739"/>
      <c r="J12" s="1739"/>
      <c r="K12" s="1732"/>
      <c r="L12" s="1732"/>
      <c r="M12" s="1739"/>
      <c r="N12" s="1739"/>
      <c r="O12" s="1739"/>
      <c r="P12" s="149"/>
      <c r="Q12" s="1257"/>
      <c r="R12" s="1739"/>
      <c r="S12" s="1739"/>
      <c r="T12" s="1739"/>
      <c r="U12" s="1739"/>
      <c r="V12" s="1739"/>
      <c r="W12" s="1739"/>
      <c r="X12" s="1739"/>
      <c r="Y12" s="1739"/>
      <c r="Z12" s="1739"/>
      <c r="AA12" s="1739"/>
      <c r="AB12" s="1739"/>
      <c r="AC12" s="1739"/>
      <c r="AD12" s="1739"/>
      <c r="AE12" s="1739"/>
      <c r="AF12" s="1739"/>
    </row>
    <row r="13" spans="1:38" ht="32.25" customHeight="1" x14ac:dyDescent="0.25">
      <c r="A13" s="1976"/>
      <c r="B13" s="1976"/>
      <c r="C13" s="1976"/>
      <c r="D13" s="1976"/>
      <c r="E13" s="1734"/>
      <c r="F13" s="1739"/>
      <c r="G13" s="1732"/>
      <c r="H13" s="1732"/>
      <c r="I13" s="140"/>
      <c r="J13" s="1739"/>
      <c r="K13" s="1732"/>
      <c r="L13" s="1732"/>
      <c r="M13" s="1739"/>
      <c r="N13" s="1739"/>
      <c r="O13" s="1739"/>
      <c r="P13" s="149"/>
      <c r="Q13" s="1257"/>
      <c r="R13" s="1739"/>
      <c r="S13" s="1739"/>
      <c r="T13" s="1739"/>
      <c r="U13" s="1739"/>
      <c r="V13" s="1739"/>
      <c r="W13" s="147"/>
      <c r="X13" s="1739"/>
      <c r="Y13" s="1739"/>
      <c r="Z13" s="148"/>
      <c r="AA13" s="148"/>
      <c r="AB13" s="148"/>
      <c r="AC13" s="1259"/>
      <c r="AF13" s="1260"/>
      <c r="AG13" s="151"/>
      <c r="AH13" s="1260"/>
      <c r="AL13" s="1259"/>
    </row>
    <row r="14" spans="1:38" ht="28.5" customHeight="1" x14ac:dyDescent="0.2">
      <c r="B14" s="1732"/>
      <c r="C14" s="1732"/>
      <c r="D14" s="1732"/>
      <c r="E14" s="1739"/>
      <c r="F14" s="1739"/>
      <c r="G14" s="1732"/>
      <c r="H14" s="1962" t="s">
        <v>65</v>
      </c>
      <c r="I14" s="1963"/>
      <c r="J14" s="1963"/>
      <c r="K14" s="1963"/>
      <c r="L14" s="1963"/>
      <c r="M14" s="1963"/>
      <c r="N14" s="1963"/>
      <c r="O14" s="1963"/>
      <c r="P14" s="1963"/>
      <c r="Q14" s="1963"/>
      <c r="R14" s="1963"/>
      <c r="S14" s="1963"/>
      <c r="T14" s="1963"/>
      <c r="U14" s="1963"/>
      <c r="V14" s="1963"/>
      <c r="W14" s="1963"/>
      <c r="X14" s="1963"/>
      <c r="Y14" s="1739"/>
      <c r="Z14" s="148"/>
      <c r="AA14" s="148"/>
      <c r="AB14" s="148"/>
      <c r="AC14" s="148"/>
    </row>
    <row r="15" spans="1:38" ht="31.5" customHeight="1" thickBot="1" x14ac:dyDescent="0.25">
      <c r="B15" s="1732"/>
      <c r="C15" s="1732"/>
      <c r="D15" s="1732"/>
      <c r="E15" s="1739"/>
      <c r="F15" s="1739"/>
      <c r="G15" s="1732"/>
      <c r="H15" s="1732"/>
      <c r="I15" s="140"/>
      <c r="J15" s="1964" t="s">
        <v>804</v>
      </c>
      <c r="K15" s="1965"/>
      <c r="L15" s="1965"/>
      <c r="M15" s="1965"/>
      <c r="N15" s="1965"/>
      <c r="O15" s="1965"/>
      <c r="P15" s="1965"/>
      <c r="Q15" s="1965"/>
      <c r="R15" s="1965"/>
      <c r="S15" s="1965"/>
      <c r="T15" s="1965"/>
      <c r="U15" s="1965"/>
      <c r="V15" s="1965"/>
      <c r="W15" s="1965"/>
      <c r="X15" s="1739"/>
      <c r="Y15" s="1739"/>
      <c r="Z15" s="148"/>
      <c r="AA15" s="148"/>
      <c r="AB15" s="148"/>
      <c r="AC15" s="148"/>
      <c r="AD15" s="1739"/>
      <c r="AE15" s="1739"/>
      <c r="AF15" s="1739"/>
      <c r="AG15" s="151"/>
    </row>
    <row r="16" spans="1:38" ht="18.75" customHeight="1" x14ac:dyDescent="0.2">
      <c r="A16" s="1969" t="s">
        <v>1</v>
      </c>
      <c r="B16" s="1971" t="s">
        <v>664</v>
      </c>
      <c r="C16" s="1973" t="s">
        <v>8</v>
      </c>
      <c r="D16" s="1992" t="s">
        <v>719</v>
      </c>
      <c r="E16" s="1994" t="s">
        <v>720</v>
      </c>
      <c r="F16" s="1992" t="s">
        <v>721</v>
      </c>
      <c r="G16" s="1973" t="s">
        <v>667</v>
      </c>
      <c r="H16" s="1988" t="s">
        <v>669</v>
      </c>
      <c r="I16" s="1988"/>
      <c r="J16" s="1988"/>
      <c r="K16" s="1988"/>
      <c r="L16" s="1988"/>
      <c r="M16" s="1988"/>
      <c r="N16" s="1988"/>
      <c r="O16" s="1988"/>
      <c r="P16" s="1988"/>
      <c r="Q16" s="1988"/>
      <c r="R16" s="1988"/>
      <c r="S16" s="1988"/>
      <c r="T16" s="1988"/>
      <c r="U16" s="1988"/>
      <c r="V16" s="1988"/>
      <c r="W16" s="1989"/>
      <c r="X16" s="1978" t="s">
        <v>22</v>
      </c>
      <c r="Y16" s="1979"/>
      <c r="Z16" s="1979"/>
      <c r="AA16" s="1979"/>
      <c r="AB16" s="1979"/>
      <c r="AC16" s="1979"/>
      <c r="AD16" s="1979"/>
      <c r="AE16" s="1979"/>
      <c r="AF16" s="1979"/>
      <c r="AG16" s="1980"/>
    </row>
    <row r="17" spans="1:41" ht="168" customHeight="1" x14ac:dyDescent="0.2">
      <c r="A17" s="1970"/>
      <c r="B17" s="1972"/>
      <c r="C17" s="1968"/>
      <c r="D17" s="1993"/>
      <c r="E17" s="1995"/>
      <c r="F17" s="1993"/>
      <c r="G17" s="1968"/>
      <c r="H17" s="1990" t="s">
        <v>668</v>
      </c>
      <c r="I17" s="1262" t="s">
        <v>670</v>
      </c>
      <c r="J17" s="1740" t="s">
        <v>671</v>
      </c>
      <c r="K17" s="1972" t="s">
        <v>672</v>
      </c>
      <c r="L17" s="1972"/>
      <c r="M17" s="1972" t="s">
        <v>10</v>
      </c>
      <c r="N17" s="1972"/>
      <c r="O17" s="1968" t="s">
        <v>11</v>
      </c>
      <c r="P17" s="1968"/>
      <c r="Q17" s="1264" t="s">
        <v>674</v>
      </c>
      <c r="R17" s="1972" t="s">
        <v>15</v>
      </c>
      <c r="S17" s="1975"/>
      <c r="T17" s="1975"/>
      <c r="U17" s="1968" t="s">
        <v>100</v>
      </c>
      <c r="V17" s="1968" t="s">
        <v>16</v>
      </c>
      <c r="W17" s="1987" t="s">
        <v>677</v>
      </c>
      <c r="X17" s="1451" t="s">
        <v>671</v>
      </c>
      <c r="Y17" s="1968" t="s">
        <v>24</v>
      </c>
      <c r="Z17" s="1972" t="s">
        <v>678</v>
      </c>
      <c r="AA17" s="1975"/>
      <c r="AB17" s="1975"/>
      <c r="AC17" s="1968" t="s">
        <v>100</v>
      </c>
      <c r="AD17" s="1968" t="s">
        <v>16</v>
      </c>
      <c r="AE17" s="1740" t="s">
        <v>18</v>
      </c>
      <c r="AF17" s="1740" t="s">
        <v>20</v>
      </c>
      <c r="AG17" s="1967" t="s">
        <v>21</v>
      </c>
      <c r="AH17" s="1267">
        <v>45352</v>
      </c>
      <c r="AN17" s="1966" t="s">
        <v>711</v>
      </c>
      <c r="AO17" s="1966" t="s">
        <v>712</v>
      </c>
    </row>
    <row r="18" spans="1:41" ht="25.5" customHeight="1" x14ac:dyDescent="0.2">
      <c r="A18" s="1970"/>
      <c r="B18" s="1972"/>
      <c r="C18" s="1968"/>
      <c r="D18" s="1991"/>
      <c r="E18" s="1996"/>
      <c r="F18" s="1991"/>
      <c r="G18" s="1968"/>
      <c r="H18" s="1991"/>
      <c r="I18" s="1743" t="s">
        <v>3</v>
      </c>
      <c r="J18" s="1743" t="s">
        <v>7</v>
      </c>
      <c r="K18" s="1743" t="s">
        <v>30</v>
      </c>
      <c r="L18" s="1743" t="s">
        <v>29</v>
      </c>
      <c r="M18" s="1743" t="s">
        <v>31</v>
      </c>
      <c r="N18" s="1743" t="s">
        <v>32</v>
      </c>
      <c r="O18" s="1743" t="s">
        <v>12</v>
      </c>
      <c r="P18" s="1269" t="s">
        <v>673</v>
      </c>
      <c r="Q18" s="1270" t="s">
        <v>26</v>
      </c>
      <c r="R18" s="1743" t="s">
        <v>675</v>
      </c>
      <c r="S18" s="1743" t="s">
        <v>25</v>
      </c>
      <c r="T18" s="1743" t="s">
        <v>676</v>
      </c>
      <c r="U18" s="1968"/>
      <c r="V18" s="1968"/>
      <c r="W18" s="1987"/>
      <c r="X18" s="1410" t="s">
        <v>7</v>
      </c>
      <c r="Y18" s="1968"/>
      <c r="Z18" s="1743" t="s">
        <v>14</v>
      </c>
      <c r="AA18" s="1743" t="s">
        <v>679</v>
      </c>
      <c r="AB18" s="1743" t="s">
        <v>113</v>
      </c>
      <c r="AC18" s="1968"/>
      <c r="AD18" s="1968"/>
      <c r="AE18" s="1743" t="s">
        <v>19</v>
      </c>
      <c r="AF18" s="1743" t="s">
        <v>680</v>
      </c>
      <c r="AG18" s="1967"/>
      <c r="AH18" s="1252" t="s">
        <v>657</v>
      </c>
      <c r="AI18" s="1269" t="s">
        <v>636</v>
      </c>
      <c r="AJ18" s="1269" t="s">
        <v>654</v>
      </c>
      <c r="AK18" s="1269" t="s">
        <v>653</v>
      </c>
      <c r="AL18" s="1269" t="s">
        <v>655</v>
      </c>
      <c r="AM18" s="1272" t="s">
        <v>710</v>
      </c>
      <c r="AN18" s="1966"/>
      <c r="AO18" s="1966"/>
    </row>
    <row r="19" spans="1:41" ht="18.75" customHeight="1" x14ac:dyDescent="0.2">
      <c r="A19" s="1273">
        <v>1</v>
      </c>
      <c r="B19" s="1274" t="s">
        <v>139</v>
      </c>
      <c r="C19" s="241" t="s">
        <v>46</v>
      </c>
      <c r="D19" s="241">
        <v>610.5</v>
      </c>
      <c r="E19" s="241" t="s">
        <v>571</v>
      </c>
      <c r="F19" s="241">
        <v>177.8</v>
      </c>
      <c r="G19" s="241" t="s">
        <v>28</v>
      </c>
      <c r="H19" s="1275" t="s">
        <v>556</v>
      </c>
      <c r="I19" s="1743">
        <v>557.80999999999995</v>
      </c>
      <c r="J19" s="1448">
        <v>180</v>
      </c>
      <c r="K19" s="241"/>
      <c r="L19" s="1277">
        <v>270</v>
      </c>
      <c r="M19" s="241"/>
      <c r="N19" s="1278">
        <v>2.2000000000000002</v>
      </c>
      <c r="O19" s="241"/>
      <c r="P19" s="1278">
        <f>AI19</f>
        <v>30.142696636831083</v>
      </c>
      <c r="Q19" s="1278">
        <f>LEFT(H19,(FIND("Е",H19,1)-1))*J19/100</f>
        <v>23.4</v>
      </c>
      <c r="R19" s="244">
        <v>1.5489999999999999</v>
      </c>
      <c r="S19" s="244">
        <v>9.9429999999999996</v>
      </c>
      <c r="T19" s="1277">
        <v>8.5</v>
      </c>
      <c r="U19" s="1278">
        <f t="shared" ref="U19:U37" si="0">IF(R19=0,0,T19/R19)</f>
        <v>5.4874112330535834</v>
      </c>
      <c r="V19" s="1278">
        <f>(S19-R19)/S19*100</f>
        <v>84.421200844815445</v>
      </c>
      <c r="W19" s="1279">
        <v>0.2</v>
      </c>
      <c r="X19" s="1449">
        <v>180</v>
      </c>
      <c r="Y19" s="1277">
        <f>IF(S19=0,0,S19/Q19)*100</f>
        <v>42.491452991452995</v>
      </c>
      <c r="Z19" s="244">
        <f t="shared" ref="Z19:AB36" si="1">R19*0.988</f>
        <v>1.5304119999999999</v>
      </c>
      <c r="AA19" s="244">
        <f t="shared" si="1"/>
        <v>9.8236840000000001</v>
      </c>
      <c r="AB19" s="1277">
        <f>T19*0.988</f>
        <v>8.3979999999999997</v>
      </c>
      <c r="AC19" s="244">
        <f>U19</f>
        <v>5.4874112330535834</v>
      </c>
      <c r="AD19" s="1277">
        <f>V19</f>
        <v>84.421200844815445</v>
      </c>
      <c r="AE19" s="241">
        <f t="shared" ref="AE19:AE41" si="2">(DAY(EOMONTH($AH$17,0))-AH19)</f>
        <v>31</v>
      </c>
      <c r="AF19" s="244">
        <f t="shared" ref="AF19:AF63" si="3">Z19*AE19</f>
        <v>47.442771999999998</v>
      </c>
      <c r="AG19" s="1281"/>
      <c r="AI19" s="1282">
        <f t="shared" ref="AI19:AI82" si="4">(9.81*(AJ19*(100%-(V19/100))+AK19*(V19/100))*(I19-L19)+N19*101.325+9.81*(AL19)*L19)/101.325</f>
        <v>30.142696636831083</v>
      </c>
      <c r="AJ19" s="1252">
        <v>0.91579999999999995</v>
      </c>
      <c r="AK19" s="1252">
        <v>1.018</v>
      </c>
      <c r="AL19" s="1252">
        <v>7.5858300000000007E-4</v>
      </c>
      <c r="AM19" s="1252">
        <f>DAY(EOMONTH($AH$17,0))</f>
        <v>31</v>
      </c>
      <c r="AN19" s="1252">
        <v>39369</v>
      </c>
      <c r="AO19" s="1252">
        <f>COUNTIF(R19:R105, "&lt;200")</f>
        <v>65</v>
      </c>
    </row>
    <row r="20" spans="1:41" ht="18.75" customHeight="1" x14ac:dyDescent="0.2">
      <c r="A20" s="1273">
        <v>2</v>
      </c>
      <c r="B20" s="1274" t="s">
        <v>140</v>
      </c>
      <c r="C20" s="241" t="s">
        <v>46</v>
      </c>
      <c r="D20" s="241">
        <v>623.5</v>
      </c>
      <c r="E20" s="241" t="s">
        <v>585</v>
      </c>
      <c r="F20" s="241">
        <v>177.8</v>
      </c>
      <c r="G20" s="241" t="s">
        <v>28</v>
      </c>
      <c r="H20" s="241" t="s">
        <v>683</v>
      </c>
      <c r="I20" s="1743">
        <v>563.55999999999995</v>
      </c>
      <c r="J20" s="241"/>
      <c r="K20" s="241">
        <v>164</v>
      </c>
      <c r="L20" s="1277"/>
      <c r="M20" s="241">
        <v>1.2</v>
      </c>
      <c r="N20" s="1278"/>
      <c r="O20" s="241"/>
      <c r="P20" s="1278"/>
      <c r="Q20" s="1278"/>
      <c r="R20" s="244"/>
      <c r="S20" s="244"/>
      <c r="T20" s="1277"/>
      <c r="U20" s="1278"/>
      <c r="V20" s="1278"/>
      <c r="W20" s="1279"/>
      <c r="X20" s="1316"/>
      <c r="Y20" s="1277">
        <f t="shared" ref="Y20:Y83" si="5">IF(S20=0,0,S20/Q20)*100</f>
        <v>0</v>
      </c>
      <c r="Z20" s="244"/>
      <c r="AA20" s="244"/>
      <c r="AB20" s="1277"/>
      <c r="AC20" s="244"/>
      <c r="AD20" s="1277"/>
      <c r="AE20" s="241"/>
      <c r="AF20" s="244"/>
      <c r="AG20" s="1285" t="s">
        <v>716</v>
      </c>
      <c r="AI20" s="1282">
        <f t="shared" si="4"/>
        <v>49.509818057142851</v>
      </c>
      <c r="AJ20" s="1252">
        <v>0.90739999999999998</v>
      </c>
      <c r="AK20" s="1252">
        <v>1.024</v>
      </c>
      <c r="AL20" s="1252">
        <v>6.9596980000000001E-4</v>
      </c>
    </row>
    <row r="21" spans="1:41" ht="18.75" customHeight="1" x14ac:dyDescent="0.2">
      <c r="A21" s="1273">
        <v>3</v>
      </c>
      <c r="B21" s="1274" t="s">
        <v>141</v>
      </c>
      <c r="C21" s="241" t="s">
        <v>46</v>
      </c>
      <c r="D21" s="241">
        <v>670</v>
      </c>
      <c r="E21" s="241" t="s">
        <v>68</v>
      </c>
      <c r="F21" s="241">
        <v>177.8</v>
      </c>
      <c r="G21" s="241" t="s">
        <v>28</v>
      </c>
      <c r="H21" s="241" t="s">
        <v>763</v>
      </c>
      <c r="I21" s="1746">
        <v>528.5</v>
      </c>
      <c r="J21" s="241">
        <v>105</v>
      </c>
      <c r="K21" s="241"/>
      <c r="L21" s="1277">
        <v>431</v>
      </c>
      <c r="M21" s="241"/>
      <c r="N21" s="1278">
        <v>5.5</v>
      </c>
      <c r="O21" s="241"/>
      <c r="P21" s="1278">
        <f t="shared" ref="P21:P84" si="6">AI21</f>
        <v>14.458337370783042</v>
      </c>
      <c r="Q21" s="1278">
        <f>RIGHT(H21,(FIND("T",H21,1)-0))*J21/100</f>
        <v>21</v>
      </c>
      <c r="R21" s="244">
        <v>8.3719999999999999</v>
      </c>
      <c r="S21" s="244">
        <v>15.01</v>
      </c>
      <c r="T21" s="1277">
        <v>15.5</v>
      </c>
      <c r="U21" s="1278">
        <f t="shared" si="0"/>
        <v>1.8514094601051123</v>
      </c>
      <c r="V21" s="1278">
        <f t="shared" ref="V21:V55" si="7">(S21-R21)/S21*100</f>
        <v>44.223850766155898</v>
      </c>
      <c r="W21" s="1279">
        <v>0.2</v>
      </c>
      <c r="X21" s="1316">
        <v>105</v>
      </c>
      <c r="Y21" s="1277">
        <f t="shared" si="5"/>
        <v>71.476190476190467</v>
      </c>
      <c r="Z21" s="244">
        <f t="shared" si="1"/>
        <v>8.2715359999999993</v>
      </c>
      <c r="AA21" s="244">
        <f t="shared" si="1"/>
        <v>14.829879999999999</v>
      </c>
      <c r="AB21" s="1277">
        <f t="shared" si="1"/>
        <v>15.314</v>
      </c>
      <c r="AC21" s="244">
        <f t="shared" ref="AC21:AD36" si="8">U21</f>
        <v>1.8514094601051123</v>
      </c>
      <c r="AD21" s="1277">
        <f t="shared" si="8"/>
        <v>44.223850766155898</v>
      </c>
      <c r="AE21" s="241">
        <f t="shared" si="2"/>
        <v>31</v>
      </c>
      <c r="AF21" s="244">
        <f t="shared" si="3"/>
        <v>256.41761599999995</v>
      </c>
      <c r="AG21" s="1281"/>
      <c r="AI21" s="1282">
        <f t="shared" si="4"/>
        <v>14.458337370783042</v>
      </c>
      <c r="AJ21" s="1252">
        <v>0.87370000000000003</v>
      </c>
      <c r="AK21" s="1252">
        <v>1.0349999999999999</v>
      </c>
      <c r="AL21" s="1252">
        <v>8.9946269999999998E-4</v>
      </c>
    </row>
    <row r="22" spans="1:41" ht="18.75" customHeight="1" x14ac:dyDescent="0.2">
      <c r="A22" s="1273">
        <v>4</v>
      </c>
      <c r="B22" s="1274" t="s">
        <v>142</v>
      </c>
      <c r="C22" s="241" t="s">
        <v>46</v>
      </c>
      <c r="D22" s="241">
        <v>656</v>
      </c>
      <c r="E22" s="241" t="s">
        <v>481</v>
      </c>
      <c r="F22" s="241">
        <v>177.8</v>
      </c>
      <c r="G22" s="241" t="s">
        <v>28</v>
      </c>
      <c r="H22" s="241" t="s">
        <v>685</v>
      </c>
      <c r="I22" s="1746">
        <v>544.29999999999995</v>
      </c>
      <c r="J22" s="241">
        <v>195</v>
      </c>
      <c r="K22" s="241"/>
      <c r="L22" s="1277">
        <v>437</v>
      </c>
      <c r="M22" s="241"/>
      <c r="N22" s="1278">
        <v>3.3</v>
      </c>
      <c r="O22" s="241"/>
      <c r="P22" s="1278">
        <f t="shared" si="6"/>
        <v>13.25387780853862</v>
      </c>
      <c r="Q22" s="1278">
        <f t="shared" ref="Q22:Q27" si="9">RIGHT(H22,(FIND("T",H22,1)-0))*J22/100</f>
        <v>27.3</v>
      </c>
      <c r="R22" s="244">
        <v>8.8569999999999993</v>
      </c>
      <c r="S22" s="244">
        <v>17.058</v>
      </c>
      <c r="T22" s="1277">
        <v>54.5</v>
      </c>
      <c r="U22" s="1278">
        <f t="shared" si="0"/>
        <v>6.1533250536298976</v>
      </c>
      <c r="V22" s="1278">
        <f t="shared" si="7"/>
        <v>48.077148551999066</v>
      </c>
      <c r="W22" s="1279">
        <v>0.23</v>
      </c>
      <c r="X22" s="1316">
        <v>195</v>
      </c>
      <c r="Y22" s="1277">
        <f t="shared" si="5"/>
        <v>62.483516483516475</v>
      </c>
      <c r="Z22" s="244">
        <f t="shared" si="1"/>
        <v>8.7507159999999988</v>
      </c>
      <c r="AA22" s="244">
        <f t="shared" si="1"/>
        <v>16.853304000000001</v>
      </c>
      <c r="AB22" s="1277">
        <f t="shared" si="1"/>
        <v>53.845999999999997</v>
      </c>
      <c r="AC22" s="244">
        <f t="shared" si="8"/>
        <v>6.1533250536298976</v>
      </c>
      <c r="AD22" s="1277">
        <f t="shared" si="8"/>
        <v>48.077148551999066</v>
      </c>
      <c r="AE22" s="241">
        <f t="shared" si="2"/>
        <v>31</v>
      </c>
      <c r="AF22" s="244">
        <f t="shared" si="3"/>
        <v>271.27219599999995</v>
      </c>
      <c r="AG22" s="1281"/>
      <c r="AI22" s="1282">
        <f t="shared" si="4"/>
        <v>13.25387780853862</v>
      </c>
      <c r="AJ22" s="1252">
        <v>0.89700000000000002</v>
      </c>
      <c r="AK22" s="1252">
        <v>1.018</v>
      </c>
      <c r="AL22" s="1252">
        <v>7.3450100000000003E-4</v>
      </c>
    </row>
    <row r="23" spans="1:41" ht="18.75" customHeight="1" x14ac:dyDescent="0.2">
      <c r="A23" s="1273">
        <v>5</v>
      </c>
      <c r="B23" s="1274" t="s">
        <v>143</v>
      </c>
      <c r="C23" s="241" t="s">
        <v>46</v>
      </c>
      <c r="D23" s="241">
        <v>576.62</v>
      </c>
      <c r="E23" s="241" t="s">
        <v>70</v>
      </c>
      <c r="F23" s="241">
        <v>177.8</v>
      </c>
      <c r="G23" s="241" t="s">
        <v>28</v>
      </c>
      <c r="H23" s="1299" t="s">
        <v>587</v>
      </c>
      <c r="I23" s="1746">
        <v>548.32000000000005</v>
      </c>
      <c r="J23" s="241">
        <v>110</v>
      </c>
      <c r="K23" s="241"/>
      <c r="L23" s="1277">
        <v>418</v>
      </c>
      <c r="M23" s="241"/>
      <c r="N23" s="1278">
        <v>1.6</v>
      </c>
      <c r="O23" s="241"/>
      <c r="P23" s="1278">
        <f t="shared" si="6"/>
        <v>13.365024844797524</v>
      </c>
      <c r="Q23" s="1278">
        <f t="shared" si="9"/>
        <v>15.4</v>
      </c>
      <c r="R23" s="244">
        <v>5.4619999999999997</v>
      </c>
      <c r="S23" s="244">
        <v>6.6890000000000001</v>
      </c>
      <c r="T23" s="1277">
        <v>16.5</v>
      </c>
      <c r="U23" s="1278">
        <f t="shared" si="0"/>
        <v>3.0208714756499453</v>
      </c>
      <c r="V23" s="1278">
        <f t="shared" si="7"/>
        <v>18.343549110479898</v>
      </c>
      <c r="W23" s="1279">
        <v>0.2</v>
      </c>
      <c r="X23" s="1316">
        <v>110</v>
      </c>
      <c r="Y23" s="1277">
        <f t="shared" si="5"/>
        <v>43.435064935064929</v>
      </c>
      <c r="Z23" s="244">
        <f t="shared" si="1"/>
        <v>5.3964559999999997</v>
      </c>
      <c r="AA23" s="244">
        <f t="shared" si="1"/>
        <v>6.6087319999999998</v>
      </c>
      <c r="AB23" s="1277">
        <f t="shared" si="1"/>
        <v>16.302</v>
      </c>
      <c r="AC23" s="244">
        <f t="shared" si="8"/>
        <v>3.0208714756499453</v>
      </c>
      <c r="AD23" s="1277">
        <f t="shared" si="8"/>
        <v>18.343549110479898</v>
      </c>
      <c r="AE23" s="241">
        <f t="shared" si="2"/>
        <v>31</v>
      </c>
      <c r="AF23" s="244">
        <f t="shared" si="3"/>
        <v>167.29013599999999</v>
      </c>
      <c r="AG23" s="1281"/>
      <c r="AI23" s="1282">
        <f t="shared" si="4"/>
        <v>13.365024844797524</v>
      </c>
      <c r="AJ23" s="1252">
        <v>0.90959999999999996</v>
      </c>
      <c r="AK23" s="1252">
        <v>1.02</v>
      </c>
      <c r="AL23" s="1252">
        <v>8.1276750000000011E-4</v>
      </c>
      <c r="AN23" s="1252">
        <v>43008</v>
      </c>
    </row>
    <row r="24" spans="1:41" ht="18.75" customHeight="1" x14ac:dyDescent="0.2">
      <c r="A24" s="1273">
        <v>6</v>
      </c>
      <c r="B24" s="1274" t="s">
        <v>144</v>
      </c>
      <c r="C24" s="241" t="s">
        <v>46</v>
      </c>
      <c r="D24" s="241">
        <v>648.48</v>
      </c>
      <c r="E24" s="241" t="s">
        <v>460</v>
      </c>
      <c r="F24" s="241">
        <v>177.8</v>
      </c>
      <c r="G24" s="241" t="s">
        <v>28</v>
      </c>
      <c r="H24" s="1299" t="s">
        <v>587</v>
      </c>
      <c r="I24" s="1746">
        <v>564.33000000000004</v>
      </c>
      <c r="J24" s="241">
        <v>125</v>
      </c>
      <c r="K24" s="241"/>
      <c r="L24" s="1277">
        <v>417</v>
      </c>
      <c r="M24" s="241"/>
      <c r="N24" s="1278">
        <v>1.4</v>
      </c>
      <c r="O24" s="241"/>
      <c r="P24" s="1278">
        <f t="shared" si="6"/>
        <v>14.983534976607237</v>
      </c>
      <c r="Q24" s="1278">
        <f t="shared" si="9"/>
        <v>17.5</v>
      </c>
      <c r="R24" s="244">
        <v>3.7160000000000002</v>
      </c>
      <c r="S24" s="244">
        <v>4.7039999999999997</v>
      </c>
      <c r="T24" s="1277">
        <v>11.5</v>
      </c>
      <c r="U24" s="1278">
        <f t="shared" si="0"/>
        <v>3.0947255113024754</v>
      </c>
      <c r="V24" s="1278">
        <f t="shared" si="7"/>
        <v>21.00340136054421</v>
      </c>
      <c r="W24" s="1279">
        <v>0.2</v>
      </c>
      <c r="X24" s="1316">
        <v>125</v>
      </c>
      <c r="Y24" s="1277">
        <f t="shared" si="5"/>
        <v>26.88</v>
      </c>
      <c r="Z24" s="244">
        <f t="shared" si="1"/>
        <v>3.671408</v>
      </c>
      <c r="AA24" s="244">
        <f t="shared" si="1"/>
        <v>4.6475520000000001</v>
      </c>
      <c r="AB24" s="1277">
        <f t="shared" si="1"/>
        <v>11.362</v>
      </c>
      <c r="AC24" s="244">
        <f t="shared" si="8"/>
        <v>3.0947255113024754</v>
      </c>
      <c r="AD24" s="1277">
        <f t="shared" si="8"/>
        <v>21.00340136054421</v>
      </c>
      <c r="AE24" s="241">
        <f t="shared" si="2"/>
        <v>31</v>
      </c>
      <c r="AF24" s="244">
        <f t="shared" si="3"/>
        <v>113.813648</v>
      </c>
      <c r="AG24" s="1281"/>
      <c r="AI24" s="1282">
        <f t="shared" si="4"/>
        <v>14.983534976607237</v>
      </c>
      <c r="AJ24" s="1252">
        <v>0.92820000000000003</v>
      </c>
      <c r="AK24" s="1252">
        <v>1.028</v>
      </c>
      <c r="AL24" s="1252">
        <v>1.1053638000000001E-3</v>
      </c>
      <c r="AN24" s="1252">
        <f>AN19/AN23</f>
        <v>0.9153878348214286</v>
      </c>
    </row>
    <row r="25" spans="1:41" ht="18.75" customHeight="1" x14ac:dyDescent="0.2">
      <c r="A25" s="1273">
        <v>7</v>
      </c>
      <c r="B25" s="1274" t="s">
        <v>145</v>
      </c>
      <c r="C25" s="241" t="s">
        <v>46</v>
      </c>
      <c r="D25" s="241">
        <v>676.7</v>
      </c>
      <c r="E25" s="241" t="s">
        <v>72</v>
      </c>
      <c r="F25" s="241">
        <v>177.8</v>
      </c>
      <c r="G25" s="241" t="s">
        <v>28</v>
      </c>
      <c r="H25" s="241" t="s">
        <v>588</v>
      </c>
      <c r="I25" s="1746">
        <v>540.01</v>
      </c>
      <c r="J25" s="241">
        <v>105</v>
      </c>
      <c r="K25" s="241"/>
      <c r="L25" s="1277">
        <v>413</v>
      </c>
      <c r="M25" s="241"/>
      <c r="N25" s="1278">
        <v>1.8</v>
      </c>
      <c r="O25" s="241"/>
      <c r="P25" s="1278">
        <f t="shared" si="6"/>
        <v>13.665131145158627</v>
      </c>
      <c r="Q25" s="1278">
        <f t="shared" si="9"/>
        <v>14.7</v>
      </c>
      <c r="R25" s="244">
        <v>4.0730000000000004</v>
      </c>
      <c r="S25" s="244">
        <v>7.5540000000000003</v>
      </c>
      <c r="T25" s="1277">
        <v>11.5</v>
      </c>
      <c r="U25" s="1278">
        <f t="shared" si="0"/>
        <v>2.8234716425239377</v>
      </c>
      <c r="V25" s="1278">
        <f t="shared" si="7"/>
        <v>46.081546200688372</v>
      </c>
      <c r="W25" s="1279">
        <v>0.2</v>
      </c>
      <c r="X25" s="1316">
        <v>105</v>
      </c>
      <c r="Y25" s="1277">
        <f t="shared" si="5"/>
        <v>51.387755102040821</v>
      </c>
      <c r="Z25" s="244">
        <f t="shared" si="1"/>
        <v>4.0241240000000005</v>
      </c>
      <c r="AA25" s="244">
        <f t="shared" si="1"/>
        <v>7.4633520000000004</v>
      </c>
      <c r="AB25" s="1277">
        <f t="shared" si="1"/>
        <v>11.362</v>
      </c>
      <c r="AC25" s="244">
        <f t="shared" si="8"/>
        <v>2.8234716425239377</v>
      </c>
      <c r="AD25" s="1277">
        <f t="shared" si="8"/>
        <v>46.081546200688372</v>
      </c>
      <c r="AE25" s="241">
        <f t="shared" si="2"/>
        <v>31</v>
      </c>
      <c r="AF25" s="244">
        <f t="shared" si="3"/>
        <v>124.74784400000001</v>
      </c>
      <c r="AG25" s="1281"/>
      <c r="AI25" s="1282">
        <f t="shared" si="4"/>
        <v>13.665131145158627</v>
      </c>
      <c r="AJ25" s="1252">
        <v>0.91279999999999994</v>
      </c>
      <c r="AK25" s="1252">
        <v>1.0209999999999999</v>
      </c>
      <c r="AL25" s="1252">
        <v>6.8874520000000001E-4</v>
      </c>
    </row>
    <row r="26" spans="1:41" ht="18.75" customHeight="1" x14ac:dyDescent="0.2">
      <c r="A26" s="1273">
        <v>8</v>
      </c>
      <c r="B26" s="1274" t="s">
        <v>146</v>
      </c>
      <c r="C26" s="241" t="s">
        <v>46</v>
      </c>
      <c r="D26" s="241">
        <v>567</v>
      </c>
      <c r="E26" s="1300" t="s">
        <v>572</v>
      </c>
      <c r="F26" s="241">
        <v>177.8</v>
      </c>
      <c r="G26" s="241" t="s">
        <v>28</v>
      </c>
      <c r="H26" s="241" t="s">
        <v>717</v>
      </c>
      <c r="I26" s="1301">
        <v>552.25</v>
      </c>
      <c r="J26" s="241">
        <v>100</v>
      </c>
      <c r="K26" s="1302"/>
      <c r="L26" s="1277">
        <v>438</v>
      </c>
      <c r="M26" s="1302"/>
      <c r="N26" s="1278">
        <v>2.5</v>
      </c>
      <c r="O26" s="1302"/>
      <c r="P26" s="1278">
        <f t="shared" si="6"/>
        <v>13.303031063104692</v>
      </c>
      <c r="Q26" s="1278">
        <f t="shared" si="9"/>
        <v>20</v>
      </c>
      <c r="R26" s="244">
        <v>5.2240000000000002</v>
      </c>
      <c r="S26" s="244">
        <v>12.842000000000001</v>
      </c>
      <c r="T26" s="1277">
        <v>62</v>
      </c>
      <c r="U26" s="1278">
        <f t="shared" si="0"/>
        <v>11.868300153139357</v>
      </c>
      <c r="V26" s="1278">
        <f t="shared" si="7"/>
        <v>59.320978040803617</v>
      </c>
      <c r="W26" s="1279">
        <v>0.2</v>
      </c>
      <c r="X26" s="1316">
        <v>100</v>
      </c>
      <c r="Y26" s="1277">
        <f t="shared" si="5"/>
        <v>64.209999999999994</v>
      </c>
      <c r="Z26" s="244">
        <f t="shared" si="1"/>
        <v>5.1613120000000006</v>
      </c>
      <c r="AA26" s="244">
        <f t="shared" si="1"/>
        <v>12.687896</v>
      </c>
      <c r="AB26" s="1277">
        <f t="shared" si="1"/>
        <v>61.256</v>
      </c>
      <c r="AC26" s="244">
        <f t="shared" si="8"/>
        <v>11.868300153139357</v>
      </c>
      <c r="AD26" s="1277">
        <f t="shared" si="8"/>
        <v>59.320978040803617</v>
      </c>
      <c r="AE26" s="241">
        <f t="shared" si="2"/>
        <v>31</v>
      </c>
      <c r="AF26" s="244">
        <f t="shared" si="3"/>
        <v>160.00067200000001</v>
      </c>
      <c r="AG26" s="1281"/>
      <c r="AI26" s="1282">
        <f t="shared" si="4"/>
        <v>13.303031063104692</v>
      </c>
      <c r="AJ26" s="1252">
        <v>0.89900000000000002</v>
      </c>
      <c r="AK26" s="1252">
        <v>1.024</v>
      </c>
      <c r="AL26" s="1252">
        <v>9.1150370000000005E-4</v>
      </c>
    </row>
    <row r="27" spans="1:41" ht="18.75" customHeight="1" x14ac:dyDescent="0.2">
      <c r="A27" s="1273">
        <v>9</v>
      </c>
      <c r="B27" s="1274" t="s">
        <v>147</v>
      </c>
      <c r="C27" s="241" t="s">
        <v>46</v>
      </c>
      <c r="D27" s="241">
        <v>650.1</v>
      </c>
      <c r="E27" s="241" t="s">
        <v>74</v>
      </c>
      <c r="F27" s="241">
        <v>177.8</v>
      </c>
      <c r="G27" s="241" t="s">
        <v>28</v>
      </c>
      <c r="H27" s="241" t="s">
        <v>793</v>
      </c>
      <c r="I27" s="1746">
        <v>547.62</v>
      </c>
      <c r="J27" s="241">
        <v>100</v>
      </c>
      <c r="K27" s="241"/>
      <c r="L27" s="1277">
        <v>367</v>
      </c>
      <c r="M27" s="241"/>
      <c r="N27" s="1278">
        <v>1.8</v>
      </c>
      <c r="O27" s="241"/>
      <c r="P27" s="1278">
        <f t="shared" si="6"/>
        <v>18.954521261338979</v>
      </c>
      <c r="Q27" s="1278">
        <f t="shared" si="9"/>
        <v>14</v>
      </c>
      <c r="R27" s="244">
        <v>5.8620000000000001</v>
      </c>
      <c r="S27" s="244">
        <v>16.501000000000001</v>
      </c>
      <c r="T27" s="1277">
        <v>10.5</v>
      </c>
      <c r="U27" s="1278">
        <f t="shared" si="0"/>
        <v>1.7911975435005116</v>
      </c>
      <c r="V27" s="1278">
        <f t="shared" si="7"/>
        <v>64.474880310284234</v>
      </c>
      <c r="W27" s="1279">
        <v>0.2</v>
      </c>
      <c r="X27" s="1316">
        <v>100</v>
      </c>
      <c r="Y27" s="1277">
        <f t="shared" si="5"/>
        <v>117.86428571428573</v>
      </c>
      <c r="Z27" s="244">
        <f t="shared" si="1"/>
        <v>5.7916559999999997</v>
      </c>
      <c r="AA27" s="244">
        <f t="shared" si="1"/>
        <v>16.302988000000003</v>
      </c>
      <c r="AB27" s="1277">
        <f t="shared" si="1"/>
        <v>10.374000000000001</v>
      </c>
      <c r="AC27" s="244">
        <f t="shared" si="8"/>
        <v>1.7911975435005116</v>
      </c>
      <c r="AD27" s="1277">
        <f t="shared" si="8"/>
        <v>64.474880310284234</v>
      </c>
      <c r="AE27" s="241">
        <f t="shared" si="2"/>
        <v>31</v>
      </c>
      <c r="AF27" s="244">
        <f t="shared" si="3"/>
        <v>179.541336</v>
      </c>
      <c r="AG27" s="1281"/>
      <c r="AI27" s="1282">
        <f t="shared" si="4"/>
        <v>18.954521261338979</v>
      </c>
      <c r="AJ27" s="1252">
        <v>0.90369999999999995</v>
      </c>
      <c r="AK27" s="1252">
        <v>1.0209999999999999</v>
      </c>
      <c r="AL27" s="1252">
        <v>8.1276750000000011E-4</v>
      </c>
    </row>
    <row r="28" spans="1:41" ht="18" customHeight="1" x14ac:dyDescent="0.2">
      <c r="A28" s="1273">
        <v>10</v>
      </c>
      <c r="B28" s="1274" t="s">
        <v>148</v>
      </c>
      <c r="C28" s="241" t="s">
        <v>46</v>
      </c>
      <c r="D28" s="241">
        <v>640.20000000000005</v>
      </c>
      <c r="E28" s="241" t="s">
        <v>398</v>
      </c>
      <c r="F28" s="241">
        <v>177.8</v>
      </c>
      <c r="G28" s="241" t="s">
        <v>28</v>
      </c>
      <c r="H28" s="1404" t="s">
        <v>753</v>
      </c>
      <c r="I28" s="1746">
        <v>566.99</v>
      </c>
      <c r="J28" s="1448">
        <v>85</v>
      </c>
      <c r="K28" s="241"/>
      <c r="L28" s="1277">
        <v>333</v>
      </c>
      <c r="M28" s="241"/>
      <c r="N28" s="1278">
        <v>0.5</v>
      </c>
      <c r="O28" s="241"/>
      <c r="P28" s="1278">
        <f t="shared" si="6"/>
        <v>22.902478669793943</v>
      </c>
      <c r="Q28" s="1278">
        <f>J28*14/100</f>
        <v>11.9</v>
      </c>
      <c r="R28" s="244">
        <v>3.5950000000000002</v>
      </c>
      <c r="S28" s="244">
        <v>10.048999999999999</v>
      </c>
      <c r="T28" s="1277">
        <v>13.1</v>
      </c>
      <c r="U28" s="1278">
        <f t="shared" si="0"/>
        <v>3.6439499304589704</v>
      </c>
      <c r="V28" s="1278">
        <f t="shared" si="7"/>
        <v>64.225296049358136</v>
      </c>
      <c r="W28" s="1279">
        <v>0.2</v>
      </c>
      <c r="X28" s="1449">
        <v>85</v>
      </c>
      <c r="Y28" s="1277">
        <f t="shared" si="5"/>
        <v>84.445378151260499</v>
      </c>
      <c r="Z28" s="244">
        <f t="shared" si="1"/>
        <v>3.55186</v>
      </c>
      <c r="AA28" s="244">
        <f t="shared" si="1"/>
        <v>9.9284119999999998</v>
      </c>
      <c r="AB28" s="1277">
        <f t="shared" si="1"/>
        <v>12.9428</v>
      </c>
      <c r="AC28" s="244">
        <f t="shared" si="8"/>
        <v>3.6439499304589704</v>
      </c>
      <c r="AD28" s="1277">
        <f t="shared" si="8"/>
        <v>64.225296049358136</v>
      </c>
      <c r="AE28" s="241">
        <f t="shared" si="2"/>
        <v>31</v>
      </c>
      <c r="AF28" s="244">
        <f t="shared" si="3"/>
        <v>110.10766</v>
      </c>
      <c r="AG28" s="1285"/>
      <c r="AI28" s="1282">
        <f t="shared" si="4"/>
        <v>22.902478669793943</v>
      </c>
      <c r="AJ28" s="1252">
        <v>0.91020000000000001</v>
      </c>
      <c r="AK28" s="1252">
        <v>1.0309999999999999</v>
      </c>
      <c r="AL28" s="1252">
        <v>7.7447712000000004E-4</v>
      </c>
    </row>
    <row r="29" spans="1:41" ht="18.75" customHeight="1" x14ac:dyDescent="0.2">
      <c r="A29" s="1273">
        <v>11</v>
      </c>
      <c r="B29" s="1274" t="s">
        <v>149</v>
      </c>
      <c r="C29" s="241" t="s">
        <v>46</v>
      </c>
      <c r="D29" s="241">
        <v>606.29999999999995</v>
      </c>
      <c r="E29" s="241" t="s">
        <v>76</v>
      </c>
      <c r="F29" s="241">
        <v>177.8</v>
      </c>
      <c r="G29" s="241" t="s">
        <v>28</v>
      </c>
      <c r="H29" s="241" t="s">
        <v>487</v>
      </c>
      <c r="I29" s="1746">
        <v>593.29</v>
      </c>
      <c r="J29" s="241">
        <v>260</v>
      </c>
      <c r="K29" s="241"/>
      <c r="L29" s="1277">
        <v>334</v>
      </c>
      <c r="M29" s="241"/>
      <c r="N29" s="1278">
        <v>4.2</v>
      </c>
      <c r="O29" s="241"/>
      <c r="P29" s="1278">
        <f t="shared" si="6"/>
        <v>29.939505007441635</v>
      </c>
      <c r="Q29" s="1278">
        <f>(15/100)*J29</f>
        <v>39</v>
      </c>
      <c r="R29" s="244">
        <v>0.92300000000000004</v>
      </c>
      <c r="S29" s="244">
        <v>5.5609999999999999</v>
      </c>
      <c r="T29" s="1277">
        <v>25</v>
      </c>
      <c r="U29" s="1278">
        <f t="shared" si="0"/>
        <v>27.085590465872155</v>
      </c>
      <c r="V29" s="1278">
        <f t="shared" si="7"/>
        <v>83.402265779536052</v>
      </c>
      <c r="W29" s="1279">
        <v>0.27</v>
      </c>
      <c r="X29" s="1316">
        <v>260</v>
      </c>
      <c r="Y29" s="1277">
        <f t="shared" si="5"/>
        <v>14.258974358974358</v>
      </c>
      <c r="Z29" s="244">
        <f t="shared" si="1"/>
        <v>0.91192400000000007</v>
      </c>
      <c r="AA29" s="244">
        <f t="shared" si="1"/>
        <v>5.4942679999999999</v>
      </c>
      <c r="AB29" s="1277">
        <f t="shared" si="1"/>
        <v>24.7</v>
      </c>
      <c r="AC29" s="244">
        <f t="shared" si="8"/>
        <v>27.085590465872155</v>
      </c>
      <c r="AD29" s="1277">
        <f t="shared" si="8"/>
        <v>83.402265779536052</v>
      </c>
      <c r="AE29" s="241">
        <v>27</v>
      </c>
      <c r="AF29" s="244">
        <f t="shared" si="3"/>
        <v>24.621948000000003</v>
      </c>
      <c r="AG29" s="1285" t="s">
        <v>786</v>
      </c>
      <c r="AI29" s="1282">
        <f t="shared" si="4"/>
        <v>29.939505007441635</v>
      </c>
      <c r="AJ29" s="1252">
        <v>0.91900000000000004</v>
      </c>
      <c r="AK29" s="1252">
        <v>1.0449999999999999</v>
      </c>
      <c r="AL29" s="1252">
        <v>9.6207590000000004E-4</v>
      </c>
    </row>
    <row r="30" spans="1:41" ht="18.75" customHeight="1" x14ac:dyDescent="0.2">
      <c r="A30" s="1273">
        <v>12</v>
      </c>
      <c r="B30" s="1274" t="s">
        <v>151</v>
      </c>
      <c r="C30" s="241" t="s">
        <v>46</v>
      </c>
      <c r="D30" s="241">
        <v>675.42</v>
      </c>
      <c r="E30" s="1746" t="s">
        <v>298</v>
      </c>
      <c r="F30" s="241">
        <v>177.8</v>
      </c>
      <c r="G30" s="241" t="s">
        <v>28</v>
      </c>
      <c r="H30" s="1299" t="s">
        <v>687</v>
      </c>
      <c r="I30" s="1746">
        <v>558.21</v>
      </c>
      <c r="J30" s="1448">
        <v>105</v>
      </c>
      <c r="K30" s="241"/>
      <c r="L30" s="1277">
        <v>247</v>
      </c>
      <c r="M30" s="241"/>
      <c r="N30" s="1278">
        <v>1.2</v>
      </c>
      <c r="O30" s="241"/>
      <c r="P30" s="1278">
        <f t="shared" si="6"/>
        <v>31.06390618771383</v>
      </c>
      <c r="Q30" s="1278">
        <f>20*J30/100</f>
        <v>21</v>
      </c>
      <c r="R30" s="244">
        <v>2.9129999999999998</v>
      </c>
      <c r="S30" s="244">
        <v>11.670999999999999</v>
      </c>
      <c r="T30" s="1277">
        <v>8.8000000000000007</v>
      </c>
      <c r="U30" s="1278">
        <f t="shared" si="0"/>
        <v>3.0209406110538968</v>
      </c>
      <c r="V30" s="1278">
        <f t="shared" si="7"/>
        <v>75.040699168880138</v>
      </c>
      <c r="W30" s="1279">
        <v>0.3</v>
      </c>
      <c r="X30" s="1449">
        <v>105</v>
      </c>
      <c r="Y30" s="1277">
        <f t="shared" si="5"/>
        <v>55.576190476190469</v>
      </c>
      <c r="Z30" s="244">
        <f t="shared" si="1"/>
        <v>2.8780439999999996</v>
      </c>
      <c r="AA30" s="244">
        <f t="shared" si="1"/>
        <v>11.530947999999999</v>
      </c>
      <c r="AB30" s="1277">
        <f t="shared" si="1"/>
        <v>8.6943999999999999</v>
      </c>
      <c r="AC30" s="244">
        <f t="shared" si="8"/>
        <v>3.0209406110538968</v>
      </c>
      <c r="AD30" s="1277">
        <f t="shared" si="8"/>
        <v>75.040699168880138</v>
      </c>
      <c r="AE30" s="241">
        <f t="shared" si="2"/>
        <v>31</v>
      </c>
      <c r="AF30" s="244">
        <f>Z30*AE30</f>
        <v>89.219363999999985</v>
      </c>
      <c r="AG30" s="1285"/>
      <c r="AI30" s="1282">
        <f t="shared" si="4"/>
        <v>31.06390618771383</v>
      </c>
      <c r="AJ30" s="1252">
        <v>0.92</v>
      </c>
      <c r="AK30" s="1252">
        <v>1.014</v>
      </c>
      <c r="AL30" s="1252">
        <v>7.7447712000000004E-4</v>
      </c>
    </row>
    <row r="31" spans="1:41" ht="18.75" customHeight="1" x14ac:dyDescent="0.2">
      <c r="A31" s="1273">
        <v>13</v>
      </c>
      <c r="B31" s="1274" t="s">
        <v>36</v>
      </c>
      <c r="C31" s="241" t="s">
        <v>46</v>
      </c>
      <c r="D31" s="241">
        <v>584.42999999999995</v>
      </c>
      <c r="E31" s="1746" t="s">
        <v>79</v>
      </c>
      <c r="F31" s="241">
        <v>177.8</v>
      </c>
      <c r="G31" s="241" t="s">
        <v>28</v>
      </c>
      <c r="H31" s="1299" t="s">
        <v>565</v>
      </c>
      <c r="I31" s="1746">
        <v>526.29</v>
      </c>
      <c r="J31" s="1448">
        <v>315</v>
      </c>
      <c r="K31" s="241"/>
      <c r="L31" s="1277">
        <v>254</v>
      </c>
      <c r="M31" s="241"/>
      <c r="N31" s="1278">
        <v>1.8</v>
      </c>
      <c r="O31" s="241"/>
      <c r="P31" s="1278">
        <f t="shared" si="6"/>
        <v>28.064321237772567</v>
      </c>
      <c r="Q31" s="1278">
        <f>LEFT(H31,(FIND("E",H31,1)-1))*J31/100</f>
        <v>100.8</v>
      </c>
      <c r="R31" s="244">
        <v>16.513000000000002</v>
      </c>
      <c r="S31" s="244">
        <v>75.456999999999994</v>
      </c>
      <c r="T31" s="1277">
        <v>567</v>
      </c>
      <c r="U31" s="1278">
        <f t="shared" si="0"/>
        <v>34.336583298007625</v>
      </c>
      <c r="V31" s="1278">
        <f t="shared" si="7"/>
        <v>78.116013093549967</v>
      </c>
      <c r="W31" s="1279">
        <v>0.2</v>
      </c>
      <c r="X31" s="1449">
        <v>315</v>
      </c>
      <c r="Y31" s="1277">
        <f t="shared" si="5"/>
        <v>74.85813492063491</v>
      </c>
      <c r="Z31" s="244">
        <f t="shared" si="1"/>
        <v>16.314844000000001</v>
      </c>
      <c r="AA31" s="244">
        <f t="shared" si="1"/>
        <v>74.551515999999992</v>
      </c>
      <c r="AB31" s="1277">
        <f t="shared" si="1"/>
        <v>560.19600000000003</v>
      </c>
      <c r="AC31" s="244">
        <f t="shared" si="8"/>
        <v>34.336583298007625</v>
      </c>
      <c r="AD31" s="1277">
        <f t="shared" si="8"/>
        <v>78.116013093549967</v>
      </c>
      <c r="AE31" s="241">
        <f t="shared" si="2"/>
        <v>31</v>
      </c>
      <c r="AF31" s="244">
        <f>Z31*AE31</f>
        <v>505.76016400000003</v>
      </c>
      <c r="AG31" s="1281"/>
      <c r="AI31" s="1282">
        <f t="shared" si="4"/>
        <v>28.064321237772567</v>
      </c>
      <c r="AJ31" s="1252">
        <v>0.89029999999999998</v>
      </c>
      <c r="AK31" s="1252">
        <v>1.0249999999999999</v>
      </c>
      <c r="AL31" s="1252">
        <v>8.1397160000000013E-4</v>
      </c>
    </row>
    <row r="32" spans="1:41" ht="18.75" customHeight="1" x14ac:dyDescent="0.2">
      <c r="A32" s="1273">
        <v>14</v>
      </c>
      <c r="B32" s="1274" t="s">
        <v>152</v>
      </c>
      <c r="C32" s="241" t="s">
        <v>46</v>
      </c>
      <c r="D32" s="241">
        <v>564.97999999999979</v>
      </c>
      <c r="E32" s="1747" t="s">
        <v>80</v>
      </c>
      <c r="F32" s="241">
        <v>177.8</v>
      </c>
      <c r="G32" s="241" t="s">
        <v>28</v>
      </c>
      <c r="H32" s="241" t="s">
        <v>684</v>
      </c>
      <c r="I32" s="1301">
        <v>519.13</v>
      </c>
      <c r="J32" s="241">
        <v>85</v>
      </c>
      <c r="K32" s="241"/>
      <c r="L32" s="1277">
        <v>327</v>
      </c>
      <c r="M32" s="241"/>
      <c r="N32" s="1278">
        <v>3</v>
      </c>
      <c r="O32" s="241"/>
      <c r="P32" s="1278">
        <f t="shared" si="6"/>
        <v>20.928923232342832</v>
      </c>
      <c r="Q32" s="1278">
        <v>21.489000000000001</v>
      </c>
      <c r="R32" s="244">
        <v>8.9269999999999996</v>
      </c>
      <c r="S32" s="244">
        <v>20.175999999999998</v>
      </c>
      <c r="T32" s="1277">
        <v>162</v>
      </c>
      <c r="U32" s="1278">
        <f t="shared" si="0"/>
        <v>18.14719390612748</v>
      </c>
      <c r="V32" s="1278">
        <f t="shared" si="7"/>
        <v>55.754361617763678</v>
      </c>
      <c r="W32" s="1279">
        <v>0.2</v>
      </c>
      <c r="X32" s="1316">
        <v>100</v>
      </c>
      <c r="Y32" s="1277">
        <f t="shared" si="5"/>
        <v>93.88989715668481</v>
      </c>
      <c r="Z32" s="244">
        <v>9.4887519999999999</v>
      </c>
      <c r="AA32" s="244">
        <v>22.182576000000001</v>
      </c>
      <c r="AB32" s="1277">
        <v>200</v>
      </c>
      <c r="AC32" s="244">
        <f t="shared" si="8"/>
        <v>18.14719390612748</v>
      </c>
      <c r="AD32" s="1277">
        <f t="shared" si="8"/>
        <v>55.754361617763678</v>
      </c>
      <c r="AE32" s="241">
        <f t="shared" si="2"/>
        <v>31</v>
      </c>
      <c r="AF32" s="244">
        <f t="shared" si="3"/>
        <v>294.15131200000002</v>
      </c>
      <c r="AG32" s="1281"/>
      <c r="AI32" s="1282">
        <f t="shared" si="4"/>
        <v>20.928923232342832</v>
      </c>
      <c r="AJ32" s="1252">
        <v>0.88080000000000003</v>
      </c>
      <c r="AK32" s="1252">
        <v>1.0269999999999999</v>
      </c>
      <c r="AL32" s="1252">
        <v>8.9946269999999998E-4</v>
      </c>
    </row>
    <row r="33" spans="1:38" ht="18.75" customHeight="1" x14ac:dyDescent="0.2">
      <c r="A33" s="1273">
        <v>15</v>
      </c>
      <c r="B33" s="1274" t="s">
        <v>37</v>
      </c>
      <c r="C33" s="241" t="s">
        <v>46</v>
      </c>
      <c r="D33" s="241">
        <v>670</v>
      </c>
      <c r="E33" s="241" t="s">
        <v>81</v>
      </c>
      <c r="F33" s="241">
        <v>177.8</v>
      </c>
      <c r="G33" s="241" t="s">
        <v>28</v>
      </c>
      <c r="H33" s="1299" t="s">
        <v>48</v>
      </c>
      <c r="I33" s="1746">
        <v>569.99</v>
      </c>
      <c r="J33" s="1448">
        <v>240</v>
      </c>
      <c r="K33" s="241"/>
      <c r="L33" s="1277">
        <v>388</v>
      </c>
      <c r="M33" s="241"/>
      <c r="N33" s="1278">
        <v>3.9</v>
      </c>
      <c r="O33" s="241"/>
      <c r="P33" s="1278">
        <f t="shared" si="6"/>
        <v>21.298544203876673</v>
      </c>
      <c r="Q33" s="1278">
        <f>LEFT(H33,(FIND("K",H33,1)-1))*J33/100</f>
        <v>31.2</v>
      </c>
      <c r="R33" s="244">
        <v>5.8959999999999999</v>
      </c>
      <c r="S33" s="244">
        <v>16.189</v>
      </c>
      <c r="T33" s="1277">
        <v>64.2</v>
      </c>
      <c r="U33" s="1278">
        <f t="shared" si="0"/>
        <v>10.888738127544098</v>
      </c>
      <c r="V33" s="1278">
        <f t="shared" si="7"/>
        <v>63.580208783742044</v>
      </c>
      <c r="W33" s="1279">
        <v>0.2</v>
      </c>
      <c r="X33" s="1449">
        <v>240</v>
      </c>
      <c r="Y33" s="1277">
        <f t="shared" si="5"/>
        <v>51.887820512820518</v>
      </c>
      <c r="Z33" s="244">
        <f t="shared" si="1"/>
        <v>5.8252480000000002</v>
      </c>
      <c r="AA33" s="244">
        <f t="shared" si="1"/>
        <v>15.994731999999999</v>
      </c>
      <c r="AB33" s="1277">
        <f t="shared" si="1"/>
        <v>63.429600000000001</v>
      </c>
      <c r="AC33" s="244">
        <f t="shared" si="8"/>
        <v>10.888738127544098</v>
      </c>
      <c r="AD33" s="1277">
        <f t="shared" si="8"/>
        <v>63.580208783742044</v>
      </c>
      <c r="AE33" s="241">
        <f t="shared" si="2"/>
        <v>31</v>
      </c>
      <c r="AF33" s="244">
        <f>Z33*AE33</f>
        <v>180.58268800000002</v>
      </c>
      <c r="AG33" s="1285"/>
      <c r="AI33" s="1282">
        <f t="shared" si="4"/>
        <v>21.298544203876673</v>
      </c>
      <c r="AJ33" s="1252">
        <v>0.9194</v>
      </c>
      <c r="AK33" s="1252">
        <v>1.024</v>
      </c>
      <c r="AL33" s="1252">
        <v>7.2245999999999996E-4</v>
      </c>
    </row>
    <row r="34" spans="1:38" ht="18.75" customHeight="1" x14ac:dyDescent="0.2">
      <c r="A34" s="1273">
        <v>16</v>
      </c>
      <c r="B34" s="1274" t="s">
        <v>153</v>
      </c>
      <c r="C34" s="1274" t="s">
        <v>46</v>
      </c>
      <c r="D34" s="1274">
        <v>574.61</v>
      </c>
      <c r="E34" s="1274" t="s">
        <v>688</v>
      </c>
      <c r="F34" s="1274">
        <v>177.8</v>
      </c>
      <c r="G34" s="1274" t="s">
        <v>28</v>
      </c>
      <c r="H34" s="1299" t="s">
        <v>540</v>
      </c>
      <c r="I34" s="1274">
        <v>541.78</v>
      </c>
      <c r="J34" s="1274">
        <v>0</v>
      </c>
      <c r="K34" s="1274"/>
      <c r="L34" s="1305"/>
      <c r="M34" s="1274"/>
      <c r="N34" s="1306"/>
      <c r="O34" s="1274"/>
      <c r="P34" s="1278" t="e">
        <f t="shared" si="6"/>
        <v>#DIV/0!</v>
      </c>
      <c r="Q34" s="1278">
        <f>22*J34/100</f>
        <v>0</v>
      </c>
      <c r="R34" s="1307">
        <v>0</v>
      </c>
      <c r="S34" s="244">
        <v>0</v>
      </c>
      <c r="T34" s="1305">
        <v>0</v>
      </c>
      <c r="U34" s="1278">
        <f t="shared" si="0"/>
        <v>0</v>
      </c>
      <c r="V34" s="1278" t="e">
        <f t="shared" si="7"/>
        <v>#DIV/0!</v>
      </c>
      <c r="W34" s="1308">
        <v>0</v>
      </c>
      <c r="X34" s="238">
        <v>0</v>
      </c>
      <c r="Y34" s="1277">
        <f t="shared" si="5"/>
        <v>0</v>
      </c>
      <c r="Z34" s="244">
        <v>0</v>
      </c>
      <c r="AA34" s="244">
        <f t="shared" si="1"/>
        <v>0</v>
      </c>
      <c r="AB34" s="1277">
        <f t="shared" si="1"/>
        <v>0</v>
      </c>
      <c r="AC34" s="1307">
        <f t="shared" si="8"/>
        <v>0</v>
      </c>
      <c r="AD34" s="1305">
        <v>0</v>
      </c>
      <c r="AE34" s="241">
        <v>0</v>
      </c>
      <c r="AF34" s="1307">
        <f>Z34*AE34</f>
        <v>0</v>
      </c>
      <c r="AG34" s="1281" t="s">
        <v>769</v>
      </c>
      <c r="AI34" s="1282" t="e">
        <f t="shared" si="4"/>
        <v>#DIV/0!</v>
      </c>
      <c r="AJ34" s="1252">
        <v>0.91959999999999997</v>
      </c>
      <c r="AK34" s="1252">
        <v>1.022</v>
      </c>
      <c r="AL34" s="1252">
        <v>9.1150370000000005E-4</v>
      </c>
    </row>
    <row r="35" spans="1:38" ht="18.600000000000001" customHeight="1" x14ac:dyDescent="0.2">
      <c r="A35" s="1273">
        <v>17</v>
      </c>
      <c r="B35" s="1274" t="s">
        <v>154</v>
      </c>
      <c r="C35" s="1274" t="s">
        <v>46</v>
      </c>
      <c r="D35" s="1311">
        <v>644.79999999999995</v>
      </c>
      <c r="E35" s="1300" t="s">
        <v>421</v>
      </c>
      <c r="F35" s="241">
        <v>177.8</v>
      </c>
      <c r="G35" s="241" t="s">
        <v>28</v>
      </c>
      <c r="H35" s="1299" t="s">
        <v>687</v>
      </c>
      <c r="I35" s="1301">
        <v>562.54999999999995</v>
      </c>
      <c r="J35" s="241">
        <v>115</v>
      </c>
      <c r="K35" s="241"/>
      <c r="L35" s="1277">
        <v>437</v>
      </c>
      <c r="M35" s="241"/>
      <c r="N35" s="1278">
        <v>2.2999999999999998</v>
      </c>
      <c r="O35" s="241"/>
      <c r="P35" s="1278">
        <f t="shared" si="6"/>
        <v>14.261287851222072</v>
      </c>
      <c r="Q35" s="1278">
        <f>20*J35/100</f>
        <v>23</v>
      </c>
      <c r="R35" s="244">
        <v>2.0089999999999999</v>
      </c>
      <c r="S35" s="244">
        <v>5.7969999999999997</v>
      </c>
      <c r="T35" s="1277">
        <v>14.7</v>
      </c>
      <c r="U35" s="1278">
        <f t="shared" si="0"/>
        <v>7.3170731707317076</v>
      </c>
      <c r="V35" s="1278">
        <f t="shared" si="7"/>
        <v>65.344143522511644</v>
      </c>
      <c r="W35" s="1279">
        <v>0.2</v>
      </c>
      <c r="X35" s="1316">
        <v>115</v>
      </c>
      <c r="Y35" s="1277">
        <f t="shared" si="5"/>
        <v>25.204347826086952</v>
      </c>
      <c r="Z35" s="244">
        <f t="shared" si="1"/>
        <v>1.9848919999999999</v>
      </c>
      <c r="AA35" s="244">
        <f t="shared" si="1"/>
        <v>5.727436</v>
      </c>
      <c r="AB35" s="1277">
        <f t="shared" si="1"/>
        <v>14.523599999999998</v>
      </c>
      <c r="AC35" s="1307">
        <f t="shared" si="8"/>
        <v>7.3170731707317076</v>
      </c>
      <c r="AD35" s="1305">
        <f t="shared" si="8"/>
        <v>65.344143522511644</v>
      </c>
      <c r="AE35" s="241">
        <f t="shared" si="2"/>
        <v>31</v>
      </c>
      <c r="AF35" s="1307">
        <f>Z35*AE35</f>
        <v>61.531651999999994</v>
      </c>
      <c r="AG35" s="1285"/>
      <c r="AI35" s="1282">
        <f t="shared" si="4"/>
        <v>14.261287851222072</v>
      </c>
      <c r="AJ35" s="1252">
        <v>0.8901</v>
      </c>
      <c r="AK35" s="1252">
        <v>1.03</v>
      </c>
      <c r="AL35" s="1252">
        <v>7.2245999999999996E-4</v>
      </c>
    </row>
    <row r="36" spans="1:38" ht="18.75" customHeight="1" x14ac:dyDescent="0.2">
      <c r="A36" s="1273">
        <v>18</v>
      </c>
      <c r="B36" s="1274" t="s">
        <v>38</v>
      </c>
      <c r="C36" s="241" t="s">
        <v>46</v>
      </c>
      <c r="D36" s="1278">
        <v>580</v>
      </c>
      <c r="E36" s="241" t="s">
        <v>84</v>
      </c>
      <c r="F36" s="241">
        <v>177.8</v>
      </c>
      <c r="G36" s="241" t="s">
        <v>28</v>
      </c>
      <c r="H36" s="1299" t="s">
        <v>687</v>
      </c>
      <c r="I36" s="1746">
        <v>562.66</v>
      </c>
      <c r="J36" s="241">
        <v>85</v>
      </c>
      <c r="K36" s="241"/>
      <c r="L36" s="1277">
        <v>378</v>
      </c>
      <c r="M36" s="241"/>
      <c r="N36" s="1278">
        <v>0</v>
      </c>
      <c r="O36" s="241"/>
      <c r="P36" s="1278">
        <f t="shared" si="6"/>
        <v>17.412921013810667</v>
      </c>
      <c r="Q36" s="1278">
        <f>20*J36/100</f>
        <v>17</v>
      </c>
      <c r="R36" s="244">
        <v>4.7320000000000002</v>
      </c>
      <c r="S36" s="244">
        <v>10.101000000000001</v>
      </c>
      <c r="T36" s="1277">
        <v>13.6</v>
      </c>
      <c r="U36" s="1278">
        <f t="shared" si="0"/>
        <v>2.8740490278951816</v>
      </c>
      <c r="V36" s="1278">
        <f t="shared" si="7"/>
        <v>53.153153153153156</v>
      </c>
      <c r="W36" s="1279">
        <v>0</v>
      </c>
      <c r="X36" s="1316">
        <v>85</v>
      </c>
      <c r="Y36" s="1277">
        <f t="shared" si="5"/>
        <v>59.417647058823533</v>
      </c>
      <c r="Z36" s="244">
        <f t="shared" si="1"/>
        <v>4.6752159999999998</v>
      </c>
      <c r="AA36" s="244">
        <f t="shared" si="1"/>
        <v>9.979788000000001</v>
      </c>
      <c r="AB36" s="1277">
        <f t="shared" si="1"/>
        <v>13.4368</v>
      </c>
      <c r="AC36" s="1307">
        <f t="shared" si="8"/>
        <v>2.8740490278951816</v>
      </c>
      <c r="AD36" s="1305">
        <f t="shared" si="8"/>
        <v>53.153153153153156</v>
      </c>
      <c r="AE36" s="241">
        <f t="shared" si="2"/>
        <v>31</v>
      </c>
      <c r="AF36" s="244">
        <f t="shared" si="3"/>
        <v>144.93169599999999</v>
      </c>
      <c r="AG36" s="1281"/>
      <c r="AI36" s="1282">
        <f t="shared" si="4"/>
        <v>17.412921013810667</v>
      </c>
      <c r="AJ36" s="1252">
        <v>0.92159999999999997</v>
      </c>
      <c r="AK36" s="1252">
        <v>1.0169999999999999</v>
      </c>
      <c r="AL36" s="1252">
        <v>8.1276750000000011E-4</v>
      </c>
    </row>
    <row r="37" spans="1:38" ht="18.75" customHeight="1" x14ac:dyDescent="0.2">
      <c r="A37" s="1273">
        <v>19</v>
      </c>
      <c r="B37" s="1274" t="s">
        <v>39</v>
      </c>
      <c r="C37" s="241" t="s">
        <v>46</v>
      </c>
      <c r="D37" s="241">
        <v>575.26</v>
      </c>
      <c r="E37" s="241" t="s">
        <v>411</v>
      </c>
      <c r="F37" s="241">
        <v>177.8</v>
      </c>
      <c r="G37" s="241" t="s">
        <v>28</v>
      </c>
      <c r="H37" s="1299" t="s">
        <v>588</v>
      </c>
      <c r="I37" s="1746">
        <v>551</v>
      </c>
      <c r="J37" s="1448">
        <v>185</v>
      </c>
      <c r="K37" s="241"/>
      <c r="L37" s="1277">
        <v>474</v>
      </c>
      <c r="M37" s="241"/>
      <c r="N37" s="1278">
        <v>3.8</v>
      </c>
      <c r="O37" s="241"/>
      <c r="P37" s="1278">
        <f t="shared" si="6"/>
        <v>10.939745771868516</v>
      </c>
      <c r="Q37" s="1278">
        <f>14*J37/100</f>
        <v>25.9</v>
      </c>
      <c r="R37" s="244">
        <v>8.6679999999999993</v>
      </c>
      <c r="S37" s="244">
        <v>16.815999999999999</v>
      </c>
      <c r="T37" s="1277">
        <v>79.599999999999994</v>
      </c>
      <c r="U37" s="1278">
        <f t="shared" si="0"/>
        <v>9.1832025842178133</v>
      </c>
      <c r="V37" s="1278">
        <f t="shared" si="7"/>
        <v>48.453853472882969</v>
      </c>
      <c r="W37" s="1279">
        <v>0.2</v>
      </c>
      <c r="X37" s="1449">
        <v>185</v>
      </c>
      <c r="Y37" s="1277">
        <f t="shared" si="5"/>
        <v>64.926640926640928</v>
      </c>
      <c r="Z37" s="244">
        <f t="shared" ref="Z37:AB51" si="10">R37*0.988</f>
        <v>8.5639839999999996</v>
      </c>
      <c r="AA37" s="244">
        <f t="shared" si="10"/>
        <v>16.614207999999998</v>
      </c>
      <c r="AB37" s="1277">
        <f t="shared" si="10"/>
        <v>78.644799999999989</v>
      </c>
      <c r="AC37" s="244">
        <f t="shared" ref="AC37:AD38" si="11">U37</f>
        <v>9.1832025842178133</v>
      </c>
      <c r="AD37" s="1305">
        <f t="shared" si="11"/>
        <v>48.453853472882969</v>
      </c>
      <c r="AE37" s="241">
        <f t="shared" si="2"/>
        <v>31</v>
      </c>
      <c r="AF37" s="244">
        <f t="shared" si="3"/>
        <v>265.48350399999998</v>
      </c>
      <c r="AG37" s="1450"/>
      <c r="AI37" s="1282">
        <f t="shared" si="4"/>
        <v>10.939745771868516</v>
      </c>
      <c r="AJ37" s="1252">
        <v>0.88570000000000004</v>
      </c>
      <c r="AK37" s="1252">
        <v>1.024</v>
      </c>
      <c r="AL37" s="1252">
        <v>8.1397160000000013E-4</v>
      </c>
    </row>
    <row r="38" spans="1:38" ht="18.75" customHeight="1" x14ac:dyDescent="0.2">
      <c r="A38" s="1273">
        <v>20</v>
      </c>
      <c r="B38" s="1274" t="s">
        <v>40</v>
      </c>
      <c r="C38" s="241" t="s">
        <v>46</v>
      </c>
      <c r="D38" s="241">
        <v>604.16999999999996</v>
      </c>
      <c r="E38" s="241" t="s">
        <v>689</v>
      </c>
      <c r="F38" s="241">
        <v>177.8</v>
      </c>
      <c r="G38" s="241" t="s">
        <v>28</v>
      </c>
      <c r="H38" s="241" t="s">
        <v>556</v>
      </c>
      <c r="I38" s="1746">
        <v>565.36</v>
      </c>
      <c r="J38" s="241">
        <v>100</v>
      </c>
      <c r="K38" s="241"/>
      <c r="L38" s="1277">
        <v>312</v>
      </c>
      <c r="M38" s="241"/>
      <c r="N38" s="1278">
        <v>1</v>
      </c>
      <c r="O38" s="241"/>
      <c r="P38" s="1278">
        <f t="shared" si="6"/>
        <v>25.398493405212989</v>
      </c>
      <c r="Q38" s="1278">
        <f>13*J38/100</f>
        <v>13</v>
      </c>
      <c r="R38" s="244">
        <v>2.2189999999999999</v>
      </c>
      <c r="S38" s="244">
        <v>10.968999999999999</v>
      </c>
      <c r="T38" s="1277">
        <v>22.7</v>
      </c>
      <c r="U38" s="1278">
        <f>IF(R38=0,0,T38/R38)</f>
        <v>10.229833258224426</v>
      </c>
      <c r="V38" s="1278">
        <f t="shared" si="7"/>
        <v>79.770261646458209</v>
      </c>
      <c r="W38" s="1279">
        <v>0.2</v>
      </c>
      <c r="X38" s="1316">
        <v>100</v>
      </c>
      <c r="Y38" s="1277">
        <f t="shared" si="5"/>
        <v>84.376923076923077</v>
      </c>
      <c r="Z38" s="244">
        <f t="shared" si="10"/>
        <v>2.1923719999999998</v>
      </c>
      <c r="AA38" s="244">
        <f t="shared" si="10"/>
        <v>10.837371999999998</v>
      </c>
      <c r="AB38" s="1277">
        <f t="shared" si="10"/>
        <v>22.427599999999998</v>
      </c>
      <c r="AC38" s="244">
        <f t="shared" si="11"/>
        <v>10.229833258224426</v>
      </c>
      <c r="AD38" s="1305">
        <f t="shared" si="11"/>
        <v>79.770261646458209</v>
      </c>
      <c r="AE38" s="241">
        <f t="shared" si="2"/>
        <v>31</v>
      </c>
      <c r="AF38" s="244">
        <f>Z38*AE38</f>
        <v>67.963531999999987</v>
      </c>
      <c r="AG38" s="1281"/>
      <c r="AI38" s="1282">
        <f t="shared" si="4"/>
        <v>25.398493405212989</v>
      </c>
      <c r="AJ38" s="1252">
        <v>0.91769999999999996</v>
      </c>
      <c r="AK38" s="1252">
        <v>1.0129999999999999</v>
      </c>
      <c r="AL38" s="1252">
        <v>7.5858300000000007E-4</v>
      </c>
    </row>
    <row r="39" spans="1:38" ht="18.75" customHeight="1" x14ac:dyDescent="0.2">
      <c r="A39" s="1273">
        <v>21</v>
      </c>
      <c r="B39" s="1274" t="s">
        <v>41</v>
      </c>
      <c r="C39" s="241" t="s">
        <v>46</v>
      </c>
      <c r="D39" s="241">
        <v>573.37</v>
      </c>
      <c r="E39" s="241" t="s">
        <v>87</v>
      </c>
      <c r="F39" s="241">
        <v>177.8</v>
      </c>
      <c r="G39" s="241" t="s">
        <v>28</v>
      </c>
      <c r="H39" s="241" t="s">
        <v>461</v>
      </c>
      <c r="I39" s="1746">
        <v>535.91</v>
      </c>
      <c r="J39" s="1448">
        <v>300</v>
      </c>
      <c r="K39" s="241"/>
      <c r="L39" s="1277">
        <v>446</v>
      </c>
      <c r="M39" s="241"/>
      <c r="N39" s="1278">
        <v>2.4</v>
      </c>
      <c r="O39" s="241"/>
      <c r="P39" s="1278">
        <f t="shared" si="6"/>
        <v>10.65751780977229</v>
      </c>
      <c r="Q39" s="1278">
        <f>(20/100)*J39</f>
        <v>60</v>
      </c>
      <c r="R39" s="244">
        <v>8.7729999999999997</v>
      </c>
      <c r="S39" s="244">
        <v>14.978999999999999</v>
      </c>
      <c r="T39" s="1277">
        <v>191.6</v>
      </c>
      <c r="U39" s="1278">
        <f t="shared" ref="U39:U86" si="12">IF(R39=0,0,T39/R39)</f>
        <v>21.839735552262624</v>
      </c>
      <c r="V39" s="1278">
        <f t="shared" si="7"/>
        <v>41.431337205420924</v>
      </c>
      <c r="W39" s="1279">
        <v>0.2</v>
      </c>
      <c r="X39" s="1449">
        <v>300</v>
      </c>
      <c r="Y39" s="1277">
        <f t="shared" si="5"/>
        <v>24.965</v>
      </c>
      <c r="Z39" s="244">
        <f t="shared" si="10"/>
        <v>8.6677239999999998</v>
      </c>
      <c r="AA39" s="244">
        <f t="shared" si="10"/>
        <v>14.799251999999999</v>
      </c>
      <c r="AB39" s="1277">
        <f t="shared" si="10"/>
        <v>189.30079999999998</v>
      </c>
      <c r="AC39" s="244">
        <v>89.536086956521729</v>
      </c>
      <c r="AD39" s="1305">
        <f>V39</f>
        <v>41.431337205420924</v>
      </c>
      <c r="AE39" s="241">
        <f t="shared" si="2"/>
        <v>31</v>
      </c>
      <c r="AF39" s="244">
        <f t="shared" si="3"/>
        <v>268.69944399999997</v>
      </c>
      <c r="AG39" s="1314"/>
      <c r="AI39" s="1282">
        <f t="shared" si="4"/>
        <v>10.65751780977229</v>
      </c>
      <c r="AJ39" s="1252">
        <v>0.88919999999999999</v>
      </c>
      <c r="AK39" s="1252">
        <v>1.0229999999999999</v>
      </c>
      <c r="AL39" s="1252">
        <v>8.0193060000000006E-4</v>
      </c>
    </row>
    <row r="40" spans="1:38" ht="18.75" customHeight="1" x14ac:dyDescent="0.2">
      <c r="A40" s="1273">
        <v>22</v>
      </c>
      <c r="B40" s="1274" t="s">
        <v>42</v>
      </c>
      <c r="C40" s="241" t="s">
        <v>46</v>
      </c>
      <c r="D40" s="241">
        <v>583.20000000000005</v>
      </c>
      <c r="E40" s="241" t="s">
        <v>88</v>
      </c>
      <c r="F40" s="241">
        <v>177.8</v>
      </c>
      <c r="G40" s="241" t="s">
        <v>28</v>
      </c>
      <c r="H40" s="1299" t="s">
        <v>540</v>
      </c>
      <c r="I40" s="1747">
        <v>563.91</v>
      </c>
      <c r="J40" s="1448">
        <v>85</v>
      </c>
      <c r="K40" s="241"/>
      <c r="L40" s="1277">
        <v>143</v>
      </c>
      <c r="M40" s="241"/>
      <c r="N40" s="1278">
        <v>0.9</v>
      </c>
      <c r="O40" s="241"/>
      <c r="P40" s="1278">
        <f t="shared" si="6"/>
        <v>41.52253642840224</v>
      </c>
      <c r="Q40" s="1278">
        <f>22*J40/100</f>
        <v>18.7</v>
      </c>
      <c r="R40" s="244">
        <v>4.46</v>
      </c>
      <c r="S40" s="244">
        <v>17.344999999999999</v>
      </c>
      <c r="T40" s="1277">
        <v>0</v>
      </c>
      <c r="U40" s="1278">
        <f t="shared" si="12"/>
        <v>0</v>
      </c>
      <c r="V40" s="1278">
        <f t="shared" si="7"/>
        <v>74.286537907177859</v>
      </c>
      <c r="W40" s="1279">
        <v>0</v>
      </c>
      <c r="X40" s="1449">
        <v>85</v>
      </c>
      <c r="Y40" s="1277">
        <f t="shared" si="5"/>
        <v>92.754010695187162</v>
      </c>
      <c r="Z40" s="244">
        <f t="shared" si="10"/>
        <v>4.4064800000000002</v>
      </c>
      <c r="AA40" s="244">
        <f t="shared" si="10"/>
        <v>17.136859999999999</v>
      </c>
      <c r="AB40" s="1277">
        <f t="shared" si="10"/>
        <v>0</v>
      </c>
      <c r="AC40" s="244">
        <f>U40</f>
        <v>0</v>
      </c>
      <c r="AD40" s="1277">
        <f>V40</f>
        <v>74.286537907177859</v>
      </c>
      <c r="AE40" s="241">
        <f t="shared" si="2"/>
        <v>31</v>
      </c>
      <c r="AF40" s="244">
        <f t="shared" si="3"/>
        <v>136.60088000000002</v>
      </c>
      <c r="AG40" s="1281"/>
      <c r="AI40" s="1282">
        <f t="shared" si="4"/>
        <v>41.52253642840224</v>
      </c>
      <c r="AJ40" s="1252">
        <v>0.9173</v>
      </c>
      <c r="AK40" s="1252">
        <v>1.024</v>
      </c>
      <c r="AL40" s="1252">
        <v>8.1276750000000011E-4</v>
      </c>
    </row>
    <row r="41" spans="1:38" ht="18.75" customHeight="1" x14ac:dyDescent="0.2">
      <c r="A41" s="1273">
        <v>23</v>
      </c>
      <c r="B41" s="1274" t="s">
        <v>43</v>
      </c>
      <c r="C41" s="241" t="s">
        <v>46</v>
      </c>
      <c r="D41" s="241">
        <v>682.7</v>
      </c>
      <c r="E41" s="241" t="s">
        <v>690</v>
      </c>
      <c r="F41" s="241">
        <v>177.8</v>
      </c>
      <c r="G41" s="241" t="s">
        <v>28</v>
      </c>
      <c r="H41" s="1299" t="s">
        <v>685</v>
      </c>
      <c r="I41" s="1315">
        <v>553.84</v>
      </c>
      <c r="J41" s="241">
        <v>95</v>
      </c>
      <c r="K41" s="241"/>
      <c r="L41" s="1277">
        <v>344</v>
      </c>
      <c r="M41" s="241"/>
      <c r="N41" s="1278">
        <v>3.5</v>
      </c>
      <c r="O41" s="241"/>
      <c r="P41" s="1278">
        <f t="shared" si="6"/>
        <v>23.704171904235601</v>
      </c>
      <c r="Q41" s="1278">
        <f>14*J41/100</f>
        <v>13.3</v>
      </c>
      <c r="R41" s="244">
        <v>1.992</v>
      </c>
      <c r="S41" s="244">
        <v>9.6259999999999994</v>
      </c>
      <c r="T41" s="1277">
        <v>7</v>
      </c>
      <c r="U41" s="1278">
        <f t="shared" si="12"/>
        <v>3.5140562248995986</v>
      </c>
      <c r="V41" s="1278">
        <f t="shared" si="7"/>
        <v>79.306046125077913</v>
      </c>
      <c r="W41" s="1279">
        <v>0.2</v>
      </c>
      <c r="X41" s="1316">
        <v>95</v>
      </c>
      <c r="Y41" s="1277">
        <f t="shared" si="5"/>
        <v>72.375939849624046</v>
      </c>
      <c r="Z41" s="244">
        <f t="shared" si="10"/>
        <v>1.9680960000000001</v>
      </c>
      <c r="AA41" s="244">
        <f t="shared" si="10"/>
        <v>9.5104879999999987</v>
      </c>
      <c r="AB41" s="1277">
        <f t="shared" si="10"/>
        <v>6.9160000000000004</v>
      </c>
      <c r="AC41" s="244">
        <f>U41</f>
        <v>3.5140562248995986</v>
      </c>
      <c r="AD41" s="1277">
        <f>V41</f>
        <v>79.306046125077913</v>
      </c>
      <c r="AE41" s="241">
        <f t="shared" si="2"/>
        <v>31</v>
      </c>
      <c r="AF41" s="244">
        <f t="shared" si="3"/>
        <v>61.010975999999999</v>
      </c>
      <c r="AG41" s="1285"/>
      <c r="AI41" s="1282">
        <f t="shared" si="4"/>
        <v>23.704171904235601</v>
      </c>
      <c r="AJ41" s="1252">
        <v>0.90210000000000001</v>
      </c>
      <c r="AK41" s="1252">
        <v>1.0169999999999999</v>
      </c>
      <c r="AL41" s="1252">
        <v>7.7303220000000006E-4</v>
      </c>
    </row>
    <row r="42" spans="1:38" ht="18.75" customHeight="1" x14ac:dyDescent="0.2">
      <c r="A42" s="1273">
        <v>24</v>
      </c>
      <c r="B42" s="1274" t="s">
        <v>44</v>
      </c>
      <c r="C42" s="241" t="s">
        <v>46</v>
      </c>
      <c r="D42" s="241">
        <v>614.27</v>
      </c>
      <c r="E42" s="241" t="s">
        <v>593</v>
      </c>
      <c r="F42" s="241">
        <v>177.8</v>
      </c>
      <c r="G42" s="241" t="s">
        <v>28</v>
      </c>
      <c r="H42" s="1299" t="s">
        <v>565</v>
      </c>
      <c r="I42" s="1315">
        <v>580.03</v>
      </c>
      <c r="J42" s="241">
        <v>0</v>
      </c>
      <c r="K42" s="241"/>
      <c r="L42" s="1277">
        <v>0</v>
      </c>
      <c r="M42" s="241"/>
      <c r="N42" s="1278">
        <v>0</v>
      </c>
      <c r="O42" s="241"/>
      <c r="P42" s="1278" t="e">
        <f t="shared" si="6"/>
        <v>#DIV/0!</v>
      </c>
      <c r="Q42" s="1278">
        <f>(32/100)*J42</f>
        <v>0</v>
      </c>
      <c r="R42" s="244">
        <v>0</v>
      </c>
      <c r="S42" s="244">
        <v>0</v>
      </c>
      <c r="T42" s="1277">
        <v>0</v>
      </c>
      <c r="U42" s="1278">
        <f t="shared" si="12"/>
        <v>0</v>
      </c>
      <c r="V42" s="1278" t="e">
        <f t="shared" si="7"/>
        <v>#DIV/0!</v>
      </c>
      <c r="W42" s="1279">
        <v>0</v>
      </c>
      <c r="X42" s="1316">
        <v>0</v>
      </c>
      <c r="Y42" s="1277">
        <f t="shared" si="5"/>
        <v>0</v>
      </c>
      <c r="Z42" s="244">
        <f t="shared" si="10"/>
        <v>0</v>
      </c>
      <c r="AA42" s="244">
        <f t="shared" si="10"/>
        <v>0</v>
      </c>
      <c r="AB42" s="1277">
        <f t="shared" si="10"/>
        <v>0</v>
      </c>
      <c r="AC42" s="244">
        <f>U42</f>
        <v>0</v>
      </c>
      <c r="AD42" s="1277" t="e">
        <f>V42</f>
        <v>#DIV/0!</v>
      </c>
      <c r="AE42" s="241">
        <v>0</v>
      </c>
      <c r="AF42" s="244">
        <f t="shared" si="3"/>
        <v>0</v>
      </c>
      <c r="AG42" s="1281" t="s">
        <v>769</v>
      </c>
      <c r="AI42" s="1282" t="e">
        <f t="shared" si="4"/>
        <v>#DIV/0!</v>
      </c>
      <c r="AJ42" s="1252">
        <v>0.90480000000000005</v>
      </c>
      <c r="AK42" s="1252">
        <v>1.022</v>
      </c>
      <c r="AL42" s="1252">
        <v>9.3558570000000008E-4</v>
      </c>
    </row>
    <row r="43" spans="1:38" ht="18.75" customHeight="1" x14ac:dyDescent="0.2">
      <c r="A43" s="1273">
        <v>25</v>
      </c>
      <c r="B43" s="1274" t="s">
        <v>45</v>
      </c>
      <c r="C43" s="241" t="s">
        <v>46</v>
      </c>
      <c r="D43" s="241">
        <v>636.4</v>
      </c>
      <c r="E43" s="241" t="s">
        <v>595</v>
      </c>
      <c r="F43" s="241">
        <v>177.8</v>
      </c>
      <c r="G43" s="241" t="s">
        <v>28</v>
      </c>
      <c r="H43" s="241" t="s">
        <v>684</v>
      </c>
      <c r="I43" s="1746">
        <v>554.16999999999996</v>
      </c>
      <c r="J43" s="1448">
        <v>125</v>
      </c>
      <c r="K43" s="241"/>
      <c r="L43" s="1277">
        <v>333</v>
      </c>
      <c r="M43" s="241"/>
      <c r="N43" s="1278">
        <v>4.7</v>
      </c>
      <c r="O43" s="241"/>
      <c r="P43" s="1278">
        <f t="shared" si="6"/>
        <v>25.99727070076948</v>
      </c>
      <c r="Q43" s="1278">
        <f>(32/100)*J43</f>
        <v>40</v>
      </c>
      <c r="R43" s="244">
        <v>8.6649999999999991</v>
      </c>
      <c r="S43" s="244">
        <v>35.231999999999999</v>
      </c>
      <c r="T43" s="1277">
        <v>102.8</v>
      </c>
      <c r="U43" s="1278">
        <f t="shared" si="12"/>
        <v>11.863819965377958</v>
      </c>
      <c r="V43" s="1278">
        <f t="shared" si="7"/>
        <v>75.40588101725703</v>
      </c>
      <c r="W43" s="1279">
        <v>0.2</v>
      </c>
      <c r="X43" s="1449">
        <v>125</v>
      </c>
      <c r="Y43" s="1277">
        <f t="shared" si="5"/>
        <v>88.08</v>
      </c>
      <c r="Z43" s="244">
        <f t="shared" si="10"/>
        <v>8.5610199999999992</v>
      </c>
      <c r="AA43" s="244">
        <f t="shared" si="10"/>
        <v>34.809215999999999</v>
      </c>
      <c r="AB43" s="1277">
        <f t="shared" si="10"/>
        <v>101.5664</v>
      </c>
      <c r="AC43" s="244">
        <f>U43</f>
        <v>11.863819965377958</v>
      </c>
      <c r="AD43" s="1277">
        <f>V43</f>
        <v>75.40588101725703</v>
      </c>
      <c r="AE43" s="241">
        <f>(DAY(EOMONTH($AH$17,0))-AH43)</f>
        <v>31</v>
      </c>
      <c r="AF43" s="244">
        <f t="shared" si="3"/>
        <v>265.39161999999999</v>
      </c>
      <c r="AG43" s="1281"/>
      <c r="AI43" s="1282">
        <f t="shared" si="4"/>
        <v>25.99727070076948</v>
      </c>
      <c r="AJ43" s="1252">
        <v>0.9</v>
      </c>
      <c r="AK43" s="1252">
        <v>1.024</v>
      </c>
      <c r="AL43" s="1252">
        <v>7.2366409999999998E-4</v>
      </c>
    </row>
    <row r="44" spans="1:38" ht="18.600000000000001" customHeight="1" x14ac:dyDescent="0.2">
      <c r="A44" s="1273">
        <v>26</v>
      </c>
      <c r="B44" s="1274" t="s">
        <v>56</v>
      </c>
      <c r="C44" s="1316" t="s">
        <v>46</v>
      </c>
      <c r="D44" s="241">
        <v>680.52</v>
      </c>
      <c r="E44" s="1274" t="s">
        <v>596</v>
      </c>
      <c r="F44" s="241">
        <v>177.8</v>
      </c>
      <c r="G44" s="241" t="s">
        <v>28</v>
      </c>
      <c r="H44" s="1299" t="s">
        <v>349</v>
      </c>
      <c r="I44" s="1743">
        <v>583.46</v>
      </c>
      <c r="J44" s="1448"/>
      <c r="K44" s="241"/>
      <c r="L44" s="1277"/>
      <c r="M44" s="241"/>
      <c r="N44" s="1278"/>
      <c r="O44" s="241"/>
      <c r="P44" s="1278"/>
      <c r="Q44" s="1278"/>
      <c r="R44" s="244"/>
      <c r="S44" s="244"/>
      <c r="T44" s="1277"/>
      <c r="U44" s="1278"/>
      <c r="V44" s="1278"/>
      <c r="W44" s="1279"/>
      <c r="X44" s="1449"/>
      <c r="Y44" s="1277">
        <f t="shared" si="5"/>
        <v>0</v>
      </c>
      <c r="Z44" s="244"/>
      <c r="AA44" s="244"/>
      <c r="AB44" s="1277"/>
      <c r="AC44" s="244"/>
      <c r="AD44" s="1277"/>
      <c r="AE44" s="241"/>
      <c r="AF44" s="244"/>
      <c r="AG44" s="1285" t="s">
        <v>681</v>
      </c>
      <c r="AI44" s="1282">
        <f t="shared" si="4"/>
        <v>51.69303580814212</v>
      </c>
      <c r="AJ44" s="1252">
        <v>0.91510000000000002</v>
      </c>
      <c r="AK44" s="1252">
        <v>1.022</v>
      </c>
      <c r="AL44" s="1252">
        <v>6.1000000000000004E-3</v>
      </c>
    </row>
    <row r="45" spans="1:38" ht="18.75" customHeight="1" x14ac:dyDescent="0.2">
      <c r="A45" s="1273">
        <v>27</v>
      </c>
      <c r="B45" s="1274" t="s">
        <v>206</v>
      </c>
      <c r="C45" s="241" t="s">
        <v>46</v>
      </c>
      <c r="D45" s="241">
        <v>660.74</v>
      </c>
      <c r="E45" s="241" t="s">
        <v>436</v>
      </c>
      <c r="F45" s="241">
        <v>177.8</v>
      </c>
      <c r="G45" s="241" t="s">
        <v>28</v>
      </c>
      <c r="H45" s="241" t="s">
        <v>693</v>
      </c>
      <c r="I45" s="1746">
        <v>544.70000000000005</v>
      </c>
      <c r="J45" s="241">
        <v>105</v>
      </c>
      <c r="K45" s="241"/>
      <c r="L45" s="1277">
        <v>84</v>
      </c>
      <c r="M45" s="241"/>
      <c r="N45" s="1278">
        <v>5.2</v>
      </c>
      <c r="O45" s="241"/>
      <c r="P45" s="1278">
        <f t="shared" si="6"/>
        <v>49.798606193478747</v>
      </c>
      <c r="Q45" s="1278">
        <f>J45*20/100</f>
        <v>21</v>
      </c>
      <c r="R45" s="244">
        <v>2.9289999999999998</v>
      </c>
      <c r="S45" s="244">
        <v>18.536999999999999</v>
      </c>
      <c r="T45" s="1277">
        <v>38.1</v>
      </c>
      <c r="U45" s="1278">
        <f t="shared" si="12"/>
        <v>13.00785250938887</v>
      </c>
      <c r="V45" s="1278">
        <f t="shared" si="7"/>
        <v>84.199169229109344</v>
      </c>
      <c r="W45" s="1279">
        <v>0.2</v>
      </c>
      <c r="X45" s="1316">
        <v>105</v>
      </c>
      <c r="Y45" s="1277">
        <f t="shared" si="5"/>
        <v>88.271428571428572</v>
      </c>
      <c r="Z45" s="244">
        <f t="shared" si="10"/>
        <v>2.8938519999999999</v>
      </c>
      <c r="AA45" s="244">
        <f t="shared" si="10"/>
        <v>18.314556</v>
      </c>
      <c r="AB45" s="1277">
        <f t="shared" si="10"/>
        <v>37.642800000000001</v>
      </c>
      <c r="AC45" s="244">
        <f t="shared" ref="AC45:AD51" si="13">U45</f>
        <v>13.00785250938887</v>
      </c>
      <c r="AD45" s="1277">
        <f t="shared" si="13"/>
        <v>84.199169229109344</v>
      </c>
      <c r="AE45" s="241">
        <f t="shared" ref="AE45:AE83" si="14">(DAY(EOMONTH($AH$17,0))-AH45)</f>
        <v>31</v>
      </c>
      <c r="AF45" s="244">
        <f t="shared" si="3"/>
        <v>89.709412</v>
      </c>
      <c r="AG45" s="1281"/>
      <c r="AI45" s="1282">
        <f t="shared" si="4"/>
        <v>49.798606193478747</v>
      </c>
      <c r="AJ45" s="1252">
        <v>0.90780000000000005</v>
      </c>
      <c r="AK45" s="1252">
        <v>1.0169999999999999</v>
      </c>
      <c r="AL45" s="1252">
        <v>7.7303220000000006E-4</v>
      </c>
    </row>
    <row r="46" spans="1:38" ht="28.5" customHeight="1" x14ac:dyDescent="0.2">
      <c r="A46" s="1273">
        <v>28</v>
      </c>
      <c r="B46" s="1317" t="s">
        <v>161</v>
      </c>
      <c r="C46" s="241" t="s">
        <v>46</v>
      </c>
      <c r="D46" s="1746">
        <v>677</v>
      </c>
      <c r="E46" s="1318" t="s">
        <v>178</v>
      </c>
      <c r="F46" s="241">
        <v>177.8</v>
      </c>
      <c r="G46" s="241" t="s">
        <v>28</v>
      </c>
      <c r="H46" s="1299" t="s">
        <v>565</v>
      </c>
      <c r="I46" s="1746">
        <v>553.30999999999995</v>
      </c>
      <c r="J46" s="1746">
        <v>220</v>
      </c>
      <c r="K46" s="1746"/>
      <c r="L46" s="1319">
        <v>420</v>
      </c>
      <c r="M46" s="1746"/>
      <c r="N46" s="1278">
        <v>1.85</v>
      </c>
      <c r="O46" s="1746"/>
      <c r="P46" s="1278">
        <f t="shared" si="6"/>
        <v>14.470090016122025</v>
      </c>
      <c r="Q46" s="1278">
        <f>J46*32/100</f>
        <v>70.400000000000006</v>
      </c>
      <c r="R46" s="244">
        <v>8.8000000000000007</v>
      </c>
      <c r="S46" s="244">
        <v>23.225000000000001</v>
      </c>
      <c r="T46" s="1319">
        <v>228</v>
      </c>
      <c r="U46" s="1278">
        <f t="shared" si="12"/>
        <v>25.909090909090907</v>
      </c>
      <c r="V46" s="1278">
        <f t="shared" si="7"/>
        <v>62.109795479009691</v>
      </c>
      <c r="W46" s="1279">
        <v>0.2</v>
      </c>
      <c r="X46" s="1410">
        <v>220</v>
      </c>
      <c r="Y46" s="1277">
        <f t="shared" si="5"/>
        <v>32.99005681818182</v>
      </c>
      <c r="Z46" s="244">
        <f t="shared" si="10"/>
        <v>8.6943999999999999</v>
      </c>
      <c r="AA46" s="244">
        <f t="shared" si="10"/>
        <v>22.946300000000001</v>
      </c>
      <c r="AB46" s="1277">
        <f t="shared" si="10"/>
        <v>225.26400000000001</v>
      </c>
      <c r="AC46" s="244">
        <f t="shared" si="13"/>
        <v>25.909090909090907</v>
      </c>
      <c r="AD46" s="1277">
        <f t="shared" si="13"/>
        <v>62.109795479009691</v>
      </c>
      <c r="AE46" s="241">
        <f t="shared" si="14"/>
        <v>31</v>
      </c>
      <c r="AF46" s="244">
        <f t="shared" si="3"/>
        <v>269.52640000000002</v>
      </c>
      <c r="AG46" s="1285"/>
      <c r="AI46" s="1282">
        <f t="shared" si="4"/>
        <v>14.470090016122025</v>
      </c>
      <c r="AJ46" s="1252">
        <v>0.89839999999999998</v>
      </c>
      <c r="AK46" s="1252">
        <v>1.0209999999999999</v>
      </c>
      <c r="AL46" s="1252">
        <v>1.0307096000000001E-3</v>
      </c>
    </row>
    <row r="47" spans="1:38" ht="29.25" customHeight="1" x14ac:dyDescent="0.2">
      <c r="A47" s="1273">
        <v>29</v>
      </c>
      <c r="B47" s="1317" t="s">
        <v>162</v>
      </c>
      <c r="C47" s="241" t="s">
        <v>46</v>
      </c>
      <c r="D47" s="1746">
        <v>676.97</v>
      </c>
      <c r="E47" s="1318" t="s">
        <v>437</v>
      </c>
      <c r="F47" s="241">
        <v>177.8</v>
      </c>
      <c r="G47" s="241" t="s">
        <v>28</v>
      </c>
      <c r="H47" s="1299" t="s">
        <v>588</v>
      </c>
      <c r="I47" s="1746">
        <v>550.59</v>
      </c>
      <c r="J47" s="1373">
        <v>70</v>
      </c>
      <c r="K47" s="1746"/>
      <c r="L47" s="1277">
        <v>394</v>
      </c>
      <c r="M47" s="1746"/>
      <c r="N47" s="1278">
        <v>0.3</v>
      </c>
      <c r="O47" s="1746"/>
      <c r="P47" s="1278">
        <f t="shared" si="6"/>
        <v>15.010600676277576</v>
      </c>
      <c r="Q47" s="1278">
        <f>RIGHT(H47,(FIND("T",H47,1)-0))*J47/100</f>
        <v>9.8000000000000007</v>
      </c>
      <c r="R47" s="244">
        <v>1.4410000000000001</v>
      </c>
      <c r="S47" s="244">
        <v>3.0329999999999999</v>
      </c>
      <c r="T47" s="1319">
        <v>4.4000000000000004</v>
      </c>
      <c r="U47" s="1278">
        <f t="shared" si="12"/>
        <v>3.053435114503817</v>
      </c>
      <c r="V47" s="1278">
        <f t="shared" si="7"/>
        <v>52.489284536762284</v>
      </c>
      <c r="W47" s="1279">
        <v>0.2</v>
      </c>
      <c r="X47" s="1452">
        <v>70</v>
      </c>
      <c r="Y47" s="1277">
        <f t="shared" si="5"/>
        <v>30.948979591836732</v>
      </c>
      <c r="Z47" s="244">
        <f t="shared" si="10"/>
        <v>1.423708</v>
      </c>
      <c r="AA47" s="244">
        <f t="shared" si="10"/>
        <v>2.996604</v>
      </c>
      <c r="AB47" s="1277">
        <f t="shared" si="10"/>
        <v>4.3472</v>
      </c>
      <c r="AC47" s="244">
        <f t="shared" si="13"/>
        <v>3.053435114503817</v>
      </c>
      <c r="AD47" s="1277">
        <f t="shared" si="13"/>
        <v>52.489284536762284</v>
      </c>
      <c r="AE47" s="241">
        <f t="shared" si="14"/>
        <v>31</v>
      </c>
      <c r="AF47" s="244">
        <f t="shared" si="3"/>
        <v>44.134948000000001</v>
      </c>
      <c r="AG47" s="1285"/>
      <c r="AI47" s="1282">
        <f t="shared" si="4"/>
        <v>15.010600676277576</v>
      </c>
      <c r="AJ47" s="1252">
        <v>0.90790000000000004</v>
      </c>
      <c r="AK47" s="1252">
        <v>1.0229999999999999</v>
      </c>
      <c r="AL47" s="1252">
        <v>7.9591010000000008E-4</v>
      </c>
    </row>
    <row r="48" spans="1:38" ht="18.75" customHeight="1" x14ac:dyDescent="0.2">
      <c r="A48" s="1273">
        <v>30</v>
      </c>
      <c r="B48" s="1317" t="s">
        <v>163</v>
      </c>
      <c r="C48" s="241" t="s">
        <v>46</v>
      </c>
      <c r="D48" s="1746">
        <v>579</v>
      </c>
      <c r="E48" s="241" t="s">
        <v>597</v>
      </c>
      <c r="F48" s="241">
        <v>177.8</v>
      </c>
      <c r="G48" s="241" t="s">
        <v>28</v>
      </c>
      <c r="H48" s="1299" t="s">
        <v>800</v>
      </c>
      <c r="I48" s="1746">
        <v>548.82000000000005</v>
      </c>
      <c r="J48" s="1746">
        <v>85</v>
      </c>
      <c r="K48" s="1746"/>
      <c r="L48" s="1319">
        <v>295</v>
      </c>
      <c r="M48" s="1746"/>
      <c r="N48" s="1278">
        <v>1.1000000000000001</v>
      </c>
      <c r="O48" s="1746"/>
      <c r="P48" s="1278">
        <f t="shared" si="6"/>
        <v>24.990870411978356</v>
      </c>
      <c r="Q48" s="1278">
        <f>7*J48/100</f>
        <v>5.95</v>
      </c>
      <c r="R48" s="244">
        <v>2.73</v>
      </c>
      <c r="S48" s="244">
        <v>7.42</v>
      </c>
      <c r="T48" s="1319">
        <v>15.9</v>
      </c>
      <c r="U48" s="1278">
        <f t="shared" si="12"/>
        <v>5.8241758241758239</v>
      </c>
      <c r="V48" s="1278">
        <f t="shared" si="7"/>
        <v>63.20754716981132</v>
      </c>
      <c r="W48" s="1279">
        <v>0.2</v>
      </c>
      <c r="X48" s="1410">
        <v>85</v>
      </c>
      <c r="Y48" s="1277">
        <f t="shared" si="5"/>
        <v>124.70588235294117</v>
      </c>
      <c r="Z48" s="244">
        <f t="shared" si="10"/>
        <v>2.6972399999999999</v>
      </c>
      <c r="AA48" s="244">
        <f t="shared" si="10"/>
        <v>7.3309600000000001</v>
      </c>
      <c r="AB48" s="1277">
        <f t="shared" si="10"/>
        <v>15.709200000000001</v>
      </c>
      <c r="AC48" s="244">
        <f t="shared" si="13"/>
        <v>5.8241758241758239</v>
      </c>
      <c r="AD48" s="1277">
        <f t="shared" si="13"/>
        <v>63.20754716981132</v>
      </c>
      <c r="AE48" s="241">
        <f t="shared" si="14"/>
        <v>31</v>
      </c>
      <c r="AF48" s="244">
        <f t="shared" si="3"/>
        <v>83.614440000000002</v>
      </c>
      <c r="AG48" s="1285"/>
      <c r="AI48" s="1282">
        <f t="shared" si="4"/>
        <v>24.990870411978356</v>
      </c>
      <c r="AJ48" s="1252">
        <v>0.90129999999999999</v>
      </c>
      <c r="AK48" s="1252">
        <v>1.012</v>
      </c>
      <c r="AL48" s="1252">
        <v>7.9591010000000008E-4</v>
      </c>
    </row>
    <row r="49" spans="1:38" ht="18.75" customHeight="1" x14ac:dyDescent="0.2">
      <c r="A49" s="1273">
        <v>31</v>
      </c>
      <c r="B49" s="1274" t="s">
        <v>59</v>
      </c>
      <c r="C49" s="241" t="s">
        <v>46</v>
      </c>
      <c r="D49" s="241">
        <v>615</v>
      </c>
      <c r="E49" s="241" t="s">
        <v>454</v>
      </c>
      <c r="F49" s="241">
        <v>177.8</v>
      </c>
      <c r="G49" s="241" t="s">
        <v>28</v>
      </c>
      <c r="H49" s="1299" t="s">
        <v>686</v>
      </c>
      <c r="I49" s="1746">
        <v>538.69000000000005</v>
      </c>
      <c r="J49" s="241">
        <v>100</v>
      </c>
      <c r="K49" s="241"/>
      <c r="L49" s="1277">
        <v>429</v>
      </c>
      <c r="M49" s="241"/>
      <c r="N49" s="1278">
        <v>2.5</v>
      </c>
      <c r="O49" s="241"/>
      <c r="P49" s="1278">
        <f t="shared" si="6"/>
        <v>12.883927801609723</v>
      </c>
      <c r="Q49" s="1278">
        <f>20*J49/100</f>
        <v>20</v>
      </c>
      <c r="R49" s="244">
        <v>4.117</v>
      </c>
      <c r="S49" s="244">
        <v>10.593</v>
      </c>
      <c r="T49" s="1277">
        <v>37.299999999999997</v>
      </c>
      <c r="U49" s="1278">
        <f t="shared" si="12"/>
        <v>9.0599951420937561</v>
      </c>
      <c r="V49" s="1278">
        <f t="shared" si="7"/>
        <v>61.134711602001325</v>
      </c>
      <c r="W49" s="1279">
        <v>0.2</v>
      </c>
      <c r="X49" s="1316">
        <v>100</v>
      </c>
      <c r="Y49" s="1277">
        <f t="shared" si="5"/>
        <v>52.964999999999996</v>
      </c>
      <c r="Z49" s="244">
        <f t="shared" si="10"/>
        <v>4.067596</v>
      </c>
      <c r="AA49" s="244">
        <f t="shared" si="10"/>
        <v>10.465883999999999</v>
      </c>
      <c r="AB49" s="1277">
        <f t="shared" si="10"/>
        <v>36.852399999999996</v>
      </c>
      <c r="AC49" s="244">
        <f t="shared" si="13"/>
        <v>9.0599951420937561</v>
      </c>
      <c r="AD49" s="1277">
        <f t="shared" si="13"/>
        <v>61.134711602001325</v>
      </c>
      <c r="AE49" s="241">
        <f t="shared" si="14"/>
        <v>31</v>
      </c>
      <c r="AF49" s="244">
        <f t="shared" si="3"/>
        <v>126.09547600000001</v>
      </c>
      <c r="AG49" s="1285"/>
      <c r="AI49" s="1282">
        <f t="shared" si="4"/>
        <v>12.883927801609723</v>
      </c>
      <c r="AJ49" s="1252">
        <v>0.9083</v>
      </c>
      <c r="AK49" s="1252">
        <v>1.0169999999999999</v>
      </c>
      <c r="AL49" s="1252">
        <v>7.7447712000000004E-4</v>
      </c>
    </row>
    <row r="50" spans="1:38" s="1478" customFormat="1" ht="18.600000000000001" customHeight="1" x14ac:dyDescent="0.2">
      <c r="A50" s="1273">
        <v>32</v>
      </c>
      <c r="B50" s="1274" t="s">
        <v>207</v>
      </c>
      <c r="C50" s="241" t="s">
        <v>46</v>
      </c>
      <c r="D50" s="241">
        <v>674.39</v>
      </c>
      <c r="E50" s="241" t="s">
        <v>598</v>
      </c>
      <c r="F50" s="241">
        <v>177.8</v>
      </c>
      <c r="G50" s="241" t="s">
        <v>28</v>
      </c>
      <c r="H50" s="1299" t="s">
        <v>588</v>
      </c>
      <c r="I50" s="1747">
        <v>572.85</v>
      </c>
      <c r="J50" s="241">
        <v>120</v>
      </c>
      <c r="K50" s="241"/>
      <c r="L50" s="1277">
        <v>253</v>
      </c>
      <c r="M50" s="241"/>
      <c r="N50" s="1278">
        <v>0.8</v>
      </c>
      <c r="O50" s="241"/>
      <c r="P50" s="1278">
        <f t="shared" si="6"/>
        <v>31.638472635727606</v>
      </c>
      <c r="Q50" s="1278">
        <f>RIGHT(H50,(FIND("T",H50,1)-0))*J50/100</f>
        <v>16.8</v>
      </c>
      <c r="R50" s="244">
        <v>4.0839999999999996</v>
      </c>
      <c r="S50" s="244">
        <v>15.17</v>
      </c>
      <c r="T50" s="1277">
        <v>9.8330000000000002</v>
      </c>
      <c r="U50" s="1278">
        <f t="shared" si="12"/>
        <v>2.4076885406464252</v>
      </c>
      <c r="V50" s="1278">
        <f t="shared" si="7"/>
        <v>73.078444297956494</v>
      </c>
      <c r="W50" s="1279">
        <v>0.3</v>
      </c>
      <c r="X50" s="1316">
        <v>120</v>
      </c>
      <c r="Y50" s="1277">
        <f t="shared" si="5"/>
        <v>90.297619047619051</v>
      </c>
      <c r="Z50" s="244">
        <f t="shared" si="10"/>
        <v>4.0349919999999999</v>
      </c>
      <c r="AA50" s="244">
        <f t="shared" si="10"/>
        <v>14.987959999999999</v>
      </c>
      <c r="AB50" s="1277">
        <f t="shared" si="10"/>
        <v>9.7150040000000004</v>
      </c>
      <c r="AC50" s="244">
        <f t="shared" si="13"/>
        <v>2.4076885406464252</v>
      </c>
      <c r="AD50" s="1277">
        <f t="shared" si="13"/>
        <v>73.078444297956494</v>
      </c>
      <c r="AE50" s="241">
        <f t="shared" si="14"/>
        <v>31</v>
      </c>
      <c r="AF50" s="244">
        <f t="shared" si="3"/>
        <v>125.08475199999999</v>
      </c>
      <c r="AG50" s="1285"/>
      <c r="AH50" s="1252"/>
      <c r="AI50" s="1282">
        <f t="shared" si="4"/>
        <v>31.638472635727606</v>
      </c>
      <c r="AJ50" s="1252">
        <v>0.91710000000000003</v>
      </c>
      <c r="AK50" s="1252">
        <v>1.024</v>
      </c>
      <c r="AL50" s="1252">
        <v>7.9591010000000008E-4</v>
      </c>
    </row>
    <row r="51" spans="1:38" ht="30" customHeight="1" x14ac:dyDescent="0.2">
      <c r="A51" s="1273">
        <v>33</v>
      </c>
      <c r="B51" s="1274" t="s">
        <v>599</v>
      </c>
      <c r="C51" s="241" t="s">
        <v>46</v>
      </c>
      <c r="D51" s="1278">
        <v>684.01</v>
      </c>
      <c r="E51" s="1746" t="s">
        <v>600</v>
      </c>
      <c r="F51" s="241">
        <v>177.8</v>
      </c>
      <c r="G51" s="241" t="s">
        <v>28</v>
      </c>
      <c r="H51" s="1299" t="s">
        <v>687</v>
      </c>
      <c r="I51" s="1746">
        <v>546.08000000000004</v>
      </c>
      <c r="J51" s="241">
        <v>105</v>
      </c>
      <c r="K51" s="241"/>
      <c r="L51" s="1322">
        <v>176</v>
      </c>
      <c r="M51" s="241"/>
      <c r="N51" s="1306">
        <v>3.7</v>
      </c>
      <c r="O51" s="241"/>
      <c r="P51" s="1278">
        <f t="shared" si="6"/>
        <v>39.57412531651525</v>
      </c>
      <c r="Q51" s="1278">
        <f>20*J51/100</f>
        <v>21</v>
      </c>
      <c r="R51" s="244">
        <v>3.5249999999999999</v>
      </c>
      <c r="S51" s="244">
        <v>14.573</v>
      </c>
      <c r="T51" s="1277">
        <v>59.2</v>
      </c>
      <c r="U51" s="1278">
        <f t="shared" si="12"/>
        <v>16.794326241134755</v>
      </c>
      <c r="V51" s="1278">
        <f t="shared" si="7"/>
        <v>75.811432100459754</v>
      </c>
      <c r="W51" s="1279">
        <v>0.2</v>
      </c>
      <c r="X51" s="1316">
        <v>105</v>
      </c>
      <c r="Y51" s="1277">
        <f t="shared" si="5"/>
        <v>69.395238095238099</v>
      </c>
      <c r="Z51" s="244">
        <f t="shared" si="10"/>
        <v>3.4826999999999999</v>
      </c>
      <c r="AA51" s="244">
        <f t="shared" si="10"/>
        <v>14.398124000000001</v>
      </c>
      <c r="AB51" s="1277">
        <f t="shared" si="10"/>
        <v>58.489600000000003</v>
      </c>
      <c r="AC51" s="244">
        <f t="shared" si="13"/>
        <v>16.794326241134755</v>
      </c>
      <c r="AD51" s="1277">
        <f t="shared" si="13"/>
        <v>75.811432100459754</v>
      </c>
      <c r="AE51" s="241">
        <f t="shared" si="14"/>
        <v>31</v>
      </c>
      <c r="AF51" s="244">
        <f t="shared" si="3"/>
        <v>107.9637</v>
      </c>
      <c r="AG51" s="1285"/>
      <c r="AI51" s="1282">
        <f t="shared" si="4"/>
        <v>39.57412531651525</v>
      </c>
      <c r="AJ51" s="1252">
        <v>0.91579999999999995</v>
      </c>
      <c r="AK51" s="1252">
        <v>1.028</v>
      </c>
      <c r="AL51" s="1252">
        <v>7.7447712000000004E-4</v>
      </c>
    </row>
    <row r="52" spans="1:38" ht="18.75" customHeight="1" x14ac:dyDescent="0.2">
      <c r="A52" s="1273">
        <v>34</v>
      </c>
      <c r="B52" s="1274" t="s">
        <v>196</v>
      </c>
      <c r="C52" s="241" t="s">
        <v>46</v>
      </c>
      <c r="D52" s="241">
        <v>641</v>
      </c>
      <c r="E52" s="241" t="s">
        <v>619</v>
      </c>
      <c r="F52" s="241">
        <v>177.8</v>
      </c>
      <c r="G52" s="241" t="s">
        <v>28</v>
      </c>
      <c r="H52" s="241" t="s">
        <v>50</v>
      </c>
      <c r="I52" s="1743">
        <v>607.85</v>
      </c>
      <c r="J52" s="241"/>
      <c r="K52" s="1323">
        <v>58.46</v>
      </c>
      <c r="L52" s="1324"/>
      <c r="M52" s="1325">
        <v>0.3</v>
      </c>
      <c r="N52" s="1326"/>
      <c r="O52" s="241"/>
      <c r="P52" s="1278">
        <f t="shared" si="6"/>
        <v>52.724000149518879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5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4"/>
        <v>52.724000149518879</v>
      </c>
      <c r="AJ52" s="1252">
        <v>0.89590000000000003</v>
      </c>
      <c r="AK52" s="1252">
        <v>1.0169999999999999</v>
      </c>
      <c r="AL52" s="1252">
        <v>1.1667729E-3</v>
      </c>
    </row>
    <row r="53" spans="1:38" ht="18.75" customHeight="1" x14ac:dyDescent="0.2">
      <c r="A53" s="1273">
        <v>35</v>
      </c>
      <c r="B53" s="1274" t="s">
        <v>60</v>
      </c>
      <c r="C53" s="241" t="s">
        <v>46</v>
      </c>
      <c r="D53" s="241">
        <v>641.04999999999995</v>
      </c>
      <c r="E53" s="241" t="s">
        <v>462</v>
      </c>
      <c r="F53" s="241">
        <v>177.8</v>
      </c>
      <c r="G53" s="241" t="s">
        <v>28</v>
      </c>
      <c r="H53" s="1299" t="s">
        <v>592</v>
      </c>
      <c r="I53" s="1746">
        <v>535</v>
      </c>
      <c r="J53" s="1448">
        <v>110</v>
      </c>
      <c r="K53" s="241"/>
      <c r="L53" s="1277">
        <v>451</v>
      </c>
      <c r="M53" s="241"/>
      <c r="N53" s="1278">
        <v>4.5999999999999996</v>
      </c>
      <c r="O53" s="241"/>
      <c r="P53" s="1278">
        <f t="shared" si="6"/>
        <v>12.599463307451966</v>
      </c>
      <c r="Q53" s="1278">
        <f>RIGHT(H53,(FIND("T",H53,1)-0))*J53/100</f>
        <v>15.4</v>
      </c>
      <c r="R53" s="244">
        <v>3.8820000000000001</v>
      </c>
      <c r="S53" s="244">
        <v>11.898999999999999</v>
      </c>
      <c r="T53" s="1277">
        <v>153.4</v>
      </c>
      <c r="U53" s="1278">
        <f t="shared" si="12"/>
        <v>39.515713549716644</v>
      </c>
      <c r="V53" s="1278">
        <f t="shared" si="7"/>
        <v>67.375409698293979</v>
      </c>
      <c r="W53" s="1279">
        <v>0.2</v>
      </c>
      <c r="X53" s="1449">
        <v>110</v>
      </c>
      <c r="Y53" s="1277">
        <f t="shared" si="5"/>
        <v>77.266233766233768</v>
      </c>
      <c r="Z53" s="244">
        <f t="shared" ref="Z53:AB55" si="15">R53*0.988</f>
        <v>3.8354159999999999</v>
      </c>
      <c r="AA53" s="244">
        <f t="shared" si="15"/>
        <v>11.756212</v>
      </c>
      <c r="AB53" s="1277">
        <f t="shared" si="15"/>
        <v>151.5592</v>
      </c>
      <c r="AC53" s="244">
        <f>U53</f>
        <v>39.515713549716644</v>
      </c>
      <c r="AD53" s="1278">
        <f t="shared" ref="AD53" si="16">(AA53-Z53)/AA53*100</f>
        <v>67.375409698293979</v>
      </c>
      <c r="AE53" s="241">
        <f t="shared" si="14"/>
        <v>31</v>
      </c>
      <c r="AF53" s="244">
        <f t="shared" si="3"/>
        <v>118.897896</v>
      </c>
      <c r="AG53" s="1281"/>
      <c r="AI53" s="1282">
        <f t="shared" si="4"/>
        <v>12.599463307451966</v>
      </c>
      <c r="AJ53" s="1252">
        <v>0.88929999999999998</v>
      </c>
      <c r="AK53" s="1252">
        <v>1.02</v>
      </c>
      <c r="AL53" s="1252">
        <v>1.1667729E-3</v>
      </c>
    </row>
    <row r="54" spans="1:38" ht="18.75" customHeight="1" x14ac:dyDescent="0.2">
      <c r="A54" s="1273">
        <v>36</v>
      </c>
      <c r="B54" s="1274" t="s">
        <v>119</v>
      </c>
      <c r="C54" s="241" t="s">
        <v>404</v>
      </c>
      <c r="D54" s="241">
        <v>654.07000000000005</v>
      </c>
      <c r="E54" s="241" t="s">
        <v>410</v>
      </c>
      <c r="F54" s="241">
        <v>177.8</v>
      </c>
      <c r="G54" s="241" t="s">
        <v>28</v>
      </c>
      <c r="H54" s="241" t="s">
        <v>566</v>
      </c>
      <c r="I54" s="1743">
        <v>500.38</v>
      </c>
      <c r="J54" s="241"/>
      <c r="K54" s="241">
        <v>478</v>
      </c>
      <c r="L54" s="1277"/>
      <c r="M54" s="241">
        <v>0</v>
      </c>
      <c r="N54" s="1278"/>
      <c r="O54" s="241"/>
      <c r="P54" s="1278">
        <f t="shared" si="6"/>
        <v>42.733666838193933</v>
      </c>
      <c r="Q54" s="1278"/>
      <c r="R54" s="244"/>
      <c r="S54" s="244"/>
      <c r="T54" s="1277"/>
      <c r="U54" s="1278"/>
      <c r="V54" s="1278"/>
      <c r="W54" s="1279"/>
      <c r="X54" s="1316"/>
      <c r="Y54" s="1277">
        <f t="shared" si="5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4"/>
        <v>42.733666838193933</v>
      </c>
      <c r="AJ54" s="1252">
        <v>0.8821</v>
      </c>
      <c r="AK54" s="1252">
        <v>1.018</v>
      </c>
      <c r="AL54" s="1252">
        <v>1.0764654000000001E-3</v>
      </c>
    </row>
    <row r="55" spans="1:38" ht="29.25" customHeight="1" x14ac:dyDescent="0.2">
      <c r="A55" s="1273">
        <v>37</v>
      </c>
      <c r="B55" s="1274" t="s">
        <v>118</v>
      </c>
      <c r="C55" s="241" t="s">
        <v>408</v>
      </c>
      <c r="D55" s="241">
        <v>728.77</v>
      </c>
      <c r="E55" s="1746" t="s">
        <v>442</v>
      </c>
      <c r="F55" s="241">
        <v>177.8</v>
      </c>
      <c r="G55" s="241" t="s">
        <v>28</v>
      </c>
      <c r="H55" s="241" t="s">
        <v>687</v>
      </c>
      <c r="I55" s="1746">
        <v>515.54</v>
      </c>
      <c r="J55" s="241">
        <v>95</v>
      </c>
      <c r="K55" s="241"/>
      <c r="L55" s="1277">
        <v>402</v>
      </c>
      <c r="M55" s="241"/>
      <c r="N55" s="1278">
        <v>3.9</v>
      </c>
      <c r="O55" s="241"/>
      <c r="P55" s="1278">
        <f t="shared" si="6"/>
        <v>14.811518298384941</v>
      </c>
      <c r="Q55" s="1325">
        <f>J55*20/100</f>
        <v>19</v>
      </c>
      <c r="R55" s="244">
        <v>4.8230000000000004</v>
      </c>
      <c r="S55" s="244">
        <v>17.335999999999999</v>
      </c>
      <c r="T55" s="1277">
        <v>14.5</v>
      </c>
      <c r="U55" s="1278">
        <f t="shared" si="12"/>
        <v>3.0064275347294211</v>
      </c>
      <c r="V55" s="1278">
        <f t="shared" si="7"/>
        <v>72.179280110752188</v>
      </c>
      <c r="W55" s="1279">
        <v>0</v>
      </c>
      <c r="X55" s="1316">
        <v>95</v>
      </c>
      <c r="Y55" s="1277">
        <f t="shared" si="5"/>
        <v>91.242105263157896</v>
      </c>
      <c r="Z55" s="244">
        <f t="shared" si="15"/>
        <v>4.7651240000000001</v>
      </c>
      <c r="AA55" s="244">
        <f t="shared" si="15"/>
        <v>17.127967999999999</v>
      </c>
      <c r="AB55" s="1277">
        <f t="shared" si="15"/>
        <v>14.326000000000001</v>
      </c>
      <c r="AC55" s="1278">
        <f t="shared" ref="AC55" si="17">IF(Z55=0,0,AB55/Z55)</f>
        <v>3.0064275347294216</v>
      </c>
      <c r="AD55" s="1278">
        <f t="shared" ref="AD55" si="18">(AA55-Z55)/AA55*100</f>
        <v>72.179280110752188</v>
      </c>
      <c r="AE55" s="241">
        <f t="shared" si="14"/>
        <v>31</v>
      </c>
      <c r="AF55" s="244">
        <f t="shared" si="3"/>
        <v>147.71884399999999</v>
      </c>
      <c r="AG55" s="1281"/>
      <c r="AI55" s="1282">
        <f t="shared" si="4"/>
        <v>14.811518298384941</v>
      </c>
      <c r="AJ55" s="1252">
        <v>0.90849999999999997</v>
      </c>
      <c r="AK55" s="1252">
        <v>1.0209999999999999</v>
      </c>
      <c r="AL55" s="1252">
        <v>8.2480850000000007E-4</v>
      </c>
    </row>
    <row r="56" spans="1:38" ht="18.75" customHeight="1" x14ac:dyDescent="0.2">
      <c r="A56" s="1273">
        <v>38</v>
      </c>
      <c r="B56" s="1274" t="s">
        <v>117</v>
      </c>
      <c r="C56" s="241" t="s">
        <v>46</v>
      </c>
      <c r="D56" s="241">
        <v>671.45</v>
      </c>
      <c r="E56" s="241" t="s">
        <v>554</v>
      </c>
      <c r="F56" s="241">
        <v>177.8</v>
      </c>
      <c r="G56" s="241" t="s">
        <v>28</v>
      </c>
      <c r="H56" s="1299" t="s">
        <v>588</v>
      </c>
      <c r="I56" s="1743">
        <v>564.6500000000002</v>
      </c>
      <c r="J56" s="1448"/>
      <c r="K56" s="241"/>
      <c r="L56" s="1277"/>
      <c r="M56" s="241">
        <v>3.2</v>
      </c>
      <c r="N56" s="1278"/>
      <c r="O56" s="241"/>
      <c r="P56" s="1278">
        <f t="shared" si="6"/>
        <v>49.906249621021495</v>
      </c>
      <c r="Q56" s="1278"/>
      <c r="R56" s="244"/>
      <c r="S56" s="244"/>
      <c r="T56" s="1277"/>
      <c r="U56" s="1278"/>
      <c r="V56" s="1278"/>
      <c r="W56" s="1279"/>
      <c r="X56" s="1449"/>
      <c r="Y56" s="1277">
        <f t="shared" si="5"/>
        <v>0</v>
      </c>
      <c r="Z56" s="244"/>
      <c r="AA56" s="244"/>
      <c r="AB56" s="1277"/>
      <c r="AC56" s="244"/>
      <c r="AD56" s="1277"/>
      <c r="AE56" s="241"/>
      <c r="AF56" s="244"/>
      <c r="AG56" s="1281" t="s">
        <v>682</v>
      </c>
      <c r="AI56" s="1282">
        <f t="shared" si="4"/>
        <v>49.906249621021495</v>
      </c>
      <c r="AJ56" s="1252">
        <v>0.91290000000000004</v>
      </c>
      <c r="AK56" s="1252">
        <v>1.0189999999999999</v>
      </c>
      <c r="AL56" s="1252">
        <v>8.1276750000000011E-4</v>
      </c>
    </row>
    <row r="57" spans="1:38" ht="18.75" customHeight="1" x14ac:dyDescent="0.2">
      <c r="A57" s="1273">
        <v>39</v>
      </c>
      <c r="B57" s="1473" t="s">
        <v>115</v>
      </c>
      <c r="C57" s="1275" t="s">
        <v>46</v>
      </c>
      <c r="D57" s="1275">
        <v>580.71</v>
      </c>
      <c r="E57" s="1275" t="s">
        <v>286</v>
      </c>
      <c r="F57" s="241">
        <v>177.8</v>
      </c>
      <c r="G57" s="1275" t="s">
        <v>28</v>
      </c>
      <c r="H57" s="1474" t="s">
        <v>685</v>
      </c>
      <c r="I57" s="1475">
        <v>566.44000000000005</v>
      </c>
      <c r="J57" s="1275">
        <v>95</v>
      </c>
      <c r="K57" s="1275"/>
      <c r="L57" s="1323">
        <v>433</v>
      </c>
      <c r="M57" s="1275"/>
      <c r="N57" s="1278">
        <v>2</v>
      </c>
      <c r="O57" s="1275"/>
      <c r="P57" s="1278">
        <f t="shared" si="6"/>
        <v>14.691051864508736</v>
      </c>
      <c r="Q57" s="1278">
        <f>J57*14/100</f>
        <v>13.3</v>
      </c>
      <c r="R57" s="1459">
        <v>7.4039999999999999</v>
      </c>
      <c r="S57" s="244">
        <v>13.991</v>
      </c>
      <c r="T57" s="1323">
        <v>13.6</v>
      </c>
      <c r="U57" s="1278">
        <f t="shared" si="12"/>
        <v>1.8368449486763911</v>
      </c>
      <c r="V57" s="1278">
        <f t="shared" ref="V57:V86" si="19">(S57-R57)/S57*100</f>
        <v>47.080265885211922</v>
      </c>
      <c r="W57" s="1460">
        <v>0.2</v>
      </c>
      <c r="X57" s="1453">
        <v>95</v>
      </c>
      <c r="Y57" s="1277">
        <f t="shared" si="5"/>
        <v>105.19548872180451</v>
      </c>
      <c r="Z57" s="244">
        <f t="shared" ref="Z57:AB63" si="20">R57*0.988</f>
        <v>7.3151519999999994</v>
      </c>
      <c r="AA57" s="244">
        <f t="shared" si="20"/>
        <v>13.823108</v>
      </c>
      <c r="AB57" s="1277">
        <f t="shared" si="20"/>
        <v>13.4368</v>
      </c>
      <c r="AC57" s="1459">
        <f t="shared" ref="AC57:AD60" si="21">U57</f>
        <v>1.8368449486763911</v>
      </c>
      <c r="AD57" s="1277">
        <f t="shared" si="21"/>
        <v>47.080265885211922</v>
      </c>
      <c r="AE57" s="241">
        <f t="shared" si="14"/>
        <v>31</v>
      </c>
      <c r="AF57" s="1459">
        <f t="shared" si="3"/>
        <v>226.76971199999997</v>
      </c>
      <c r="AG57" s="1285"/>
      <c r="AI57" s="1282">
        <f t="shared" si="4"/>
        <v>14.691051864508736</v>
      </c>
      <c r="AJ57" s="1252">
        <v>0.91320000000000001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40</v>
      </c>
      <c r="B58" s="1274" t="s">
        <v>116</v>
      </c>
      <c r="C58" s="241" t="s">
        <v>46</v>
      </c>
      <c r="D58" s="241">
        <v>681.27</v>
      </c>
      <c r="E58" s="241" t="s">
        <v>601</v>
      </c>
      <c r="F58" s="241">
        <v>177.8</v>
      </c>
      <c r="G58" s="241" t="s">
        <v>28</v>
      </c>
      <c r="H58" s="241" t="s">
        <v>687</v>
      </c>
      <c r="I58" s="1746">
        <v>589.64</v>
      </c>
      <c r="J58" s="1448">
        <v>120</v>
      </c>
      <c r="K58" s="241"/>
      <c r="L58" s="1277">
        <v>202</v>
      </c>
      <c r="M58" s="241"/>
      <c r="N58" s="1278">
        <v>2</v>
      </c>
      <c r="O58" s="241"/>
      <c r="P58" s="1278">
        <f t="shared" si="6"/>
        <v>39.962267935658623</v>
      </c>
      <c r="Q58" s="1325">
        <f>J58*20/100</f>
        <v>24</v>
      </c>
      <c r="R58" s="244">
        <v>1.696</v>
      </c>
      <c r="S58" s="244">
        <v>18.212</v>
      </c>
      <c r="T58" s="1277">
        <v>6.2</v>
      </c>
      <c r="U58" s="1278">
        <f t="shared" si="12"/>
        <v>3.6556603773584908</v>
      </c>
      <c r="V58" s="1278">
        <f t="shared" si="19"/>
        <v>90.687458818361506</v>
      </c>
      <c r="W58" s="1279">
        <v>0</v>
      </c>
      <c r="X58" s="1449">
        <v>120</v>
      </c>
      <c r="Y58" s="1277">
        <f t="shared" si="5"/>
        <v>75.88333333333334</v>
      </c>
      <c r="Z58" s="244">
        <f t="shared" si="20"/>
        <v>1.675648</v>
      </c>
      <c r="AA58" s="244">
        <f t="shared" si="20"/>
        <v>17.993455999999998</v>
      </c>
      <c r="AB58" s="1277">
        <f t="shared" si="20"/>
        <v>6.1256000000000004</v>
      </c>
      <c r="AC58" s="1459">
        <f t="shared" si="21"/>
        <v>3.6556603773584908</v>
      </c>
      <c r="AD58" s="1277">
        <f t="shared" si="21"/>
        <v>90.687458818361506</v>
      </c>
      <c r="AE58" s="241">
        <f t="shared" si="14"/>
        <v>31</v>
      </c>
      <c r="AF58" s="244">
        <f t="shared" si="3"/>
        <v>51.945087999999998</v>
      </c>
      <c r="AG58" s="1281"/>
      <c r="AI58" s="1282">
        <f t="shared" si="4"/>
        <v>39.962267935658623</v>
      </c>
      <c r="AJ58" s="1252">
        <v>0.91420000000000001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41</v>
      </c>
      <c r="B59" s="1274" t="s">
        <v>120</v>
      </c>
      <c r="C59" s="241" t="s">
        <v>46</v>
      </c>
      <c r="D59" s="241">
        <v>669.48</v>
      </c>
      <c r="E59" s="241" t="s">
        <v>285</v>
      </c>
      <c r="F59" s="241">
        <v>177.8</v>
      </c>
      <c r="G59" s="241" t="s">
        <v>28</v>
      </c>
      <c r="H59" s="1275" t="s">
        <v>563</v>
      </c>
      <c r="I59" s="1746">
        <v>560.83000000000004</v>
      </c>
      <c r="J59" s="241">
        <v>110</v>
      </c>
      <c r="K59" s="241"/>
      <c r="L59" s="1277">
        <v>286</v>
      </c>
      <c r="M59" s="241"/>
      <c r="N59" s="1278">
        <v>0.1</v>
      </c>
      <c r="O59" s="241"/>
      <c r="P59" s="1278">
        <f t="shared" si="6"/>
        <v>26.100496127672191</v>
      </c>
      <c r="Q59" s="1325">
        <f>J59*15/100</f>
        <v>16.5</v>
      </c>
      <c r="R59" s="244">
        <v>7.625</v>
      </c>
      <c r="S59" s="244">
        <v>16.837</v>
      </c>
      <c r="T59" s="1277">
        <v>9.4</v>
      </c>
      <c r="U59" s="1278">
        <f t="shared" si="12"/>
        <v>1.2327868852459016</v>
      </c>
      <c r="V59" s="1278">
        <f t="shared" si="19"/>
        <v>54.712834828057254</v>
      </c>
      <c r="W59" s="1279">
        <v>0.2</v>
      </c>
      <c r="X59" s="1316">
        <v>110</v>
      </c>
      <c r="Y59" s="1277">
        <f t="shared" si="5"/>
        <v>102.04242424242425</v>
      </c>
      <c r="Z59" s="244">
        <f t="shared" si="20"/>
        <v>7.5335000000000001</v>
      </c>
      <c r="AA59" s="244">
        <f t="shared" si="20"/>
        <v>16.634955999999999</v>
      </c>
      <c r="AB59" s="1277">
        <f t="shared" si="20"/>
        <v>9.2872000000000003</v>
      </c>
      <c r="AC59" s="244">
        <f t="shared" si="21"/>
        <v>1.2327868852459016</v>
      </c>
      <c r="AD59" s="1277">
        <f t="shared" si="21"/>
        <v>54.712834828057254</v>
      </c>
      <c r="AE59" s="241">
        <f t="shared" si="14"/>
        <v>31</v>
      </c>
      <c r="AF59" s="244">
        <f t="shared" si="3"/>
        <v>233.5385</v>
      </c>
      <c r="AG59" s="1281"/>
      <c r="AI59" s="1282">
        <f t="shared" si="4"/>
        <v>26.100496127672191</v>
      </c>
      <c r="AJ59" s="1252">
        <v>0.91379999999999995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42</v>
      </c>
      <c r="B60" s="1274" t="s">
        <v>114</v>
      </c>
      <c r="C60" s="241" t="s">
        <v>46</v>
      </c>
      <c r="D60" s="241">
        <v>584.25</v>
      </c>
      <c r="E60" s="241" t="s">
        <v>602</v>
      </c>
      <c r="F60" s="241">
        <v>177.8</v>
      </c>
      <c r="G60" s="241" t="s">
        <v>28</v>
      </c>
      <c r="H60" s="1299" t="s">
        <v>540</v>
      </c>
      <c r="I60" s="1746">
        <v>556.55999999999995</v>
      </c>
      <c r="J60" s="241">
        <v>100</v>
      </c>
      <c r="K60" s="241"/>
      <c r="L60" s="1277">
        <v>101</v>
      </c>
      <c r="M60" s="241"/>
      <c r="N60" s="1278">
        <v>0.3</v>
      </c>
      <c r="O60" s="241"/>
      <c r="P60" s="1278">
        <f t="shared" si="6"/>
        <v>44.729589389659829</v>
      </c>
      <c r="Q60" s="1278">
        <f>J60*22/100</f>
        <v>22</v>
      </c>
      <c r="R60" s="244">
        <v>2.351</v>
      </c>
      <c r="S60" s="244">
        <v>18.117000000000001</v>
      </c>
      <c r="T60" s="1277">
        <v>7.3</v>
      </c>
      <c r="U60" s="1278">
        <f t="shared" si="12"/>
        <v>3.1050616758826033</v>
      </c>
      <c r="V60" s="1278">
        <f t="shared" si="19"/>
        <v>87.023237842909978</v>
      </c>
      <c r="W60" s="1279">
        <v>0.2</v>
      </c>
      <c r="X60" s="1316">
        <v>100</v>
      </c>
      <c r="Y60" s="1277">
        <f t="shared" si="5"/>
        <v>82.35</v>
      </c>
      <c r="Z60" s="244">
        <f t="shared" si="20"/>
        <v>2.3227880000000001</v>
      </c>
      <c r="AA60" s="244">
        <f t="shared" si="20"/>
        <v>17.899595999999999</v>
      </c>
      <c r="AB60" s="1277">
        <f t="shared" si="20"/>
        <v>7.2123999999999997</v>
      </c>
      <c r="AC60" s="244">
        <f t="shared" si="21"/>
        <v>3.1050616758826033</v>
      </c>
      <c r="AD60" s="1277">
        <f t="shared" si="21"/>
        <v>87.023237842909978</v>
      </c>
      <c r="AE60" s="241">
        <f t="shared" si="14"/>
        <v>31</v>
      </c>
      <c r="AF60" s="244">
        <f t="shared" si="3"/>
        <v>72.006428</v>
      </c>
      <c r="AG60" s="1281"/>
      <c r="AI60" s="1282">
        <f t="shared" si="4"/>
        <v>44.729589389659829</v>
      </c>
      <c r="AJ60" s="1252">
        <v>0.9254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43</v>
      </c>
      <c r="B61" s="1274" t="s">
        <v>106</v>
      </c>
      <c r="C61" s="241" t="s">
        <v>46</v>
      </c>
      <c r="D61" s="241">
        <v>582.16</v>
      </c>
      <c r="E61" s="241" t="s">
        <v>691</v>
      </c>
      <c r="F61" s="241">
        <v>177.8</v>
      </c>
      <c r="G61" s="241" t="s">
        <v>28</v>
      </c>
      <c r="H61" s="1299" t="s">
        <v>685</v>
      </c>
      <c r="I61" s="1746">
        <v>551.66</v>
      </c>
      <c r="J61" s="241">
        <v>120</v>
      </c>
      <c r="K61" s="241"/>
      <c r="L61" s="1277">
        <v>106</v>
      </c>
      <c r="M61" s="241"/>
      <c r="N61" s="1278">
        <v>1.6</v>
      </c>
      <c r="O61" s="241"/>
      <c r="P61" s="1278">
        <f t="shared" si="6"/>
        <v>45.012825468476585</v>
      </c>
      <c r="Q61" s="1278">
        <f>14*J61/100</f>
        <v>16.8</v>
      </c>
      <c r="R61" s="244">
        <v>1.399</v>
      </c>
      <c r="S61" s="244">
        <v>12.862</v>
      </c>
      <c r="T61" s="1277">
        <v>8.9</v>
      </c>
      <c r="U61" s="1278">
        <f t="shared" si="12"/>
        <v>6.3616869192280205</v>
      </c>
      <c r="V61" s="1278">
        <f t="shared" si="19"/>
        <v>89.122997978541449</v>
      </c>
      <c r="W61" s="1279">
        <v>0.2</v>
      </c>
      <c r="X61" s="1316">
        <v>120</v>
      </c>
      <c r="Y61" s="1277">
        <f t="shared" si="5"/>
        <v>76.55952380952381</v>
      </c>
      <c r="Z61" s="244">
        <f t="shared" si="20"/>
        <v>1.382212</v>
      </c>
      <c r="AA61" s="244">
        <f t="shared" si="20"/>
        <v>12.707656</v>
      </c>
      <c r="AB61" s="1277">
        <f t="shared" si="20"/>
        <v>8.7932000000000006</v>
      </c>
      <c r="AC61" s="244">
        <f>U61</f>
        <v>6.3616869192280205</v>
      </c>
      <c r="AD61" s="1277">
        <f>V61</f>
        <v>89.122997978541449</v>
      </c>
      <c r="AE61" s="241">
        <f t="shared" si="14"/>
        <v>31</v>
      </c>
      <c r="AF61" s="244">
        <f t="shared" si="3"/>
        <v>42.848571999999997</v>
      </c>
      <c r="AG61" s="1281"/>
      <c r="AI61" s="1282">
        <f t="shared" si="4"/>
        <v>45.012825468476585</v>
      </c>
      <c r="AJ61" s="1252">
        <v>0.89570000000000005</v>
      </c>
      <c r="AK61" s="1252">
        <v>1.018</v>
      </c>
      <c r="AL61" s="1252">
        <v>6.1000000000000004E-3</v>
      </c>
    </row>
    <row r="62" spans="1:38" ht="18.75" customHeight="1" x14ac:dyDescent="0.2">
      <c r="A62" s="1273">
        <v>44</v>
      </c>
      <c r="B62" s="1274" t="s">
        <v>105</v>
      </c>
      <c r="C62" s="241" t="s">
        <v>445</v>
      </c>
      <c r="D62" s="241">
        <v>565</v>
      </c>
      <c r="E62" s="241" t="s">
        <v>797</v>
      </c>
      <c r="F62" s="241">
        <v>177.8</v>
      </c>
      <c r="G62" s="241" t="s">
        <v>28</v>
      </c>
      <c r="H62" s="1299" t="s">
        <v>685</v>
      </c>
      <c r="I62" s="1746">
        <v>582.49</v>
      </c>
      <c r="J62" s="241">
        <v>100</v>
      </c>
      <c r="K62" s="241"/>
      <c r="L62" s="1319">
        <v>409</v>
      </c>
      <c r="M62" s="1278"/>
      <c r="N62" s="1278">
        <v>2.1</v>
      </c>
      <c r="O62" s="241"/>
      <c r="P62" s="1278">
        <f t="shared" si="6"/>
        <v>17.575728661387178</v>
      </c>
      <c r="Q62" s="1278">
        <f>14*J62/100</f>
        <v>14</v>
      </c>
      <c r="R62" s="244">
        <v>5.0270000000000001</v>
      </c>
      <c r="S62" s="244">
        <v>5.4240000000000004</v>
      </c>
      <c r="T62" s="1277">
        <v>107</v>
      </c>
      <c r="U62" s="1278">
        <f t="shared" si="12"/>
        <v>21.285060672369205</v>
      </c>
      <c r="V62" s="1278">
        <f t="shared" si="19"/>
        <v>7.3193215339233078</v>
      </c>
      <c r="W62" s="1279">
        <v>0.2</v>
      </c>
      <c r="X62" s="1316">
        <v>100</v>
      </c>
      <c r="Y62" s="1277">
        <f t="shared" si="5"/>
        <v>38.742857142857147</v>
      </c>
      <c r="Z62" s="244">
        <f t="shared" si="20"/>
        <v>4.9666759999999996</v>
      </c>
      <c r="AA62" s="244">
        <f t="shared" si="20"/>
        <v>5.3589120000000001</v>
      </c>
      <c r="AB62" s="1277">
        <f t="shared" si="20"/>
        <v>105.71599999999999</v>
      </c>
      <c r="AC62" s="244">
        <f>U62</f>
        <v>21.285060672369205</v>
      </c>
      <c r="AD62" s="1277">
        <f>V62</f>
        <v>7.3193215339233078</v>
      </c>
      <c r="AE62" s="241">
        <f t="shared" si="14"/>
        <v>31</v>
      </c>
      <c r="AF62" s="244">
        <f t="shared" si="3"/>
        <v>153.96695599999998</v>
      </c>
      <c r="AG62" s="1281"/>
      <c r="AI62" s="1282">
        <f t="shared" si="4"/>
        <v>17.575728661387178</v>
      </c>
      <c r="AJ62" s="1252">
        <v>0.8982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45</v>
      </c>
      <c r="B63" s="1274" t="s">
        <v>104</v>
      </c>
      <c r="C63" s="241" t="s">
        <v>580</v>
      </c>
      <c r="D63" s="241">
        <v>705.7</v>
      </c>
      <c r="E63" s="1746" t="s">
        <v>692</v>
      </c>
      <c r="F63" s="241">
        <v>177.8</v>
      </c>
      <c r="G63" s="241" t="s">
        <v>28</v>
      </c>
      <c r="H63" s="1299" t="s">
        <v>683</v>
      </c>
      <c r="I63" s="1746">
        <v>513.6</v>
      </c>
      <c r="J63" s="241">
        <v>110</v>
      </c>
      <c r="K63" s="241"/>
      <c r="L63" s="1277">
        <v>380</v>
      </c>
      <c r="M63" s="241"/>
      <c r="N63" s="1278">
        <v>0.5</v>
      </c>
      <c r="O63" s="241"/>
      <c r="P63" s="1278">
        <f t="shared" si="6"/>
        <v>12.867939922925899</v>
      </c>
      <c r="Q63" s="1278">
        <f>J63*13/100</f>
        <v>14.3</v>
      </c>
      <c r="R63" s="244">
        <v>1.661</v>
      </c>
      <c r="S63" s="244">
        <v>2.5489999999999999</v>
      </c>
      <c r="T63" s="1277">
        <v>6.7</v>
      </c>
      <c r="U63" s="1278">
        <f t="shared" si="12"/>
        <v>4.0337146297411195</v>
      </c>
      <c r="V63" s="1278">
        <f t="shared" si="19"/>
        <v>34.837191055315806</v>
      </c>
      <c r="W63" s="1279">
        <v>0.2</v>
      </c>
      <c r="X63" s="1316">
        <v>110</v>
      </c>
      <c r="Y63" s="1277">
        <f t="shared" si="5"/>
        <v>17.825174825174823</v>
      </c>
      <c r="Z63" s="244">
        <f t="shared" si="20"/>
        <v>1.641068</v>
      </c>
      <c r="AA63" s="244">
        <f t="shared" si="20"/>
        <v>2.5184120000000001</v>
      </c>
      <c r="AB63" s="1277">
        <f t="shared" si="20"/>
        <v>6.6196000000000002</v>
      </c>
      <c r="AC63" s="244">
        <f t="shared" ref="AC63:AD70" si="22">U63</f>
        <v>4.0337146297411195</v>
      </c>
      <c r="AD63" s="1277">
        <f>V63</f>
        <v>34.837191055315806</v>
      </c>
      <c r="AE63" s="241">
        <f t="shared" si="14"/>
        <v>31</v>
      </c>
      <c r="AF63" s="244">
        <f t="shared" si="3"/>
        <v>50.873108000000002</v>
      </c>
      <c r="AG63" s="1281"/>
      <c r="AI63" s="1282">
        <f t="shared" si="4"/>
        <v>12.867939922925899</v>
      </c>
      <c r="AJ63" s="1252">
        <v>0.89649999999999996</v>
      </c>
      <c r="AK63" s="1252">
        <v>1.018</v>
      </c>
      <c r="AL63" s="1252">
        <v>6.1000000000000004E-3</v>
      </c>
    </row>
    <row r="64" spans="1:38" ht="18.600000000000001" customHeight="1" x14ac:dyDescent="0.25">
      <c r="A64" s="1273">
        <v>46</v>
      </c>
      <c r="B64" s="1317" t="s">
        <v>158</v>
      </c>
      <c r="C64" s="241" t="s">
        <v>46</v>
      </c>
      <c r="D64" s="1746">
        <v>674.45</v>
      </c>
      <c r="E64" s="1746" t="s">
        <v>232</v>
      </c>
      <c r="F64" s="241">
        <v>177.8</v>
      </c>
      <c r="G64" s="241" t="s">
        <v>28</v>
      </c>
      <c r="H64" s="1299" t="s">
        <v>464</v>
      </c>
      <c r="I64" s="1746">
        <v>542.6</v>
      </c>
      <c r="J64" s="1746">
        <v>150</v>
      </c>
      <c r="K64" s="1746"/>
      <c r="L64" s="1319">
        <v>472</v>
      </c>
      <c r="M64" s="1746"/>
      <c r="N64" s="1278">
        <v>2.2999999999999998</v>
      </c>
      <c r="O64" s="1746"/>
      <c r="P64" s="1278">
        <f t="shared" si="6"/>
        <v>8.9378061863676468</v>
      </c>
      <c r="Q64" s="1278">
        <f>RIGHT(H64,(FIND("T",H64,1)-0))*J64/100</f>
        <v>21</v>
      </c>
      <c r="R64" s="244">
        <v>5.4219999999999997</v>
      </c>
      <c r="S64" s="244">
        <v>7.7859999999999996</v>
      </c>
      <c r="T64" s="1319">
        <v>26.8</v>
      </c>
      <c r="U64" s="1278">
        <f t="shared" si="12"/>
        <v>4.9428255256362972</v>
      </c>
      <c r="V64" s="1278">
        <f t="shared" si="19"/>
        <v>30.362188543539688</v>
      </c>
      <c r="W64" s="1279">
        <v>0.2</v>
      </c>
      <c r="X64" s="1410">
        <v>150</v>
      </c>
      <c r="Y64" s="1277">
        <f t="shared" si="5"/>
        <v>37.076190476190476</v>
      </c>
      <c r="Z64" s="244">
        <f t="shared" ref="Z64:AB78" si="23">R64*0.988</f>
        <v>5.3569359999999993</v>
      </c>
      <c r="AA64" s="244">
        <f t="shared" si="23"/>
        <v>7.6925679999999996</v>
      </c>
      <c r="AB64" s="1277">
        <f t="shared" si="23"/>
        <v>26.478400000000001</v>
      </c>
      <c r="AC64" s="244">
        <f t="shared" si="22"/>
        <v>4.9428255256362972</v>
      </c>
      <c r="AD64" s="1277">
        <f t="shared" si="22"/>
        <v>30.362188543539688</v>
      </c>
      <c r="AE64" s="241">
        <f t="shared" si="14"/>
        <v>31</v>
      </c>
      <c r="AF64" s="244">
        <f>Z64*AE64</f>
        <v>166.06501599999999</v>
      </c>
      <c r="AG64" s="1342"/>
      <c r="AI64" s="1282">
        <f t="shared" si="4"/>
        <v>8.9378061863676468</v>
      </c>
      <c r="AJ64" s="1252">
        <v>0.8921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47</v>
      </c>
      <c r="B65" s="1274" t="s">
        <v>164</v>
      </c>
      <c r="C65" s="241" t="s">
        <v>46</v>
      </c>
      <c r="D65" s="1746">
        <v>678.47</v>
      </c>
      <c r="E65" s="1746" t="s">
        <v>606</v>
      </c>
      <c r="F65" s="241">
        <v>177.8</v>
      </c>
      <c r="G65" s="241" t="s">
        <v>28</v>
      </c>
      <c r="H65" s="241" t="s">
        <v>687</v>
      </c>
      <c r="I65" s="1746">
        <v>576.29999999999995</v>
      </c>
      <c r="J65" s="1373">
        <v>85</v>
      </c>
      <c r="K65" s="1746"/>
      <c r="L65" s="1319">
        <v>126</v>
      </c>
      <c r="M65" s="1746"/>
      <c r="N65" s="1278">
        <v>0.2</v>
      </c>
      <c r="O65" s="1746"/>
      <c r="P65" s="1278">
        <f t="shared" si="6"/>
        <v>43.691960054891396</v>
      </c>
      <c r="Q65" s="1278">
        <f>RIGHT(H65,(FIND("T",H65,1)-0))*J65/100</f>
        <v>17</v>
      </c>
      <c r="R65" s="244">
        <v>3.6589999999999998</v>
      </c>
      <c r="S65" s="244">
        <v>16.78</v>
      </c>
      <c r="T65" s="1277">
        <v>30.7</v>
      </c>
      <c r="U65" s="1278">
        <f t="shared" si="12"/>
        <v>8.3902705657283416</v>
      </c>
      <c r="V65" s="1278">
        <f t="shared" si="19"/>
        <v>78.194278903456507</v>
      </c>
      <c r="W65" s="1279">
        <v>0.2</v>
      </c>
      <c r="X65" s="1452">
        <v>85</v>
      </c>
      <c r="Y65" s="1277">
        <f t="shared" si="5"/>
        <v>98.705882352941188</v>
      </c>
      <c r="Z65" s="244">
        <f t="shared" si="23"/>
        <v>3.6150919999999998</v>
      </c>
      <c r="AA65" s="244">
        <f t="shared" si="23"/>
        <v>16.57864</v>
      </c>
      <c r="AB65" s="1277">
        <f t="shared" si="23"/>
        <v>30.331599999999998</v>
      </c>
      <c r="AC65" s="244">
        <f t="shared" si="22"/>
        <v>8.3902705657283416</v>
      </c>
      <c r="AD65" s="1277">
        <f t="shared" si="22"/>
        <v>78.194278903456507</v>
      </c>
      <c r="AE65" s="241">
        <f t="shared" si="14"/>
        <v>31</v>
      </c>
      <c r="AF65" s="244">
        <f t="shared" ref="AF65:AF75" si="24">Z65*AE65</f>
        <v>112.06785199999999</v>
      </c>
      <c r="AG65" s="1281"/>
      <c r="AI65" s="1282">
        <f t="shared" si="4"/>
        <v>43.691960054891396</v>
      </c>
      <c r="AJ65" s="1252">
        <v>0.91659999999999997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48</v>
      </c>
      <c r="B66" s="1274" t="s">
        <v>61</v>
      </c>
      <c r="C66" s="241" t="s">
        <v>46</v>
      </c>
      <c r="D66" s="241">
        <v>667.18</v>
      </c>
      <c r="E66" s="241" t="s">
        <v>96</v>
      </c>
      <c r="F66" s="241">
        <v>177.8</v>
      </c>
      <c r="G66" s="241" t="s">
        <v>28</v>
      </c>
      <c r="H66" s="1299" t="s">
        <v>693</v>
      </c>
      <c r="I66" s="1746">
        <v>541.12</v>
      </c>
      <c r="J66" s="241">
        <v>175</v>
      </c>
      <c r="K66" s="241"/>
      <c r="L66" s="1277">
        <v>446</v>
      </c>
      <c r="M66" s="241"/>
      <c r="N66" s="1278">
        <v>3.7</v>
      </c>
      <c r="O66" s="241"/>
      <c r="P66" s="1278">
        <f t="shared" si="6"/>
        <v>12.909707842427489</v>
      </c>
      <c r="Q66" s="1278">
        <f>20*J66/100</f>
        <v>35</v>
      </c>
      <c r="R66" s="244">
        <v>6.6849999999999996</v>
      </c>
      <c r="S66" s="244">
        <v>17.936</v>
      </c>
      <c r="T66" s="1277">
        <v>44.7</v>
      </c>
      <c r="U66" s="1278">
        <f t="shared" si="12"/>
        <v>6.6866118175018707</v>
      </c>
      <c r="V66" s="1278">
        <f t="shared" si="19"/>
        <v>62.728590544157015</v>
      </c>
      <c r="W66" s="1279">
        <v>0.2</v>
      </c>
      <c r="X66" s="1316">
        <v>175</v>
      </c>
      <c r="Y66" s="1277">
        <f t="shared" si="5"/>
        <v>51.245714285714286</v>
      </c>
      <c r="Z66" s="244">
        <f t="shared" si="23"/>
        <v>6.6047799999999999</v>
      </c>
      <c r="AA66" s="244">
        <f t="shared" si="23"/>
        <v>17.720768</v>
      </c>
      <c r="AB66" s="1277">
        <f t="shared" si="23"/>
        <v>44.163600000000002</v>
      </c>
      <c r="AC66" s="244">
        <f t="shared" si="22"/>
        <v>6.6866118175018707</v>
      </c>
      <c r="AD66" s="1277">
        <f t="shared" si="22"/>
        <v>62.728590544157015</v>
      </c>
      <c r="AE66" s="241">
        <f t="shared" si="14"/>
        <v>31</v>
      </c>
      <c r="AF66" s="244">
        <f t="shared" si="24"/>
        <v>204.74817999999999</v>
      </c>
      <c r="AG66" s="1285"/>
      <c r="AI66" s="1282">
        <f t="shared" si="4"/>
        <v>12.909707842427489</v>
      </c>
      <c r="AJ66" s="1252">
        <v>0.8931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49</v>
      </c>
      <c r="B67" s="1274" t="s">
        <v>64</v>
      </c>
      <c r="C67" s="241" t="s">
        <v>46</v>
      </c>
      <c r="D67" s="241">
        <v>674.52</v>
      </c>
      <c r="E67" s="241" t="s">
        <v>444</v>
      </c>
      <c r="F67" s="241">
        <v>177.8</v>
      </c>
      <c r="G67" s="241" t="s">
        <v>28</v>
      </c>
      <c r="H67" s="1299" t="s">
        <v>464</v>
      </c>
      <c r="I67" s="1746">
        <v>521.42999999999995</v>
      </c>
      <c r="J67" s="241">
        <v>300</v>
      </c>
      <c r="K67" s="241"/>
      <c r="L67" s="1277">
        <v>460</v>
      </c>
      <c r="M67" s="241"/>
      <c r="N67" s="1278">
        <v>4.8</v>
      </c>
      <c r="O67" s="241"/>
      <c r="P67" s="1278">
        <f t="shared" si="6"/>
        <v>10.610040208897349</v>
      </c>
      <c r="Q67" s="1278">
        <f>J67*14/100</f>
        <v>42</v>
      </c>
      <c r="R67" s="244">
        <v>8.2219999999999995</v>
      </c>
      <c r="S67" s="244">
        <v>13.196999999999999</v>
      </c>
      <c r="T67" s="1277">
        <v>289.3</v>
      </c>
      <c r="U67" s="1278">
        <f t="shared" si="12"/>
        <v>35.186086110435419</v>
      </c>
      <c r="V67" s="1278">
        <f t="shared" si="19"/>
        <v>37.697961657952568</v>
      </c>
      <c r="W67" s="1279">
        <v>0.2</v>
      </c>
      <c r="X67" s="1316">
        <v>300</v>
      </c>
      <c r="Y67" s="1277">
        <f t="shared" si="5"/>
        <v>31.421428571428567</v>
      </c>
      <c r="Z67" s="244">
        <f t="shared" si="23"/>
        <v>8.1233360000000001</v>
      </c>
      <c r="AA67" s="244">
        <f t="shared" si="23"/>
        <v>13.038635999999999</v>
      </c>
      <c r="AB67" s="1277">
        <f t="shared" si="23"/>
        <v>285.82839999999999</v>
      </c>
      <c r="AC67" s="244">
        <f t="shared" si="22"/>
        <v>35.186086110435419</v>
      </c>
      <c r="AD67" s="1277">
        <f t="shared" si="22"/>
        <v>37.697961657952568</v>
      </c>
      <c r="AE67" s="241">
        <f t="shared" si="14"/>
        <v>31</v>
      </c>
      <c r="AF67" s="244">
        <f t="shared" si="24"/>
        <v>251.82341600000001</v>
      </c>
      <c r="AG67" s="1285"/>
      <c r="AI67" s="1282">
        <f t="shared" si="4"/>
        <v>10.610040208897349</v>
      </c>
      <c r="AJ67" s="1252">
        <v>0.87870000000000004</v>
      </c>
      <c r="AK67" s="1252">
        <v>1.018</v>
      </c>
      <c r="AL67" s="1252">
        <v>6.1000000000000004E-3</v>
      </c>
    </row>
    <row r="68" spans="1:38" ht="29.25" customHeight="1" x14ac:dyDescent="0.2">
      <c r="A68" s="1273">
        <v>50</v>
      </c>
      <c r="B68" s="1274" t="s">
        <v>156</v>
      </c>
      <c r="C68" s="241" t="s">
        <v>408</v>
      </c>
      <c r="D68" s="241">
        <v>679.54</v>
      </c>
      <c r="E68" s="1746" t="s">
        <v>607</v>
      </c>
      <c r="F68" s="241">
        <v>177.8</v>
      </c>
      <c r="G68" s="241" t="s">
        <v>28</v>
      </c>
      <c r="H68" s="241" t="s">
        <v>464</v>
      </c>
      <c r="I68" s="1746">
        <v>512.28</v>
      </c>
      <c r="J68" s="241">
        <v>195</v>
      </c>
      <c r="K68" s="241"/>
      <c r="L68" s="1277">
        <v>413</v>
      </c>
      <c r="M68" s="241"/>
      <c r="N68" s="1278">
        <v>2.4</v>
      </c>
      <c r="O68" s="241"/>
      <c r="P68" s="1278">
        <f t="shared" si="6"/>
        <v>11.924487902840628</v>
      </c>
      <c r="Q68" s="1278">
        <f>J68*14/100</f>
        <v>27.3</v>
      </c>
      <c r="R68" s="244">
        <v>5.1280000000000001</v>
      </c>
      <c r="S68" s="244">
        <v>10.631</v>
      </c>
      <c r="T68" s="1277">
        <v>7</v>
      </c>
      <c r="U68" s="1278">
        <f t="shared" si="12"/>
        <v>1.3650546021840873</v>
      </c>
      <c r="V68" s="1278">
        <f t="shared" si="19"/>
        <v>51.763709904994826</v>
      </c>
      <c r="W68" s="1279">
        <v>0.2</v>
      </c>
      <c r="X68" s="1316">
        <v>195</v>
      </c>
      <c r="Y68" s="1277">
        <f t="shared" si="5"/>
        <v>38.941391941391942</v>
      </c>
      <c r="Z68" s="244">
        <f t="shared" si="23"/>
        <v>5.0664639999999999</v>
      </c>
      <c r="AA68" s="244">
        <f t="shared" si="23"/>
        <v>10.503428</v>
      </c>
      <c r="AB68" s="1277">
        <f t="shared" si="23"/>
        <v>6.9160000000000004</v>
      </c>
      <c r="AC68" s="244">
        <f t="shared" si="22"/>
        <v>1.3650546021840873</v>
      </c>
      <c r="AD68" s="1277">
        <f t="shared" si="22"/>
        <v>51.763709904994826</v>
      </c>
      <c r="AE68" s="241">
        <f t="shared" si="14"/>
        <v>31</v>
      </c>
      <c r="AF68" s="244">
        <f t="shared" si="24"/>
        <v>157.060384</v>
      </c>
      <c r="AG68" s="1285"/>
      <c r="AI68" s="1282">
        <f t="shared" si="4"/>
        <v>11.924487902840628</v>
      </c>
      <c r="AJ68" s="1252">
        <v>0.90920000000000001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51</v>
      </c>
      <c r="B69" s="1274" t="s">
        <v>169</v>
      </c>
      <c r="C69" s="241" t="s">
        <v>46</v>
      </c>
      <c r="D69" s="241">
        <v>578.64</v>
      </c>
      <c r="E69" s="241" t="s">
        <v>694</v>
      </c>
      <c r="F69" s="241">
        <v>177.8</v>
      </c>
      <c r="G69" s="241" t="s">
        <v>28</v>
      </c>
      <c r="H69" s="241" t="s">
        <v>466</v>
      </c>
      <c r="I69" s="1746">
        <v>539.28</v>
      </c>
      <c r="J69" s="241">
        <v>100</v>
      </c>
      <c r="K69" s="241"/>
      <c r="L69" s="1277">
        <v>238</v>
      </c>
      <c r="M69" s="241"/>
      <c r="N69" s="1278">
        <v>3.97</v>
      </c>
      <c r="O69" s="241"/>
      <c r="P69" s="1278">
        <f t="shared" si="6"/>
        <v>33.224075510095098</v>
      </c>
      <c r="Q69" s="1278">
        <f>J69*13/100</f>
        <v>13</v>
      </c>
      <c r="R69" s="244">
        <v>1.0329999999999999</v>
      </c>
      <c r="S69" s="244">
        <v>5.7450000000000001</v>
      </c>
      <c r="T69" s="1277">
        <v>8.8000000000000007</v>
      </c>
      <c r="U69" s="1278">
        <f t="shared" si="12"/>
        <v>8.5188770571151995</v>
      </c>
      <c r="V69" s="1278">
        <f t="shared" si="19"/>
        <v>82.019147084421235</v>
      </c>
      <c r="W69" s="1279">
        <v>0.2</v>
      </c>
      <c r="X69" s="1316">
        <v>100</v>
      </c>
      <c r="Y69" s="1277">
        <f t="shared" si="5"/>
        <v>44.192307692307693</v>
      </c>
      <c r="Z69" s="244">
        <f t="shared" si="23"/>
        <v>1.0206039999999998</v>
      </c>
      <c r="AA69" s="244">
        <f t="shared" si="23"/>
        <v>5.6760599999999997</v>
      </c>
      <c r="AB69" s="1277">
        <f t="shared" si="23"/>
        <v>8.6943999999999999</v>
      </c>
      <c r="AC69" s="244">
        <f t="shared" si="22"/>
        <v>8.5188770571151995</v>
      </c>
      <c r="AD69" s="1277">
        <f t="shared" si="22"/>
        <v>82.019147084421235</v>
      </c>
      <c r="AE69" s="241">
        <f t="shared" si="14"/>
        <v>31</v>
      </c>
      <c r="AF69" s="244">
        <f>Z69*AE69</f>
        <v>31.638723999999996</v>
      </c>
      <c r="AG69" s="1281"/>
      <c r="AI69" s="1282">
        <f t="shared" si="4"/>
        <v>33.224075510095098</v>
      </c>
      <c r="AJ69" s="1252">
        <v>0.9073</v>
      </c>
      <c r="AK69" s="1252">
        <v>1.018</v>
      </c>
      <c r="AL69" s="1252">
        <v>6.1000000000000004E-3</v>
      </c>
    </row>
    <row r="70" spans="1:38" ht="19.5" customHeight="1" x14ac:dyDescent="0.2">
      <c r="A70" s="1273">
        <v>52</v>
      </c>
      <c r="B70" s="1274" t="s">
        <v>62</v>
      </c>
      <c r="C70" s="241" t="s">
        <v>46</v>
      </c>
      <c r="D70" s="241">
        <v>673.73</v>
      </c>
      <c r="E70" s="241" t="s">
        <v>97</v>
      </c>
      <c r="F70" s="241">
        <v>177.8</v>
      </c>
      <c r="G70" s="241" t="s">
        <v>28</v>
      </c>
      <c r="H70" s="1299" t="s">
        <v>565</v>
      </c>
      <c r="I70" s="1746">
        <v>541.46</v>
      </c>
      <c r="J70" s="241">
        <v>100</v>
      </c>
      <c r="K70" s="241"/>
      <c r="L70" s="1277">
        <v>247.5</v>
      </c>
      <c r="M70" s="241"/>
      <c r="N70" s="1278">
        <v>5.0999999999999996</v>
      </c>
      <c r="O70" s="241"/>
      <c r="P70" s="1278">
        <f t="shared" si="6"/>
        <v>33.738610808522367</v>
      </c>
      <c r="Q70" s="1278">
        <f>(32/100)*J70</f>
        <v>32</v>
      </c>
      <c r="R70" s="244">
        <v>3.911</v>
      </c>
      <c r="S70" s="244">
        <v>27.257999999999999</v>
      </c>
      <c r="T70" s="1277">
        <v>5</v>
      </c>
      <c r="U70" s="1278">
        <f t="shared" si="12"/>
        <v>1.2784454103809768</v>
      </c>
      <c r="V70" s="1278">
        <f t="shared" si="19"/>
        <v>85.651918702766153</v>
      </c>
      <c r="W70" s="1279">
        <v>0.2</v>
      </c>
      <c r="X70" s="1316">
        <v>100</v>
      </c>
      <c r="Y70" s="1277">
        <f t="shared" si="5"/>
        <v>85.181249999999991</v>
      </c>
      <c r="Z70" s="244">
        <f t="shared" si="23"/>
        <v>3.8640680000000001</v>
      </c>
      <c r="AA70" s="244">
        <f t="shared" si="23"/>
        <v>26.930903999999998</v>
      </c>
      <c r="AB70" s="1277">
        <f t="shared" si="23"/>
        <v>4.9399999999999995</v>
      </c>
      <c r="AC70" s="244">
        <f>U70</f>
        <v>1.2784454103809768</v>
      </c>
      <c r="AD70" s="1277">
        <f t="shared" si="22"/>
        <v>85.651918702766153</v>
      </c>
      <c r="AE70" s="241">
        <f t="shared" si="14"/>
        <v>31</v>
      </c>
      <c r="AF70" s="244">
        <f t="shared" si="24"/>
        <v>119.786108</v>
      </c>
      <c r="AG70" s="1285"/>
      <c r="AI70" s="1282">
        <f t="shared" si="4"/>
        <v>33.738610808522367</v>
      </c>
      <c r="AJ70" s="1252">
        <v>0.90039999999999998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53</v>
      </c>
      <c r="B71" s="1274" t="s">
        <v>157</v>
      </c>
      <c r="C71" s="241" t="s">
        <v>46</v>
      </c>
      <c r="D71" s="241">
        <v>602</v>
      </c>
      <c r="E71" s="241" t="s">
        <v>608</v>
      </c>
      <c r="F71" s="241">
        <v>177.8</v>
      </c>
      <c r="G71" s="241" t="s">
        <v>28</v>
      </c>
      <c r="H71" s="241" t="s">
        <v>695</v>
      </c>
      <c r="I71" s="1743">
        <v>541.84</v>
      </c>
      <c r="J71" s="1448">
        <v>0</v>
      </c>
      <c r="K71" s="241"/>
      <c r="L71" s="1277">
        <v>0</v>
      </c>
      <c r="M71" s="1278"/>
      <c r="N71" s="1278">
        <v>0</v>
      </c>
      <c r="O71" s="241"/>
      <c r="P71" s="1278" t="e">
        <f t="shared" si="6"/>
        <v>#DIV/0!</v>
      </c>
      <c r="Q71" s="1278">
        <f>(32/100)*J71</f>
        <v>0</v>
      </c>
      <c r="R71" s="244">
        <v>0</v>
      </c>
      <c r="S71" s="244">
        <v>0</v>
      </c>
      <c r="T71" s="1277">
        <v>0</v>
      </c>
      <c r="U71" s="1278">
        <f t="shared" si="12"/>
        <v>0</v>
      </c>
      <c r="V71" s="1278" t="e">
        <f t="shared" si="19"/>
        <v>#DIV/0!</v>
      </c>
      <c r="W71" s="1279">
        <v>0</v>
      </c>
      <c r="X71" s="1449">
        <v>0</v>
      </c>
      <c r="Y71" s="1277">
        <f t="shared" si="5"/>
        <v>0</v>
      </c>
      <c r="Z71" s="244">
        <f t="shared" si="23"/>
        <v>0</v>
      </c>
      <c r="AA71" s="244">
        <f t="shared" si="23"/>
        <v>0</v>
      </c>
      <c r="AB71" s="1277">
        <f t="shared" si="23"/>
        <v>0</v>
      </c>
      <c r="AC71" s="244">
        <f>U71</f>
        <v>0</v>
      </c>
      <c r="AD71" s="1277" t="e">
        <f>V71</f>
        <v>#DIV/0!</v>
      </c>
      <c r="AE71" s="241">
        <v>0</v>
      </c>
      <c r="AF71" s="244">
        <f t="shared" si="24"/>
        <v>0</v>
      </c>
      <c r="AG71" s="1281" t="s">
        <v>769</v>
      </c>
      <c r="AI71" s="1282" t="e">
        <f t="shared" si="4"/>
        <v>#DIV/0!</v>
      </c>
      <c r="AJ71" s="1252">
        <v>0.90700000000000003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54</v>
      </c>
      <c r="B72" s="1274" t="s">
        <v>159</v>
      </c>
      <c r="C72" s="241" t="s">
        <v>46</v>
      </c>
      <c r="D72" s="241">
        <v>676.1</v>
      </c>
      <c r="E72" s="241" t="s">
        <v>167</v>
      </c>
      <c r="F72" s="241">
        <v>177.8</v>
      </c>
      <c r="G72" s="241" t="s">
        <v>28</v>
      </c>
      <c r="H72" s="1299" t="s">
        <v>565</v>
      </c>
      <c r="I72" s="1746">
        <v>512.47</v>
      </c>
      <c r="J72" s="1277">
        <v>245</v>
      </c>
      <c r="K72" s="241"/>
      <c r="L72" s="1277">
        <v>462</v>
      </c>
      <c r="M72" s="241"/>
      <c r="N72" s="1278">
        <v>4.5999999999999996</v>
      </c>
      <c r="O72" s="241"/>
      <c r="P72" s="1278">
        <f t="shared" si="6"/>
        <v>9.2759340814010862</v>
      </c>
      <c r="Q72" s="1278">
        <f>(32*J72)/100</f>
        <v>78.400000000000006</v>
      </c>
      <c r="R72" s="244">
        <v>14.302</v>
      </c>
      <c r="S72" s="244">
        <v>17.984000000000002</v>
      </c>
      <c r="T72" s="1277">
        <v>416</v>
      </c>
      <c r="U72" s="1278">
        <f t="shared" si="12"/>
        <v>29.086841001258566</v>
      </c>
      <c r="V72" s="1278">
        <f t="shared" si="19"/>
        <v>20.473754448398587</v>
      </c>
      <c r="W72" s="1279">
        <v>0.2</v>
      </c>
      <c r="X72" s="1454">
        <v>245</v>
      </c>
      <c r="Y72" s="1277">
        <f t="shared" si="5"/>
        <v>22.938775510204081</v>
      </c>
      <c r="Z72" s="244">
        <f t="shared" si="23"/>
        <v>14.130376</v>
      </c>
      <c r="AA72" s="244">
        <f t="shared" si="23"/>
        <v>17.768192000000003</v>
      </c>
      <c r="AB72" s="1277">
        <f t="shared" si="23"/>
        <v>411.00799999999998</v>
      </c>
      <c r="AC72" s="244">
        <f>U72</f>
        <v>29.086841001258566</v>
      </c>
      <c r="AD72" s="1277">
        <f>V72</f>
        <v>20.473754448398587</v>
      </c>
      <c r="AE72" s="241">
        <f t="shared" si="14"/>
        <v>31</v>
      </c>
      <c r="AF72" s="244">
        <f t="shared" si="24"/>
        <v>438.04165599999999</v>
      </c>
      <c r="AG72" s="1281"/>
      <c r="AI72" s="1282">
        <f t="shared" si="4"/>
        <v>9.2759340814010862</v>
      </c>
      <c r="AJ72" s="1252">
        <v>0.871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55</v>
      </c>
      <c r="B73" s="1274" t="s">
        <v>330</v>
      </c>
      <c r="C73" s="241" t="s">
        <v>46</v>
      </c>
      <c r="D73" s="241">
        <v>594.58000000000004</v>
      </c>
      <c r="E73" s="241" t="s">
        <v>758</v>
      </c>
      <c r="F73" s="241">
        <v>178.8</v>
      </c>
      <c r="G73" s="241" t="s">
        <v>28</v>
      </c>
      <c r="H73" s="1299" t="s">
        <v>565</v>
      </c>
      <c r="I73" s="1746">
        <v>507.46</v>
      </c>
      <c r="J73" s="1448">
        <v>115</v>
      </c>
      <c r="K73" s="241"/>
      <c r="L73" s="1277">
        <v>454</v>
      </c>
      <c r="M73" s="241"/>
      <c r="N73" s="1278">
        <v>7.1</v>
      </c>
      <c r="O73" s="241"/>
      <c r="P73" s="1278">
        <f t="shared" si="6"/>
        <v>12.000993036062924</v>
      </c>
      <c r="Q73" s="1278">
        <f>J73*32/100</f>
        <v>36.799999999999997</v>
      </c>
      <c r="R73" s="244">
        <v>10.933999999999999</v>
      </c>
      <c r="S73" s="244">
        <v>12.686</v>
      </c>
      <c r="T73" s="1277">
        <v>101</v>
      </c>
      <c r="U73" s="1278">
        <f t="shared" si="12"/>
        <v>9.2372416316078301</v>
      </c>
      <c r="V73" s="1278">
        <f t="shared" si="19"/>
        <v>13.810499763518843</v>
      </c>
      <c r="W73" s="1279">
        <v>0.2</v>
      </c>
      <c r="X73" s="1449">
        <v>115</v>
      </c>
      <c r="Y73" s="1277">
        <f t="shared" si="5"/>
        <v>34.472826086956523</v>
      </c>
      <c r="Z73" s="244">
        <f t="shared" si="23"/>
        <v>10.802791999999998</v>
      </c>
      <c r="AA73" s="244">
        <f t="shared" si="23"/>
        <v>12.533768</v>
      </c>
      <c r="AB73" s="1277">
        <f t="shared" si="23"/>
        <v>99.787999999999997</v>
      </c>
      <c r="AC73" s="244">
        <v>20</v>
      </c>
      <c r="AD73" s="1277">
        <v>17</v>
      </c>
      <c r="AE73" s="241">
        <f t="shared" si="14"/>
        <v>31</v>
      </c>
      <c r="AF73" s="244">
        <f t="shared" si="24"/>
        <v>334.88655199999994</v>
      </c>
      <c r="AG73" s="1281"/>
      <c r="AI73" s="1282">
        <f t="shared" si="4"/>
        <v>12.000993036062924</v>
      </c>
      <c r="AJ73" s="1252">
        <v>0.87539999999999996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56</v>
      </c>
      <c r="B74" s="1274" t="s">
        <v>210</v>
      </c>
      <c r="C74" s="241" t="s">
        <v>46</v>
      </c>
      <c r="D74" s="241">
        <v>728.8</v>
      </c>
      <c r="E74" s="241" t="s">
        <v>610</v>
      </c>
      <c r="F74" s="241">
        <v>177.8</v>
      </c>
      <c r="G74" s="241" t="s">
        <v>28</v>
      </c>
      <c r="H74" s="1299" t="s">
        <v>540</v>
      </c>
      <c r="I74" s="1746">
        <v>549.1</v>
      </c>
      <c r="J74" s="1448">
        <v>205</v>
      </c>
      <c r="K74" s="241"/>
      <c r="L74" s="1277">
        <v>433</v>
      </c>
      <c r="M74" s="241"/>
      <c r="N74" s="1278">
        <v>7.9</v>
      </c>
      <c r="O74" s="241"/>
      <c r="P74" s="1278">
        <f t="shared" si="6"/>
        <v>18.989098172053399</v>
      </c>
      <c r="Q74" s="1278">
        <f>LEFT(H74,(FIND("E",H74,1)-1))*J74/100</f>
        <v>45.1</v>
      </c>
      <c r="R74" s="244">
        <v>11.262</v>
      </c>
      <c r="S74" s="244">
        <v>27.149000000000001</v>
      </c>
      <c r="T74" s="1277">
        <v>407.5</v>
      </c>
      <c r="U74" s="1278">
        <f t="shared" si="12"/>
        <v>36.183626354111169</v>
      </c>
      <c r="V74" s="1278">
        <f t="shared" si="19"/>
        <v>58.517809127408007</v>
      </c>
      <c r="W74" s="1279">
        <v>0.2</v>
      </c>
      <c r="X74" s="1449">
        <v>205</v>
      </c>
      <c r="Y74" s="1277">
        <f t="shared" si="5"/>
        <v>60.197339246119732</v>
      </c>
      <c r="Z74" s="244">
        <f t="shared" si="23"/>
        <v>11.126856</v>
      </c>
      <c r="AA74" s="244">
        <f t="shared" si="23"/>
        <v>26.823212000000002</v>
      </c>
      <c r="AB74" s="1277">
        <f t="shared" si="23"/>
        <v>402.61</v>
      </c>
      <c r="AC74" s="244">
        <f>U74</f>
        <v>36.183626354111169</v>
      </c>
      <c r="AD74" s="1277">
        <f>V74</f>
        <v>58.517809127408007</v>
      </c>
      <c r="AE74" s="241">
        <f t="shared" si="14"/>
        <v>31</v>
      </c>
      <c r="AF74" s="244">
        <f t="shared" si="24"/>
        <v>344.93253600000003</v>
      </c>
      <c r="AG74" s="1285"/>
      <c r="AI74" s="1282">
        <f t="shared" si="4"/>
        <v>18.989098172053399</v>
      </c>
      <c r="AJ74" s="1252">
        <v>0.88729999999999998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57</v>
      </c>
      <c r="B75" s="1274" t="s">
        <v>63</v>
      </c>
      <c r="C75" s="241" t="s">
        <v>46</v>
      </c>
      <c r="D75" s="241">
        <v>672.99</v>
      </c>
      <c r="E75" s="241" t="s">
        <v>98</v>
      </c>
      <c r="F75" s="241">
        <v>177.8</v>
      </c>
      <c r="G75" s="241" t="s">
        <v>28</v>
      </c>
      <c r="H75" s="241" t="s">
        <v>686</v>
      </c>
      <c r="I75" s="1746">
        <v>542.46</v>
      </c>
      <c r="J75" s="1448">
        <v>140</v>
      </c>
      <c r="K75" s="241"/>
      <c r="L75" s="1277">
        <v>367</v>
      </c>
      <c r="M75" s="241"/>
      <c r="N75" s="1278">
        <v>7.1</v>
      </c>
      <c r="O75" s="241"/>
      <c r="P75" s="1278">
        <f t="shared" si="6"/>
        <v>23.701496847831599</v>
      </c>
      <c r="Q75" s="1278">
        <f>(20/100)*J75</f>
        <v>28</v>
      </c>
      <c r="R75" s="244">
        <v>8.0299999999999994</v>
      </c>
      <c r="S75" s="244">
        <v>18.512</v>
      </c>
      <c r="T75" s="1277">
        <v>100.6</v>
      </c>
      <c r="U75" s="1278">
        <f t="shared" si="12"/>
        <v>12.5280199252802</v>
      </c>
      <c r="V75" s="1278">
        <f t="shared" si="19"/>
        <v>56.622731201382891</v>
      </c>
      <c r="W75" s="1279">
        <v>0.2</v>
      </c>
      <c r="X75" s="1449">
        <v>140</v>
      </c>
      <c r="Y75" s="1277">
        <f t="shared" si="5"/>
        <v>66.114285714285714</v>
      </c>
      <c r="Z75" s="244">
        <f t="shared" si="23"/>
        <v>7.9336399999999996</v>
      </c>
      <c r="AA75" s="244">
        <f t="shared" si="23"/>
        <v>18.289856</v>
      </c>
      <c r="AB75" s="1277">
        <f t="shared" si="23"/>
        <v>99.392799999999994</v>
      </c>
      <c r="AC75" s="244">
        <f>U75</f>
        <v>12.5280199252802</v>
      </c>
      <c r="AD75" s="1277">
        <f>V75</f>
        <v>56.622731201382891</v>
      </c>
      <c r="AE75" s="241">
        <f t="shared" si="14"/>
        <v>31</v>
      </c>
      <c r="AF75" s="244">
        <f t="shared" si="24"/>
        <v>245.94283999999999</v>
      </c>
      <c r="AG75" s="1285"/>
      <c r="AI75" s="1282">
        <f t="shared" si="4"/>
        <v>23.701496847831599</v>
      </c>
      <c r="AJ75" s="1252">
        <v>0.89470000000000005</v>
      </c>
      <c r="AK75" s="1252">
        <v>1.018</v>
      </c>
      <c r="AL75" s="1252">
        <v>6.1000000000000004E-3</v>
      </c>
    </row>
    <row r="76" spans="1:38" ht="18.75" customHeight="1" x14ac:dyDescent="0.2">
      <c r="A76" s="1273">
        <v>58</v>
      </c>
      <c r="B76" s="1274" t="s">
        <v>217</v>
      </c>
      <c r="C76" s="241" t="s">
        <v>408</v>
      </c>
      <c r="D76" s="241">
        <v>587.72</v>
      </c>
      <c r="E76" s="241" t="s">
        <v>611</v>
      </c>
      <c r="F76" s="241">
        <v>177.8</v>
      </c>
      <c r="G76" s="241" t="s">
        <v>28</v>
      </c>
      <c r="H76" s="1299" t="s">
        <v>466</v>
      </c>
      <c r="I76" s="1743">
        <v>555.54999999999995</v>
      </c>
      <c r="J76" s="1448">
        <v>0</v>
      </c>
      <c r="K76" s="241">
        <v>51</v>
      </c>
      <c r="L76" s="1277"/>
      <c r="M76" s="241">
        <v>4.8</v>
      </c>
      <c r="N76" s="1278"/>
      <c r="O76" s="241"/>
      <c r="P76" s="1278">
        <f t="shared" si="6"/>
        <v>47.870234344929671</v>
      </c>
      <c r="Q76" s="1278"/>
      <c r="R76" s="244"/>
      <c r="S76" s="244"/>
      <c r="T76" s="1277"/>
      <c r="U76" s="1278"/>
      <c r="V76" s="1278"/>
      <c r="W76" s="1279"/>
      <c r="X76" s="1449">
        <v>0</v>
      </c>
      <c r="Y76" s="1277">
        <f t="shared" si="5"/>
        <v>0</v>
      </c>
      <c r="Z76" s="244"/>
      <c r="AA76" s="244"/>
      <c r="AB76" s="1277"/>
      <c r="AC76" s="244"/>
      <c r="AD76" s="1277"/>
      <c r="AE76" s="241"/>
      <c r="AF76" s="244"/>
      <c r="AG76" s="1281" t="s">
        <v>682</v>
      </c>
      <c r="AI76" s="1282">
        <f t="shared" si="4"/>
        <v>47.870234344929671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59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746">
        <v>560.02</v>
      </c>
      <c r="J77" s="1448">
        <v>200</v>
      </c>
      <c r="K77" s="241"/>
      <c r="L77" s="1277">
        <v>185</v>
      </c>
      <c r="M77" s="241"/>
      <c r="N77" s="1278">
        <v>0.2</v>
      </c>
      <c r="O77" s="241"/>
      <c r="P77" s="1278">
        <f t="shared" si="6"/>
        <v>36.417795971997407</v>
      </c>
      <c r="Q77" s="1278">
        <f>(20*J77)/100</f>
        <v>40</v>
      </c>
      <c r="R77" s="244">
        <v>2.169</v>
      </c>
      <c r="S77" s="244">
        <v>9.016</v>
      </c>
      <c r="T77" s="1277">
        <v>43.8</v>
      </c>
      <c r="U77" s="1278">
        <f t="shared" si="12"/>
        <v>20.193637621023512</v>
      </c>
      <c r="V77" s="1278">
        <f t="shared" si="19"/>
        <v>75.942768411712507</v>
      </c>
      <c r="W77" s="1279">
        <v>0</v>
      </c>
      <c r="X77" s="1449">
        <v>200</v>
      </c>
      <c r="Y77" s="1277">
        <f t="shared" si="5"/>
        <v>22.54</v>
      </c>
      <c r="Z77" s="244">
        <f t="shared" ref="Z77:AB83" si="25">R77*0.988</f>
        <v>2.1429719999999999</v>
      </c>
      <c r="AA77" s="244">
        <f t="shared" si="23"/>
        <v>8.9078079999999993</v>
      </c>
      <c r="AB77" s="1277">
        <f t="shared" si="25"/>
        <v>43.2744</v>
      </c>
      <c r="AC77" s="244">
        <f t="shared" ref="AC77:AD83" si="26">U77</f>
        <v>20.193637621023512</v>
      </c>
      <c r="AD77" s="1277">
        <f t="shared" si="26"/>
        <v>75.942768411712507</v>
      </c>
      <c r="AE77" s="241">
        <f t="shared" si="14"/>
        <v>31</v>
      </c>
      <c r="AF77" s="244">
        <f t="shared" ref="AF77:AF83" si="27">Z77*AE77</f>
        <v>66.432131999999996</v>
      </c>
      <c r="AG77" s="1281"/>
      <c r="AI77" s="1282">
        <f t="shared" si="4"/>
        <v>36.417795971997407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60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799</v>
      </c>
      <c r="I78" s="1746">
        <v>510.1</v>
      </c>
      <c r="J78" s="1448">
        <v>110</v>
      </c>
      <c r="K78" s="241"/>
      <c r="L78" s="1277">
        <v>251.5</v>
      </c>
      <c r="M78" s="241"/>
      <c r="N78" s="1278">
        <v>7.2</v>
      </c>
      <c r="O78" s="241"/>
      <c r="P78" s="1278">
        <f t="shared" si="6"/>
        <v>31.706007217462986</v>
      </c>
      <c r="Q78" s="1278">
        <f>(32*J78)/100</f>
        <v>35.200000000000003</v>
      </c>
      <c r="R78" s="244">
        <v>8.173</v>
      </c>
      <c r="S78" s="244">
        <v>22.38</v>
      </c>
      <c r="T78" s="1277">
        <v>172</v>
      </c>
      <c r="U78" s="1278">
        <f t="shared" si="12"/>
        <v>21.044903952037195</v>
      </c>
      <c r="V78" s="1278">
        <f t="shared" si="19"/>
        <v>63.480786416443244</v>
      </c>
      <c r="W78" s="1279">
        <v>0.2</v>
      </c>
      <c r="X78" s="1449">
        <v>110</v>
      </c>
      <c r="Y78" s="1277">
        <f t="shared" si="5"/>
        <v>63.579545454545453</v>
      </c>
      <c r="Z78" s="244">
        <f t="shared" si="25"/>
        <v>8.0749239999999993</v>
      </c>
      <c r="AA78" s="244">
        <f t="shared" si="23"/>
        <v>22.111439999999998</v>
      </c>
      <c r="AB78" s="1277">
        <f t="shared" si="25"/>
        <v>169.93600000000001</v>
      </c>
      <c r="AC78" s="244">
        <f t="shared" si="26"/>
        <v>21.044903952037195</v>
      </c>
      <c r="AD78" s="1277">
        <f t="shared" si="26"/>
        <v>63.480786416443244</v>
      </c>
      <c r="AE78" s="241">
        <f t="shared" si="14"/>
        <v>31</v>
      </c>
      <c r="AF78" s="244">
        <f t="shared" si="27"/>
        <v>250.32264399999997</v>
      </c>
      <c r="AG78" s="1285"/>
      <c r="AI78" s="1282">
        <f t="shared" si="4"/>
        <v>31.706007217462986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61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746">
        <v>533.89</v>
      </c>
      <c r="J79" s="1448">
        <v>85</v>
      </c>
      <c r="K79" s="241"/>
      <c r="L79" s="1277">
        <v>95</v>
      </c>
      <c r="M79" s="241"/>
      <c r="N79" s="1278">
        <v>5.9</v>
      </c>
      <c r="O79" s="241"/>
      <c r="P79" s="1278">
        <f t="shared" si="6"/>
        <v>48.387964768338129</v>
      </c>
      <c r="Q79" s="1278">
        <f>(20/100)*J79</f>
        <v>17</v>
      </c>
      <c r="R79" s="244">
        <v>2.4460000000000002</v>
      </c>
      <c r="S79" s="244">
        <v>13.125999999999999</v>
      </c>
      <c r="T79" s="1277">
        <v>32.4</v>
      </c>
      <c r="U79" s="1278">
        <f t="shared" si="12"/>
        <v>13.246116107931314</v>
      </c>
      <c r="V79" s="1278">
        <f t="shared" si="19"/>
        <v>81.365229315861654</v>
      </c>
      <c r="W79" s="1279">
        <v>0</v>
      </c>
      <c r="X79" s="1449">
        <v>85</v>
      </c>
      <c r="Y79" s="1277">
        <f t="shared" si="5"/>
        <v>77.211764705882345</v>
      </c>
      <c r="Z79" s="244">
        <f t="shared" si="25"/>
        <v>2.4166480000000004</v>
      </c>
      <c r="AA79" s="244">
        <f t="shared" si="25"/>
        <v>12.968487999999999</v>
      </c>
      <c r="AB79" s="1277">
        <f t="shared" si="25"/>
        <v>32.011199999999995</v>
      </c>
      <c r="AC79" s="244">
        <f t="shared" si="26"/>
        <v>13.246116107931314</v>
      </c>
      <c r="AD79" s="1277">
        <f t="shared" si="26"/>
        <v>81.365229315861654</v>
      </c>
      <c r="AE79" s="241">
        <f t="shared" si="14"/>
        <v>31</v>
      </c>
      <c r="AF79" s="244">
        <f t="shared" si="27"/>
        <v>74.916088000000016</v>
      </c>
      <c r="AG79" s="1281"/>
      <c r="AI79" s="1282">
        <f t="shared" si="4"/>
        <v>48.387964768338129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62</v>
      </c>
      <c r="B80" s="1274" t="s">
        <v>423</v>
      </c>
      <c r="C80" s="241" t="s">
        <v>46</v>
      </c>
      <c r="D80" s="241">
        <v>687.52</v>
      </c>
      <c r="E80" s="26" t="s">
        <v>757</v>
      </c>
      <c r="F80" s="241">
        <v>179.8</v>
      </c>
      <c r="G80" s="241" t="s">
        <v>28</v>
      </c>
      <c r="H80" s="1299" t="s">
        <v>565</v>
      </c>
      <c r="I80" s="1746">
        <v>572.76</v>
      </c>
      <c r="J80" s="1448">
        <v>150</v>
      </c>
      <c r="K80" s="241"/>
      <c r="L80" s="1277">
        <v>325</v>
      </c>
      <c r="M80" s="241"/>
      <c r="N80" s="1278">
        <v>6.4</v>
      </c>
      <c r="O80" s="241"/>
      <c r="P80" s="1278">
        <f t="shared" si="6"/>
        <v>26.96801450540875</v>
      </c>
      <c r="Q80" s="1278">
        <f>(32/100)*J80</f>
        <v>48</v>
      </c>
      <c r="R80" s="244">
        <v>10.089</v>
      </c>
      <c r="S80" s="244">
        <v>11.301</v>
      </c>
      <c r="T80" s="1277">
        <v>644</v>
      </c>
      <c r="U80" s="1278">
        <f t="shared" si="12"/>
        <v>63.831896124492019</v>
      </c>
      <c r="V80" s="1278">
        <f t="shared" si="19"/>
        <v>10.724714627024156</v>
      </c>
      <c r="W80" s="1279">
        <v>0.2</v>
      </c>
      <c r="X80" s="1449">
        <v>150</v>
      </c>
      <c r="Y80" s="1277">
        <f t="shared" si="5"/>
        <v>23.543749999999999</v>
      </c>
      <c r="Z80" s="244">
        <f t="shared" si="25"/>
        <v>9.9679320000000011</v>
      </c>
      <c r="AA80" s="244">
        <f t="shared" si="25"/>
        <v>11.165388</v>
      </c>
      <c r="AB80" s="1277">
        <f t="shared" si="25"/>
        <v>636.27200000000005</v>
      </c>
      <c r="AC80" s="244">
        <f t="shared" si="26"/>
        <v>63.831896124492019</v>
      </c>
      <c r="AD80" s="1277">
        <f t="shared" si="26"/>
        <v>10.724714627024156</v>
      </c>
      <c r="AE80" s="241">
        <f t="shared" si="14"/>
        <v>31</v>
      </c>
      <c r="AF80" s="244">
        <f t="shared" si="27"/>
        <v>309.00589200000002</v>
      </c>
      <c r="AG80" s="1285"/>
      <c r="AI80" s="1282">
        <f t="shared" si="4"/>
        <v>26.96801450540875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63</v>
      </c>
      <c r="B81" s="1274" t="s">
        <v>213</v>
      </c>
      <c r="C81" s="241" t="s">
        <v>46</v>
      </c>
      <c r="D81" s="241">
        <v>694.35</v>
      </c>
      <c r="E81" s="241" t="s">
        <v>497</v>
      </c>
      <c r="F81" s="241">
        <v>177.8</v>
      </c>
      <c r="G81" s="241" t="s">
        <v>28</v>
      </c>
      <c r="H81" s="241" t="s">
        <v>464</v>
      </c>
      <c r="I81" s="1746">
        <v>664.19</v>
      </c>
      <c r="J81" s="1448">
        <v>165</v>
      </c>
      <c r="K81" s="241"/>
      <c r="L81" s="1277">
        <v>59</v>
      </c>
      <c r="M81" s="241"/>
      <c r="N81" s="1278">
        <v>3.7</v>
      </c>
      <c r="O81" s="241"/>
      <c r="P81" s="1278">
        <f t="shared" si="6"/>
        <v>57.385583485175005</v>
      </c>
      <c r="Q81" s="1278">
        <f>14*J81/100</f>
        <v>23.1</v>
      </c>
      <c r="R81" s="244">
        <v>4.4340000000000002</v>
      </c>
      <c r="S81" s="244">
        <v>4.5359999999999996</v>
      </c>
      <c r="T81" s="1277">
        <v>454.3</v>
      </c>
      <c r="U81" s="1278">
        <f t="shared" si="12"/>
        <v>102.45827695083446</v>
      </c>
      <c r="V81" s="1278">
        <f t="shared" si="19"/>
        <v>2.248677248677236</v>
      </c>
      <c r="W81" s="1279">
        <v>0.2</v>
      </c>
      <c r="X81" s="1449">
        <v>165</v>
      </c>
      <c r="Y81" s="1277">
        <f t="shared" si="5"/>
        <v>19.636363636363633</v>
      </c>
      <c r="Z81" s="244">
        <f t="shared" si="25"/>
        <v>4.3807920000000005</v>
      </c>
      <c r="AA81" s="244">
        <f t="shared" si="25"/>
        <v>4.4815679999999993</v>
      </c>
      <c r="AB81" s="1277">
        <f t="shared" si="25"/>
        <v>448.84840000000003</v>
      </c>
      <c r="AC81" s="244">
        <f t="shared" si="26"/>
        <v>102.45827695083446</v>
      </c>
      <c r="AD81" s="1277">
        <f t="shared" si="26"/>
        <v>2.248677248677236</v>
      </c>
      <c r="AE81" s="241">
        <f t="shared" si="14"/>
        <v>31</v>
      </c>
      <c r="AF81" s="244">
        <f t="shared" si="27"/>
        <v>135.804552</v>
      </c>
      <c r="AG81" s="1281"/>
      <c r="AI81" s="1282">
        <f t="shared" si="4"/>
        <v>57.385583485175005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64</v>
      </c>
      <c r="B82" s="1274" t="s">
        <v>506</v>
      </c>
      <c r="C82" s="241" t="s">
        <v>46</v>
      </c>
      <c r="D82" s="1743">
        <v>700</v>
      </c>
      <c r="E82" s="1743" t="s">
        <v>547</v>
      </c>
      <c r="F82" s="241">
        <v>177.8</v>
      </c>
      <c r="G82" s="241" t="s">
        <v>28</v>
      </c>
      <c r="H82" s="241" t="s">
        <v>464</v>
      </c>
      <c r="I82" s="1743">
        <v>608.22</v>
      </c>
      <c r="J82" s="1743">
        <v>0</v>
      </c>
      <c r="K82" s="1743"/>
      <c r="L82" s="1319">
        <v>0</v>
      </c>
      <c r="M82" s="1743"/>
      <c r="N82" s="1278">
        <v>0</v>
      </c>
      <c r="O82" s="1743"/>
      <c r="P82" s="1278">
        <f t="shared" si="6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5"/>
        <v>0</v>
      </c>
      <c r="Z82" s="244">
        <f t="shared" si="25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4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65</v>
      </c>
      <c r="B83" s="1274" t="s">
        <v>451</v>
      </c>
      <c r="C83" s="241" t="s">
        <v>46</v>
      </c>
      <c r="D83" s="1743">
        <v>619.66</v>
      </c>
      <c r="E83" s="1743" t="s">
        <v>613</v>
      </c>
      <c r="F83" s="241">
        <v>177.8</v>
      </c>
      <c r="G83" s="241" t="s">
        <v>28</v>
      </c>
      <c r="H83" s="241" t="s">
        <v>464</v>
      </c>
      <c r="I83" s="1743">
        <v>595.26</v>
      </c>
      <c r="J83" s="1743">
        <v>150</v>
      </c>
      <c r="K83" s="1743"/>
      <c r="L83" s="1319">
        <v>62</v>
      </c>
      <c r="M83" s="1743"/>
      <c r="N83" s="1278">
        <v>1.4</v>
      </c>
      <c r="O83" s="1743"/>
      <c r="P83" s="1278">
        <f t="shared" si="6"/>
        <v>48.184620531400782</v>
      </c>
      <c r="Q83" s="1278">
        <f t="shared" ref="Q83" si="28">14*J83/100</f>
        <v>21</v>
      </c>
      <c r="R83" s="244">
        <v>3.4260000000000002</v>
      </c>
      <c r="S83" s="244">
        <v>3.4980000000000002</v>
      </c>
      <c r="T83" s="1319">
        <v>40.9</v>
      </c>
      <c r="U83" s="244">
        <f t="shared" si="12"/>
        <v>11.93812025685931</v>
      </c>
      <c r="V83" s="1278">
        <f t="shared" si="19"/>
        <v>2.0583190394511166</v>
      </c>
      <c r="W83" s="1279">
        <v>0.2</v>
      </c>
      <c r="X83" s="1410">
        <v>150</v>
      </c>
      <c r="Y83" s="1277">
        <f t="shared" si="5"/>
        <v>16.657142857142858</v>
      </c>
      <c r="Z83" s="244">
        <f t="shared" si="25"/>
        <v>3.3848880000000001</v>
      </c>
      <c r="AA83" s="244">
        <f t="shared" si="25"/>
        <v>3.4560240000000002</v>
      </c>
      <c r="AB83" s="1277">
        <f t="shared" si="25"/>
        <v>40.409199999999998</v>
      </c>
      <c r="AC83" s="244">
        <f t="shared" si="26"/>
        <v>11.93812025685931</v>
      </c>
      <c r="AD83" s="1277">
        <f t="shared" si="26"/>
        <v>2.0583190394511166</v>
      </c>
      <c r="AE83" s="241">
        <f t="shared" si="14"/>
        <v>31</v>
      </c>
      <c r="AF83" s="244">
        <f t="shared" si="27"/>
        <v>104.931528</v>
      </c>
      <c r="AG83" s="1281"/>
      <c r="AI83" s="1282">
        <f t="shared" ref="AI83:AI86" si="29">(9.81*(AJ83*(100%-(V83/100))+AK83*(V83/100))*(I83-L83)+N83*101.325+9.81*(AL83)*L83)/101.325</f>
        <v>48.184620531400782</v>
      </c>
      <c r="AJ83" s="1252">
        <v>0.90310000000000001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66</v>
      </c>
      <c r="B84" s="1274" t="s">
        <v>424</v>
      </c>
      <c r="C84" s="241" t="s">
        <v>46</v>
      </c>
      <c r="D84" s="1743">
        <v>689.4</v>
      </c>
      <c r="E84" s="1743" t="s">
        <v>616</v>
      </c>
      <c r="F84" s="241">
        <v>177.8</v>
      </c>
      <c r="G84" s="241" t="s">
        <v>28</v>
      </c>
      <c r="H84" s="1299" t="s">
        <v>466</v>
      </c>
      <c r="I84" s="1743">
        <v>604.96</v>
      </c>
      <c r="J84" s="1743">
        <v>0</v>
      </c>
      <c r="K84" s="1743"/>
      <c r="L84" s="1319"/>
      <c r="M84" s="1743"/>
      <c r="N84" s="1278"/>
      <c r="O84" s="1743"/>
      <c r="P84" s="1278">
        <f t="shared" si="6"/>
        <v>47.576830678312362</v>
      </c>
      <c r="Q84" s="1278"/>
      <c r="R84" s="244"/>
      <c r="S84" s="244"/>
      <c r="T84" s="1319"/>
      <c r="U84" s="244"/>
      <c r="V84" s="1278"/>
      <c r="W84" s="1279"/>
      <c r="X84" s="1410">
        <v>0</v>
      </c>
      <c r="Y84" s="1277">
        <f t="shared" ref="Y84:Y86" si="30">IF(S84=0,0,S84/Q84)*100</f>
        <v>0</v>
      </c>
      <c r="Z84" s="244"/>
      <c r="AA84" s="244"/>
      <c r="AB84" s="1277"/>
      <c r="AC84" s="244"/>
      <c r="AD84" s="244"/>
      <c r="AE84" s="241"/>
      <c r="AF84" s="244"/>
      <c r="AG84" s="1281" t="s">
        <v>682</v>
      </c>
      <c r="AI84" s="1282">
        <f t="shared" si="29"/>
        <v>47.576830678312362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67</v>
      </c>
      <c r="B85" s="1274" t="s">
        <v>567</v>
      </c>
      <c r="C85" s="241" t="s">
        <v>46</v>
      </c>
      <c r="D85" s="1743">
        <v>577.12</v>
      </c>
      <c r="E85" s="1743" t="s">
        <v>614</v>
      </c>
      <c r="F85" s="241">
        <v>177.8</v>
      </c>
      <c r="G85" s="241" t="s">
        <v>28</v>
      </c>
      <c r="H85" s="1299" t="s">
        <v>687</v>
      </c>
      <c r="I85" s="1743">
        <v>536.02</v>
      </c>
      <c r="J85" s="1743">
        <v>105</v>
      </c>
      <c r="K85" s="1743"/>
      <c r="L85" s="1319">
        <v>376</v>
      </c>
      <c r="M85" s="1743"/>
      <c r="N85" s="1278">
        <v>0</v>
      </c>
      <c r="O85" s="1743"/>
      <c r="P85" s="1278">
        <f t="shared" ref="P85:P86" si="31">AI85</f>
        <v>15.184837753601723</v>
      </c>
      <c r="Q85" s="1278">
        <f>RIGHT(H85,(FIND("T",H85,1)-0))*J85/100</f>
        <v>21</v>
      </c>
      <c r="R85" s="244">
        <v>3.1739999999999999</v>
      </c>
      <c r="S85" s="244">
        <v>6.609</v>
      </c>
      <c r="T85" s="1319">
        <v>3.6669999999999998</v>
      </c>
      <c r="U85" s="244">
        <f t="shared" ref="U85" si="32">IF(R85=0,0,T85/R85)</f>
        <v>1.1553245116572148</v>
      </c>
      <c r="V85" s="1278">
        <f t="shared" si="19"/>
        <v>51.974580118020889</v>
      </c>
      <c r="W85" s="1279">
        <v>0.2</v>
      </c>
      <c r="X85" s="1410">
        <v>105</v>
      </c>
      <c r="Y85" s="1277">
        <f t="shared" si="30"/>
        <v>31.471428571428572</v>
      </c>
      <c r="Z85" s="244">
        <f t="shared" ref="Z85:AB86" si="33">R85*0.988</f>
        <v>3.1359119999999998</v>
      </c>
      <c r="AA85" s="244">
        <f t="shared" si="33"/>
        <v>6.5296919999999998</v>
      </c>
      <c r="AB85" s="1277">
        <f t="shared" si="33"/>
        <v>3.6229959999999997</v>
      </c>
      <c r="AC85" s="244">
        <f t="shared" ref="AC85:AD85" si="34">U85</f>
        <v>1.1553245116572148</v>
      </c>
      <c r="AD85" s="1277">
        <f t="shared" si="34"/>
        <v>51.974580118020889</v>
      </c>
      <c r="AE85" s="241">
        <v>31</v>
      </c>
      <c r="AF85" s="244">
        <f>Z85*AE85</f>
        <v>97.213271999999989</v>
      </c>
      <c r="AG85" s="1281"/>
      <c r="AI85" s="1282">
        <f t="shared" si="29"/>
        <v>15.184837753601723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68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743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31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12"/>
        <v>0</v>
      </c>
      <c r="V86" s="1278" t="e">
        <f t="shared" si="19"/>
        <v>#DIV/0!</v>
      </c>
      <c r="W86" s="1279">
        <v>0</v>
      </c>
      <c r="X86" s="1449">
        <v>0</v>
      </c>
      <c r="Y86" s="1277">
        <f t="shared" si="30"/>
        <v>0</v>
      </c>
      <c r="Z86" s="244">
        <f t="shared" si="33"/>
        <v>0</v>
      </c>
      <c r="AA86" s="244">
        <f t="shared" si="33"/>
        <v>0</v>
      </c>
      <c r="AB86" s="1277">
        <f t="shared" si="33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29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743"/>
      <c r="E87" s="1743"/>
      <c r="F87" s="1274"/>
      <c r="G87" s="241"/>
      <c r="H87" s="241"/>
      <c r="I87" s="1743"/>
      <c r="J87" s="1743"/>
      <c r="K87" s="1743"/>
      <c r="L87" s="1743"/>
      <c r="M87" s="1743"/>
      <c r="N87" s="241"/>
      <c r="O87" s="1743"/>
      <c r="P87" s="1278"/>
      <c r="Q87" s="1269"/>
      <c r="R87" s="1348">
        <f>SUM(R19:R86)</f>
        <v>299.39299999999997</v>
      </c>
      <c r="S87" s="1348">
        <f>SUM(S19:S86)</f>
        <v>806.17699999999979</v>
      </c>
      <c r="T87" s="1349">
        <f>SUM(T19:T86)</f>
        <v>5010.8000000000011</v>
      </c>
      <c r="U87" s="1348">
        <f>T87/R87</f>
        <v>16.736530246198146</v>
      </c>
      <c r="V87" s="1348"/>
      <c r="W87" s="1350"/>
      <c r="X87" s="1410"/>
      <c r="Y87" s="1348"/>
      <c r="Z87" s="1348">
        <f>SUM(Z19:Z86)</f>
        <v>296.4691600000001</v>
      </c>
      <c r="AA87" s="1348">
        <f>SUM(AA19:AA86)</f>
        <v>798.75156400000026</v>
      </c>
      <c r="AB87" s="1351">
        <f>SUM(AB19:AB86)</f>
        <v>4990.6143999999995</v>
      </c>
      <c r="AC87" s="1348">
        <f>AB87/Z87</f>
        <v>16.833502682032755</v>
      </c>
      <c r="AD87" s="1348"/>
      <c r="AE87" s="1302"/>
      <c r="AF87" s="1348">
        <f>SUM(AF19:AF86)</f>
        <v>9186.8962640000009</v>
      </c>
      <c r="AG87" s="1281"/>
      <c r="AI87" s="1282"/>
    </row>
    <row r="88" spans="1:38" ht="18.75" customHeight="1" x14ac:dyDescent="0.2">
      <c r="A88" s="1347"/>
      <c r="B88" s="241"/>
      <c r="C88" s="241"/>
      <c r="D88" s="1743"/>
      <c r="E88" s="1743"/>
      <c r="F88" s="1274"/>
      <c r="G88" s="241"/>
      <c r="H88" s="241"/>
      <c r="I88" s="1743"/>
      <c r="J88" s="1743"/>
      <c r="K88" s="1743"/>
      <c r="L88" s="1743"/>
      <c r="M88" s="1743"/>
      <c r="N88" s="241"/>
      <c r="O88" s="1743"/>
      <c r="P88" s="1278"/>
      <c r="Q88" s="1269"/>
      <c r="R88" s="1348"/>
      <c r="S88" s="1348"/>
      <c r="T88" s="1349">
        <f>S87-R87</f>
        <v>506.78399999999982</v>
      </c>
      <c r="U88" s="1348"/>
      <c r="V88" s="1348"/>
      <c r="W88" s="1350"/>
      <c r="X88" s="1410"/>
      <c r="Y88" s="1348"/>
      <c r="Z88" s="1348"/>
      <c r="AA88" s="1352">
        <f>AA87-Z87</f>
        <v>502.28240400000016</v>
      </c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347"/>
      <c r="B89" s="241"/>
      <c r="C89" s="241"/>
      <c r="D89" s="1743"/>
      <c r="E89" s="1742" t="s">
        <v>388</v>
      </c>
      <c r="F89" s="1274"/>
      <c r="G89" s="241"/>
      <c r="H89" s="241"/>
      <c r="I89" s="1743"/>
      <c r="J89" s="1743"/>
      <c r="K89" s="1743"/>
      <c r="L89" s="1743"/>
      <c r="M89" s="1743"/>
      <c r="N89" s="241"/>
      <c r="O89" s="1743"/>
      <c r="P89" s="1278"/>
      <c r="Q89" s="1269"/>
      <c r="R89" s="1348"/>
      <c r="S89" s="1348"/>
      <c r="T89" s="1349"/>
      <c r="U89" s="1348"/>
      <c r="V89" s="1348"/>
      <c r="W89" s="1350"/>
      <c r="X89" s="1410"/>
      <c r="Y89" s="1348"/>
      <c r="Z89" s="1348"/>
      <c r="AA89" s="1352"/>
      <c r="AB89" s="1351"/>
      <c r="AC89" s="1348"/>
      <c r="AD89" s="1348"/>
      <c r="AE89" s="1302"/>
      <c r="AF89" s="1348"/>
      <c r="AG89" s="1281"/>
      <c r="AI89" s="1282"/>
    </row>
    <row r="90" spans="1:38" ht="18.75" customHeight="1" x14ac:dyDescent="0.2">
      <c r="A90" s="1273">
        <v>69</v>
      </c>
      <c r="B90" s="1274" t="s">
        <v>505</v>
      </c>
      <c r="C90" s="241" t="s">
        <v>445</v>
      </c>
      <c r="D90" s="1743">
        <v>737.21</v>
      </c>
      <c r="E90" s="1743" t="s">
        <v>507</v>
      </c>
      <c r="F90" s="241">
        <v>177.8</v>
      </c>
      <c r="G90" s="241" t="s">
        <v>28</v>
      </c>
      <c r="H90" s="1354" t="s">
        <v>466</v>
      </c>
      <c r="I90" s="1743">
        <v>680.94</v>
      </c>
      <c r="J90" s="1743"/>
      <c r="K90" s="1743"/>
      <c r="L90" s="1743"/>
      <c r="M90" s="1743"/>
      <c r="N90" s="241"/>
      <c r="O90" s="1743"/>
      <c r="P90" s="1278"/>
      <c r="Q90" s="1269"/>
      <c r="R90" s="244"/>
      <c r="S90" s="244"/>
      <c r="T90" s="1319"/>
      <c r="U90" s="244"/>
      <c r="V90" s="244"/>
      <c r="W90" s="1355"/>
      <c r="X90" s="1410"/>
      <c r="Y90" s="244">
        <f>IF(S90=0,0,S90/Q90)</f>
        <v>0</v>
      </c>
      <c r="Z90" s="244">
        <f t="shared" ref="Z90:AB93" si="35">R90*0.988</f>
        <v>0</v>
      </c>
      <c r="AA90" s="244">
        <f t="shared" si="35"/>
        <v>0</v>
      </c>
      <c r="AB90" s="1277">
        <f t="shared" si="35"/>
        <v>0</v>
      </c>
      <c r="AC90" s="244">
        <f t="shared" ref="AC90:AD93" si="36">U90</f>
        <v>0</v>
      </c>
      <c r="AD90" s="244">
        <f t="shared" si="36"/>
        <v>0</v>
      </c>
      <c r="AE90" s="241">
        <v>0</v>
      </c>
      <c r="AF90" s="244">
        <f>Z90*AE90</f>
        <v>0</v>
      </c>
      <c r="AG90" s="1281" t="s">
        <v>682</v>
      </c>
      <c r="AI90" s="1282">
        <f>(9.81*(AJ90*(100%-(V90/100))+AK90*(V90/100))*(I90-L90)+N90*101.325+9.81*(AL90)*L90)/101.325</f>
        <v>58.978012775129535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70</v>
      </c>
      <c r="B91" s="1274" t="s">
        <v>504</v>
      </c>
      <c r="C91" s="241" t="s">
        <v>445</v>
      </c>
      <c r="D91" s="1743">
        <v>695.15</v>
      </c>
      <c r="E91" s="1743" t="s">
        <v>508</v>
      </c>
      <c r="F91" s="1274">
        <v>177.8</v>
      </c>
      <c r="G91" s="241" t="s">
        <v>28</v>
      </c>
      <c r="H91" s="241" t="s">
        <v>491</v>
      </c>
      <c r="I91" s="1743">
        <v>658.9</v>
      </c>
      <c r="J91" s="1743"/>
      <c r="K91" s="1743"/>
      <c r="L91" s="1743"/>
      <c r="M91" s="1743"/>
      <c r="N91" s="241"/>
      <c r="O91" s="1743"/>
      <c r="P91" s="1278"/>
      <c r="Q91" s="1269"/>
      <c r="R91" s="244"/>
      <c r="S91" s="244"/>
      <c r="T91" s="1319"/>
      <c r="U91" s="244"/>
      <c r="V91" s="244"/>
      <c r="W91" s="1355"/>
      <c r="X91" s="1410"/>
      <c r="Y91" s="244">
        <f>IF(S91=0,0,S91/Q91)</f>
        <v>0</v>
      </c>
      <c r="Z91" s="244">
        <f t="shared" si="35"/>
        <v>0</v>
      </c>
      <c r="AA91" s="244">
        <f t="shared" si="35"/>
        <v>0</v>
      </c>
      <c r="AB91" s="1277">
        <f t="shared" si="35"/>
        <v>0</v>
      </c>
      <c r="AC91" s="244">
        <f t="shared" si="36"/>
        <v>0</v>
      </c>
      <c r="AD91" s="244">
        <f t="shared" si="36"/>
        <v>0</v>
      </c>
      <c r="AE91" s="241">
        <v>0</v>
      </c>
      <c r="AF91" s="244">
        <f>Z91*AE91</f>
        <v>0</v>
      </c>
      <c r="AG91" s="1281" t="s">
        <v>682</v>
      </c>
      <c r="AI91" s="1282">
        <f>(9.81*(AJ91*(100%-(V91/100))+AK91*(V91/100))*(I91-L91)+N91*101.325+9.81*(AL91)*L91)/101.325</f>
        <v>57.069070134715027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273">
        <v>71</v>
      </c>
      <c r="B92" s="1317" t="s">
        <v>220</v>
      </c>
      <c r="C92" s="241" t="s">
        <v>445</v>
      </c>
      <c r="D92" s="1743">
        <v>685.69</v>
      </c>
      <c r="E92" s="1743" t="s">
        <v>579</v>
      </c>
      <c r="F92" s="241">
        <v>177.8</v>
      </c>
      <c r="G92" s="241" t="s">
        <v>28</v>
      </c>
      <c r="H92" s="1299" t="s">
        <v>466</v>
      </c>
      <c r="I92" s="1743">
        <v>639.97</v>
      </c>
      <c r="J92" s="1743"/>
      <c r="K92" s="1743"/>
      <c r="L92" s="1743"/>
      <c r="M92" s="1743"/>
      <c r="N92" s="241"/>
      <c r="O92" s="1743"/>
      <c r="P92" s="1278"/>
      <c r="Q92" s="1269"/>
      <c r="R92" s="1356"/>
      <c r="S92" s="1356"/>
      <c r="T92" s="1356"/>
      <c r="U92" s="1356"/>
      <c r="V92" s="1356"/>
      <c r="W92" s="1357"/>
      <c r="X92" s="1410"/>
      <c r="Y92" s="244">
        <f>IF(S92=0,0,S92/Q92)</f>
        <v>0</v>
      </c>
      <c r="Z92" s="244">
        <f t="shared" si="35"/>
        <v>0</v>
      </c>
      <c r="AA92" s="244">
        <f t="shared" si="35"/>
        <v>0</v>
      </c>
      <c r="AB92" s="1277">
        <f t="shared" si="35"/>
        <v>0</v>
      </c>
      <c r="AC92" s="244">
        <f t="shared" si="36"/>
        <v>0</v>
      </c>
      <c r="AD92" s="244">
        <f t="shared" si="36"/>
        <v>0</v>
      </c>
      <c r="AE92" s="241">
        <v>0</v>
      </c>
      <c r="AF92" s="244">
        <f t="shared" ref="AF92:AF93" si="37">Z92*AE92</f>
        <v>0</v>
      </c>
      <c r="AG92" s="1281" t="s">
        <v>682</v>
      </c>
      <c r="AI92" s="1282">
        <f>(9.81*(AJ92*(100%-(V92/100))+AK92*(V92/100))*(I92-L92)+N92*101.325+9.81*(AL92)*L92)/101.325</f>
        <v>55.429492812435235</v>
      </c>
      <c r="AJ92" s="1252">
        <v>0.89459999999999995</v>
      </c>
      <c r="AK92" s="1252">
        <v>1.018</v>
      </c>
      <c r="AL92" s="1252">
        <v>6.1000000000000004E-3</v>
      </c>
    </row>
    <row r="93" spans="1:38" ht="18.75" customHeight="1" x14ac:dyDescent="0.2">
      <c r="A93" s="1273">
        <v>72</v>
      </c>
      <c r="B93" s="1274" t="s">
        <v>465</v>
      </c>
      <c r="C93" s="241" t="s">
        <v>46</v>
      </c>
      <c r="D93" s="241">
        <v>571.91</v>
      </c>
      <c r="E93" s="241" t="s">
        <v>478</v>
      </c>
      <c r="F93" s="241">
        <v>177.8</v>
      </c>
      <c r="G93" s="241" t="s">
        <v>618</v>
      </c>
      <c r="H93" s="1303"/>
      <c r="I93" s="1743">
        <v>9.5</v>
      </c>
      <c r="J93" s="1743"/>
      <c r="K93" s="1743"/>
      <c r="L93" s="1743"/>
      <c r="M93" s="1743"/>
      <c r="N93" s="241"/>
      <c r="O93" s="1743"/>
      <c r="P93" s="1278"/>
      <c r="Q93" s="1269"/>
      <c r="R93" s="1348"/>
      <c r="S93" s="1348"/>
      <c r="T93" s="1349"/>
      <c r="U93" s="1348"/>
      <c r="V93" s="1348"/>
      <c r="W93" s="1350"/>
      <c r="X93" s="1410"/>
      <c r="Y93" s="244">
        <f>IF(S93=0,0,S93/Q93)</f>
        <v>0</v>
      </c>
      <c r="Z93" s="244">
        <f t="shared" si="35"/>
        <v>0</v>
      </c>
      <c r="AA93" s="244">
        <f t="shared" si="35"/>
        <v>0</v>
      </c>
      <c r="AB93" s="1277">
        <f t="shared" si="35"/>
        <v>0</v>
      </c>
      <c r="AC93" s="244">
        <f t="shared" si="36"/>
        <v>0</v>
      </c>
      <c r="AD93" s="244">
        <f t="shared" si="36"/>
        <v>0</v>
      </c>
      <c r="AE93" s="241">
        <v>0</v>
      </c>
      <c r="AF93" s="244">
        <f t="shared" si="37"/>
        <v>0</v>
      </c>
      <c r="AG93" s="1281" t="s">
        <v>682</v>
      </c>
      <c r="AI93" s="1282">
        <f>(9.81*(AJ93*(100%-(V93/100))+AK93*(V93/100))*(I93-L93)+N93*101.325+9.81*(AL93)*L93)/101.325</f>
        <v>0.82282010362694302</v>
      </c>
      <c r="AJ93" s="1252">
        <v>0.89459999999999995</v>
      </c>
      <c r="AK93" s="1252">
        <v>1.018</v>
      </c>
      <c r="AL93" s="1252">
        <v>6.1000000000000004E-3</v>
      </c>
    </row>
    <row r="94" spans="1:38" ht="18.75" customHeight="1" x14ac:dyDescent="0.2">
      <c r="A94" s="1347"/>
      <c r="B94" s="1358"/>
      <c r="C94" s="1358"/>
      <c r="D94" s="1358"/>
      <c r="E94" s="1358"/>
      <c r="F94" s="1274"/>
      <c r="G94" s="241"/>
      <c r="H94" s="241"/>
      <c r="I94" s="241"/>
      <c r="J94" s="1743"/>
      <c r="K94" s="1743"/>
      <c r="L94" s="1743"/>
      <c r="M94" s="1743"/>
      <c r="N94" s="1743"/>
      <c r="O94" s="1743"/>
      <c r="P94" s="1269"/>
      <c r="Q94" s="1269"/>
      <c r="R94" s="1348"/>
      <c r="S94" s="1348"/>
      <c r="T94" s="1349"/>
      <c r="U94" s="1348"/>
      <c r="V94" s="1348"/>
      <c r="W94" s="1350"/>
      <c r="X94" s="1410"/>
      <c r="Y94" s="1348"/>
      <c r="Z94" s="1348"/>
      <c r="AA94" s="1348"/>
      <c r="AB94" s="1351"/>
      <c r="AC94" s="1348"/>
      <c r="AD94" s="1348"/>
      <c r="AE94" s="1302"/>
      <c r="AF94" s="1348"/>
      <c r="AG94" s="1281"/>
      <c r="AI94" s="1282"/>
    </row>
    <row r="95" spans="1:38" ht="18.75" customHeight="1" x14ac:dyDescent="0.2">
      <c r="A95" s="1359"/>
      <c r="B95" s="1358"/>
      <c r="C95" s="1358"/>
      <c r="D95" s="1358"/>
      <c r="E95" s="1360" t="s">
        <v>470</v>
      </c>
      <c r="F95" s="1274"/>
      <c r="G95" s="241"/>
      <c r="H95" s="241"/>
      <c r="I95" s="241"/>
      <c r="J95" s="1743"/>
      <c r="K95" s="1743"/>
      <c r="L95" s="1743"/>
      <c r="M95" s="1743"/>
      <c r="N95" s="1743"/>
      <c r="O95" s="1743"/>
      <c r="P95" s="1269"/>
      <c r="Q95" s="1269"/>
      <c r="R95" s="1348"/>
      <c r="S95" s="1348"/>
      <c r="T95" s="1349"/>
      <c r="U95" s="1348"/>
      <c r="V95" s="1348"/>
      <c r="W95" s="1350"/>
      <c r="X95" s="1410"/>
      <c r="Y95" s="1348"/>
      <c r="Z95" s="1348"/>
      <c r="AA95" s="1348"/>
      <c r="AB95" s="1351"/>
      <c r="AC95" s="1348"/>
      <c r="AD95" s="1348"/>
      <c r="AE95" s="1302"/>
      <c r="AF95" s="1348"/>
      <c r="AG95" s="1281"/>
      <c r="AI95" s="1282"/>
    </row>
    <row r="96" spans="1:38" ht="18.75" customHeight="1" x14ac:dyDescent="0.2">
      <c r="A96" s="1273">
        <v>73</v>
      </c>
      <c r="B96" s="241" t="s">
        <v>582</v>
      </c>
      <c r="C96" s="1316" t="s">
        <v>344</v>
      </c>
      <c r="D96" s="241">
        <v>371.11</v>
      </c>
      <c r="E96" s="1318" t="s">
        <v>583</v>
      </c>
      <c r="F96" s="241">
        <v>177.8</v>
      </c>
      <c r="G96" s="241" t="s">
        <v>28</v>
      </c>
      <c r="H96" s="1299" t="s">
        <v>584</v>
      </c>
      <c r="I96" s="1743">
        <v>183.38</v>
      </c>
      <c r="J96" s="1743">
        <v>0</v>
      </c>
      <c r="K96" s="241">
        <v>0</v>
      </c>
      <c r="L96" s="241">
        <v>24</v>
      </c>
      <c r="M96" s="241">
        <v>0</v>
      </c>
      <c r="N96" s="241">
        <v>0</v>
      </c>
      <c r="O96" s="241"/>
      <c r="P96" s="1278">
        <f t="shared" ref="P96:P101" si="38">AI96</f>
        <v>14.28604783834197</v>
      </c>
      <c r="Q96" s="1269">
        <f>(13*J96)/100</f>
        <v>0</v>
      </c>
      <c r="R96" s="244"/>
      <c r="S96" s="244">
        <v>0</v>
      </c>
      <c r="T96" s="244">
        <v>0</v>
      </c>
      <c r="U96" s="244">
        <f t="shared" ref="U96:U101" si="39">IF(R96=0,0,T96/R96)</f>
        <v>0</v>
      </c>
      <c r="V96" s="1278">
        <v>0</v>
      </c>
      <c r="W96" s="1355">
        <v>0</v>
      </c>
      <c r="X96" s="1410">
        <v>0</v>
      </c>
      <c r="Y96" s="1277">
        <f>IF(S96=0,0,S96/Q96)*100</f>
        <v>0</v>
      </c>
      <c r="Z96" s="244">
        <f t="shared" ref="Z96:AB101" si="40">R96*0.988</f>
        <v>0</v>
      </c>
      <c r="AA96" s="244">
        <f t="shared" si="40"/>
        <v>0</v>
      </c>
      <c r="AB96" s="244">
        <f t="shared" si="40"/>
        <v>0</v>
      </c>
      <c r="AC96" s="244">
        <f>U96</f>
        <v>0</v>
      </c>
      <c r="AD96" s="244">
        <f>V96</f>
        <v>0</v>
      </c>
      <c r="AE96" s="241">
        <v>0</v>
      </c>
      <c r="AF96" s="244">
        <f t="shared" ref="AF96:AF101" si="41">Z96*AE96</f>
        <v>0</v>
      </c>
      <c r="AG96" s="1285"/>
      <c r="AI96" s="1282">
        <f t="shared" ref="AI96:AI101" si="42">(9.81*(AJ96*(100%-(V96/100))+AK96*(V96/100))*(I96-L96)+N96*101.325+9.81*(AL96)*L96)/101.325</f>
        <v>14.28604783834197</v>
      </c>
      <c r="AJ96" s="1252">
        <v>0.92490000000000006</v>
      </c>
      <c r="AK96" s="1252">
        <v>1</v>
      </c>
      <c r="AL96" s="1252">
        <v>6.1000000000000004E-3</v>
      </c>
    </row>
    <row r="97" spans="1:38" ht="18.75" customHeight="1" x14ac:dyDescent="0.2">
      <c r="A97" s="1273">
        <v>74</v>
      </c>
      <c r="B97" s="241" t="s">
        <v>131</v>
      </c>
      <c r="C97" s="1316" t="s">
        <v>344</v>
      </c>
      <c r="D97" s="241">
        <v>389.74</v>
      </c>
      <c r="E97" s="1318" t="s">
        <v>713</v>
      </c>
      <c r="F97" s="241">
        <v>177.8</v>
      </c>
      <c r="G97" s="241" t="s">
        <v>28</v>
      </c>
      <c r="H97" s="1299" t="s">
        <v>540</v>
      </c>
      <c r="I97" s="1743">
        <v>136.35</v>
      </c>
      <c r="J97" s="1743">
        <v>0</v>
      </c>
      <c r="K97" s="1743"/>
      <c r="L97" s="1319">
        <v>27</v>
      </c>
      <c r="M97" s="1743"/>
      <c r="N97" s="1278">
        <v>0</v>
      </c>
      <c r="O97" s="1743"/>
      <c r="P97" s="1278">
        <f t="shared" si="38"/>
        <v>9.8628752464840872</v>
      </c>
      <c r="Q97" s="1278">
        <f>(22*J97)/100</f>
        <v>0</v>
      </c>
      <c r="R97" s="244">
        <v>0</v>
      </c>
      <c r="S97" s="244">
        <v>0</v>
      </c>
      <c r="T97" s="1319">
        <v>0</v>
      </c>
      <c r="U97" s="244">
        <f t="shared" si="39"/>
        <v>0</v>
      </c>
      <c r="V97" s="1278">
        <v>0</v>
      </c>
      <c r="W97" s="1279">
        <v>0.2</v>
      </c>
      <c r="X97" s="1410">
        <v>0</v>
      </c>
      <c r="Y97" s="1277">
        <f t="shared" ref="Y97:Y105" si="43">IF(S97=0,0,S97/Q97)*100</f>
        <v>0</v>
      </c>
      <c r="Z97" s="244">
        <f t="shared" si="40"/>
        <v>0</v>
      </c>
      <c r="AA97" s="244">
        <f t="shared" si="40"/>
        <v>0</v>
      </c>
      <c r="AB97" s="244">
        <f t="shared" si="40"/>
        <v>0</v>
      </c>
      <c r="AC97" s="244">
        <f t="shared" ref="AC97:AD101" si="44">U97</f>
        <v>0</v>
      </c>
      <c r="AD97" s="244">
        <f t="shared" si="44"/>
        <v>0</v>
      </c>
      <c r="AE97" s="241">
        <v>0</v>
      </c>
      <c r="AF97" s="244">
        <f>Z97*AE97</f>
        <v>0</v>
      </c>
      <c r="AG97" s="1285" t="s">
        <v>782</v>
      </c>
      <c r="AI97" s="1282">
        <f t="shared" si="42"/>
        <v>9.8628752464840872</v>
      </c>
      <c r="AJ97" s="1252">
        <v>0.93010000000000004</v>
      </c>
      <c r="AK97" s="1252">
        <v>1</v>
      </c>
      <c r="AL97" s="1252">
        <v>6.1000000000000004E-3</v>
      </c>
    </row>
    <row r="98" spans="1:38" ht="32.25" customHeight="1" x14ac:dyDescent="0.2">
      <c r="A98" s="1273">
        <v>75</v>
      </c>
      <c r="B98" s="241" t="s">
        <v>132</v>
      </c>
      <c r="C98" s="1316" t="s">
        <v>313</v>
      </c>
      <c r="D98" s="241">
        <v>389.09</v>
      </c>
      <c r="E98" s="1318" t="s">
        <v>135</v>
      </c>
      <c r="F98" s="241">
        <v>177.8</v>
      </c>
      <c r="G98" s="241" t="s">
        <v>28</v>
      </c>
      <c r="H98" s="241" t="s">
        <v>485</v>
      </c>
      <c r="I98" s="1743">
        <v>130.11000000000001</v>
      </c>
      <c r="J98" s="1743">
        <v>0</v>
      </c>
      <c r="K98" s="1743"/>
      <c r="L98" s="1319">
        <v>32</v>
      </c>
      <c r="M98" s="1743"/>
      <c r="N98" s="1278">
        <v>0</v>
      </c>
      <c r="O98" s="1743"/>
      <c r="P98" s="1278">
        <f t="shared" si="38"/>
        <v>8.8460710943005196</v>
      </c>
      <c r="Q98" s="1278">
        <f>(15*J98)/100</f>
        <v>0</v>
      </c>
      <c r="R98" s="244">
        <v>0</v>
      </c>
      <c r="S98" s="244">
        <v>0</v>
      </c>
      <c r="T98" s="1319">
        <v>0</v>
      </c>
      <c r="U98" s="244">
        <f t="shared" si="39"/>
        <v>0</v>
      </c>
      <c r="V98" s="1278">
        <v>0</v>
      </c>
      <c r="W98" s="1279">
        <v>0.2</v>
      </c>
      <c r="X98" s="1410">
        <v>0</v>
      </c>
      <c r="Y98" s="1277">
        <f t="shared" si="43"/>
        <v>0</v>
      </c>
      <c r="Z98" s="244">
        <f t="shared" si="40"/>
        <v>0</v>
      </c>
      <c r="AA98" s="244">
        <f t="shared" si="40"/>
        <v>0</v>
      </c>
      <c r="AB98" s="244">
        <f t="shared" si="40"/>
        <v>0</v>
      </c>
      <c r="AC98" s="244">
        <f t="shared" si="44"/>
        <v>0</v>
      </c>
      <c r="AD98" s="244">
        <f t="shared" si="44"/>
        <v>0</v>
      </c>
      <c r="AE98" s="241">
        <v>0</v>
      </c>
      <c r="AF98" s="244">
        <f t="shared" si="41"/>
        <v>0</v>
      </c>
      <c r="AG98" s="1285" t="s">
        <v>782</v>
      </c>
      <c r="AI98" s="1282">
        <f t="shared" si="42"/>
        <v>8.8460710943005196</v>
      </c>
      <c r="AJ98" s="1252">
        <v>0.92930000000000001</v>
      </c>
      <c r="AK98" s="1252">
        <v>1</v>
      </c>
      <c r="AL98" s="1252">
        <v>6.1000000000000004E-3</v>
      </c>
    </row>
    <row r="99" spans="1:38" ht="18.75" customHeight="1" x14ac:dyDescent="0.2">
      <c r="A99" s="1273">
        <v>76</v>
      </c>
      <c r="B99" s="241" t="s">
        <v>121</v>
      </c>
      <c r="C99" s="1316" t="s">
        <v>313</v>
      </c>
      <c r="D99" s="241">
        <v>389.57</v>
      </c>
      <c r="E99" s="241" t="s">
        <v>137</v>
      </c>
      <c r="F99" s="241">
        <v>177.8</v>
      </c>
      <c r="G99" s="241" t="s">
        <v>28</v>
      </c>
      <c r="H99" s="1303" t="s">
        <v>466</v>
      </c>
      <c r="I99" s="1743">
        <v>134.24</v>
      </c>
      <c r="J99" s="1743">
        <v>0</v>
      </c>
      <c r="K99" s="1743"/>
      <c r="L99" s="1319">
        <v>25</v>
      </c>
      <c r="M99" s="1743"/>
      <c r="N99" s="1278">
        <v>0.2</v>
      </c>
      <c r="O99" s="1743"/>
      <c r="P99" s="1278">
        <f t="shared" si="38"/>
        <v>10.03486652257587</v>
      </c>
      <c r="Q99" s="1278">
        <f>LEFT(H99,(FIND("E",H99,1)-1))*J99/100</f>
        <v>0</v>
      </c>
      <c r="R99" s="244">
        <v>0</v>
      </c>
      <c r="S99" s="244">
        <v>0</v>
      </c>
      <c r="T99" s="1319">
        <v>0</v>
      </c>
      <c r="U99" s="244">
        <f t="shared" si="39"/>
        <v>0</v>
      </c>
      <c r="V99" s="1278">
        <v>0</v>
      </c>
      <c r="W99" s="1279">
        <v>0.2</v>
      </c>
      <c r="X99" s="1410">
        <v>0</v>
      </c>
      <c r="Y99" s="1277">
        <f t="shared" si="43"/>
        <v>0</v>
      </c>
      <c r="Z99" s="244">
        <f t="shared" si="40"/>
        <v>0</v>
      </c>
      <c r="AA99" s="244">
        <f t="shared" si="40"/>
        <v>0</v>
      </c>
      <c r="AB99" s="244">
        <f t="shared" si="40"/>
        <v>0</v>
      </c>
      <c r="AC99" s="244">
        <f t="shared" si="44"/>
        <v>0</v>
      </c>
      <c r="AD99" s="244">
        <f t="shared" si="44"/>
        <v>0</v>
      </c>
      <c r="AE99" s="241">
        <v>0</v>
      </c>
      <c r="AF99" s="244">
        <f t="shared" si="41"/>
        <v>0</v>
      </c>
      <c r="AG99" s="1281" t="s">
        <v>782</v>
      </c>
      <c r="AI99" s="1282">
        <f t="shared" si="42"/>
        <v>10.03486652257587</v>
      </c>
      <c r="AJ99" s="1252">
        <v>0.92849999999999999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77</v>
      </c>
      <c r="B100" s="241" t="s">
        <v>122</v>
      </c>
      <c r="C100" s="1316" t="s">
        <v>313</v>
      </c>
      <c r="D100" s="241">
        <v>391.06</v>
      </c>
      <c r="E100" s="241" t="s">
        <v>138</v>
      </c>
      <c r="F100" s="241">
        <v>177.8</v>
      </c>
      <c r="G100" s="241" t="s">
        <v>28</v>
      </c>
      <c r="H100" s="241" t="s">
        <v>588</v>
      </c>
      <c r="I100" s="244">
        <v>149.84</v>
      </c>
      <c r="J100" s="1743">
        <v>0</v>
      </c>
      <c r="K100" s="1743"/>
      <c r="L100" s="1319">
        <v>30</v>
      </c>
      <c r="M100" s="1743"/>
      <c r="N100" s="1278">
        <v>0.7</v>
      </c>
      <c r="O100" s="1743"/>
      <c r="P100" s="1278">
        <f t="shared" si="38"/>
        <v>11.513908879348632</v>
      </c>
      <c r="Q100" s="1278">
        <f>(14*J100)/100</f>
        <v>0</v>
      </c>
      <c r="R100" s="244">
        <v>0</v>
      </c>
      <c r="S100" s="244">
        <v>0</v>
      </c>
      <c r="T100" s="1319">
        <v>0</v>
      </c>
      <c r="U100" s="244">
        <f t="shared" si="39"/>
        <v>0</v>
      </c>
      <c r="V100" s="1278">
        <v>0</v>
      </c>
      <c r="W100" s="1279">
        <v>0.2</v>
      </c>
      <c r="X100" s="1410">
        <v>0</v>
      </c>
      <c r="Y100" s="1277">
        <f t="shared" si="43"/>
        <v>0</v>
      </c>
      <c r="Z100" s="244">
        <f t="shared" si="40"/>
        <v>0</v>
      </c>
      <c r="AA100" s="244">
        <f t="shared" si="40"/>
        <v>0</v>
      </c>
      <c r="AB100" s="244">
        <f t="shared" si="40"/>
        <v>0</v>
      </c>
      <c r="AC100" s="244">
        <f t="shared" si="44"/>
        <v>0</v>
      </c>
      <c r="AD100" s="244">
        <f t="shared" si="44"/>
        <v>0</v>
      </c>
      <c r="AE100" s="241">
        <v>0</v>
      </c>
      <c r="AF100" s="244">
        <f t="shared" si="41"/>
        <v>0</v>
      </c>
      <c r="AG100" s="1363" t="s">
        <v>782</v>
      </c>
      <c r="AI100" s="1282">
        <f t="shared" si="42"/>
        <v>11.513908879348632</v>
      </c>
      <c r="AJ100" s="1252">
        <v>0.93049999999999999</v>
      </c>
      <c r="AK100" s="1252">
        <v>1.006</v>
      </c>
      <c r="AL100" s="1252">
        <v>6.1000000000000004E-3</v>
      </c>
    </row>
    <row r="101" spans="1:38" ht="18.75" customHeight="1" x14ac:dyDescent="0.2">
      <c r="A101" s="1273">
        <v>78</v>
      </c>
      <c r="B101" s="241" t="s">
        <v>697</v>
      </c>
      <c r="C101" s="1316" t="s">
        <v>344</v>
      </c>
      <c r="D101" s="241">
        <v>383.1</v>
      </c>
      <c r="E101" s="241" t="s">
        <v>698</v>
      </c>
      <c r="F101" s="241">
        <v>177.8</v>
      </c>
      <c r="G101" s="241" t="s">
        <v>28</v>
      </c>
      <c r="H101" s="1299" t="s">
        <v>466</v>
      </c>
      <c r="I101" s="244">
        <v>206.52</v>
      </c>
      <c r="J101" s="241">
        <v>0</v>
      </c>
      <c r="K101" s="1302"/>
      <c r="L101" s="1277">
        <v>41</v>
      </c>
      <c r="M101" s="1302"/>
      <c r="N101" s="241">
        <v>1.4</v>
      </c>
      <c r="O101" s="1302"/>
      <c r="P101" s="1278">
        <f t="shared" si="38"/>
        <v>16.353270159585492</v>
      </c>
      <c r="Q101" s="1269">
        <f>(13*J101)/100</f>
        <v>0</v>
      </c>
      <c r="R101" s="244">
        <v>0</v>
      </c>
      <c r="S101" s="244">
        <v>0</v>
      </c>
      <c r="T101" s="244">
        <v>0</v>
      </c>
      <c r="U101" s="244">
        <f t="shared" si="39"/>
        <v>0</v>
      </c>
      <c r="V101" s="1278">
        <v>0</v>
      </c>
      <c r="W101" s="1355">
        <v>0.2</v>
      </c>
      <c r="X101" s="1410">
        <v>0</v>
      </c>
      <c r="Y101" s="1277">
        <f t="shared" si="43"/>
        <v>0</v>
      </c>
      <c r="Z101" s="244">
        <f t="shared" si="40"/>
        <v>0</v>
      </c>
      <c r="AA101" s="244">
        <f t="shared" si="40"/>
        <v>0</v>
      </c>
      <c r="AB101" s="244">
        <f t="shared" si="40"/>
        <v>0</v>
      </c>
      <c r="AC101" s="244">
        <f t="shared" si="44"/>
        <v>0</v>
      </c>
      <c r="AD101" s="244">
        <f t="shared" si="44"/>
        <v>0</v>
      </c>
      <c r="AE101" s="241">
        <v>0</v>
      </c>
      <c r="AF101" s="244">
        <f t="shared" si="41"/>
        <v>0</v>
      </c>
      <c r="AG101" s="1363" t="s">
        <v>782</v>
      </c>
      <c r="AI101" s="1282">
        <f t="shared" si="42"/>
        <v>16.353270159585492</v>
      </c>
      <c r="AJ101" s="1252">
        <v>0.93159999999999998</v>
      </c>
      <c r="AK101" s="1252">
        <v>1</v>
      </c>
      <c r="AL101" s="1252">
        <v>6.1000000000000004E-3</v>
      </c>
    </row>
    <row r="102" spans="1:38" ht="18.75" customHeight="1" x14ac:dyDescent="0.2">
      <c r="A102" s="1273">
        <v>79</v>
      </c>
      <c r="B102" s="241" t="s">
        <v>188</v>
      </c>
      <c r="C102" s="1316" t="s">
        <v>344</v>
      </c>
      <c r="D102" s="241">
        <v>224.89</v>
      </c>
      <c r="E102" s="241" t="s">
        <v>385</v>
      </c>
      <c r="F102" s="241">
        <v>177.8</v>
      </c>
      <c r="G102" s="241" t="s">
        <v>28</v>
      </c>
      <c r="H102" s="241" t="s">
        <v>383</v>
      </c>
      <c r="I102" s="244">
        <v>144.54</v>
      </c>
      <c r="J102" s="241"/>
      <c r="K102" s="1302"/>
      <c r="L102" s="241"/>
      <c r="M102" s="1302"/>
      <c r="N102" s="241"/>
      <c r="O102" s="1302"/>
      <c r="P102" s="1278"/>
      <c r="Q102" s="1269"/>
      <c r="R102" s="244"/>
      <c r="S102" s="244"/>
      <c r="T102" s="244"/>
      <c r="U102" s="244"/>
      <c r="V102" s="244"/>
      <c r="W102" s="1355"/>
      <c r="X102" s="1316"/>
      <c r="Y102" s="1277">
        <f t="shared" si="43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80</v>
      </c>
      <c r="B103" s="241" t="s">
        <v>186</v>
      </c>
      <c r="C103" s="1316" t="s">
        <v>346</v>
      </c>
      <c r="D103" s="241">
        <v>349.5</v>
      </c>
      <c r="E103" s="1274" t="s">
        <v>347</v>
      </c>
      <c r="F103" s="241">
        <v>177.8</v>
      </c>
      <c r="G103" s="241" t="s">
        <v>618</v>
      </c>
      <c r="H103" s="1299" t="s">
        <v>466</v>
      </c>
      <c r="I103" s="244">
        <v>9</v>
      </c>
      <c r="J103" s="241"/>
      <c r="K103" s="241"/>
      <c r="L103" s="241"/>
      <c r="M103" s="1302"/>
      <c r="N103" s="241"/>
      <c r="O103" s="1302"/>
      <c r="P103" s="1278"/>
      <c r="Q103" s="1269"/>
      <c r="R103" s="244"/>
      <c r="S103" s="244"/>
      <c r="T103" s="244"/>
      <c r="U103" s="244"/>
      <c r="V103" s="244"/>
      <c r="W103" s="1355"/>
      <c r="X103" s="1316"/>
      <c r="Y103" s="1277">
        <f t="shared" si="43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273">
        <v>81</v>
      </c>
      <c r="B104" s="241" t="s">
        <v>57</v>
      </c>
      <c r="C104" s="1316" t="s">
        <v>346</v>
      </c>
      <c r="D104" s="241">
        <v>376.58</v>
      </c>
      <c r="E104" s="1274" t="s">
        <v>568</v>
      </c>
      <c r="F104" s="241">
        <v>177.8</v>
      </c>
      <c r="G104" s="241" t="s">
        <v>28</v>
      </c>
      <c r="H104" s="1299" t="s">
        <v>466</v>
      </c>
      <c r="I104" s="1743">
        <v>131.13</v>
      </c>
      <c r="J104" s="1448">
        <v>0</v>
      </c>
      <c r="K104" s="241"/>
      <c r="L104" s="241">
        <v>0</v>
      </c>
      <c r="M104" s="241"/>
      <c r="N104" s="1278">
        <v>0</v>
      </c>
      <c r="O104" s="241"/>
      <c r="P104" s="1278">
        <v>15.793855791841201</v>
      </c>
      <c r="Q104" s="1278">
        <f>(32/100)*J104</f>
        <v>0</v>
      </c>
      <c r="R104" s="244"/>
      <c r="S104" s="244">
        <v>0</v>
      </c>
      <c r="T104" s="1277">
        <v>0</v>
      </c>
      <c r="U104" s="1278">
        <f t="shared" ref="U104:U105" si="45">IF(R104=0,0,T104/R104)</f>
        <v>0</v>
      </c>
      <c r="V104" s="1278">
        <v>0.5</v>
      </c>
      <c r="W104" s="1279">
        <v>0.3</v>
      </c>
      <c r="X104" s="1449">
        <v>0</v>
      </c>
      <c r="Y104" s="1277">
        <f t="shared" si="43"/>
        <v>0</v>
      </c>
      <c r="Z104" s="244"/>
      <c r="AA104" s="244"/>
      <c r="AB104" s="244"/>
      <c r="AC104" s="244"/>
      <c r="AD104" s="244"/>
      <c r="AE104" s="241"/>
      <c r="AF104" s="244"/>
      <c r="AG104" s="1281" t="s">
        <v>682</v>
      </c>
    </row>
    <row r="105" spans="1:38" ht="18.75" customHeight="1" x14ac:dyDescent="0.2">
      <c r="A105" s="1273">
        <v>82</v>
      </c>
      <c r="B105" s="241" t="s">
        <v>184</v>
      </c>
      <c r="C105" s="1316" t="s">
        <v>314</v>
      </c>
      <c r="D105" s="241">
        <v>422.78</v>
      </c>
      <c r="E105" s="1274" t="s">
        <v>573</v>
      </c>
      <c r="F105" s="241">
        <v>177.8</v>
      </c>
      <c r="G105" s="241" t="s">
        <v>28</v>
      </c>
      <c r="H105" s="1299" t="s">
        <v>466</v>
      </c>
      <c r="I105" s="1743">
        <v>209.37</v>
      </c>
      <c r="J105" s="1448">
        <v>0</v>
      </c>
      <c r="K105" s="241"/>
      <c r="L105" s="241">
        <v>0</v>
      </c>
      <c r="M105" s="241"/>
      <c r="N105" s="1278">
        <v>0</v>
      </c>
      <c r="O105" s="241"/>
      <c r="P105" s="1278">
        <v>15.793855791841201</v>
      </c>
      <c r="Q105" s="1278">
        <f>(32/100)*J105</f>
        <v>0</v>
      </c>
      <c r="R105" s="244"/>
      <c r="S105" s="244">
        <v>0</v>
      </c>
      <c r="T105" s="1277">
        <v>0</v>
      </c>
      <c r="U105" s="1278">
        <f t="shared" si="45"/>
        <v>0</v>
      </c>
      <c r="V105" s="1278">
        <v>0.3</v>
      </c>
      <c r="W105" s="1279">
        <v>0.3</v>
      </c>
      <c r="X105" s="1449">
        <v>0</v>
      </c>
      <c r="Y105" s="1277">
        <f t="shared" si="43"/>
        <v>0</v>
      </c>
      <c r="Z105" s="244"/>
      <c r="AA105" s="244"/>
      <c r="AB105" s="244"/>
      <c r="AC105" s="244"/>
      <c r="AD105" s="244"/>
      <c r="AE105" s="241"/>
      <c r="AF105" s="244"/>
      <c r="AG105" s="1281" t="s">
        <v>682</v>
      </c>
    </row>
    <row r="106" spans="1:38" ht="18.75" customHeight="1" x14ac:dyDescent="0.2">
      <c r="A106" s="1347"/>
      <c r="B106" s="1364"/>
      <c r="C106" s="1365"/>
      <c r="D106" s="1365"/>
      <c r="E106" s="1366"/>
      <c r="F106" s="1743"/>
      <c r="G106" s="1740"/>
      <c r="H106" s="1742"/>
      <c r="I106" s="1742"/>
      <c r="J106" s="1743"/>
      <c r="K106" s="1743"/>
      <c r="L106" s="1743"/>
      <c r="M106" s="1743"/>
      <c r="N106" s="1743"/>
      <c r="O106" s="1743"/>
      <c r="P106" s="1269"/>
      <c r="Q106" s="1269"/>
      <c r="R106" s="1348">
        <f>SUM(R97:R103)</f>
        <v>0</v>
      </c>
      <c r="S106" s="1348">
        <f>SUM(S97:S103)</f>
        <v>0</v>
      </c>
      <c r="T106" s="1348">
        <f>SUM(T97:T100)</f>
        <v>0</v>
      </c>
      <c r="U106" s="1348">
        <f>SUM(U97:U100)</f>
        <v>0</v>
      </c>
      <c r="V106" s="1740"/>
      <c r="W106" s="1741"/>
      <c r="X106" s="1410"/>
      <c r="Y106" s="1740"/>
      <c r="Z106" s="1348">
        <f>SUM(Z97:Z103)</f>
        <v>0</v>
      </c>
      <c r="AA106" s="1348">
        <f>SUM(AA97:AA103)</f>
        <v>0</v>
      </c>
      <c r="AB106" s="1348">
        <f>SUM(AB97:AB100)</f>
        <v>0</v>
      </c>
      <c r="AC106" s="1348">
        <v>0</v>
      </c>
      <c r="AD106" s="1740"/>
      <c r="AE106" s="1743"/>
      <c r="AF106" s="1348">
        <f>SUM(AF97:AF103)</f>
        <v>0</v>
      </c>
      <c r="AG106" s="1368"/>
    </row>
    <row r="107" spans="1:38" ht="18.75" customHeight="1" x14ac:dyDescent="0.2">
      <c r="A107" s="1347"/>
      <c r="B107" s="1364"/>
      <c r="C107" s="1365"/>
      <c r="D107" s="1365"/>
      <c r="E107" s="1366"/>
      <c r="F107" s="1302"/>
      <c r="G107" s="241"/>
      <c r="H107" s="241"/>
      <c r="I107" s="244"/>
      <c r="J107" s="241"/>
      <c r="K107" s="1302"/>
      <c r="L107" s="241"/>
      <c r="M107" s="1302"/>
      <c r="N107" s="1278"/>
      <c r="O107" s="1302"/>
      <c r="P107" s="1369"/>
      <c r="Q107" s="1369"/>
      <c r="R107" s="1348"/>
      <c r="S107" s="1348"/>
      <c r="T107" s="1348"/>
      <c r="U107" s="1348"/>
      <c r="V107" s="1348"/>
      <c r="W107" s="1350"/>
      <c r="X107" s="1316"/>
      <c r="Y107" s="1348"/>
      <c r="Z107" s="1348"/>
      <c r="AA107" s="1351"/>
      <c r="AB107" s="1348"/>
      <c r="AC107" s="1348"/>
      <c r="AD107" s="1348"/>
      <c r="AE107" s="1348"/>
      <c r="AF107" s="1348"/>
      <c r="AG107" s="1363"/>
    </row>
    <row r="108" spans="1:38" ht="18.75" customHeight="1" x14ac:dyDescent="0.2">
      <c r="A108" s="1347"/>
      <c r="B108" s="1370"/>
      <c r="C108" s="1371"/>
      <c r="D108" s="1371"/>
      <c r="E108" s="1262" t="s">
        <v>472</v>
      </c>
      <c r="F108" s="1371"/>
      <c r="G108" s="1740"/>
      <c r="H108" s="1742"/>
      <c r="I108" s="1742"/>
      <c r="J108" s="1743"/>
      <c r="K108" s="1743"/>
      <c r="L108" s="1743"/>
      <c r="M108" s="1743"/>
      <c r="N108" s="1743"/>
      <c r="O108" s="1743"/>
      <c r="P108" s="1269"/>
      <c r="Q108" s="1269"/>
      <c r="R108" s="1743"/>
      <c r="S108" s="1743"/>
      <c r="T108" s="1743"/>
      <c r="U108" s="1740"/>
      <c r="V108" s="1740"/>
      <c r="W108" s="1741"/>
      <c r="X108" s="1410"/>
      <c r="Y108" s="1740"/>
      <c r="Z108" s="1743"/>
      <c r="AA108" s="1743"/>
      <c r="AB108" s="1743"/>
      <c r="AC108" s="1740"/>
      <c r="AD108" s="1740"/>
      <c r="AE108" s="1743"/>
      <c r="AF108" s="1743"/>
      <c r="AG108" s="1745"/>
    </row>
    <row r="109" spans="1:38" ht="18.75" customHeight="1" x14ac:dyDescent="0.2">
      <c r="A109" s="1273">
        <v>83</v>
      </c>
      <c r="B109" s="1317" t="s">
        <v>107</v>
      </c>
      <c r="C109" s="1743" t="s">
        <v>109</v>
      </c>
      <c r="D109" s="1743"/>
      <c r="E109" s="1743"/>
      <c r="F109" s="1743"/>
      <c r="G109" s="1740"/>
      <c r="H109" s="1742"/>
      <c r="I109" s="1742"/>
      <c r="J109" s="1743"/>
      <c r="K109" s="1743"/>
      <c r="L109" s="1743"/>
      <c r="M109" s="1743"/>
      <c r="N109" s="1743"/>
      <c r="O109" s="1743"/>
      <c r="P109" s="1269"/>
      <c r="Q109" s="1269"/>
      <c r="R109" s="1743"/>
      <c r="S109" s="1743"/>
      <c r="T109" s="1743"/>
      <c r="U109" s="1740"/>
      <c r="V109" s="1740"/>
      <c r="W109" s="1741"/>
      <c r="X109" s="1410"/>
      <c r="Y109" s="1740"/>
      <c r="Z109" s="1742"/>
      <c r="AA109" s="1742"/>
      <c r="AB109" s="1743"/>
      <c r="AC109" s="1740"/>
      <c r="AD109" s="1740"/>
      <c r="AE109" s="1373"/>
      <c r="AF109" s="1743"/>
      <c r="AG109" s="1745"/>
    </row>
    <row r="110" spans="1:38" ht="18.75" customHeight="1" x14ac:dyDescent="0.2">
      <c r="A110" s="1273">
        <v>84</v>
      </c>
      <c r="B110" s="1317" t="s">
        <v>108</v>
      </c>
      <c r="C110" s="1743" t="s">
        <v>109</v>
      </c>
      <c r="D110" s="1743"/>
      <c r="E110" s="1743"/>
      <c r="F110" s="1743"/>
      <c r="G110" s="1740"/>
      <c r="H110" s="1742"/>
      <c r="I110" s="1742"/>
      <c r="J110" s="1743"/>
      <c r="K110" s="1743"/>
      <c r="L110" s="1743"/>
      <c r="M110" s="1743"/>
      <c r="N110" s="1743"/>
      <c r="O110" s="1743"/>
      <c r="P110" s="1269"/>
      <c r="Q110" s="1269"/>
      <c r="R110" s="1301"/>
      <c r="S110" s="1743"/>
      <c r="T110" s="1743"/>
      <c r="U110" s="1740"/>
      <c r="V110" s="1740"/>
      <c r="W110" s="1741"/>
      <c r="X110" s="1410"/>
      <c r="Y110" s="1740"/>
      <c r="Z110" s="1742"/>
      <c r="AA110" s="1742"/>
      <c r="AB110" s="1743"/>
      <c r="AC110" s="1740"/>
      <c r="AD110" s="1740"/>
      <c r="AE110" s="1373"/>
      <c r="AF110" s="1743"/>
      <c r="AG110" s="1745"/>
    </row>
    <row r="111" spans="1:38" ht="18.75" customHeight="1" x14ac:dyDescent="0.2">
      <c r="A111" s="1273">
        <v>85</v>
      </c>
      <c r="B111" s="1317" t="s">
        <v>195</v>
      </c>
      <c r="C111" s="1316" t="s">
        <v>484</v>
      </c>
      <c r="D111" s="1743"/>
      <c r="E111" s="1743"/>
      <c r="F111" s="1743"/>
      <c r="G111" s="1740"/>
      <c r="H111" s="1742"/>
      <c r="I111" s="1742"/>
      <c r="J111" s="1743"/>
      <c r="K111" s="1743"/>
      <c r="L111" s="1743"/>
      <c r="M111" s="1743"/>
      <c r="N111" s="1743"/>
      <c r="O111" s="1743"/>
      <c r="P111" s="1269"/>
      <c r="Q111" s="1269"/>
      <c r="R111" s="1743"/>
      <c r="S111" s="1743"/>
      <c r="T111" s="1743"/>
      <c r="U111" s="1740"/>
      <c r="V111" s="1740"/>
      <c r="W111" s="1741"/>
      <c r="X111" s="1410"/>
      <c r="Y111" s="1740"/>
      <c r="Z111" s="1742"/>
      <c r="AA111" s="1742"/>
      <c r="AB111" s="1743"/>
      <c r="AC111" s="1740"/>
      <c r="AD111" s="1740"/>
      <c r="AE111" s="1373"/>
      <c r="AF111" s="1743"/>
      <c r="AG111" s="1285"/>
    </row>
    <row r="112" spans="1:38" ht="18.75" customHeight="1" x14ac:dyDescent="0.2">
      <c r="A112" s="1273">
        <v>86</v>
      </c>
      <c r="B112" s="1317" t="s">
        <v>192</v>
      </c>
      <c r="C112" s="1316" t="s">
        <v>484</v>
      </c>
      <c r="D112" s="1743"/>
      <c r="E112" s="1743"/>
      <c r="F112" s="1743"/>
      <c r="G112" s="1740"/>
      <c r="H112" s="1742"/>
      <c r="I112" s="1742"/>
      <c r="J112" s="1743"/>
      <c r="K112" s="1743"/>
      <c r="L112" s="1743"/>
      <c r="M112" s="1743"/>
      <c r="N112" s="1743"/>
      <c r="O112" s="1743"/>
      <c r="P112" s="1269"/>
      <c r="Q112" s="1269"/>
      <c r="R112" s="1743"/>
      <c r="S112" s="1743"/>
      <c r="T112" s="1743"/>
      <c r="U112" s="1740"/>
      <c r="V112" s="1740"/>
      <c r="W112" s="1741"/>
      <c r="X112" s="1410"/>
      <c r="Y112" s="1740"/>
      <c r="Z112" s="1742"/>
      <c r="AA112" s="1742"/>
      <c r="AB112" s="1743"/>
      <c r="AC112" s="1740"/>
      <c r="AD112" s="1740"/>
      <c r="AE112" s="1373"/>
      <c r="AF112" s="1743"/>
      <c r="AG112" s="1285"/>
    </row>
    <row r="113" spans="1:33" ht="18.75" customHeight="1" x14ac:dyDescent="0.2">
      <c r="A113" s="1273"/>
      <c r="B113" s="1262"/>
      <c r="C113" s="1371"/>
      <c r="D113" s="1371"/>
      <c r="E113" s="1742" t="s">
        <v>278</v>
      </c>
      <c r="F113" s="1371"/>
      <c r="G113" s="1740"/>
      <c r="H113" s="1742"/>
      <c r="I113" s="1742"/>
      <c r="J113" s="1743"/>
      <c r="K113" s="1743"/>
      <c r="L113" s="1743"/>
      <c r="M113" s="1743"/>
      <c r="N113" s="1743"/>
      <c r="O113" s="1743"/>
      <c r="P113" s="1269"/>
      <c r="Q113" s="1269"/>
      <c r="R113" s="1743"/>
      <c r="S113" s="1743"/>
      <c r="T113" s="1743"/>
      <c r="U113" s="1740"/>
      <c r="V113" s="1740"/>
      <c r="W113" s="1741"/>
      <c r="X113" s="1410"/>
      <c r="Y113" s="1740"/>
      <c r="Z113" s="1301"/>
      <c r="AA113" s="1743"/>
      <c r="AB113" s="1743"/>
      <c r="AC113" s="1740"/>
      <c r="AD113" s="1740"/>
      <c r="AE113" s="1743"/>
      <c r="AF113" s="1743"/>
      <c r="AG113" s="1745"/>
    </row>
    <row r="114" spans="1:33" ht="18.75" customHeight="1" x14ac:dyDescent="0.25">
      <c r="A114" s="1273">
        <v>87</v>
      </c>
      <c r="B114" s="1274" t="s">
        <v>181</v>
      </c>
      <c r="C114" s="1374" t="s">
        <v>344</v>
      </c>
      <c r="D114" s="241">
        <v>374.5</v>
      </c>
      <c r="E114" s="241" t="s">
        <v>182</v>
      </c>
      <c r="F114" s="241">
        <v>177.8</v>
      </c>
      <c r="G114" s="241"/>
      <c r="H114" s="241"/>
      <c r="I114" s="1743"/>
      <c r="J114" s="241"/>
      <c r="K114" s="241"/>
      <c r="L114" s="241"/>
      <c r="M114" s="241"/>
      <c r="N114" s="1278"/>
      <c r="O114" s="241"/>
      <c r="P114" s="244"/>
      <c r="Q114" s="1278"/>
      <c r="R114" s="244"/>
      <c r="S114" s="244"/>
      <c r="T114" s="244"/>
      <c r="U114" s="244"/>
      <c r="V114" s="244"/>
      <c r="W114" s="1355"/>
      <c r="X114" s="1316"/>
      <c r="Y114" s="1375"/>
      <c r="Z114" s="244"/>
      <c r="AA114" s="244"/>
      <c r="AB114" s="244"/>
      <c r="AC114" s="244"/>
      <c r="AD114" s="244"/>
      <c r="AE114" s="241"/>
      <c r="AF114" s="244"/>
      <c r="AG114" s="1285"/>
    </row>
    <row r="115" spans="1:33" ht="18.75" customHeight="1" x14ac:dyDescent="0.2">
      <c r="A115" s="1273">
        <v>88</v>
      </c>
      <c r="B115" s="1317" t="s">
        <v>160</v>
      </c>
      <c r="C115" s="241" t="s">
        <v>46</v>
      </c>
      <c r="D115" s="1743">
        <v>625.1</v>
      </c>
      <c r="E115" s="1743" t="s">
        <v>578</v>
      </c>
      <c r="F115" s="241">
        <v>177.8</v>
      </c>
      <c r="G115" s="241"/>
      <c r="H115" s="241"/>
      <c r="I115" s="244"/>
      <c r="J115" s="1743"/>
      <c r="K115" s="1743"/>
      <c r="L115" s="1743"/>
      <c r="M115" s="1743"/>
      <c r="N115" s="1743"/>
      <c r="O115" s="1743"/>
      <c r="P115" s="1269"/>
      <c r="Q115" s="1269"/>
      <c r="R115" s="1743"/>
      <c r="S115" s="1743"/>
      <c r="T115" s="1743"/>
      <c r="U115" s="1740"/>
      <c r="V115" s="1740"/>
      <c r="W115" s="1741"/>
      <c r="X115" s="1410"/>
      <c r="Y115" s="1376"/>
      <c r="Z115" s="1319"/>
      <c r="AA115" s="1743"/>
      <c r="AB115" s="1743"/>
      <c r="AC115" s="1740"/>
      <c r="AD115" s="1743"/>
      <c r="AE115" s="1373"/>
      <c r="AF115" s="1301"/>
      <c r="AG115" s="1285"/>
    </row>
    <row r="116" spans="1:33" ht="18.75" customHeight="1" x14ac:dyDescent="0.2">
      <c r="A116" s="1273"/>
      <c r="B116" s="1356"/>
      <c r="C116" s="1356"/>
      <c r="D116" s="1356"/>
      <c r="E116" s="1356"/>
      <c r="F116" s="1356"/>
      <c r="G116" s="241"/>
      <c r="H116" s="241"/>
      <c r="I116" s="1743"/>
      <c r="J116" s="1743"/>
      <c r="K116" s="1743"/>
      <c r="L116" s="1743"/>
      <c r="M116" s="1743"/>
      <c r="N116" s="1743"/>
      <c r="O116" s="1743"/>
      <c r="P116" s="1269"/>
      <c r="Q116" s="1270"/>
      <c r="R116" s="1743"/>
      <c r="S116" s="1743"/>
      <c r="T116" s="1743"/>
      <c r="U116" s="1740"/>
      <c r="V116" s="1740"/>
      <c r="W116" s="1741"/>
      <c r="X116" s="1410"/>
      <c r="Y116" s="1376"/>
      <c r="Z116" s="1319"/>
      <c r="AA116" s="1743"/>
      <c r="AB116" s="1743"/>
      <c r="AC116" s="1740"/>
      <c r="AD116" s="1743"/>
      <c r="AE116" s="1373"/>
      <c r="AF116" s="1301"/>
      <c r="AG116" s="1285"/>
    </row>
    <row r="117" spans="1:33" ht="18.75" customHeight="1" x14ac:dyDescent="0.2">
      <c r="A117" s="1273"/>
      <c r="B117" s="1274"/>
      <c r="C117" s="241"/>
      <c r="D117" s="241"/>
      <c r="E117" s="241"/>
      <c r="F117" s="241"/>
      <c r="G117" s="241"/>
      <c r="H117" s="241"/>
      <c r="I117" s="1743"/>
      <c r="J117" s="241"/>
      <c r="K117" s="241"/>
      <c r="L117" s="241"/>
      <c r="M117" s="241"/>
      <c r="N117" s="1278"/>
      <c r="O117" s="241"/>
      <c r="P117" s="244"/>
      <c r="Q117" s="1377"/>
      <c r="R117" s="244"/>
      <c r="S117" s="244"/>
      <c r="T117" s="244"/>
      <c r="U117" s="244"/>
      <c r="V117" s="244"/>
      <c r="W117" s="1355"/>
      <c r="X117" s="1316"/>
      <c r="Y117" s="1375"/>
      <c r="Z117" s="244"/>
      <c r="AA117" s="244"/>
      <c r="AB117" s="244"/>
      <c r="AC117" s="244"/>
      <c r="AD117" s="244"/>
      <c r="AE117" s="241"/>
      <c r="AF117" s="244"/>
      <c r="AG117" s="1285"/>
    </row>
    <row r="118" spans="1:33" ht="15" x14ac:dyDescent="0.2">
      <c r="A118" s="1359"/>
      <c r="B118" s="241"/>
      <c r="C118" s="241"/>
      <c r="D118" s="241"/>
      <c r="E118" s="1274"/>
      <c r="F118" s="241"/>
      <c r="G118" s="241"/>
      <c r="H118" s="241"/>
      <c r="I118" s="1743"/>
      <c r="J118" s="241"/>
      <c r="K118" s="241"/>
      <c r="L118" s="241"/>
      <c r="M118" s="241"/>
      <c r="N118" s="1278"/>
      <c r="O118" s="241"/>
      <c r="P118" s="244"/>
      <c r="Q118" s="1377"/>
      <c r="R118" s="244"/>
      <c r="S118" s="244"/>
      <c r="T118" s="244"/>
      <c r="U118" s="244"/>
      <c r="V118" s="244"/>
      <c r="W118" s="1355"/>
      <c r="X118" s="1316"/>
      <c r="Y118" s="1375"/>
      <c r="Z118" s="244"/>
      <c r="AA118" s="244"/>
      <c r="AB118" s="244"/>
      <c r="AC118" s="244"/>
      <c r="AD118" s="244"/>
      <c r="AE118" s="241"/>
      <c r="AF118" s="244"/>
      <c r="AG118" s="1285"/>
    </row>
    <row r="119" spans="1:33" ht="15.75" thickBot="1" x14ac:dyDescent="0.25">
      <c r="A119" s="1378"/>
      <c r="B119" s="1736"/>
      <c r="C119" s="1736"/>
      <c r="D119" s="1736"/>
      <c r="E119" s="1737"/>
      <c r="F119" s="1379"/>
      <c r="G119" s="1380"/>
      <c r="H119" s="1380"/>
      <c r="I119" s="1381"/>
      <c r="J119" s="1380"/>
      <c r="K119" s="1379"/>
      <c r="L119" s="1380"/>
      <c r="M119" s="1379"/>
      <c r="N119" s="1383"/>
      <c r="O119" s="1379"/>
      <c r="P119" s="1384"/>
      <c r="Q119" s="1385"/>
      <c r="R119" s="1386">
        <f>R87+R94+R106</f>
        <v>299.39299999999997</v>
      </c>
      <c r="S119" s="1386">
        <f>S87+S94+S106</f>
        <v>806.17699999999979</v>
      </c>
      <c r="T119" s="1387">
        <f>T87+T94+T106</f>
        <v>5010.8000000000011</v>
      </c>
      <c r="U119" s="1386">
        <f>T119/R119</f>
        <v>16.736530246198146</v>
      </c>
      <c r="V119" s="1386"/>
      <c r="W119" s="1388"/>
      <c r="X119" s="1456"/>
      <c r="Y119" s="1386"/>
      <c r="Z119" s="1386">
        <f>Z87+Z94+Z106</f>
        <v>296.4691600000001</v>
      </c>
      <c r="AA119" s="1386">
        <f>AA87+AA106+AA94</f>
        <v>798.75156400000026</v>
      </c>
      <c r="AB119" s="1387">
        <f>AB87+AB106+AB94</f>
        <v>4990.6143999999995</v>
      </c>
      <c r="AC119" s="1386">
        <f>AC87+AC106+AC94</f>
        <v>16.833502682032755</v>
      </c>
      <c r="AD119" s="1386"/>
      <c r="AE119" s="1386"/>
      <c r="AF119" s="1390">
        <f>AF87+AF94+AF106</f>
        <v>9186.8962640000009</v>
      </c>
      <c r="AG119" s="1391"/>
    </row>
    <row r="120" spans="1:33" ht="15" x14ac:dyDescent="0.2">
      <c r="B120" s="254"/>
      <c r="C120" s="254"/>
      <c r="D120" s="254"/>
      <c r="E120" s="254"/>
      <c r="F120" s="254"/>
      <c r="G120" s="255"/>
      <c r="H120" s="256"/>
      <c r="I120" s="256"/>
      <c r="J120" s="254"/>
      <c r="K120" s="254"/>
      <c r="L120" s="254"/>
      <c r="M120" s="254"/>
      <c r="N120" s="254"/>
      <c r="O120" s="254"/>
      <c r="P120" s="257"/>
      <c r="Q120" s="1393"/>
      <c r="R120" s="254"/>
      <c r="S120" s="254"/>
      <c r="T120" s="254"/>
      <c r="U120" s="255"/>
      <c r="V120" s="255"/>
      <c r="W120" s="255"/>
      <c r="X120" s="254"/>
      <c r="Y120" s="255"/>
      <c r="Z120" s="254"/>
      <c r="AA120" s="254"/>
      <c r="AB120" s="254"/>
      <c r="AC120" s="255"/>
      <c r="AD120" s="255"/>
      <c r="AE120" s="254"/>
      <c r="AF120" s="254"/>
      <c r="AG120" s="256"/>
    </row>
    <row r="121" spans="1:33" ht="15" x14ac:dyDescent="0.2">
      <c r="B121" s="148"/>
      <c r="C121" s="1744"/>
      <c r="D121" s="148"/>
      <c r="E121" s="1394">
        <v>0.98</v>
      </c>
      <c r="F121" s="148"/>
      <c r="G121" s="148" t="s">
        <v>102</v>
      </c>
      <c r="H121" s="1744"/>
      <c r="I121" s="1395"/>
      <c r="J121" s="148"/>
      <c r="K121" s="1983">
        <f>AF119*E121</f>
        <v>9003.1583387200008</v>
      </c>
      <c r="L121" s="1984"/>
      <c r="M121" s="1984"/>
      <c r="N121" s="1744" t="s">
        <v>27</v>
      </c>
      <c r="O121" s="254"/>
      <c r="P121" s="257"/>
      <c r="Q121" s="1393"/>
      <c r="R121" s="254"/>
      <c r="S121" s="254"/>
      <c r="T121" s="254"/>
      <c r="U121" s="255"/>
      <c r="V121" s="255"/>
      <c r="W121" s="255"/>
      <c r="X121" s="148"/>
      <c r="Y121" s="255"/>
      <c r="Z121" s="258">
        <f>Z119-AA119</f>
        <v>-502.28240400000016</v>
      </c>
      <c r="AA121" s="254"/>
      <c r="AB121" s="254"/>
      <c r="AC121" s="255"/>
      <c r="AD121" s="255"/>
      <c r="AE121" s="254"/>
      <c r="AF121" s="258"/>
      <c r="AG121" s="256"/>
    </row>
    <row r="122" spans="1:33" ht="15" x14ac:dyDescent="0.2">
      <c r="B122" s="148"/>
      <c r="C122" s="1744"/>
      <c r="D122" s="148"/>
      <c r="E122" s="154"/>
      <c r="F122" s="148"/>
      <c r="G122" s="148" t="s">
        <v>733</v>
      </c>
      <c r="H122" s="1744"/>
      <c r="I122" s="1395"/>
      <c r="J122" s="148"/>
      <c r="K122" s="1744"/>
      <c r="L122" s="1397"/>
      <c r="M122" s="148">
        <f>K121*0.875</f>
        <v>7877.7635463800007</v>
      </c>
      <c r="N122" s="148" t="s">
        <v>734</v>
      </c>
      <c r="O122" s="148"/>
      <c r="P122" s="1398"/>
      <c r="Q122" s="1399"/>
      <c r="R122" s="148"/>
      <c r="S122" s="148"/>
      <c r="T122" s="148"/>
      <c r="U122" s="148"/>
      <c r="V122" s="148"/>
      <c r="W122" s="148"/>
      <c r="X122" s="148"/>
      <c r="Y122" s="1739"/>
      <c r="Z122" s="1739"/>
      <c r="AA122" s="150"/>
      <c r="AB122" s="1739"/>
      <c r="AC122" s="1739"/>
      <c r="AD122" s="1739"/>
      <c r="AE122" s="1739"/>
      <c r="AF122" s="1739"/>
      <c r="AG122" s="1400"/>
    </row>
    <row r="123" spans="1:33" ht="15" x14ac:dyDescent="0.2">
      <c r="B123" s="148"/>
      <c r="C123" s="1744"/>
      <c r="D123" s="148"/>
      <c r="E123" s="154"/>
      <c r="F123" s="148"/>
      <c r="G123" s="148"/>
      <c r="H123" s="1744"/>
      <c r="I123" s="1395"/>
      <c r="J123" s="148"/>
      <c r="K123" s="1744"/>
      <c r="L123" s="1397"/>
      <c r="M123" s="148"/>
      <c r="N123" s="148"/>
      <c r="O123" s="148"/>
      <c r="P123" s="1398"/>
      <c r="Q123" s="1399"/>
      <c r="R123" s="148"/>
      <c r="S123" s="148"/>
      <c r="T123" s="148"/>
      <c r="U123" s="148"/>
      <c r="V123" s="148"/>
      <c r="W123" s="148"/>
      <c r="X123" s="148"/>
      <c r="Y123" s="1739"/>
      <c r="Z123" s="1739"/>
      <c r="AA123" s="1739"/>
      <c r="AB123" s="1739"/>
      <c r="AC123" s="1739"/>
      <c r="AD123" s="1739"/>
      <c r="AE123" s="1739"/>
      <c r="AF123" s="1739"/>
      <c r="AG123" s="1400"/>
    </row>
    <row r="124" spans="1:33" ht="15" x14ac:dyDescent="0.2">
      <c r="B124" s="148"/>
      <c r="C124" s="1744"/>
      <c r="D124" s="148"/>
      <c r="E124" s="154"/>
      <c r="F124" s="148"/>
      <c r="G124" s="148"/>
      <c r="H124" s="1744"/>
      <c r="I124" s="1395"/>
      <c r="J124" s="148"/>
      <c r="K124" s="1744"/>
      <c r="L124" s="1397"/>
      <c r="M124" s="148"/>
      <c r="N124" s="148"/>
      <c r="O124" s="148"/>
      <c r="P124" s="1398"/>
      <c r="Q124" s="1399"/>
      <c r="R124" s="148"/>
      <c r="S124" s="148"/>
      <c r="T124" s="148"/>
      <c r="U124" s="148"/>
      <c r="V124" s="148"/>
      <c r="W124" s="148"/>
      <c r="X124" s="148"/>
      <c r="Y124" s="1739"/>
      <c r="Z124" s="1739"/>
      <c r="AA124" s="1739"/>
      <c r="AB124" s="1739"/>
      <c r="AC124" s="1739"/>
      <c r="AD124" s="1739"/>
      <c r="AE124" s="1739"/>
      <c r="AF124" s="1739"/>
      <c r="AG124" s="1400"/>
    </row>
    <row r="125" spans="1:33" ht="15" x14ac:dyDescent="0.2">
      <c r="B125" s="148"/>
      <c r="C125" s="148"/>
      <c r="D125" s="148"/>
      <c r="E125" s="1401" t="s">
        <v>214</v>
      </c>
      <c r="F125" s="1826" t="s">
        <v>268</v>
      </c>
      <c r="G125" s="1826"/>
      <c r="H125" s="1826"/>
      <c r="I125" s="148"/>
      <c r="J125" s="148"/>
      <c r="K125" s="1744"/>
      <c r="L125" s="1744"/>
      <c r="M125" s="148"/>
      <c r="N125" s="148"/>
      <c r="O125" s="148"/>
      <c r="P125" s="148"/>
      <c r="Q125" s="1399"/>
      <c r="R125" s="148"/>
      <c r="S125" s="148"/>
      <c r="T125" s="148"/>
      <c r="U125" s="148"/>
      <c r="V125" s="148"/>
      <c r="W125" s="148"/>
      <c r="X125" s="148"/>
      <c r="Y125" s="1985" t="s">
        <v>352</v>
      </c>
      <c r="Z125" s="1986"/>
      <c r="AA125" s="1986"/>
      <c r="AB125" s="1986"/>
      <c r="AC125" s="1739" t="s">
        <v>561</v>
      </c>
      <c r="AD125" s="1739"/>
      <c r="AE125" s="1739"/>
      <c r="AF125" s="1739"/>
      <c r="AG125" s="1739"/>
    </row>
    <row r="126" spans="1:33" x14ac:dyDescent="0.2">
      <c r="R126" s="1282"/>
    </row>
    <row r="127" spans="1:33" x14ac:dyDescent="0.2">
      <c r="AA127" s="1282"/>
    </row>
    <row r="129" spans="5:5" x14ac:dyDescent="0.2">
      <c r="E129" s="1267"/>
    </row>
  </sheetData>
  <autoFilter ref="A14:AO87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1">
    <mergeCell ref="K121:M121"/>
    <mergeCell ref="F125:H125"/>
    <mergeCell ref="Y125:AB125"/>
    <mergeCell ref="Z17:AB17"/>
    <mergeCell ref="AC17:AC18"/>
    <mergeCell ref="H17:H18"/>
    <mergeCell ref="K17:L17"/>
    <mergeCell ref="M17:N17"/>
    <mergeCell ref="O17:P17"/>
    <mergeCell ref="R17:T17"/>
    <mergeCell ref="U17:U18"/>
    <mergeCell ref="V17:V18"/>
    <mergeCell ref="W17:W18"/>
    <mergeCell ref="AD17:AD18"/>
    <mergeCell ref="AG17:AG18"/>
    <mergeCell ref="AN17:AN18"/>
    <mergeCell ref="AO17:AO18"/>
    <mergeCell ref="X16:AG16"/>
    <mergeCell ref="Y17:Y18"/>
    <mergeCell ref="H14:X14"/>
    <mergeCell ref="J15:W15"/>
    <mergeCell ref="A16:A18"/>
    <mergeCell ref="B16:B18"/>
    <mergeCell ref="C16:C18"/>
    <mergeCell ref="D16:D18"/>
    <mergeCell ref="E16:E18"/>
    <mergeCell ref="F16:F18"/>
    <mergeCell ref="G16:G18"/>
    <mergeCell ref="H16:W16"/>
    <mergeCell ref="A13:D13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0.11811023622047245" right="0.11811023622047245" top="0" bottom="0" header="0" footer="0"/>
  <pageSetup paperSize="8" scale="60" fitToWidth="2" fitToHeight="2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D497F-B66A-475F-94D8-368C756744E5}">
  <dimension ref="A1:AQ123"/>
  <sheetViews>
    <sheetView topLeftCell="E13" zoomScale="70" zoomScaleNormal="70" workbookViewId="0">
      <selection activeCell="A21" sqref="A21:XFD2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2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760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41" ht="74.25" customHeight="1" x14ac:dyDescent="0.2">
      <c r="A2" s="1977" t="s">
        <v>814</v>
      </c>
      <c r="B2" s="1977"/>
      <c r="C2" s="1977"/>
      <c r="D2" s="1977"/>
      <c r="E2" s="1760"/>
      <c r="F2" s="1760"/>
      <c r="G2" s="1749"/>
      <c r="H2" s="1759"/>
      <c r="I2" s="1759"/>
      <c r="J2" s="1759"/>
      <c r="K2" s="1759"/>
      <c r="L2" s="1759"/>
      <c r="M2" s="1759"/>
      <c r="N2" s="1759"/>
      <c r="O2" s="1759"/>
      <c r="P2" s="1759"/>
      <c r="Q2" s="1256"/>
      <c r="R2" s="1760"/>
      <c r="S2" s="1760"/>
      <c r="T2" s="1760"/>
      <c r="U2" s="1760"/>
      <c r="V2" s="1760"/>
      <c r="W2" s="1760"/>
      <c r="X2" s="1759"/>
      <c r="Y2" s="1760"/>
      <c r="Z2" s="1760"/>
      <c r="AA2" s="1760"/>
      <c r="AC2" s="1760"/>
      <c r="AD2" s="1760"/>
      <c r="AE2" s="1760"/>
      <c r="AF2" s="1998" t="s">
        <v>750</v>
      </c>
      <c r="AG2" s="1998"/>
    </row>
    <row r="3" spans="1:41" ht="15.75" x14ac:dyDescent="0.25">
      <c r="A3" s="1408" t="s">
        <v>815</v>
      </c>
      <c r="B3" s="1762"/>
      <c r="C3" s="1762"/>
      <c r="D3" s="1762"/>
      <c r="E3" s="1760"/>
      <c r="F3" s="1760"/>
      <c r="G3" s="1749"/>
      <c r="H3" s="1759"/>
      <c r="I3" s="1759"/>
      <c r="J3" s="1759"/>
      <c r="K3" s="1759"/>
      <c r="L3" s="1759"/>
      <c r="M3" s="1759"/>
      <c r="N3" s="1759"/>
      <c r="O3" s="1759"/>
      <c r="P3" s="1759"/>
      <c r="Q3" s="1256"/>
      <c r="R3" s="1760"/>
      <c r="S3" s="1760"/>
      <c r="T3" s="1760"/>
      <c r="U3" s="1760"/>
      <c r="V3" s="1760"/>
      <c r="W3" s="1760"/>
      <c r="X3" s="1759"/>
      <c r="Y3" s="1760"/>
      <c r="Z3" s="1760"/>
      <c r="AA3" s="1760"/>
      <c r="AB3" s="1760"/>
      <c r="AC3" s="1260"/>
      <c r="AE3" s="1222"/>
      <c r="AF3" s="1759" t="s">
        <v>739</v>
      </c>
      <c r="AG3" s="1494"/>
    </row>
    <row r="4" spans="1:41" ht="15" x14ac:dyDescent="0.25">
      <c r="A4" s="1976"/>
      <c r="B4" s="1976"/>
      <c r="C4" s="1976"/>
      <c r="D4" s="1976"/>
      <c r="E4" s="1751"/>
      <c r="F4" s="1760"/>
      <c r="G4" s="1749"/>
      <c r="H4" s="1749"/>
      <c r="I4" s="1759"/>
      <c r="J4" s="1759"/>
      <c r="K4" s="1759"/>
      <c r="L4" s="1759"/>
      <c r="M4" s="1759"/>
      <c r="N4" s="1759"/>
      <c r="O4" s="1759"/>
      <c r="P4" s="1759"/>
      <c r="Q4" s="1256"/>
      <c r="R4" s="1748"/>
      <c r="S4" s="1748"/>
      <c r="T4" s="1748"/>
      <c r="U4" s="1748"/>
      <c r="V4" s="1748"/>
      <c r="W4" s="1748"/>
      <c r="X4" s="1759"/>
      <c r="Y4" s="1760"/>
      <c r="Z4" s="1760"/>
      <c r="AB4" s="1760"/>
      <c r="AD4" s="1760"/>
      <c r="AE4" s="1258"/>
      <c r="AF4" s="154"/>
      <c r="AG4" s="1495"/>
    </row>
    <row r="5" spans="1:41" ht="27" customHeight="1" x14ac:dyDescent="0.25">
      <c r="A5" s="1976" t="s">
        <v>802</v>
      </c>
      <c r="B5" s="1976"/>
      <c r="C5" s="1976"/>
      <c r="D5" s="1976"/>
      <c r="E5" s="1760"/>
      <c r="F5" s="1760"/>
      <c r="G5" s="1749"/>
      <c r="H5" s="1749"/>
      <c r="I5" s="1760"/>
      <c r="J5" s="1760"/>
      <c r="K5" s="1749"/>
      <c r="L5" s="1749"/>
      <c r="M5" s="1760"/>
      <c r="N5" s="1760"/>
      <c r="O5" s="1760"/>
      <c r="P5" s="149"/>
      <c r="Q5" s="1257"/>
      <c r="R5" s="1760"/>
      <c r="S5" s="1760"/>
      <c r="T5" s="1760"/>
      <c r="U5" s="1760"/>
      <c r="V5" s="1760"/>
      <c r="W5" s="1760"/>
      <c r="X5" s="1760"/>
      <c r="Y5" s="1760"/>
      <c r="Z5" s="1760"/>
      <c r="AA5" s="1760"/>
      <c r="AB5" s="1760"/>
      <c r="AC5" s="1760"/>
      <c r="AD5" s="1760"/>
      <c r="AF5" s="154" t="s">
        <v>803</v>
      </c>
      <c r="AG5" s="1495"/>
    </row>
    <row r="6" spans="1:41" ht="27" customHeight="1" x14ac:dyDescent="0.2">
      <c r="A6" s="1942"/>
      <c r="B6" s="1942"/>
      <c r="C6" s="1942"/>
      <c r="D6" s="1942"/>
      <c r="E6" s="1760"/>
      <c r="F6" s="1760"/>
      <c r="G6" s="1749"/>
      <c r="H6" s="1749"/>
      <c r="I6" s="1760"/>
      <c r="J6" s="1760"/>
      <c r="K6" s="1749"/>
      <c r="L6" s="1749"/>
      <c r="M6" s="1760"/>
      <c r="N6" s="1760"/>
      <c r="O6" s="1760"/>
      <c r="P6" s="149"/>
      <c r="Q6" s="1257"/>
      <c r="R6" s="1760"/>
      <c r="S6" s="1760"/>
      <c r="T6" s="1760"/>
      <c r="U6" s="1760"/>
      <c r="V6" s="1760"/>
      <c r="W6" s="1760"/>
      <c r="X6" s="1760"/>
      <c r="Y6" s="1760"/>
      <c r="Z6" s="1760"/>
      <c r="AA6" s="1760"/>
      <c r="AB6" s="1760"/>
      <c r="AC6" s="1760"/>
      <c r="AD6" s="1760"/>
      <c r="AE6" s="1760"/>
      <c r="AF6" s="1760"/>
    </row>
    <row r="7" spans="1:41" ht="27" customHeight="1" x14ac:dyDescent="0.2">
      <c r="A7" s="1942" t="s">
        <v>54</v>
      </c>
      <c r="B7" s="1942"/>
      <c r="C7" s="1942"/>
      <c r="D7" s="1942"/>
      <c r="E7" s="1760"/>
      <c r="F7" s="1760"/>
      <c r="G7" s="1749"/>
      <c r="H7" s="1749"/>
      <c r="I7" s="1760"/>
      <c r="J7" s="1760"/>
      <c r="K7" s="1749"/>
      <c r="L7" s="1749"/>
      <c r="M7" s="1760"/>
      <c r="N7" s="1760"/>
      <c r="O7" s="1760"/>
      <c r="P7" s="149"/>
      <c r="Q7" s="1257"/>
      <c r="R7" s="1760"/>
      <c r="S7" s="1760"/>
      <c r="T7" s="1760"/>
      <c r="U7" s="1760"/>
      <c r="V7" s="1760"/>
      <c r="W7" s="1760"/>
      <c r="X7" s="1760"/>
      <c r="Y7" s="1760"/>
      <c r="Z7" s="1760"/>
      <c r="AA7" s="1760"/>
      <c r="AB7" s="1760"/>
      <c r="AC7" s="1760"/>
      <c r="AD7" s="1760"/>
      <c r="AE7" s="1760"/>
      <c r="AF7" s="1760"/>
    </row>
    <row r="8" spans="1:41" ht="39" customHeight="1" x14ac:dyDescent="0.2">
      <c r="A8" s="1977" t="s">
        <v>736</v>
      </c>
      <c r="B8" s="1977"/>
      <c r="C8" s="1977"/>
      <c r="D8" s="1977"/>
      <c r="E8" s="1760"/>
      <c r="F8" s="1760"/>
      <c r="G8" s="1749"/>
      <c r="H8" s="1749"/>
      <c r="I8" s="1760"/>
      <c r="J8" s="1760"/>
      <c r="K8" s="1749"/>
      <c r="L8" s="1749"/>
      <c r="M8" s="1760"/>
      <c r="N8" s="1760"/>
      <c r="O8" s="1760"/>
      <c r="P8" s="149"/>
      <c r="Q8" s="1257"/>
      <c r="R8" s="1760"/>
      <c r="S8" s="1760"/>
      <c r="T8" s="1760"/>
      <c r="U8" s="1760"/>
      <c r="V8" s="1760"/>
      <c r="W8" s="1760"/>
      <c r="X8" s="1760"/>
      <c r="Y8" s="1760"/>
      <c r="Z8" s="1760"/>
      <c r="AA8" s="1760"/>
      <c r="AB8" s="1760"/>
      <c r="AC8" s="1760"/>
      <c r="AD8" s="1760"/>
      <c r="AE8" s="1760"/>
      <c r="AF8" s="1760"/>
    </row>
    <row r="9" spans="1:41" ht="27" customHeight="1" x14ac:dyDescent="0.2">
      <c r="A9" s="1408" t="s">
        <v>737</v>
      </c>
      <c r="B9" s="1750"/>
      <c r="C9" s="1750"/>
      <c r="D9" s="1750"/>
      <c r="E9" s="1760"/>
      <c r="F9" s="1760"/>
      <c r="G9" s="1749"/>
      <c r="H9" s="1749"/>
      <c r="I9" s="1760"/>
      <c r="J9" s="1760"/>
      <c r="K9" s="1749"/>
      <c r="L9" s="1749"/>
      <c r="M9" s="1760"/>
      <c r="N9" s="1760"/>
      <c r="O9" s="1760"/>
      <c r="P9" s="149"/>
      <c r="Q9" s="1257"/>
      <c r="R9" s="1760"/>
      <c r="S9" s="1760"/>
      <c r="T9" s="1760"/>
      <c r="U9" s="1760"/>
      <c r="V9" s="1760"/>
      <c r="W9" s="1760"/>
      <c r="X9" s="1760"/>
      <c r="Y9" s="1760"/>
      <c r="Z9" s="1760"/>
      <c r="AA9" s="1760"/>
      <c r="AB9" s="1760"/>
      <c r="AC9" s="1760"/>
      <c r="AD9" s="1760"/>
      <c r="AE9" s="1760"/>
      <c r="AF9" s="1760"/>
    </row>
    <row r="10" spans="1:41" ht="27" customHeight="1" x14ac:dyDescent="0.2">
      <c r="A10" s="1976"/>
      <c r="B10" s="1976"/>
      <c r="C10" s="1976"/>
      <c r="D10" s="1976"/>
      <c r="E10" s="1751"/>
      <c r="F10" s="1760"/>
      <c r="G10" s="1749"/>
      <c r="H10" s="1749"/>
      <c r="I10" s="1760"/>
      <c r="J10" s="1760"/>
      <c r="K10" s="1749"/>
      <c r="L10" s="1749"/>
      <c r="M10" s="1760"/>
      <c r="N10" s="1760"/>
      <c r="O10" s="1760"/>
      <c r="P10" s="149"/>
      <c r="Q10" s="1257"/>
      <c r="R10" s="1760"/>
      <c r="S10" s="1760"/>
      <c r="T10" s="1760"/>
      <c r="U10" s="1760"/>
      <c r="V10" s="1760"/>
      <c r="W10" s="1760"/>
      <c r="X10" s="1760"/>
      <c r="Y10" s="1760"/>
      <c r="Z10" s="1760"/>
      <c r="AA10" s="1760"/>
      <c r="AB10" s="1760"/>
      <c r="AC10" s="1760"/>
      <c r="AD10" s="1760"/>
      <c r="AE10" s="1760"/>
      <c r="AF10" s="1760"/>
    </row>
    <row r="11" spans="1:41" ht="27" customHeight="1" x14ac:dyDescent="0.2">
      <c r="A11" s="1976" t="s">
        <v>802</v>
      </c>
      <c r="B11" s="1976"/>
      <c r="C11" s="1976"/>
      <c r="D11" s="1976"/>
      <c r="E11" s="1760"/>
      <c r="F11" s="1760"/>
      <c r="G11" s="1749"/>
      <c r="H11" s="1749"/>
      <c r="I11" s="1760"/>
      <c r="J11" s="1760"/>
      <c r="K11" s="1749"/>
      <c r="L11" s="1749"/>
      <c r="M11" s="1760"/>
      <c r="N11" s="1760"/>
      <c r="O11" s="1760"/>
      <c r="P11" s="149"/>
      <c r="Q11" s="1257"/>
      <c r="R11" s="1760"/>
      <c r="S11" s="1760"/>
      <c r="T11" s="1760"/>
      <c r="U11" s="1760"/>
      <c r="V11" s="1760"/>
      <c r="W11" s="1760"/>
      <c r="X11" s="1760"/>
      <c r="Y11" s="1760"/>
      <c r="Z11" s="1760"/>
      <c r="AA11" s="1760"/>
      <c r="AB11" s="1760"/>
      <c r="AC11" s="1760"/>
      <c r="AD11" s="1760"/>
      <c r="AE11" s="1760"/>
      <c r="AF11" s="1760"/>
    </row>
    <row r="12" spans="1:41" ht="28.5" customHeight="1" x14ac:dyDescent="0.2">
      <c r="B12" s="1749"/>
      <c r="C12" s="1749"/>
      <c r="D12" s="1749"/>
      <c r="E12" s="1760"/>
      <c r="F12" s="1760"/>
      <c r="G12" s="1749"/>
      <c r="H12" s="1962" t="s">
        <v>65</v>
      </c>
      <c r="I12" s="1963"/>
      <c r="J12" s="1963"/>
      <c r="K12" s="1963"/>
      <c r="L12" s="1963"/>
      <c r="M12" s="1963"/>
      <c r="N12" s="1963"/>
      <c r="O12" s="1963"/>
      <c r="P12" s="1963"/>
      <c r="Q12" s="1963"/>
      <c r="R12" s="1963"/>
      <c r="S12" s="1963"/>
      <c r="T12" s="1963"/>
      <c r="U12" s="1963"/>
      <c r="V12" s="1963"/>
      <c r="W12" s="1963"/>
      <c r="X12" s="1963"/>
      <c r="Y12" s="1760"/>
      <c r="Z12" s="148"/>
      <c r="AA12" s="148"/>
      <c r="AB12" s="148"/>
      <c r="AC12" s="148"/>
    </row>
    <row r="13" spans="1:41" ht="31.5" customHeight="1" thickBot="1" x14ac:dyDescent="0.25">
      <c r="B13" s="1749"/>
      <c r="C13" s="1749"/>
      <c r="D13" s="1749"/>
      <c r="E13" s="1760"/>
      <c r="F13" s="1760"/>
      <c r="G13" s="1749"/>
      <c r="H13" s="1749"/>
      <c r="I13" s="140"/>
      <c r="J13" s="1964" t="s">
        <v>805</v>
      </c>
      <c r="K13" s="1965"/>
      <c r="L13" s="1965"/>
      <c r="M13" s="1965"/>
      <c r="N13" s="1965"/>
      <c r="O13" s="1965"/>
      <c r="P13" s="1965"/>
      <c r="Q13" s="1965"/>
      <c r="R13" s="1965"/>
      <c r="S13" s="1965"/>
      <c r="T13" s="1965"/>
      <c r="U13" s="1965"/>
      <c r="V13" s="1965"/>
      <c r="W13" s="1965"/>
      <c r="X13" s="1760"/>
      <c r="Y13" s="1760"/>
      <c r="Z13" s="148"/>
      <c r="AA13" s="148"/>
      <c r="AB13" s="148"/>
      <c r="AC13" s="148"/>
      <c r="AD13" s="1760"/>
      <c r="AE13" s="1760"/>
      <c r="AF13" s="1760"/>
      <c r="AG13" s="151"/>
    </row>
    <row r="14" spans="1:41" ht="18.75" customHeight="1" x14ac:dyDescent="0.2">
      <c r="A14" s="1969" t="s">
        <v>1</v>
      </c>
      <c r="B14" s="1971" t="s">
        <v>664</v>
      </c>
      <c r="C14" s="1973" t="s">
        <v>8</v>
      </c>
      <c r="D14" s="1992" t="s">
        <v>719</v>
      </c>
      <c r="E14" s="1994" t="s">
        <v>720</v>
      </c>
      <c r="F14" s="1992" t="s">
        <v>721</v>
      </c>
      <c r="G14" s="1973" t="s">
        <v>667</v>
      </c>
      <c r="H14" s="1988" t="s">
        <v>669</v>
      </c>
      <c r="I14" s="1988"/>
      <c r="J14" s="1988"/>
      <c r="K14" s="1988"/>
      <c r="L14" s="1988"/>
      <c r="M14" s="1988"/>
      <c r="N14" s="1988"/>
      <c r="O14" s="1988"/>
      <c r="P14" s="1988"/>
      <c r="Q14" s="1988"/>
      <c r="R14" s="1988"/>
      <c r="S14" s="1988"/>
      <c r="T14" s="1988"/>
      <c r="U14" s="1988"/>
      <c r="V14" s="1988"/>
      <c r="W14" s="1989"/>
      <c r="X14" s="1978" t="s">
        <v>22</v>
      </c>
      <c r="Y14" s="1979"/>
      <c r="Z14" s="1979"/>
      <c r="AA14" s="1979"/>
      <c r="AB14" s="1979"/>
      <c r="AC14" s="1979"/>
      <c r="AD14" s="1979"/>
      <c r="AE14" s="1979"/>
      <c r="AF14" s="1979"/>
      <c r="AG14" s="1980"/>
    </row>
    <row r="15" spans="1:41" ht="168" customHeight="1" x14ac:dyDescent="0.2">
      <c r="A15" s="1970"/>
      <c r="B15" s="1972"/>
      <c r="C15" s="1968"/>
      <c r="D15" s="1993"/>
      <c r="E15" s="1995"/>
      <c r="F15" s="1993"/>
      <c r="G15" s="1968"/>
      <c r="H15" s="1990" t="s">
        <v>668</v>
      </c>
      <c r="I15" s="1262" t="s">
        <v>670</v>
      </c>
      <c r="J15" s="1753" t="s">
        <v>671</v>
      </c>
      <c r="K15" s="1972" t="s">
        <v>672</v>
      </c>
      <c r="L15" s="1972"/>
      <c r="M15" s="1972" t="s">
        <v>10</v>
      </c>
      <c r="N15" s="1972"/>
      <c r="O15" s="1968" t="s">
        <v>11</v>
      </c>
      <c r="P15" s="1968"/>
      <c r="Q15" s="1264" t="s">
        <v>674</v>
      </c>
      <c r="R15" s="1972" t="s">
        <v>15</v>
      </c>
      <c r="S15" s="1975"/>
      <c r="T15" s="1975"/>
      <c r="U15" s="1968" t="s">
        <v>100</v>
      </c>
      <c r="V15" s="1968" t="s">
        <v>16</v>
      </c>
      <c r="W15" s="1987" t="s">
        <v>677</v>
      </c>
      <c r="X15" s="1451" t="s">
        <v>671</v>
      </c>
      <c r="Y15" s="1968" t="s">
        <v>24</v>
      </c>
      <c r="Z15" s="1972" t="s">
        <v>678</v>
      </c>
      <c r="AA15" s="1975"/>
      <c r="AB15" s="1975"/>
      <c r="AC15" s="1968" t="s">
        <v>100</v>
      </c>
      <c r="AD15" s="1968" t="s">
        <v>16</v>
      </c>
      <c r="AE15" s="1753" t="s">
        <v>18</v>
      </c>
      <c r="AF15" s="1753" t="s">
        <v>20</v>
      </c>
      <c r="AG15" s="1967" t="s">
        <v>21</v>
      </c>
      <c r="AH15" s="1267">
        <v>45383</v>
      </c>
      <c r="AN15" s="1966" t="s">
        <v>711</v>
      </c>
      <c r="AO15" s="1966" t="s">
        <v>712</v>
      </c>
    </row>
    <row r="16" spans="1:41" ht="25.5" customHeight="1" x14ac:dyDescent="0.2">
      <c r="A16" s="1970"/>
      <c r="B16" s="1972"/>
      <c r="C16" s="1968"/>
      <c r="D16" s="1991"/>
      <c r="E16" s="1996"/>
      <c r="F16" s="1991"/>
      <c r="G16" s="1968"/>
      <c r="H16" s="1991"/>
      <c r="I16" s="1755" t="s">
        <v>3</v>
      </c>
      <c r="J16" s="1755" t="s">
        <v>7</v>
      </c>
      <c r="K16" s="1755" t="s">
        <v>30</v>
      </c>
      <c r="L16" s="1755" t="s">
        <v>29</v>
      </c>
      <c r="M16" s="1755" t="s">
        <v>31</v>
      </c>
      <c r="N16" s="1755" t="s">
        <v>32</v>
      </c>
      <c r="O16" s="1755" t="s">
        <v>12</v>
      </c>
      <c r="P16" s="1269" t="s">
        <v>673</v>
      </c>
      <c r="Q16" s="1270" t="s">
        <v>26</v>
      </c>
      <c r="R16" s="1755" t="s">
        <v>675</v>
      </c>
      <c r="S16" s="1755" t="s">
        <v>25</v>
      </c>
      <c r="T16" s="1755" t="s">
        <v>676</v>
      </c>
      <c r="U16" s="1968"/>
      <c r="V16" s="1968"/>
      <c r="W16" s="1987"/>
      <c r="X16" s="1410" t="s">
        <v>7</v>
      </c>
      <c r="Y16" s="1968"/>
      <c r="Z16" s="1755" t="s">
        <v>14</v>
      </c>
      <c r="AA16" s="1755" t="s">
        <v>679</v>
      </c>
      <c r="AB16" s="1755" t="s">
        <v>113</v>
      </c>
      <c r="AC16" s="1968"/>
      <c r="AD16" s="1968"/>
      <c r="AE16" s="1755" t="s">
        <v>19</v>
      </c>
      <c r="AF16" s="1755" t="s">
        <v>680</v>
      </c>
      <c r="AG16" s="1967"/>
      <c r="AH16" s="1252" t="s">
        <v>657</v>
      </c>
      <c r="AI16" s="1269" t="s">
        <v>636</v>
      </c>
      <c r="AJ16" s="1269" t="s">
        <v>654</v>
      </c>
      <c r="AK16" s="1269" t="s">
        <v>653</v>
      </c>
      <c r="AL16" s="1269" t="s">
        <v>655</v>
      </c>
      <c r="AM16" s="1272" t="s">
        <v>710</v>
      </c>
      <c r="AN16" s="1966"/>
      <c r="AO16" s="1966"/>
    </row>
    <row r="17" spans="1:41" ht="18.75" customHeight="1" x14ac:dyDescent="0.2">
      <c r="A17" s="1273">
        <v>1</v>
      </c>
      <c r="B17" s="1274" t="s">
        <v>139</v>
      </c>
      <c r="C17" s="241" t="s">
        <v>46</v>
      </c>
      <c r="D17" s="241">
        <v>610.5</v>
      </c>
      <c r="E17" s="241" t="s">
        <v>571</v>
      </c>
      <c r="F17" s="241">
        <v>177.8</v>
      </c>
      <c r="G17" s="241" t="s">
        <v>28</v>
      </c>
      <c r="H17" s="1275" t="s">
        <v>556</v>
      </c>
      <c r="I17" s="1755">
        <v>557.80999999999995</v>
      </c>
      <c r="J17" s="1448">
        <v>190</v>
      </c>
      <c r="K17" s="241"/>
      <c r="L17" s="1277">
        <v>338</v>
      </c>
      <c r="M17" s="241"/>
      <c r="N17" s="1278">
        <v>2</v>
      </c>
      <c r="O17" s="241"/>
      <c r="P17" s="1278">
        <f>AI17</f>
        <v>23.131720114295664</v>
      </c>
      <c r="Q17" s="1278">
        <f>LEFT(H17,(FIND("Е",H17,1)-1))*J17/100</f>
        <v>24.7</v>
      </c>
      <c r="R17" s="244">
        <v>4.7329999999999997</v>
      </c>
      <c r="S17" s="244">
        <v>18.463000000000001</v>
      </c>
      <c r="T17" s="1277">
        <v>12</v>
      </c>
      <c r="U17" s="1278">
        <f t="shared" ref="U17:U35" si="0">IF(R17=0,0,T17/R17)</f>
        <v>2.5353898161842383</v>
      </c>
      <c r="V17" s="1278">
        <f>(S17-R17)/S17*100</f>
        <v>74.364946108433088</v>
      </c>
      <c r="W17" s="1279">
        <v>0.2</v>
      </c>
      <c r="X17" s="1449">
        <v>190</v>
      </c>
      <c r="Y17" s="1277">
        <f>IF(S17=0,0,S17/Q17)*100</f>
        <v>74.748987854251013</v>
      </c>
      <c r="Z17" s="244">
        <f t="shared" ref="Z17:AB34" si="1">R17*0.988</f>
        <v>4.6762039999999994</v>
      </c>
      <c r="AA17" s="244">
        <f t="shared" si="1"/>
        <v>18.241444000000001</v>
      </c>
      <c r="AB17" s="1277">
        <f>T17*0.988</f>
        <v>11.856</v>
      </c>
      <c r="AC17" s="244">
        <f>U17</f>
        <v>2.5353898161842383</v>
      </c>
      <c r="AD17" s="1277">
        <f>V17</f>
        <v>74.364946108433088</v>
      </c>
      <c r="AE17" s="241">
        <v>15</v>
      </c>
      <c r="AF17" s="244">
        <f t="shared" ref="AF17:AF61" si="2">Z17*AE17</f>
        <v>70.143059999999991</v>
      </c>
      <c r="AG17" s="1281" t="s">
        <v>808</v>
      </c>
      <c r="AI17" s="1282">
        <f t="shared" ref="AI17:AI80" si="3">(9.81*(AJ17*(100%-(V17/100))+AK17*(V17/100))*(I17-L17)+N17*101.325+9.81*(AL17)*L17)/101.325</f>
        <v>23.131720114295664</v>
      </c>
      <c r="AJ17" s="1252">
        <v>0.91579999999999995</v>
      </c>
      <c r="AK17" s="1252">
        <v>1.018</v>
      </c>
      <c r="AL17" s="1252">
        <v>7.5858300000000007E-4</v>
      </c>
      <c r="AM17" s="1252">
        <f>DAY(EOMONTH($AH$15,0))</f>
        <v>30</v>
      </c>
      <c r="AN17" s="1252">
        <v>39369</v>
      </c>
      <c r="AO17" s="1252">
        <f>COUNTIF(R17:R103, "&lt;200")</f>
        <v>66</v>
      </c>
    </row>
    <row r="18" spans="1:41" ht="18.75" customHeight="1" x14ac:dyDescent="0.2">
      <c r="A18" s="1273">
        <v>2</v>
      </c>
      <c r="B18" s="1274" t="s">
        <v>140</v>
      </c>
      <c r="C18" s="241" t="s">
        <v>46</v>
      </c>
      <c r="D18" s="241">
        <v>623.5</v>
      </c>
      <c r="E18" s="241" t="s">
        <v>585</v>
      </c>
      <c r="F18" s="241">
        <v>177.8</v>
      </c>
      <c r="G18" s="241" t="s">
        <v>28</v>
      </c>
      <c r="H18" s="241" t="s">
        <v>683</v>
      </c>
      <c r="I18" s="1755">
        <v>563.55999999999995</v>
      </c>
      <c r="J18" s="241"/>
      <c r="K18" s="241">
        <v>164</v>
      </c>
      <c r="L18" s="1277"/>
      <c r="M18" s="241">
        <v>1.2</v>
      </c>
      <c r="N18" s="1278"/>
      <c r="O18" s="241"/>
      <c r="P18" s="1278"/>
      <c r="Q18" s="1278"/>
      <c r="R18" s="244"/>
      <c r="S18" s="244"/>
      <c r="T18" s="1277"/>
      <c r="U18" s="1278"/>
      <c r="V18" s="1278"/>
      <c r="W18" s="1279"/>
      <c r="X18" s="1316"/>
      <c r="Y18" s="1277">
        <f t="shared" ref="Y18:Y81" si="4">IF(S18=0,0,S18/Q18)*100</f>
        <v>0</v>
      </c>
      <c r="Z18" s="244"/>
      <c r="AA18" s="244"/>
      <c r="AB18" s="1277"/>
      <c r="AC18" s="244"/>
      <c r="AD18" s="1277"/>
      <c r="AE18" s="241"/>
      <c r="AF18" s="244"/>
      <c r="AG18" s="1285" t="s">
        <v>716</v>
      </c>
      <c r="AI18" s="1282">
        <f t="shared" si="3"/>
        <v>49.509818057142851</v>
      </c>
      <c r="AJ18" s="1252">
        <v>0.90739999999999998</v>
      </c>
      <c r="AK18" s="1252">
        <v>1.024</v>
      </c>
      <c r="AL18" s="1252">
        <v>6.9596980000000001E-4</v>
      </c>
    </row>
    <row r="19" spans="1:41" ht="18.75" customHeight="1" x14ac:dyDescent="0.2">
      <c r="A19" s="1273">
        <v>3</v>
      </c>
      <c r="B19" s="1274" t="s">
        <v>141</v>
      </c>
      <c r="C19" s="241" t="s">
        <v>46</v>
      </c>
      <c r="D19" s="241">
        <v>670</v>
      </c>
      <c r="E19" s="241" t="s">
        <v>68</v>
      </c>
      <c r="F19" s="241">
        <v>177.8</v>
      </c>
      <c r="G19" s="241" t="s">
        <v>28</v>
      </c>
      <c r="H19" s="241" t="s">
        <v>763</v>
      </c>
      <c r="I19" s="1755">
        <v>528.5</v>
      </c>
      <c r="J19" s="241">
        <v>115</v>
      </c>
      <c r="K19" s="241"/>
      <c r="L19" s="1277">
        <v>428</v>
      </c>
      <c r="M19" s="241"/>
      <c r="N19" s="1278">
        <v>5.6</v>
      </c>
      <c r="O19" s="241"/>
      <c r="P19" s="1278">
        <f t="shared" ref="P19:P82" si="5">AI19</f>
        <v>14.904683441008466</v>
      </c>
      <c r="Q19" s="1278">
        <f>RIGHT(H19,(FIND("T",H19,1)-0))*J19/100</f>
        <v>23</v>
      </c>
      <c r="R19" s="244">
        <v>7.9530000000000003</v>
      </c>
      <c r="S19" s="244">
        <v>15.539</v>
      </c>
      <c r="T19" s="1277">
        <v>12.5</v>
      </c>
      <c r="U19" s="1278">
        <f t="shared" si="0"/>
        <v>1.571733936879165</v>
      </c>
      <c r="V19" s="1278">
        <f t="shared" ref="V19:V53" si="6">(S19-R19)/S19*100</f>
        <v>48.819100328206446</v>
      </c>
      <c r="W19" s="1279">
        <v>0.2</v>
      </c>
      <c r="X19" s="1316">
        <v>115</v>
      </c>
      <c r="Y19" s="1277">
        <f t="shared" si="4"/>
        <v>67.560869565217388</v>
      </c>
      <c r="Z19" s="244">
        <f t="shared" si="1"/>
        <v>7.857564</v>
      </c>
      <c r="AA19" s="244">
        <f t="shared" si="1"/>
        <v>15.352532</v>
      </c>
      <c r="AB19" s="1277">
        <f t="shared" si="1"/>
        <v>12.35</v>
      </c>
      <c r="AC19" s="244">
        <f t="shared" ref="AC19:AD34" si="7">U19</f>
        <v>1.571733936879165</v>
      </c>
      <c r="AD19" s="1277">
        <f t="shared" si="7"/>
        <v>48.819100328206446</v>
      </c>
      <c r="AE19" s="241">
        <f t="shared" ref="AE19:AE33" si="8">(DAY(EOMONTH($AH$15,0))-AH19)</f>
        <v>30</v>
      </c>
      <c r="AF19" s="244">
        <f t="shared" si="2"/>
        <v>235.72692000000001</v>
      </c>
      <c r="AG19" s="1281"/>
      <c r="AI19" s="1282">
        <f t="shared" si="3"/>
        <v>14.904683441008466</v>
      </c>
      <c r="AJ19" s="1252">
        <v>0.87370000000000003</v>
      </c>
      <c r="AK19" s="1252">
        <v>1.0349999999999999</v>
      </c>
      <c r="AL19" s="1252">
        <v>8.9946269999999998E-4</v>
      </c>
    </row>
    <row r="20" spans="1:41" ht="18.75" customHeight="1" x14ac:dyDescent="0.2">
      <c r="A20" s="1273">
        <v>4</v>
      </c>
      <c r="B20" s="1274" t="s">
        <v>142</v>
      </c>
      <c r="C20" s="241" t="s">
        <v>46</v>
      </c>
      <c r="D20" s="241">
        <v>656</v>
      </c>
      <c r="E20" s="241" t="s">
        <v>481</v>
      </c>
      <c r="F20" s="241">
        <v>177.8</v>
      </c>
      <c r="G20" s="241" t="s">
        <v>28</v>
      </c>
      <c r="H20" s="241" t="s">
        <v>685</v>
      </c>
      <c r="I20" s="1755">
        <v>544.29999999999995</v>
      </c>
      <c r="J20" s="241">
        <v>195</v>
      </c>
      <c r="K20" s="241"/>
      <c r="L20" s="1277">
        <v>437</v>
      </c>
      <c r="M20" s="241"/>
      <c r="N20" s="1278">
        <v>3.3</v>
      </c>
      <c r="O20" s="241"/>
      <c r="P20" s="1278">
        <f t="shared" si="5"/>
        <v>13.233105163081838</v>
      </c>
      <c r="Q20" s="1278">
        <f t="shared" ref="Q20:Q25" si="9">RIGHT(H20,(FIND("T",H20,1)-0))*J20/100</f>
        <v>27.3</v>
      </c>
      <c r="R20" s="244">
        <v>9.6349999999999998</v>
      </c>
      <c r="S20" s="244">
        <v>17.984000000000002</v>
      </c>
      <c r="T20" s="1277">
        <v>62</v>
      </c>
      <c r="U20" s="1278">
        <f t="shared" si="0"/>
        <v>6.4348728593668918</v>
      </c>
      <c r="V20" s="1278">
        <f t="shared" si="6"/>
        <v>46.424599644128122</v>
      </c>
      <c r="W20" s="1279">
        <v>0.23</v>
      </c>
      <c r="X20" s="1316">
        <v>195</v>
      </c>
      <c r="Y20" s="1277">
        <f t="shared" si="4"/>
        <v>65.875457875457883</v>
      </c>
      <c r="Z20" s="244">
        <f t="shared" si="1"/>
        <v>9.51938</v>
      </c>
      <c r="AA20" s="244">
        <f t="shared" si="1"/>
        <v>17.768192000000003</v>
      </c>
      <c r="AB20" s="1277">
        <f t="shared" si="1"/>
        <v>61.256</v>
      </c>
      <c r="AC20" s="244">
        <f t="shared" si="7"/>
        <v>6.4348728593668918</v>
      </c>
      <c r="AD20" s="1277">
        <f t="shared" si="7"/>
        <v>46.424599644128122</v>
      </c>
      <c r="AE20" s="241">
        <v>20</v>
      </c>
      <c r="AF20" s="244">
        <f t="shared" si="2"/>
        <v>190.38759999999999</v>
      </c>
      <c r="AG20" s="1281" t="s">
        <v>808</v>
      </c>
      <c r="AI20" s="1282">
        <f t="shared" si="3"/>
        <v>13.233105163081838</v>
      </c>
      <c r="AJ20" s="1252">
        <v>0.89700000000000002</v>
      </c>
      <c r="AK20" s="1252">
        <v>1.018</v>
      </c>
      <c r="AL20" s="1252">
        <v>7.3450100000000003E-4</v>
      </c>
    </row>
    <row r="21" spans="1:41" ht="18.75" customHeight="1" x14ac:dyDescent="0.2">
      <c r="A21" s="1273">
        <v>5</v>
      </c>
      <c r="B21" s="1274" t="s">
        <v>143</v>
      </c>
      <c r="C21" s="241" t="s">
        <v>46</v>
      </c>
      <c r="D21" s="241">
        <v>576.62</v>
      </c>
      <c r="E21" s="241" t="s">
        <v>70</v>
      </c>
      <c r="F21" s="241">
        <v>177.8</v>
      </c>
      <c r="G21" s="241" t="s">
        <v>28</v>
      </c>
      <c r="H21" s="1299" t="s">
        <v>587</v>
      </c>
      <c r="I21" s="1755">
        <v>548.32000000000005</v>
      </c>
      <c r="J21" s="241">
        <v>110</v>
      </c>
      <c r="K21" s="241"/>
      <c r="L21" s="1277">
        <v>417</v>
      </c>
      <c r="M21" s="241"/>
      <c r="N21" s="1278">
        <v>1.4</v>
      </c>
      <c r="O21" s="241"/>
      <c r="P21" s="1278">
        <f t="shared" si="5"/>
        <v>13.308181927028322</v>
      </c>
      <c r="Q21" s="1278">
        <f t="shared" si="9"/>
        <v>15.4</v>
      </c>
      <c r="R21" s="244">
        <v>4.83</v>
      </c>
      <c r="S21" s="244">
        <v>6.2030000000000003</v>
      </c>
      <c r="T21" s="1277">
        <v>22</v>
      </c>
      <c r="U21" s="1278">
        <f t="shared" si="0"/>
        <v>4.5548654244306421</v>
      </c>
      <c r="V21" s="1278">
        <f t="shared" si="6"/>
        <v>22.134451072061907</v>
      </c>
      <c r="W21" s="1279">
        <v>0.2</v>
      </c>
      <c r="X21" s="1316">
        <v>110</v>
      </c>
      <c r="Y21" s="1277">
        <f t="shared" si="4"/>
        <v>40.279220779220779</v>
      </c>
      <c r="Z21" s="244">
        <f t="shared" si="1"/>
        <v>4.7720399999999996</v>
      </c>
      <c r="AA21" s="244">
        <f t="shared" si="1"/>
        <v>6.1285639999999999</v>
      </c>
      <c r="AB21" s="1277">
        <f t="shared" si="1"/>
        <v>21.736000000000001</v>
      </c>
      <c r="AC21" s="244">
        <f t="shared" si="7"/>
        <v>4.5548654244306421</v>
      </c>
      <c r="AD21" s="1277">
        <f t="shared" si="7"/>
        <v>22.134451072061907</v>
      </c>
      <c r="AE21" s="241">
        <v>20</v>
      </c>
      <c r="AF21" s="244">
        <f t="shared" si="2"/>
        <v>95.440799999999996</v>
      </c>
      <c r="AG21" s="1281" t="s">
        <v>808</v>
      </c>
      <c r="AI21" s="1282">
        <f t="shared" si="3"/>
        <v>13.308181927028322</v>
      </c>
      <c r="AJ21" s="1252">
        <v>0.90959999999999996</v>
      </c>
      <c r="AK21" s="1252">
        <v>1.02</v>
      </c>
      <c r="AL21" s="1252">
        <v>8.1276750000000011E-4</v>
      </c>
      <c r="AN21" s="1252">
        <v>43008</v>
      </c>
    </row>
    <row r="22" spans="1:41" ht="18.75" customHeight="1" x14ac:dyDescent="0.2">
      <c r="A22" s="1273">
        <v>6</v>
      </c>
      <c r="B22" s="1274" t="s">
        <v>144</v>
      </c>
      <c r="C22" s="241" t="s">
        <v>46</v>
      </c>
      <c r="D22" s="241">
        <v>648.48</v>
      </c>
      <c r="E22" s="241" t="s">
        <v>460</v>
      </c>
      <c r="F22" s="241">
        <v>177.8</v>
      </c>
      <c r="G22" s="241" t="s">
        <v>28</v>
      </c>
      <c r="H22" s="1299" t="s">
        <v>587</v>
      </c>
      <c r="I22" s="1755">
        <v>564.33000000000004</v>
      </c>
      <c r="J22" s="241">
        <v>125</v>
      </c>
      <c r="K22" s="241"/>
      <c r="L22" s="1277">
        <v>413</v>
      </c>
      <c r="M22" s="241"/>
      <c r="N22" s="1278">
        <v>1</v>
      </c>
      <c r="O22" s="241"/>
      <c r="P22" s="1278">
        <f t="shared" si="5"/>
        <v>15.002962761118434</v>
      </c>
      <c r="Q22" s="1278">
        <f t="shared" si="9"/>
        <v>17.5</v>
      </c>
      <c r="R22" s="244">
        <v>3.7130000000000001</v>
      </c>
      <c r="S22" s="244">
        <v>4.923</v>
      </c>
      <c r="T22" s="1277">
        <v>10</v>
      </c>
      <c r="U22" s="1278">
        <f t="shared" si="0"/>
        <v>2.6932399676811203</v>
      </c>
      <c r="V22" s="1278">
        <f t="shared" si="6"/>
        <v>24.578509039203738</v>
      </c>
      <c r="W22" s="1279">
        <v>0.2</v>
      </c>
      <c r="X22" s="1316">
        <v>125</v>
      </c>
      <c r="Y22" s="1277">
        <f t="shared" si="4"/>
        <v>28.131428571428575</v>
      </c>
      <c r="Z22" s="244">
        <f t="shared" si="1"/>
        <v>3.668444</v>
      </c>
      <c r="AA22" s="244">
        <f t="shared" si="1"/>
        <v>4.8639239999999999</v>
      </c>
      <c r="AB22" s="1277">
        <f t="shared" si="1"/>
        <v>9.879999999999999</v>
      </c>
      <c r="AC22" s="244">
        <f t="shared" si="7"/>
        <v>2.6932399676811203</v>
      </c>
      <c r="AD22" s="1277">
        <f t="shared" si="7"/>
        <v>24.578509039203738</v>
      </c>
      <c r="AE22" s="241">
        <v>20</v>
      </c>
      <c r="AF22" s="244">
        <f t="shared" si="2"/>
        <v>73.368880000000004</v>
      </c>
      <c r="AG22" s="1281" t="s">
        <v>808</v>
      </c>
      <c r="AI22" s="1282">
        <f t="shared" si="3"/>
        <v>15.002962761118434</v>
      </c>
      <c r="AJ22" s="1252">
        <v>0.92820000000000003</v>
      </c>
      <c r="AK22" s="1252">
        <v>1.028</v>
      </c>
      <c r="AL22" s="1252">
        <v>1.1053638000000001E-3</v>
      </c>
      <c r="AN22" s="1252">
        <f>AN17/AN21</f>
        <v>0.9153878348214286</v>
      </c>
    </row>
    <row r="23" spans="1:41" ht="18.75" customHeight="1" x14ac:dyDescent="0.2">
      <c r="A23" s="1273">
        <v>7</v>
      </c>
      <c r="B23" s="1274" t="s">
        <v>145</v>
      </c>
      <c r="C23" s="241" t="s">
        <v>46</v>
      </c>
      <c r="D23" s="241">
        <v>676.7</v>
      </c>
      <c r="E23" s="241" t="s">
        <v>72</v>
      </c>
      <c r="F23" s="241">
        <v>177.8</v>
      </c>
      <c r="G23" s="241" t="s">
        <v>28</v>
      </c>
      <c r="H23" s="241" t="s">
        <v>588</v>
      </c>
      <c r="I23" s="1755">
        <v>540.01</v>
      </c>
      <c r="J23" s="241">
        <v>105</v>
      </c>
      <c r="K23" s="241"/>
      <c r="L23" s="1277">
        <v>411</v>
      </c>
      <c r="M23" s="241"/>
      <c r="N23" s="1278">
        <v>1.2</v>
      </c>
      <c r="O23" s="241"/>
      <c r="P23" s="1278">
        <f t="shared" si="5"/>
        <v>13.272468644485045</v>
      </c>
      <c r="Q23" s="1278">
        <f t="shared" si="9"/>
        <v>14.7</v>
      </c>
      <c r="R23" s="244">
        <v>4.0940000000000003</v>
      </c>
      <c r="S23" s="244">
        <v>7.819</v>
      </c>
      <c r="T23" s="1277">
        <v>9</v>
      </c>
      <c r="U23" s="1278">
        <f t="shared" si="0"/>
        <v>2.1983390327308254</v>
      </c>
      <c r="V23" s="1278">
        <f t="shared" si="6"/>
        <v>47.640363217802786</v>
      </c>
      <c r="W23" s="1279">
        <v>0.2</v>
      </c>
      <c r="X23" s="1316">
        <v>105</v>
      </c>
      <c r="Y23" s="1277">
        <f t="shared" si="4"/>
        <v>53.19047619047619</v>
      </c>
      <c r="Z23" s="244">
        <f t="shared" si="1"/>
        <v>4.0448720000000007</v>
      </c>
      <c r="AA23" s="244">
        <f t="shared" si="1"/>
        <v>7.7251719999999997</v>
      </c>
      <c r="AB23" s="1277">
        <f t="shared" si="1"/>
        <v>8.8919999999999995</v>
      </c>
      <c r="AC23" s="244">
        <f t="shared" si="7"/>
        <v>2.1983390327308254</v>
      </c>
      <c r="AD23" s="1277">
        <f t="shared" si="7"/>
        <v>47.640363217802786</v>
      </c>
      <c r="AE23" s="241">
        <v>20</v>
      </c>
      <c r="AF23" s="244">
        <f t="shared" si="2"/>
        <v>80.897440000000017</v>
      </c>
      <c r="AG23" s="1281" t="s">
        <v>808</v>
      </c>
      <c r="AI23" s="1282">
        <f t="shared" si="3"/>
        <v>13.272468644485045</v>
      </c>
      <c r="AJ23" s="1252">
        <v>0.91279999999999994</v>
      </c>
      <c r="AK23" s="1252">
        <v>1.0209999999999999</v>
      </c>
      <c r="AL23" s="1252">
        <v>6.8874520000000001E-4</v>
      </c>
    </row>
    <row r="24" spans="1:41" ht="18.75" customHeight="1" x14ac:dyDescent="0.2">
      <c r="A24" s="1273">
        <v>8</v>
      </c>
      <c r="B24" s="1274" t="s">
        <v>146</v>
      </c>
      <c r="C24" s="241" t="s">
        <v>46</v>
      </c>
      <c r="D24" s="241">
        <v>567</v>
      </c>
      <c r="E24" s="1300" t="s">
        <v>572</v>
      </c>
      <c r="F24" s="241">
        <v>177.8</v>
      </c>
      <c r="G24" s="241" t="s">
        <v>28</v>
      </c>
      <c r="H24" s="241" t="s">
        <v>717</v>
      </c>
      <c r="I24" s="1301">
        <v>552.25</v>
      </c>
      <c r="J24" s="241">
        <v>130</v>
      </c>
      <c r="K24" s="1302"/>
      <c r="L24" s="1277">
        <v>440</v>
      </c>
      <c r="M24" s="1302"/>
      <c r="N24" s="1278">
        <v>2.2999999999999998</v>
      </c>
      <c r="O24" s="1302"/>
      <c r="P24" s="1278">
        <f t="shared" si="5"/>
        <v>12.8960599975733</v>
      </c>
      <c r="Q24" s="1278">
        <f t="shared" si="9"/>
        <v>26</v>
      </c>
      <c r="R24" s="244">
        <v>6.0780000000000003</v>
      </c>
      <c r="S24" s="244">
        <v>14.452</v>
      </c>
      <c r="T24" s="1277">
        <v>31</v>
      </c>
      <c r="U24" s="1278">
        <f t="shared" si="0"/>
        <v>5.1003619611714379</v>
      </c>
      <c r="V24" s="1278">
        <f t="shared" si="6"/>
        <v>57.943537226681421</v>
      </c>
      <c r="W24" s="1279">
        <v>0.2</v>
      </c>
      <c r="X24" s="1316">
        <v>130</v>
      </c>
      <c r="Y24" s="1277">
        <f t="shared" si="4"/>
        <v>55.58461538461539</v>
      </c>
      <c r="Z24" s="244">
        <f t="shared" si="1"/>
        <v>6.005064</v>
      </c>
      <c r="AA24" s="244">
        <f t="shared" si="1"/>
        <v>14.278575999999999</v>
      </c>
      <c r="AB24" s="1277">
        <f t="shared" si="1"/>
        <v>30.628</v>
      </c>
      <c r="AC24" s="244">
        <f t="shared" si="7"/>
        <v>5.1003619611714379</v>
      </c>
      <c r="AD24" s="1277">
        <f t="shared" si="7"/>
        <v>57.943537226681421</v>
      </c>
      <c r="AE24" s="241">
        <f t="shared" si="8"/>
        <v>30</v>
      </c>
      <c r="AF24" s="244">
        <f t="shared" si="2"/>
        <v>180.15191999999999</v>
      </c>
      <c r="AG24" s="1281"/>
      <c r="AI24" s="1282">
        <f t="shared" si="3"/>
        <v>12.8960599975733</v>
      </c>
      <c r="AJ24" s="1252">
        <v>0.89900000000000002</v>
      </c>
      <c r="AK24" s="1252">
        <v>1.024</v>
      </c>
      <c r="AL24" s="1252">
        <v>9.1150370000000005E-4</v>
      </c>
    </row>
    <row r="25" spans="1:41" ht="18.75" customHeight="1" x14ac:dyDescent="0.2">
      <c r="A25" s="1273">
        <v>9</v>
      </c>
      <c r="B25" s="1274" t="s">
        <v>147</v>
      </c>
      <c r="C25" s="241" t="s">
        <v>46</v>
      </c>
      <c r="D25" s="241">
        <v>650.1</v>
      </c>
      <c r="E25" s="241" t="s">
        <v>74</v>
      </c>
      <c r="F25" s="241">
        <v>177.8</v>
      </c>
      <c r="G25" s="241" t="s">
        <v>28</v>
      </c>
      <c r="H25" s="241" t="s">
        <v>793</v>
      </c>
      <c r="I25" s="1755">
        <v>547.62</v>
      </c>
      <c r="J25" s="241">
        <v>100</v>
      </c>
      <c r="K25" s="241"/>
      <c r="L25" s="1277">
        <v>366</v>
      </c>
      <c r="M25" s="241"/>
      <c r="N25" s="1278">
        <v>1.8</v>
      </c>
      <c r="O25" s="241"/>
      <c r="P25" s="1278">
        <f t="shared" si="5"/>
        <v>19.050476668363164</v>
      </c>
      <c r="Q25" s="1278">
        <f t="shared" si="9"/>
        <v>14</v>
      </c>
      <c r="R25" s="244">
        <v>6.3579999999999997</v>
      </c>
      <c r="S25" s="244">
        <v>17.927</v>
      </c>
      <c r="T25" s="1277">
        <v>13</v>
      </c>
      <c r="U25" s="1278">
        <f t="shared" si="0"/>
        <v>2.0446681346335325</v>
      </c>
      <c r="V25" s="1278">
        <f t="shared" si="6"/>
        <v>64.533943214146262</v>
      </c>
      <c r="W25" s="1279">
        <v>0.2</v>
      </c>
      <c r="X25" s="1316">
        <v>100</v>
      </c>
      <c r="Y25" s="1277">
        <f t="shared" si="4"/>
        <v>128.05000000000001</v>
      </c>
      <c r="Z25" s="244">
        <f t="shared" si="1"/>
        <v>6.2817039999999995</v>
      </c>
      <c r="AA25" s="244">
        <f t="shared" si="1"/>
        <v>17.711876</v>
      </c>
      <c r="AB25" s="1277">
        <f t="shared" si="1"/>
        <v>12.843999999999999</v>
      </c>
      <c r="AC25" s="244">
        <f t="shared" si="7"/>
        <v>2.0446681346335325</v>
      </c>
      <c r="AD25" s="1277">
        <f t="shared" si="7"/>
        <v>64.533943214146262</v>
      </c>
      <c r="AE25" s="241">
        <v>15</v>
      </c>
      <c r="AF25" s="244">
        <f t="shared" si="2"/>
        <v>94.225559999999987</v>
      </c>
      <c r="AG25" s="1281" t="s">
        <v>808</v>
      </c>
      <c r="AI25" s="1282">
        <f t="shared" si="3"/>
        <v>19.050476668363164</v>
      </c>
      <c r="AJ25" s="1252">
        <v>0.90369999999999995</v>
      </c>
      <c r="AK25" s="1252">
        <v>1.0209999999999999</v>
      </c>
      <c r="AL25" s="1252">
        <v>8.1276750000000011E-4</v>
      </c>
    </row>
    <row r="26" spans="1:41" ht="18" customHeight="1" x14ac:dyDescent="0.2">
      <c r="A26" s="1273">
        <v>10</v>
      </c>
      <c r="B26" s="1274" t="s">
        <v>148</v>
      </c>
      <c r="C26" s="241" t="s">
        <v>46</v>
      </c>
      <c r="D26" s="241">
        <v>640.20000000000005</v>
      </c>
      <c r="E26" s="241" t="s">
        <v>398</v>
      </c>
      <c r="F26" s="241">
        <v>177.8</v>
      </c>
      <c r="G26" s="241" t="s">
        <v>28</v>
      </c>
      <c r="H26" s="1404" t="s">
        <v>753</v>
      </c>
      <c r="I26" s="1755">
        <v>566.99</v>
      </c>
      <c r="J26" s="1448">
        <v>85</v>
      </c>
      <c r="K26" s="241"/>
      <c r="L26" s="1277">
        <v>330</v>
      </c>
      <c r="M26" s="241"/>
      <c r="N26" s="1278">
        <v>0.5</v>
      </c>
      <c r="O26" s="241"/>
      <c r="P26" s="1278">
        <f t="shared" si="5"/>
        <v>23.133295412217755</v>
      </c>
      <c r="Q26" s="1278">
        <f>J26*14/100</f>
        <v>11.9</v>
      </c>
      <c r="R26" s="244">
        <v>3.81</v>
      </c>
      <c r="S26" s="244">
        <v>10.082000000000001</v>
      </c>
      <c r="T26" s="1277">
        <v>13.1</v>
      </c>
      <c r="U26" s="1278">
        <f t="shared" si="0"/>
        <v>3.4383202099737531</v>
      </c>
      <c r="V26" s="1278">
        <f t="shared" si="6"/>
        <v>62.209878992263434</v>
      </c>
      <c r="W26" s="1279">
        <v>0.2</v>
      </c>
      <c r="X26" s="1449">
        <v>85</v>
      </c>
      <c r="Y26" s="1277">
        <f t="shared" si="4"/>
        <v>84.722689075630257</v>
      </c>
      <c r="Z26" s="244">
        <f t="shared" si="1"/>
        <v>3.7642799999999998</v>
      </c>
      <c r="AA26" s="244">
        <f t="shared" si="1"/>
        <v>9.9610160000000008</v>
      </c>
      <c r="AB26" s="1277">
        <f t="shared" si="1"/>
        <v>12.9428</v>
      </c>
      <c r="AC26" s="244">
        <f t="shared" si="7"/>
        <v>3.4383202099737531</v>
      </c>
      <c r="AD26" s="1277">
        <f t="shared" si="7"/>
        <v>62.209878992263434</v>
      </c>
      <c r="AE26" s="241">
        <v>26</v>
      </c>
      <c r="AF26" s="244">
        <f t="shared" si="2"/>
        <v>97.871279999999999</v>
      </c>
      <c r="AG26" s="1281" t="s">
        <v>808</v>
      </c>
      <c r="AI26" s="1282">
        <f t="shared" si="3"/>
        <v>23.133295412217755</v>
      </c>
      <c r="AJ26" s="1252">
        <v>0.91020000000000001</v>
      </c>
      <c r="AK26" s="1252">
        <v>1.0309999999999999</v>
      </c>
      <c r="AL26" s="1252">
        <v>7.7447712000000004E-4</v>
      </c>
    </row>
    <row r="27" spans="1:41" ht="18.75" customHeight="1" x14ac:dyDescent="0.2">
      <c r="A27" s="1273">
        <v>11</v>
      </c>
      <c r="B27" s="1274" t="s">
        <v>149</v>
      </c>
      <c r="C27" s="241" t="s">
        <v>46</v>
      </c>
      <c r="D27" s="241">
        <v>606.29999999999995</v>
      </c>
      <c r="E27" s="241" t="s">
        <v>76</v>
      </c>
      <c r="F27" s="241">
        <v>177.8</v>
      </c>
      <c r="G27" s="241" t="s">
        <v>28</v>
      </c>
      <c r="H27" s="1299" t="s">
        <v>800</v>
      </c>
      <c r="I27" s="1755">
        <v>594.42999999999995</v>
      </c>
      <c r="J27" s="241">
        <v>100</v>
      </c>
      <c r="K27" s="241"/>
      <c r="L27" s="1277">
        <v>428</v>
      </c>
      <c r="M27" s="241"/>
      <c r="N27" s="1278">
        <v>4.7</v>
      </c>
      <c r="O27" s="241"/>
      <c r="P27" s="1278">
        <f t="shared" si="5"/>
        <v>20.699326251756464</v>
      </c>
      <c r="Q27" s="1278">
        <f>(7/100)*J27</f>
        <v>7.0000000000000009</v>
      </c>
      <c r="R27" s="244">
        <v>2.2679999999999998</v>
      </c>
      <c r="S27" s="244">
        <v>5.2389999999999999</v>
      </c>
      <c r="T27" s="1277">
        <v>34</v>
      </c>
      <c r="U27" s="1278">
        <f t="shared" si="0"/>
        <v>14.991181657848326</v>
      </c>
      <c r="V27" s="1278">
        <f t="shared" si="6"/>
        <v>56.709295667112045</v>
      </c>
      <c r="W27" s="1279">
        <v>0.27</v>
      </c>
      <c r="X27" s="1316">
        <v>100</v>
      </c>
      <c r="Y27" s="1277">
        <f t="shared" si="4"/>
        <v>74.842857142857127</v>
      </c>
      <c r="Z27" s="244">
        <f t="shared" si="1"/>
        <v>2.2407839999999997</v>
      </c>
      <c r="AA27" s="244">
        <f t="shared" si="1"/>
        <v>5.176132</v>
      </c>
      <c r="AB27" s="1277">
        <f t="shared" si="1"/>
        <v>33.591999999999999</v>
      </c>
      <c r="AC27" s="244">
        <f t="shared" si="7"/>
        <v>14.991181657848326</v>
      </c>
      <c r="AD27" s="1277">
        <f t="shared" si="7"/>
        <v>56.709295667112045</v>
      </c>
      <c r="AE27" s="241">
        <v>20</v>
      </c>
      <c r="AF27" s="244">
        <f t="shared" si="2"/>
        <v>44.815679999999993</v>
      </c>
      <c r="AG27" s="1281" t="s">
        <v>808</v>
      </c>
      <c r="AI27" s="1282">
        <f t="shared" si="3"/>
        <v>20.699326251756464</v>
      </c>
      <c r="AJ27" s="1252">
        <v>0.91900000000000004</v>
      </c>
      <c r="AK27" s="1252">
        <v>1.0449999999999999</v>
      </c>
      <c r="AL27" s="1252">
        <v>9.6207590000000004E-4</v>
      </c>
    </row>
    <row r="28" spans="1:41" ht="18.75" customHeight="1" x14ac:dyDescent="0.2">
      <c r="A28" s="1273">
        <v>12</v>
      </c>
      <c r="B28" s="1274" t="s">
        <v>151</v>
      </c>
      <c r="C28" s="241" t="s">
        <v>46</v>
      </c>
      <c r="D28" s="241">
        <v>675.42</v>
      </c>
      <c r="E28" s="1755" t="s">
        <v>298</v>
      </c>
      <c r="F28" s="241">
        <v>177.8</v>
      </c>
      <c r="G28" s="241" t="s">
        <v>28</v>
      </c>
      <c r="H28" s="1299" t="s">
        <v>687</v>
      </c>
      <c r="I28" s="1755">
        <v>558.21</v>
      </c>
      <c r="J28" s="1448">
        <v>105</v>
      </c>
      <c r="K28" s="241"/>
      <c r="L28" s="1277">
        <v>251</v>
      </c>
      <c r="M28" s="241"/>
      <c r="N28" s="1278">
        <v>1.8</v>
      </c>
      <c r="O28" s="241"/>
      <c r="P28" s="1278">
        <f t="shared" si="5"/>
        <v>31.28889641751822</v>
      </c>
      <c r="Q28" s="1278">
        <f>20*J28/100</f>
        <v>21</v>
      </c>
      <c r="R28" s="244">
        <v>2.7229999999999999</v>
      </c>
      <c r="S28" s="244">
        <v>11.041</v>
      </c>
      <c r="T28" s="1277">
        <v>8.8000000000000007</v>
      </c>
      <c r="U28" s="1278">
        <f t="shared" si="0"/>
        <v>3.2317297098788105</v>
      </c>
      <c r="V28" s="1278">
        <f t="shared" si="6"/>
        <v>75.337378860610457</v>
      </c>
      <c r="W28" s="1279">
        <v>0.3</v>
      </c>
      <c r="X28" s="1449">
        <v>105</v>
      </c>
      <c r="Y28" s="1277">
        <f t="shared" si="4"/>
        <v>52.576190476190476</v>
      </c>
      <c r="Z28" s="244">
        <f t="shared" si="1"/>
        <v>2.6903239999999999</v>
      </c>
      <c r="AA28" s="244">
        <f t="shared" si="1"/>
        <v>10.908507999999999</v>
      </c>
      <c r="AB28" s="1277">
        <f t="shared" si="1"/>
        <v>8.6943999999999999</v>
      </c>
      <c r="AC28" s="244">
        <f t="shared" si="7"/>
        <v>3.2317297098788105</v>
      </c>
      <c r="AD28" s="1277">
        <f t="shared" si="7"/>
        <v>75.337378860610457</v>
      </c>
      <c r="AE28" s="241">
        <v>26</v>
      </c>
      <c r="AF28" s="244">
        <f>Z28*AE28</f>
        <v>69.948424000000003</v>
      </c>
      <c r="AG28" s="1281" t="s">
        <v>808</v>
      </c>
      <c r="AI28" s="1282">
        <f t="shared" si="3"/>
        <v>31.28889641751822</v>
      </c>
      <c r="AJ28" s="1252">
        <v>0.92</v>
      </c>
      <c r="AK28" s="1252">
        <v>1.014</v>
      </c>
      <c r="AL28" s="1252">
        <v>7.7447712000000004E-4</v>
      </c>
    </row>
    <row r="29" spans="1:41" ht="18.75" customHeight="1" x14ac:dyDescent="0.2">
      <c r="A29" s="1273">
        <v>13</v>
      </c>
      <c r="B29" s="1274" t="s">
        <v>36</v>
      </c>
      <c r="C29" s="241" t="s">
        <v>46</v>
      </c>
      <c r="D29" s="241">
        <v>584.42999999999995</v>
      </c>
      <c r="E29" s="1755" t="s">
        <v>79</v>
      </c>
      <c r="F29" s="241">
        <v>177.8</v>
      </c>
      <c r="G29" s="241" t="s">
        <v>28</v>
      </c>
      <c r="H29" s="1299" t="s">
        <v>565</v>
      </c>
      <c r="I29" s="1755">
        <v>526.29</v>
      </c>
      <c r="J29" s="1448">
        <v>315</v>
      </c>
      <c r="K29" s="241"/>
      <c r="L29" s="1277">
        <v>312</v>
      </c>
      <c r="M29" s="241"/>
      <c r="N29" s="1278">
        <v>2</v>
      </c>
      <c r="O29" s="241"/>
      <c r="P29" s="1278">
        <f t="shared" si="5"/>
        <v>22.466160320679588</v>
      </c>
      <c r="Q29" s="1278">
        <f>LEFT(H29,(FIND("E",H29,1)-1))*J29/100</f>
        <v>100.8</v>
      </c>
      <c r="R29" s="244">
        <v>16.859000000000002</v>
      </c>
      <c r="S29" s="244">
        <v>57.173999999999999</v>
      </c>
      <c r="T29" s="1277">
        <v>619</v>
      </c>
      <c r="U29" s="1278">
        <f t="shared" si="0"/>
        <v>36.716293967613737</v>
      </c>
      <c r="V29" s="1278">
        <f t="shared" si="6"/>
        <v>70.512820512820511</v>
      </c>
      <c r="W29" s="1279">
        <v>0.2</v>
      </c>
      <c r="X29" s="1449">
        <v>315</v>
      </c>
      <c r="Y29" s="1277">
        <f t="shared" si="4"/>
        <v>56.720238095238095</v>
      </c>
      <c r="Z29" s="244">
        <f t="shared" si="1"/>
        <v>16.656692000000003</v>
      </c>
      <c r="AA29" s="244">
        <f t="shared" si="1"/>
        <v>56.487912000000001</v>
      </c>
      <c r="AB29" s="1277">
        <f t="shared" si="1"/>
        <v>611.572</v>
      </c>
      <c r="AC29" s="244">
        <f t="shared" si="7"/>
        <v>36.716293967613737</v>
      </c>
      <c r="AD29" s="1277">
        <f t="shared" si="7"/>
        <v>70.512820512820511</v>
      </c>
      <c r="AE29" s="241">
        <v>26</v>
      </c>
      <c r="AF29" s="244">
        <f>Z29*AE29</f>
        <v>433.07399200000009</v>
      </c>
      <c r="AG29" s="1281" t="s">
        <v>808</v>
      </c>
      <c r="AI29" s="1282">
        <f t="shared" si="3"/>
        <v>22.466160320679588</v>
      </c>
      <c r="AJ29" s="1252">
        <v>0.89029999999999998</v>
      </c>
      <c r="AK29" s="1252">
        <v>1.0249999999999999</v>
      </c>
      <c r="AL29" s="1252">
        <v>8.1397160000000013E-4</v>
      </c>
    </row>
    <row r="30" spans="1:41" ht="18.75" customHeight="1" x14ac:dyDescent="0.2">
      <c r="A30" s="1273">
        <v>14</v>
      </c>
      <c r="B30" s="1274" t="s">
        <v>152</v>
      </c>
      <c r="C30" s="241" t="s">
        <v>46</v>
      </c>
      <c r="D30" s="241">
        <v>564.97999999999979</v>
      </c>
      <c r="E30" s="1755" t="s">
        <v>80</v>
      </c>
      <c r="F30" s="241">
        <v>177.8</v>
      </c>
      <c r="G30" s="241" t="s">
        <v>28</v>
      </c>
      <c r="H30" s="241" t="s">
        <v>684</v>
      </c>
      <c r="I30" s="1301">
        <v>519.13</v>
      </c>
      <c r="J30" s="241">
        <v>110</v>
      </c>
      <c r="K30" s="241"/>
      <c r="L30" s="1277">
        <v>364</v>
      </c>
      <c r="M30" s="241"/>
      <c r="N30" s="1278">
        <v>5.9</v>
      </c>
      <c r="O30" s="241"/>
      <c r="P30" s="1278">
        <f t="shared" si="5"/>
        <v>20.371279728412492</v>
      </c>
      <c r="Q30" s="1278">
        <f>32*J30/100</f>
        <v>35.200000000000003</v>
      </c>
      <c r="R30" s="244">
        <v>10.994999999999999</v>
      </c>
      <c r="S30" s="244">
        <v>24.506</v>
      </c>
      <c r="T30" s="1277">
        <v>165</v>
      </c>
      <c r="U30" s="1278">
        <f t="shared" si="0"/>
        <v>15.006821282401093</v>
      </c>
      <c r="V30" s="1278">
        <f t="shared" si="6"/>
        <v>55.133436709377307</v>
      </c>
      <c r="W30" s="1279">
        <v>0.2</v>
      </c>
      <c r="X30" s="1316">
        <v>110</v>
      </c>
      <c r="Y30" s="1277">
        <f t="shared" si="4"/>
        <v>69.619318181818173</v>
      </c>
      <c r="Z30" s="244">
        <f t="shared" si="1"/>
        <v>10.863059999999999</v>
      </c>
      <c r="AA30" s="244">
        <f t="shared" si="1"/>
        <v>24.211928</v>
      </c>
      <c r="AB30" s="1277">
        <f t="shared" si="1"/>
        <v>163.02000000000001</v>
      </c>
      <c r="AC30" s="244">
        <f t="shared" si="7"/>
        <v>15.006821282401093</v>
      </c>
      <c r="AD30" s="1277">
        <f t="shared" si="7"/>
        <v>55.133436709377307</v>
      </c>
      <c r="AE30" s="241">
        <f t="shared" si="8"/>
        <v>30</v>
      </c>
      <c r="AF30" s="244">
        <f t="shared" si="2"/>
        <v>325.89179999999999</v>
      </c>
      <c r="AG30" s="1281"/>
      <c r="AI30" s="1282">
        <f t="shared" si="3"/>
        <v>20.371279728412492</v>
      </c>
      <c r="AJ30" s="1252">
        <v>0.88080000000000003</v>
      </c>
      <c r="AK30" s="1252">
        <v>1.0269999999999999</v>
      </c>
      <c r="AL30" s="1252">
        <v>8.9946269999999998E-4</v>
      </c>
    </row>
    <row r="31" spans="1:41" ht="18.75" customHeight="1" x14ac:dyDescent="0.2">
      <c r="A31" s="1273">
        <v>15</v>
      </c>
      <c r="B31" s="1274" t="s">
        <v>37</v>
      </c>
      <c r="C31" s="241" t="s">
        <v>46</v>
      </c>
      <c r="D31" s="241">
        <v>670</v>
      </c>
      <c r="E31" s="241" t="s">
        <v>81</v>
      </c>
      <c r="F31" s="241">
        <v>177.8</v>
      </c>
      <c r="G31" s="241" t="s">
        <v>28</v>
      </c>
      <c r="H31" s="1299" t="s">
        <v>48</v>
      </c>
      <c r="I31" s="1755">
        <v>569.99</v>
      </c>
      <c r="J31" s="1448">
        <v>240</v>
      </c>
      <c r="K31" s="241"/>
      <c r="L31" s="1277">
        <v>390</v>
      </c>
      <c r="M31" s="241"/>
      <c r="N31" s="1278">
        <v>4</v>
      </c>
      <c r="O31" s="241"/>
      <c r="P31" s="1278">
        <f t="shared" si="5"/>
        <v>21.359810074644312</v>
      </c>
      <c r="Q31" s="1278">
        <f>LEFT(H31,(FIND("K",H31,1)-1))*J31/100</f>
        <v>31.2</v>
      </c>
      <c r="R31" s="244">
        <v>4.6689999999999996</v>
      </c>
      <c r="S31" s="244">
        <v>16.628</v>
      </c>
      <c r="T31" s="1277">
        <v>65</v>
      </c>
      <c r="U31" s="1278">
        <f t="shared" si="0"/>
        <v>13.9216106232598</v>
      </c>
      <c r="V31" s="1278">
        <f t="shared" si="6"/>
        <v>71.920856386817405</v>
      </c>
      <c r="W31" s="1279">
        <v>0.2</v>
      </c>
      <c r="X31" s="1449">
        <v>240</v>
      </c>
      <c r="Y31" s="1277">
        <f t="shared" si="4"/>
        <v>53.294871794871803</v>
      </c>
      <c r="Z31" s="244">
        <f t="shared" si="1"/>
        <v>4.6129719999999992</v>
      </c>
      <c r="AA31" s="244">
        <f t="shared" si="1"/>
        <v>16.428463999999998</v>
      </c>
      <c r="AB31" s="1277">
        <f t="shared" si="1"/>
        <v>64.22</v>
      </c>
      <c r="AC31" s="244">
        <f t="shared" si="7"/>
        <v>13.9216106232598</v>
      </c>
      <c r="AD31" s="1277">
        <f t="shared" si="7"/>
        <v>71.920856386817405</v>
      </c>
      <c r="AE31" s="241">
        <f t="shared" si="8"/>
        <v>30</v>
      </c>
      <c r="AF31" s="244">
        <f>Z31*AE31</f>
        <v>138.38915999999998</v>
      </c>
      <c r="AG31" s="1285"/>
      <c r="AI31" s="1282">
        <f t="shared" si="3"/>
        <v>21.359810074644312</v>
      </c>
      <c r="AJ31" s="1252">
        <v>0.9194</v>
      </c>
      <c r="AK31" s="1252">
        <v>1.024</v>
      </c>
      <c r="AL31" s="1252">
        <v>7.2245999999999996E-4</v>
      </c>
    </row>
    <row r="32" spans="1:41" ht="18.75" customHeight="1" x14ac:dyDescent="0.2">
      <c r="A32" s="1273">
        <v>16</v>
      </c>
      <c r="B32" s="1274" t="s">
        <v>153</v>
      </c>
      <c r="C32" s="1274" t="s">
        <v>46</v>
      </c>
      <c r="D32" s="1274">
        <v>574.61</v>
      </c>
      <c r="E32" s="1274" t="s">
        <v>688</v>
      </c>
      <c r="F32" s="1274">
        <v>177.8</v>
      </c>
      <c r="G32" s="1274" t="s">
        <v>28</v>
      </c>
      <c r="H32" s="1299" t="s">
        <v>540</v>
      </c>
      <c r="I32" s="1274">
        <v>541.78</v>
      </c>
      <c r="J32" s="1274">
        <v>0</v>
      </c>
      <c r="K32" s="1274"/>
      <c r="L32" s="1305"/>
      <c r="M32" s="1274"/>
      <c r="N32" s="1306"/>
      <c r="O32" s="1274"/>
      <c r="P32" s="1278" t="e">
        <f t="shared" si="5"/>
        <v>#DIV/0!</v>
      </c>
      <c r="Q32" s="1278">
        <f>22*J32/100</f>
        <v>0</v>
      </c>
      <c r="R32" s="1307">
        <v>0</v>
      </c>
      <c r="S32" s="244">
        <v>0</v>
      </c>
      <c r="T32" s="1305">
        <v>0</v>
      </c>
      <c r="U32" s="1278">
        <f t="shared" si="0"/>
        <v>0</v>
      </c>
      <c r="V32" s="1278" t="e">
        <f t="shared" si="6"/>
        <v>#DIV/0!</v>
      </c>
      <c r="W32" s="1308">
        <v>0</v>
      </c>
      <c r="X32" s="238">
        <v>0</v>
      </c>
      <c r="Y32" s="1277">
        <f t="shared" si="4"/>
        <v>0</v>
      </c>
      <c r="Z32" s="244">
        <v>0</v>
      </c>
      <c r="AA32" s="244">
        <f t="shared" si="1"/>
        <v>0</v>
      </c>
      <c r="AB32" s="1277">
        <f t="shared" si="1"/>
        <v>0</v>
      </c>
      <c r="AC32" s="1307">
        <f t="shared" si="7"/>
        <v>0</v>
      </c>
      <c r="AD32" s="1305">
        <v>0</v>
      </c>
      <c r="AE32" s="241">
        <v>0</v>
      </c>
      <c r="AF32" s="1307">
        <f>Z32*AE32</f>
        <v>0</v>
      </c>
      <c r="AG32" s="1281" t="s">
        <v>769</v>
      </c>
      <c r="AI32" s="1282" t="e">
        <f t="shared" si="3"/>
        <v>#DIV/0!</v>
      </c>
      <c r="AJ32" s="1252">
        <v>0.91959999999999997</v>
      </c>
      <c r="AK32" s="1252">
        <v>1.022</v>
      </c>
      <c r="AL32" s="1252">
        <v>9.1150370000000005E-4</v>
      </c>
    </row>
    <row r="33" spans="1:38" ht="18.600000000000001" customHeight="1" x14ac:dyDescent="0.2">
      <c r="A33" s="1273">
        <v>17</v>
      </c>
      <c r="B33" s="1274" t="s">
        <v>154</v>
      </c>
      <c r="C33" s="1274" t="s">
        <v>46</v>
      </c>
      <c r="D33" s="1311">
        <v>644.79999999999995</v>
      </c>
      <c r="E33" s="1300" t="s">
        <v>421</v>
      </c>
      <c r="F33" s="241">
        <v>177.8</v>
      </c>
      <c r="G33" s="241" t="s">
        <v>28</v>
      </c>
      <c r="H33" s="1299" t="s">
        <v>687</v>
      </c>
      <c r="I33" s="1301">
        <v>562.54999999999995</v>
      </c>
      <c r="J33" s="241">
        <v>115</v>
      </c>
      <c r="K33" s="241"/>
      <c r="L33" s="1277">
        <v>437</v>
      </c>
      <c r="M33" s="241"/>
      <c r="N33" s="1278">
        <v>2.1</v>
      </c>
      <c r="O33" s="241"/>
      <c r="P33" s="1278">
        <f t="shared" si="5"/>
        <v>13.988431466825492</v>
      </c>
      <c r="Q33" s="1278">
        <f>20*J33/100</f>
        <v>23</v>
      </c>
      <c r="R33" s="244">
        <v>2.4470000000000001</v>
      </c>
      <c r="S33" s="244">
        <v>6.2839999999999998</v>
      </c>
      <c r="T33" s="1277">
        <v>14</v>
      </c>
      <c r="U33" s="1278">
        <f t="shared" si="0"/>
        <v>5.7212913771965672</v>
      </c>
      <c r="V33" s="1278">
        <f t="shared" si="6"/>
        <v>61.059834500318267</v>
      </c>
      <c r="W33" s="1279">
        <v>0.2</v>
      </c>
      <c r="X33" s="1316">
        <v>115</v>
      </c>
      <c r="Y33" s="1277">
        <f t="shared" si="4"/>
        <v>27.321739130434779</v>
      </c>
      <c r="Z33" s="244">
        <f t="shared" si="1"/>
        <v>2.4176359999999999</v>
      </c>
      <c r="AA33" s="244">
        <f t="shared" si="1"/>
        <v>6.2085919999999994</v>
      </c>
      <c r="AB33" s="1277">
        <f t="shared" si="1"/>
        <v>13.832000000000001</v>
      </c>
      <c r="AC33" s="1307">
        <f t="shared" si="7"/>
        <v>5.7212913771965672</v>
      </c>
      <c r="AD33" s="1305">
        <f t="shared" si="7"/>
        <v>61.059834500318267</v>
      </c>
      <c r="AE33" s="241">
        <f t="shared" si="8"/>
        <v>30</v>
      </c>
      <c r="AF33" s="1307">
        <f>Z33*AE33</f>
        <v>72.529079999999993</v>
      </c>
      <c r="AG33" s="1285"/>
      <c r="AI33" s="1282">
        <f t="shared" si="3"/>
        <v>13.988431466825492</v>
      </c>
      <c r="AJ33" s="1252">
        <v>0.8901</v>
      </c>
      <c r="AK33" s="1252">
        <v>1.03</v>
      </c>
      <c r="AL33" s="1252">
        <v>7.2245999999999996E-4</v>
      </c>
    </row>
    <row r="34" spans="1:38" ht="18.75" customHeight="1" x14ac:dyDescent="0.2">
      <c r="A34" s="1273">
        <v>18</v>
      </c>
      <c r="B34" s="1274" t="s">
        <v>38</v>
      </c>
      <c r="C34" s="241" t="s">
        <v>46</v>
      </c>
      <c r="D34" s="1278">
        <v>580</v>
      </c>
      <c r="E34" s="241" t="s">
        <v>84</v>
      </c>
      <c r="F34" s="241">
        <v>177.8</v>
      </c>
      <c r="G34" s="241" t="s">
        <v>28</v>
      </c>
      <c r="H34" s="1299" t="s">
        <v>687</v>
      </c>
      <c r="I34" s="1755">
        <v>562.66</v>
      </c>
      <c r="J34" s="241">
        <v>85</v>
      </c>
      <c r="K34" s="241"/>
      <c r="L34" s="1277">
        <v>378</v>
      </c>
      <c r="M34" s="241"/>
      <c r="N34" s="1278">
        <v>0</v>
      </c>
      <c r="O34" s="241"/>
      <c r="P34" s="1278">
        <f t="shared" si="5"/>
        <v>17.664913138111114</v>
      </c>
      <c r="Q34" s="1278">
        <f>20*J34/100</f>
        <v>17</v>
      </c>
      <c r="R34" s="244">
        <v>3.8490000000000002</v>
      </c>
      <c r="S34" s="244">
        <v>12.000999999999999</v>
      </c>
      <c r="T34" s="1277">
        <v>15</v>
      </c>
      <c r="U34" s="1278">
        <f t="shared" si="0"/>
        <v>3.8971161340607949</v>
      </c>
      <c r="V34" s="1278">
        <f t="shared" si="6"/>
        <v>67.927672693942171</v>
      </c>
      <c r="W34" s="1279">
        <v>0</v>
      </c>
      <c r="X34" s="1316">
        <v>85</v>
      </c>
      <c r="Y34" s="1277">
        <f t="shared" si="4"/>
        <v>70.594117647058823</v>
      </c>
      <c r="Z34" s="244">
        <f t="shared" si="1"/>
        <v>3.8028120000000003</v>
      </c>
      <c r="AA34" s="244">
        <f t="shared" si="1"/>
        <v>11.856987999999999</v>
      </c>
      <c r="AB34" s="1277">
        <f t="shared" si="1"/>
        <v>14.82</v>
      </c>
      <c r="AC34" s="1307">
        <f t="shared" si="7"/>
        <v>3.8971161340607949</v>
      </c>
      <c r="AD34" s="1305">
        <f t="shared" si="7"/>
        <v>67.927672693942171</v>
      </c>
      <c r="AE34" s="241">
        <v>20</v>
      </c>
      <c r="AF34" s="244">
        <f t="shared" si="2"/>
        <v>76.056240000000003</v>
      </c>
      <c r="AG34" s="1281" t="s">
        <v>808</v>
      </c>
      <c r="AI34" s="1282">
        <f t="shared" si="3"/>
        <v>17.664913138111114</v>
      </c>
      <c r="AJ34" s="1252">
        <v>0.92159999999999997</v>
      </c>
      <c r="AK34" s="1252">
        <v>1.0169999999999999</v>
      </c>
      <c r="AL34" s="1252">
        <v>8.1276750000000011E-4</v>
      </c>
    </row>
    <row r="35" spans="1:38" ht="18.75" customHeight="1" x14ac:dyDescent="0.2">
      <c r="A35" s="1273">
        <v>19</v>
      </c>
      <c r="B35" s="1274" t="s">
        <v>39</v>
      </c>
      <c r="C35" s="241" t="s">
        <v>46</v>
      </c>
      <c r="D35" s="241">
        <v>575.26</v>
      </c>
      <c r="E35" s="241" t="s">
        <v>411</v>
      </c>
      <c r="F35" s="241">
        <v>177.8</v>
      </c>
      <c r="G35" s="241" t="s">
        <v>28</v>
      </c>
      <c r="H35" s="1299" t="s">
        <v>588</v>
      </c>
      <c r="I35" s="1755">
        <v>551</v>
      </c>
      <c r="J35" s="1448">
        <v>185</v>
      </c>
      <c r="K35" s="241"/>
      <c r="L35" s="1277">
        <v>470</v>
      </c>
      <c r="M35" s="241"/>
      <c r="N35" s="1278">
        <v>4</v>
      </c>
      <c r="O35" s="241"/>
      <c r="P35" s="1278">
        <f t="shared" si="5"/>
        <v>11.527580839964921</v>
      </c>
      <c r="Q35" s="1278">
        <f>14*J35/100</f>
        <v>25.9</v>
      </c>
      <c r="R35" s="244">
        <v>8.4570000000000007</v>
      </c>
      <c r="S35" s="244">
        <v>16.989999999999998</v>
      </c>
      <c r="T35" s="1277">
        <v>91</v>
      </c>
      <c r="U35" s="1278">
        <f t="shared" si="0"/>
        <v>10.760316897244884</v>
      </c>
      <c r="V35" s="1278">
        <f t="shared" si="6"/>
        <v>50.223660977045313</v>
      </c>
      <c r="W35" s="1279">
        <v>0.2</v>
      </c>
      <c r="X35" s="1449">
        <v>185</v>
      </c>
      <c r="Y35" s="1277">
        <f t="shared" si="4"/>
        <v>65.598455598455601</v>
      </c>
      <c r="Z35" s="244">
        <f t="shared" ref="Z35:AB49" si="10">R35*0.988</f>
        <v>8.3555160000000015</v>
      </c>
      <c r="AA35" s="244">
        <f t="shared" si="10"/>
        <v>16.786119999999997</v>
      </c>
      <c r="AB35" s="1277">
        <f t="shared" si="10"/>
        <v>89.908000000000001</v>
      </c>
      <c r="AC35" s="244">
        <f t="shared" ref="AC35:AD36" si="11">U35</f>
        <v>10.760316897244884</v>
      </c>
      <c r="AD35" s="1305">
        <f t="shared" si="11"/>
        <v>50.223660977045313</v>
      </c>
      <c r="AE35" s="241">
        <v>14</v>
      </c>
      <c r="AF35" s="244">
        <f t="shared" si="2"/>
        <v>116.97722400000002</v>
      </c>
      <c r="AG35" s="1281" t="s">
        <v>808</v>
      </c>
      <c r="AI35" s="1282">
        <f t="shared" si="3"/>
        <v>11.527580839964921</v>
      </c>
      <c r="AJ35" s="1252">
        <v>0.88570000000000004</v>
      </c>
      <c r="AK35" s="1252">
        <v>1.024</v>
      </c>
      <c r="AL35" s="1252">
        <v>8.1397160000000013E-4</v>
      </c>
    </row>
    <row r="36" spans="1:38" ht="18.75" customHeight="1" x14ac:dyDescent="0.2">
      <c r="A36" s="1273">
        <v>20</v>
      </c>
      <c r="B36" s="1274" t="s">
        <v>40</v>
      </c>
      <c r="C36" s="241" t="s">
        <v>46</v>
      </c>
      <c r="D36" s="241">
        <v>604.16999999999996</v>
      </c>
      <c r="E36" s="241" t="s">
        <v>689</v>
      </c>
      <c r="F36" s="241">
        <v>177.8</v>
      </c>
      <c r="G36" s="241" t="s">
        <v>28</v>
      </c>
      <c r="H36" s="241" t="s">
        <v>556</v>
      </c>
      <c r="I36" s="1755">
        <v>565.36</v>
      </c>
      <c r="J36" s="241">
        <v>100</v>
      </c>
      <c r="K36" s="241"/>
      <c r="L36" s="1277">
        <v>320</v>
      </c>
      <c r="M36" s="241"/>
      <c r="N36" s="1278">
        <v>1.4</v>
      </c>
      <c r="O36" s="241"/>
      <c r="P36" s="1278">
        <f t="shared" si="5"/>
        <v>25.005758906759521</v>
      </c>
      <c r="Q36" s="1278">
        <f>13*J36/100</f>
        <v>13</v>
      </c>
      <c r="R36" s="244">
        <v>2.5910000000000002</v>
      </c>
      <c r="S36" s="244">
        <v>12.179</v>
      </c>
      <c r="T36" s="1277">
        <v>24</v>
      </c>
      <c r="U36" s="1278">
        <f>IF(R36=0,0,T36/R36)</f>
        <v>9.2628328830567348</v>
      </c>
      <c r="V36" s="1278">
        <f t="shared" si="6"/>
        <v>78.725675342803186</v>
      </c>
      <c r="W36" s="1279">
        <v>0.2</v>
      </c>
      <c r="X36" s="1316">
        <v>100</v>
      </c>
      <c r="Y36" s="1277">
        <f t="shared" si="4"/>
        <v>93.684615384615384</v>
      </c>
      <c r="Z36" s="244">
        <f t="shared" si="10"/>
        <v>2.5599080000000001</v>
      </c>
      <c r="AA36" s="244">
        <f t="shared" si="10"/>
        <v>12.032852</v>
      </c>
      <c r="AB36" s="1277">
        <f t="shared" si="10"/>
        <v>23.712</v>
      </c>
      <c r="AC36" s="244">
        <f t="shared" si="11"/>
        <v>9.2628328830567348</v>
      </c>
      <c r="AD36" s="1305">
        <f t="shared" si="11"/>
        <v>78.725675342803186</v>
      </c>
      <c r="AE36" s="241">
        <v>15</v>
      </c>
      <c r="AF36" s="244">
        <f>Z36*AE36</f>
        <v>38.398620000000001</v>
      </c>
      <c r="AG36" s="1281" t="s">
        <v>808</v>
      </c>
      <c r="AI36" s="1282">
        <f t="shared" si="3"/>
        <v>25.005758906759521</v>
      </c>
      <c r="AJ36" s="1252">
        <v>0.91769999999999996</v>
      </c>
      <c r="AK36" s="1252">
        <v>1.0129999999999999</v>
      </c>
      <c r="AL36" s="1252">
        <v>7.5858300000000007E-4</v>
      </c>
    </row>
    <row r="37" spans="1:38" ht="18.75" customHeight="1" x14ac:dyDescent="0.2">
      <c r="A37" s="1273">
        <v>21</v>
      </c>
      <c r="B37" s="1274" t="s">
        <v>41</v>
      </c>
      <c r="C37" s="241" t="s">
        <v>46</v>
      </c>
      <c r="D37" s="241">
        <v>573.37</v>
      </c>
      <c r="E37" s="241" t="s">
        <v>87</v>
      </c>
      <c r="F37" s="241">
        <v>177.8</v>
      </c>
      <c r="G37" s="241" t="s">
        <v>28</v>
      </c>
      <c r="H37" s="241" t="s">
        <v>461</v>
      </c>
      <c r="I37" s="1755">
        <v>535.91</v>
      </c>
      <c r="J37" s="1448">
        <v>300</v>
      </c>
      <c r="K37" s="241"/>
      <c r="L37" s="1277">
        <v>449</v>
      </c>
      <c r="M37" s="241"/>
      <c r="N37" s="1278">
        <v>2.5</v>
      </c>
      <c r="O37" s="241"/>
      <c r="P37" s="1278">
        <f t="shared" si="5"/>
        <v>10.477968260655272</v>
      </c>
      <c r="Q37" s="1278">
        <f>(20/100)*J37</f>
        <v>60</v>
      </c>
      <c r="R37" s="244">
        <v>8.7829999999999995</v>
      </c>
      <c r="S37" s="244">
        <v>14.874000000000001</v>
      </c>
      <c r="T37" s="1277">
        <v>204</v>
      </c>
      <c r="U37" s="1278">
        <f t="shared" ref="U37:U84" si="12">IF(R37=0,0,T37/R37)</f>
        <v>23.226687919845158</v>
      </c>
      <c r="V37" s="1278">
        <f t="shared" si="6"/>
        <v>40.950652144682003</v>
      </c>
      <c r="W37" s="1279">
        <v>0.2</v>
      </c>
      <c r="X37" s="1449">
        <v>300</v>
      </c>
      <c r="Y37" s="1277">
        <f t="shared" si="4"/>
        <v>24.79</v>
      </c>
      <c r="Z37" s="244">
        <f t="shared" si="10"/>
        <v>8.6776039999999988</v>
      </c>
      <c r="AA37" s="244">
        <f t="shared" si="10"/>
        <v>14.695512000000001</v>
      </c>
      <c r="AB37" s="1277">
        <f t="shared" si="10"/>
        <v>201.55199999999999</v>
      </c>
      <c r="AC37" s="244">
        <v>89.536086956521729</v>
      </c>
      <c r="AD37" s="1305">
        <f>V37</f>
        <v>40.950652144682003</v>
      </c>
      <c r="AE37" s="241">
        <v>20</v>
      </c>
      <c r="AF37" s="244">
        <f t="shared" si="2"/>
        <v>173.55207999999999</v>
      </c>
      <c r="AG37" s="1281" t="s">
        <v>808</v>
      </c>
      <c r="AI37" s="1282">
        <f t="shared" si="3"/>
        <v>10.477968260655272</v>
      </c>
      <c r="AJ37" s="1252">
        <v>0.88919999999999999</v>
      </c>
      <c r="AK37" s="1252">
        <v>1.0229999999999999</v>
      </c>
      <c r="AL37" s="1252">
        <v>8.0193060000000006E-4</v>
      </c>
    </row>
    <row r="38" spans="1:38" ht="18.75" customHeight="1" x14ac:dyDescent="0.2">
      <c r="A38" s="1273">
        <v>22</v>
      </c>
      <c r="B38" s="1274" t="s">
        <v>42</v>
      </c>
      <c r="C38" s="241" t="s">
        <v>46</v>
      </c>
      <c r="D38" s="241">
        <v>583.20000000000005</v>
      </c>
      <c r="E38" s="241" t="s">
        <v>88</v>
      </c>
      <c r="F38" s="241">
        <v>177.8</v>
      </c>
      <c r="G38" s="241" t="s">
        <v>28</v>
      </c>
      <c r="H38" s="1299" t="s">
        <v>540</v>
      </c>
      <c r="I38" s="1755">
        <v>563.91</v>
      </c>
      <c r="J38" s="1448">
        <v>85</v>
      </c>
      <c r="K38" s="241"/>
      <c r="L38" s="1277">
        <v>170</v>
      </c>
      <c r="M38" s="241"/>
      <c r="N38" s="1278">
        <v>1</v>
      </c>
      <c r="O38" s="241"/>
      <c r="P38" s="1278">
        <f t="shared" si="5"/>
        <v>39.193989077277813</v>
      </c>
      <c r="Q38" s="1278">
        <f>22*J38/100</f>
        <v>18.7</v>
      </c>
      <c r="R38" s="244">
        <v>4.0289999999999999</v>
      </c>
      <c r="S38" s="244">
        <v>18.803000000000001</v>
      </c>
      <c r="T38" s="1277">
        <v>7</v>
      </c>
      <c r="U38" s="1278">
        <f t="shared" si="12"/>
        <v>1.7374038222884092</v>
      </c>
      <c r="V38" s="1278">
        <f t="shared" si="6"/>
        <v>78.572568207200973</v>
      </c>
      <c r="W38" s="1279">
        <v>0</v>
      </c>
      <c r="X38" s="1449">
        <v>85</v>
      </c>
      <c r="Y38" s="1277">
        <f t="shared" si="4"/>
        <v>100.55080213903744</v>
      </c>
      <c r="Z38" s="244">
        <f t="shared" si="10"/>
        <v>3.9806520000000001</v>
      </c>
      <c r="AA38" s="244">
        <f t="shared" si="10"/>
        <v>18.577363999999999</v>
      </c>
      <c r="AB38" s="1277">
        <f t="shared" si="10"/>
        <v>6.9160000000000004</v>
      </c>
      <c r="AC38" s="244">
        <f>U38</f>
        <v>1.7374038222884092</v>
      </c>
      <c r="AD38" s="1277">
        <f>V38</f>
        <v>78.572568207200973</v>
      </c>
      <c r="AE38" s="241">
        <v>20</v>
      </c>
      <c r="AF38" s="244">
        <f t="shared" si="2"/>
        <v>79.613039999999998</v>
      </c>
      <c r="AG38" s="1281" t="s">
        <v>808</v>
      </c>
      <c r="AI38" s="1282">
        <f t="shared" si="3"/>
        <v>39.193989077277813</v>
      </c>
      <c r="AJ38" s="1252">
        <v>0.9173</v>
      </c>
      <c r="AK38" s="1252">
        <v>1.024</v>
      </c>
      <c r="AL38" s="1252">
        <v>8.1276750000000011E-4</v>
      </c>
    </row>
    <row r="39" spans="1:38" ht="18.75" customHeight="1" x14ac:dyDescent="0.2">
      <c r="A39" s="1273">
        <v>23</v>
      </c>
      <c r="B39" s="1274" t="s">
        <v>43</v>
      </c>
      <c r="C39" s="241" t="s">
        <v>46</v>
      </c>
      <c r="D39" s="241">
        <v>682.7</v>
      </c>
      <c r="E39" s="241" t="s">
        <v>690</v>
      </c>
      <c r="F39" s="241">
        <v>177.8</v>
      </c>
      <c r="G39" s="241" t="s">
        <v>28</v>
      </c>
      <c r="H39" s="1299" t="s">
        <v>685</v>
      </c>
      <c r="I39" s="1315">
        <v>553.84</v>
      </c>
      <c r="J39" s="241">
        <v>95</v>
      </c>
      <c r="K39" s="241"/>
      <c r="L39" s="1277">
        <v>340</v>
      </c>
      <c r="M39" s="241"/>
      <c r="N39" s="1278">
        <v>3.5</v>
      </c>
      <c r="O39" s="241"/>
      <c r="P39" s="1278">
        <f t="shared" si="5"/>
        <v>24.122470573328524</v>
      </c>
      <c r="Q39" s="1278">
        <f>14*J39/100</f>
        <v>13.3</v>
      </c>
      <c r="R39" s="244">
        <v>1.923</v>
      </c>
      <c r="S39" s="244">
        <v>9.9809999999999999</v>
      </c>
      <c r="T39" s="1277">
        <v>7.1</v>
      </c>
      <c r="U39" s="1278">
        <f t="shared" si="12"/>
        <v>3.692147685907436</v>
      </c>
      <c r="V39" s="1278">
        <f t="shared" si="6"/>
        <v>80.733393447550355</v>
      </c>
      <c r="W39" s="1279">
        <v>0.2</v>
      </c>
      <c r="X39" s="1316">
        <v>95</v>
      </c>
      <c r="Y39" s="1277">
        <f t="shared" si="4"/>
        <v>75.045112781954884</v>
      </c>
      <c r="Z39" s="244">
        <f t="shared" si="10"/>
        <v>1.8999239999999999</v>
      </c>
      <c r="AA39" s="244">
        <f t="shared" si="10"/>
        <v>9.8612280000000005</v>
      </c>
      <c r="AB39" s="1277">
        <f t="shared" si="10"/>
        <v>7.0147999999999993</v>
      </c>
      <c r="AC39" s="244">
        <f>U39</f>
        <v>3.692147685907436</v>
      </c>
      <c r="AD39" s="1277">
        <f>V39</f>
        <v>80.733393447550355</v>
      </c>
      <c r="AE39" s="241">
        <v>15</v>
      </c>
      <c r="AF39" s="244">
        <f t="shared" si="2"/>
        <v>28.498860000000001</v>
      </c>
      <c r="AG39" s="1281" t="s">
        <v>808</v>
      </c>
      <c r="AI39" s="1282">
        <f t="shared" si="3"/>
        <v>24.122470573328524</v>
      </c>
      <c r="AJ39" s="1252">
        <v>0.90210000000000001</v>
      </c>
      <c r="AK39" s="1252">
        <v>1.0169999999999999</v>
      </c>
      <c r="AL39" s="1252">
        <v>7.7303220000000006E-4</v>
      </c>
    </row>
    <row r="40" spans="1:38" ht="18.75" customHeight="1" x14ac:dyDescent="0.2">
      <c r="A40" s="1273">
        <v>24</v>
      </c>
      <c r="B40" s="1274" t="s">
        <v>44</v>
      </c>
      <c r="C40" s="241" t="s">
        <v>46</v>
      </c>
      <c r="D40" s="241">
        <v>614.27</v>
      </c>
      <c r="E40" s="241" t="s">
        <v>593</v>
      </c>
      <c r="F40" s="241">
        <v>177.8</v>
      </c>
      <c r="G40" s="241" t="s">
        <v>28</v>
      </c>
      <c r="H40" s="1299" t="s">
        <v>565</v>
      </c>
      <c r="I40" s="1315">
        <v>580.03</v>
      </c>
      <c r="J40" s="241">
        <v>0</v>
      </c>
      <c r="K40" s="241"/>
      <c r="L40" s="1277">
        <v>0</v>
      </c>
      <c r="M40" s="241"/>
      <c r="N40" s="1278">
        <v>0</v>
      </c>
      <c r="O40" s="241"/>
      <c r="P40" s="1278" t="e">
        <f t="shared" si="5"/>
        <v>#DIV/0!</v>
      </c>
      <c r="Q40" s="1278">
        <f>(32/100)*J40</f>
        <v>0</v>
      </c>
      <c r="R40" s="244">
        <v>0</v>
      </c>
      <c r="S40" s="244">
        <v>0</v>
      </c>
      <c r="T40" s="1277">
        <v>0</v>
      </c>
      <c r="U40" s="1278">
        <f t="shared" si="12"/>
        <v>0</v>
      </c>
      <c r="V40" s="1278" t="e">
        <f t="shared" si="6"/>
        <v>#DIV/0!</v>
      </c>
      <c r="W40" s="1279">
        <v>0</v>
      </c>
      <c r="X40" s="1316">
        <v>85</v>
      </c>
      <c r="Y40" s="1277">
        <f t="shared" si="4"/>
        <v>0</v>
      </c>
      <c r="Z40" s="244">
        <v>15</v>
      </c>
      <c r="AA40" s="244">
        <v>16.5</v>
      </c>
      <c r="AB40" s="1277">
        <v>100</v>
      </c>
      <c r="AC40" s="244">
        <f>AB40/Z40</f>
        <v>6.666666666666667</v>
      </c>
      <c r="AD40" s="1278">
        <f t="shared" ref="AD40" si="13">(AA40-Z40)/AA40*100</f>
        <v>9.0909090909090917</v>
      </c>
      <c r="AE40" s="241">
        <v>7</v>
      </c>
      <c r="AF40" s="244">
        <f t="shared" si="2"/>
        <v>105</v>
      </c>
      <c r="AG40" s="1281" t="s">
        <v>807</v>
      </c>
      <c r="AI40" s="1282" t="e">
        <f t="shared" si="3"/>
        <v>#DIV/0!</v>
      </c>
      <c r="AJ40" s="1252">
        <v>0.90480000000000005</v>
      </c>
      <c r="AK40" s="1252">
        <v>1.022</v>
      </c>
      <c r="AL40" s="1252">
        <v>9.3558570000000008E-4</v>
      </c>
    </row>
    <row r="41" spans="1:38" ht="18.75" customHeight="1" x14ac:dyDescent="0.2">
      <c r="A41" s="1273">
        <v>25</v>
      </c>
      <c r="B41" s="1274" t="s">
        <v>45</v>
      </c>
      <c r="C41" s="241" t="s">
        <v>46</v>
      </c>
      <c r="D41" s="241">
        <v>636.4</v>
      </c>
      <c r="E41" s="241" t="s">
        <v>595</v>
      </c>
      <c r="F41" s="241">
        <v>177.8</v>
      </c>
      <c r="G41" s="241" t="s">
        <v>28</v>
      </c>
      <c r="H41" s="241" t="s">
        <v>684</v>
      </c>
      <c r="I41" s="1755">
        <v>554.16999999999996</v>
      </c>
      <c r="J41" s="1448">
        <v>125</v>
      </c>
      <c r="K41" s="241"/>
      <c r="L41" s="1277">
        <v>335</v>
      </c>
      <c r="M41" s="241"/>
      <c r="N41" s="1278">
        <v>4.7</v>
      </c>
      <c r="O41" s="241"/>
      <c r="P41" s="1278">
        <f t="shared" si="5"/>
        <v>25.857008132130513</v>
      </c>
      <c r="Q41" s="1278">
        <f>(32/100)*J41</f>
        <v>40</v>
      </c>
      <c r="R41" s="244">
        <v>7.8319999999999999</v>
      </c>
      <c r="S41" s="244">
        <v>34.625999999999998</v>
      </c>
      <c r="T41" s="1277">
        <v>110</v>
      </c>
      <c r="U41" s="1278">
        <f t="shared" si="12"/>
        <v>14.04494382022472</v>
      </c>
      <c r="V41" s="1278">
        <f t="shared" si="6"/>
        <v>77.381158666897704</v>
      </c>
      <c r="W41" s="1279">
        <v>0.2</v>
      </c>
      <c r="X41" s="1449">
        <v>125</v>
      </c>
      <c r="Y41" s="1277">
        <f t="shared" si="4"/>
        <v>86.564999999999998</v>
      </c>
      <c r="Z41" s="244">
        <f t="shared" si="10"/>
        <v>7.738016</v>
      </c>
      <c r="AA41" s="244">
        <f t="shared" si="10"/>
        <v>34.210487999999998</v>
      </c>
      <c r="AB41" s="1277">
        <f t="shared" si="10"/>
        <v>108.67999999999999</v>
      </c>
      <c r="AC41" s="244">
        <f>U41</f>
        <v>14.04494382022472</v>
      </c>
      <c r="AD41" s="1277">
        <f>V41</f>
        <v>77.381158666897704</v>
      </c>
      <c r="AE41" s="241">
        <f>(DAY(EOMONTH($AH$15,0))-AH41)</f>
        <v>30</v>
      </c>
      <c r="AF41" s="244">
        <f t="shared" si="2"/>
        <v>232.14048</v>
      </c>
      <c r="AG41" s="1281"/>
      <c r="AI41" s="1282">
        <f t="shared" si="3"/>
        <v>25.857008132130513</v>
      </c>
      <c r="AJ41" s="1252">
        <v>0.9</v>
      </c>
      <c r="AK41" s="1252">
        <v>1.024</v>
      </c>
      <c r="AL41" s="1252">
        <v>7.2366409999999998E-4</v>
      </c>
    </row>
    <row r="42" spans="1:38" ht="18.600000000000001" customHeight="1" x14ac:dyDescent="0.2">
      <c r="A42" s="1273">
        <v>26</v>
      </c>
      <c r="B42" s="1274" t="s">
        <v>56</v>
      </c>
      <c r="C42" s="1316" t="s">
        <v>46</v>
      </c>
      <c r="D42" s="241">
        <v>680.52</v>
      </c>
      <c r="E42" s="1274" t="s">
        <v>596</v>
      </c>
      <c r="F42" s="241">
        <v>177.8</v>
      </c>
      <c r="G42" s="241" t="s">
        <v>28</v>
      </c>
      <c r="H42" s="1299" t="s">
        <v>349</v>
      </c>
      <c r="I42" s="1755">
        <v>583.46</v>
      </c>
      <c r="J42" s="1448"/>
      <c r="K42" s="241"/>
      <c r="L42" s="1277"/>
      <c r="M42" s="241"/>
      <c r="N42" s="1278"/>
      <c r="O42" s="241"/>
      <c r="P42" s="1278"/>
      <c r="Q42" s="1278"/>
      <c r="R42" s="244"/>
      <c r="S42" s="244"/>
      <c r="T42" s="1277"/>
      <c r="U42" s="1278"/>
      <c r="V42" s="1278"/>
      <c r="W42" s="1279"/>
      <c r="X42" s="1449"/>
      <c r="Y42" s="1277">
        <f t="shared" si="4"/>
        <v>0</v>
      </c>
      <c r="Z42" s="244"/>
      <c r="AA42" s="244"/>
      <c r="AB42" s="1277"/>
      <c r="AC42" s="244"/>
      <c r="AD42" s="1277"/>
      <c r="AE42" s="241"/>
      <c r="AF42" s="244"/>
      <c r="AG42" s="1285" t="s">
        <v>681</v>
      </c>
      <c r="AI42" s="1282">
        <f t="shared" si="3"/>
        <v>51.69303580814212</v>
      </c>
      <c r="AJ42" s="1252">
        <v>0.91510000000000002</v>
      </c>
      <c r="AK42" s="1252">
        <v>1.022</v>
      </c>
      <c r="AL42" s="1252">
        <v>6.1000000000000004E-3</v>
      </c>
    </row>
    <row r="43" spans="1:38" ht="18.75" customHeight="1" x14ac:dyDescent="0.2">
      <c r="A43" s="1273">
        <v>27</v>
      </c>
      <c r="B43" s="1274" t="s">
        <v>206</v>
      </c>
      <c r="C43" s="241" t="s">
        <v>46</v>
      </c>
      <c r="D43" s="241">
        <v>660.74</v>
      </c>
      <c r="E43" s="241" t="s">
        <v>436</v>
      </c>
      <c r="F43" s="241">
        <v>177.8</v>
      </c>
      <c r="G43" s="241" t="s">
        <v>28</v>
      </c>
      <c r="H43" s="241" t="s">
        <v>693</v>
      </c>
      <c r="I43" s="1755">
        <v>544.70000000000005</v>
      </c>
      <c r="J43" s="241">
        <v>105</v>
      </c>
      <c r="K43" s="241"/>
      <c r="L43" s="1277">
        <v>76</v>
      </c>
      <c r="M43" s="241"/>
      <c r="N43" s="1278">
        <v>2.5</v>
      </c>
      <c r="O43" s="241"/>
      <c r="P43" s="1278">
        <f t="shared" si="5"/>
        <v>47.926957520010319</v>
      </c>
      <c r="Q43" s="1278">
        <f>J43*20/100</f>
        <v>21</v>
      </c>
      <c r="R43" s="244">
        <v>2.74</v>
      </c>
      <c r="S43" s="244">
        <v>18.640999999999998</v>
      </c>
      <c r="T43" s="1277">
        <v>42</v>
      </c>
      <c r="U43" s="1278">
        <f t="shared" si="12"/>
        <v>15.32846715328467</v>
      </c>
      <c r="V43" s="1278">
        <f t="shared" si="6"/>
        <v>85.301217745829078</v>
      </c>
      <c r="W43" s="1279">
        <v>0.2</v>
      </c>
      <c r="X43" s="1316">
        <v>105</v>
      </c>
      <c r="Y43" s="1277">
        <f t="shared" si="4"/>
        <v>88.766666666666666</v>
      </c>
      <c r="Z43" s="244">
        <f t="shared" si="10"/>
        <v>2.7071200000000002</v>
      </c>
      <c r="AA43" s="244">
        <f t="shared" si="10"/>
        <v>18.417307999999998</v>
      </c>
      <c r="AB43" s="1277">
        <f t="shared" si="10"/>
        <v>41.496000000000002</v>
      </c>
      <c r="AC43" s="244">
        <f t="shared" ref="AC43:AD49" si="14">U43</f>
        <v>15.32846715328467</v>
      </c>
      <c r="AD43" s="1277">
        <f t="shared" si="14"/>
        <v>85.301217745829078</v>
      </c>
      <c r="AE43" s="241">
        <v>15</v>
      </c>
      <c r="AF43" s="244">
        <f t="shared" si="2"/>
        <v>40.6068</v>
      </c>
      <c r="AG43" s="1281" t="s">
        <v>808</v>
      </c>
      <c r="AI43" s="1282">
        <f t="shared" si="3"/>
        <v>47.926957520010319</v>
      </c>
      <c r="AJ43" s="1252">
        <v>0.90780000000000005</v>
      </c>
      <c r="AK43" s="1252">
        <v>1.0169999999999999</v>
      </c>
      <c r="AL43" s="1252">
        <v>7.7303220000000006E-4</v>
      </c>
    </row>
    <row r="44" spans="1:38" ht="28.5" customHeight="1" x14ac:dyDescent="0.2">
      <c r="A44" s="1273">
        <v>28</v>
      </c>
      <c r="B44" s="1317" t="s">
        <v>161</v>
      </c>
      <c r="C44" s="241" t="s">
        <v>46</v>
      </c>
      <c r="D44" s="1755">
        <v>677</v>
      </c>
      <c r="E44" s="1318" t="s">
        <v>178</v>
      </c>
      <c r="F44" s="241">
        <v>177.8</v>
      </c>
      <c r="G44" s="241" t="s">
        <v>28</v>
      </c>
      <c r="H44" s="241" t="s">
        <v>684</v>
      </c>
      <c r="I44" s="1755">
        <v>500.03</v>
      </c>
      <c r="J44" s="1755">
        <v>110</v>
      </c>
      <c r="K44" s="1755"/>
      <c r="L44" s="1319">
        <v>394</v>
      </c>
      <c r="M44" s="1755"/>
      <c r="N44" s="1278">
        <v>1.6</v>
      </c>
      <c r="O44" s="1755"/>
      <c r="P44" s="1278">
        <f t="shared" si="5"/>
        <v>11.548671241697765</v>
      </c>
      <c r="Q44" s="1278">
        <f>J44*32/100</f>
        <v>35.200000000000003</v>
      </c>
      <c r="R44" s="244">
        <v>10.147</v>
      </c>
      <c r="S44" s="244">
        <v>22.335999999999999</v>
      </c>
      <c r="T44" s="1319">
        <v>231</v>
      </c>
      <c r="U44" s="1278">
        <f t="shared" si="12"/>
        <v>22.765349364344139</v>
      </c>
      <c r="V44" s="1278">
        <f t="shared" si="6"/>
        <v>54.571095988538673</v>
      </c>
      <c r="W44" s="1279">
        <v>0.2</v>
      </c>
      <c r="X44" s="1410">
        <v>110</v>
      </c>
      <c r="Y44" s="1277">
        <f t="shared" si="4"/>
        <v>63.454545454545439</v>
      </c>
      <c r="Z44" s="244">
        <f t="shared" si="10"/>
        <v>10.025236</v>
      </c>
      <c r="AA44" s="244">
        <f t="shared" si="10"/>
        <v>22.067967999999997</v>
      </c>
      <c r="AB44" s="1277">
        <f t="shared" si="10"/>
        <v>228.22800000000001</v>
      </c>
      <c r="AC44" s="244">
        <f t="shared" si="14"/>
        <v>22.765349364344139</v>
      </c>
      <c r="AD44" s="1277">
        <f t="shared" si="14"/>
        <v>54.571095988538673</v>
      </c>
      <c r="AE44" s="241">
        <v>26</v>
      </c>
      <c r="AF44" s="244">
        <f t="shared" si="2"/>
        <v>260.656136</v>
      </c>
      <c r="AG44" s="1281" t="s">
        <v>808</v>
      </c>
      <c r="AI44" s="1282">
        <f t="shared" si="3"/>
        <v>11.548671241697765</v>
      </c>
      <c r="AJ44" s="1252">
        <v>0.89839999999999998</v>
      </c>
      <c r="AK44" s="1252">
        <v>1.0209999999999999</v>
      </c>
      <c r="AL44" s="1252">
        <v>1.0307096000000001E-3</v>
      </c>
    </row>
    <row r="45" spans="1:38" ht="29.25" customHeight="1" x14ac:dyDescent="0.2">
      <c r="A45" s="1273">
        <v>29</v>
      </c>
      <c r="B45" s="1317" t="s">
        <v>162</v>
      </c>
      <c r="C45" s="241" t="s">
        <v>46</v>
      </c>
      <c r="D45" s="1755">
        <v>676.97</v>
      </c>
      <c r="E45" s="1318" t="s">
        <v>437</v>
      </c>
      <c r="F45" s="241">
        <v>177.8</v>
      </c>
      <c r="G45" s="241" t="s">
        <v>28</v>
      </c>
      <c r="H45" s="1299" t="s">
        <v>588</v>
      </c>
      <c r="I45" s="1755">
        <v>550.59</v>
      </c>
      <c r="J45" s="1373">
        <v>70</v>
      </c>
      <c r="K45" s="1755"/>
      <c r="L45" s="1277">
        <v>398</v>
      </c>
      <c r="M45" s="1755"/>
      <c r="N45" s="1278">
        <v>0.3</v>
      </c>
      <c r="O45" s="1755"/>
      <c r="P45" s="1278">
        <f t="shared" si="5"/>
        <v>14.707798499529922</v>
      </c>
      <c r="Q45" s="1278">
        <f>RIGHT(H45,(FIND("T",H45,1)-0))*J45/100</f>
        <v>9.8000000000000007</v>
      </c>
      <c r="R45" s="244">
        <v>1.2050000000000001</v>
      </c>
      <c r="S45" s="244">
        <v>2.7839999999999998</v>
      </c>
      <c r="T45" s="1319">
        <v>7</v>
      </c>
      <c r="U45" s="1278">
        <f t="shared" si="12"/>
        <v>5.809128630705394</v>
      </c>
      <c r="V45" s="1278">
        <f t="shared" si="6"/>
        <v>56.716954022988496</v>
      </c>
      <c r="W45" s="1279">
        <v>0.2</v>
      </c>
      <c r="X45" s="1452">
        <v>70</v>
      </c>
      <c r="Y45" s="1277">
        <f t="shared" si="4"/>
        <v>28.408163265306118</v>
      </c>
      <c r="Z45" s="244">
        <f t="shared" si="10"/>
        <v>1.1905400000000002</v>
      </c>
      <c r="AA45" s="244">
        <f t="shared" si="10"/>
        <v>2.7505919999999997</v>
      </c>
      <c r="AB45" s="1277">
        <f t="shared" si="10"/>
        <v>6.9160000000000004</v>
      </c>
      <c r="AC45" s="244">
        <f t="shared" si="14"/>
        <v>5.809128630705394</v>
      </c>
      <c r="AD45" s="1277">
        <f t="shared" si="14"/>
        <v>56.716954022988496</v>
      </c>
      <c r="AE45" s="241">
        <v>20</v>
      </c>
      <c r="AF45" s="244">
        <f t="shared" si="2"/>
        <v>23.810800000000004</v>
      </c>
      <c r="AG45" s="1281" t="s">
        <v>808</v>
      </c>
      <c r="AI45" s="1282">
        <f t="shared" si="3"/>
        <v>14.707798499529922</v>
      </c>
      <c r="AJ45" s="1252">
        <v>0.90790000000000004</v>
      </c>
      <c r="AK45" s="1252">
        <v>1.0229999999999999</v>
      </c>
      <c r="AL45" s="1252">
        <v>7.9591010000000008E-4</v>
      </c>
    </row>
    <row r="46" spans="1:38" ht="18.75" customHeight="1" x14ac:dyDescent="0.2">
      <c r="A46" s="1273">
        <v>30</v>
      </c>
      <c r="B46" s="1317" t="s">
        <v>163</v>
      </c>
      <c r="C46" s="241" t="s">
        <v>46</v>
      </c>
      <c r="D46" s="1755">
        <v>579</v>
      </c>
      <c r="E46" s="241" t="s">
        <v>597</v>
      </c>
      <c r="F46" s="241">
        <v>177.8</v>
      </c>
      <c r="G46" s="241" t="s">
        <v>28</v>
      </c>
      <c r="H46" s="1299" t="s">
        <v>800</v>
      </c>
      <c r="I46" s="1755">
        <v>548.82000000000005</v>
      </c>
      <c r="J46" s="1755">
        <v>85</v>
      </c>
      <c r="K46" s="1755"/>
      <c r="L46" s="1319">
        <v>277</v>
      </c>
      <c r="M46" s="1755"/>
      <c r="N46" s="1278">
        <v>0.8</v>
      </c>
      <c r="O46" s="1755"/>
      <c r="P46" s="1278">
        <f t="shared" si="5"/>
        <v>26.377823733815148</v>
      </c>
      <c r="Q46" s="1278">
        <f>7*J46/100</f>
        <v>5.95</v>
      </c>
      <c r="R46" s="244">
        <v>3.1339999999999999</v>
      </c>
      <c r="S46" s="244">
        <v>8.484</v>
      </c>
      <c r="T46" s="1319">
        <v>20</v>
      </c>
      <c r="U46" s="1278">
        <f t="shared" si="12"/>
        <v>6.3816209317166566</v>
      </c>
      <c r="V46" s="1278">
        <f t="shared" si="6"/>
        <v>63.059877416313057</v>
      </c>
      <c r="W46" s="1279">
        <v>0.2</v>
      </c>
      <c r="X46" s="1410">
        <v>85</v>
      </c>
      <c r="Y46" s="1277">
        <f t="shared" si="4"/>
        <v>142.58823529411762</v>
      </c>
      <c r="Z46" s="244">
        <f t="shared" si="10"/>
        <v>3.0963919999999998</v>
      </c>
      <c r="AA46" s="244">
        <f t="shared" si="10"/>
        <v>8.3821919999999999</v>
      </c>
      <c r="AB46" s="1277">
        <f t="shared" si="10"/>
        <v>19.759999999999998</v>
      </c>
      <c r="AC46" s="244">
        <f t="shared" si="14"/>
        <v>6.3816209317166566</v>
      </c>
      <c r="AD46" s="1277">
        <f t="shared" si="14"/>
        <v>63.059877416313057</v>
      </c>
      <c r="AE46" s="241">
        <v>20</v>
      </c>
      <c r="AF46" s="244">
        <f t="shared" si="2"/>
        <v>61.927839999999996</v>
      </c>
      <c r="AG46" s="1281" t="s">
        <v>808</v>
      </c>
      <c r="AI46" s="1282">
        <f t="shared" si="3"/>
        <v>26.377823733815148</v>
      </c>
      <c r="AJ46" s="1252">
        <v>0.90129999999999999</v>
      </c>
      <c r="AK46" s="1252">
        <v>1.012</v>
      </c>
      <c r="AL46" s="1252">
        <v>7.9591010000000008E-4</v>
      </c>
    </row>
    <row r="47" spans="1:38" ht="18.75" customHeight="1" x14ac:dyDescent="0.2">
      <c r="A47" s="1273">
        <v>31</v>
      </c>
      <c r="B47" s="1274" t="s">
        <v>59</v>
      </c>
      <c r="C47" s="241" t="s">
        <v>46</v>
      </c>
      <c r="D47" s="241">
        <v>615</v>
      </c>
      <c r="E47" s="241" t="s">
        <v>454</v>
      </c>
      <c r="F47" s="241">
        <v>177.8</v>
      </c>
      <c r="G47" s="241" t="s">
        <v>28</v>
      </c>
      <c r="H47" s="1299" t="s">
        <v>686</v>
      </c>
      <c r="I47" s="1755">
        <v>538.69000000000005</v>
      </c>
      <c r="J47" s="241">
        <v>100</v>
      </c>
      <c r="K47" s="241"/>
      <c r="L47" s="1277">
        <v>425</v>
      </c>
      <c r="M47" s="241"/>
      <c r="N47" s="1278">
        <v>2.1</v>
      </c>
      <c r="O47" s="241"/>
      <c r="P47" s="1278">
        <f t="shared" si="5"/>
        <v>12.832245164698238</v>
      </c>
      <c r="Q47" s="1278">
        <f>20*J47/100</f>
        <v>20</v>
      </c>
      <c r="R47" s="244">
        <v>4.21</v>
      </c>
      <c r="S47" s="244">
        <v>10.199</v>
      </c>
      <c r="T47" s="1277">
        <v>41</v>
      </c>
      <c r="U47" s="1278">
        <f t="shared" si="12"/>
        <v>9.738717339667458</v>
      </c>
      <c r="V47" s="1278">
        <f t="shared" si="6"/>
        <v>58.721443278752815</v>
      </c>
      <c r="W47" s="1279">
        <v>0.2</v>
      </c>
      <c r="X47" s="1316">
        <v>100</v>
      </c>
      <c r="Y47" s="1277">
        <f t="shared" si="4"/>
        <v>50.995000000000005</v>
      </c>
      <c r="Z47" s="244">
        <f t="shared" si="10"/>
        <v>4.1594800000000003</v>
      </c>
      <c r="AA47" s="244">
        <f t="shared" si="10"/>
        <v>10.076611999999999</v>
      </c>
      <c r="AB47" s="1277">
        <f t="shared" si="10"/>
        <v>40.508000000000003</v>
      </c>
      <c r="AC47" s="244">
        <f t="shared" si="14"/>
        <v>9.738717339667458</v>
      </c>
      <c r="AD47" s="1277">
        <f t="shared" si="14"/>
        <v>58.721443278752815</v>
      </c>
      <c r="AE47" s="241">
        <v>20</v>
      </c>
      <c r="AF47" s="244">
        <f t="shared" si="2"/>
        <v>83.189600000000013</v>
      </c>
      <c r="AG47" s="1281" t="s">
        <v>808</v>
      </c>
      <c r="AI47" s="1282">
        <f t="shared" si="3"/>
        <v>12.832245164698238</v>
      </c>
      <c r="AJ47" s="1252">
        <v>0.9083</v>
      </c>
      <c r="AK47" s="1252">
        <v>1.0169999999999999</v>
      </c>
      <c r="AL47" s="1252">
        <v>7.7447712000000004E-4</v>
      </c>
    </row>
    <row r="48" spans="1:38" s="1478" customFormat="1" ht="18.600000000000001" customHeight="1" x14ac:dyDescent="0.2">
      <c r="A48" s="1273">
        <v>32</v>
      </c>
      <c r="B48" s="1274" t="s">
        <v>207</v>
      </c>
      <c r="C48" s="241" t="s">
        <v>46</v>
      </c>
      <c r="D48" s="241">
        <v>674.39</v>
      </c>
      <c r="E48" s="241" t="s">
        <v>598</v>
      </c>
      <c r="F48" s="241">
        <v>177.8</v>
      </c>
      <c r="G48" s="241" t="s">
        <v>28</v>
      </c>
      <c r="H48" s="1299" t="s">
        <v>588</v>
      </c>
      <c r="I48" s="1755">
        <v>572.85</v>
      </c>
      <c r="J48" s="241">
        <v>120</v>
      </c>
      <c r="K48" s="241"/>
      <c r="L48" s="1277">
        <v>264</v>
      </c>
      <c r="M48" s="241"/>
      <c r="N48" s="1278">
        <v>2</v>
      </c>
      <c r="O48" s="241"/>
      <c r="P48" s="1278">
        <f t="shared" si="5"/>
        <v>31.649109828736972</v>
      </c>
      <c r="Q48" s="1278">
        <f>RIGHT(H48,(FIND("T",H48,1)-0))*J48/100</f>
        <v>16.8</v>
      </c>
      <c r="R48" s="244">
        <v>4.6859999999999999</v>
      </c>
      <c r="S48" s="244">
        <v>15.117000000000001</v>
      </c>
      <c r="T48" s="1277">
        <v>10.9</v>
      </c>
      <c r="U48" s="1278">
        <f t="shared" si="12"/>
        <v>2.3260776781903543</v>
      </c>
      <c r="V48" s="1278">
        <f t="shared" si="6"/>
        <v>69.001786068664416</v>
      </c>
      <c r="W48" s="1279">
        <v>0.3</v>
      </c>
      <c r="X48" s="1316">
        <v>120</v>
      </c>
      <c r="Y48" s="1277">
        <f t="shared" si="4"/>
        <v>89.982142857142861</v>
      </c>
      <c r="Z48" s="244">
        <f t="shared" si="10"/>
        <v>4.6297680000000003</v>
      </c>
      <c r="AA48" s="244">
        <f t="shared" si="10"/>
        <v>14.935596</v>
      </c>
      <c r="AB48" s="1277">
        <f t="shared" si="10"/>
        <v>10.7692</v>
      </c>
      <c r="AC48" s="244">
        <f t="shared" si="14"/>
        <v>2.3260776781903543</v>
      </c>
      <c r="AD48" s="1277">
        <f t="shared" si="14"/>
        <v>69.001786068664416</v>
      </c>
      <c r="AE48" s="241">
        <v>30</v>
      </c>
      <c r="AF48" s="244">
        <f t="shared" si="2"/>
        <v>138.89304000000001</v>
      </c>
      <c r="AG48" s="1285"/>
      <c r="AH48" s="1252"/>
      <c r="AI48" s="1282">
        <f t="shared" si="3"/>
        <v>31.649109828736972</v>
      </c>
      <c r="AJ48" s="1252">
        <v>0.91710000000000003</v>
      </c>
      <c r="AK48" s="1252">
        <v>1.024</v>
      </c>
      <c r="AL48" s="1252">
        <v>7.9591010000000008E-4</v>
      </c>
    </row>
    <row r="49" spans="1:38" ht="30" customHeight="1" x14ac:dyDescent="0.2">
      <c r="A49" s="1273">
        <v>33</v>
      </c>
      <c r="B49" s="1274" t="s">
        <v>599</v>
      </c>
      <c r="C49" s="241" t="s">
        <v>46</v>
      </c>
      <c r="D49" s="1278">
        <v>684.01</v>
      </c>
      <c r="E49" s="1755" t="s">
        <v>600</v>
      </c>
      <c r="F49" s="241">
        <v>177.8</v>
      </c>
      <c r="G49" s="241" t="s">
        <v>28</v>
      </c>
      <c r="H49" s="1299" t="s">
        <v>687</v>
      </c>
      <c r="I49" s="1755">
        <v>546.08000000000004</v>
      </c>
      <c r="J49" s="241">
        <v>105</v>
      </c>
      <c r="K49" s="241"/>
      <c r="L49" s="1322">
        <v>185</v>
      </c>
      <c r="M49" s="241"/>
      <c r="N49" s="1306">
        <v>3.7</v>
      </c>
      <c r="O49" s="241"/>
      <c r="P49" s="1278">
        <f t="shared" si="5"/>
        <v>38.84901219087601</v>
      </c>
      <c r="Q49" s="1278">
        <f>20*J49/100</f>
        <v>21</v>
      </c>
      <c r="R49" s="244">
        <v>3</v>
      </c>
      <c r="S49" s="244">
        <v>14.664</v>
      </c>
      <c r="T49" s="1277">
        <v>61</v>
      </c>
      <c r="U49" s="1278">
        <f t="shared" si="12"/>
        <v>20.333333333333332</v>
      </c>
      <c r="V49" s="1278">
        <f t="shared" si="6"/>
        <v>79.541734860883793</v>
      </c>
      <c r="W49" s="1279">
        <v>0.2</v>
      </c>
      <c r="X49" s="1316">
        <v>105</v>
      </c>
      <c r="Y49" s="1277">
        <f t="shared" si="4"/>
        <v>69.828571428571422</v>
      </c>
      <c r="Z49" s="244">
        <f t="shared" si="10"/>
        <v>2.964</v>
      </c>
      <c r="AA49" s="244">
        <f t="shared" si="10"/>
        <v>14.488031999999999</v>
      </c>
      <c r="AB49" s="1277">
        <f t="shared" si="10"/>
        <v>60.268000000000001</v>
      </c>
      <c r="AC49" s="244">
        <f t="shared" si="14"/>
        <v>20.333333333333332</v>
      </c>
      <c r="AD49" s="1277">
        <f t="shared" si="14"/>
        <v>79.541734860883793</v>
      </c>
      <c r="AE49" s="241">
        <v>15</v>
      </c>
      <c r="AF49" s="244">
        <f t="shared" si="2"/>
        <v>44.46</v>
      </c>
      <c r="AG49" s="1281" t="s">
        <v>808</v>
      </c>
      <c r="AI49" s="1282">
        <f t="shared" si="3"/>
        <v>38.84901219087601</v>
      </c>
      <c r="AJ49" s="1252">
        <v>0.91579999999999995</v>
      </c>
      <c r="AK49" s="1252">
        <v>1.028</v>
      </c>
      <c r="AL49" s="1252">
        <v>7.7447712000000004E-4</v>
      </c>
    </row>
    <row r="50" spans="1:38" ht="18.75" customHeight="1" x14ac:dyDescent="0.2">
      <c r="A50" s="1273">
        <v>34</v>
      </c>
      <c r="B50" s="1274" t="s">
        <v>196</v>
      </c>
      <c r="C50" s="241" t="s">
        <v>46</v>
      </c>
      <c r="D50" s="241">
        <v>641</v>
      </c>
      <c r="E50" s="241" t="s">
        <v>619</v>
      </c>
      <c r="F50" s="241">
        <v>177.8</v>
      </c>
      <c r="G50" s="241" t="s">
        <v>28</v>
      </c>
      <c r="H50" s="241" t="s">
        <v>50</v>
      </c>
      <c r="I50" s="1755">
        <v>607.85</v>
      </c>
      <c r="J50" s="241"/>
      <c r="K50" s="1323">
        <v>58.46</v>
      </c>
      <c r="L50" s="1324"/>
      <c r="M50" s="1325">
        <v>0.3</v>
      </c>
      <c r="N50" s="1326"/>
      <c r="O50" s="241"/>
      <c r="P50" s="1278">
        <f t="shared" si="5"/>
        <v>52.724000149518879</v>
      </c>
      <c r="Q50" s="1278"/>
      <c r="R50" s="244"/>
      <c r="S50" s="244"/>
      <c r="T50" s="1277"/>
      <c r="U50" s="1278"/>
      <c r="V50" s="1278"/>
      <c r="W50" s="1279"/>
      <c r="X50" s="1316"/>
      <c r="Y50" s="1277">
        <f t="shared" si="4"/>
        <v>0</v>
      </c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3"/>
        <v>52.724000149518879</v>
      </c>
      <c r="AJ50" s="1252">
        <v>0.89590000000000003</v>
      </c>
      <c r="AK50" s="1252">
        <v>1.0169999999999999</v>
      </c>
      <c r="AL50" s="1252">
        <v>1.1667729E-3</v>
      </c>
    </row>
    <row r="51" spans="1:38" ht="18.75" customHeight="1" x14ac:dyDescent="0.2">
      <c r="A51" s="1273">
        <v>35</v>
      </c>
      <c r="B51" s="1274" t="s">
        <v>60</v>
      </c>
      <c r="C51" s="241" t="s">
        <v>46</v>
      </c>
      <c r="D51" s="241">
        <v>641.04999999999995</v>
      </c>
      <c r="E51" s="241" t="s">
        <v>462</v>
      </c>
      <c r="F51" s="241">
        <v>177.8</v>
      </c>
      <c r="G51" s="241" t="s">
        <v>28</v>
      </c>
      <c r="H51" s="1299" t="s">
        <v>592</v>
      </c>
      <c r="I51" s="1755">
        <v>535</v>
      </c>
      <c r="J51" s="1448">
        <v>110</v>
      </c>
      <c r="K51" s="241"/>
      <c r="L51" s="1277">
        <v>444</v>
      </c>
      <c r="M51" s="241"/>
      <c r="N51" s="1278">
        <v>3.5</v>
      </c>
      <c r="O51" s="241"/>
      <c r="P51" s="1278">
        <f t="shared" si="5"/>
        <v>12.154920031389903</v>
      </c>
      <c r="Q51" s="1278">
        <f>RIGHT(H51,(FIND("T",H51,1)-0))*J51/100</f>
        <v>15.4</v>
      </c>
      <c r="R51" s="244">
        <v>4.133</v>
      </c>
      <c r="S51" s="244">
        <v>12.465</v>
      </c>
      <c r="T51" s="1277">
        <v>165.75</v>
      </c>
      <c r="U51" s="1278">
        <f t="shared" si="12"/>
        <v>40.104040648439387</v>
      </c>
      <c r="V51" s="1278">
        <f t="shared" si="6"/>
        <v>66.843160850381082</v>
      </c>
      <c r="W51" s="1279">
        <v>0.2</v>
      </c>
      <c r="X51" s="1449">
        <v>110</v>
      </c>
      <c r="Y51" s="1277">
        <f t="shared" si="4"/>
        <v>80.941558441558442</v>
      </c>
      <c r="Z51" s="244">
        <f t="shared" ref="Z51:AB53" si="15">R51*0.988</f>
        <v>4.0834039999999998</v>
      </c>
      <c r="AA51" s="244">
        <f t="shared" si="15"/>
        <v>12.31542</v>
      </c>
      <c r="AB51" s="1277">
        <f t="shared" si="15"/>
        <v>163.761</v>
      </c>
      <c r="AC51" s="244">
        <f>U51</f>
        <v>40.104040648439387</v>
      </c>
      <c r="AD51" s="1278">
        <f t="shared" ref="AD51" si="16">(AA51-Z51)/AA51*100</f>
        <v>66.843160850381068</v>
      </c>
      <c r="AE51" s="241">
        <v>20</v>
      </c>
      <c r="AF51" s="244">
        <f t="shared" si="2"/>
        <v>81.668080000000003</v>
      </c>
      <c r="AG51" s="1281" t="s">
        <v>808</v>
      </c>
      <c r="AI51" s="1282">
        <f t="shared" si="3"/>
        <v>12.154920031389903</v>
      </c>
      <c r="AJ51" s="1252">
        <v>0.88929999999999998</v>
      </c>
      <c r="AK51" s="1252">
        <v>1.02</v>
      </c>
      <c r="AL51" s="1252">
        <v>1.1667729E-3</v>
      </c>
    </row>
    <row r="52" spans="1:38" ht="18.75" customHeight="1" x14ac:dyDescent="0.2">
      <c r="A52" s="1273">
        <v>36</v>
      </c>
      <c r="B52" s="1274" t="s">
        <v>119</v>
      </c>
      <c r="C52" s="241" t="s">
        <v>404</v>
      </c>
      <c r="D52" s="241">
        <v>654.07000000000005</v>
      </c>
      <c r="E52" s="241" t="s">
        <v>410</v>
      </c>
      <c r="F52" s="241">
        <v>177.8</v>
      </c>
      <c r="G52" s="241" t="s">
        <v>28</v>
      </c>
      <c r="H52" s="241" t="s">
        <v>566</v>
      </c>
      <c r="I52" s="1755">
        <v>500.38</v>
      </c>
      <c r="J52" s="241"/>
      <c r="K52" s="241">
        <v>478</v>
      </c>
      <c r="L52" s="1277"/>
      <c r="M52" s="241">
        <v>0</v>
      </c>
      <c r="N52" s="1278"/>
      <c r="O52" s="241"/>
      <c r="P52" s="1278">
        <f t="shared" si="5"/>
        <v>42.733666838193933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4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42.733666838193933</v>
      </c>
      <c r="AJ52" s="1252">
        <v>0.8821</v>
      </c>
      <c r="AK52" s="1252">
        <v>1.018</v>
      </c>
      <c r="AL52" s="1252">
        <v>1.0764654000000001E-3</v>
      </c>
    </row>
    <row r="53" spans="1:38" ht="29.25" customHeight="1" x14ac:dyDescent="0.2">
      <c r="A53" s="1273">
        <v>37</v>
      </c>
      <c r="B53" s="1274" t="s">
        <v>118</v>
      </c>
      <c r="C53" s="241" t="s">
        <v>408</v>
      </c>
      <c r="D53" s="241">
        <v>728.77</v>
      </c>
      <c r="E53" s="1755" t="s">
        <v>442</v>
      </c>
      <c r="F53" s="241">
        <v>177.8</v>
      </c>
      <c r="G53" s="241" t="s">
        <v>28</v>
      </c>
      <c r="H53" s="241" t="s">
        <v>687</v>
      </c>
      <c r="I53" s="1755">
        <v>515.54</v>
      </c>
      <c r="J53" s="241">
        <v>95</v>
      </c>
      <c r="K53" s="241"/>
      <c r="L53" s="1277">
        <v>401</v>
      </c>
      <c r="M53" s="241"/>
      <c r="N53" s="1278">
        <v>4</v>
      </c>
      <c r="O53" s="241"/>
      <c r="P53" s="1278">
        <f t="shared" si="5"/>
        <v>14.97130723649421</v>
      </c>
      <c r="Q53" s="1325">
        <f>J53*20/100</f>
        <v>19</v>
      </c>
      <c r="R53" s="244">
        <v>5.4459999999999997</v>
      </c>
      <c r="S53" s="244">
        <v>17.738</v>
      </c>
      <c r="T53" s="1277">
        <v>17</v>
      </c>
      <c r="U53" s="1278">
        <f t="shared" si="12"/>
        <v>3.1215571061329417</v>
      </c>
      <c r="V53" s="1278">
        <f t="shared" si="6"/>
        <v>69.297553275453822</v>
      </c>
      <c r="W53" s="1279">
        <v>0</v>
      </c>
      <c r="X53" s="1316">
        <v>95</v>
      </c>
      <c r="Y53" s="1277">
        <f t="shared" si="4"/>
        <v>93.357894736842113</v>
      </c>
      <c r="Z53" s="244">
        <f t="shared" si="15"/>
        <v>5.3806479999999999</v>
      </c>
      <c r="AA53" s="244">
        <f t="shared" si="15"/>
        <v>17.525144000000001</v>
      </c>
      <c r="AB53" s="1277">
        <f t="shared" si="15"/>
        <v>16.795999999999999</v>
      </c>
      <c r="AC53" s="1278">
        <f t="shared" ref="AC53" si="17">IF(Z53=0,0,AB53/Z53)</f>
        <v>3.1215571061329417</v>
      </c>
      <c r="AD53" s="1278">
        <f t="shared" ref="AD53" si="18">(AA53-Z53)/AA53*100</f>
        <v>69.297553275453822</v>
      </c>
      <c r="AE53" s="241">
        <v>15</v>
      </c>
      <c r="AF53" s="244">
        <f t="shared" si="2"/>
        <v>80.709720000000004</v>
      </c>
      <c r="AG53" s="1281" t="s">
        <v>808</v>
      </c>
      <c r="AI53" s="1282">
        <f t="shared" si="3"/>
        <v>14.97130723649421</v>
      </c>
      <c r="AJ53" s="1252">
        <v>0.90849999999999997</v>
      </c>
      <c r="AK53" s="1252">
        <v>1.0209999999999999</v>
      </c>
      <c r="AL53" s="1252">
        <v>8.2480850000000007E-4</v>
      </c>
    </row>
    <row r="54" spans="1:38" ht="18.75" customHeight="1" x14ac:dyDescent="0.2">
      <c r="A54" s="1273">
        <v>38</v>
      </c>
      <c r="B54" s="1274" t="s">
        <v>117</v>
      </c>
      <c r="C54" s="241" t="s">
        <v>46</v>
      </c>
      <c r="D54" s="241">
        <v>671.45</v>
      </c>
      <c r="E54" s="241" t="s">
        <v>554</v>
      </c>
      <c r="F54" s="241">
        <v>177.8</v>
      </c>
      <c r="G54" s="241" t="s">
        <v>28</v>
      </c>
      <c r="H54" s="1299" t="s">
        <v>588</v>
      </c>
      <c r="I54" s="1755">
        <v>564.6500000000002</v>
      </c>
      <c r="J54" s="1448"/>
      <c r="K54" s="241"/>
      <c r="L54" s="1277"/>
      <c r="M54" s="241">
        <v>3.2</v>
      </c>
      <c r="N54" s="1278"/>
      <c r="O54" s="241"/>
      <c r="P54" s="1278">
        <f t="shared" si="5"/>
        <v>49.906249621021495</v>
      </c>
      <c r="Q54" s="1278"/>
      <c r="R54" s="244"/>
      <c r="S54" s="244"/>
      <c r="T54" s="1277"/>
      <c r="U54" s="1278"/>
      <c r="V54" s="1278"/>
      <c r="W54" s="1279"/>
      <c r="X54" s="1449"/>
      <c r="Y54" s="1277">
        <f t="shared" si="4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>
        <f t="shared" si="3"/>
        <v>49.906249621021495</v>
      </c>
      <c r="AJ54" s="1252">
        <v>0.91290000000000004</v>
      </c>
      <c r="AK54" s="1252">
        <v>1.0189999999999999</v>
      </c>
      <c r="AL54" s="1252">
        <v>8.1276750000000011E-4</v>
      </c>
    </row>
    <row r="55" spans="1:38" ht="18.75" customHeight="1" x14ac:dyDescent="0.2">
      <c r="A55" s="1273">
        <v>39</v>
      </c>
      <c r="B55" s="1473" t="s">
        <v>115</v>
      </c>
      <c r="C55" s="1275" t="s">
        <v>46</v>
      </c>
      <c r="D55" s="1275">
        <v>580.71</v>
      </c>
      <c r="E55" s="1275" t="s">
        <v>286</v>
      </c>
      <c r="F55" s="241">
        <v>177.8</v>
      </c>
      <c r="G55" s="1275" t="s">
        <v>28</v>
      </c>
      <c r="H55" s="1474" t="s">
        <v>685</v>
      </c>
      <c r="I55" s="1475">
        <v>566.44000000000005</v>
      </c>
      <c r="J55" s="1275">
        <v>95</v>
      </c>
      <c r="K55" s="1275"/>
      <c r="L55" s="1323">
        <v>428</v>
      </c>
      <c r="M55" s="1275"/>
      <c r="N55" s="1278">
        <v>2</v>
      </c>
      <c r="O55" s="1275"/>
      <c r="P55" s="1278">
        <f t="shared" si="5"/>
        <v>15.264854340076418</v>
      </c>
      <c r="Q55" s="1278">
        <f>J55*14/100</f>
        <v>13.3</v>
      </c>
      <c r="R55" s="1459">
        <v>6.6390000000000002</v>
      </c>
      <c r="S55" s="244">
        <v>14.743</v>
      </c>
      <c r="T55" s="1323">
        <v>13.6</v>
      </c>
      <c r="U55" s="1278">
        <f t="shared" si="12"/>
        <v>2.0485012803133</v>
      </c>
      <c r="V55" s="1278">
        <f t="shared" ref="V55:V84" si="19">(S55-R55)/S55*100</f>
        <v>54.968459607949526</v>
      </c>
      <c r="W55" s="1460">
        <v>0.2</v>
      </c>
      <c r="X55" s="1453">
        <v>95</v>
      </c>
      <c r="Y55" s="1277">
        <f t="shared" si="4"/>
        <v>110.84962406015038</v>
      </c>
      <c r="Z55" s="244">
        <f t="shared" ref="Z55:AB70" si="20">R55*0.988</f>
        <v>6.5593320000000004</v>
      </c>
      <c r="AA55" s="244">
        <f t="shared" si="20"/>
        <v>14.566084</v>
      </c>
      <c r="AB55" s="1277">
        <f t="shared" si="20"/>
        <v>13.4368</v>
      </c>
      <c r="AC55" s="1459">
        <f t="shared" ref="AC55:AD58" si="21">U55</f>
        <v>2.0485012803133</v>
      </c>
      <c r="AD55" s="1277">
        <f t="shared" si="21"/>
        <v>54.968459607949526</v>
      </c>
      <c r="AE55" s="241">
        <v>15</v>
      </c>
      <c r="AF55" s="1459">
        <f t="shared" si="2"/>
        <v>98.389980000000008</v>
      </c>
      <c r="AG55" s="1281" t="s">
        <v>808</v>
      </c>
      <c r="AI55" s="1282">
        <f t="shared" si="3"/>
        <v>15.264854340076418</v>
      </c>
      <c r="AJ55" s="1252">
        <v>0.91320000000000001</v>
      </c>
      <c r="AK55" s="1252">
        <v>1.018</v>
      </c>
      <c r="AL55" s="1252">
        <v>6.1000000000000004E-3</v>
      </c>
    </row>
    <row r="56" spans="1:38" ht="18.75" customHeight="1" x14ac:dyDescent="0.2">
      <c r="A56" s="1273">
        <v>40</v>
      </c>
      <c r="B56" s="1274" t="s">
        <v>116</v>
      </c>
      <c r="C56" s="241" t="s">
        <v>46</v>
      </c>
      <c r="D56" s="241">
        <v>681.27</v>
      </c>
      <c r="E56" s="241" t="s">
        <v>601</v>
      </c>
      <c r="F56" s="241">
        <v>177.8</v>
      </c>
      <c r="G56" s="241" t="s">
        <v>28</v>
      </c>
      <c r="H56" s="241" t="s">
        <v>687</v>
      </c>
      <c r="I56" s="1755">
        <v>589.64</v>
      </c>
      <c r="J56" s="1448">
        <v>120</v>
      </c>
      <c r="K56" s="241"/>
      <c r="L56" s="1277">
        <v>180</v>
      </c>
      <c r="M56" s="241"/>
      <c r="N56" s="1278">
        <v>1</v>
      </c>
      <c r="O56" s="241"/>
      <c r="P56" s="1278">
        <f t="shared" si="5"/>
        <v>40.90837434769589</v>
      </c>
      <c r="Q56" s="1325">
        <f>J56*20/100</f>
        <v>24</v>
      </c>
      <c r="R56" s="244">
        <v>2.5219999999999998</v>
      </c>
      <c r="S56" s="244">
        <v>18.151</v>
      </c>
      <c r="T56" s="1277">
        <v>12.2</v>
      </c>
      <c r="U56" s="1278">
        <f t="shared" si="12"/>
        <v>4.8374306106264866</v>
      </c>
      <c r="V56" s="1278">
        <f t="shared" si="19"/>
        <v>86.105448735606842</v>
      </c>
      <c r="W56" s="1279">
        <v>0</v>
      </c>
      <c r="X56" s="1449">
        <v>120</v>
      </c>
      <c r="Y56" s="1277">
        <f t="shared" si="4"/>
        <v>75.629166666666663</v>
      </c>
      <c r="Z56" s="244">
        <f t="shared" si="20"/>
        <v>2.491736</v>
      </c>
      <c r="AA56" s="244">
        <f t="shared" si="20"/>
        <v>17.933188000000001</v>
      </c>
      <c r="AB56" s="1277">
        <f t="shared" si="20"/>
        <v>12.053599999999999</v>
      </c>
      <c r="AC56" s="1459">
        <f t="shared" si="21"/>
        <v>4.8374306106264866</v>
      </c>
      <c r="AD56" s="1277">
        <f t="shared" si="21"/>
        <v>86.105448735606842</v>
      </c>
      <c r="AE56" s="241">
        <v>15</v>
      </c>
      <c r="AF56" s="244">
        <f t="shared" si="2"/>
        <v>37.376039999999996</v>
      </c>
      <c r="AG56" s="1281" t="s">
        <v>808</v>
      </c>
      <c r="AI56" s="1282">
        <f t="shared" si="3"/>
        <v>40.90837434769589</v>
      </c>
      <c r="AJ56" s="1252">
        <v>0.91420000000000001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41</v>
      </c>
      <c r="B57" s="1274" t="s">
        <v>120</v>
      </c>
      <c r="C57" s="241" t="s">
        <v>46</v>
      </c>
      <c r="D57" s="241">
        <v>669.48</v>
      </c>
      <c r="E57" s="241" t="s">
        <v>285</v>
      </c>
      <c r="F57" s="241">
        <v>177.8</v>
      </c>
      <c r="G57" s="241" t="s">
        <v>28</v>
      </c>
      <c r="H57" s="1275" t="s">
        <v>563</v>
      </c>
      <c r="I57" s="1755">
        <v>560.83000000000004</v>
      </c>
      <c r="J57" s="241">
        <v>110</v>
      </c>
      <c r="K57" s="241"/>
      <c r="L57" s="1277">
        <v>282</v>
      </c>
      <c r="M57" s="241"/>
      <c r="N57" s="1278">
        <v>0</v>
      </c>
      <c r="O57" s="241"/>
      <c r="P57" s="1278">
        <f t="shared" si="5"/>
        <v>26.38978768108235</v>
      </c>
      <c r="Q57" s="1325">
        <f>J57*15/100</f>
        <v>16.5</v>
      </c>
      <c r="R57" s="244">
        <v>7.7610000000000001</v>
      </c>
      <c r="S57" s="244">
        <v>17.350999999999999</v>
      </c>
      <c r="T57" s="1277">
        <v>11</v>
      </c>
      <c r="U57" s="1278">
        <f t="shared" si="12"/>
        <v>1.4173431258858393</v>
      </c>
      <c r="V57" s="1278">
        <f t="shared" si="19"/>
        <v>55.27058959137802</v>
      </c>
      <c r="W57" s="1279">
        <v>0.2</v>
      </c>
      <c r="X57" s="1316">
        <v>110</v>
      </c>
      <c r="Y57" s="1277">
        <f t="shared" si="4"/>
        <v>105.15757575757576</v>
      </c>
      <c r="Z57" s="244">
        <f t="shared" si="20"/>
        <v>7.6678680000000004</v>
      </c>
      <c r="AA57" s="244">
        <f t="shared" si="20"/>
        <v>17.142787999999999</v>
      </c>
      <c r="AB57" s="1277">
        <f t="shared" si="20"/>
        <v>10.868</v>
      </c>
      <c r="AC57" s="244">
        <f t="shared" si="21"/>
        <v>1.4173431258858393</v>
      </c>
      <c r="AD57" s="1277">
        <f t="shared" si="21"/>
        <v>55.27058959137802</v>
      </c>
      <c r="AE57" s="241">
        <v>15</v>
      </c>
      <c r="AF57" s="244">
        <f t="shared" si="2"/>
        <v>115.01802000000001</v>
      </c>
      <c r="AG57" s="1281" t="s">
        <v>808</v>
      </c>
      <c r="AI57" s="1282">
        <f t="shared" si="3"/>
        <v>26.38978768108235</v>
      </c>
      <c r="AJ57" s="1252">
        <v>0.91379999999999995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42</v>
      </c>
      <c r="B58" s="1274" t="s">
        <v>114</v>
      </c>
      <c r="C58" s="241" t="s">
        <v>46</v>
      </c>
      <c r="D58" s="241">
        <v>584.25</v>
      </c>
      <c r="E58" s="241" t="s">
        <v>602</v>
      </c>
      <c r="F58" s="241">
        <v>177.8</v>
      </c>
      <c r="G58" s="241" t="s">
        <v>28</v>
      </c>
      <c r="H58" s="1299" t="s">
        <v>540</v>
      </c>
      <c r="I58" s="1755">
        <v>556.55999999999995</v>
      </c>
      <c r="J58" s="241">
        <v>100</v>
      </c>
      <c r="K58" s="241"/>
      <c r="L58" s="1277">
        <v>100</v>
      </c>
      <c r="M58" s="241"/>
      <c r="N58" s="1278">
        <v>0.5</v>
      </c>
      <c r="O58" s="241"/>
      <c r="P58" s="1278">
        <f t="shared" si="5"/>
        <v>45.11030424464137</v>
      </c>
      <c r="Q58" s="1278">
        <f>J58*22/100</f>
        <v>22</v>
      </c>
      <c r="R58" s="244">
        <v>2.121</v>
      </c>
      <c r="S58" s="244">
        <v>19.411000000000001</v>
      </c>
      <c r="T58" s="1277">
        <v>9</v>
      </c>
      <c r="U58" s="1278">
        <f t="shared" si="12"/>
        <v>4.2432814710042432</v>
      </c>
      <c r="V58" s="1278">
        <f t="shared" si="19"/>
        <v>89.073205914172377</v>
      </c>
      <c r="W58" s="1279">
        <v>0.2</v>
      </c>
      <c r="X58" s="1316">
        <v>100</v>
      </c>
      <c r="Y58" s="1277">
        <f t="shared" si="4"/>
        <v>88.231818181818184</v>
      </c>
      <c r="Z58" s="244">
        <f t="shared" si="20"/>
        <v>2.095548</v>
      </c>
      <c r="AA58" s="244">
        <f t="shared" si="20"/>
        <v>19.178068</v>
      </c>
      <c r="AB58" s="1277">
        <f t="shared" si="20"/>
        <v>8.8919999999999995</v>
      </c>
      <c r="AC58" s="244">
        <f t="shared" si="21"/>
        <v>4.2432814710042432</v>
      </c>
      <c r="AD58" s="1277">
        <f t="shared" si="21"/>
        <v>89.073205914172377</v>
      </c>
      <c r="AE58" s="241">
        <v>15</v>
      </c>
      <c r="AF58" s="244">
        <f t="shared" si="2"/>
        <v>31.433219999999999</v>
      </c>
      <c r="AG58" s="1281" t="s">
        <v>808</v>
      </c>
      <c r="AI58" s="1282">
        <f t="shared" si="3"/>
        <v>45.11030424464137</v>
      </c>
      <c r="AJ58" s="1252">
        <v>0.9254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43</v>
      </c>
      <c r="B59" s="1274" t="s">
        <v>106</v>
      </c>
      <c r="C59" s="241" t="s">
        <v>46</v>
      </c>
      <c r="D59" s="241">
        <v>582.16</v>
      </c>
      <c r="E59" s="241" t="s">
        <v>691</v>
      </c>
      <c r="F59" s="241">
        <v>177.8</v>
      </c>
      <c r="G59" s="241" t="s">
        <v>28</v>
      </c>
      <c r="H59" s="1299" t="s">
        <v>685</v>
      </c>
      <c r="I59" s="1755">
        <v>551.66</v>
      </c>
      <c r="J59" s="241">
        <v>120</v>
      </c>
      <c r="K59" s="241"/>
      <c r="L59" s="1277">
        <v>108</v>
      </c>
      <c r="M59" s="241"/>
      <c r="N59" s="1278">
        <v>1.6</v>
      </c>
      <c r="O59" s="241"/>
      <c r="P59" s="1278">
        <f t="shared" si="5"/>
        <v>44.895286680231337</v>
      </c>
      <c r="Q59" s="1278">
        <f>14*J59/100</f>
        <v>16.8</v>
      </c>
      <c r="R59" s="244">
        <v>1.081</v>
      </c>
      <c r="S59" s="244">
        <v>11.459</v>
      </c>
      <c r="T59" s="1277">
        <v>11</v>
      </c>
      <c r="U59" s="1278">
        <f t="shared" si="12"/>
        <v>10.175763182238668</v>
      </c>
      <c r="V59" s="1278">
        <f t="shared" si="19"/>
        <v>90.566367047735412</v>
      </c>
      <c r="W59" s="1279">
        <v>0.2</v>
      </c>
      <c r="X59" s="1316">
        <v>120</v>
      </c>
      <c r="Y59" s="1277">
        <f t="shared" si="4"/>
        <v>68.208333333333329</v>
      </c>
      <c r="Z59" s="244">
        <f t="shared" si="20"/>
        <v>1.068028</v>
      </c>
      <c r="AA59" s="244">
        <f t="shared" si="20"/>
        <v>11.321491999999999</v>
      </c>
      <c r="AB59" s="1277">
        <f t="shared" si="20"/>
        <v>10.868</v>
      </c>
      <c r="AC59" s="244">
        <f>U59</f>
        <v>10.175763182238668</v>
      </c>
      <c r="AD59" s="1277">
        <f>V59</f>
        <v>90.566367047735412</v>
      </c>
      <c r="AE59" s="241">
        <v>20</v>
      </c>
      <c r="AF59" s="244">
        <f t="shared" si="2"/>
        <v>21.36056</v>
      </c>
      <c r="AG59" s="1281" t="s">
        <v>808</v>
      </c>
      <c r="AI59" s="1282">
        <f t="shared" si="3"/>
        <v>44.895286680231337</v>
      </c>
      <c r="AJ59" s="1252">
        <v>0.89570000000000005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44</v>
      </c>
      <c r="B60" s="1274" t="s">
        <v>105</v>
      </c>
      <c r="C60" s="241" t="s">
        <v>445</v>
      </c>
      <c r="D60" s="241">
        <v>565</v>
      </c>
      <c r="E60" s="241" t="s">
        <v>797</v>
      </c>
      <c r="F60" s="241">
        <v>177.8</v>
      </c>
      <c r="G60" s="241" t="s">
        <v>28</v>
      </c>
      <c r="H60" s="1299" t="s">
        <v>685</v>
      </c>
      <c r="I60" s="1755">
        <v>582.49</v>
      </c>
      <c r="J60" s="241">
        <v>110</v>
      </c>
      <c r="K60" s="241"/>
      <c r="L60" s="1319">
        <v>474</v>
      </c>
      <c r="M60" s="1278"/>
      <c r="N60" s="1278">
        <v>2.6</v>
      </c>
      <c r="O60" s="241"/>
      <c r="P60" s="1278">
        <f t="shared" si="5"/>
        <v>12.396911799451026</v>
      </c>
      <c r="Q60" s="1278">
        <f>14*J60/100</f>
        <v>15.4</v>
      </c>
      <c r="R60" s="244">
        <v>5.1130000000000004</v>
      </c>
      <c r="S60" s="244">
        <v>5.4720000000000004</v>
      </c>
      <c r="T60" s="1277">
        <v>112</v>
      </c>
      <c r="U60" s="1278">
        <f t="shared" si="12"/>
        <v>21.904948171327984</v>
      </c>
      <c r="V60" s="1278">
        <f t="shared" si="19"/>
        <v>6.5606725146198821</v>
      </c>
      <c r="W60" s="1279">
        <v>0.2</v>
      </c>
      <c r="X60" s="1316">
        <v>110</v>
      </c>
      <c r="Y60" s="1277">
        <f t="shared" si="4"/>
        <v>35.532467532467535</v>
      </c>
      <c r="Z60" s="244">
        <f t="shared" si="20"/>
        <v>5.0516440000000005</v>
      </c>
      <c r="AA60" s="244">
        <f t="shared" si="20"/>
        <v>5.4063360000000005</v>
      </c>
      <c r="AB60" s="1277">
        <f t="shared" si="20"/>
        <v>110.65600000000001</v>
      </c>
      <c r="AC60" s="244">
        <f>U60</f>
        <v>21.904948171327984</v>
      </c>
      <c r="AD60" s="1277">
        <f>V60</f>
        <v>6.5606725146198821</v>
      </c>
      <c r="AE60" s="241">
        <f t="shared" ref="AE60:AE75" si="22">(DAY(EOMONTH($AH$15,0))-AH60)</f>
        <v>30</v>
      </c>
      <c r="AF60" s="244">
        <f t="shared" si="2"/>
        <v>151.54932000000002</v>
      </c>
      <c r="AG60" s="1281"/>
      <c r="AI60" s="1282">
        <f t="shared" si="3"/>
        <v>12.396911799451026</v>
      </c>
      <c r="AJ60" s="1252">
        <v>0.8982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45</v>
      </c>
      <c r="B61" s="1274" t="s">
        <v>104</v>
      </c>
      <c r="C61" s="241" t="s">
        <v>580</v>
      </c>
      <c r="D61" s="241">
        <v>705.7</v>
      </c>
      <c r="E61" s="1755" t="s">
        <v>692</v>
      </c>
      <c r="F61" s="241">
        <v>177.8</v>
      </c>
      <c r="G61" s="241" t="s">
        <v>28</v>
      </c>
      <c r="H61" s="1299" t="s">
        <v>683</v>
      </c>
      <c r="I61" s="1755">
        <v>513.6</v>
      </c>
      <c r="J61" s="241">
        <v>110</v>
      </c>
      <c r="K61" s="241"/>
      <c r="L61" s="1277">
        <v>385</v>
      </c>
      <c r="M61" s="241"/>
      <c r="N61" s="1278">
        <v>0.8</v>
      </c>
      <c r="O61" s="241"/>
      <c r="P61" s="1278">
        <f t="shared" si="5"/>
        <v>12.747132065927984</v>
      </c>
      <c r="Q61" s="1278">
        <f>J61*13/100</f>
        <v>14.3</v>
      </c>
      <c r="R61" s="244">
        <v>2.2330000000000001</v>
      </c>
      <c r="S61" s="244">
        <v>3.5369999999999999</v>
      </c>
      <c r="T61" s="1277">
        <v>9</v>
      </c>
      <c r="U61" s="1278">
        <f t="shared" si="12"/>
        <v>4.0304523063143751</v>
      </c>
      <c r="V61" s="1278">
        <f t="shared" si="19"/>
        <v>36.867401752897933</v>
      </c>
      <c r="W61" s="1279">
        <v>0.2</v>
      </c>
      <c r="X61" s="1316">
        <v>110</v>
      </c>
      <c r="Y61" s="1277">
        <f t="shared" si="4"/>
        <v>24.73426573426573</v>
      </c>
      <c r="Z61" s="244">
        <f t="shared" si="20"/>
        <v>2.2062040000000001</v>
      </c>
      <c r="AA61" s="244">
        <f t="shared" si="20"/>
        <v>3.4945559999999998</v>
      </c>
      <c r="AB61" s="1277">
        <f t="shared" si="20"/>
        <v>8.8919999999999995</v>
      </c>
      <c r="AC61" s="244">
        <f t="shared" ref="AC61:AD68" si="23">U61</f>
        <v>4.0304523063143751</v>
      </c>
      <c r="AD61" s="1277">
        <f>V61</f>
        <v>36.867401752897933</v>
      </c>
      <c r="AE61" s="241">
        <f t="shared" si="22"/>
        <v>30</v>
      </c>
      <c r="AF61" s="244">
        <f t="shared" si="2"/>
        <v>66.186120000000003</v>
      </c>
      <c r="AG61" s="1281"/>
      <c r="AI61" s="1282">
        <f t="shared" si="3"/>
        <v>12.747132065927984</v>
      </c>
      <c r="AJ61" s="1252">
        <v>0.89649999999999996</v>
      </c>
      <c r="AK61" s="1252">
        <v>1.018</v>
      </c>
      <c r="AL61" s="1252">
        <v>6.1000000000000004E-3</v>
      </c>
    </row>
    <row r="62" spans="1:38" ht="18.600000000000001" customHeight="1" x14ac:dyDescent="0.25">
      <c r="A62" s="1273">
        <v>46</v>
      </c>
      <c r="B62" s="1317" t="s">
        <v>158</v>
      </c>
      <c r="C62" s="241" t="s">
        <v>46</v>
      </c>
      <c r="D62" s="1755">
        <v>674.45</v>
      </c>
      <c r="E62" s="1755" t="s">
        <v>232</v>
      </c>
      <c r="F62" s="241">
        <v>177.8</v>
      </c>
      <c r="G62" s="241" t="s">
        <v>28</v>
      </c>
      <c r="H62" s="1299" t="s">
        <v>464</v>
      </c>
      <c r="I62" s="1755">
        <v>542.6</v>
      </c>
      <c r="J62" s="1755">
        <v>150</v>
      </c>
      <c r="K62" s="1755"/>
      <c r="L62" s="1319">
        <v>473</v>
      </c>
      <c r="M62" s="1755"/>
      <c r="N62" s="1278">
        <v>2.2000000000000002</v>
      </c>
      <c r="O62" s="1755"/>
      <c r="P62" s="1278">
        <f t="shared" si="5"/>
        <v>8.7538917950840673</v>
      </c>
      <c r="Q62" s="1278">
        <f>RIGHT(H62,(FIND("T",H62,1)-0))*J62/100</f>
        <v>21</v>
      </c>
      <c r="R62" s="244">
        <v>5.1550000000000002</v>
      </c>
      <c r="S62" s="244">
        <v>7.4729999999999999</v>
      </c>
      <c r="T62" s="1319">
        <v>28</v>
      </c>
      <c r="U62" s="1278">
        <f t="shared" si="12"/>
        <v>5.4316197866149363</v>
      </c>
      <c r="V62" s="1278">
        <f t="shared" si="19"/>
        <v>31.01833266425799</v>
      </c>
      <c r="W62" s="1279">
        <v>0.2</v>
      </c>
      <c r="X62" s="1410">
        <v>150</v>
      </c>
      <c r="Y62" s="1277">
        <f t="shared" si="4"/>
        <v>35.585714285714289</v>
      </c>
      <c r="Z62" s="244">
        <f t="shared" si="20"/>
        <v>5.09314</v>
      </c>
      <c r="AA62" s="244">
        <f t="shared" si="20"/>
        <v>7.383324</v>
      </c>
      <c r="AB62" s="1277">
        <f t="shared" si="20"/>
        <v>27.664000000000001</v>
      </c>
      <c r="AC62" s="244">
        <f t="shared" si="23"/>
        <v>5.4316197866149363</v>
      </c>
      <c r="AD62" s="1277">
        <f t="shared" si="23"/>
        <v>31.01833266425799</v>
      </c>
      <c r="AE62" s="241">
        <f t="shared" si="22"/>
        <v>30</v>
      </c>
      <c r="AF62" s="244">
        <f>Z62*AE62</f>
        <v>152.79419999999999</v>
      </c>
      <c r="AG62" s="1342"/>
      <c r="AI62" s="1282">
        <f t="shared" si="3"/>
        <v>8.7538917950840673</v>
      </c>
      <c r="AJ62" s="1252">
        <v>0.8921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47</v>
      </c>
      <c r="B63" s="1274" t="s">
        <v>164</v>
      </c>
      <c r="C63" s="241" t="s">
        <v>46</v>
      </c>
      <c r="D63" s="1755">
        <v>678.47</v>
      </c>
      <c r="E63" s="1755" t="s">
        <v>606</v>
      </c>
      <c r="F63" s="241">
        <v>177.8</v>
      </c>
      <c r="G63" s="241" t="s">
        <v>28</v>
      </c>
      <c r="H63" s="241" t="s">
        <v>687</v>
      </c>
      <c r="I63" s="1755">
        <v>576.29999999999995</v>
      </c>
      <c r="J63" s="1373">
        <v>85</v>
      </c>
      <c r="K63" s="1755"/>
      <c r="L63" s="1319">
        <v>125</v>
      </c>
      <c r="M63" s="1755"/>
      <c r="N63" s="1278">
        <v>0.1</v>
      </c>
      <c r="O63" s="1755"/>
      <c r="P63" s="1278">
        <f t="shared" si="5"/>
        <v>43.731374257119434</v>
      </c>
      <c r="Q63" s="1278">
        <f>RIGHT(H63,(FIND("T",H63,1)-0))*J63/100</f>
        <v>17</v>
      </c>
      <c r="R63" s="244">
        <v>3.6629999999999998</v>
      </c>
      <c r="S63" s="244">
        <v>17.591999999999999</v>
      </c>
      <c r="T63" s="1277">
        <v>30</v>
      </c>
      <c r="U63" s="1278">
        <f t="shared" si="12"/>
        <v>8.1900081900081911</v>
      </c>
      <c r="V63" s="1278">
        <f t="shared" si="19"/>
        <v>79.17803547066849</v>
      </c>
      <c r="W63" s="1279">
        <v>0.2</v>
      </c>
      <c r="X63" s="1452">
        <v>85</v>
      </c>
      <c r="Y63" s="1277">
        <f t="shared" si="4"/>
        <v>103.48235294117647</v>
      </c>
      <c r="Z63" s="244">
        <f t="shared" si="20"/>
        <v>3.6190439999999997</v>
      </c>
      <c r="AA63" s="244">
        <f t="shared" si="20"/>
        <v>17.380896</v>
      </c>
      <c r="AB63" s="1277">
        <f t="shared" si="20"/>
        <v>29.64</v>
      </c>
      <c r="AC63" s="244">
        <f t="shared" si="23"/>
        <v>8.1900081900081911</v>
      </c>
      <c r="AD63" s="1277">
        <f t="shared" si="23"/>
        <v>79.17803547066849</v>
      </c>
      <c r="AE63" s="241">
        <f t="shared" si="22"/>
        <v>30</v>
      </c>
      <c r="AF63" s="244">
        <f t="shared" ref="AF63:AF73" si="24">Z63*AE63</f>
        <v>108.57131999999999</v>
      </c>
      <c r="AG63" s="1281"/>
      <c r="AI63" s="1282">
        <f t="shared" si="3"/>
        <v>43.731374257119434</v>
      </c>
      <c r="AJ63" s="1252">
        <v>0.91659999999999997</v>
      </c>
      <c r="AK63" s="1252">
        <v>1.018</v>
      </c>
      <c r="AL63" s="1252">
        <v>6.1000000000000004E-3</v>
      </c>
    </row>
    <row r="64" spans="1:38" ht="18.75" customHeight="1" x14ac:dyDescent="0.2">
      <c r="A64" s="1273">
        <v>48</v>
      </c>
      <c r="B64" s="1274" t="s">
        <v>61</v>
      </c>
      <c r="C64" s="241" t="s">
        <v>46</v>
      </c>
      <c r="D64" s="241">
        <v>667.18</v>
      </c>
      <c r="E64" s="241" t="s">
        <v>96</v>
      </c>
      <c r="F64" s="241">
        <v>177.8</v>
      </c>
      <c r="G64" s="241" t="s">
        <v>28</v>
      </c>
      <c r="H64" s="1299" t="s">
        <v>693</v>
      </c>
      <c r="I64" s="1755">
        <v>541.12</v>
      </c>
      <c r="J64" s="241">
        <v>185</v>
      </c>
      <c r="K64" s="241"/>
      <c r="L64" s="1277">
        <v>444</v>
      </c>
      <c r="M64" s="241"/>
      <c r="N64" s="1278">
        <v>3.3</v>
      </c>
      <c r="O64" s="241"/>
      <c r="P64" s="1278">
        <f t="shared" si="5"/>
        <v>12.75400914223459</v>
      </c>
      <c r="Q64" s="1278">
        <f>20*J64/100</f>
        <v>37</v>
      </c>
      <c r="R64" s="244">
        <v>5.5830000000000002</v>
      </c>
      <c r="S64" s="244">
        <v>17.239000000000001</v>
      </c>
      <c r="T64" s="1277">
        <v>40</v>
      </c>
      <c r="U64" s="1278">
        <f t="shared" si="12"/>
        <v>7.1646068421995341</v>
      </c>
      <c r="V64" s="1278">
        <f t="shared" si="19"/>
        <v>67.614130750043515</v>
      </c>
      <c r="W64" s="1279">
        <v>0.2</v>
      </c>
      <c r="X64" s="1316">
        <v>185</v>
      </c>
      <c r="Y64" s="1277">
        <f t="shared" si="4"/>
        <v>46.591891891891898</v>
      </c>
      <c r="Z64" s="244">
        <f t="shared" si="20"/>
        <v>5.5160039999999997</v>
      </c>
      <c r="AA64" s="244">
        <f t="shared" si="20"/>
        <v>17.032132000000001</v>
      </c>
      <c r="AB64" s="1277">
        <f t="shared" si="20"/>
        <v>39.519999999999996</v>
      </c>
      <c r="AC64" s="244">
        <f t="shared" si="23"/>
        <v>7.1646068421995341</v>
      </c>
      <c r="AD64" s="1277">
        <f t="shared" si="23"/>
        <v>67.614130750043515</v>
      </c>
      <c r="AE64" s="241">
        <f t="shared" si="22"/>
        <v>30</v>
      </c>
      <c r="AF64" s="244">
        <f t="shared" si="24"/>
        <v>165.48012</v>
      </c>
      <c r="AG64" s="1285"/>
      <c r="AI64" s="1282">
        <f t="shared" si="3"/>
        <v>12.75400914223459</v>
      </c>
      <c r="AJ64" s="1252">
        <v>0.8931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49</v>
      </c>
      <c r="B65" s="1274" t="s">
        <v>64</v>
      </c>
      <c r="C65" s="241" t="s">
        <v>46</v>
      </c>
      <c r="D65" s="241">
        <v>674.52</v>
      </c>
      <c r="E65" s="241" t="s">
        <v>444</v>
      </c>
      <c r="F65" s="241">
        <v>177.8</v>
      </c>
      <c r="G65" s="241" t="s">
        <v>28</v>
      </c>
      <c r="H65" s="1299" t="s">
        <v>464</v>
      </c>
      <c r="I65" s="1755">
        <v>521.42999999999995</v>
      </c>
      <c r="J65" s="241">
        <v>300</v>
      </c>
      <c r="K65" s="241"/>
      <c r="L65" s="1277">
        <v>459</v>
      </c>
      <c r="M65" s="241"/>
      <c r="N65" s="1278">
        <v>4.7</v>
      </c>
      <c r="O65" s="241"/>
      <c r="P65" s="1278">
        <f t="shared" si="5"/>
        <v>10.624123738312349</v>
      </c>
      <c r="Q65" s="1278">
        <f>J65*14/100</f>
        <v>42</v>
      </c>
      <c r="R65" s="244">
        <v>7.9279999999999999</v>
      </c>
      <c r="S65" s="244">
        <v>13.349</v>
      </c>
      <c r="T65" s="1277">
        <v>315</v>
      </c>
      <c r="U65" s="1278">
        <f t="shared" si="12"/>
        <v>39.732593340060546</v>
      </c>
      <c r="V65" s="1278">
        <f t="shared" si="19"/>
        <v>40.609783504382349</v>
      </c>
      <c r="W65" s="1279">
        <v>0.2</v>
      </c>
      <c r="X65" s="1316">
        <v>300</v>
      </c>
      <c r="Y65" s="1277">
        <f t="shared" si="4"/>
        <v>31.783333333333335</v>
      </c>
      <c r="Z65" s="244">
        <f t="shared" si="20"/>
        <v>7.8328639999999998</v>
      </c>
      <c r="AA65" s="244">
        <f t="shared" si="20"/>
        <v>13.188812</v>
      </c>
      <c r="AB65" s="1277">
        <f t="shared" si="20"/>
        <v>311.21999999999997</v>
      </c>
      <c r="AC65" s="244">
        <f t="shared" si="23"/>
        <v>39.732593340060546</v>
      </c>
      <c r="AD65" s="1277">
        <f t="shared" si="23"/>
        <v>40.609783504382349</v>
      </c>
      <c r="AE65" s="241">
        <v>20</v>
      </c>
      <c r="AF65" s="244">
        <f t="shared" si="24"/>
        <v>156.65727999999999</v>
      </c>
      <c r="AG65" s="1281"/>
      <c r="AI65" s="1282">
        <f t="shared" si="3"/>
        <v>10.624123738312349</v>
      </c>
      <c r="AJ65" s="1252">
        <v>0.87870000000000004</v>
      </c>
      <c r="AK65" s="1252">
        <v>1.018</v>
      </c>
      <c r="AL65" s="1252">
        <v>6.1000000000000004E-3</v>
      </c>
    </row>
    <row r="66" spans="1:38" ht="29.25" customHeight="1" x14ac:dyDescent="0.2">
      <c r="A66" s="1273">
        <v>50</v>
      </c>
      <c r="B66" s="1274" t="s">
        <v>156</v>
      </c>
      <c r="C66" s="241" t="s">
        <v>408</v>
      </c>
      <c r="D66" s="241">
        <v>679.54</v>
      </c>
      <c r="E66" s="1755" t="s">
        <v>607</v>
      </c>
      <c r="F66" s="241">
        <v>177.8</v>
      </c>
      <c r="G66" s="241" t="s">
        <v>28</v>
      </c>
      <c r="H66" s="241" t="s">
        <v>464</v>
      </c>
      <c r="I66" s="1755">
        <v>512.28</v>
      </c>
      <c r="J66" s="241">
        <v>195</v>
      </c>
      <c r="K66" s="241"/>
      <c r="L66" s="1277">
        <v>414</v>
      </c>
      <c r="M66" s="241"/>
      <c r="N66" s="1278">
        <v>2.4</v>
      </c>
      <c r="O66" s="241"/>
      <c r="P66" s="1278">
        <f t="shared" si="5"/>
        <v>11.843011929743069</v>
      </c>
      <c r="Q66" s="1278">
        <f>J66*14/100</f>
        <v>27.3</v>
      </c>
      <c r="R66" s="244">
        <v>5.3529999999999998</v>
      </c>
      <c r="S66" s="244">
        <v>11.356999999999999</v>
      </c>
      <c r="T66" s="1277">
        <v>9</v>
      </c>
      <c r="U66" s="1278">
        <f t="shared" si="12"/>
        <v>1.6813002054922475</v>
      </c>
      <c r="V66" s="1278">
        <f t="shared" si="19"/>
        <v>52.866073787091658</v>
      </c>
      <c r="W66" s="1279">
        <v>0.2</v>
      </c>
      <c r="X66" s="1316">
        <v>195</v>
      </c>
      <c r="Y66" s="1277">
        <f t="shared" si="4"/>
        <v>41.600732600732599</v>
      </c>
      <c r="Z66" s="244">
        <f t="shared" si="20"/>
        <v>5.2887639999999996</v>
      </c>
      <c r="AA66" s="244">
        <f t="shared" si="20"/>
        <v>11.220715999999999</v>
      </c>
      <c r="AB66" s="1277">
        <f t="shared" si="20"/>
        <v>8.8919999999999995</v>
      </c>
      <c r="AC66" s="244">
        <f t="shared" si="23"/>
        <v>1.6813002054922475</v>
      </c>
      <c r="AD66" s="1277">
        <f t="shared" si="23"/>
        <v>52.866073787091658</v>
      </c>
      <c r="AE66" s="241">
        <f t="shared" si="22"/>
        <v>30</v>
      </c>
      <c r="AF66" s="244">
        <f t="shared" si="24"/>
        <v>158.66291999999999</v>
      </c>
      <c r="AG66" s="1285"/>
      <c r="AI66" s="1282">
        <f t="shared" si="3"/>
        <v>11.843011929743069</v>
      </c>
      <c r="AJ66" s="1252">
        <v>0.90920000000000001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51</v>
      </c>
      <c r="B67" s="1274" t="s">
        <v>169</v>
      </c>
      <c r="C67" s="241" t="s">
        <v>46</v>
      </c>
      <c r="D67" s="241">
        <v>578.64</v>
      </c>
      <c r="E67" s="241" t="s">
        <v>694</v>
      </c>
      <c r="F67" s="241">
        <v>177.8</v>
      </c>
      <c r="G67" s="241" t="s">
        <v>28</v>
      </c>
      <c r="H67" s="241" t="s">
        <v>466</v>
      </c>
      <c r="I67" s="1755">
        <v>539.28</v>
      </c>
      <c r="J67" s="241">
        <v>110</v>
      </c>
      <c r="K67" s="241"/>
      <c r="L67" s="1277">
        <v>253</v>
      </c>
      <c r="M67" s="241"/>
      <c r="N67" s="1278">
        <v>4.0999999999999996</v>
      </c>
      <c r="O67" s="241"/>
      <c r="P67" s="1278">
        <f t="shared" si="5"/>
        <v>32.020423380384607</v>
      </c>
      <c r="Q67" s="1278">
        <f>J67*13/100</f>
        <v>14.3</v>
      </c>
      <c r="R67" s="244">
        <v>0.745</v>
      </c>
      <c r="S67" s="244">
        <v>5.14</v>
      </c>
      <c r="T67" s="1277">
        <v>8.5500000000000007</v>
      </c>
      <c r="U67" s="1278">
        <f t="shared" si="12"/>
        <v>11.476510067114095</v>
      </c>
      <c r="V67" s="1278">
        <f t="shared" si="19"/>
        <v>85.505836575875477</v>
      </c>
      <c r="W67" s="1279">
        <v>0.2</v>
      </c>
      <c r="X67" s="1316">
        <v>110</v>
      </c>
      <c r="Y67" s="1277">
        <f t="shared" si="4"/>
        <v>35.94405594405594</v>
      </c>
      <c r="Z67" s="244">
        <f t="shared" si="20"/>
        <v>0.73605999999999994</v>
      </c>
      <c r="AA67" s="244">
        <f t="shared" si="20"/>
        <v>5.0783199999999997</v>
      </c>
      <c r="AB67" s="1277">
        <f t="shared" si="20"/>
        <v>8.4474</v>
      </c>
      <c r="AC67" s="244">
        <f t="shared" si="23"/>
        <v>11.476510067114095</v>
      </c>
      <c r="AD67" s="1277">
        <f t="shared" si="23"/>
        <v>85.505836575875477</v>
      </c>
      <c r="AE67" s="241">
        <f t="shared" si="22"/>
        <v>30</v>
      </c>
      <c r="AF67" s="244">
        <f>Z67*AE67</f>
        <v>22.081799999999998</v>
      </c>
      <c r="AG67" s="1281"/>
      <c r="AI67" s="1282">
        <f t="shared" si="3"/>
        <v>32.020423380384607</v>
      </c>
      <c r="AJ67" s="1252">
        <v>0.9073</v>
      </c>
      <c r="AK67" s="1252">
        <v>1.018</v>
      </c>
      <c r="AL67" s="1252">
        <v>6.1000000000000004E-3</v>
      </c>
    </row>
    <row r="68" spans="1:38" ht="19.5" customHeight="1" x14ac:dyDescent="0.2">
      <c r="A68" s="1273">
        <v>52</v>
      </c>
      <c r="B68" s="1274" t="s">
        <v>62</v>
      </c>
      <c r="C68" s="241" t="s">
        <v>46</v>
      </c>
      <c r="D68" s="241">
        <v>673.73</v>
      </c>
      <c r="E68" s="241" t="s">
        <v>97</v>
      </c>
      <c r="F68" s="241">
        <v>177.8</v>
      </c>
      <c r="G68" s="241" t="s">
        <v>28</v>
      </c>
      <c r="H68" s="1299" t="s">
        <v>565</v>
      </c>
      <c r="I68" s="1755">
        <v>541.46</v>
      </c>
      <c r="J68" s="241">
        <v>100</v>
      </c>
      <c r="K68" s="241"/>
      <c r="L68" s="1277">
        <v>257</v>
      </c>
      <c r="M68" s="241"/>
      <c r="N68" s="1278">
        <v>5.2</v>
      </c>
      <c r="O68" s="241"/>
      <c r="P68" s="1278">
        <f t="shared" si="5"/>
        <v>32.843834560764556</v>
      </c>
      <c r="Q68" s="1278">
        <f>(32/100)*J68</f>
        <v>32</v>
      </c>
      <c r="R68" s="244">
        <v>4.5220000000000002</v>
      </c>
      <c r="S68" s="244">
        <v>26.908000000000001</v>
      </c>
      <c r="T68" s="1277">
        <v>5</v>
      </c>
      <c r="U68" s="1278">
        <f t="shared" si="12"/>
        <v>1.1057054400707651</v>
      </c>
      <c r="V68" s="1278">
        <f t="shared" si="19"/>
        <v>83.194588969823101</v>
      </c>
      <c r="W68" s="1279">
        <v>0.2</v>
      </c>
      <c r="X68" s="1316">
        <v>100</v>
      </c>
      <c r="Y68" s="1277">
        <f t="shared" si="4"/>
        <v>84.087500000000006</v>
      </c>
      <c r="Z68" s="244">
        <f t="shared" si="20"/>
        <v>4.4677360000000004</v>
      </c>
      <c r="AA68" s="244">
        <f t="shared" si="20"/>
        <v>26.585104000000001</v>
      </c>
      <c r="AB68" s="1277">
        <f t="shared" si="20"/>
        <v>4.9399999999999995</v>
      </c>
      <c r="AC68" s="244">
        <f>U68</f>
        <v>1.1057054400707651</v>
      </c>
      <c r="AD68" s="1277">
        <f t="shared" si="23"/>
        <v>83.194588969823101</v>
      </c>
      <c r="AE68" s="241">
        <f t="shared" si="22"/>
        <v>30</v>
      </c>
      <c r="AF68" s="244">
        <f t="shared" si="24"/>
        <v>134.03208000000001</v>
      </c>
      <c r="AG68" s="1285"/>
      <c r="AI68" s="1282">
        <f t="shared" si="3"/>
        <v>32.843834560764556</v>
      </c>
      <c r="AJ68" s="1252">
        <v>0.90039999999999998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53</v>
      </c>
      <c r="B69" s="1274" t="s">
        <v>157</v>
      </c>
      <c r="C69" s="241" t="s">
        <v>46</v>
      </c>
      <c r="D69" s="241">
        <v>602</v>
      </c>
      <c r="E69" s="241" t="s">
        <v>608</v>
      </c>
      <c r="F69" s="241">
        <v>177.8</v>
      </c>
      <c r="G69" s="241" t="s">
        <v>28</v>
      </c>
      <c r="H69" s="241" t="s">
        <v>695</v>
      </c>
      <c r="I69" s="1755">
        <v>541.84</v>
      </c>
      <c r="J69" s="1448">
        <v>0</v>
      </c>
      <c r="K69" s="241"/>
      <c r="L69" s="1277">
        <v>0</v>
      </c>
      <c r="M69" s="1278"/>
      <c r="N69" s="1278">
        <v>0</v>
      </c>
      <c r="O69" s="241"/>
      <c r="P69" s="1278" t="e">
        <f t="shared" si="5"/>
        <v>#DIV/0!</v>
      </c>
      <c r="Q69" s="1278">
        <f>(32/100)*J69</f>
        <v>0</v>
      </c>
      <c r="R69" s="244">
        <v>0</v>
      </c>
      <c r="S69" s="244">
        <v>0</v>
      </c>
      <c r="T69" s="1277">
        <v>0</v>
      </c>
      <c r="U69" s="1278">
        <f t="shared" si="12"/>
        <v>0</v>
      </c>
      <c r="V69" s="1278" t="e">
        <f t="shared" si="19"/>
        <v>#DIV/0!</v>
      </c>
      <c r="W69" s="1279">
        <v>0</v>
      </c>
      <c r="X69" s="1449">
        <v>0</v>
      </c>
      <c r="Y69" s="1277">
        <f t="shared" si="4"/>
        <v>0</v>
      </c>
      <c r="Z69" s="244">
        <f t="shared" si="20"/>
        <v>0</v>
      </c>
      <c r="AA69" s="244">
        <f t="shared" si="20"/>
        <v>0</v>
      </c>
      <c r="AB69" s="1277">
        <f t="shared" si="20"/>
        <v>0</v>
      </c>
      <c r="AC69" s="244">
        <f>U69</f>
        <v>0</v>
      </c>
      <c r="AD69" s="1277" t="e">
        <f>V69</f>
        <v>#DIV/0!</v>
      </c>
      <c r="AE69" s="241">
        <v>0</v>
      </c>
      <c r="AF69" s="244">
        <f t="shared" si="24"/>
        <v>0</v>
      </c>
      <c r="AG69" s="1281" t="s">
        <v>769</v>
      </c>
      <c r="AI69" s="1282" t="e">
        <f t="shared" si="3"/>
        <v>#DIV/0!</v>
      </c>
      <c r="AJ69" s="1252">
        <v>0.90700000000000003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54</v>
      </c>
      <c r="B70" s="1274" t="s">
        <v>159</v>
      </c>
      <c r="C70" s="241" t="s">
        <v>46</v>
      </c>
      <c r="D70" s="241">
        <v>676.1</v>
      </c>
      <c r="E70" s="241" t="s">
        <v>167</v>
      </c>
      <c r="F70" s="241">
        <v>177.8</v>
      </c>
      <c r="G70" s="241" t="s">
        <v>28</v>
      </c>
      <c r="H70" s="1299" t="s">
        <v>565</v>
      </c>
      <c r="I70" s="1755">
        <v>512.47</v>
      </c>
      <c r="J70" s="1277">
        <v>255</v>
      </c>
      <c r="K70" s="241"/>
      <c r="L70" s="1277">
        <v>461</v>
      </c>
      <c r="M70" s="241"/>
      <c r="N70" s="1278">
        <v>4.4000000000000004</v>
      </c>
      <c r="O70" s="241"/>
      <c r="P70" s="1278">
        <f t="shared" si="5"/>
        <v>9.1604389585410484</v>
      </c>
      <c r="Q70" s="1278">
        <f>(32*J70)/100</f>
        <v>81.599999999999994</v>
      </c>
      <c r="R70" s="244">
        <v>13.510999999999999</v>
      </c>
      <c r="S70" s="244">
        <v>16.927</v>
      </c>
      <c r="T70" s="1277">
        <v>425</v>
      </c>
      <c r="U70" s="1278">
        <f t="shared" si="12"/>
        <v>31.455850788246615</v>
      </c>
      <c r="V70" s="1278">
        <f t="shared" si="19"/>
        <v>20.18077627459089</v>
      </c>
      <c r="W70" s="1279">
        <v>0.2</v>
      </c>
      <c r="X70" s="1454">
        <v>255</v>
      </c>
      <c r="Y70" s="1277">
        <f t="shared" si="4"/>
        <v>20.74387254901961</v>
      </c>
      <c r="Z70" s="244">
        <f t="shared" si="20"/>
        <v>13.348868</v>
      </c>
      <c r="AA70" s="244">
        <f t="shared" si="20"/>
        <v>16.723876000000001</v>
      </c>
      <c r="AB70" s="1277">
        <f t="shared" si="20"/>
        <v>419.9</v>
      </c>
      <c r="AC70" s="244">
        <f>U70</f>
        <v>31.455850788246615</v>
      </c>
      <c r="AD70" s="1277">
        <f>V70</f>
        <v>20.18077627459089</v>
      </c>
      <c r="AE70" s="241">
        <f t="shared" si="22"/>
        <v>30</v>
      </c>
      <c r="AF70" s="244">
        <f t="shared" si="24"/>
        <v>400.46603999999996</v>
      </c>
      <c r="AG70" s="1281"/>
      <c r="AI70" s="1282">
        <f t="shared" si="3"/>
        <v>9.1604389585410484</v>
      </c>
      <c r="AJ70" s="1252">
        <v>0.871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55</v>
      </c>
      <c r="B71" s="1274" t="s">
        <v>330</v>
      </c>
      <c r="C71" s="241" t="s">
        <v>46</v>
      </c>
      <c r="D71" s="241">
        <v>594.58000000000004</v>
      </c>
      <c r="E71" s="241" t="s">
        <v>758</v>
      </c>
      <c r="F71" s="241">
        <v>178.8</v>
      </c>
      <c r="G71" s="241" t="s">
        <v>28</v>
      </c>
      <c r="H71" s="1299" t="s">
        <v>565</v>
      </c>
      <c r="I71" s="1755">
        <v>507.46</v>
      </c>
      <c r="J71" s="1448">
        <v>135</v>
      </c>
      <c r="K71" s="241"/>
      <c r="L71" s="1277">
        <v>444</v>
      </c>
      <c r="M71" s="241"/>
      <c r="N71" s="1278">
        <v>7</v>
      </c>
      <c r="O71" s="241"/>
      <c r="P71" s="1278">
        <f t="shared" si="5"/>
        <v>12.766643983623069</v>
      </c>
      <c r="Q71" s="1278">
        <f>J71*32/100</f>
        <v>43.2</v>
      </c>
      <c r="R71" s="244">
        <v>12.228</v>
      </c>
      <c r="S71" s="244">
        <v>14.281000000000001</v>
      </c>
      <c r="T71" s="1277">
        <v>111</v>
      </c>
      <c r="U71" s="1278">
        <f t="shared" si="12"/>
        <v>9.0775269872423952</v>
      </c>
      <c r="V71" s="1278">
        <f t="shared" si="19"/>
        <v>14.375743995518524</v>
      </c>
      <c r="W71" s="1279">
        <v>0.2</v>
      </c>
      <c r="X71" s="1449">
        <v>135</v>
      </c>
      <c r="Y71" s="1277">
        <f t="shared" si="4"/>
        <v>33.057870370370367</v>
      </c>
      <c r="Z71" s="244">
        <f t="shared" ref="Z71:AB76" si="25">R71*0.988</f>
        <v>12.081263999999999</v>
      </c>
      <c r="AA71" s="244">
        <f t="shared" si="25"/>
        <v>14.109628000000001</v>
      </c>
      <c r="AB71" s="1277">
        <f t="shared" si="25"/>
        <v>109.66799999999999</v>
      </c>
      <c r="AC71" s="244">
        <v>20</v>
      </c>
      <c r="AD71" s="1277">
        <v>17</v>
      </c>
      <c r="AE71" s="241">
        <f t="shared" si="22"/>
        <v>30</v>
      </c>
      <c r="AF71" s="244">
        <f t="shared" si="24"/>
        <v>362.43791999999996</v>
      </c>
      <c r="AG71" s="1281"/>
      <c r="AI71" s="1282">
        <f t="shared" si="3"/>
        <v>12.766643983623069</v>
      </c>
      <c r="AJ71" s="1252">
        <v>0.87539999999999996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56</v>
      </c>
      <c r="B72" s="1274" t="s">
        <v>210</v>
      </c>
      <c r="C72" s="241" t="s">
        <v>46</v>
      </c>
      <c r="D72" s="241">
        <v>728.8</v>
      </c>
      <c r="E72" s="241" t="s">
        <v>610</v>
      </c>
      <c r="F72" s="241">
        <v>177.8</v>
      </c>
      <c r="G72" s="241" t="s">
        <v>28</v>
      </c>
      <c r="H72" s="1299" t="s">
        <v>540</v>
      </c>
      <c r="I72" s="1755">
        <v>549.1</v>
      </c>
      <c r="J72" s="1448">
        <v>205</v>
      </c>
      <c r="K72" s="241"/>
      <c r="L72" s="1277">
        <v>426</v>
      </c>
      <c r="M72" s="241"/>
      <c r="N72" s="1278">
        <v>7.9</v>
      </c>
      <c r="O72" s="241"/>
      <c r="P72" s="1278">
        <f t="shared" si="5"/>
        <v>19.627468246996813</v>
      </c>
      <c r="Q72" s="1278">
        <f>LEFT(H72,(FIND("E",H72,1)-1))*J72/100</f>
        <v>45.1</v>
      </c>
      <c r="R72" s="244">
        <v>11.246</v>
      </c>
      <c r="S72" s="244">
        <v>26.67</v>
      </c>
      <c r="T72" s="1277">
        <v>450</v>
      </c>
      <c r="U72" s="1278">
        <f t="shared" si="12"/>
        <v>40.014227280810957</v>
      </c>
      <c r="V72" s="1278">
        <f t="shared" si="19"/>
        <v>57.832770903637041</v>
      </c>
      <c r="W72" s="1279">
        <v>0.2</v>
      </c>
      <c r="X72" s="1449">
        <v>205</v>
      </c>
      <c r="Y72" s="1277">
        <f t="shared" si="4"/>
        <v>59.13525498891353</v>
      </c>
      <c r="Z72" s="244">
        <f t="shared" si="25"/>
        <v>11.111048</v>
      </c>
      <c r="AA72" s="244">
        <f t="shared" si="25"/>
        <v>26.349960000000003</v>
      </c>
      <c r="AB72" s="1277">
        <f t="shared" si="25"/>
        <v>444.6</v>
      </c>
      <c r="AC72" s="244">
        <f>U72</f>
        <v>40.014227280810957</v>
      </c>
      <c r="AD72" s="1277">
        <f>V72</f>
        <v>57.832770903637041</v>
      </c>
      <c r="AE72" s="241">
        <f t="shared" si="22"/>
        <v>30</v>
      </c>
      <c r="AF72" s="244">
        <f t="shared" si="24"/>
        <v>333.33143999999999</v>
      </c>
      <c r="AG72" s="1285"/>
      <c r="AI72" s="1282">
        <f t="shared" si="3"/>
        <v>19.627468246996813</v>
      </c>
      <c r="AJ72" s="1252">
        <v>0.88729999999999998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57</v>
      </c>
      <c r="B73" s="1274" t="s">
        <v>63</v>
      </c>
      <c r="C73" s="241" t="s">
        <v>46</v>
      </c>
      <c r="D73" s="241">
        <v>672.99</v>
      </c>
      <c r="E73" s="241" t="s">
        <v>98</v>
      </c>
      <c r="F73" s="241">
        <v>177.8</v>
      </c>
      <c r="G73" s="241" t="s">
        <v>28</v>
      </c>
      <c r="H73" s="241" t="s">
        <v>686</v>
      </c>
      <c r="I73" s="1755">
        <v>542.46</v>
      </c>
      <c r="J73" s="1448">
        <v>140</v>
      </c>
      <c r="K73" s="241"/>
      <c r="L73" s="1277">
        <v>368</v>
      </c>
      <c r="M73" s="241"/>
      <c r="N73" s="1278">
        <v>7.3</v>
      </c>
      <c r="O73" s="241"/>
      <c r="P73" s="1278">
        <f t="shared" si="5"/>
        <v>23.767468511580372</v>
      </c>
      <c r="Q73" s="1278">
        <f>(20/100)*J73</f>
        <v>28</v>
      </c>
      <c r="R73" s="244">
        <v>7.8890000000000002</v>
      </c>
      <c r="S73" s="244">
        <v>17.393000000000001</v>
      </c>
      <c r="T73" s="1277">
        <v>100.6</v>
      </c>
      <c r="U73" s="1278">
        <f t="shared" si="12"/>
        <v>12.75193307136519</v>
      </c>
      <c r="V73" s="1278">
        <f t="shared" si="19"/>
        <v>54.642672339446904</v>
      </c>
      <c r="W73" s="1279">
        <v>0.2</v>
      </c>
      <c r="X73" s="1449">
        <v>140</v>
      </c>
      <c r="Y73" s="1277">
        <f t="shared" si="4"/>
        <v>62.117857142857147</v>
      </c>
      <c r="Z73" s="244">
        <f t="shared" si="25"/>
        <v>7.7943319999999998</v>
      </c>
      <c r="AA73" s="244">
        <f t="shared" si="25"/>
        <v>17.184284000000002</v>
      </c>
      <c r="AB73" s="1277">
        <f t="shared" si="25"/>
        <v>99.392799999999994</v>
      </c>
      <c r="AC73" s="244">
        <f>U73</f>
        <v>12.75193307136519</v>
      </c>
      <c r="AD73" s="1277">
        <f>V73</f>
        <v>54.642672339446904</v>
      </c>
      <c r="AE73" s="241">
        <f t="shared" si="22"/>
        <v>30</v>
      </c>
      <c r="AF73" s="244">
        <f t="shared" si="24"/>
        <v>233.82996</v>
      </c>
      <c r="AG73" s="1285"/>
      <c r="AI73" s="1282">
        <f t="shared" si="3"/>
        <v>23.767468511580372</v>
      </c>
      <c r="AJ73" s="1252">
        <v>0.89470000000000005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58</v>
      </c>
      <c r="B74" s="1274" t="s">
        <v>217</v>
      </c>
      <c r="C74" s="241" t="s">
        <v>408</v>
      </c>
      <c r="D74" s="241">
        <v>587.72</v>
      </c>
      <c r="E74" s="241" t="s">
        <v>611</v>
      </c>
      <c r="F74" s="241">
        <v>177.8</v>
      </c>
      <c r="G74" s="241" t="s">
        <v>28</v>
      </c>
      <c r="H74" s="1299" t="s">
        <v>466</v>
      </c>
      <c r="I74" s="1755">
        <v>555.54999999999995</v>
      </c>
      <c r="J74" s="1448">
        <v>0</v>
      </c>
      <c r="K74" s="241">
        <v>51</v>
      </c>
      <c r="L74" s="1277"/>
      <c r="M74" s="241">
        <v>4.8</v>
      </c>
      <c r="N74" s="1278"/>
      <c r="O74" s="241"/>
      <c r="P74" s="1278">
        <f t="shared" si="5"/>
        <v>47.870234344929671</v>
      </c>
      <c r="Q74" s="1278"/>
      <c r="R74" s="244"/>
      <c r="S74" s="244"/>
      <c r="T74" s="1277"/>
      <c r="U74" s="1278"/>
      <c r="V74" s="1278"/>
      <c r="W74" s="1279"/>
      <c r="X74" s="1449">
        <v>0</v>
      </c>
      <c r="Y74" s="1277">
        <f t="shared" si="4"/>
        <v>0</v>
      </c>
      <c r="Z74" s="244"/>
      <c r="AA74" s="244"/>
      <c r="AB74" s="1277"/>
      <c r="AC74" s="244"/>
      <c r="AD74" s="1277"/>
      <c r="AE74" s="241"/>
      <c r="AF74" s="244"/>
      <c r="AG74" s="1281" t="s">
        <v>682</v>
      </c>
      <c r="AI74" s="1282">
        <f t="shared" si="3"/>
        <v>47.870234344929671</v>
      </c>
      <c r="AJ74" s="1252">
        <v>0.89</v>
      </c>
      <c r="AK74" s="1252">
        <v>1.018</v>
      </c>
      <c r="AL74" s="1252">
        <v>6.1000000000000004E-3</v>
      </c>
    </row>
    <row r="75" spans="1:38" ht="20.25" customHeight="1" x14ac:dyDescent="0.2">
      <c r="A75" s="1273">
        <v>59</v>
      </c>
      <c r="B75" s="1274" t="s">
        <v>211</v>
      </c>
      <c r="C75" s="241" t="s">
        <v>46</v>
      </c>
      <c r="D75" s="241">
        <v>684.03</v>
      </c>
      <c r="E75" s="241" t="s">
        <v>794</v>
      </c>
      <c r="F75" s="241">
        <v>177.8</v>
      </c>
      <c r="G75" s="241" t="s">
        <v>28</v>
      </c>
      <c r="H75" s="1299" t="s">
        <v>687</v>
      </c>
      <c r="I75" s="1755">
        <v>560.02</v>
      </c>
      <c r="J75" s="1448">
        <v>200</v>
      </c>
      <c r="K75" s="241"/>
      <c r="L75" s="1277">
        <v>188</v>
      </c>
      <c r="M75" s="241"/>
      <c r="N75" s="1278">
        <v>0.3</v>
      </c>
      <c r="O75" s="241"/>
      <c r="P75" s="1278">
        <f t="shared" si="5"/>
        <v>36.207738282818447</v>
      </c>
      <c r="Q75" s="1278">
        <f>(20*J75)/100</f>
        <v>40</v>
      </c>
      <c r="R75" s="244">
        <v>2.238</v>
      </c>
      <c r="S75" s="244">
        <v>9.0570000000000004</v>
      </c>
      <c r="T75" s="1277">
        <v>46</v>
      </c>
      <c r="U75" s="1278">
        <f t="shared" si="12"/>
        <v>20.554066130473636</v>
      </c>
      <c r="V75" s="1278">
        <f t="shared" si="19"/>
        <v>75.289831069890695</v>
      </c>
      <c r="W75" s="1279">
        <v>0.2</v>
      </c>
      <c r="X75" s="1449">
        <v>200</v>
      </c>
      <c r="Y75" s="1277">
        <f t="shared" si="4"/>
        <v>22.642500000000002</v>
      </c>
      <c r="Z75" s="244">
        <f t="shared" ref="Z75:AB81" si="26">R75*0.988</f>
        <v>2.211144</v>
      </c>
      <c r="AA75" s="244">
        <f t="shared" si="25"/>
        <v>8.9483160000000002</v>
      </c>
      <c r="AB75" s="1277">
        <f t="shared" si="26"/>
        <v>45.448</v>
      </c>
      <c r="AC75" s="244">
        <f t="shared" ref="AC75:AD81" si="27">U75</f>
        <v>20.554066130473636</v>
      </c>
      <c r="AD75" s="1277">
        <f t="shared" si="27"/>
        <v>75.289831069890695</v>
      </c>
      <c r="AE75" s="241">
        <f t="shared" si="22"/>
        <v>30</v>
      </c>
      <c r="AF75" s="244">
        <f t="shared" ref="AF75:AF81" si="28">Z75*AE75</f>
        <v>66.334320000000005</v>
      </c>
      <c r="AG75" s="1281"/>
      <c r="AI75" s="1282">
        <f t="shared" si="3"/>
        <v>36.207738282818447</v>
      </c>
      <c r="AJ75" s="1252">
        <v>0.92030000000000001</v>
      </c>
      <c r="AK75" s="1252">
        <v>1.018</v>
      </c>
      <c r="AL75" s="1252">
        <v>6.1000000000000004E-3</v>
      </c>
    </row>
    <row r="76" spans="1:38" ht="18.600000000000001" customHeight="1" x14ac:dyDescent="0.2">
      <c r="A76" s="1273">
        <v>60</v>
      </c>
      <c r="B76" s="1274" t="s">
        <v>341</v>
      </c>
      <c r="C76" s="241" t="s">
        <v>46</v>
      </c>
      <c r="D76" s="241">
        <v>675.29</v>
      </c>
      <c r="E76" s="241" t="s">
        <v>343</v>
      </c>
      <c r="F76" s="241">
        <v>177.8</v>
      </c>
      <c r="G76" s="241" t="s">
        <v>28</v>
      </c>
      <c r="H76" s="1299" t="s">
        <v>799</v>
      </c>
      <c r="I76" s="1755">
        <v>510.1</v>
      </c>
      <c r="J76" s="1448">
        <v>120</v>
      </c>
      <c r="K76" s="241"/>
      <c r="L76" s="1277">
        <v>253</v>
      </c>
      <c r="M76" s="241"/>
      <c r="N76" s="1278">
        <v>7.2</v>
      </c>
      <c r="O76" s="241"/>
      <c r="P76" s="1278">
        <f t="shared" si="5"/>
        <v>31.649324166827753</v>
      </c>
      <c r="Q76" s="1278">
        <f>(32*J76)/100</f>
        <v>38.4</v>
      </c>
      <c r="R76" s="244">
        <v>8.3130000000000006</v>
      </c>
      <c r="S76" s="244">
        <v>24.596</v>
      </c>
      <c r="T76" s="1277">
        <v>190</v>
      </c>
      <c r="U76" s="1278">
        <f t="shared" si="12"/>
        <v>22.855768074100805</v>
      </c>
      <c r="V76" s="1278">
        <f t="shared" si="19"/>
        <v>66.201821434379582</v>
      </c>
      <c r="W76" s="1279">
        <v>0.2</v>
      </c>
      <c r="X76" s="1449">
        <v>120</v>
      </c>
      <c r="Y76" s="1277">
        <f t="shared" si="4"/>
        <v>64.052083333333329</v>
      </c>
      <c r="Z76" s="244">
        <f t="shared" si="26"/>
        <v>8.2132440000000013</v>
      </c>
      <c r="AA76" s="244">
        <f t="shared" si="25"/>
        <v>24.300847999999998</v>
      </c>
      <c r="AB76" s="1277">
        <f t="shared" si="26"/>
        <v>187.72</v>
      </c>
      <c r="AC76" s="244">
        <f t="shared" si="27"/>
        <v>22.855768074100805</v>
      </c>
      <c r="AD76" s="1277">
        <f t="shared" si="27"/>
        <v>66.201821434379582</v>
      </c>
      <c r="AE76" s="241">
        <v>20</v>
      </c>
      <c r="AF76" s="244">
        <f t="shared" si="28"/>
        <v>164.26488000000003</v>
      </c>
      <c r="AG76" s="1285"/>
      <c r="AI76" s="1282">
        <f t="shared" si="3"/>
        <v>31.649324166827753</v>
      </c>
      <c r="AJ76" s="1252">
        <v>0.89439999999999997</v>
      </c>
      <c r="AK76" s="1252">
        <v>1.018</v>
      </c>
      <c r="AL76" s="1252">
        <v>6.1000000000000004E-3</v>
      </c>
    </row>
    <row r="77" spans="1:38" ht="18.75" customHeight="1" x14ac:dyDescent="0.2">
      <c r="A77" s="1273">
        <v>61</v>
      </c>
      <c r="B77" s="1274" t="s">
        <v>354</v>
      </c>
      <c r="C77" s="241" t="s">
        <v>46</v>
      </c>
      <c r="D77" s="241">
        <v>563.85</v>
      </c>
      <c r="E77" s="1346" t="s">
        <v>545</v>
      </c>
      <c r="F77" s="241">
        <v>178.8</v>
      </c>
      <c r="G77" s="241" t="s">
        <v>28</v>
      </c>
      <c r="H77" s="1299" t="s">
        <v>687</v>
      </c>
      <c r="I77" s="1755">
        <v>533.89</v>
      </c>
      <c r="J77" s="1448">
        <v>85</v>
      </c>
      <c r="K77" s="241"/>
      <c r="L77" s="1277">
        <v>89</v>
      </c>
      <c r="M77" s="241"/>
      <c r="N77" s="1278">
        <v>5.0999999999999996</v>
      </c>
      <c r="O77" s="241"/>
      <c r="P77" s="1278">
        <f t="shared" si="5"/>
        <v>48.096147415055185</v>
      </c>
      <c r="Q77" s="1278">
        <f>(20/100)*J77</f>
        <v>17</v>
      </c>
      <c r="R77" s="244">
        <v>2.556</v>
      </c>
      <c r="S77" s="244">
        <v>12.68</v>
      </c>
      <c r="T77" s="1277">
        <v>32.4</v>
      </c>
      <c r="U77" s="1278">
        <f t="shared" si="12"/>
        <v>12.676056338028168</v>
      </c>
      <c r="V77" s="1278">
        <f t="shared" si="19"/>
        <v>79.84227129337539</v>
      </c>
      <c r="W77" s="1279">
        <v>0</v>
      </c>
      <c r="X77" s="1449">
        <v>85</v>
      </c>
      <c r="Y77" s="1277">
        <f t="shared" si="4"/>
        <v>74.588235294117638</v>
      </c>
      <c r="Z77" s="244">
        <f t="shared" si="26"/>
        <v>2.525328</v>
      </c>
      <c r="AA77" s="244">
        <f t="shared" si="26"/>
        <v>12.527839999999999</v>
      </c>
      <c r="AB77" s="1277">
        <f t="shared" si="26"/>
        <v>32.011199999999995</v>
      </c>
      <c r="AC77" s="244">
        <f t="shared" si="27"/>
        <v>12.676056338028168</v>
      </c>
      <c r="AD77" s="1277">
        <f t="shared" si="27"/>
        <v>79.84227129337539</v>
      </c>
      <c r="AE77" s="241">
        <v>6</v>
      </c>
      <c r="AF77" s="244">
        <f t="shared" si="28"/>
        <v>15.151968</v>
      </c>
      <c r="AG77" s="1450" t="s">
        <v>806</v>
      </c>
      <c r="AI77" s="1282">
        <f t="shared" si="3"/>
        <v>48.096147415055185</v>
      </c>
      <c r="AJ77" s="1252">
        <v>0.91379999999999995</v>
      </c>
      <c r="AK77" s="1252">
        <v>1.018</v>
      </c>
      <c r="AL77" s="1252">
        <v>6.1000000000000004E-3</v>
      </c>
    </row>
    <row r="78" spans="1:38" ht="18.75" customHeight="1" x14ac:dyDescent="0.2">
      <c r="A78" s="1273">
        <v>62</v>
      </c>
      <c r="B78" s="1274" t="s">
        <v>423</v>
      </c>
      <c r="C78" s="241" t="s">
        <v>46</v>
      </c>
      <c r="D78" s="241">
        <v>687.52</v>
      </c>
      <c r="E78" s="26" t="s">
        <v>757</v>
      </c>
      <c r="F78" s="241">
        <v>179.8</v>
      </c>
      <c r="G78" s="241" t="s">
        <v>28</v>
      </c>
      <c r="H78" s="1299" t="s">
        <v>565</v>
      </c>
      <c r="I78" s="1763">
        <v>572.76</v>
      </c>
      <c r="J78" s="1448">
        <v>150</v>
      </c>
      <c r="K78" s="241"/>
      <c r="L78" s="1277">
        <v>325</v>
      </c>
      <c r="M78" s="241"/>
      <c r="N78" s="1278">
        <v>6.4</v>
      </c>
      <c r="O78" s="241"/>
      <c r="P78" s="1278">
        <f t="shared" si="5"/>
        <v>26.967542198160089</v>
      </c>
      <c r="Q78" s="1278">
        <f>(32/100)*J78</f>
        <v>48</v>
      </c>
      <c r="R78" s="244">
        <v>10</v>
      </c>
      <c r="S78" s="244">
        <v>11.2</v>
      </c>
      <c r="T78" s="1277">
        <v>707</v>
      </c>
      <c r="U78" s="1278">
        <f t="shared" si="12"/>
        <v>70.7</v>
      </c>
      <c r="V78" s="1278">
        <f t="shared" si="19"/>
        <v>10.714285714285708</v>
      </c>
      <c r="W78" s="1279">
        <v>0.2</v>
      </c>
      <c r="X78" s="1449">
        <v>150</v>
      </c>
      <c r="Y78" s="1277">
        <f t="shared" si="4"/>
        <v>23.333333333333332</v>
      </c>
      <c r="Z78" s="244">
        <v>11</v>
      </c>
      <c r="AA78" s="244">
        <v>12</v>
      </c>
      <c r="AB78" s="1277">
        <f t="shared" si="26"/>
        <v>698.51599999999996</v>
      </c>
      <c r="AC78" s="244">
        <f t="shared" si="27"/>
        <v>70.7</v>
      </c>
      <c r="AD78" s="1277">
        <f t="shared" si="27"/>
        <v>10.714285714285708</v>
      </c>
      <c r="AE78" s="241">
        <v>26</v>
      </c>
      <c r="AF78" s="244">
        <f t="shared" si="28"/>
        <v>286</v>
      </c>
      <c r="AG78" s="1285" t="s">
        <v>811</v>
      </c>
      <c r="AI78" s="1282">
        <f t="shared" si="3"/>
        <v>26.967542198160089</v>
      </c>
      <c r="AJ78" s="1252">
        <v>0.82920000000000005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63</v>
      </c>
      <c r="B79" s="1274" t="s">
        <v>213</v>
      </c>
      <c r="C79" s="241" t="s">
        <v>46</v>
      </c>
      <c r="D79" s="241">
        <v>694.35</v>
      </c>
      <c r="E79" s="241" t="s">
        <v>497</v>
      </c>
      <c r="F79" s="241">
        <v>177.8</v>
      </c>
      <c r="G79" s="241" t="s">
        <v>28</v>
      </c>
      <c r="H79" s="241" t="s">
        <v>464</v>
      </c>
      <c r="I79" s="1763">
        <v>664.19</v>
      </c>
      <c r="J79" s="1448">
        <v>165</v>
      </c>
      <c r="K79" s="241"/>
      <c r="L79" s="1277">
        <v>72</v>
      </c>
      <c r="M79" s="241"/>
      <c r="N79" s="1278">
        <v>4.5999999999999996</v>
      </c>
      <c r="O79" s="241"/>
      <c r="P79" s="1278">
        <f t="shared" si="5"/>
        <v>57.406004120325697</v>
      </c>
      <c r="Q79" s="1278">
        <f>14*J79/100</f>
        <v>23.1</v>
      </c>
      <c r="R79" s="244">
        <v>3.5</v>
      </c>
      <c r="S79" s="244">
        <v>3.75</v>
      </c>
      <c r="T79" s="1277">
        <v>502</v>
      </c>
      <c r="U79" s="1278">
        <f t="shared" si="12"/>
        <v>143.42857142857142</v>
      </c>
      <c r="V79" s="1278">
        <f t="shared" si="19"/>
        <v>6.666666666666667</v>
      </c>
      <c r="W79" s="1279">
        <v>0.2</v>
      </c>
      <c r="X79" s="1449">
        <v>165</v>
      </c>
      <c r="Y79" s="1277">
        <f t="shared" si="4"/>
        <v>16.233766233766232</v>
      </c>
      <c r="Z79" s="244">
        <v>4</v>
      </c>
      <c r="AA79" s="244">
        <v>4.5</v>
      </c>
      <c r="AB79" s="1277">
        <f t="shared" si="26"/>
        <v>495.976</v>
      </c>
      <c r="AC79" s="244">
        <f t="shared" si="27"/>
        <v>143.42857142857142</v>
      </c>
      <c r="AD79" s="1277">
        <f t="shared" si="27"/>
        <v>6.666666666666667</v>
      </c>
      <c r="AE79" s="241">
        <v>26</v>
      </c>
      <c r="AF79" s="244">
        <f t="shared" si="28"/>
        <v>104</v>
      </c>
      <c r="AG79" s="1285" t="s">
        <v>812</v>
      </c>
      <c r="AI79" s="1282">
        <f t="shared" si="3"/>
        <v>57.406004120325697</v>
      </c>
      <c r="AJ79" s="1252">
        <v>0.9133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64</v>
      </c>
      <c r="B80" s="1274" t="s">
        <v>506</v>
      </c>
      <c r="C80" s="241" t="s">
        <v>46</v>
      </c>
      <c r="D80" s="1763">
        <v>700</v>
      </c>
      <c r="E80" s="1763" t="s">
        <v>547</v>
      </c>
      <c r="F80" s="241">
        <v>177.8</v>
      </c>
      <c r="G80" s="241" t="s">
        <v>28</v>
      </c>
      <c r="H80" s="241" t="s">
        <v>464</v>
      </c>
      <c r="I80" s="1763">
        <v>608.22</v>
      </c>
      <c r="J80" s="1763">
        <v>0</v>
      </c>
      <c r="K80" s="1763"/>
      <c r="L80" s="1319">
        <v>0</v>
      </c>
      <c r="M80" s="1763"/>
      <c r="N80" s="1278">
        <v>0</v>
      </c>
      <c r="O80" s="1763"/>
      <c r="P80" s="1278">
        <f t="shared" si="5"/>
        <v>48.239526409474465</v>
      </c>
      <c r="Q80" s="1278"/>
      <c r="R80" s="244"/>
      <c r="S80" s="244"/>
      <c r="T80" s="1319"/>
      <c r="U80" s="244"/>
      <c r="V80" s="1278"/>
      <c r="W80" s="1279"/>
      <c r="X80" s="1410">
        <v>0</v>
      </c>
      <c r="Y80" s="1277">
        <f t="shared" si="4"/>
        <v>0</v>
      </c>
      <c r="Z80" s="244">
        <f t="shared" si="26"/>
        <v>0</v>
      </c>
      <c r="AA80" s="244"/>
      <c r="AB80" s="1277"/>
      <c r="AC80" s="244"/>
      <c r="AD80" s="244"/>
      <c r="AE80" s="241"/>
      <c r="AF80" s="244"/>
      <c r="AG80" s="1281" t="s">
        <v>682</v>
      </c>
      <c r="AI80" s="1282">
        <f t="shared" si="3"/>
        <v>48.239526409474465</v>
      </c>
      <c r="AJ80" s="1252">
        <v>0.81920000000000004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65</v>
      </c>
      <c r="B81" s="1274" t="s">
        <v>451</v>
      </c>
      <c r="C81" s="241" t="s">
        <v>46</v>
      </c>
      <c r="D81" s="1763">
        <v>619.66</v>
      </c>
      <c r="E81" s="1763" t="s">
        <v>613</v>
      </c>
      <c r="F81" s="241">
        <v>177.8</v>
      </c>
      <c r="G81" s="241" t="s">
        <v>28</v>
      </c>
      <c r="H81" s="241" t="s">
        <v>464</v>
      </c>
      <c r="I81" s="1763">
        <v>595.26</v>
      </c>
      <c r="J81" s="1763">
        <v>150</v>
      </c>
      <c r="K81" s="1763"/>
      <c r="L81" s="1319">
        <v>54</v>
      </c>
      <c r="M81" s="1763"/>
      <c r="N81" s="1278">
        <v>0.1</v>
      </c>
      <c r="O81" s="1763"/>
      <c r="P81" s="1278">
        <f t="shared" si="5"/>
        <v>47.833599113434495</v>
      </c>
      <c r="Q81" s="1278">
        <f t="shared" ref="Q81" si="29">14*J81/100</f>
        <v>21</v>
      </c>
      <c r="R81" s="244">
        <v>3</v>
      </c>
      <c r="S81" s="244">
        <v>3.2</v>
      </c>
      <c r="T81" s="1319">
        <v>44</v>
      </c>
      <c r="U81" s="244">
        <f t="shared" si="12"/>
        <v>14.666666666666666</v>
      </c>
      <c r="V81" s="1278">
        <f t="shared" si="19"/>
        <v>6.2500000000000053</v>
      </c>
      <c r="W81" s="1279">
        <v>0.2</v>
      </c>
      <c r="X81" s="1410">
        <v>150</v>
      </c>
      <c r="Y81" s="1277">
        <f t="shared" si="4"/>
        <v>15.238095238095239</v>
      </c>
      <c r="Z81" s="244">
        <v>4</v>
      </c>
      <c r="AA81" s="244">
        <v>4.5</v>
      </c>
      <c r="AB81" s="1277">
        <f t="shared" si="26"/>
        <v>43.472000000000001</v>
      </c>
      <c r="AC81" s="244">
        <f t="shared" si="27"/>
        <v>14.666666666666666</v>
      </c>
      <c r="AD81" s="1277">
        <f t="shared" si="27"/>
        <v>6.2500000000000053</v>
      </c>
      <c r="AE81" s="241">
        <v>26</v>
      </c>
      <c r="AF81" s="244">
        <f t="shared" si="28"/>
        <v>104</v>
      </c>
      <c r="AG81" s="1285" t="s">
        <v>813</v>
      </c>
      <c r="AI81" s="1282">
        <f t="shared" ref="AI81:AI84" si="30">(9.81*(AJ81*(100%-(V81/100))+AK81*(V81/100))*(I81-L81)+N81*101.325+9.81*(AL81)*L81)/101.325</f>
        <v>47.833599113434495</v>
      </c>
      <c r="AJ81" s="1252">
        <v>0.90310000000000001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66</v>
      </c>
      <c r="B82" s="1274" t="s">
        <v>424</v>
      </c>
      <c r="C82" s="241" t="s">
        <v>46</v>
      </c>
      <c r="D82" s="1755">
        <v>689.4</v>
      </c>
      <c r="E82" s="1755" t="s">
        <v>616</v>
      </c>
      <c r="F82" s="241">
        <v>177.8</v>
      </c>
      <c r="G82" s="241" t="s">
        <v>28</v>
      </c>
      <c r="H82" s="1299" t="s">
        <v>466</v>
      </c>
      <c r="I82" s="1755">
        <v>604.96</v>
      </c>
      <c r="J82" s="1755">
        <v>0</v>
      </c>
      <c r="K82" s="1755"/>
      <c r="L82" s="1319"/>
      <c r="M82" s="1755"/>
      <c r="N82" s="1278"/>
      <c r="O82" s="1755"/>
      <c r="P82" s="1278">
        <f t="shared" si="5"/>
        <v>47.576830678312362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ref="Y82:Y84" si="31">IF(S82=0,0,S82/Q82)*100</f>
        <v>0</v>
      </c>
      <c r="Z82" s="244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0"/>
        <v>47.576830678312362</v>
      </c>
      <c r="AJ82" s="1252">
        <v>0.81230000000000002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67</v>
      </c>
      <c r="B83" s="1274" t="s">
        <v>567</v>
      </c>
      <c r="C83" s="241" t="s">
        <v>46</v>
      </c>
      <c r="D83" s="1755">
        <v>577.12</v>
      </c>
      <c r="E83" s="1755" t="s">
        <v>614</v>
      </c>
      <c r="F83" s="241">
        <v>177.8</v>
      </c>
      <c r="G83" s="241" t="s">
        <v>28</v>
      </c>
      <c r="H83" s="1299" t="s">
        <v>687</v>
      </c>
      <c r="I83" s="1755">
        <v>536.02</v>
      </c>
      <c r="J83" s="1755">
        <v>105</v>
      </c>
      <c r="K83" s="1755"/>
      <c r="L83" s="1319">
        <v>375</v>
      </c>
      <c r="M83" s="1755"/>
      <c r="N83" s="1278">
        <v>0</v>
      </c>
      <c r="O83" s="1755"/>
      <c r="P83" s="1278">
        <f t="shared" ref="P83:P84" si="32">AI83</f>
        <v>15.292535823312535</v>
      </c>
      <c r="Q83" s="1278">
        <f>RIGHT(H83,(FIND("T",H83,1)-0))*J83/100</f>
        <v>21</v>
      </c>
      <c r="R83" s="244">
        <v>3.238</v>
      </c>
      <c r="S83" s="244">
        <v>6.867</v>
      </c>
      <c r="T83" s="1319">
        <v>4</v>
      </c>
      <c r="U83" s="244">
        <f t="shared" ref="U83" si="33">IF(R83=0,0,T83/R83)</f>
        <v>1.2353304508956147</v>
      </c>
      <c r="V83" s="1278">
        <f t="shared" si="19"/>
        <v>52.84694917722441</v>
      </c>
      <c r="W83" s="1279">
        <v>0.2</v>
      </c>
      <c r="X83" s="1410">
        <v>105</v>
      </c>
      <c r="Y83" s="1277">
        <f t="shared" si="31"/>
        <v>32.700000000000003</v>
      </c>
      <c r="Z83" s="244">
        <f t="shared" ref="Z83:AB84" si="34">R83*0.988</f>
        <v>3.199144</v>
      </c>
      <c r="AA83" s="244">
        <f t="shared" si="34"/>
        <v>6.7845959999999996</v>
      </c>
      <c r="AB83" s="1277">
        <f t="shared" si="34"/>
        <v>3.952</v>
      </c>
      <c r="AC83" s="244">
        <f t="shared" ref="AC83:AD83" si="35">U83</f>
        <v>1.2353304508956147</v>
      </c>
      <c r="AD83" s="1277">
        <f t="shared" si="35"/>
        <v>52.84694917722441</v>
      </c>
      <c r="AE83" s="241">
        <v>26</v>
      </c>
      <c r="AF83" s="244">
        <f>Z83*AE83</f>
        <v>83.177744000000004</v>
      </c>
      <c r="AG83" s="1281"/>
      <c r="AI83" s="1282">
        <f t="shared" si="30"/>
        <v>15.292535823312535</v>
      </c>
      <c r="AJ83" s="1252">
        <v>0.9093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68</v>
      </c>
      <c r="B84" s="1274" t="s">
        <v>172</v>
      </c>
      <c r="C84" s="241" t="s">
        <v>46</v>
      </c>
      <c r="D84" s="241">
        <v>673.05</v>
      </c>
      <c r="E84" s="241" t="s">
        <v>615</v>
      </c>
      <c r="F84" s="241">
        <v>177.8</v>
      </c>
      <c r="G84" s="241" t="s">
        <v>28</v>
      </c>
      <c r="H84" s="241" t="s">
        <v>464</v>
      </c>
      <c r="I84" s="1755">
        <v>576.27</v>
      </c>
      <c r="J84" s="1448">
        <v>0</v>
      </c>
      <c r="K84" s="241"/>
      <c r="L84" s="1277">
        <v>0</v>
      </c>
      <c r="M84" s="241"/>
      <c r="N84" s="1278">
        <v>0</v>
      </c>
      <c r="O84" s="241"/>
      <c r="P84" s="1278" t="e">
        <f t="shared" si="32"/>
        <v>#DIV/0!</v>
      </c>
      <c r="Q84" s="1278">
        <f>14*J84/100</f>
        <v>0</v>
      </c>
      <c r="R84" s="244">
        <v>0</v>
      </c>
      <c r="S84" s="244">
        <v>0</v>
      </c>
      <c r="T84" s="1277">
        <v>0</v>
      </c>
      <c r="U84" s="1278">
        <f t="shared" si="12"/>
        <v>0</v>
      </c>
      <c r="V84" s="1278" t="e">
        <f t="shared" si="19"/>
        <v>#DIV/0!</v>
      </c>
      <c r="W84" s="1279">
        <v>0</v>
      </c>
      <c r="X84" s="1449">
        <v>0</v>
      </c>
      <c r="Y84" s="1277">
        <f t="shared" si="31"/>
        <v>0</v>
      </c>
      <c r="Z84" s="244">
        <f t="shared" si="34"/>
        <v>0</v>
      </c>
      <c r="AA84" s="244">
        <f t="shared" si="34"/>
        <v>0</v>
      </c>
      <c r="AB84" s="1277">
        <f t="shared" si="34"/>
        <v>0</v>
      </c>
      <c r="AC84" s="244">
        <f>U84</f>
        <v>0</v>
      </c>
      <c r="AD84" s="1277" t="e">
        <f>V84</f>
        <v>#DIV/0!</v>
      </c>
      <c r="AE84" s="241">
        <v>0</v>
      </c>
      <c r="AF84" s="244">
        <f>Z84*AE84</f>
        <v>0</v>
      </c>
      <c r="AG84" s="1281" t="s">
        <v>771</v>
      </c>
      <c r="AI84" s="1282" t="e">
        <f t="shared" si="30"/>
        <v>#DIV/0!</v>
      </c>
      <c r="AJ84" s="1252">
        <v>0.91310000000000002</v>
      </c>
      <c r="AK84" s="1252">
        <v>1.018</v>
      </c>
      <c r="AL84" s="1252">
        <v>6.1000000000000004E-3</v>
      </c>
    </row>
    <row r="85" spans="1:38" ht="18.75" customHeight="1" x14ac:dyDescent="0.2">
      <c r="A85" s="1347"/>
      <c r="B85" s="241"/>
      <c r="C85" s="241"/>
      <c r="D85" s="1755"/>
      <c r="E85" s="1755"/>
      <c r="F85" s="1274"/>
      <c r="G85" s="241"/>
      <c r="H85" s="241"/>
      <c r="I85" s="1755"/>
      <c r="J85" s="1755"/>
      <c r="K85" s="1755"/>
      <c r="L85" s="1755"/>
      <c r="M85" s="1755"/>
      <c r="N85" s="241"/>
      <c r="O85" s="1755"/>
      <c r="P85" s="1278"/>
      <c r="Q85" s="1269"/>
      <c r="R85" s="1348">
        <f>SUM(R17:R84)</f>
        <v>305.46800000000002</v>
      </c>
      <c r="S85" s="1348">
        <f>SUM(S17:S84)</f>
        <v>811.94899999999984</v>
      </c>
      <c r="T85" s="1349">
        <f>SUM(T17:T84)</f>
        <v>5369.5</v>
      </c>
      <c r="U85" s="1348">
        <f>T85/R85</f>
        <v>17.577945971427447</v>
      </c>
      <c r="V85" s="1348"/>
      <c r="W85" s="1350"/>
      <c r="X85" s="1410"/>
      <c r="Y85" s="1348"/>
      <c r="Z85" s="1348">
        <f>SUM(Z17:Z84)</f>
        <v>319.50038400000005</v>
      </c>
      <c r="AA85" s="1348">
        <f>SUM(AA17:AA84)</f>
        <v>821.77341200000001</v>
      </c>
      <c r="AB85" s="1351">
        <f>SUM(AB17:AB84)</f>
        <v>5405.065999999998</v>
      </c>
      <c r="AC85" s="1348">
        <f>AB85/Z85</f>
        <v>16.917244143280897</v>
      </c>
      <c r="AD85" s="1348"/>
      <c r="AE85" s="1302"/>
      <c r="AF85" s="1348">
        <f>SUM(AF17:AF84)</f>
        <v>7441.6074080000008</v>
      </c>
      <c r="AG85" s="1281"/>
      <c r="AI85" s="1282"/>
    </row>
    <row r="86" spans="1:38" ht="18.75" customHeight="1" x14ac:dyDescent="0.2">
      <c r="A86" s="1347"/>
      <c r="B86" s="241"/>
      <c r="C86" s="241"/>
      <c r="D86" s="1755"/>
      <c r="E86" s="1755"/>
      <c r="F86" s="1274"/>
      <c r="G86" s="241"/>
      <c r="H86" s="241"/>
      <c r="I86" s="1755"/>
      <c r="J86" s="1755"/>
      <c r="K86" s="1755"/>
      <c r="L86" s="1755"/>
      <c r="M86" s="1755"/>
      <c r="N86" s="241"/>
      <c r="O86" s="1755"/>
      <c r="P86" s="1278"/>
      <c r="Q86" s="1269"/>
      <c r="R86" s="1348"/>
      <c r="S86" s="1348"/>
      <c r="T86" s="1349">
        <f>S85-R85</f>
        <v>506.48099999999982</v>
      </c>
      <c r="U86" s="1348"/>
      <c r="V86" s="1348"/>
      <c r="W86" s="1350"/>
      <c r="X86" s="1410"/>
      <c r="Y86" s="1348"/>
      <c r="Z86" s="1348"/>
      <c r="AA86" s="1352">
        <f>AA85-Z85</f>
        <v>502.27302799999995</v>
      </c>
      <c r="AB86" s="1351"/>
      <c r="AC86" s="1348"/>
      <c r="AD86" s="1348"/>
      <c r="AE86" s="1302"/>
      <c r="AF86" s="1348"/>
      <c r="AG86" s="1281"/>
      <c r="AI86" s="1282"/>
    </row>
    <row r="87" spans="1:38" ht="18.75" customHeight="1" x14ac:dyDescent="0.2">
      <c r="A87" s="1347"/>
      <c r="B87" s="241"/>
      <c r="C87" s="241"/>
      <c r="D87" s="1755"/>
      <c r="E87" s="1754" t="s">
        <v>388</v>
      </c>
      <c r="F87" s="1274"/>
      <c r="G87" s="241"/>
      <c r="H87" s="241"/>
      <c r="I87" s="1755"/>
      <c r="J87" s="1755"/>
      <c r="K87" s="1755"/>
      <c r="L87" s="1755"/>
      <c r="M87" s="1755"/>
      <c r="N87" s="241"/>
      <c r="O87" s="1755"/>
      <c r="P87" s="1278"/>
      <c r="Q87" s="1269"/>
      <c r="R87" s="1348"/>
      <c r="S87" s="1348"/>
      <c r="T87" s="1349"/>
      <c r="U87" s="1348"/>
      <c r="V87" s="1348"/>
      <c r="W87" s="1350"/>
      <c r="X87" s="1410"/>
      <c r="Y87" s="1348"/>
      <c r="Z87" s="1348"/>
      <c r="AA87" s="1352"/>
      <c r="AB87" s="1351"/>
      <c r="AC87" s="1348"/>
      <c r="AD87" s="1348"/>
      <c r="AE87" s="1302"/>
      <c r="AF87" s="1348"/>
      <c r="AG87" s="1281"/>
      <c r="AI87" s="1282"/>
    </row>
    <row r="88" spans="1:38" ht="18.75" customHeight="1" x14ac:dyDescent="0.2">
      <c r="A88" s="1273">
        <v>69</v>
      </c>
      <c r="B88" s="1274" t="s">
        <v>505</v>
      </c>
      <c r="C88" s="241" t="s">
        <v>445</v>
      </c>
      <c r="D88" s="1755">
        <v>737.21</v>
      </c>
      <c r="E88" s="1755" t="s">
        <v>507</v>
      </c>
      <c r="F88" s="241">
        <v>177.8</v>
      </c>
      <c r="G88" s="241" t="s">
        <v>28</v>
      </c>
      <c r="H88" s="1354" t="s">
        <v>466</v>
      </c>
      <c r="I88" s="1755">
        <v>680.94</v>
      </c>
      <c r="J88" s="1755"/>
      <c r="K88" s="1755"/>
      <c r="L88" s="1755"/>
      <c r="M88" s="1755"/>
      <c r="N88" s="241"/>
      <c r="O88" s="1755"/>
      <c r="P88" s="1278"/>
      <c r="Q88" s="1269"/>
      <c r="R88" s="244"/>
      <c r="S88" s="244"/>
      <c r="T88" s="1319"/>
      <c r="U88" s="244"/>
      <c r="V88" s="244"/>
      <c r="W88" s="1355"/>
      <c r="X88" s="1410"/>
      <c r="Y88" s="244">
        <f>IF(S88=0,0,S88/Q88)</f>
        <v>0</v>
      </c>
      <c r="Z88" s="244">
        <f t="shared" ref="Z88:AB91" si="36">R88*0.988</f>
        <v>0</v>
      </c>
      <c r="AA88" s="244">
        <f t="shared" si="36"/>
        <v>0</v>
      </c>
      <c r="AB88" s="1277">
        <f t="shared" si="36"/>
        <v>0</v>
      </c>
      <c r="AC88" s="244">
        <f t="shared" ref="AC88:AD91" si="37">U88</f>
        <v>0</v>
      </c>
      <c r="AD88" s="244">
        <f t="shared" si="37"/>
        <v>0</v>
      </c>
      <c r="AE88" s="241">
        <v>0</v>
      </c>
      <c r="AF88" s="244">
        <f>Z88*AE88</f>
        <v>0</v>
      </c>
      <c r="AG88" s="1281" t="s">
        <v>682</v>
      </c>
      <c r="AI88" s="1282">
        <f>(9.81*(AJ88*(100%-(V88/100))+AK88*(V88/100))*(I88-L88)+N88*101.325+9.81*(AL88)*L88)/101.325</f>
        <v>58.978012775129535</v>
      </c>
      <c r="AJ88" s="1252">
        <v>0.89459999999999995</v>
      </c>
      <c r="AK88" s="1252">
        <v>1.018</v>
      </c>
      <c r="AL88" s="1252">
        <v>6.1000000000000004E-3</v>
      </c>
    </row>
    <row r="89" spans="1:38" ht="18.75" customHeight="1" x14ac:dyDescent="0.2">
      <c r="A89" s="1273">
        <v>70</v>
      </c>
      <c r="B89" s="1274" t="s">
        <v>504</v>
      </c>
      <c r="C89" s="241" t="s">
        <v>445</v>
      </c>
      <c r="D89" s="1755">
        <v>695.15</v>
      </c>
      <c r="E89" s="1755" t="s">
        <v>508</v>
      </c>
      <c r="F89" s="1274">
        <v>177.8</v>
      </c>
      <c r="G89" s="241" t="s">
        <v>28</v>
      </c>
      <c r="H89" s="241" t="s">
        <v>491</v>
      </c>
      <c r="I89" s="1755">
        <v>658.9</v>
      </c>
      <c r="J89" s="1755"/>
      <c r="K89" s="1755"/>
      <c r="L89" s="1755"/>
      <c r="M89" s="1755"/>
      <c r="N89" s="241"/>
      <c r="O89" s="1755"/>
      <c r="P89" s="1278"/>
      <c r="Q89" s="1269"/>
      <c r="R89" s="244"/>
      <c r="S89" s="244"/>
      <c r="T89" s="1319"/>
      <c r="U89" s="244"/>
      <c r="V89" s="244"/>
      <c r="W89" s="1355"/>
      <c r="X89" s="1410"/>
      <c r="Y89" s="244">
        <f>IF(S89=0,0,S89/Q89)</f>
        <v>0</v>
      </c>
      <c r="Z89" s="244">
        <f t="shared" si="36"/>
        <v>0</v>
      </c>
      <c r="AA89" s="244">
        <f t="shared" si="36"/>
        <v>0</v>
      </c>
      <c r="AB89" s="1277">
        <f t="shared" si="36"/>
        <v>0</v>
      </c>
      <c r="AC89" s="244">
        <f t="shared" si="37"/>
        <v>0</v>
      </c>
      <c r="AD89" s="244">
        <f t="shared" si="37"/>
        <v>0</v>
      </c>
      <c r="AE89" s="241">
        <v>0</v>
      </c>
      <c r="AF89" s="244">
        <f>Z89*AE89</f>
        <v>0</v>
      </c>
      <c r="AG89" s="1281" t="s">
        <v>682</v>
      </c>
      <c r="AI89" s="1282">
        <f>(9.81*(AJ89*(100%-(V89/100))+AK89*(V89/100))*(I89-L89)+N89*101.325+9.81*(AL89)*L89)/101.325</f>
        <v>57.069070134715027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273">
        <v>71</v>
      </c>
      <c r="B90" s="1317" t="s">
        <v>220</v>
      </c>
      <c r="C90" s="241" t="s">
        <v>445</v>
      </c>
      <c r="D90" s="1755">
        <v>685.69</v>
      </c>
      <c r="E90" s="1755" t="s">
        <v>579</v>
      </c>
      <c r="F90" s="241">
        <v>177.8</v>
      </c>
      <c r="G90" s="241" t="s">
        <v>28</v>
      </c>
      <c r="H90" s="1299" t="s">
        <v>466</v>
      </c>
      <c r="I90" s="1755">
        <v>639.97</v>
      </c>
      <c r="J90" s="1755"/>
      <c r="K90" s="1755"/>
      <c r="L90" s="1755"/>
      <c r="M90" s="1755"/>
      <c r="N90" s="241"/>
      <c r="O90" s="1755"/>
      <c r="P90" s="1278"/>
      <c r="Q90" s="1269"/>
      <c r="R90" s="1356"/>
      <c r="S90" s="1356"/>
      <c r="T90" s="1356"/>
      <c r="U90" s="1356"/>
      <c r="V90" s="1356"/>
      <c r="W90" s="1357"/>
      <c r="X90" s="1410"/>
      <c r="Y90" s="244">
        <f>IF(S90=0,0,S90/Q90)</f>
        <v>0</v>
      </c>
      <c r="Z90" s="244">
        <f t="shared" si="36"/>
        <v>0</v>
      </c>
      <c r="AA90" s="244">
        <f t="shared" si="36"/>
        <v>0</v>
      </c>
      <c r="AB90" s="1277">
        <f t="shared" si="36"/>
        <v>0</v>
      </c>
      <c r="AC90" s="244">
        <f t="shared" si="37"/>
        <v>0</v>
      </c>
      <c r="AD90" s="244">
        <f t="shared" si="37"/>
        <v>0</v>
      </c>
      <c r="AE90" s="241">
        <v>0</v>
      </c>
      <c r="AF90" s="244">
        <f t="shared" ref="AF90:AF91" si="38">Z90*AE90</f>
        <v>0</v>
      </c>
      <c r="AG90" s="1281" t="s">
        <v>682</v>
      </c>
      <c r="AI90" s="1282">
        <f>(9.81*(AJ90*(100%-(V90/100))+AK90*(V90/100))*(I90-L90)+N90*101.325+9.81*(AL90)*L90)/101.325</f>
        <v>55.429492812435235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72</v>
      </c>
      <c r="B91" s="1274" t="s">
        <v>465</v>
      </c>
      <c r="C91" s="241" t="s">
        <v>46</v>
      </c>
      <c r="D91" s="241">
        <v>571.91</v>
      </c>
      <c r="E91" s="241" t="s">
        <v>478</v>
      </c>
      <c r="F91" s="241">
        <v>177.8</v>
      </c>
      <c r="G91" s="241" t="s">
        <v>618</v>
      </c>
      <c r="H91" s="1303"/>
      <c r="I91" s="1755">
        <v>9.5</v>
      </c>
      <c r="J91" s="1755"/>
      <c r="K91" s="1755"/>
      <c r="L91" s="1755"/>
      <c r="M91" s="1755"/>
      <c r="N91" s="241"/>
      <c r="O91" s="1755"/>
      <c r="P91" s="1278"/>
      <c r="Q91" s="1269"/>
      <c r="R91" s="1348"/>
      <c r="S91" s="1348"/>
      <c r="T91" s="1349"/>
      <c r="U91" s="1348"/>
      <c r="V91" s="1348"/>
      <c r="W91" s="1350"/>
      <c r="X91" s="1410"/>
      <c r="Y91" s="244">
        <f>IF(S91=0,0,S91/Q91)</f>
        <v>0</v>
      </c>
      <c r="Z91" s="244">
        <f t="shared" si="36"/>
        <v>0</v>
      </c>
      <c r="AA91" s="244">
        <f t="shared" si="36"/>
        <v>0</v>
      </c>
      <c r="AB91" s="1277">
        <f t="shared" si="36"/>
        <v>0</v>
      </c>
      <c r="AC91" s="244">
        <f t="shared" si="37"/>
        <v>0</v>
      </c>
      <c r="AD91" s="244">
        <f t="shared" si="37"/>
        <v>0</v>
      </c>
      <c r="AE91" s="241">
        <v>0</v>
      </c>
      <c r="AF91" s="244">
        <f t="shared" si="38"/>
        <v>0</v>
      </c>
      <c r="AG91" s="1281" t="s">
        <v>682</v>
      </c>
      <c r="AI91" s="1282">
        <f>(9.81*(AJ91*(100%-(V91/100))+AK91*(V91/100))*(I91-L91)+N91*101.325+9.81*(AL91)*L91)/101.325</f>
        <v>0.82282010362694302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347"/>
      <c r="B92" s="1358"/>
      <c r="C92" s="1358"/>
      <c r="D92" s="1358"/>
      <c r="E92" s="1358"/>
      <c r="F92" s="1274"/>
      <c r="G92" s="241"/>
      <c r="H92" s="241"/>
      <c r="I92" s="241"/>
      <c r="J92" s="1755"/>
      <c r="K92" s="1755"/>
      <c r="L92" s="1755"/>
      <c r="M92" s="1755"/>
      <c r="N92" s="1755"/>
      <c r="O92" s="1755"/>
      <c r="P92" s="1269"/>
      <c r="Q92" s="1269"/>
      <c r="R92" s="1348"/>
      <c r="S92" s="1348"/>
      <c r="T92" s="1349"/>
      <c r="U92" s="1348"/>
      <c r="V92" s="1348"/>
      <c r="W92" s="1350"/>
      <c r="X92" s="1410"/>
      <c r="Y92" s="1348"/>
      <c r="Z92" s="1348"/>
      <c r="AA92" s="1348"/>
      <c r="AB92" s="1351"/>
      <c r="AC92" s="1348"/>
      <c r="AD92" s="1348"/>
      <c r="AE92" s="1302"/>
      <c r="AF92" s="1348"/>
      <c r="AG92" s="1281"/>
      <c r="AI92" s="1282"/>
    </row>
    <row r="93" spans="1:38" ht="18.75" customHeight="1" x14ac:dyDescent="0.2">
      <c r="A93" s="1359"/>
      <c r="B93" s="1358"/>
      <c r="C93" s="1358"/>
      <c r="D93" s="1358"/>
      <c r="E93" s="1360" t="s">
        <v>470</v>
      </c>
      <c r="F93" s="1274"/>
      <c r="G93" s="241"/>
      <c r="H93" s="241"/>
      <c r="I93" s="241"/>
      <c r="J93" s="1755"/>
      <c r="K93" s="1755"/>
      <c r="L93" s="1755"/>
      <c r="M93" s="1755"/>
      <c r="N93" s="1755"/>
      <c r="O93" s="1755"/>
      <c r="P93" s="1269"/>
      <c r="Q93" s="1269"/>
      <c r="R93" s="1348"/>
      <c r="S93" s="1348"/>
      <c r="T93" s="1349"/>
      <c r="U93" s="1348"/>
      <c r="V93" s="1348"/>
      <c r="W93" s="1350"/>
      <c r="X93" s="1410"/>
      <c r="Y93" s="1348"/>
      <c r="Z93" s="1348"/>
      <c r="AA93" s="1348"/>
      <c r="AB93" s="1351"/>
      <c r="AC93" s="1348"/>
      <c r="AD93" s="1348"/>
      <c r="AE93" s="1302"/>
      <c r="AF93" s="1348"/>
      <c r="AG93" s="1281"/>
      <c r="AI93" s="1282"/>
    </row>
    <row r="94" spans="1:38" ht="18.75" customHeight="1" x14ac:dyDescent="0.2">
      <c r="A94" s="1273">
        <v>73</v>
      </c>
      <c r="B94" s="241" t="s">
        <v>582</v>
      </c>
      <c r="C94" s="1316" t="s">
        <v>344</v>
      </c>
      <c r="D94" s="241">
        <v>371.11</v>
      </c>
      <c r="E94" s="1318" t="s">
        <v>583</v>
      </c>
      <c r="F94" s="241">
        <v>177.8</v>
      </c>
      <c r="G94" s="241" t="s">
        <v>28</v>
      </c>
      <c r="H94" s="1299" t="s">
        <v>584</v>
      </c>
      <c r="I94" s="1755">
        <v>183.38</v>
      </c>
      <c r="J94" s="1755">
        <v>130</v>
      </c>
      <c r="K94" s="241">
        <v>0</v>
      </c>
      <c r="L94" s="241">
        <v>94</v>
      </c>
      <c r="M94" s="241">
        <v>0</v>
      </c>
      <c r="N94" s="241">
        <v>0</v>
      </c>
      <c r="O94" s="241"/>
      <c r="P94" s="1278">
        <f t="shared" ref="P94:P99" si="39">AI94</f>
        <v>8.1039342409355193</v>
      </c>
      <c r="Q94" s="1269">
        <f>(13*J94)/100</f>
        <v>16.899999999999999</v>
      </c>
      <c r="R94" s="244">
        <v>6.3239999999999998</v>
      </c>
      <c r="S94" s="244">
        <v>6.7919999999999998</v>
      </c>
      <c r="T94" s="244">
        <v>0</v>
      </c>
      <c r="U94" s="244">
        <f t="shared" ref="U94:U99" si="40">IF(R94=0,0,T94/R94)</f>
        <v>0</v>
      </c>
      <c r="V94" s="1278">
        <f t="shared" ref="V94:V99" si="41">(S94-R94)/S94*100</f>
        <v>6.8904593639575973</v>
      </c>
      <c r="W94" s="1279">
        <v>0.2</v>
      </c>
      <c r="X94" s="1410">
        <v>130</v>
      </c>
      <c r="Y94" s="1277">
        <f>IF(S94=0,0,S94/Q94)*100</f>
        <v>40.189349112426036</v>
      </c>
      <c r="Z94" s="244">
        <f t="shared" ref="Z94:AB99" si="42">R94*0.988</f>
        <v>6.2481119999999999</v>
      </c>
      <c r="AA94" s="244">
        <f t="shared" si="42"/>
        <v>6.710496</v>
      </c>
      <c r="AB94" s="244">
        <f t="shared" si="42"/>
        <v>0</v>
      </c>
      <c r="AC94" s="244">
        <f>U94</f>
        <v>0</v>
      </c>
      <c r="AD94" s="1278">
        <f>V94</f>
        <v>6.8904593639575973</v>
      </c>
      <c r="AE94" s="241">
        <f t="shared" ref="AE94:AE99" si="43">(DAY(EOMONTH($AH$15,0))-AH94)</f>
        <v>30</v>
      </c>
      <c r="AF94" s="244">
        <f t="shared" ref="AF94:AF99" si="44">Z94*AE94</f>
        <v>187.44335999999998</v>
      </c>
      <c r="AG94" s="1285" t="s">
        <v>810</v>
      </c>
      <c r="AI94" s="1282">
        <f t="shared" ref="AI94:AI99" si="45">(9.81*(AJ94*(100%-(V94/100))+AK94*(V94/100))*(I94-L94)+N94*101.325+9.81*(AL94)*L94)/101.325</f>
        <v>8.1039342409355193</v>
      </c>
      <c r="AJ94" s="1252">
        <v>0.92490000000000006</v>
      </c>
      <c r="AK94" s="1252">
        <v>1</v>
      </c>
      <c r="AL94" s="1252">
        <v>6.1000000000000004E-3</v>
      </c>
    </row>
    <row r="95" spans="1:38" ht="18.75" customHeight="1" x14ac:dyDescent="0.2">
      <c r="A95" s="1273">
        <v>74</v>
      </c>
      <c r="B95" s="241" t="s">
        <v>131</v>
      </c>
      <c r="C95" s="1316" t="s">
        <v>344</v>
      </c>
      <c r="D95" s="241">
        <v>389.74</v>
      </c>
      <c r="E95" s="1318" t="s">
        <v>713</v>
      </c>
      <c r="F95" s="241">
        <v>177.8</v>
      </c>
      <c r="G95" s="241" t="s">
        <v>28</v>
      </c>
      <c r="H95" s="1299" t="s">
        <v>540</v>
      </c>
      <c r="I95" s="1755">
        <v>136.35</v>
      </c>
      <c r="J95" s="1755">
        <v>115</v>
      </c>
      <c r="K95" s="1755"/>
      <c r="L95" s="1319">
        <v>46</v>
      </c>
      <c r="M95" s="1755"/>
      <c r="N95" s="1278">
        <v>0</v>
      </c>
      <c r="O95" s="1755"/>
      <c r="P95" s="1278">
        <f t="shared" si="39"/>
        <v>8.4409541511239841</v>
      </c>
      <c r="Q95" s="1278">
        <f>(22*J95)/100</f>
        <v>25.3</v>
      </c>
      <c r="R95" s="244">
        <v>7.7850000000000001</v>
      </c>
      <c r="S95" s="244">
        <v>14.266999999999999</v>
      </c>
      <c r="T95" s="1319">
        <v>0</v>
      </c>
      <c r="U95" s="244">
        <f t="shared" si="40"/>
        <v>0</v>
      </c>
      <c r="V95" s="1278">
        <f t="shared" si="41"/>
        <v>45.433517908460082</v>
      </c>
      <c r="W95" s="1279">
        <v>0.2</v>
      </c>
      <c r="X95" s="1410">
        <v>115</v>
      </c>
      <c r="Y95" s="1277">
        <f t="shared" ref="Y95:Y103" si="46">IF(S95=0,0,S95/Q95)*100</f>
        <v>56.391304347826086</v>
      </c>
      <c r="Z95" s="244">
        <f t="shared" si="42"/>
        <v>7.6915800000000001</v>
      </c>
      <c r="AA95" s="244">
        <f t="shared" si="42"/>
        <v>14.095796</v>
      </c>
      <c r="AB95" s="244">
        <f t="shared" si="42"/>
        <v>0</v>
      </c>
      <c r="AC95" s="244">
        <f t="shared" ref="AC95:AD99" si="47">U95</f>
        <v>0</v>
      </c>
      <c r="AD95" s="1278">
        <f t="shared" si="47"/>
        <v>45.433517908460082</v>
      </c>
      <c r="AE95" s="241">
        <v>0</v>
      </c>
      <c r="AF95" s="244">
        <f>Z95*AE95</f>
        <v>0</v>
      </c>
      <c r="AG95" s="1285" t="s">
        <v>809</v>
      </c>
      <c r="AI95" s="1282">
        <f t="shared" si="45"/>
        <v>8.4409541511239841</v>
      </c>
      <c r="AJ95" s="1252">
        <v>0.93010000000000004</v>
      </c>
      <c r="AK95" s="1252">
        <v>1</v>
      </c>
      <c r="AL95" s="1252">
        <v>6.1000000000000004E-3</v>
      </c>
    </row>
    <row r="96" spans="1:38" ht="32.25" customHeight="1" x14ac:dyDescent="0.2">
      <c r="A96" s="1273">
        <v>75</v>
      </c>
      <c r="B96" s="241" t="s">
        <v>132</v>
      </c>
      <c r="C96" s="1316" t="s">
        <v>313</v>
      </c>
      <c r="D96" s="241">
        <v>389.09</v>
      </c>
      <c r="E96" s="1318" t="s">
        <v>135</v>
      </c>
      <c r="F96" s="241">
        <v>177.8</v>
      </c>
      <c r="G96" s="241" t="s">
        <v>28</v>
      </c>
      <c r="H96" s="241" t="s">
        <v>485</v>
      </c>
      <c r="I96" s="1755">
        <v>130.11000000000001</v>
      </c>
      <c r="J96" s="1755">
        <v>130</v>
      </c>
      <c r="K96" s="1755"/>
      <c r="L96" s="1319">
        <v>57</v>
      </c>
      <c r="M96" s="1755"/>
      <c r="N96" s="1278">
        <v>0</v>
      </c>
      <c r="O96" s="1755"/>
      <c r="P96" s="1278">
        <f t="shared" si="39"/>
        <v>6.6314760904601187</v>
      </c>
      <c r="Q96" s="1278">
        <f>(15*J96)/100</f>
        <v>19.5</v>
      </c>
      <c r="R96" s="244">
        <v>8.2629999999999999</v>
      </c>
      <c r="S96" s="244">
        <v>8.6059999999999999</v>
      </c>
      <c r="T96" s="1319">
        <v>0</v>
      </c>
      <c r="U96" s="244">
        <f t="shared" si="40"/>
        <v>0</v>
      </c>
      <c r="V96" s="1278">
        <f t="shared" si="41"/>
        <v>3.9855914478270971</v>
      </c>
      <c r="W96" s="1279">
        <v>0.2</v>
      </c>
      <c r="X96" s="1410">
        <v>130</v>
      </c>
      <c r="Y96" s="1277">
        <f t="shared" si="46"/>
        <v>44.133333333333333</v>
      </c>
      <c r="Z96" s="244">
        <f t="shared" si="42"/>
        <v>8.1638439999999992</v>
      </c>
      <c r="AA96" s="244">
        <f t="shared" si="42"/>
        <v>8.5027279999999994</v>
      </c>
      <c r="AB96" s="244">
        <f t="shared" si="42"/>
        <v>0</v>
      </c>
      <c r="AC96" s="244">
        <f t="shared" si="47"/>
        <v>0</v>
      </c>
      <c r="AD96" s="1278">
        <f t="shared" si="47"/>
        <v>3.9855914478270971</v>
      </c>
      <c r="AE96" s="241">
        <f t="shared" si="43"/>
        <v>30</v>
      </c>
      <c r="AF96" s="244">
        <f t="shared" si="44"/>
        <v>244.91531999999998</v>
      </c>
      <c r="AG96" s="1285" t="s">
        <v>809</v>
      </c>
      <c r="AI96" s="1282">
        <f t="shared" si="45"/>
        <v>6.6314760904601187</v>
      </c>
      <c r="AJ96" s="1252">
        <v>0.92930000000000001</v>
      </c>
      <c r="AK96" s="1252">
        <v>1</v>
      </c>
      <c r="AL96" s="1252">
        <v>6.1000000000000004E-3</v>
      </c>
    </row>
    <row r="97" spans="1:38" ht="18.75" customHeight="1" x14ac:dyDescent="0.2">
      <c r="A97" s="1273">
        <v>76</v>
      </c>
      <c r="B97" s="241" t="s">
        <v>121</v>
      </c>
      <c r="C97" s="1316" t="s">
        <v>313</v>
      </c>
      <c r="D97" s="241">
        <v>389.57</v>
      </c>
      <c r="E97" s="241" t="s">
        <v>137</v>
      </c>
      <c r="F97" s="241">
        <v>177.8</v>
      </c>
      <c r="G97" s="241" t="s">
        <v>28</v>
      </c>
      <c r="H97" s="241" t="s">
        <v>588</v>
      </c>
      <c r="I97" s="1755">
        <v>134.97</v>
      </c>
      <c r="J97" s="1755">
        <v>130</v>
      </c>
      <c r="K97" s="1755"/>
      <c r="L97" s="1319">
        <v>48</v>
      </c>
      <c r="M97" s="1755"/>
      <c r="N97" s="1278">
        <v>0.2</v>
      </c>
      <c r="O97" s="1755"/>
      <c r="P97" s="1278">
        <f t="shared" si="39"/>
        <v>8.0917458199031316</v>
      </c>
      <c r="Q97" s="1278">
        <f>(14*J97)/100</f>
        <v>18.2</v>
      </c>
      <c r="R97" s="244">
        <v>10.593999999999999</v>
      </c>
      <c r="S97" s="244">
        <v>11.455</v>
      </c>
      <c r="T97" s="1319">
        <v>0</v>
      </c>
      <c r="U97" s="244">
        <f t="shared" si="40"/>
        <v>0</v>
      </c>
      <c r="V97" s="1278">
        <f t="shared" si="41"/>
        <v>7.5163683980794467</v>
      </c>
      <c r="W97" s="1279">
        <v>0.2</v>
      </c>
      <c r="X97" s="1410">
        <v>130</v>
      </c>
      <c r="Y97" s="1277">
        <f t="shared" si="46"/>
        <v>62.939560439560438</v>
      </c>
      <c r="Z97" s="244">
        <f t="shared" si="42"/>
        <v>10.466871999999999</v>
      </c>
      <c r="AA97" s="244">
        <f t="shared" si="42"/>
        <v>11.317539999999999</v>
      </c>
      <c r="AB97" s="244">
        <f t="shared" si="42"/>
        <v>0</v>
      </c>
      <c r="AC97" s="244">
        <f t="shared" si="47"/>
        <v>0</v>
      </c>
      <c r="AD97" s="1278">
        <f t="shared" si="47"/>
        <v>7.5163683980794467</v>
      </c>
      <c r="AE97" s="241">
        <f t="shared" si="43"/>
        <v>30</v>
      </c>
      <c r="AF97" s="244">
        <f t="shared" si="44"/>
        <v>314.00615999999997</v>
      </c>
      <c r="AG97" s="1285" t="s">
        <v>809</v>
      </c>
      <c r="AI97" s="1282">
        <f t="shared" si="45"/>
        <v>8.0917458199031316</v>
      </c>
      <c r="AJ97" s="1252">
        <v>0.92849999999999999</v>
      </c>
      <c r="AK97" s="1252">
        <v>1</v>
      </c>
      <c r="AL97" s="1252">
        <v>6.1000000000000004E-3</v>
      </c>
    </row>
    <row r="98" spans="1:38" ht="18.75" customHeight="1" x14ac:dyDescent="0.2">
      <c r="A98" s="1273">
        <v>77</v>
      </c>
      <c r="B98" s="241" t="s">
        <v>122</v>
      </c>
      <c r="C98" s="1316" t="s">
        <v>313</v>
      </c>
      <c r="D98" s="241">
        <v>391.06</v>
      </c>
      <c r="E98" s="241" t="s">
        <v>138</v>
      </c>
      <c r="F98" s="241">
        <v>177.8</v>
      </c>
      <c r="G98" s="241" t="s">
        <v>28</v>
      </c>
      <c r="H98" s="241" t="s">
        <v>588</v>
      </c>
      <c r="I98" s="244">
        <v>149.84</v>
      </c>
      <c r="J98" s="1755">
        <v>130</v>
      </c>
      <c r="K98" s="1755"/>
      <c r="L98" s="1319">
        <v>96</v>
      </c>
      <c r="M98" s="1755"/>
      <c r="N98" s="1278">
        <v>0.9</v>
      </c>
      <c r="O98" s="1755"/>
      <c r="P98" s="1278">
        <f t="shared" si="39"/>
        <v>5.8358135218163607</v>
      </c>
      <c r="Q98" s="1278">
        <f>(14*J98)/100</f>
        <v>18.2</v>
      </c>
      <c r="R98" s="244">
        <v>10.654999999999999</v>
      </c>
      <c r="S98" s="244">
        <v>11.494999999999999</v>
      </c>
      <c r="T98" s="1319">
        <v>0</v>
      </c>
      <c r="U98" s="244">
        <f t="shared" si="40"/>
        <v>0</v>
      </c>
      <c r="V98" s="1278">
        <f t="shared" si="41"/>
        <v>7.3075250108742926</v>
      </c>
      <c r="W98" s="1279">
        <v>0.2</v>
      </c>
      <c r="X98" s="1410">
        <v>130</v>
      </c>
      <c r="Y98" s="1277">
        <f t="shared" si="46"/>
        <v>63.159340659340657</v>
      </c>
      <c r="Z98" s="244">
        <f t="shared" si="42"/>
        <v>10.527139999999999</v>
      </c>
      <c r="AA98" s="244">
        <f t="shared" si="42"/>
        <v>11.357059999999999</v>
      </c>
      <c r="AB98" s="244">
        <f t="shared" si="42"/>
        <v>0</v>
      </c>
      <c r="AC98" s="244">
        <f t="shared" si="47"/>
        <v>0</v>
      </c>
      <c r="AD98" s="1278">
        <f t="shared" si="47"/>
        <v>7.3075250108742926</v>
      </c>
      <c r="AE98" s="241">
        <f t="shared" si="43"/>
        <v>30</v>
      </c>
      <c r="AF98" s="244">
        <f t="shared" si="44"/>
        <v>315.81419999999997</v>
      </c>
      <c r="AG98" s="1285" t="s">
        <v>809</v>
      </c>
      <c r="AI98" s="1282">
        <f t="shared" si="45"/>
        <v>5.8358135218163607</v>
      </c>
      <c r="AJ98" s="1252">
        <v>0.93049999999999999</v>
      </c>
      <c r="AK98" s="1252">
        <v>1.006</v>
      </c>
      <c r="AL98" s="1252">
        <v>6.1000000000000004E-3</v>
      </c>
    </row>
    <row r="99" spans="1:38" ht="18.75" customHeight="1" x14ac:dyDescent="0.2">
      <c r="A99" s="1273">
        <v>78</v>
      </c>
      <c r="B99" s="241" t="s">
        <v>697</v>
      </c>
      <c r="C99" s="1316" t="s">
        <v>344</v>
      </c>
      <c r="D99" s="241">
        <v>383.1</v>
      </c>
      <c r="E99" s="241" t="s">
        <v>698</v>
      </c>
      <c r="F99" s="241">
        <v>177.8</v>
      </c>
      <c r="G99" s="241" t="s">
        <v>28</v>
      </c>
      <c r="H99" s="1299" t="s">
        <v>800</v>
      </c>
      <c r="I99" s="244">
        <v>206.58</v>
      </c>
      <c r="J99" s="241">
        <v>130</v>
      </c>
      <c r="K99" s="1302"/>
      <c r="L99" s="1277">
        <v>18</v>
      </c>
      <c r="M99" s="1302"/>
      <c r="N99" s="241"/>
      <c r="O99" s="1302"/>
      <c r="P99" s="1278">
        <f t="shared" si="39"/>
        <v>17.323014012268544</v>
      </c>
      <c r="Q99" s="1269">
        <f>(7*J99)/100</f>
        <v>9.1</v>
      </c>
      <c r="R99" s="244">
        <v>4.1749999999999998</v>
      </c>
      <c r="S99" s="244">
        <v>5.5149999999999997</v>
      </c>
      <c r="T99" s="244">
        <v>0</v>
      </c>
      <c r="U99" s="244">
        <f t="shared" si="40"/>
        <v>0</v>
      </c>
      <c r="V99" s="1278">
        <f t="shared" si="41"/>
        <v>24.297370806890299</v>
      </c>
      <c r="W99" s="1279">
        <v>0.2</v>
      </c>
      <c r="X99" s="1410">
        <v>130</v>
      </c>
      <c r="Y99" s="1277">
        <f t="shared" si="46"/>
        <v>60.604395604395599</v>
      </c>
      <c r="Z99" s="244">
        <f t="shared" si="42"/>
        <v>4.1248999999999993</v>
      </c>
      <c r="AA99" s="244">
        <f t="shared" si="42"/>
        <v>5.4488199999999996</v>
      </c>
      <c r="AB99" s="244">
        <f t="shared" si="42"/>
        <v>0</v>
      </c>
      <c r="AC99" s="244">
        <f t="shared" si="47"/>
        <v>0</v>
      </c>
      <c r="AD99" s="1278">
        <f t="shared" si="47"/>
        <v>24.297370806890299</v>
      </c>
      <c r="AE99" s="241">
        <f t="shared" si="43"/>
        <v>30</v>
      </c>
      <c r="AF99" s="244">
        <f t="shared" si="44"/>
        <v>123.74699999999999</v>
      </c>
      <c r="AG99" s="1285" t="s">
        <v>809</v>
      </c>
      <c r="AI99" s="1282">
        <f t="shared" si="45"/>
        <v>17.323014012268544</v>
      </c>
      <c r="AJ99" s="1252">
        <v>0.93159999999999998</v>
      </c>
      <c r="AK99" s="1252">
        <v>1</v>
      </c>
      <c r="AL99" s="1252">
        <v>6.1000000000000004E-3</v>
      </c>
    </row>
    <row r="100" spans="1:38" ht="18.75" customHeight="1" x14ac:dyDescent="0.2">
      <c r="A100" s="1273">
        <v>79</v>
      </c>
      <c r="B100" s="241" t="s">
        <v>188</v>
      </c>
      <c r="C100" s="1316" t="s">
        <v>344</v>
      </c>
      <c r="D100" s="241">
        <v>224.89</v>
      </c>
      <c r="E100" s="241" t="s">
        <v>385</v>
      </c>
      <c r="F100" s="241">
        <v>177.8</v>
      </c>
      <c r="G100" s="241" t="s">
        <v>28</v>
      </c>
      <c r="H100" s="241" t="s">
        <v>383</v>
      </c>
      <c r="I100" s="244">
        <v>144.54</v>
      </c>
      <c r="J100" s="241"/>
      <c r="K100" s="1302"/>
      <c r="L100" s="241"/>
      <c r="M100" s="1302"/>
      <c r="N100" s="241"/>
      <c r="O100" s="1302"/>
      <c r="P100" s="1278"/>
      <c r="Q100" s="1269"/>
      <c r="R100" s="244"/>
      <c r="S100" s="244"/>
      <c r="T100" s="244"/>
      <c r="U100" s="244"/>
      <c r="V100" s="244"/>
      <c r="W100" s="1355"/>
      <c r="X100" s="1316"/>
      <c r="Y100" s="1277">
        <f t="shared" si="46"/>
        <v>0</v>
      </c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80</v>
      </c>
      <c r="B101" s="241" t="s">
        <v>186</v>
      </c>
      <c r="C101" s="1316" t="s">
        <v>346</v>
      </c>
      <c r="D101" s="241">
        <v>349.5</v>
      </c>
      <c r="E101" s="1274" t="s">
        <v>347</v>
      </c>
      <c r="F101" s="241">
        <v>177.8</v>
      </c>
      <c r="G101" s="241" t="s">
        <v>618</v>
      </c>
      <c r="H101" s="1299" t="s">
        <v>466</v>
      </c>
      <c r="I101" s="244">
        <v>9</v>
      </c>
      <c r="J101" s="241"/>
      <c r="K101" s="241"/>
      <c r="L101" s="241"/>
      <c r="M101" s="1302"/>
      <c r="N101" s="241"/>
      <c r="O101" s="1302"/>
      <c r="P101" s="1278"/>
      <c r="Q101" s="1269"/>
      <c r="R101" s="244"/>
      <c r="S101" s="244"/>
      <c r="T101" s="244"/>
      <c r="U101" s="244"/>
      <c r="V101" s="244"/>
      <c r="W101" s="1355"/>
      <c r="X101" s="1316"/>
      <c r="Y101" s="1277">
        <f t="shared" si="46"/>
        <v>0</v>
      </c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273">
        <v>81</v>
      </c>
      <c r="B102" s="241" t="s">
        <v>57</v>
      </c>
      <c r="C102" s="1316" t="s">
        <v>346</v>
      </c>
      <c r="D102" s="241">
        <v>376.58</v>
      </c>
      <c r="E102" s="1274" t="s">
        <v>568</v>
      </c>
      <c r="F102" s="241">
        <v>177.8</v>
      </c>
      <c r="G102" s="241" t="s">
        <v>28</v>
      </c>
      <c r="H102" s="1299" t="s">
        <v>466</v>
      </c>
      <c r="I102" s="1755">
        <v>131.13</v>
      </c>
      <c r="J102" s="1448">
        <v>0</v>
      </c>
      <c r="K102" s="241"/>
      <c r="L102" s="241">
        <v>0</v>
      </c>
      <c r="M102" s="241"/>
      <c r="N102" s="1278">
        <v>0</v>
      </c>
      <c r="O102" s="241"/>
      <c r="P102" s="1278">
        <v>15.793855791841201</v>
      </c>
      <c r="Q102" s="1278">
        <f>(32/100)*J102</f>
        <v>0</v>
      </c>
      <c r="R102" s="244"/>
      <c r="S102" s="244">
        <v>0</v>
      </c>
      <c r="T102" s="1277">
        <v>0</v>
      </c>
      <c r="U102" s="1278">
        <f t="shared" ref="U102:U103" si="48">IF(R102=0,0,T102/R102)</f>
        <v>0</v>
      </c>
      <c r="V102" s="1278">
        <v>0.5</v>
      </c>
      <c r="W102" s="1279">
        <v>0.3</v>
      </c>
      <c r="X102" s="1449">
        <v>0</v>
      </c>
      <c r="Y102" s="1277">
        <f t="shared" si="46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273">
        <v>82</v>
      </c>
      <c r="B103" s="241" t="s">
        <v>184</v>
      </c>
      <c r="C103" s="1316" t="s">
        <v>314</v>
      </c>
      <c r="D103" s="241">
        <v>422.78</v>
      </c>
      <c r="E103" s="1274" t="s">
        <v>573</v>
      </c>
      <c r="F103" s="241">
        <v>177.8</v>
      </c>
      <c r="G103" s="241" t="s">
        <v>28</v>
      </c>
      <c r="H103" s="1299" t="s">
        <v>466</v>
      </c>
      <c r="I103" s="1755">
        <v>209.37</v>
      </c>
      <c r="J103" s="1448">
        <v>0</v>
      </c>
      <c r="K103" s="241"/>
      <c r="L103" s="241">
        <v>0</v>
      </c>
      <c r="M103" s="241"/>
      <c r="N103" s="1278">
        <v>0</v>
      </c>
      <c r="O103" s="241"/>
      <c r="P103" s="1278">
        <v>15.793855791841201</v>
      </c>
      <c r="Q103" s="1278">
        <f>(32/100)*J103</f>
        <v>0</v>
      </c>
      <c r="R103" s="244"/>
      <c r="S103" s="244">
        <v>0</v>
      </c>
      <c r="T103" s="1277">
        <v>0</v>
      </c>
      <c r="U103" s="1278">
        <f t="shared" si="48"/>
        <v>0</v>
      </c>
      <c r="V103" s="1278">
        <v>0.3</v>
      </c>
      <c r="W103" s="1279">
        <v>0.3</v>
      </c>
      <c r="X103" s="1449">
        <v>0</v>
      </c>
      <c r="Y103" s="1277">
        <f t="shared" si="46"/>
        <v>0</v>
      </c>
      <c r="Z103" s="244"/>
      <c r="AA103" s="244"/>
      <c r="AB103" s="244"/>
      <c r="AC103" s="244"/>
      <c r="AD103" s="244"/>
      <c r="AE103" s="241"/>
      <c r="AF103" s="244"/>
      <c r="AG103" s="1281" t="s">
        <v>682</v>
      </c>
    </row>
    <row r="104" spans="1:38" ht="18.75" customHeight="1" x14ac:dyDescent="0.2">
      <c r="A104" s="1347"/>
      <c r="B104" s="1364"/>
      <c r="C104" s="1365"/>
      <c r="D104" s="1365"/>
      <c r="E104" s="1366"/>
      <c r="F104" s="1755"/>
      <c r="G104" s="1753"/>
      <c r="H104" s="1754"/>
      <c r="I104" s="1754"/>
      <c r="J104" s="1755"/>
      <c r="K104" s="1755"/>
      <c r="L104" s="1755"/>
      <c r="M104" s="1755"/>
      <c r="N104" s="1755"/>
      <c r="O104" s="1755"/>
      <c r="P104" s="1269"/>
      <c r="Q104" s="1269"/>
      <c r="R104" s="1348">
        <f>SUM(R94:R99)</f>
        <v>47.795999999999999</v>
      </c>
      <c r="S104" s="1348">
        <f>SUM(S94:S99)</f>
        <v>58.129999999999995</v>
      </c>
      <c r="T104" s="1348">
        <f>SUM(T94:T99)</f>
        <v>0</v>
      </c>
      <c r="U104" s="1348">
        <f>SUM(U94:U99)</f>
        <v>0</v>
      </c>
      <c r="V104" s="1753"/>
      <c r="W104" s="1761"/>
      <c r="X104" s="1410"/>
      <c r="Y104" s="1753"/>
      <c r="Z104" s="1348">
        <f>SUM(Z94:Z101)</f>
        <v>47.222448</v>
      </c>
      <c r="AA104" s="1348">
        <f>SUM(AA94:AA101)</f>
        <v>57.432439999999993</v>
      </c>
      <c r="AB104" s="1348">
        <f>SUM(AB95:AB98)</f>
        <v>0</v>
      </c>
      <c r="AC104" s="1348">
        <v>0</v>
      </c>
      <c r="AD104" s="1753"/>
      <c r="AE104" s="1755"/>
      <c r="AF104" s="1348">
        <f>SUM(AF95:AF101)</f>
        <v>998.48267999999996</v>
      </c>
      <c r="AG104" s="1368"/>
    </row>
    <row r="105" spans="1:38" ht="18.75" customHeight="1" x14ac:dyDescent="0.2">
      <c r="A105" s="1347"/>
      <c r="B105" s="1370"/>
      <c r="C105" s="1371"/>
      <c r="D105" s="1371"/>
      <c r="E105" s="1262" t="s">
        <v>472</v>
      </c>
      <c r="F105" s="1371"/>
      <c r="G105" s="1753"/>
      <c r="H105" s="1754"/>
      <c r="I105" s="1754"/>
      <c r="J105" s="1755"/>
      <c r="K105" s="1755"/>
      <c r="L105" s="1755"/>
      <c r="M105" s="1755"/>
      <c r="N105" s="1755"/>
      <c r="O105" s="1755"/>
      <c r="P105" s="1269"/>
      <c r="Q105" s="1269"/>
      <c r="R105" s="1755"/>
      <c r="S105" s="1755"/>
      <c r="T105" s="1755"/>
      <c r="U105" s="1753"/>
      <c r="V105" s="1753"/>
      <c r="W105" s="1761"/>
      <c r="X105" s="1410"/>
      <c r="Y105" s="1753"/>
      <c r="Z105" s="1755"/>
      <c r="AA105" s="1755"/>
      <c r="AB105" s="1755"/>
      <c r="AC105" s="1753"/>
      <c r="AD105" s="1753"/>
      <c r="AE105" s="1755"/>
      <c r="AF105" s="1755"/>
      <c r="AG105" s="1752"/>
    </row>
    <row r="106" spans="1:38" ht="18.75" customHeight="1" x14ac:dyDescent="0.2">
      <c r="A106" s="1273">
        <v>83</v>
      </c>
      <c r="B106" s="1317" t="s">
        <v>107</v>
      </c>
      <c r="C106" s="1755" t="s">
        <v>109</v>
      </c>
      <c r="D106" s="1755"/>
      <c r="E106" s="1755"/>
      <c r="F106" s="1755"/>
      <c r="G106" s="1753"/>
      <c r="H106" s="1754"/>
      <c r="I106" s="1754"/>
      <c r="J106" s="1755"/>
      <c r="K106" s="1755"/>
      <c r="L106" s="1755"/>
      <c r="M106" s="1755"/>
      <c r="N106" s="1755"/>
      <c r="O106" s="1755"/>
      <c r="P106" s="1269"/>
      <c r="Q106" s="1269"/>
      <c r="R106" s="1755"/>
      <c r="S106" s="1755"/>
      <c r="T106" s="1755"/>
      <c r="U106" s="1753"/>
      <c r="V106" s="1753"/>
      <c r="W106" s="1761"/>
      <c r="X106" s="1410"/>
      <c r="Y106" s="1753"/>
      <c r="Z106" s="1754"/>
      <c r="AA106" s="1754"/>
      <c r="AB106" s="1755"/>
      <c r="AC106" s="1753"/>
      <c r="AD106" s="1753"/>
      <c r="AE106" s="1373"/>
      <c r="AF106" s="1755"/>
      <c r="AG106" s="1752"/>
    </row>
    <row r="107" spans="1:38" ht="18.75" customHeight="1" x14ac:dyDescent="0.2">
      <c r="A107" s="1273">
        <v>84</v>
      </c>
      <c r="B107" s="1317" t="s">
        <v>108</v>
      </c>
      <c r="C107" s="1755" t="s">
        <v>109</v>
      </c>
      <c r="D107" s="1755"/>
      <c r="E107" s="1755"/>
      <c r="F107" s="1755"/>
      <c r="G107" s="1753"/>
      <c r="H107" s="1754"/>
      <c r="I107" s="1754"/>
      <c r="J107" s="1755"/>
      <c r="K107" s="1755"/>
      <c r="L107" s="1755"/>
      <c r="M107" s="1755"/>
      <c r="N107" s="1755"/>
      <c r="O107" s="1755"/>
      <c r="P107" s="1269"/>
      <c r="Q107" s="1269"/>
      <c r="R107" s="1301"/>
      <c r="S107" s="1755"/>
      <c r="T107" s="1755"/>
      <c r="U107" s="1753"/>
      <c r="V107" s="1753"/>
      <c r="W107" s="1761"/>
      <c r="X107" s="1410"/>
      <c r="Y107" s="1753"/>
      <c r="Z107" s="1754"/>
      <c r="AA107" s="1754"/>
      <c r="AB107" s="1755"/>
      <c r="AC107" s="1753"/>
      <c r="AD107" s="1753"/>
      <c r="AE107" s="1373"/>
      <c r="AF107" s="1755"/>
      <c r="AG107" s="1752"/>
    </row>
    <row r="108" spans="1:38" ht="18.75" customHeight="1" x14ac:dyDescent="0.2">
      <c r="A108" s="1273">
        <v>85</v>
      </c>
      <c r="B108" s="1317" t="s">
        <v>195</v>
      </c>
      <c r="C108" s="1316" t="s">
        <v>484</v>
      </c>
      <c r="D108" s="1755"/>
      <c r="E108" s="1755"/>
      <c r="F108" s="1755"/>
      <c r="G108" s="1753"/>
      <c r="H108" s="1754"/>
      <c r="I108" s="1754"/>
      <c r="J108" s="1755"/>
      <c r="K108" s="1755"/>
      <c r="L108" s="1755"/>
      <c r="M108" s="1755"/>
      <c r="N108" s="1755"/>
      <c r="O108" s="1755"/>
      <c r="P108" s="1269"/>
      <c r="Q108" s="1269"/>
      <c r="R108" s="1755"/>
      <c r="S108" s="1755"/>
      <c r="T108" s="1755"/>
      <c r="U108" s="1753"/>
      <c r="V108" s="1753"/>
      <c r="W108" s="1761"/>
      <c r="X108" s="1410"/>
      <c r="Y108" s="1753"/>
      <c r="Z108" s="1754"/>
      <c r="AA108" s="1754"/>
      <c r="AB108" s="1755"/>
      <c r="AC108" s="1753"/>
      <c r="AD108" s="1753"/>
      <c r="AE108" s="1373"/>
      <c r="AF108" s="1755"/>
      <c r="AG108" s="1285"/>
    </row>
    <row r="109" spans="1:38" ht="18.75" customHeight="1" x14ac:dyDescent="0.2">
      <c r="A109" s="1273">
        <v>86</v>
      </c>
      <c r="B109" s="1317" t="s">
        <v>192</v>
      </c>
      <c r="C109" s="1316" t="s">
        <v>484</v>
      </c>
      <c r="D109" s="1755"/>
      <c r="E109" s="1755"/>
      <c r="F109" s="1755"/>
      <c r="G109" s="1753"/>
      <c r="H109" s="1754"/>
      <c r="I109" s="1754"/>
      <c r="J109" s="1755"/>
      <c r="K109" s="1755"/>
      <c r="L109" s="1755"/>
      <c r="M109" s="1755"/>
      <c r="N109" s="1755"/>
      <c r="O109" s="1755"/>
      <c r="P109" s="1269"/>
      <c r="Q109" s="1269"/>
      <c r="R109" s="1755"/>
      <c r="S109" s="1755"/>
      <c r="T109" s="1755"/>
      <c r="U109" s="1753"/>
      <c r="V109" s="1753"/>
      <c r="W109" s="1761"/>
      <c r="X109" s="1410"/>
      <c r="Y109" s="1753"/>
      <c r="Z109" s="1754"/>
      <c r="AA109" s="1754"/>
      <c r="AB109" s="1755"/>
      <c r="AC109" s="1753"/>
      <c r="AD109" s="1753"/>
      <c r="AE109" s="1373"/>
      <c r="AF109" s="1755"/>
      <c r="AG109" s="1285"/>
    </row>
    <row r="110" spans="1:38" ht="18.75" customHeight="1" x14ac:dyDescent="0.2">
      <c r="A110" s="1273"/>
      <c r="B110" s="1262"/>
      <c r="C110" s="1371"/>
      <c r="D110" s="1371"/>
      <c r="E110" s="1754" t="s">
        <v>278</v>
      </c>
      <c r="F110" s="1371"/>
      <c r="G110" s="1753"/>
      <c r="H110" s="1754"/>
      <c r="I110" s="1754"/>
      <c r="J110" s="1755"/>
      <c r="K110" s="1755"/>
      <c r="L110" s="1755"/>
      <c r="M110" s="1755"/>
      <c r="N110" s="1755"/>
      <c r="O110" s="1755"/>
      <c r="P110" s="1269"/>
      <c r="Q110" s="1269"/>
      <c r="R110" s="1755"/>
      <c r="S110" s="1755"/>
      <c r="T110" s="1755"/>
      <c r="U110" s="1753"/>
      <c r="V110" s="1753"/>
      <c r="W110" s="1761"/>
      <c r="X110" s="1410"/>
      <c r="Y110" s="1753"/>
      <c r="Z110" s="1301"/>
      <c r="AA110" s="1755"/>
      <c r="AB110" s="1755"/>
      <c r="AC110" s="1753"/>
      <c r="AD110" s="1753"/>
      <c r="AE110" s="1755"/>
      <c r="AF110" s="1755"/>
      <c r="AG110" s="1752"/>
    </row>
    <row r="111" spans="1:38" ht="18.75" customHeight="1" x14ac:dyDescent="0.25">
      <c r="A111" s="1273">
        <v>87</v>
      </c>
      <c r="B111" s="1274" t="s">
        <v>181</v>
      </c>
      <c r="C111" s="1374" t="s">
        <v>344</v>
      </c>
      <c r="D111" s="241">
        <v>374.5</v>
      </c>
      <c r="E111" s="241" t="s">
        <v>182</v>
      </c>
      <c r="F111" s="241">
        <v>177.8</v>
      </c>
      <c r="G111" s="241"/>
      <c r="H111" s="241"/>
      <c r="I111" s="1755"/>
      <c r="J111" s="241"/>
      <c r="K111" s="241"/>
      <c r="L111" s="241"/>
      <c r="M111" s="241"/>
      <c r="N111" s="1278"/>
      <c r="O111" s="241"/>
      <c r="P111" s="244"/>
      <c r="Q111" s="1278"/>
      <c r="R111" s="244"/>
      <c r="S111" s="244"/>
      <c r="T111" s="244"/>
      <c r="U111" s="244"/>
      <c r="V111" s="244"/>
      <c r="W111" s="1355"/>
      <c r="X111" s="1316"/>
      <c r="Y111" s="1375"/>
      <c r="Z111" s="244"/>
      <c r="AA111" s="244"/>
      <c r="AB111" s="244"/>
      <c r="AC111" s="244"/>
      <c r="AD111" s="244"/>
      <c r="AE111" s="241"/>
      <c r="AF111" s="244"/>
      <c r="AG111" s="1285"/>
    </row>
    <row r="112" spans="1:38" ht="18.75" customHeight="1" x14ac:dyDescent="0.2">
      <c r="A112" s="1273">
        <v>88</v>
      </c>
      <c r="B112" s="1317" t="s">
        <v>160</v>
      </c>
      <c r="C112" s="241" t="s">
        <v>46</v>
      </c>
      <c r="D112" s="1755">
        <v>625.1</v>
      </c>
      <c r="E112" s="1755" t="s">
        <v>578</v>
      </c>
      <c r="F112" s="241">
        <v>177.8</v>
      </c>
      <c r="G112" s="241"/>
      <c r="H112" s="241"/>
      <c r="I112" s="244"/>
      <c r="J112" s="1755"/>
      <c r="K112" s="1755"/>
      <c r="L112" s="1755"/>
      <c r="M112" s="1755"/>
      <c r="N112" s="1755"/>
      <c r="O112" s="1755"/>
      <c r="P112" s="1269"/>
      <c r="Q112" s="1269"/>
      <c r="R112" s="1755"/>
      <c r="S112" s="1755"/>
      <c r="T112" s="1755"/>
      <c r="U112" s="1753"/>
      <c r="V112" s="1753"/>
      <c r="W112" s="1761"/>
      <c r="X112" s="1410"/>
      <c r="Y112" s="1376"/>
      <c r="Z112" s="1319"/>
      <c r="AA112" s="1755"/>
      <c r="AB112" s="1755"/>
      <c r="AC112" s="1753"/>
      <c r="AD112" s="1755"/>
      <c r="AE112" s="1373"/>
      <c r="AF112" s="1301"/>
      <c r="AG112" s="1285"/>
    </row>
    <row r="113" spans="1:33" ht="15" x14ac:dyDescent="0.2">
      <c r="A113" s="1359"/>
      <c r="B113" s="241"/>
      <c r="C113" s="241"/>
      <c r="D113" s="241"/>
      <c r="E113" s="1274"/>
      <c r="F113" s="241"/>
      <c r="G113" s="241"/>
      <c r="H113" s="241"/>
      <c r="I113" s="1755"/>
      <c r="J113" s="241"/>
      <c r="K113" s="241"/>
      <c r="L113" s="241"/>
      <c r="M113" s="241"/>
      <c r="N113" s="1278"/>
      <c r="O113" s="241"/>
      <c r="P113" s="244"/>
      <c r="Q113" s="1377"/>
      <c r="R113" s="244"/>
      <c r="S113" s="244"/>
      <c r="T113" s="244"/>
      <c r="U113" s="244"/>
      <c r="V113" s="244"/>
      <c r="W113" s="1355"/>
      <c r="X113" s="1316"/>
      <c r="Y113" s="1375"/>
      <c r="Z113" s="244"/>
      <c r="AA113" s="244"/>
      <c r="AB113" s="244"/>
      <c r="AC113" s="244"/>
      <c r="AD113" s="244"/>
      <c r="AE113" s="241"/>
      <c r="AF113" s="244"/>
      <c r="AG113" s="1285"/>
    </row>
    <row r="114" spans="1:33" ht="15.75" thickBot="1" x14ac:dyDescent="0.25">
      <c r="A114" s="1378"/>
      <c r="B114" s="1757"/>
      <c r="C114" s="1757"/>
      <c r="D114" s="1757"/>
      <c r="E114" s="1758"/>
      <c r="F114" s="1379"/>
      <c r="G114" s="1380"/>
      <c r="H114" s="1380"/>
      <c r="I114" s="1381"/>
      <c r="J114" s="1380"/>
      <c r="K114" s="1379"/>
      <c r="L114" s="1380"/>
      <c r="M114" s="1379"/>
      <c r="N114" s="1383"/>
      <c r="O114" s="1379"/>
      <c r="P114" s="1384"/>
      <c r="Q114" s="1385"/>
      <c r="R114" s="1386">
        <f>R85+R92+R104</f>
        <v>353.26400000000001</v>
      </c>
      <c r="S114" s="1386">
        <f>S85+S92+S104</f>
        <v>870.07899999999984</v>
      </c>
      <c r="T114" s="1387">
        <f>T85+T92+T104</f>
        <v>5369.5</v>
      </c>
      <c r="U114" s="1386">
        <f>T114/R114</f>
        <v>15.199680692060328</v>
      </c>
      <c r="V114" s="1386"/>
      <c r="W114" s="1388"/>
      <c r="X114" s="1456"/>
      <c r="Y114" s="1386"/>
      <c r="Z114" s="1386">
        <f>Z85+Z92+Z104</f>
        <v>366.72283200000004</v>
      </c>
      <c r="AA114" s="1386">
        <f>AA85+AA104+AA92</f>
        <v>879.20585200000005</v>
      </c>
      <c r="AB114" s="1387">
        <f>AB85+AB104+AB92</f>
        <v>5405.065999999998</v>
      </c>
      <c r="AC114" s="1386">
        <f>AC85+AC104+AC92</f>
        <v>16.917244143280897</v>
      </c>
      <c r="AD114" s="1386"/>
      <c r="AE114" s="1386"/>
      <c r="AF114" s="1390">
        <f>AF85+AF92+AF104</f>
        <v>8440.0900880000008</v>
      </c>
      <c r="AG114" s="1391"/>
    </row>
    <row r="115" spans="1:33" ht="15" x14ac:dyDescent="0.2">
      <c r="B115" s="254"/>
      <c r="C115" s="254"/>
      <c r="D115" s="254"/>
      <c r="E115" s="254"/>
      <c r="F115" s="254"/>
      <c r="G115" s="255"/>
      <c r="H115" s="256"/>
      <c r="I115" s="256"/>
      <c r="J115" s="254"/>
      <c r="K115" s="254"/>
      <c r="L115" s="254"/>
      <c r="M115" s="254"/>
      <c r="N115" s="254"/>
      <c r="O115" s="254"/>
      <c r="P115" s="257"/>
      <c r="Q115" s="1393"/>
      <c r="R115" s="254"/>
      <c r="S115" s="254"/>
      <c r="T115" s="254"/>
      <c r="U115" s="255"/>
      <c r="V115" s="255"/>
      <c r="W115" s="255"/>
      <c r="X115" s="254"/>
      <c r="Y115" s="255"/>
      <c r="Z115" s="254"/>
      <c r="AA115" s="254"/>
      <c r="AB115" s="254"/>
      <c r="AC115" s="255"/>
      <c r="AD115" s="255"/>
      <c r="AE115" s="254"/>
      <c r="AF115" s="254"/>
      <c r="AG115" s="256"/>
    </row>
    <row r="116" spans="1:33" ht="15" x14ac:dyDescent="0.2">
      <c r="B116" s="148"/>
      <c r="C116" s="1756"/>
      <c r="D116" s="148"/>
      <c r="E116" s="1394">
        <v>0.95</v>
      </c>
      <c r="F116" s="148"/>
      <c r="G116" s="148" t="s">
        <v>102</v>
      </c>
      <c r="H116" s="1756"/>
      <c r="I116" s="1395"/>
      <c r="J116" s="148"/>
      <c r="K116" s="1983">
        <f>AF114*E116</f>
        <v>8018.0855836000001</v>
      </c>
      <c r="L116" s="1984"/>
      <c r="M116" s="1984"/>
      <c r="N116" s="1756" t="s">
        <v>27</v>
      </c>
      <c r="O116" s="254"/>
      <c r="P116" s="257"/>
      <c r="Q116" s="1393"/>
      <c r="R116" s="254"/>
      <c r="S116" s="254"/>
      <c r="T116" s="254"/>
      <c r="U116" s="255"/>
      <c r="V116" s="255"/>
      <c r="W116" s="255"/>
      <c r="X116" s="148"/>
      <c r="Y116" s="255"/>
      <c r="Z116" s="258"/>
      <c r="AA116" s="254"/>
      <c r="AB116" s="254"/>
      <c r="AC116" s="255"/>
      <c r="AD116" s="255"/>
      <c r="AE116" s="254"/>
      <c r="AF116" s="258"/>
      <c r="AG116" s="256"/>
    </row>
    <row r="117" spans="1:33" ht="15" x14ac:dyDescent="0.2">
      <c r="B117" s="148"/>
      <c r="C117" s="1756"/>
      <c r="D117" s="148"/>
      <c r="E117" s="154"/>
      <c r="F117" s="148"/>
      <c r="G117" s="148" t="s">
        <v>733</v>
      </c>
      <c r="H117" s="1756"/>
      <c r="I117" s="1395"/>
      <c r="J117" s="148"/>
      <c r="K117" s="1756"/>
      <c r="L117" s="1397"/>
      <c r="M117" s="148">
        <f>K116*0.8677</f>
        <v>6957.29286088972</v>
      </c>
      <c r="N117" s="148" t="s">
        <v>734</v>
      </c>
      <c r="O117" s="148"/>
      <c r="P117" s="1398"/>
      <c r="Q117" s="1399"/>
      <c r="R117" s="148"/>
      <c r="S117" s="148"/>
      <c r="T117" s="148"/>
      <c r="U117" s="148"/>
      <c r="V117" s="148"/>
      <c r="W117" s="148"/>
      <c r="X117" s="148"/>
      <c r="Y117" s="1760"/>
      <c r="Z117" s="1760"/>
      <c r="AA117" s="150"/>
      <c r="AB117" s="1760"/>
      <c r="AC117" s="1760"/>
      <c r="AD117" s="1760"/>
      <c r="AE117" s="1760"/>
      <c r="AF117" s="1760"/>
      <c r="AG117" s="1400"/>
    </row>
    <row r="118" spans="1:33" ht="15" x14ac:dyDescent="0.2">
      <c r="B118" s="148"/>
      <c r="C118" s="1756"/>
      <c r="D118" s="148"/>
      <c r="E118" s="154"/>
      <c r="F118" s="148"/>
      <c r="G118" s="148"/>
      <c r="H118" s="1756"/>
      <c r="I118" s="1395"/>
      <c r="J118" s="148"/>
      <c r="K118" s="1756"/>
      <c r="L118" s="1397"/>
      <c r="M118" s="148"/>
      <c r="N118" s="148"/>
      <c r="O118" s="148"/>
      <c r="P118" s="1398"/>
      <c r="Q118" s="1399"/>
      <c r="R118" s="148"/>
      <c r="S118" s="148"/>
      <c r="T118" s="148"/>
      <c r="U118" s="148"/>
      <c r="V118" s="148"/>
      <c r="W118" s="148"/>
      <c r="X118" s="148"/>
      <c r="Y118" s="1760"/>
      <c r="Z118" s="1760"/>
      <c r="AA118" s="1760"/>
      <c r="AB118" s="1760"/>
      <c r="AC118" s="1760"/>
      <c r="AD118" s="1760"/>
      <c r="AE118" s="1760"/>
      <c r="AF118" s="1760"/>
      <c r="AG118" s="1400"/>
    </row>
    <row r="119" spans="1:33" ht="15" x14ac:dyDescent="0.2">
      <c r="B119" s="148"/>
      <c r="C119" s="148"/>
      <c r="D119" s="148"/>
      <c r="E119" s="1401" t="s">
        <v>214</v>
      </c>
      <c r="F119" s="1826" t="s">
        <v>268</v>
      </c>
      <c r="G119" s="1826"/>
      <c r="H119" s="1826"/>
      <c r="I119" s="148"/>
      <c r="J119" s="148"/>
      <c r="K119" s="1756"/>
      <c r="L119" s="1756"/>
      <c r="M119" s="148"/>
      <c r="N119" s="148"/>
      <c r="O119" s="148"/>
      <c r="P119" s="148"/>
      <c r="Q119" s="1399"/>
      <c r="R119" s="148"/>
      <c r="S119" s="148"/>
      <c r="T119" s="148"/>
      <c r="U119" s="148"/>
      <c r="V119" s="148"/>
      <c r="W119" s="148"/>
      <c r="X119" s="148"/>
      <c r="Y119" s="1985" t="s">
        <v>352</v>
      </c>
      <c r="Z119" s="1986"/>
      <c r="AA119" s="1986"/>
      <c r="AB119" s="1986"/>
      <c r="AC119" s="1760" t="s">
        <v>561</v>
      </c>
      <c r="AD119" s="1760"/>
      <c r="AE119" s="1760"/>
      <c r="AF119" s="1760"/>
      <c r="AG119" s="1760"/>
    </row>
    <row r="120" spans="1:33" x14ac:dyDescent="0.2">
      <c r="R120" s="1282"/>
    </row>
    <row r="121" spans="1:33" x14ac:dyDescent="0.2">
      <c r="AA121" s="1282"/>
    </row>
    <row r="123" spans="1:33" x14ac:dyDescent="0.2">
      <c r="E123" s="1267"/>
    </row>
  </sheetData>
  <autoFilter ref="A12:AO91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0"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  <mergeCell ref="H12:X12"/>
    <mergeCell ref="J13:W13"/>
    <mergeCell ref="A14:A16"/>
    <mergeCell ref="B14:B16"/>
    <mergeCell ref="C14:C16"/>
    <mergeCell ref="D14:D16"/>
    <mergeCell ref="E14:E16"/>
    <mergeCell ref="F14:F16"/>
    <mergeCell ref="G14:G16"/>
    <mergeCell ref="H14:W14"/>
    <mergeCell ref="AD15:AD16"/>
    <mergeCell ref="AG15:AG16"/>
    <mergeCell ref="AN15:AN16"/>
    <mergeCell ref="AO15:AO16"/>
    <mergeCell ref="X14:AG14"/>
    <mergeCell ref="Y15:Y16"/>
    <mergeCell ref="K116:M116"/>
    <mergeCell ref="F119:H119"/>
    <mergeCell ref="Y119:AB119"/>
    <mergeCell ref="Z15:AB15"/>
    <mergeCell ref="AC15:AC16"/>
    <mergeCell ref="H15:H16"/>
    <mergeCell ref="K15:L15"/>
    <mergeCell ref="M15:N15"/>
    <mergeCell ref="O15:P15"/>
    <mergeCell ref="R15:T15"/>
    <mergeCell ref="U15:U16"/>
    <mergeCell ref="V15:V16"/>
    <mergeCell ref="W15:W16"/>
  </mergeCells>
  <pageMargins left="7.874015748031496E-2" right="7.874015748031496E-2" top="0" bottom="0" header="0" footer="0"/>
  <pageSetup paperSize="8" scale="60" fitToWidth="2" fitToHeight="2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9008-2631-4D35-AC9D-C724562970DA}">
  <dimension ref="A1:AQ122"/>
  <sheetViews>
    <sheetView topLeftCell="A51" zoomScale="80" zoomScaleNormal="80" workbookViewId="0">
      <selection activeCell="E83" sqref="E83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7.2851562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2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776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41" ht="74.25" customHeight="1" x14ac:dyDescent="0.2">
      <c r="A2" s="1977" t="s">
        <v>814</v>
      </c>
      <c r="B2" s="1977"/>
      <c r="C2" s="1977"/>
      <c r="D2" s="1977"/>
      <c r="E2" s="1776"/>
      <c r="F2" s="1776"/>
      <c r="G2" s="1765"/>
      <c r="H2" s="1775"/>
      <c r="I2" s="1775"/>
      <c r="J2" s="1775"/>
      <c r="K2" s="1775"/>
      <c r="L2" s="1775"/>
      <c r="M2" s="1775"/>
      <c r="N2" s="1775"/>
      <c r="O2" s="1775"/>
      <c r="P2" s="1775"/>
      <c r="Q2" s="1256"/>
      <c r="R2" s="1776"/>
      <c r="S2" s="1776"/>
      <c r="T2" s="1776"/>
      <c r="U2" s="1776"/>
      <c r="V2" s="1776"/>
      <c r="W2" s="1776"/>
      <c r="X2" s="1775"/>
      <c r="Y2" s="1776"/>
      <c r="Z2" s="1776"/>
      <c r="AA2" s="1776"/>
      <c r="AC2" s="1776"/>
      <c r="AD2" s="1776"/>
      <c r="AE2" s="1776"/>
      <c r="AF2" s="1998" t="s">
        <v>750</v>
      </c>
      <c r="AG2" s="1998"/>
    </row>
    <row r="3" spans="1:41" ht="15.75" x14ac:dyDescent="0.25">
      <c r="A3" s="1408" t="s">
        <v>815</v>
      </c>
      <c r="B3" s="1766"/>
      <c r="C3" s="1766"/>
      <c r="D3" s="1766"/>
      <c r="E3" s="1776"/>
      <c r="F3" s="1776"/>
      <c r="G3" s="1765"/>
      <c r="H3" s="1775"/>
      <c r="I3" s="1775"/>
      <c r="J3" s="1775"/>
      <c r="K3" s="1775"/>
      <c r="L3" s="1775"/>
      <c r="M3" s="1775"/>
      <c r="N3" s="1775"/>
      <c r="O3" s="1775"/>
      <c r="P3" s="1775"/>
      <c r="Q3" s="1256"/>
      <c r="R3" s="1776"/>
      <c r="S3" s="1776"/>
      <c r="T3" s="1776"/>
      <c r="U3" s="1776"/>
      <c r="V3" s="1776"/>
      <c r="W3" s="1776"/>
      <c r="X3" s="1775"/>
      <c r="Y3" s="1776"/>
      <c r="Z3" s="1776"/>
      <c r="AA3" s="1776"/>
      <c r="AB3" s="1776"/>
      <c r="AC3" s="1260"/>
      <c r="AE3" s="1222"/>
      <c r="AF3" s="1775" t="s">
        <v>739</v>
      </c>
      <c r="AG3" s="1494"/>
    </row>
    <row r="4" spans="1:41" ht="15" x14ac:dyDescent="0.25">
      <c r="A4" s="1976"/>
      <c r="B4" s="1976"/>
      <c r="C4" s="1976"/>
      <c r="D4" s="1976"/>
      <c r="E4" s="1767"/>
      <c r="F4" s="1776"/>
      <c r="G4" s="1765"/>
      <c r="H4" s="1765"/>
      <c r="I4" s="1775"/>
      <c r="J4" s="1775"/>
      <c r="K4" s="1775"/>
      <c r="L4" s="1775"/>
      <c r="M4" s="1775"/>
      <c r="N4" s="1775"/>
      <c r="O4" s="1775"/>
      <c r="P4" s="1775"/>
      <c r="Q4" s="1256"/>
      <c r="R4" s="1764"/>
      <c r="S4" s="1764"/>
      <c r="T4" s="1764"/>
      <c r="U4" s="1764"/>
      <c r="V4" s="1764"/>
      <c r="W4" s="1764"/>
      <c r="X4" s="1775"/>
      <c r="Y4" s="1776"/>
      <c r="Z4" s="1776"/>
      <c r="AB4" s="1776"/>
      <c r="AD4" s="1776"/>
      <c r="AE4" s="1258"/>
      <c r="AF4" s="154"/>
      <c r="AG4" s="1495"/>
    </row>
    <row r="5" spans="1:41" ht="27" customHeight="1" x14ac:dyDescent="0.25">
      <c r="A5" s="1976" t="s">
        <v>802</v>
      </c>
      <c r="B5" s="1976"/>
      <c r="C5" s="1976"/>
      <c r="D5" s="1976"/>
      <c r="E5" s="1776"/>
      <c r="F5" s="1776"/>
      <c r="G5" s="1765"/>
      <c r="H5" s="1765"/>
      <c r="I5" s="1776"/>
      <c r="J5" s="1776"/>
      <c r="K5" s="1765"/>
      <c r="L5" s="1765"/>
      <c r="M5" s="1776"/>
      <c r="N5" s="1776"/>
      <c r="O5" s="1776"/>
      <c r="P5" s="149"/>
      <c r="Q5" s="1257"/>
      <c r="R5" s="1776"/>
      <c r="S5" s="1776"/>
      <c r="T5" s="1776"/>
      <c r="U5" s="1776"/>
      <c r="V5" s="1776"/>
      <c r="W5" s="1776"/>
      <c r="X5" s="1776"/>
      <c r="Y5" s="1776"/>
      <c r="Z5" s="1776"/>
      <c r="AA5" s="1776"/>
      <c r="AB5" s="1776"/>
      <c r="AC5" s="1776"/>
      <c r="AD5" s="1776"/>
      <c r="AF5" s="154" t="s">
        <v>803</v>
      </c>
      <c r="AG5" s="1495"/>
    </row>
    <row r="6" spans="1:41" ht="27" customHeight="1" x14ac:dyDescent="0.2">
      <c r="A6" s="1942"/>
      <c r="B6" s="1942"/>
      <c r="C6" s="1942"/>
      <c r="D6" s="1942"/>
      <c r="E6" s="1776"/>
      <c r="F6" s="1776"/>
      <c r="G6" s="1765"/>
      <c r="H6" s="1765"/>
      <c r="I6" s="1776"/>
      <c r="J6" s="1776"/>
      <c r="K6" s="1765"/>
      <c r="L6" s="1765"/>
      <c r="M6" s="1776"/>
      <c r="N6" s="1776"/>
      <c r="O6" s="1776"/>
      <c r="P6" s="149"/>
      <c r="Q6" s="1257"/>
      <c r="R6" s="1776"/>
      <c r="S6" s="1776"/>
      <c r="T6" s="1776"/>
      <c r="U6" s="1776"/>
      <c r="V6" s="1776"/>
      <c r="W6" s="1776"/>
      <c r="X6" s="1776"/>
      <c r="Y6" s="1776"/>
      <c r="Z6" s="1776"/>
      <c r="AA6" s="1776"/>
      <c r="AB6" s="1776"/>
      <c r="AC6" s="1776"/>
      <c r="AD6" s="1776"/>
      <c r="AE6" s="1776"/>
      <c r="AF6" s="1776"/>
    </row>
    <row r="7" spans="1:41" ht="27" customHeight="1" x14ac:dyDescent="0.2">
      <c r="A7" s="1942" t="s">
        <v>54</v>
      </c>
      <c r="B7" s="1942"/>
      <c r="C7" s="1942"/>
      <c r="D7" s="1942"/>
      <c r="E7" s="1776"/>
      <c r="F7" s="1776"/>
      <c r="G7" s="1765"/>
      <c r="H7" s="1765"/>
      <c r="I7" s="1776"/>
      <c r="J7" s="1776"/>
      <c r="K7" s="1765"/>
      <c r="L7" s="1765"/>
      <c r="M7" s="1776"/>
      <c r="N7" s="1776"/>
      <c r="O7" s="1776"/>
      <c r="P7" s="149"/>
      <c r="Q7" s="1257"/>
      <c r="R7" s="1776"/>
      <c r="S7" s="1776"/>
      <c r="T7" s="1776"/>
      <c r="U7" s="1776"/>
      <c r="V7" s="1776"/>
      <c r="W7" s="1776"/>
      <c r="X7" s="1776"/>
      <c r="Y7" s="1776"/>
      <c r="Z7" s="1776"/>
      <c r="AA7" s="1776"/>
      <c r="AB7" s="1776"/>
      <c r="AC7" s="1776"/>
      <c r="AD7" s="1776"/>
      <c r="AE7" s="1776"/>
      <c r="AF7" s="1776"/>
    </row>
    <row r="8" spans="1:41" ht="39" customHeight="1" x14ac:dyDescent="0.2">
      <c r="A8" s="1977" t="s">
        <v>736</v>
      </c>
      <c r="B8" s="1977"/>
      <c r="C8" s="1977"/>
      <c r="D8" s="1977"/>
      <c r="E8" s="1776"/>
      <c r="F8" s="1776"/>
      <c r="G8" s="1765"/>
      <c r="H8" s="1765"/>
      <c r="I8" s="1776"/>
      <c r="J8" s="1776"/>
      <c r="K8" s="1765"/>
      <c r="L8" s="1765"/>
      <c r="M8" s="1776"/>
      <c r="N8" s="1776"/>
      <c r="O8" s="1776"/>
      <c r="P8" s="149"/>
      <c r="Q8" s="1257"/>
      <c r="R8" s="1776"/>
      <c r="S8" s="1776"/>
      <c r="T8" s="1776"/>
      <c r="U8" s="1776"/>
      <c r="V8" s="1776"/>
      <c r="W8" s="1776"/>
      <c r="X8" s="1776"/>
      <c r="Y8" s="1776"/>
      <c r="Z8" s="1776"/>
      <c r="AA8" s="1776"/>
      <c r="AB8" s="1776"/>
      <c r="AC8" s="1776"/>
      <c r="AD8" s="1776"/>
      <c r="AE8" s="1776"/>
      <c r="AF8" s="1776"/>
    </row>
    <row r="9" spans="1:41" ht="27" customHeight="1" x14ac:dyDescent="0.2">
      <c r="A9" s="1408" t="s">
        <v>737</v>
      </c>
      <c r="B9" s="1766"/>
      <c r="C9" s="1766"/>
      <c r="D9" s="1766"/>
      <c r="E9" s="1776"/>
      <c r="F9" s="1776"/>
      <c r="G9" s="1765"/>
      <c r="H9" s="1765"/>
      <c r="I9" s="1776"/>
      <c r="J9" s="1776"/>
      <c r="K9" s="1765"/>
      <c r="L9" s="1765"/>
      <c r="M9" s="1776"/>
      <c r="N9" s="1776"/>
      <c r="O9" s="1776"/>
      <c r="P9" s="149"/>
      <c r="Q9" s="1257"/>
      <c r="R9" s="1776"/>
      <c r="S9" s="1776"/>
      <c r="T9" s="1776"/>
      <c r="U9" s="1776"/>
      <c r="V9" s="1776"/>
      <c r="W9" s="1776"/>
      <c r="X9" s="1776"/>
      <c r="Y9" s="1776"/>
      <c r="Z9" s="1776"/>
      <c r="AA9" s="1776"/>
      <c r="AB9" s="1776"/>
      <c r="AC9" s="1776"/>
      <c r="AD9" s="1776"/>
      <c r="AE9" s="1776"/>
      <c r="AF9" s="1776"/>
    </row>
    <row r="10" spans="1:41" ht="27" customHeight="1" x14ac:dyDescent="0.2">
      <c r="A10" s="1976"/>
      <c r="B10" s="1976"/>
      <c r="C10" s="1976"/>
      <c r="D10" s="1976"/>
      <c r="E10" s="1767"/>
      <c r="F10" s="1776"/>
      <c r="G10" s="1765"/>
      <c r="H10" s="1765"/>
      <c r="I10" s="1776"/>
      <c r="J10" s="1776"/>
      <c r="K10" s="1765"/>
      <c r="L10" s="1765"/>
      <c r="M10" s="1776"/>
      <c r="N10" s="1776"/>
      <c r="O10" s="1776"/>
      <c r="P10" s="149"/>
      <c r="Q10" s="1257"/>
      <c r="R10" s="1776"/>
      <c r="S10" s="1776"/>
      <c r="T10" s="1776"/>
      <c r="U10" s="1776"/>
      <c r="V10" s="1776"/>
      <c r="W10" s="1776"/>
      <c r="X10" s="1776"/>
      <c r="Y10" s="1776"/>
      <c r="Z10" s="1776"/>
      <c r="AA10" s="1776"/>
      <c r="AB10" s="1776"/>
      <c r="AC10" s="1776"/>
      <c r="AD10" s="1776"/>
      <c r="AE10" s="1776"/>
      <c r="AF10" s="1776"/>
    </row>
    <row r="11" spans="1:41" ht="27" customHeight="1" x14ac:dyDescent="0.2">
      <c r="A11" s="1976" t="s">
        <v>802</v>
      </c>
      <c r="B11" s="1976"/>
      <c r="C11" s="1976"/>
      <c r="D11" s="1976"/>
      <c r="E11" s="1776"/>
      <c r="F11" s="1776"/>
      <c r="G11" s="1765"/>
      <c r="H11" s="1765"/>
      <c r="I11" s="1776"/>
      <c r="J11" s="1776"/>
      <c r="K11" s="1765"/>
      <c r="L11" s="1765"/>
      <c r="M11" s="1776"/>
      <c r="N11" s="1776"/>
      <c r="O11" s="1776"/>
      <c r="P11" s="149"/>
      <c r="Q11" s="1257"/>
      <c r="R11" s="1776"/>
      <c r="S11" s="1776"/>
      <c r="T11" s="1776"/>
      <c r="U11" s="1776"/>
      <c r="V11" s="1776"/>
      <c r="W11" s="1776"/>
      <c r="X11" s="1776"/>
      <c r="Y11" s="1776"/>
      <c r="Z11" s="1776"/>
      <c r="AA11" s="1776"/>
      <c r="AB11" s="1776"/>
      <c r="AC11" s="1776"/>
      <c r="AD11" s="1776"/>
      <c r="AE11" s="1776"/>
      <c r="AF11" s="1776"/>
    </row>
    <row r="12" spans="1:41" ht="28.5" customHeight="1" x14ac:dyDescent="0.2">
      <c r="B12" s="1765"/>
      <c r="C12" s="1765"/>
      <c r="D12" s="1765"/>
      <c r="E12" s="1776"/>
      <c r="F12" s="1776"/>
      <c r="G12" s="1765"/>
      <c r="H12" s="1962" t="s">
        <v>65</v>
      </c>
      <c r="I12" s="1963"/>
      <c r="J12" s="1963"/>
      <c r="K12" s="1963"/>
      <c r="L12" s="1963"/>
      <c r="M12" s="1963"/>
      <c r="N12" s="1963"/>
      <c r="O12" s="1963"/>
      <c r="P12" s="1963"/>
      <c r="Q12" s="1963"/>
      <c r="R12" s="1963"/>
      <c r="S12" s="1963"/>
      <c r="T12" s="1963"/>
      <c r="U12" s="1963"/>
      <c r="V12" s="1963"/>
      <c r="W12" s="1963"/>
      <c r="X12" s="1963"/>
      <c r="Y12" s="1776"/>
      <c r="Z12" s="148"/>
      <c r="AA12" s="148"/>
      <c r="AB12" s="148"/>
      <c r="AC12" s="148"/>
    </row>
    <row r="13" spans="1:41" ht="31.5" customHeight="1" thickBot="1" x14ac:dyDescent="0.25">
      <c r="B13" s="1765"/>
      <c r="C13" s="1765"/>
      <c r="D13" s="1765"/>
      <c r="E13" s="1776"/>
      <c r="F13" s="1776"/>
      <c r="G13" s="1765"/>
      <c r="H13" s="1765"/>
      <c r="I13" s="140"/>
      <c r="J13" s="1964" t="s">
        <v>816</v>
      </c>
      <c r="K13" s="1965"/>
      <c r="L13" s="1965"/>
      <c r="M13" s="1965"/>
      <c r="N13" s="1965"/>
      <c r="O13" s="1965"/>
      <c r="P13" s="1965"/>
      <c r="Q13" s="1965"/>
      <c r="R13" s="1965"/>
      <c r="S13" s="1965"/>
      <c r="T13" s="1965"/>
      <c r="U13" s="1965"/>
      <c r="V13" s="1965"/>
      <c r="W13" s="1965"/>
      <c r="X13" s="1776"/>
      <c r="Y13" s="1776"/>
      <c r="Z13" s="148"/>
      <c r="AA13" s="148"/>
      <c r="AB13" s="148"/>
      <c r="AC13" s="148"/>
      <c r="AD13" s="1776"/>
      <c r="AE13" s="1776"/>
      <c r="AF13" s="1776"/>
      <c r="AG13" s="151"/>
    </row>
    <row r="14" spans="1:41" ht="18.75" customHeight="1" x14ac:dyDescent="0.2">
      <c r="A14" s="1969" t="s">
        <v>1</v>
      </c>
      <c r="B14" s="1971" t="s">
        <v>664</v>
      </c>
      <c r="C14" s="1973" t="s">
        <v>8</v>
      </c>
      <c r="D14" s="1992" t="s">
        <v>719</v>
      </c>
      <c r="E14" s="1994" t="s">
        <v>720</v>
      </c>
      <c r="F14" s="1992" t="s">
        <v>721</v>
      </c>
      <c r="G14" s="1973" t="s">
        <v>667</v>
      </c>
      <c r="H14" s="1988" t="s">
        <v>669</v>
      </c>
      <c r="I14" s="1988"/>
      <c r="J14" s="1988"/>
      <c r="K14" s="1988"/>
      <c r="L14" s="1988"/>
      <c r="M14" s="1988"/>
      <c r="N14" s="1988"/>
      <c r="O14" s="1988"/>
      <c r="P14" s="1988"/>
      <c r="Q14" s="1988"/>
      <c r="R14" s="1988"/>
      <c r="S14" s="1988"/>
      <c r="T14" s="1988"/>
      <c r="U14" s="1988"/>
      <c r="V14" s="1988"/>
      <c r="W14" s="1989"/>
      <c r="X14" s="1978" t="s">
        <v>22</v>
      </c>
      <c r="Y14" s="1979"/>
      <c r="Z14" s="1979"/>
      <c r="AA14" s="1979"/>
      <c r="AB14" s="1979"/>
      <c r="AC14" s="1979"/>
      <c r="AD14" s="1979"/>
      <c r="AE14" s="1979"/>
      <c r="AF14" s="1979"/>
      <c r="AG14" s="1980"/>
    </row>
    <row r="15" spans="1:41" ht="168" customHeight="1" x14ac:dyDescent="0.2">
      <c r="A15" s="1970"/>
      <c r="B15" s="1972"/>
      <c r="C15" s="1968"/>
      <c r="D15" s="1993"/>
      <c r="E15" s="1995"/>
      <c r="F15" s="1993"/>
      <c r="G15" s="1968"/>
      <c r="H15" s="1990" t="s">
        <v>668</v>
      </c>
      <c r="I15" s="1262" t="s">
        <v>670</v>
      </c>
      <c r="J15" s="1769" t="s">
        <v>671</v>
      </c>
      <c r="K15" s="1972" t="s">
        <v>672</v>
      </c>
      <c r="L15" s="1972"/>
      <c r="M15" s="1972" t="s">
        <v>10</v>
      </c>
      <c r="N15" s="1972"/>
      <c r="O15" s="1968" t="s">
        <v>11</v>
      </c>
      <c r="P15" s="1968"/>
      <c r="Q15" s="1264" t="s">
        <v>674</v>
      </c>
      <c r="R15" s="1972" t="s">
        <v>15</v>
      </c>
      <c r="S15" s="1975"/>
      <c r="T15" s="1975"/>
      <c r="U15" s="1968" t="s">
        <v>100</v>
      </c>
      <c r="V15" s="1968" t="s">
        <v>16</v>
      </c>
      <c r="W15" s="1987" t="s">
        <v>677</v>
      </c>
      <c r="X15" s="1451" t="s">
        <v>671</v>
      </c>
      <c r="Y15" s="1968" t="s">
        <v>24</v>
      </c>
      <c r="Z15" s="1972" t="s">
        <v>678</v>
      </c>
      <c r="AA15" s="1975"/>
      <c r="AB15" s="1975"/>
      <c r="AC15" s="1968" t="s">
        <v>100</v>
      </c>
      <c r="AD15" s="1968" t="s">
        <v>16</v>
      </c>
      <c r="AE15" s="1769" t="s">
        <v>18</v>
      </c>
      <c r="AF15" s="1769" t="s">
        <v>20</v>
      </c>
      <c r="AG15" s="1967" t="s">
        <v>21</v>
      </c>
      <c r="AH15" s="1267">
        <v>45413</v>
      </c>
      <c r="AN15" s="1966" t="s">
        <v>711</v>
      </c>
      <c r="AO15" s="1966" t="s">
        <v>712</v>
      </c>
    </row>
    <row r="16" spans="1:41" ht="25.5" customHeight="1" x14ac:dyDescent="0.2">
      <c r="A16" s="1970"/>
      <c r="B16" s="1972"/>
      <c r="C16" s="1968"/>
      <c r="D16" s="1991"/>
      <c r="E16" s="1996"/>
      <c r="F16" s="1991"/>
      <c r="G16" s="1968"/>
      <c r="H16" s="1991"/>
      <c r="I16" s="1771" t="s">
        <v>3</v>
      </c>
      <c r="J16" s="1771" t="s">
        <v>7</v>
      </c>
      <c r="K16" s="1771" t="s">
        <v>30</v>
      </c>
      <c r="L16" s="1771" t="s">
        <v>29</v>
      </c>
      <c r="M16" s="1771" t="s">
        <v>31</v>
      </c>
      <c r="N16" s="1771" t="s">
        <v>32</v>
      </c>
      <c r="O16" s="1771" t="s">
        <v>12</v>
      </c>
      <c r="P16" s="1269" t="s">
        <v>673</v>
      </c>
      <c r="Q16" s="1270" t="s">
        <v>26</v>
      </c>
      <c r="R16" s="1771" t="s">
        <v>675</v>
      </c>
      <c r="S16" s="1771" t="s">
        <v>25</v>
      </c>
      <c r="T16" s="1771" t="s">
        <v>676</v>
      </c>
      <c r="U16" s="1968"/>
      <c r="V16" s="1968"/>
      <c r="W16" s="1987"/>
      <c r="X16" s="1410" t="s">
        <v>7</v>
      </c>
      <c r="Y16" s="1968"/>
      <c r="Z16" s="1771" t="s">
        <v>14</v>
      </c>
      <c r="AA16" s="1771" t="s">
        <v>679</v>
      </c>
      <c r="AB16" s="1771" t="s">
        <v>113</v>
      </c>
      <c r="AC16" s="1968"/>
      <c r="AD16" s="1968"/>
      <c r="AE16" s="1771" t="s">
        <v>19</v>
      </c>
      <c r="AF16" s="1771" t="s">
        <v>680</v>
      </c>
      <c r="AG16" s="1967"/>
      <c r="AH16" s="1252" t="s">
        <v>657</v>
      </c>
      <c r="AI16" s="1269" t="s">
        <v>636</v>
      </c>
      <c r="AJ16" s="1269" t="s">
        <v>654</v>
      </c>
      <c r="AK16" s="1269" t="s">
        <v>653</v>
      </c>
      <c r="AL16" s="1269" t="s">
        <v>655</v>
      </c>
      <c r="AM16" s="1272" t="s">
        <v>710</v>
      </c>
      <c r="AN16" s="1966"/>
      <c r="AO16" s="1966"/>
    </row>
    <row r="17" spans="1:41" ht="18.75" customHeight="1" x14ac:dyDescent="0.2">
      <c r="A17" s="1273">
        <v>1</v>
      </c>
      <c r="B17" s="1274" t="s">
        <v>139</v>
      </c>
      <c r="C17" s="241" t="s">
        <v>46</v>
      </c>
      <c r="D17" s="241">
        <v>610.5</v>
      </c>
      <c r="E17" s="241" t="s">
        <v>571</v>
      </c>
      <c r="F17" s="241">
        <v>177.8</v>
      </c>
      <c r="G17" s="241" t="s">
        <v>28</v>
      </c>
      <c r="H17" s="1275" t="s">
        <v>556</v>
      </c>
      <c r="I17" s="1771">
        <v>557.80999999999995</v>
      </c>
      <c r="J17" s="1448"/>
      <c r="K17" s="241"/>
      <c r="L17" s="1277"/>
      <c r="M17" s="241"/>
      <c r="N17" s="1278"/>
      <c r="O17" s="241"/>
      <c r="P17" s="1278"/>
      <c r="Q17" s="1278"/>
      <c r="R17" s="244"/>
      <c r="S17" s="244"/>
      <c r="T17" s="1277"/>
      <c r="U17" s="1278"/>
      <c r="V17" s="1278"/>
      <c r="W17" s="1279"/>
      <c r="X17" s="1449">
        <v>190</v>
      </c>
      <c r="Y17" s="1277">
        <v>74.748987854251013</v>
      </c>
      <c r="Z17" s="244">
        <v>4.6762039999999994</v>
      </c>
      <c r="AA17" s="244">
        <v>18.241444000000001</v>
      </c>
      <c r="AB17" s="1277">
        <v>11.856</v>
      </c>
      <c r="AC17" s="244">
        <v>2.5353898161842383</v>
      </c>
      <c r="AD17" s="1277">
        <v>74.364946108433088</v>
      </c>
      <c r="AE17" s="241">
        <v>5</v>
      </c>
      <c r="AF17" s="244">
        <v>23.381019999999996</v>
      </c>
      <c r="AG17" s="1281" t="s">
        <v>808</v>
      </c>
      <c r="AI17" s="1282">
        <f t="shared" ref="AI17:AI81" si="0">(9.81*(AJ17*(100%-(V17/100))+AK17*(V17/100))*(I17-L17)+N17*101.325+9.81*(AL17)*L17)/101.325</f>
        <v>49.458316549518862</v>
      </c>
      <c r="AJ17" s="1252">
        <v>0.91579999999999995</v>
      </c>
      <c r="AK17" s="1252">
        <v>1.018</v>
      </c>
      <c r="AL17" s="1252">
        <v>7.5858300000000007E-4</v>
      </c>
      <c r="AM17" s="1252">
        <f>DAY(EOMONTH($AH$15,0))</f>
        <v>31</v>
      </c>
      <c r="AN17" s="1252">
        <v>39369</v>
      </c>
      <c r="AO17" s="1252">
        <f>COUNTIF(R17:R102, "&lt;200")</f>
        <v>64</v>
      </c>
    </row>
    <row r="18" spans="1:41" ht="18.75" customHeight="1" x14ac:dyDescent="0.2">
      <c r="A18" s="1273">
        <v>2</v>
      </c>
      <c r="B18" s="1274" t="s">
        <v>140</v>
      </c>
      <c r="C18" s="241" t="s">
        <v>46</v>
      </c>
      <c r="D18" s="241">
        <v>623.5</v>
      </c>
      <c r="E18" s="241" t="s">
        <v>585</v>
      </c>
      <c r="F18" s="241">
        <v>177.8</v>
      </c>
      <c r="G18" s="241" t="s">
        <v>28</v>
      </c>
      <c r="H18" s="241" t="s">
        <v>683</v>
      </c>
      <c r="I18" s="1771">
        <v>563.55999999999995</v>
      </c>
      <c r="J18" s="241"/>
      <c r="K18" s="241">
        <v>164</v>
      </c>
      <c r="L18" s="1277"/>
      <c r="M18" s="241">
        <v>1.2</v>
      </c>
      <c r="N18" s="1278"/>
      <c r="O18" s="241"/>
      <c r="P18" s="1278"/>
      <c r="Q18" s="1278"/>
      <c r="R18" s="244"/>
      <c r="S18" s="244"/>
      <c r="T18" s="1277"/>
      <c r="U18" s="1278"/>
      <c r="V18" s="1278"/>
      <c r="W18" s="1279"/>
      <c r="X18" s="1316"/>
      <c r="Y18" s="1277">
        <f t="shared" ref="Y18:Y82" si="1">IF(S18=0,0,S18/Q18)*100</f>
        <v>0</v>
      </c>
      <c r="Z18" s="244"/>
      <c r="AA18" s="244"/>
      <c r="AB18" s="1277"/>
      <c r="AC18" s="244"/>
      <c r="AD18" s="1277"/>
      <c r="AE18" s="241"/>
      <c r="AF18" s="244"/>
      <c r="AG18" s="1285" t="s">
        <v>716</v>
      </c>
      <c r="AI18" s="1282">
        <f t="shared" si="0"/>
        <v>49.509818057142851</v>
      </c>
      <c r="AJ18" s="1252">
        <v>0.90739999999999998</v>
      </c>
      <c r="AK18" s="1252">
        <v>1.024</v>
      </c>
      <c r="AL18" s="1252">
        <v>6.9596980000000001E-4</v>
      </c>
    </row>
    <row r="19" spans="1:41" ht="18.75" customHeight="1" x14ac:dyDescent="0.2">
      <c r="A19" s="1273">
        <v>3</v>
      </c>
      <c r="B19" s="1274" t="s">
        <v>141</v>
      </c>
      <c r="C19" s="241" t="s">
        <v>46</v>
      </c>
      <c r="D19" s="241">
        <v>670</v>
      </c>
      <c r="E19" s="241" t="s">
        <v>68</v>
      </c>
      <c r="F19" s="241">
        <v>177.8</v>
      </c>
      <c r="G19" s="241" t="s">
        <v>28</v>
      </c>
      <c r="H19" s="241" t="s">
        <v>763</v>
      </c>
      <c r="I19" s="1778">
        <v>528.5</v>
      </c>
      <c r="J19" s="241">
        <v>115</v>
      </c>
      <c r="K19" s="241"/>
      <c r="L19" s="1277">
        <v>420</v>
      </c>
      <c r="M19" s="241"/>
      <c r="N19" s="1278">
        <v>5.5</v>
      </c>
      <c r="O19" s="241"/>
      <c r="P19" s="1278">
        <f t="shared" ref="P19:P83" si="2">AI19</f>
        <v>15.513169099082724</v>
      </c>
      <c r="Q19" s="1278">
        <f>RIGHT(H19,(FIND("T",H19,1)-0))*J19/100</f>
        <v>23</v>
      </c>
      <c r="R19" s="244">
        <v>7.798</v>
      </c>
      <c r="S19" s="244">
        <v>14.750999999999999</v>
      </c>
      <c r="T19" s="1277">
        <v>21</v>
      </c>
      <c r="U19" s="1278">
        <f t="shared" ref="U19:U35" si="3">IF(R19=0,0,T19/R19)</f>
        <v>2.6929982046678633</v>
      </c>
      <c r="V19" s="1278">
        <f t="shared" ref="V19:V51" si="4">(S19-R19)/S19*100</f>
        <v>47.135787404243779</v>
      </c>
      <c r="W19" s="1279">
        <v>0.2</v>
      </c>
      <c r="X19" s="1316">
        <v>115</v>
      </c>
      <c r="Y19" s="1277">
        <f t="shared" si="1"/>
        <v>64.134782608695645</v>
      </c>
      <c r="Z19" s="244">
        <f t="shared" ref="Z19:AB34" si="5">R19*0.988</f>
        <v>7.7044240000000004</v>
      </c>
      <c r="AA19" s="244">
        <f t="shared" si="5"/>
        <v>14.573988</v>
      </c>
      <c r="AB19" s="1277">
        <f t="shared" si="5"/>
        <v>20.748000000000001</v>
      </c>
      <c r="AC19" s="244">
        <f t="shared" ref="AC19:AD34" si="6">U19</f>
        <v>2.6929982046678633</v>
      </c>
      <c r="AD19" s="1277">
        <f t="shared" si="6"/>
        <v>47.135787404243779</v>
      </c>
      <c r="AE19" s="241">
        <f t="shared" ref="AE19:AE37" si="7">(DAY(EOMONTH($AH$15,0))-AH19)</f>
        <v>31</v>
      </c>
      <c r="AF19" s="244">
        <f t="shared" ref="AF19:AF61" si="8">Z19*AE19</f>
        <v>238.83714400000002</v>
      </c>
      <c r="AG19" s="1281"/>
      <c r="AI19" s="1282">
        <f t="shared" si="0"/>
        <v>15.513169099082724</v>
      </c>
      <c r="AJ19" s="1252">
        <v>0.87370000000000003</v>
      </c>
      <c r="AK19" s="1252">
        <v>1.0349999999999999</v>
      </c>
      <c r="AL19" s="1252">
        <v>8.9946269999999998E-4</v>
      </c>
    </row>
    <row r="20" spans="1:41" ht="18.75" customHeight="1" x14ac:dyDescent="0.2">
      <c r="A20" s="1273">
        <v>4</v>
      </c>
      <c r="B20" s="1274" t="s">
        <v>142</v>
      </c>
      <c r="C20" s="241" t="s">
        <v>46</v>
      </c>
      <c r="D20" s="241">
        <v>656</v>
      </c>
      <c r="E20" s="241" t="s">
        <v>481</v>
      </c>
      <c r="F20" s="241">
        <v>177.8</v>
      </c>
      <c r="G20" s="241" t="s">
        <v>28</v>
      </c>
      <c r="H20" s="241" t="s">
        <v>685</v>
      </c>
      <c r="I20" s="1778">
        <v>544.29999999999995</v>
      </c>
      <c r="J20" s="241">
        <v>195</v>
      </c>
      <c r="K20" s="241"/>
      <c r="L20" s="1277">
        <v>448</v>
      </c>
      <c r="M20" s="241"/>
      <c r="N20" s="1278">
        <v>4.2</v>
      </c>
      <c r="O20" s="241"/>
      <c r="P20" s="1278">
        <f t="shared" si="2"/>
        <v>13.106822347731383</v>
      </c>
      <c r="Q20" s="1278">
        <f t="shared" ref="Q20:Q25" si="9">RIGHT(H20,(FIND("T",H20,1)-0))*J20/100</f>
        <v>27.3</v>
      </c>
      <c r="R20" s="244">
        <v>10.680999999999999</v>
      </c>
      <c r="S20" s="244">
        <v>19.55</v>
      </c>
      <c r="T20" s="1277">
        <v>76</v>
      </c>
      <c r="U20" s="1278">
        <f t="shared" si="3"/>
        <v>7.1154386293418224</v>
      </c>
      <c r="V20" s="1278">
        <f t="shared" si="4"/>
        <v>45.36572890025576</v>
      </c>
      <c r="W20" s="1279">
        <v>0.23</v>
      </c>
      <c r="X20" s="1316">
        <v>195</v>
      </c>
      <c r="Y20" s="1277">
        <f t="shared" si="1"/>
        <v>71.611721611721606</v>
      </c>
      <c r="Z20" s="244">
        <f t="shared" si="5"/>
        <v>10.552828</v>
      </c>
      <c r="AA20" s="244">
        <f t="shared" si="5"/>
        <v>19.3154</v>
      </c>
      <c r="AB20" s="1277">
        <f t="shared" si="5"/>
        <v>75.087999999999994</v>
      </c>
      <c r="AC20" s="244">
        <f t="shared" si="6"/>
        <v>7.1154386293418224</v>
      </c>
      <c r="AD20" s="1277">
        <f t="shared" si="6"/>
        <v>45.36572890025576</v>
      </c>
      <c r="AE20" s="241">
        <f t="shared" si="7"/>
        <v>31</v>
      </c>
      <c r="AF20" s="244">
        <f t="shared" si="8"/>
        <v>327.13766800000002</v>
      </c>
      <c r="AG20" s="1281"/>
      <c r="AI20" s="1282">
        <f t="shared" si="0"/>
        <v>13.106822347731383</v>
      </c>
      <c r="AJ20" s="1252">
        <v>0.89700000000000002</v>
      </c>
      <c r="AK20" s="1252">
        <v>1.018</v>
      </c>
      <c r="AL20" s="1252">
        <v>7.3450100000000003E-4</v>
      </c>
    </row>
    <row r="21" spans="1:41" ht="18.75" customHeight="1" x14ac:dyDescent="0.2">
      <c r="A21" s="1273">
        <v>5</v>
      </c>
      <c r="B21" s="1274" t="s">
        <v>143</v>
      </c>
      <c r="C21" s="241" t="s">
        <v>46</v>
      </c>
      <c r="D21" s="241">
        <v>576.62</v>
      </c>
      <c r="E21" s="241" t="s">
        <v>70</v>
      </c>
      <c r="F21" s="241">
        <v>177.8</v>
      </c>
      <c r="G21" s="241" t="s">
        <v>28</v>
      </c>
      <c r="H21" s="1299" t="s">
        <v>587</v>
      </c>
      <c r="I21" s="1778">
        <v>548.32000000000005</v>
      </c>
      <c r="J21" s="241">
        <v>110</v>
      </c>
      <c r="K21" s="241"/>
      <c r="L21" s="1277">
        <v>419</v>
      </c>
      <c r="M21" s="241"/>
      <c r="N21" s="1278">
        <v>1.5</v>
      </c>
      <c r="O21" s="241"/>
      <c r="P21" s="1278">
        <f t="shared" si="2"/>
        <v>13.305992398289408</v>
      </c>
      <c r="Q21" s="1278">
        <f t="shared" si="9"/>
        <v>15.4</v>
      </c>
      <c r="R21" s="244">
        <v>6.0910000000000002</v>
      </c>
      <c r="S21" s="244">
        <v>8.4380000000000006</v>
      </c>
      <c r="T21" s="1277">
        <v>36</v>
      </c>
      <c r="U21" s="1278">
        <f t="shared" si="3"/>
        <v>5.9103595468724341</v>
      </c>
      <c r="V21" s="1278">
        <f t="shared" si="4"/>
        <v>27.814648020858023</v>
      </c>
      <c r="W21" s="1279">
        <v>0.2</v>
      </c>
      <c r="X21" s="1316">
        <v>110</v>
      </c>
      <c r="Y21" s="1277">
        <f t="shared" si="1"/>
        <v>54.79220779220779</v>
      </c>
      <c r="Z21" s="244">
        <f t="shared" si="5"/>
        <v>6.0179080000000003</v>
      </c>
      <c r="AA21" s="244">
        <f t="shared" si="5"/>
        <v>8.3367440000000013</v>
      </c>
      <c r="AB21" s="1277">
        <f t="shared" si="5"/>
        <v>35.567999999999998</v>
      </c>
      <c r="AC21" s="244">
        <f t="shared" si="6"/>
        <v>5.9103595468724341</v>
      </c>
      <c r="AD21" s="1277">
        <f t="shared" si="6"/>
        <v>27.814648020858023</v>
      </c>
      <c r="AE21" s="241">
        <f t="shared" si="7"/>
        <v>31</v>
      </c>
      <c r="AF21" s="244">
        <f t="shared" si="8"/>
        <v>186.555148</v>
      </c>
      <c r="AG21" s="1281"/>
      <c r="AI21" s="1282">
        <f t="shared" si="0"/>
        <v>13.305992398289408</v>
      </c>
      <c r="AJ21" s="1252">
        <v>0.90959999999999996</v>
      </c>
      <c r="AK21" s="1252">
        <v>1.02</v>
      </c>
      <c r="AL21" s="1252">
        <v>8.1276750000000011E-4</v>
      </c>
      <c r="AN21" s="1252">
        <v>43008</v>
      </c>
    </row>
    <row r="22" spans="1:41" ht="18.75" customHeight="1" x14ac:dyDescent="0.2">
      <c r="A22" s="1273">
        <v>6</v>
      </c>
      <c r="B22" s="1274" t="s">
        <v>144</v>
      </c>
      <c r="C22" s="241" t="s">
        <v>46</v>
      </c>
      <c r="D22" s="241">
        <v>648.48</v>
      </c>
      <c r="E22" s="241" t="s">
        <v>460</v>
      </c>
      <c r="F22" s="241">
        <v>177.8</v>
      </c>
      <c r="G22" s="241" t="s">
        <v>28</v>
      </c>
      <c r="H22" s="1299" t="s">
        <v>587</v>
      </c>
      <c r="I22" s="1778">
        <v>564.33000000000004</v>
      </c>
      <c r="J22" s="241">
        <v>125</v>
      </c>
      <c r="K22" s="241"/>
      <c r="L22" s="1277">
        <v>431</v>
      </c>
      <c r="M22" s="241"/>
      <c r="N22" s="1278">
        <v>2.8</v>
      </c>
      <c r="O22" s="241"/>
      <c r="P22" s="1278">
        <f t="shared" si="2"/>
        <v>15.061769905931964</v>
      </c>
      <c r="Q22" s="1278">
        <f t="shared" si="9"/>
        <v>17.5</v>
      </c>
      <c r="R22" s="244">
        <v>5.0229999999999997</v>
      </c>
      <c r="S22" s="244">
        <v>6.1369999999999996</v>
      </c>
      <c r="T22" s="1277">
        <v>3</v>
      </c>
      <c r="U22" s="1278">
        <f t="shared" si="3"/>
        <v>0.59725263786581728</v>
      </c>
      <c r="V22" s="1278">
        <f t="shared" si="4"/>
        <v>18.152191624572268</v>
      </c>
      <c r="W22" s="1279">
        <v>0.2</v>
      </c>
      <c r="X22" s="1316">
        <v>125</v>
      </c>
      <c r="Y22" s="1277">
        <f t="shared" si="1"/>
        <v>35.068571428571424</v>
      </c>
      <c r="Z22" s="244">
        <f t="shared" si="5"/>
        <v>4.9627239999999997</v>
      </c>
      <c r="AA22" s="244">
        <f t="shared" si="5"/>
        <v>6.0633559999999997</v>
      </c>
      <c r="AB22" s="1277">
        <f t="shared" si="5"/>
        <v>2.964</v>
      </c>
      <c r="AC22" s="244">
        <f t="shared" si="6"/>
        <v>0.59725263786581728</v>
      </c>
      <c r="AD22" s="1277">
        <f t="shared" si="6"/>
        <v>18.152191624572268</v>
      </c>
      <c r="AE22" s="241">
        <f t="shared" si="7"/>
        <v>31</v>
      </c>
      <c r="AF22" s="244">
        <f t="shared" si="8"/>
        <v>153.84444399999998</v>
      </c>
      <c r="AG22" s="1281"/>
      <c r="AI22" s="1282">
        <f t="shared" si="0"/>
        <v>15.061769905931964</v>
      </c>
      <c r="AJ22" s="1252">
        <v>0.92820000000000003</v>
      </c>
      <c r="AK22" s="1252">
        <v>1.028</v>
      </c>
      <c r="AL22" s="1252">
        <v>1.1053638000000001E-3</v>
      </c>
      <c r="AN22" s="1252">
        <f>AN17/AN21</f>
        <v>0.9153878348214286</v>
      </c>
    </row>
    <row r="23" spans="1:41" ht="18.75" customHeight="1" x14ac:dyDescent="0.2">
      <c r="A23" s="1273">
        <v>7</v>
      </c>
      <c r="B23" s="1274" t="s">
        <v>145</v>
      </c>
      <c r="C23" s="241" t="s">
        <v>46</v>
      </c>
      <c r="D23" s="241">
        <v>676.7</v>
      </c>
      <c r="E23" s="241" t="s">
        <v>72</v>
      </c>
      <c r="F23" s="241">
        <v>177.8</v>
      </c>
      <c r="G23" s="241" t="s">
        <v>28</v>
      </c>
      <c r="H23" s="241" t="s">
        <v>588</v>
      </c>
      <c r="I23" s="1778">
        <v>540.01</v>
      </c>
      <c r="J23" s="241">
        <v>120</v>
      </c>
      <c r="K23" s="241"/>
      <c r="L23" s="1277">
        <v>395</v>
      </c>
      <c r="M23" s="241"/>
      <c r="N23" s="1278">
        <v>1.1000000000000001</v>
      </c>
      <c r="O23" s="241"/>
      <c r="P23" s="1278">
        <f t="shared" si="2"/>
        <v>14.803510250603367</v>
      </c>
      <c r="Q23" s="1278">
        <f t="shared" si="9"/>
        <v>16.8</v>
      </c>
      <c r="R23" s="244">
        <v>3.1309999999999998</v>
      </c>
      <c r="S23" s="244">
        <v>7.2380000000000004</v>
      </c>
      <c r="T23" s="1277">
        <v>5</v>
      </c>
      <c r="U23" s="1278">
        <f t="shared" si="3"/>
        <v>1.5969338869370808</v>
      </c>
      <c r="V23" s="1278">
        <f t="shared" si="4"/>
        <v>56.742193976236543</v>
      </c>
      <c r="W23" s="1279">
        <v>0.2</v>
      </c>
      <c r="X23" s="1316">
        <v>120</v>
      </c>
      <c r="Y23" s="1277">
        <f t="shared" si="1"/>
        <v>43.083333333333336</v>
      </c>
      <c r="Z23" s="244">
        <f t="shared" si="5"/>
        <v>3.0934279999999998</v>
      </c>
      <c r="AA23" s="244">
        <f t="shared" si="5"/>
        <v>7.1511440000000004</v>
      </c>
      <c r="AB23" s="1277">
        <f t="shared" si="5"/>
        <v>4.9399999999999995</v>
      </c>
      <c r="AC23" s="244">
        <f t="shared" si="6"/>
        <v>1.5969338869370808</v>
      </c>
      <c r="AD23" s="1277">
        <f t="shared" si="6"/>
        <v>56.742193976236543</v>
      </c>
      <c r="AE23" s="241">
        <f t="shared" si="7"/>
        <v>31</v>
      </c>
      <c r="AF23" s="244">
        <f t="shared" si="8"/>
        <v>95.896267999999992</v>
      </c>
      <c r="AG23" s="1281"/>
      <c r="AI23" s="1282">
        <f t="shared" si="0"/>
        <v>14.803510250603367</v>
      </c>
      <c r="AJ23" s="1252">
        <v>0.91279999999999994</v>
      </c>
      <c r="AK23" s="1252">
        <v>1.0209999999999999</v>
      </c>
      <c r="AL23" s="1252">
        <v>6.8874520000000001E-4</v>
      </c>
    </row>
    <row r="24" spans="1:41" ht="18.75" customHeight="1" x14ac:dyDescent="0.2">
      <c r="A24" s="1273">
        <v>8</v>
      </c>
      <c r="B24" s="1274" t="s">
        <v>146</v>
      </c>
      <c r="C24" s="241" t="s">
        <v>46</v>
      </c>
      <c r="D24" s="241">
        <v>567</v>
      </c>
      <c r="E24" s="1300" t="s">
        <v>572</v>
      </c>
      <c r="F24" s="241">
        <v>177.8</v>
      </c>
      <c r="G24" s="241" t="s">
        <v>28</v>
      </c>
      <c r="H24" s="241" t="s">
        <v>717</v>
      </c>
      <c r="I24" s="1301">
        <v>552.25</v>
      </c>
      <c r="J24" s="241">
        <v>130</v>
      </c>
      <c r="K24" s="1302"/>
      <c r="L24" s="1277">
        <v>450</v>
      </c>
      <c r="M24" s="1302"/>
      <c r="N24" s="1278">
        <v>4.5999999999999996</v>
      </c>
      <c r="O24" s="1302"/>
      <c r="P24" s="1278">
        <f t="shared" si="2"/>
        <v>14.191050262499358</v>
      </c>
      <c r="Q24" s="1278">
        <f t="shared" si="9"/>
        <v>26</v>
      </c>
      <c r="R24" s="244">
        <v>7.1189999999999998</v>
      </c>
      <c r="S24" s="244">
        <v>15.038</v>
      </c>
      <c r="T24" s="1277">
        <v>48</v>
      </c>
      <c r="U24" s="1278">
        <f t="shared" si="3"/>
        <v>6.7425200168563002</v>
      </c>
      <c r="V24" s="1278">
        <f t="shared" si="4"/>
        <v>52.659928181939087</v>
      </c>
      <c r="W24" s="1279">
        <v>0.2</v>
      </c>
      <c r="X24" s="1316">
        <v>130</v>
      </c>
      <c r="Y24" s="1277">
        <f t="shared" si="1"/>
        <v>57.838461538461537</v>
      </c>
      <c r="Z24" s="244">
        <f t="shared" si="5"/>
        <v>7.0335719999999995</v>
      </c>
      <c r="AA24" s="244">
        <f t="shared" si="5"/>
        <v>14.857544000000001</v>
      </c>
      <c r="AB24" s="1277">
        <f t="shared" si="5"/>
        <v>47.423999999999999</v>
      </c>
      <c r="AC24" s="244">
        <f t="shared" si="6"/>
        <v>6.7425200168563002</v>
      </c>
      <c r="AD24" s="1277">
        <f t="shared" si="6"/>
        <v>52.659928181939087</v>
      </c>
      <c r="AE24" s="241">
        <f t="shared" si="7"/>
        <v>31</v>
      </c>
      <c r="AF24" s="244">
        <f t="shared" si="8"/>
        <v>218.04073199999999</v>
      </c>
      <c r="AG24" s="1281"/>
      <c r="AI24" s="1282">
        <f t="shared" si="0"/>
        <v>14.191050262499358</v>
      </c>
      <c r="AJ24" s="1252">
        <v>0.89900000000000002</v>
      </c>
      <c r="AK24" s="1252">
        <v>1.024</v>
      </c>
      <c r="AL24" s="1252">
        <v>9.1150370000000005E-4</v>
      </c>
    </row>
    <row r="25" spans="1:41" ht="18.75" customHeight="1" x14ac:dyDescent="0.2">
      <c r="A25" s="1273">
        <v>9</v>
      </c>
      <c r="B25" s="1274" t="s">
        <v>147</v>
      </c>
      <c r="C25" s="241" t="s">
        <v>46</v>
      </c>
      <c r="D25" s="241">
        <v>650.1</v>
      </c>
      <c r="E25" s="241" t="s">
        <v>74</v>
      </c>
      <c r="F25" s="241">
        <v>177.8</v>
      </c>
      <c r="G25" s="241" t="s">
        <v>28</v>
      </c>
      <c r="H25" s="241" t="s">
        <v>793</v>
      </c>
      <c r="I25" s="1778">
        <v>547.62</v>
      </c>
      <c r="J25" s="241">
        <v>100</v>
      </c>
      <c r="K25" s="241"/>
      <c r="L25" s="1277">
        <v>349</v>
      </c>
      <c r="M25" s="241"/>
      <c r="N25" s="1278">
        <v>2</v>
      </c>
      <c r="O25" s="241"/>
      <c r="P25" s="1278">
        <f t="shared" si="2"/>
        <v>20.834479879948681</v>
      </c>
      <c r="Q25" s="1278">
        <f t="shared" si="9"/>
        <v>14</v>
      </c>
      <c r="R25" s="244">
        <v>5.4630000000000001</v>
      </c>
      <c r="S25" s="244">
        <v>14.907</v>
      </c>
      <c r="T25" s="1277">
        <v>23</v>
      </c>
      <c r="U25" s="1278">
        <f t="shared" si="3"/>
        <v>4.2101409481969609</v>
      </c>
      <c r="V25" s="1278">
        <f t="shared" si="4"/>
        <v>63.352787281143087</v>
      </c>
      <c r="W25" s="1279">
        <v>0.2</v>
      </c>
      <c r="X25" s="1316">
        <v>100</v>
      </c>
      <c r="Y25" s="1277">
        <f t="shared" si="1"/>
        <v>106.47857142857143</v>
      </c>
      <c r="Z25" s="244">
        <f t="shared" si="5"/>
        <v>5.3974440000000001</v>
      </c>
      <c r="AA25" s="244">
        <f t="shared" si="5"/>
        <v>14.728116</v>
      </c>
      <c r="AB25" s="1277">
        <f t="shared" si="5"/>
        <v>22.724</v>
      </c>
      <c r="AC25" s="244">
        <f t="shared" si="6"/>
        <v>4.2101409481969609</v>
      </c>
      <c r="AD25" s="1277">
        <f t="shared" si="6"/>
        <v>63.352787281143087</v>
      </c>
      <c r="AE25" s="241">
        <f t="shared" si="7"/>
        <v>31</v>
      </c>
      <c r="AF25" s="244">
        <f t="shared" si="8"/>
        <v>167.320764</v>
      </c>
      <c r="AG25" s="1281"/>
      <c r="AI25" s="1282">
        <f t="shared" si="0"/>
        <v>20.834479879948681</v>
      </c>
      <c r="AJ25" s="1252">
        <v>0.90369999999999995</v>
      </c>
      <c r="AK25" s="1252">
        <v>1.0209999999999999</v>
      </c>
      <c r="AL25" s="1252">
        <v>8.1276750000000011E-4</v>
      </c>
    </row>
    <row r="26" spans="1:41" ht="18" customHeight="1" x14ac:dyDescent="0.2">
      <c r="A26" s="1273">
        <v>10</v>
      </c>
      <c r="B26" s="1274" t="s">
        <v>148</v>
      </c>
      <c r="C26" s="241" t="s">
        <v>46</v>
      </c>
      <c r="D26" s="241">
        <v>640.20000000000005</v>
      </c>
      <c r="E26" s="241" t="s">
        <v>398</v>
      </c>
      <c r="F26" s="241">
        <v>177.8</v>
      </c>
      <c r="G26" s="241" t="s">
        <v>28</v>
      </c>
      <c r="H26" s="1404" t="s">
        <v>753</v>
      </c>
      <c r="I26" s="1778">
        <v>566.99</v>
      </c>
      <c r="J26" s="1448">
        <v>85</v>
      </c>
      <c r="K26" s="241"/>
      <c r="L26" s="1277">
        <v>303</v>
      </c>
      <c r="M26" s="241"/>
      <c r="N26" s="1278">
        <v>0.3</v>
      </c>
      <c r="O26" s="241"/>
      <c r="P26" s="1278">
        <f t="shared" si="2"/>
        <v>25.436584325110676</v>
      </c>
      <c r="Q26" s="1278">
        <f>J26*14/100</f>
        <v>11.9</v>
      </c>
      <c r="R26" s="244">
        <v>3.5619999999999998</v>
      </c>
      <c r="S26" s="244">
        <v>8.8889999999999993</v>
      </c>
      <c r="T26" s="1277">
        <v>15</v>
      </c>
      <c r="U26" s="1278">
        <f t="shared" si="3"/>
        <v>4.2111173498034811</v>
      </c>
      <c r="V26" s="1278">
        <f t="shared" si="4"/>
        <v>59.928000899988753</v>
      </c>
      <c r="W26" s="1279">
        <v>0.2</v>
      </c>
      <c r="X26" s="1449">
        <v>85</v>
      </c>
      <c r="Y26" s="1277">
        <f t="shared" si="1"/>
        <v>74.69747899159664</v>
      </c>
      <c r="Z26" s="244">
        <f t="shared" si="5"/>
        <v>3.5192559999999999</v>
      </c>
      <c r="AA26" s="244">
        <f t="shared" si="5"/>
        <v>8.7823319999999985</v>
      </c>
      <c r="AB26" s="1277">
        <f t="shared" si="5"/>
        <v>14.82</v>
      </c>
      <c r="AC26" s="244">
        <f t="shared" si="6"/>
        <v>4.2111173498034811</v>
      </c>
      <c r="AD26" s="1277">
        <f t="shared" si="6"/>
        <v>59.928000899988753</v>
      </c>
      <c r="AE26" s="241">
        <f t="shared" si="7"/>
        <v>31</v>
      </c>
      <c r="AF26" s="244">
        <f t="shared" si="8"/>
        <v>109.096936</v>
      </c>
      <c r="AG26" s="1281"/>
      <c r="AI26" s="1282">
        <f t="shared" si="0"/>
        <v>25.436584325110676</v>
      </c>
      <c r="AJ26" s="1252">
        <v>0.91020000000000001</v>
      </c>
      <c r="AK26" s="1252">
        <v>1.0309999999999999</v>
      </c>
      <c r="AL26" s="1252">
        <v>7.7447712000000004E-4</v>
      </c>
    </row>
    <row r="27" spans="1:41" ht="18.75" customHeight="1" x14ac:dyDescent="0.2">
      <c r="A27" s="1273">
        <v>11</v>
      </c>
      <c r="B27" s="1274" t="s">
        <v>149</v>
      </c>
      <c r="C27" s="241" t="s">
        <v>46</v>
      </c>
      <c r="D27" s="241">
        <v>606.29999999999995</v>
      </c>
      <c r="E27" s="241" t="s">
        <v>76</v>
      </c>
      <c r="F27" s="241">
        <v>177.8</v>
      </c>
      <c r="G27" s="241" t="s">
        <v>28</v>
      </c>
      <c r="H27" s="1299" t="s">
        <v>800</v>
      </c>
      <c r="I27" s="1778">
        <v>594.42999999999995</v>
      </c>
      <c r="J27" s="241">
        <v>100</v>
      </c>
      <c r="K27" s="241"/>
      <c r="L27" s="1277">
        <v>385</v>
      </c>
      <c r="M27" s="241"/>
      <c r="N27" s="1278">
        <v>5.3</v>
      </c>
      <c r="O27" s="241"/>
      <c r="P27" s="1278">
        <f t="shared" si="2"/>
        <v>25.351618391434535</v>
      </c>
      <c r="Q27" s="1278">
        <f>(7/100)*J27</f>
        <v>7.0000000000000009</v>
      </c>
      <c r="R27" s="244">
        <v>2.8340000000000001</v>
      </c>
      <c r="S27" s="244">
        <v>6.1719999999999997</v>
      </c>
      <c r="T27" s="1277">
        <v>49</v>
      </c>
      <c r="U27" s="1278">
        <f t="shared" si="3"/>
        <v>17.290049400141143</v>
      </c>
      <c r="V27" s="1278">
        <f t="shared" si="4"/>
        <v>54.082955281918331</v>
      </c>
      <c r="W27" s="1279">
        <v>0.27</v>
      </c>
      <c r="X27" s="1316">
        <v>100</v>
      </c>
      <c r="Y27" s="1277">
        <f t="shared" si="1"/>
        <v>88.17142857142855</v>
      </c>
      <c r="Z27" s="244">
        <f t="shared" si="5"/>
        <v>2.799992</v>
      </c>
      <c r="AA27" s="244">
        <f t="shared" si="5"/>
        <v>6.0979359999999998</v>
      </c>
      <c r="AB27" s="1277">
        <f t="shared" si="5"/>
        <v>48.411999999999999</v>
      </c>
      <c r="AC27" s="244">
        <f t="shared" si="6"/>
        <v>17.290049400141143</v>
      </c>
      <c r="AD27" s="1277">
        <f t="shared" si="6"/>
        <v>54.082955281918331</v>
      </c>
      <c r="AE27" s="241">
        <f t="shared" si="7"/>
        <v>31</v>
      </c>
      <c r="AF27" s="244">
        <f t="shared" si="8"/>
        <v>86.799751999999998</v>
      </c>
      <c r="AG27" s="1281"/>
      <c r="AI27" s="1282">
        <f t="shared" si="0"/>
        <v>25.351618391434535</v>
      </c>
      <c r="AJ27" s="1252">
        <v>0.91900000000000004</v>
      </c>
      <c r="AK27" s="1252">
        <v>1.0449999999999999</v>
      </c>
      <c r="AL27" s="1252">
        <v>9.6207590000000004E-4</v>
      </c>
    </row>
    <row r="28" spans="1:41" ht="18.75" customHeight="1" x14ac:dyDescent="0.2">
      <c r="A28" s="1273">
        <v>12</v>
      </c>
      <c r="B28" s="1274" t="s">
        <v>151</v>
      </c>
      <c r="C28" s="241" t="s">
        <v>46</v>
      </c>
      <c r="D28" s="241">
        <v>675.42</v>
      </c>
      <c r="E28" s="1778" t="s">
        <v>298</v>
      </c>
      <c r="F28" s="241">
        <v>177.8</v>
      </c>
      <c r="G28" s="241" t="s">
        <v>28</v>
      </c>
      <c r="H28" s="1299" t="s">
        <v>687</v>
      </c>
      <c r="I28" s="1778">
        <v>558.21</v>
      </c>
      <c r="J28" s="1448">
        <v>105</v>
      </c>
      <c r="K28" s="241"/>
      <c r="L28" s="1277">
        <v>258</v>
      </c>
      <c r="M28" s="241"/>
      <c r="N28" s="1278">
        <v>3.4</v>
      </c>
      <c r="O28" s="241"/>
      <c r="P28" s="1278">
        <f t="shared" si="2"/>
        <v>32.275578198550896</v>
      </c>
      <c r="Q28" s="1278">
        <f>20*J28/100</f>
        <v>21</v>
      </c>
      <c r="R28" s="244">
        <v>2.2690000000000001</v>
      </c>
      <c r="S28" s="244">
        <v>10.061</v>
      </c>
      <c r="T28" s="1277">
        <v>3</v>
      </c>
      <c r="U28" s="1278">
        <f t="shared" si="3"/>
        <v>1.3221683561040105</v>
      </c>
      <c r="V28" s="1278">
        <f t="shared" si="4"/>
        <v>77.447569824073142</v>
      </c>
      <c r="W28" s="1279">
        <v>0.3</v>
      </c>
      <c r="X28" s="1449">
        <v>105</v>
      </c>
      <c r="Y28" s="1277">
        <f t="shared" si="1"/>
        <v>47.909523809523805</v>
      </c>
      <c r="Z28" s="244">
        <f t="shared" si="5"/>
        <v>2.2417720000000001</v>
      </c>
      <c r="AA28" s="244">
        <f t="shared" si="5"/>
        <v>9.9402679999999997</v>
      </c>
      <c r="AB28" s="1277">
        <f t="shared" si="5"/>
        <v>2.964</v>
      </c>
      <c r="AC28" s="244">
        <f t="shared" si="6"/>
        <v>1.3221683561040105</v>
      </c>
      <c r="AD28" s="1277">
        <f t="shared" si="6"/>
        <v>77.447569824073142</v>
      </c>
      <c r="AE28" s="241">
        <f t="shared" si="7"/>
        <v>31</v>
      </c>
      <c r="AF28" s="244">
        <f>Z28*AE28</f>
        <v>69.494932000000006</v>
      </c>
      <c r="AG28" s="1281"/>
      <c r="AI28" s="1282">
        <f t="shared" si="0"/>
        <v>32.275578198550896</v>
      </c>
      <c r="AJ28" s="1252">
        <v>0.92</v>
      </c>
      <c r="AK28" s="1252">
        <v>1.014</v>
      </c>
      <c r="AL28" s="1252">
        <v>7.7447712000000004E-4</v>
      </c>
    </row>
    <row r="29" spans="1:41" ht="18.75" customHeight="1" x14ac:dyDescent="0.2">
      <c r="A29" s="1273">
        <v>13</v>
      </c>
      <c r="B29" s="1274" t="s">
        <v>36</v>
      </c>
      <c r="C29" s="241" t="s">
        <v>46</v>
      </c>
      <c r="D29" s="241">
        <v>584.42999999999995</v>
      </c>
      <c r="E29" s="1778" t="s">
        <v>79</v>
      </c>
      <c r="F29" s="241">
        <v>177.8</v>
      </c>
      <c r="G29" s="241" t="s">
        <v>28</v>
      </c>
      <c r="H29" s="1299" t="s">
        <v>565</v>
      </c>
      <c r="I29" s="1778">
        <v>526.29</v>
      </c>
      <c r="J29" s="1448">
        <v>315</v>
      </c>
      <c r="K29" s="241"/>
      <c r="L29" s="1277">
        <v>329</v>
      </c>
      <c r="M29" s="241"/>
      <c r="N29" s="1278">
        <v>1.9</v>
      </c>
      <c r="O29" s="241"/>
      <c r="P29" s="1278">
        <f t="shared" si="2"/>
        <v>20.787688798355763</v>
      </c>
      <c r="Q29" s="1278">
        <f>LEFT(H29,(FIND("E",H29,1)-1))*J29/100</f>
        <v>100.8</v>
      </c>
      <c r="R29" s="244">
        <v>15.484</v>
      </c>
      <c r="S29" s="244">
        <v>55.576999999999998</v>
      </c>
      <c r="T29" s="1277">
        <v>568</v>
      </c>
      <c r="U29" s="1278">
        <f t="shared" si="3"/>
        <v>36.683027641436318</v>
      </c>
      <c r="V29" s="1278">
        <f t="shared" si="4"/>
        <v>72.139554132105005</v>
      </c>
      <c r="W29" s="1279">
        <v>0.2</v>
      </c>
      <c r="X29" s="1449">
        <v>315</v>
      </c>
      <c r="Y29" s="1277">
        <f t="shared" si="1"/>
        <v>55.135912698412703</v>
      </c>
      <c r="Z29" s="244">
        <f t="shared" si="5"/>
        <v>15.298192</v>
      </c>
      <c r="AA29" s="244">
        <f t="shared" si="5"/>
        <v>54.910075999999997</v>
      </c>
      <c r="AB29" s="1277">
        <f t="shared" si="5"/>
        <v>561.18399999999997</v>
      </c>
      <c r="AC29" s="244">
        <f t="shared" si="6"/>
        <v>36.683027641436318</v>
      </c>
      <c r="AD29" s="1277">
        <f t="shared" si="6"/>
        <v>72.139554132105005</v>
      </c>
      <c r="AE29" s="241">
        <f t="shared" si="7"/>
        <v>31</v>
      </c>
      <c r="AF29" s="244">
        <f>Z29*AE29</f>
        <v>474.24395200000004</v>
      </c>
      <c r="AG29" s="1281"/>
      <c r="AI29" s="1282">
        <f t="shared" si="0"/>
        <v>20.787688798355763</v>
      </c>
      <c r="AJ29" s="1252">
        <v>0.89029999999999998</v>
      </c>
      <c r="AK29" s="1252">
        <v>1.0249999999999999</v>
      </c>
      <c r="AL29" s="1252">
        <v>8.1397160000000013E-4</v>
      </c>
    </row>
    <row r="30" spans="1:41" ht="18.75" customHeight="1" x14ac:dyDescent="0.2">
      <c r="A30" s="1273">
        <v>14</v>
      </c>
      <c r="B30" s="1274" t="s">
        <v>152</v>
      </c>
      <c r="C30" s="241" t="s">
        <v>46</v>
      </c>
      <c r="D30" s="241">
        <v>564.97999999999979</v>
      </c>
      <c r="E30" s="1778" t="s">
        <v>80</v>
      </c>
      <c r="F30" s="241">
        <v>177.8</v>
      </c>
      <c r="G30" s="241" t="s">
        <v>28</v>
      </c>
      <c r="H30" s="241" t="s">
        <v>684</v>
      </c>
      <c r="I30" s="1301">
        <v>519.13</v>
      </c>
      <c r="J30" s="241">
        <v>110</v>
      </c>
      <c r="K30" s="241"/>
      <c r="L30" s="1277">
        <v>365</v>
      </c>
      <c r="M30" s="241"/>
      <c r="N30" s="1278">
        <v>5.6</v>
      </c>
      <c r="O30" s="241"/>
      <c r="P30" s="1278">
        <f t="shared" si="2"/>
        <v>19.800972021980485</v>
      </c>
      <c r="Q30" s="1278">
        <f>32*J30/100</f>
        <v>35.200000000000003</v>
      </c>
      <c r="R30" s="244">
        <v>13.558</v>
      </c>
      <c r="S30" s="244">
        <v>25.584</v>
      </c>
      <c r="T30" s="1277">
        <v>159</v>
      </c>
      <c r="U30" s="1278">
        <f t="shared" si="3"/>
        <v>11.727393420858533</v>
      </c>
      <c r="V30" s="1278">
        <f t="shared" si="4"/>
        <v>47.005941213258282</v>
      </c>
      <c r="W30" s="1279">
        <v>0.2</v>
      </c>
      <c r="X30" s="1316">
        <v>110</v>
      </c>
      <c r="Y30" s="1277">
        <f t="shared" si="1"/>
        <v>72.681818181818173</v>
      </c>
      <c r="Z30" s="244">
        <f t="shared" si="5"/>
        <v>13.395303999999999</v>
      </c>
      <c r="AA30" s="244">
        <f t="shared" si="5"/>
        <v>25.276992</v>
      </c>
      <c r="AB30" s="1277">
        <f t="shared" si="5"/>
        <v>157.09199999999998</v>
      </c>
      <c r="AC30" s="244">
        <f t="shared" si="6"/>
        <v>11.727393420858533</v>
      </c>
      <c r="AD30" s="1277">
        <f t="shared" si="6"/>
        <v>47.005941213258282</v>
      </c>
      <c r="AE30" s="241">
        <f t="shared" si="7"/>
        <v>31</v>
      </c>
      <c r="AF30" s="244">
        <f t="shared" si="8"/>
        <v>415.25442399999997</v>
      </c>
      <c r="AG30" s="1281"/>
      <c r="AI30" s="1282">
        <f t="shared" si="0"/>
        <v>19.800972021980485</v>
      </c>
      <c r="AJ30" s="1252">
        <v>0.88080000000000003</v>
      </c>
      <c r="AK30" s="1252">
        <v>1.0269999999999999</v>
      </c>
      <c r="AL30" s="1252">
        <v>8.9946269999999998E-4</v>
      </c>
    </row>
    <row r="31" spans="1:41" ht="18.75" customHeight="1" x14ac:dyDescent="0.2">
      <c r="A31" s="1273">
        <v>15</v>
      </c>
      <c r="B31" s="1274" t="s">
        <v>37</v>
      </c>
      <c r="C31" s="241" t="s">
        <v>46</v>
      </c>
      <c r="D31" s="241">
        <v>670</v>
      </c>
      <c r="E31" s="241" t="s">
        <v>81</v>
      </c>
      <c r="F31" s="241">
        <v>177.8</v>
      </c>
      <c r="G31" s="241" t="s">
        <v>28</v>
      </c>
      <c r="H31" s="1299" t="s">
        <v>48</v>
      </c>
      <c r="I31" s="1778">
        <v>569.99</v>
      </c>
      <c r="J31" s="1448">
        <v>240</v>
      </c>
      <c r="K31" s="241"/>
      <c r="L31" s="1277">
        <v>373</v>
      </c>
      <c r="M31" s="241"/>
      <c r="N31" s="1278">
        <v>3.9</v>
      </c>
      <c r="O31" s="241"/>
      <c r="P31" s="1278">
        <f t="shared" si="2"/>
        <v>22.826840451786101</v>
      </c>
      <c r="Q31" s="1278">
        <f>LEFT(H31,(FIND("K",H31,1)-1))*J31/100</f>
        <v>31.2</v>
      </c>
      <c r="R31" s="244">
        <v>5.3719999999999999</v>
      </c>
      <c r="S31" s="244">
        <v>17.038</v>
      </c>
      <c r="T31" s="1277">
        <v>33</v>
      </c>
      <c r="U31" s="1278">
        <f t="shared" si="3"/>
        <v>6.1429635145197317</v>
      </c>
      <c r="V31" s="1278">
        <f t="shared" si="4"/>
        <v>68.470477755605117</v>
      </c>
      <c r="W31" s="1279">
        <v>0.2</v>
      </c>
      <c r="X31" s="1449">
        <v>240</v>
      </c>
      <c r="Y31" s="1277">
        <f t="shared" si="1"/>
        <v>54.608974358974358</v>
      </c>
      <c r="Z31" s="244">
        <f t="shared" si="5"/>
        <v>5.3075359999999998</v>
      </c>
      <c r="AA31" s="244">
        <f t="shared" si="5"/>
        <v>16.833544</v>
      </c>
      <c r="AB31" s="1277">
        <f t="shared" si="5"/>
        <v>32.603999999999999</v>
      </c>
      <c r="AC31" s="244">
        <f t="shared" si="6"/>
        <v>6.1429635145197317</v>
      </c>
      <c r="AD31" s="1277">
        <f t="shared" si="6"/>
        <v>68.470477755605117</v>
      </c>
      <c r="AE31" s="241">
        <f t="shared" si="7"/>
        <v>31</v>
      </c>
      <c r="AF31" s="244">
        <f>Z31*AE31</f>
        <v>164.53361599999999</v>
      </c>
      <c r="AG31" s="1285"/>
      <c r="AI31" s="1282">
        <f t="shared" si="0"/>
        <v>22.826840451786101</v>
      </c>
      <c r="AJ31" s="1252">
        <v>0.9194</v>
      </c>
      <c r="AK31" s="1252">
        <v>1.024</v>
      </c>
      <c r="AL31" s="1252">
        <v>7.2245999999999996E-4</v>
      </c>
    </row>
    <row r="32" spans="1:41" ht="18.75" customHeight="1" x14ac:dyDescent="0.2">
      <c r="A32" s="1273">
        <v>16</v>
      </c>
      <c r="B32" s="1274" t="s">
        <v>153</v>
      </c>
      <c r="C32" s="1274" t="s">
        <v>46</v>
      </c>
      <c r="D32" s="1274">
        <v>574.61</v>
      </c>
      <c r="E32" s="1274" t="s">
        <v>688</v>
      </c>
      <c r="F32" s="1274">
        <v>177.8</v>
      </c>
      <c r="G32" s="1274" t="s">
        <v>28</v>
      </c>
      <c r="H32" s="1299" t="s">
        <v>540</v>
      </c>
      <c r="I32" s="1274">
        <v>541.78</v>
      </c>
      <c r="J32" s="1274">
        <v>0</v>
      </c>
      <c r="K32" s="1274"/>
      <c r="L32" s="1305"/>
      <c r="M32" s="1274"/>
      <c r="N32" s="1306"/>
      <c r="O32" s="1274"/>
      <c r="P32" s="1278" t="e">
        <f t="shared" si="2"/>
        <v>#DIV/0!</v>
      </c>
      <c r="Q32" s="1278">
        <f>22*J32/100</f>
        <v>0</v>
      </c>
      <c r="R32" s="1307">
        <v>0</v>
      </c>
      <c r="S32" s="244">
        <v>0</v>
      </c>
      <c r="T32" s="1305">
        <v>0</v>
      </c>
      <c r="U32" s="1278">
        <f t="shared" si="3"/>
        <v>0</v>
      </c>
      <c r="V32" s="1278" t="e">
        <f t="shared" si="4"/>
        <v>#DIV/0!</v>
      </c>
      <c r="W32" s="1308">
        <v>0</v>
      </c>
      <c r="X32" s="1410">
        <v>85</v>
      </c>
      <c r="Y32" s="1277">
        <f t="shared" si="1"/>
        <v>0</v>
      </c>
      <c r="Z32" s="244">
        <v>6</v>
      </c>
      <c r="AA32" s="244">
        <v>6.5</v>
      </c>
      <c r="AB32" s="1277">
        <v>235</v>
      </c>
      <c r="AC32" s="244">
        <f>AB32/Z32</f>
        <v>39.166666666666664</v>
      </c>
      <c r="AD32" s="244">
        <f>AA32-Z32/AA32/100</f>
        <v>6.4907692307692306</v>
      </c>
      <c r="AE32" s="241">
        <v>2</v>
      </c>
      <c r="AF32" s="244">
        <f t="shared" ref="AF32" si="10">Z32*AE32</f>
        <v>12</v>
      </c>
      <c r="AG32" s="1281" t="s">
        <v>828</v>
      </c>
      <c r="AI32" s="1282" t="e">
        <f t="shared" si="0"/>
        <v>#DIV/0!</v>
      </c>
      <c r="AJ32" s="1252">
        <v>0.91959999999999997</v>
      </c>
      <c r="AK32" s="1252">
        <v>1.022</v>
      </c>
      <c r="AL32" s="1252">
        <v>9.1150370000000005E-4</v>
      </c>
    </row>
    <row r="33" spans="1:38" ht="18.600000000000001" customHeight="1" x14ac:dyDescent="0.2">
      <c r="A33" s="1273">
        <v>17</v>
      </c>
      <c r="B33" s="1274" t="s">
        <v>154</v>
      </c>
      <c r="C33" s="1274" t="s">
        <v>46</v>
      </c>
      <c r="D33" s="1311">
        <v>644.79999999999995</v>
      </c>
      <c r="E33" s="1300" t="s">
        <v>421</v>
      </c>
      <c r="F33" s="241">
        <v>177.8</v>
      </c>
      <c r="G33" s="241" t="s">
        <v>28</v>
      </c>
      <c r="H33" s="1299" t="s">
        <v>687</v>
      </c>
      <c r="I33" s="1301">
        <v>562.54999999999995</v>
      </c>
      <c r="J33" s="241">
        <v>115</v>
      </c>
      <c r="K33" s="241"/>
      <c r="L33" s="1277">
        <v>435</v>
      </c>
      <c r="M33" s="241"/>
      <c r="N33" s="1278">
        <v>1.8</v>
      </c>
      <c r="O33" s="241"/>
      <c r="P33" s="1278">
        <f t="shared" si="2"/>
        <v>14.020700192751963</v>
      </c>
      <c r="Q33" s="1278">
        <f>20*J33/100</f>
        <v>23</v>
      </c>
      <c r="R33" s="244">
        <v>1.732</v>
      </c>
      <c r="S33" s="244">
        <v>5.6539999999999999</v>
      </c>
      <c r="T33" s="1277">
        <v>7</v>
      </c>
      <c r="U33" s="1278">
        <f t="shared" si="3"/>
        <v>4.0415704387990763</v>
      </c>
      <c r="V33" s="1278">
        <f t="shared" si="4"/>
        <v>69.366819950477534</v>
      </c>
      <c r="W33" s="1279">
        <v>0.2</v>
      </c>
      <c r="X33" s="1316">
        <v>115</v>
      </c>
      <c r="Y33" s="1277">
        <f t="shared" si="1"/>
        <v>24.582608695652173</v>
      </c>
      <c r="Z33" s="244">
        <f t="shared" si="5"/>
        <v>1.7112160000000001</v>
      </c>
      <c r="AA33" s="244">
        <f t="shared" si="5"/>
        <v>5.5861520000000002</v>
      </c>
      <c r="AB33" s="1277">
        <f t="shared" si="5"/>
        <v>6.9160000000000004</v>
      </c>
      <c r="AC33" s="1307">
        <f t="shared" si="6"/>
        <v>4.0415704387990763</v>
      </c>
      <c r="AD33" s="1305">
        <f t="shared" si="6"/>
        <v>69.366819950477534</v>
      </c>
      <c r="AE33" s="241">
        <f t="shared" si="7"/>
        <v>31</v>
      </c>
      <c r="AF33" s="1307">
        <f>Z33*AE33</f>
        <v>53.047696000000002</v>
      </c>
      <c r="AG33" s="1285"/>
      <c r="AI33" s="1282">
        <f t="shared" si="0"/>
        <v>14.020700192751963</v>
      </c>
      <c r="AJ33" s="1252">
        <v>0.8901</v>
      </c>
      <c r="AK33" s="1252">
        <v>1.03</v>
      </c>
      <c r="AL33" s="1252">
        <v>7.2245999999999996E-4</v>
      </c>
    </row>
    <row r="34" spans="1:38" ht="18.75" customHeight="1" x14ac:dyDescent="0.2">
      <c r="A34" s="1273">
        <v>18</v>
      </c>
      <c r="B34" s="1274" t="s">
        <v>38</v>
      </c>
      <c r="C34" s="241" t="s">
        <v>46</v>
      </c>
      <c r="D34" s="1278">
        <v>580</v>
      </c>
      <c r="E34" s="241" t="s">
        <v>84</v>
      </c>
      <c r="F34" s="241">
        <v>177.8</v>
      </c>
      <c r="G34" s="241" t="s">
        <v>28</v>
      </c>
      <c r="H34" s="1299" t="s">
        <v>687</v>
      </c>
      <c r="I34" s="1778">
        <v>562.66</v>
      </c>
      <c r="J34" s="241">
        <v>85</v>
      </c>
      <c r="K34" s="241"/>
      <c r="L34" s="1277">
        <v>332</v>
      </c>
      <c r="M34" s="241"/>
      <c r="N34" s="1278">
        <v>0</v>
      </c>
      <c r="O34" s="241"/>
      <c r="P34" s="1278">
        <f t="shared" si="2"/>
        <v>22.0479330329484</v>
      </c>
      <c r="Q34" s="1278">
        <f>20*J34/100</f>
        <v>17</v>
      </c>
      <c r="R34" s="244">
        <v>4.6269999999999998</v>
      </c>
      <c r="S34" s="244">
        <v>14.292999999999999</v>
      </c>
      <c r="T34" s="1277">
        <v>17</v>
      </c>
      <c r="U34" s="1278">
        <f t="shared" si="3"/>
        <v>3.6740868813486061</v>
      </c>
      <c r="V34" s="1278">
        <f t="shared" si="4"/>
        <v>67.627509969915351</v>
      </c>
      <c r="W34" s="1279">
        <v>0</v>
      </c>
      <c r="X34" s="1316">
        <v>85</v>
      </c>
      <c r="Y34" s="1277">
        <f t="shared" si="1"/>
        <v>84.076470588235281</v>
      </c>
      <c r="Z34" s="244">
        <f t="shared" si="5"/>
        <v>4.5714759999999997</v>
      </c>
      <c r="AA34" s="244">
        <f t="shared" si="5"/>
        <v>14.121483999999999</v>
      </c>
      <c r="AB34" s="1277">
        <f t="shared" si="5"/>
        <v>16.795999999999999</v>
      </c>
      <c r="AC34" s="1307">
        <f t="shared" si="6"/>
        <v>3.6740868813486061</v>
      </c>
      <c r="AD34" s="1305">
        <f t="shared" si="6"/>
        <v>67.627509969915351</v>
      </c>
      <c r="AE34" s="241">
        <f t="shared" si="7"/>
        <v>31</v>
      </c>
      <c r="AF34" s="244">
        <f t="shared" si="8"/>
        <v>141.715756</v>
      </c>
      <c r="AG34" s="1281"/>
      <c r="AI34" s="1282">
        <f t="shared" si="0"/>
        <v>22.0479330329484</v>
      </c>
      <c r="AJ34" s="1252">
        <v>0.92159999999999997</v>
      </c>
      <c r="AK34" s="1252">
        <v>1.0169999999999999</v>
      </c>
      <c r="AL34" s="1252">
        <v>8.1276750000000011E-4</v>
      </c>
    </row>
    <row r="35" spans="1:38" ht="18.75" customHeight="1" x14ac:dyDescent="0.2">
      <c r="A35" s="1273">
        <v>19</v>
      </c>
      <c r="B35" s="1274" t="s">
        <v>39</v>
      </c>
      <c r="C35" s="241" t="s">
        <v>46</v>
      </c>
      <c r="D35" s="241">
        <v>575.26</v>
      </c>
      <c r="E35" s="241" t="s">
        <v>411</v>
      </c>
      <c r="F35" s="241">
        <v>177.8</v>
      </c>
      <c r="G35" s="241" t="s">
        <v>28</v>
      </c>
      <c r="H35" s="1299" t="s">
        <v>588</v>
      </c>
      <c r="I35" s="1778">
        <v>538.45000000000005</v>
      </c>
      <c r="J35" s="1448">
        <v>130</v>
      </c>
      <c r="K35" s="241"/>
      <c r="L35" s="1277">
        <v>381</v>
      </c>
      <c r="M35" s="241"/>
      <c r="N35" s="1278">
        <v>4</v>
      </c>
      <c r="O35" s="241"/>
      <c r="P35" s="1278">
        <f t="shared" si="2"/>
        <v>18.558751576291627</v>
      </c>
      <c r="Q35" s="1278">
        <f>14*J35/100</f>
        <v>18.2</v>
      </c>
      <c r="R35" s="244">
        <v>5.6710000000000003</v>
      </c>
      <c r="S35" s="244">
        <v>11.06</v>
      </c>
      <c r="T35" s="1277">
        <v>174</v>
      </c>
      <c r="U35" s="1278">
        <f t="shared" si="3"/>
        <v>30.682419326397458</v>
      </c>
      <c r="V35" s="1278">
        <f t="shared" si="4"/>
        <v>48.725135623869804</v>
      </c>
      <c r="W35" s="1279">
        <v>0.2</v>
      </c>
      <c r="X35" s="1449">
        <v>130</v>
      </c>
      <c r="Y35" s="1277">
        <f t="shared" si="1"/>
        <v>60.769230769230774</v>
      </c>
      <c r="Z35" s="244">
        <f t="shared" ref="Z35:AB48" si="11">R35*0.988</f>
        <v>5.6029480000000005</v>
      </c>
      <c r="AA35" s="244">
        <f t="shared" si="11"/>
        <v>10.92728</v>
      </c>
      <c r="AB35" s="1277">
        <f t="shared" si="11"/>
        <v>171.91200000000001</v>
      </c>
      <c r="AC35" s="244">
        <f t="shared" ref="AC35:AD37" si="12">U35</f>
        <v>30.682419326397458</v>
      </c>
      <c r="AD35" s="1305">
        <f t="shared" si="12"/>
        <v>48.725135623869804</v>
      </c>
      <c r="AE35" s="241">
        <f t="shared" si="7"/>
        <v>31</v>
      </c>
      <c r="AF35" s="244">
        <f t="shared" si="8"/>
        <v>173.69138800000002</v>
      </c>
      <c r="AG35" s="1281"/>
      <c r="AI35" s="1282">
        <f t="shared" si="0"/>
        <v>18.558751576291627</v>
      </c>
      <c r="AJ35" s="1252">
        <v>0.88570000000000004</v>
      </c>
      <c r="AK35" s="1252">
        <v>1.024</v>
      </c>
      <c r="AL35" s="1252">
        <v>8.1397160000000013E-4</v>
      </c>
    </row>
    <row r="36" spans="1:38" ht="18.75" customHeight="1" x14ac:dyDescent="0.2">
      <c r="A36" s="1273">
        <v>20</v>
      </c>
      <c r="B36" s="1274" t="s">
        <v>40</v>
      </c>
      <c r="C36" s="241" t="s">
        <v>46</v>
      </c>
      <c r="D36" s="241">
        <v>604.16999999999996</v>
      </c>
      <c r="E36" s="241" t="s">
        <v>689</v>
      </c>
      <c r="F36" s="241">
        <v>177.8</v>
      </c>
      <c r="G36" s="241" t="s">
        <v>28</v>
      </c>
      <c r="H36" s="241" t="s">
        <v>556</v>
      </c>
      <c r="I36" s="1778">
        <v>565.36</v>
      </c>
      <c r="J36" s="241"/>
      <c r="K36" s="241"/>
      <c r="L36" s="1277"/>
      <c r="M36" s="241"/>
      <c r="N36" s="1278"/>
      <c r="O36" s="241"/>
      <c r="P36" s="1278"/>
      <c r="Q36" s="1278"/>
      <c r="R36" s="244"/>
      <c r="S36" s="244"/>
      <c r="T36" s="1277"/>
      <c r="U36" s="1278"/>
      <c r="V36" s="1278"/>
      <c r="W36" s="1279"/>
      <c r="X36" s="1316">
        <v>100</v>
      </c>
      <c r="Y36" s="1277">
        <v>93.684615384615384</v>
      </c>
      <c r="Z36" s="244">
        <v>2.5599080000000001</v>
      </c>
      <c r="AA36" s="244">
        <v>12.032852</v>
      </c>
      <c r="AB36" s="1277">
        <v>23.712</v>
      </c>
      <c r="AC36" s="244">
        <v>9.2628328830567348</v>
      </c>
      <c r="AD36" s="1305">
        <v>78.725675342803186</v>
      </c>
      <c r="AE36" s="1288">
        <v>5</v>
      </c>
      <c r="AF36" s="244">
        <v>12.79954</v>
      </c>
      <c r="AG36" s="1281" t="s">
        <v>808</v>
      </c>
      <c r="AI36" s="1282">
        <f t="shared" si="0"/>
        <v>50.231738014507769</v>
      </c>
      <c r="AJ36" s="1252">
        <v>0.91769999999999996</v>
      </c>
      <c r="AK36" s="1252">
        <v>1.0129999999999999</v>
      </c>
      <c r="AL36" s="1252">
        <v>7.5858300000000007E-4</v>
      </c>
    </row>
    <row r="37" spans="1:38" ht="18.75" customHeight="1" x14ac:dyDescent="0.2">
      <c r="A37" s="1273">
        <v>21</v>
      </c>
      <c r="B37" s="1274" t="s">
        <v>41</v>
      </c>
      <c r="C37" s="241" t="s">
        <v>46</v>
      </c>
      <c r="D37" s="241">
        <v>573.37</v>
      </c>
      <c r="E37" s="241" t="s">
        <v>87</v>
      </c>
      <c r="F37" s="241">
        <v>177.8</v>
      </c>
      <c r="G37" s="241" t="s">
        <v>28</v>
      </c>
      <c r="H37" s="241" t="s">
        <v>461</v>
      </c>
      <c r="I37" s="1778">
        <v>535.91</v>
      </c>
      <c r="J37" s="1448">
        <v>300</v>
      </c>
      <c r="K37" s="241"/>
      <c r="L37" s="1277">
        <v>440</v>
      </c>
      <c r="M37" s="241"/>
      <c r="N37" s="1278">
        <v>2.4</v>
      </c>
      <c r="O37" s="241"/>
      <c r="P37" s="1278">
        <f t="shared" si="2"/>
        <v>11.054233892334251</v>
      </c>
      <c r="Q37" s="1278">
        <f>(20/100)*J37</f>
        <v>60</v>
      </c>
      <c r="R37" s="244">
        <v>11.741</v>
      </c>
      <c r="S37" s="244">
        <v>16.591000000000001</v>
      </c>
      <c r="T37" s="1277">
        <v>214</v>
      </c>
      <c r="U37" s="1278">
        <f t="shared" ref="U37:U85" si="13">IF(R37=0,0,T37/R37)</f>
        <v>18.226726854612043</v>
      </c>
      <c r="V37" s="1278">
        <f t="shared" si="4"/>
        <v>29.232716533060099</v>
      </c>
      <c r="W37" s="1279">
        <v>0.2</v>
      </c>
      <c r="X37" s="1449">
        <v>300</v>
      </c>
      <c r="Y37" s="1277">
        <f t="shared" si="1"/>
        <v>27.651666666666667</v>
      </c>
      <c r="Z37" s="244">
        <f t="shared" si="11"/>
        <v>11.600107999999999</v>
      </c>
      <c r="AA37" s="244">
        <f t="shared" si="11"/>
        <v>16.391908000000001</v>
      </c>
      <c r="AB37" s="1277">
        <f t="shared" si="11"/>
        <v>211.43199999999999</v>
      </c>
      <c r="AC37" s="244">
        <f t="shared" si="12"/>
        <v>18.226726854612043</v>
      </c>
      <c r="AD37" s="1305">
        <f>V37</f>
        <v>29.232716533060099</v>
      </c>
      <c r="AE37" s="241">
        <f t="shared" si="7"/>
        <v>31</v>
      </c>
      <c r="AF37" s="244">
        <f t="shared" si="8"/>
        <v>359.60334799999998</v>
      </c>
      <c r="AG37" s="1281"/>
      <c r="AI37" s="1282">
        <f t="shared" si="0"/>
        <v>11.054233892334251</v>
      </c>
      <c r="AJ37" s="1252">
        <v>0.88919999999999999</v>
      </c>
      <c r="AK37" s="1252">
        <v>1.0229999999999999</v>
      </c>
      <c r="AL37" s="1252">
        <v>8.0193060000000006E-4</v>
      </c>
    </row>
    <row r="38" spans="1:38" ht="18.75" customHeight="1" x14ac:dyDescent="0.2">
      <c r="A38" s="1273">
        <v>22</v>
      </c>
      <c r="B38" s="1274" t="s">
        <v>42</v>
      </c>
      <c r="C38" s="241" t="s">
        <v>46</v>
      </c>
      <c r="D38" s="241">
        <v>583.20000000000005</v>
      </c>
      <c r="E38" s="241" t="s">
        <v>88</v>
      </c>
      <c r="F38" s="241">
        <v>177.8</v>
      </c>
      <c r="G38" s="241" t="s">
        <v>28</v>
      </c>
      <c r="H38" s="1299" t="s">
        <v>540</v>
      </c>
      <c r="I38" s="1771">
        <v>563.91</v>
      </c>
      <c r="J38" s="1448">
        <v>85</v>
      </c>
      <c r="K38" s="241"/>
      <c r="L38" s="1277">
        <v>170</v>
      </c>
      <c r="M38" s="241"/>
      <c r="N38" s="1278">
        <v>1</v>
      </c>
      <c r="O38" s="241"/>
      <c r="P38" s="1278">
        <f t="shared" si="2"/>
        <v>39.193989077277813</v>
      </c>
      <c r="Q38" s="1278">
        <f>22*J38/100</f>
        <v>18.7</v>
      </c>
      <c r="R38" s="244">
        <v>4.0289999999999999</v>
      </c>
      <c r="S38" s="244">
        <v>18.803000000000001</v>
      </c>
      <c r="T38" s="1277">
        <v>7</v>
      </c>
      <c r="U38" s="1278">
        <f t="shared" si="13"/>
        <v>1.7374038222884092</v>
      </c>
      <c r="V38" s="1278">
        <f t="shared" si="4"/>
        <v>78.572568207200973</v>
      </c>
      <c r="W38" s="1279">
        <v>0</v>
      </c>
      <c r="X38" s="1449">
        <v>85</v>
      </c>
      <c r="Y38" s="1277">
        <f t="shared" si="1"/>
        <v>100.55080213903744</v>
      </c>
      <c r="Z38" s="244">
        <f t="shared" si="11"/>
        <v>3.9806520000000001</v>
      </c>
      <c r="AA38" s="244">
        <f t="shared" si="11"/>
        <v>18.577363999999999</v>
      </c>
      <c r="AB38" s="1277">
        <f t="shared" si="11"/>
        <v>6.9160000000000004</v>
      </c>
      <c r="AC38" s="244">
        <f>U38</f>
        <v>1.7374038222884092</v>
      </c>
      <c r="AD38" s="1277">
        <f>V38</f>
        <v>78.572568207200973</v>
      </c>
      <c r="AE38" s="241">
        <v>29</v>
      </c>
      <c r="AF38" s="244">
        <f t="shared" si="8"/>
        <v>115.438908</v>
      </c>
      <c r="AG38" s="1281" t="s">
        <v>808</v>
      </c>
      <c r="AI38" s="1282">
        <f t="shared" si="0"/>
        <v>39.193989077277813</v>
      </c>
      <c r="AJ38" s="1252">
        <v>0.9173</v>
      </c>
      <c r="AK38" s="1252">
        <v>1.024</v>
      </c>
      <c r="AL38" s="1252">
        <v>8.1276750000000011E-4</v>
      </c>
    </row>
    <row r="39" spans="1:38" ht="18.75" customHeight="1" x14ac:dyDescent="0.2">
      <c r="A39" s="1273">
        <v>23</v>
      </c>
      <c r="B39" s="1274" t="s">
        <v>43</v>
      </c>
      <c r="C39" s="241" t="s">
        <v>46</v>
      </c>
      <c r="D39" s="241">
        <v>682.7</v>
      </c>
      <c r="E39" s="241" t="s">
        <v>690</v>
      </c>
      <c r="F39" s="241">
        <v>177.8</v>
      </c>
      <c r="G39" s="241" t="s">
        <v>28</v>
      </c>
      <c r="H39" s="1299" t="s">
        <v>685</v>
      </c>
      <c r="I39" s="1315">
        <v>553.84</v>
      </c>
      <c r="J39" s="241"/>
      <c r="K39" s="241"/>
      <c r="L39" s="1277"/>
      <c r="M39" s="241"/>
      <c r="N39" s="1278"/>
      <c r="O39" s="241"/>
      <c r="P39" s="1278"/>
      <c r="Q39" s="1278"/>
      <c r="R39" s="244"/>
      <c r="S39" s="244"/>
      <c r="T39" s="1277"/>
      <c r="U39" s="1278"/>
      <c r="V39" s="1278"/>
      <c r="W39" s="1279"/>
      <c r="X39" s="1316">
        <v>95</v>
      </c>
      <c r="Y39" s="1277">
        <v>75.045112781954884</v>
      </c>
      <c r="Z39" s="244">
        <v>1.8999239999999999</v>
      </c>
      <c r="AA39" s="244">
        <v>9.8612280000000005</v>
      </c>
      <c r="AB39" s="1277">
        <v>7.0147999999999993</v>
      </c>
      <c r="AC39" s="244">
        <v>3.692147685907436</v>
      </c>
      <c r="AD39" s="1277">
        <v>80.733393447550355</v>
      </c>
      <c r="AE39" s="1288">
        <v>10</v>
      </c>
      <c r="AF39" s="244">
        <v>18.99924</v>
      </c>
      <c r="AG39" s="1281" t="s">
        <v>808</v>
      </c>
      <c r="AI39" s="1282">
        <f t="shared" si="0"/>
        <v>48.371705086010365</v>
      </c>
      <c r="AJ39" s="1252">
        <v>0.90210000000000001</v>
      </c>
      <c r="AK39" s="1252">
        <v>1.0169999999999999</v>
      </c>
      <c r="AL39" s="1252">
        <v>7.7303220000000006E-4</v>
      </c>
    </row>
    <row r="40" spans="1:38" ht="18.75" customHeight="1" x14ac:dyDescent="0.2">
      <c r="A40" s="1273">
        <v>24</v>
      </c>
      <c r="B40" s="1274" t="s">
        <v>44</v>
      </c>
      <c r="C40" s="241" t="s">
        <v>445</v>
      </c>
      <c r="D40" s="241">
        <v>734.5</v>
      </c>
      <c r="E40" s="1778" t="s">
        <v>821</v>
      </c>
      <c r="F40" s="241">
        <v>177.8</v>
      </c>
      <c r="G40" s="241" t="s">
        <v>28</v>
      </c>
      <c r="H40" s="1299" t="s">
        <v>822</v>
      </c>
      <c r="I40" s="1315">
        <v>617.66</v>
      </c>
      <c r="J40" s="241">
        <v>105</v>
      </c>
      <c r="K40" s="241"/>
      <c r="L40" s="1277">
        <v>176</v>
      </c>
      <c r="M40" s="241"/>
      <c r="N40" s="1278">
        <v>1.7</v>
      </c>
      <c r="O40" s="241"/>
      <c r="P40" s="1278">
        <f t="shared" si="2"/>
        <v>41.812178410931807</v>
      </c>
      <c r="Q40" s="1278">
        <f>(32/100)*J40</f>
        <v>33.6</v>
      </c>
      <c r="R40" s="244">
        <v>16.669</v>
      </c>
      <c r="S40" s="244">
        <v>23.173999999999999</v>
      </c>
      <c r="T40" s="1277">
        <v>870</v>
      </c>
      <c r="U40" s="1278">
        <f t="shared" si="13"/>
        <v>52.192693022976783</v>
      </c>
      <c r="V40" s="1278">
        <f t="shared" si="4"/>
        <v>28.070251143522913</v>
      </c>
      <c r="W40" s="1279">
        <v>0.2</v>
      </c>
      <c r="X40" s="1316">
        <v>105</v>
      </c>
      <c r="Y40" s="1277">
        <f t="shared" si="1"/>
        <v>68.970238095238088</v>
      </c>
      <c r="Z40" s="244">
        <f t="shared" si="11"/>
        <v>16.468972000000001</v>
      </c>
      <c r="AA40" s="244">
        <f t="shared" si="11"/>
        <v>22.895911999999999</v>
      </c>
      <c r="AB40" s="1277">
        <f t="shared" si="11"/>
        <v>859.56</v>
      </c>
      <c r="AC40" s="244">
        <f>U40</f>
        <v>52.192693022976783</v>
      </c>
      <c r="AD40" s="1278">
        <f t="shared" ref="AD40" si="14">(AA40-Z40)/AA40*100</f>
        <v>28.070251143522906</v>
      </c>
      <c r="AE40" s="241">
        <v>31</v>
      </c>
      <c r="AF40" s="244">
        <f t="shared" si="8"/>
        <v>510.53813200000002</v>
      </c>
      <c r="AG40" s="1281"/>
      <c r="AI40" s="1282">
        <f t="shared" si="0"/>
        <v>41.812178410931807</v>
      </c>
      <c r="AJ40" s="1252">
        <v>0.90480000000000005</v>
      </c>
      <c r="AK40" s="1252">
        <v>1.022</v>
      </c>
      <c r="AL40" s="1252">
        <v>9.3558570000000008E-4</v>
      </c>
    </row>
    <row r="41" spans="1:38" ht="18.75" customHeight="1" x14ac:dyDescent="0.2">
      <c r="A41" s="1273">
        <v>25</v>
      </c>
      <c r="B41" s="1274" t="s">
        <v>45</v>
      </c>
      <c r="C41" s="241" t="s">
        <v>46</v>
      </c>
      <c r="D41" s="241">
        <v>636.4</v>
      </c>
      <c r="E41" s="241" t="s">
        <v>595</v>
      </c>
      <c r="F41" s="241">
        <v>177.8</v>
      </c>
      <c r="G41" s="241" t="s">
        <v>28</v>
      </c>
      <c r="H41" s="241" t="s">
        <v>684</v>
      </c>
      <c r="I41" s="1778">
        <v>554.16999999999996</v>
      </c>
      <c r="J41" s="1448">
        <v>125</v>
      </c>
      <c r="K41" s="241"/>
      <c r="L41" s="1277">
        <v>326</v>
      </c>
      <c r="M41" s="241"/>
      <c r="N41" s="1278">
        <v>4.5</v>
      </c>
      <c r="O41" s="241"/>
      <c r="P41" s="1278">
        <f t="shared" si="2"/>
        <v>26.513042232405486</v>
      </c>
      <c r="Q41" s="1278">
        <f>(32/100)*J41</f>
        <v>40</v>
      </c>
      <c r="R41" s="244">
        <v>8.7240000000000002</v>
      </c>
      <c r="S41" s="244">
        <v>37.887</v>
      </c>
      <c r="T41" s="1277">
        <v>120</v>
      </c>
      <c r="U41" s="1278">
        <f t="shared" si="13"/>
        <v>13.75515818431912</v>
      </c>
      <c r="V41" s="1278">
        <f t="shared" si="4"/>
        <v>76.973632116557127</v>
      </c>
      <c r="W41" s="1279">
        <v>0.2</v>
      </c>
      <c r="X41" s="1449">
        <v>125</v>
      </c>
      <c r="Y41" s="1277">
        <f t="shared" si="1"/>
        <v>94.717500000000001</v>
      </c>
      <c r="Z41" s="244">
        <f t="shared" si="11"/>
        <v>8.6193120000000008</v>
      </c>
      <c r="AA41" s="244">
        <f t="shared" si="11"/>
        <v>37.432355999999999</v>
      </c>
      <c r="AB41" s="1277">
        <f t="shared" si="11"/>
        <v>118.56</v>
      </c>
      <c r="AC41" s="244">
        <f>U41</f>
        <v>13.75515818431912</v>
      </c>
      <c r="AD41" s="1277">
        <f>V41</f>
        <v>76.973632116557127</v>
      </c>
      <c r="AE41" s="241">
        <f>(DAY(EOMONTH($AH$15,0))-AH41)</f>
        <v>31</v>
      </c>
      <c r="AF41" s="244">
        <f t="shared" si="8"/>
        <v>267.19867200000004</v>
      </c>
      <c r="AG41" s="1281"/>
      <c r="AI41" s="1282">
        <f t="shared" si="0"/>
        <v>26.513042232405486</v>
      </c>
      <c r="AJ41" s="1252">
        <v>0.9</v>
      </c>
      <c r="AK41" s="1252">
        <v>1.024</v>
      </c>
      <c r="AL41" s="1252">
        <v>7.2366409999999998E-4</v>
      </c>
    </row>
    <row r="42" spans="1:38" ht="18.600000000000001" customHeight="1" x14ac:dyDescent="0.2">
      <c r="A42" s="1273">
        <v>26</v>
      </c>
      <c r="B42" s="1274" t="s">
        <v>56</v>
      </c>
      <c r="C42" s="1316" t="s">
        <v>46</v>
      </c>
      <c r="D42" s="241">
        <v>680.52</v>
      </c>
      <c r="E42" s="1274" t="s">
        <v>596</v>
      </c>
      <c r="F42" s="241">
        <v>177.8</v>
      </c>
      <c r="G42" s="241" t="s">
        <v>28</v>
      </c>
      <c r="H42" s="1299" t="s">
        <v>349</v>
      </c>
      <c r="I42" s="1771">
        <v>583.46</v>
      </c>
      <c r="J42" s="1448"/>
      <c r="K42" s="241"/>
      <c r="L42" s="1277"/>
      <c r="M42" s="241"/>
      <c r="N42" s="1278"/>
      <c r="O42" s="241"/>
      <c r="P42" s="1278"/>
      <c r="Q42" s="1278"/>
      <c r="R42" s="244"/>
      <c r="S42" s="244"/>
      <c r="T42" s="1277"/>
      <c r="U42" s="1278"/>
      <c r="V42" s="1278"/>
      <c r="W42" s="1279"/>
      <c r="X42" s="1449"/>
      <c r="Y42" s="1277">
        <f t="shared" si="1"/>
        <v>0</v>
      </c>
      <c r="Z42" s="244"/>
      <c r="AA42" s="244"/>
      <c r="AB42" s="1277"/>
      <c r="AC42" s="244"/>
      <c r="AD42" s="1277"/>
      <c r="AE42" s="241"/>
      <c r="AF42" s="244"/>
      <c r="AG42" s="1285" t="s">
        <v>681</v>
      </c>
      <c r="AI42" s="1282">
        <f t="shared" si="0"/>
        <v>51.69303580814212</v>
      </c>
      <c r="AJ42" s="1252">
        <v>0.91510000000000002</v>
      </c>
      <c r="AK42" s="1252">
        <v>1.022</v>
      </c>
      <c r="AL42" s="1252">
        <v>6.1000000000000004E-3</v>
      </c>
    </row>
    <row r="43" spans="1:38" ht="18.75" customHeight="1" x14ac:dyDescent="0.2">
      <c r="A43" s="1273">
        <v>27</v>
      </c>
      <c r="B43" s="1274" t="s">
        <v>206</v>
      </c>
      <c r="C43" s="241" t="s">
        <v>46</v>
      </c>
      <c r="D43" s="241">
        <v>660.74</v>
      </c>
      <c r="E43" s="241" t="s">
        <v>436</v>
      </c>
      <c r="F43" s="241">
        <v>177.8</v>
      </c>
      <c r="G43" s="241" t="s">
        <v>28</v>
      </c>
      <c r="H43" s="241" t="s">
        <v>693</v>
      </c>
      <c r="I43" s="1771">
        <v>544.70000000000005</v>
      </c>
      <c r="J43" s="241">
        <v>105</v>
      </c>
      <c r="K43" s="241"/>
      <c r="L43" s="1277">
        <v>76</v>
      </c>
      <c r="M43" s="241"/>
      <c r="N43" s="1278">
        <v>2.5</v>
      </c>
      <c r="O43" s="241"/>
      <c r="P43" s="1278">
        <f t="shared" si="2"/>
        <v>47.926957520010319</v>
      </c>
      <c r="Q43" s="1278">
        <f>J43*20/100</f>
        <v>21</v>
      </c>
      <c r="R43" s="244">
        <v>2.74</v>
      </c>
      <c r="S43" s="244">
        <v>18.640999999999998</v>
      </c>
      <c r="T43" s="1277">
        <v>42</v>
      </c>
      <c r="U43" s="1278">
        <f t="shared" si="13"/>
        <v>15.32846715328467</v>
      </c>
      <c r="V43" s="1278">
        <f t="shared" si="4"/>
        <v>85.301217745829078</v>
      </c>
      <c r="W43" s="1279">
        <v>0.2</v>
      </c>
      <c r="X43" s="1316">
        <v>105</v>
      </c>
      <c r="Y43" s="1277">
        <f t="shared" si="1"/>
        <v>88.766666666666666</v>
      </c>
      <c r="Z43" s="244">
        <f t="shared" si="11"/>
        <v>2.7071200000000002</v>
      </c>
      <c r="AA43" s="244">
        <f t="shared" si="11"/>
        <v>18.417307999999998</v>
      </c>
      <c r="AB43" s="1277">
        <f t="shared" si="11"/>
        <v>41.496000000000002</v>
      </c>
      <c r="AC43" s="244">
        <f t="shared" ref="AC43:AD48" si="15">U43</f>
        <v>15.32846715328467</v>
      </c>
      <c r="AD43" s="1277">
        <f t="shared" si="15"/>
        <v>85.301217745829078</v>
      </c>
      <c r="AE43" s="241">
        <v>29</v>
      </c>
      <c r="AF43" s="244">
        <f t="shared" si="8"/>
        <v>78.50648000000001</v>
      </c>
      <c r="AG43" s="1281" t="s">
        <v>818</v>
      </c>
      <c r="AI43" s="1282">
        <f t="shared" si="0"/>
        <v>47.926957520010319</v>
      </c>
      <c r="AJ43" s="1252">
        <v>0.90780000000000005</v>
      </c>
      <c r="AK43" s="1252">
        <v>1.0169999999999999</v>
      </c>
      <c r="AL43" s="1252">
        <v>7.7303220000000006E-4</v>
      </c>
    </row>
    <row r="44" spans="1:38" ht="28.5" customHeight="1" x14ac:dyDescent="0.2">
      <c r="A44" s="1273">
        <v>28</v>
      </c>
      <c r="B44" s="1317" t="s">
        <v>161</v>
      </c>
      <c r="C44" s="241" t="s">
        <v>46</v>
      </c>
      <c r="D44" s="1778">
        <v>677</v>
      </c>
      <c r="E44" s="1318" t="s">
        <v>178</v>
      </c>
      <c r="F44" s="241">
        <v>177.8</v>
      </c>
      <c r="G44" s="241" t="s">
        <v>28</v>
      </c>
      <c r="H44" s="241" t="s">
        <v>684</v>
      </c>
      <c r="I44" s="1778">
        <v>500.03</v>
      </c>
      <c r="J44" s="1778">
        <v>110</v>
      </c>
      <c r="K44" s="1778"/>
      <c r="L44" s="1319">
        <v>387</v>
      </c>
      <c r="M44" s="1778"/>
      <c r="N44" s="1278">
        <v>1.7</v>
      </c>
      <c r="O44" s="1778"/>
      <c r="P44" s="1278">
        <f t="shared" si="2"/>
        <v>12.371867429227974</v>
      </c>
      <c r="Q44" s="1278">
        <f>J44*32/100</f>
        <v>35.200000000000003</v>
      </c>
      <c r="R44" s="244">
        <v>9.9459999999999997</v>
      </c>
      <c r="S44" s="244">
        <v>24.72</v>
      </c>
      <c r="T44" s="1319">
        <v>198</v>
      </c>
      <c r="U44" s="1278">
        <f t="shared" si="13"/>
        <v>19.907500502714658</v>
      </c>
      <c r="V44" s="1278">
        <f t="shared" si="4"/>
        <v>59.765372168284792</v>
      </c>
      <c r="W44" s="1279">
        <v>0.2</v>
      </c>
      <c r="X44" s="1410">
        <v>110</v>
      </c>
      <c r="Y44" s="1277">
        <f t="shared" si="1"/>
        <v>70.22727272727272</v>
      </c>
      <c r="Z44" s="244">
        <f t="shared" si="11"/>
        <v>9.8266480000000005</v>
      </c>
      <c r="AA44" s="244">
        <f t="shared" si="11"/>
        <v>24.423359999999999</v>
      </c>
      <c r="AB44" s="1277">
        <f t="shared" si="11"/>
        <v>195.624</v>
      </c>
      <c r="AC44" s="244">
        <f t="shared" si="15"/>
        <v>19.907500502714658</v>
      </c>
      <c r="AD44" s="1277">
        <f t="shared" si="15"/>
        <v>59.765372168284792</v>
      </c>
      <c r="AE44" s="241">
        <f>(DAY(EOMONTH($AH$15,0))-AH44)</f>
        <v>31</v>
      </c>
      <c r="AF44" s="244">
        <f t="shared" si="8"/>
        <v>304.62608800000004</v>
      </c>
      <c r="AG44" s="1281"/>
      <c r="AI44" s="1282">
        <f t="shared" si="0"/>
        <v>12.371867429227974</v>
      </c>
      <c r="AJ44" s="1252">
        <v>0.89839999999999998</v>
      </c>
      <c r="AK44" s="1252">
        <v>1.0209999999999999</v>
      </c>
      <c r="AL44" s="1252">
        <v>1.0307096000000001E-3</v>
      </c>
    </row>
    <row r="45" spans="1:38" ht="29.25" customHeight="1" x14ac:dyDescent="0.2">
      <c r="A45" s="1273">
        <v>29</v>
      </c>
      <c r="B45" s="1317" t="s">
        <v>162</v>
      </c>
      <c r="C45" s="241" t="s">
        <v>46</v>
      </c>
      <c r="D45" s="1778">
        <v>676.97</v>
      </c>
      <c r="E45" s="1318" t="s">
        <v>437</v>
      </c>
      <c r="F45" s="241">
        <v>177.8</v>
      </c>
      <c r="G45" s="241" t="s">
        <v>28</v>
      </c>
      <c r="H45" s="1299" t="s">
        <v>588</v>
      </c>
      <c r="I45" s="1778">
        <v>550.59</v>
      </c>
      <c r="J45" s="1373">
        <v>70</v>
      </c>
      <c r="K45" s="1778"/>
      <c r="L45" s="1277">
        <v>398</v>
      </c>
      <c r="M45" s="1778"/>
      <c r="N45" s="1278">
        <v>0.5</v>
      </c>
      <c r="O45" s="1778"/>
      <c r="P45" s="1278">
        <f t="shared" si="2"/>
        <v>14.905357487863181</v>
      </c>
      <c r="Q45" s="1278">
        <f>RIGHT(H45,(FIND("T",H45,1)-0))*J45/100</f>
        <v>9.8000000000000007</v>
      </c>
      <c r="R45" s="244">
        <v>1.133</v>
      </c>
      <c r="S45" s="244">
        <v>2.609</v>
      </c>
      <c r="T45" s="1319">
        <v>7</v>
      </c>
      <c r="U45" s="1278">
        <f t="shared" si="13"/>
        <v>6.1782877316857903</v>
      </c>
      <c r="V45" s="1278">
        <f t="shared" si="4"/>
        <v>56.573399770026832</v>
      </c>
      <c r="W45" s="1279">
        <v>0.2</v>
      </c>
      <c r="X45" s="1452">
        <v>70</v>
      </c>
      <c r="Y45" s="1277">
        <f t="shared" si="1"/>
        <v>26.622448979591834</v>
      </c>
      <c r="Z45" s="244">
        <f t="shared" si="11"/>
        <v>1.1194040000000001</v>
      </c>
      <c r="AA45" s="244">
        <f t="shared" si="11"/>
        <v>2.5776919999999999</v>
      </c>
      <c r="AB45" s="1277">
        <f t="shared" si="11"/>
        <v>6.9160000000000004</v>
      </c>
      <c r="AC45" s="244">
        <f t="shared" si="15"/>
        <v>6.1782877316857903</v>
      </c>
      <c r="AD45" s="1277">
        <f t="shared" si="15"/>
        <v>56.573399770026832</v>
      </c>
      <c r="AE45" s="241">
        <f>(DAY(EOMONTH($AH$15,0))-AH45)</f>
        <v>31</v>
      </c>
      <c r="AF45" s="244">
        <f t="shared" si="8"/>
        <v>34.701523999999999</v>
      </c>
      <c r="AG45" s="1281"/>
      <c r="AI45" s="1282">
        <f t="shared" si="0"/>
        <v>14.905357487863181</v>
      </c>
      <c r="AJ45" s="1252">
        <v>0.90790000000000004</v>
      </c>
      <c r="AK45" s="1252">
        <v>1.0229999999999999</v>
      </c>
      <c r="AL45" s="1252">
        <v>7.9591010000000008E-4</v>
      </c>
    </row>
    <row r="46" spans="1:38" ht="18.75" customHeight="1" x14ac:dyDescent="0.2">
      <c r="A46" s="1273">
        <v>30</v>
      </c>
      <c r="B46" s="1317" t="s">
        <v>163</v>
      </c>
      <c r="C46" s="241" t="s">
        <v>46</v>
      </c>
      <c r="D46" s="1778">
        <v>579</v>
      </c>
      <c r="E46" s="241" t="s">
        <v>597</v>
      </c>
      <c r="F46" s="241">
        <v>177.8</v>
      </c>
      <c r="G46" s="241" t="s">
        <v>28</v>
      </c>
      <c r="H46" s="1299" t="s">
        <v>800</v>
      </c>
      <c r="I46" s="1778">
        <v>548.82000000000005</v>
      </c>
      <c r="J46" s="1778">
        <v>85</v>
      </c>
      <c r="K46" s="1778"/>
      <c r="L46" s="1319">
        <v>304</v>
      </c>
      <c r="M46" s="1778"/>
      <c r="N46" s="1278">
        <v>1.8</v>
      </c>
      <c r="O46" s="1778"/>
      <c r="P46" s="1278">
        <f t="shared" si="2"/>
        <v>24.87285061399059</v>
      </c>
      <c r="Q46" s="1278">
        <f>7*J46/100</f>
        <v>5.95</v>
      </c>
      <c r="R46" s="244">
        <v>2.4550000000000001</v>
      </c>
      <c r="S46" s="244">
        <v>6.8689999999999998</v>
      </c>
      <c r="T46" s="1319">
        <v>20</v>
      </c>
      <c r="U46" s="1278">
        <f t="shared" si="13"/>
        <v>8.146639511201629</v>
      </c>
      <c r="V46" s="1278">
        <f t="shared" si="4"/>
        <v>64.259717571698943</v>
      </c>
      <c r="W46" s="1279">
        <v>0.2</v>
      </c>
      <c r="X46" s="1410">
        <v>85</v>
      </c>
      <c r="Y46" s="1277">
        <f t="shared" si="1"/>
        <v>115.4453781512605</v>
      </c>
      <c r="Z46" s="244">
        <f t="shared" si="11"/>
        <v>2.4255400000000003</v>
      </c>
      <c r="AA46" s="244">
        <f t="shared" si="11"/>
        <v>6.7865719999999996</v>
      </c>
      <c r="AB46" s="1277">
        <f t="shared" si="11"/>
        <v>19.759999999999998</v>
      </c>
      <c r="AC46" s="244">
        <f t="shared" si="15"/>
        <v>8.146639511201629</v>
      </c>
      <c r="AD46" s="1277">
        <f t="shared" si="15"/>
        <v>64.259717571698943</v>
      </c>
      <c r="AE46" s="241">
        <f>(DAY(EOMONTH($AH$15,0))-AH46)</f>
        <v>31</v>
      </c>
      <c r="AF46" s="244">
        <f t="shared" si="8"/>
        <v>75.19174000000001</v>
      </c>
      <c r="AG46" s="1281"/>
      <c r="AI46" s="1282">
        <f t="shared" si="0"/>
        <v>24.87285061399059</v>
      </c>
      <c r="AJ46" s="1252">
        <v>0.90129999999999999</v>
      </c>
      <c r="AK46" s="1252">
        <v>1.012</v>
      </c>
      <c r="AL46" s="1252">
        <v>7.9591010000000008E-4</v>
      </c>
    </row>
    <row r="47" spans="1:38" ht="18.75" customHeight="1" x14ac:dyDescent="0.2">
      <c r="A47" s="1273">
        <v>31</v>
      </c>
      <c r="B47" s="1274" t="s">
        <v>59</v>
      </c>
      <c r="C47" s="241" t="s">
        <v>46</v>
      </c>
      <c r="D47" s="241">
        <v>615</v>
      </c>
      <c r="E47" s="241" t="s">
        <v>454</v>
      </c>
      <c r="F47" s="241">
        <v>177.8</v>
      </c>
      <c r="G47" s="241" t="s">
        <v>28</v>
      </c>
      <c r="H47" s="1299" t="s">
        <v>686</v>
      </c>
      <c r="I47" s="1771">
        <v>538.69000000000005</v>
      </c>
      <c r="J47" s="241"/>
      <c r="K47" s="241"/>
      <c r="L47" s="1277"/>
      <c r="M47" s="241"/>
      <c r="N47" s="1278"/>
      <c r="O47" s="241"/>
      <c r="P47" s="1278"/>
      <c r="Q47" s="1278"/>
      <c r="R47" s="244"/>
      <c r="S47" s="244"/>
      <c r="T47" s="1277"/>
      <c r="U47" s="1278"/>
      <c r="V47" s="1278"/>
      <c r="W47" s="1279"/>
      <c r="X47" s="1316">
        <v>100</v>
      </c>
      <c r="Y47" s="1277">
        <v>50.995000000000005</v>
      </c>
      <c r="Z47" s="244">
        <v>4.1594800000000003</v>
      </c>
      <c r="AA47" s="244">
        <v>10.076611999999999</v>
      </c>
      <c r="AB47" s="1277">
        <v>40.508000000000003</v>
      </c>
      <c r="AC47" s="244">
        <v>9.738717339667458</v>
      </c>
      <c r="AD47" s="1277">
        <v>58.721443278752815</v>
      </c>
      <c r="AE47" s="1288">
        <v>0</v>
      </c>
      <c r="AF47" s="244">
        <v>0</v>
      </c>
      <c r="AG47" s="1285" t="s">
        <v>786</v>
      </c>
      <c r="AI47" s="1282">
        <f t="shared" si="0"/>
        <v>47.371880245447819</v>
      </c>
      <c r="AJ47" s="1252">
        <v>0.9083</v>
      </c>
      <c r="AK47" s="1252">
        <v>1.0169999999999999</v>
      </c>
      <c r="AL47" s="1252">
        <v>7.7447712000000004E-4</v>
      </c>
    </row>
    <row r="48" spans="1:38" s="1478" customFormat="1" ht="18.600000000000001" customHeight="1" x14ac:dyDescent="0.2">
      <c r="A48" s="1273">
        <v>32</v>
      </c>
      <c r="B48" s="1274" t="s">
        <v>207</v>
      </c>
      <c r="C48" s="241" t="s">
        <v>46</v>
      </c>
      <c r="D48" s="241">
        <v>674.39</v>
      </c>
      <c r="E48" s="241" t="s">
        <v>598</v>
      </c>
      <c r="F48" s="241">
        <v>177.8</v>
      </c>
      <c r="G48" s="241" t="s">
        <v>28</v>
      </c>
      <c r="H48" s="1299" t="s">
        <v>588</v>
      </c>
      <c r="I48" s="1778">
        <v>572.85</v>
      </c>
      <c r="J48" s="241">
        <v>120</v>
      </c>
      <c r="K48" s="241"/>
      <c r="L48" s="1277">
        <v>257</v>
      </c>
      <c r="M48" s="241"/>
      <c r="N48" s="1278">
        <v>2.9</v>
      </c>
      <c r="O48" s="241"/>
      <c r="P48" s="1278">
        <f t="shared" si="2"/>
        <v>33.045969661726303</v>
      </c>
      <c r="Q48" s="1278">
        <f>14*J48/100</f>
        <v>16.8</v>
      </c>
      <c r="R48" s="244">
        <v>5.63</v>
      </c>
      <c r="S48" s="244">
        <v>15.499000000000001</v>
      </c>
      <c r="T48" s="1277">
        <v>6</v>
      </c>
      <c r="U48" s="1278">
        <f t="shared" si="13"/>
        <v>1.0657193605683837</v>
      </c>
      <c r="V48" s="1278">
        <f t="shared" si="4"/>
        <v>63.675075811342666</v>
      </c>
      <c r="W48" s="1279">
        <v>0.3</v>
      </c>
      <c r="X48" s="1316">
        <v>120</v>
      </c>
      <c r="Y48" s="1277">
        <f t="shared" si="1"/>
        <v>92.25595238095238</v>
      </c>
      <c r="Z48" s="244">
        <f t="shared" si="11"/>
        <v>5.5624399999999996</v>
      </c>
      <c r="AA48" s="244">
        <f t="shared" si="11"/>
        <v>15.313012000000001</v>
      </c>
      <c r="AB48" s="1277">
        <f t="shared" si="11"/>
        <v>5.9279999999999999</v>
      </c>
      <c r="AC48" s="244">
        <f t="shared" si="15"/>
        <v>1.0657193605683837</v>
      </c>
      <c r="AD48" s="1277">
        <f t="shared" si="15"/>
        <v>63.675075811342666</v>
      </c>
      <c r="AE48" s="241">
        <f>(DAY(EOMONTH($AH$15,0))-AH48)</f>
        <v>31</v>
      </c>
      <c r="AF48" s="244">
        <f t="shared" si="8"/>
        <v>172.43563999999998</v>
      </c>
      <c r="AG48" s="1285"/>
      <c r="AH48" s="1252"/>
      <c r="AI48" s="1282">
        <f t="shared" si="0"/>
        <v>33.045969661726303</v>
      </c>
      <c r="AJ48" s="1252">
        <v>0.91710000000000003</v>
      </c>
      <c r="AK48" s="1252">
        <v>1.024</v>
      </c>
      <c r="AL48" s="1252">
        <v>7.9591010000000008E-4</v>
      </c>
    </row>
    <row r="49" spans="1:38" ht="30" customHeight="1" x14ac:dyDescent="0.2">
      <c r="A49" s="1273">
        <v>33</v>
      </c>
      <c r="B49" s="1274" t="s">
        <v>599</v>
      </c>
      <c r="C49" s="241" t="s">
        <v>46</v>
      </c>
      <c r="D49" s="1278">
        <v>684.01</v>
      </c>
      <c r="E49" s="1771" t="s">
        <v>600</v>
      </c>
      <c r="F49" s="241">
        <v>177.8</v>
      </c>
      <c r="G49" s="241" t="s">
        <v>28</v>
      </c>
      <c r="H49" s="1299" t="s">
        <v>687</v>
      </c>
      <c r="I49" s="1771">
        <v>546.08000000000004</v>
      </c>
      <c r="J49" s="241">
        <v>0</v>
      </c>
      <c r="K49" s="241"/>
      <c r="L49" s="1322">
        <v>0</v>
      </c>
      <c r="M49" s="241"/>
      <c r="N49" s="1306">
        <v>0</v>
      </c>
      <c r="O49" s="241"/>
      <c r="P49" s="1278" t="e">
        <v>#DIV/0!</v>
      </c>
      <c r="Q49" s="1278">
        <v>0</v>
      </c>
      <c r="R49" s="244">
        <v>0</v>
      </c>
      <c r="S49" s="244">
        <v>0</v>
      </c>
      <c r="T49" s="1277">
        <v>0</v>
      </c>
      <c r="U49" s="1278">
        <v>0</v>
      </c>
      <c r="V49" s="1278" t="e">
        <v>#DIV/0!</v>
      </c>
      <c r="W49" s="1279">
        <v>0</v>
      </c>
      <c r="X49" s="1316">
        <v>105</v>
      </c>
      <c r="Y49" s="1277">
        <v>69.828571428571422</v>
      </c>
      <c r="Z49" s="244">
        <v>2.964</v>
      </c>
      <c r="AA49" s="244">
        <v>14.488031999999999</v>
      </c>
      <c r="AB49" s="1277">
        <v>60.268000000000001</v>
      </c>
      <c r="AC49" s="244">
        <v>20.333333333333332</v>
      </c>
      <c r="AD49" s="1277">
        <v>79.541734860883793</v>
      </c>
      <c r="AE49" s="241">
        <v>0</v>
      </c>
      <c r="AF49" s="244">
        <v>0</v>
      </c>
      <c r="AG49" s="1285" t="s">
        <v>786</v>
      </c>
      <c r="AI49" s="1282" t="e">
        <f t="shared" si="0"/>
        <v>#DIV/0!</v>
      </c>
      <c r="AJ49" s="1252">
        <v>0.91579999999999995</v>
      </c>
      <c r="AK49" s="1252">
        <v>1.028</v>
      </c>
      <c r="AL49" s="1252">
        <v>7.7447712000000004E-4</v>
      </c>
    </row>
    <row r="50" spans="1:38" ht="18.75" customHeight="1" x14ac:dyDescent="0.2">
      <c r="A50" s="1273">
        <v>34</v>
      </c>
      <c r="B50" s="1274" t="s">
        <v>196</v>
      </c>
      <c r="C50" s="241" t="s">
        <v>46</v>
      </c>
      <c r="D50" s="241">
        <v>641</v>
      </c>
      <c r="E50" s="241" t="s">
        <v>619</v>
      </c>
      <c r="F50" s="241">
        <v>177.8</v>
      </c>
      <c r="G50" s="241" t="s">
        <v>28</v>
      </c>
      <c r="H50" s="241" t="s">
        <v>50</v>
      </c>
      <c r="I50" s="1771">
        <v>607.85</v>
      </c>
      <c r="J50" s="241"/>
      <c r="K50" s="1323">
        <v>58.46</v>
      </c>
      <c r="L50" s="1324"/>
      <c r="M50" s="1325">
        <v>0.3</v>
      </c>
      <c r="N50" s="1326"/>
      <c r="O50" s="241"/>
      <c r="P50" s="1278">
        <f t="shared" si="2"/>
        <v>52.724000149518879</v>
      </c>
      <c r="Q50" s="1278"/>
      <c r="R50" s="244"/>
      <c r="S50" s="244"/>
      <c r="T50" s="1277"/>
      <c r="U50" s="1278"/>
      <c r="V50" s="1278"/>
      <c r="W50" s="1279"/>
      <c r="X50" s="1316"/>
      <c r="Y50" s="1277">
        <f t="shared" si="1"/>
        <v>0</v>
      </c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0"/>
        <v>52.724000149518879</v>
      </c>
      <c r="AJ50" s="1252">
        <v>0.89590000000000003</v>
      </c>
      <c r="AK50" s="1252">
        <v>1.0169999999999999</v>
      </c>
      <c r="AL50" s="1252">
        <v>1.1667729E-3</v>
      </c>
    </row>
    <row r="51" spans="1:38" ht="18.75" customHeight="1" x14ac:dyDescent="0.2">
      <c r="A51" s="1273">
        <v>35</v>
      </c>
      <c r="B51" s="1274" t="s">
        <v>60</v>
      </c>
      <c r="C51" s="241" t="s">
        <v>46</v>
      </c>
      <c r="D51" s="241">
        <v>641.04999999999995</v>
      </c>
      <c r="E51" s="241" t="s">
        <v>462</v>
      </c>
      <c r="F51" s="241">
        <v>177.8</v>
      </c>
      <c r="G51" s="241" t="s">
        <v>28</v>
      </c>
      <c r="H51" s="1299" t="s">
        <v>592</v>
      </c>
      <c r="I51" s="1778">
        <v>535</v>
      </c>
      <c r="J51" s="1448">
        <v>110</v>
      </c>
      <c r="K51" s="241"/>
      <c r="L51" s="1277">
        <v>451</v>
      </c>
      <c r="M51" s="241"/>
      <c r="N51" s="1278">
        <v>3.9</v>
      </c>
      <c r="O51" s="241"/>
      <c r="P51" s="1278">
        <f t="shared" si="2"/>
        <v>11.925374307142828</v>
      </c>
      <c r="Q51" s="1278">
        <f>RIGHT(H51,(FIND("T",H51,1)-0))*J51/100</f>
        <v>15.4</v>
      </c>
      <c r="R51" s="244">
        <v>4.1829999999999998</v>
      </c>
      <c r="S51" s="244">
        <v>13.856999999999999</v>
      </c>
      <c r="T51" s="1277">
        <v>165.75</v>
      </c>
      <c r="U51" s="1278">
        <f t="shared" si="13"/>
        <v>39.624671288548889</v>
      </c>
      <c r="V51" s="1278">
        <f t="shared" si="4"/>
        <v>69.813090856606777</v>
      </c>
      <c r="W51" s="1279">
        <v>0.2</v>
      </c>
      <c r="X51" s="1449">
        <v>110</v>
      </c>
      <c r="Y51" s="1277">
        <f t="shared" si="1"/>
        <v>89.980519480519476</v>
      </c>
      <c r="Z51" s="244">
        <f t="shared" ref="Z51:AB51" si="16">R51*0.988</f>
        <v>4.1328040000000001</v>
      </c>
      <c r="AA51" s="244">
        <f t="shared" si="16"/>
        <v>13.690715999999998</v>
      </c>
      <c r="AB51" s="1277">
        <f t="shared" si="16"/>
        <v>163.761</v>
      </c>
      <c r="AC51" s="244">
        <f>U51</f>
        <v>39.624671288548889</v>
      </c>
      <c r="AD51" s="1278">
        <f t="shared" ref="AD51" si="17">(AA51-Z51)/AA51*100</f>
        <v>69.813090856606763</v>
      </c>
      <c r="AE51" s="1288">
        <v>25</v>
      </c>
      <c r="AF51" s="244">
        <f t="shared" si="8"/>
        <v>103.3201</v>
      </c>
      <c r="AG51" s="1281" t="s">
        <v>808</v>
      </c>
      <c r="AI51" s="1282">
        <f t="shared" si="0"/>
        <v>11.925374307142828</v>
      </c>
      <c r="AJ51" s="1252">
        <v>0.88929999999999998</v>
      </c>
      <c r="AK51" s="1252">
        <v>1.02</v>
      </c>
      <c r="AL51" s="1252">
        <v>1.1667729E-3</v>
      </c>
    </row>
    <row r="52" spans="1:38" ht="18.75" customHeight="1" x14ac:dyDescent="0.2">
      <c r="A52" s="1273">
        <v>36</v>
      </c>
      <c r="B52" s="1274" t="s">
        <v>119</v>
      </c>
      <c r="C52" s="241" t="s">
        <v>404</v>
      </c>
      <c r="D52" s="241">
        <v>654.07000000000005</v>
      </c>
      <c r="E52" s="241" t="s">
        <v>410</v>
      </c>
      <c r="F52" s="241">
        <v>177.8</v>
      </c>
      <c r="G52" s="241" t="s">
        <v>28</v>
      </c>
      <c r="H52" s="241" t="s">
        <v>566</v>
      </c>
      <c r="I52" s="1771">
        <v>500.38</v>
      </c>
      <c r="J52" s="241"/>
      <c r="K52" s="241">
        <v>478</v>
      </c>
      <c r="L52" s="1277"/>
      <c r="M52" s="241">
        <v>0</v>
      </c>
      <c r="N52" s="1278"/>
      <c r="O52" s="241"/>
      <c r="P52" s="1278">
        <f t="shared" si="2"/>
        <v>42.733666838193933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1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0"/>
        <v>42.733666838193933</v>
      </c>
      <c r="AJ52" s="1252">
        <v>0.8821</v>
      </c>
      <c r="AK52" s="1252">
        <v>1.018</v>
      </c>
      <c r="AL52" s="1252">
        <v>1.0764654000000001E-3</v>
      </c>
    </row>
    <row r="53" spans="1:38" ht="29.25" customHeight="1" x14ac:dyDescent="0.2">
      <c r="A53" s="1273">
        <v>37</v>
      </c>
      <c r="B53" s="1274" t="s">
        <v>118</v>
      </c>
      <c r="C53" s="241" t="s">
        <v>408</v>
      </c>
      <c r="D53" s="241">
        <v>728.77</v>
      </c>
      <c r="E53" s="1778" t="s">
        <v>442</v>
      </c>
      <c r="F53" s="241">
        <v>177.8</v>
      </c>
      <c r="G53" s="241" t="s">
        <v>28</v>
      </c>
      <c r="H53" s="241" t="s">
        <v>687</v>
      </c>
      <c r="I53" s="1778">
        <v>515.54</v>
      </c>
      <c r="J53" s="241">
        <v>0</v>
      </c>
      <c r="K53" s="241"/>
      <c r="L53" s="1277">
        <v>0</v>
      </c>
      <c r="M53" s="241"/>
      <c r="N53" s="1278">
        <v>0</v>
      </c>
      <c r="O53" s="241"/>
      <c r="P53" s="1278" t="e">
        <v>#DIV/0!</v>
      </c>
      <c r="Q53" s="1325">
        <v>0</v>
      </c>
      <c r="R53" s="244">
        <v>0</v>
      </c>
      <c r="S53" s="244">
        <v>0</v>
      </c>
      <c r="T53" s="1277">
        <v>0</v>
      </c>
      <c r="U53" s="1278">
        <v>0</v>
      </c>
      <c r="V53" s="1278" t="e">
        <v>#DIV/0!</v>
      </c>
      <c r="W53" s="1279">
        <v>0</v>
      </c>
      <c r="X53" s="1316">
        <v>95</v>
      </c>
      <c r="Y53" s="1277">
        <v>93.357894736842113</v>
      </c>
      <c r="Z53" s="244">
        <v>5.3806479999999999</v>
      </c>
      <c r="AA53" s="244">
        <v>17.525144000000001</v>
      </c>
      <c r="AB53" s="1277">
        <v>16.795999999999999</v>
      </c>
      <c r="AC53" s="1278">
        <v>3.1215571061329417</v>
      </c>
      <c r="AD53" s="1278">
        <v>69.297553275453822</v>
      </c>
      <c r="AE53" s="1288">
        <v>29</v>
      </c>
      <c r="AF53" s="244">
        <v>156.038792</v>
      </c>
      <c r="AG53" s="1281" t="s">
        <v>818</v>
      </c>
      <c r="AI53" s="1282" t="e">
        <f t="shared" si="0"/>
        <v>#DIV/0!</v>
      </c>
      <c r="AJ53" s="1252">
        <v>0.90849999999999997</v>
      </c>
      <c r="AK53" s="1252">
        <v>1.0209999999999999</v>
      </c>
      <c r="AL53" s="1252">
        <v>8.2480850000000007E-4</v>
      </c>
    </row>
    <row r="54" spans="1:38" ht="18.75" customHeight="1" x14ac:dyDescent="0.2">
      <c r="A54" s="1273">
        <v>38</v>
      </c>
      <c r="B54" s="1274" t="s">
        <v>117</v>
      </c>
      <c r="C54" s="241" t="s">
        <v>46</v>
      </c>
      <c r="D54" s="241">
        <v>671.45</v>
      </c>
      <c r="E54" s="241" t="s">
        <v>554</v>
      </c>
      <c r="F54" s="241">
        <v>177.8</v>
      </c>
      <c r="G54" s="241" t="s">
        <v>28</v>
      </c>
      <c r="H54" s="1299" t="s">
        <v>588</v>
      </c>
      <c r="I54" s="1771">
        <v>564.6500000000002</v>
      </c>
      <c r="J54" s="1448">
        <v>0</v>
      </c>
      <c r="K54" s="241"/>
      <c r="L54" s="1277">
        <v>0</v>
      </c>
      <c r="M54" s="241"/>
      <c r="N54" s="1278">
        <v>0</v>
      </c>
      <c r="O54" s="241"/>
      <c r="P54" s="1278" t="e">
        <v>#DIV/0!</v>
      </c>
      <c r="Q54" s="1278">
        <v>0</v>
      </c>
      <c r="R54" s="244">
        <v>0</v>
      </c>
      <c r="S54" s="244">
        <v>0</v>
      </c>
      <c r="T54" s="1277">
        <v>0</v>
      </c>
      <c r="U54" s="1278">
        <v>0</v>
      </c>
      <c r="V54" s="1278" t="e">
        <v>#DIV/0!</v>
      </c>
      <c r="W54" s="1279">
        <v>0</v>
      </c>
      <c r="X54" s="1449"/>
      <c r="Y54" s="1277">
        <f t="shared" si="1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 t="e">
        <f t="shared" si="0"/>
        <v>#DIV/0!</v>
      </c>
      <c r="AJ54" s="1252">
        <v>0.91290000000000004</v>
      </c>
      <c r="AK54" s="1252">
        <v>1.0189999999999999</v>
      </c>
      <c r="AL54" s="1252">
        <v>8.1276750000000011E-4</v>
      </c>
    </row>
    <row r="55" spans="1:38" ht="18.75" customHeight="1" x14ac:dyDescent="0.2">
      <c r="A55" s="1273">
        <v>39</v>
      </c>
      <c r="B55" s="1473" t="s">
        <v>115</v>
      </c>
      <c r="C55" s="1275" t="s">
        <v>46</v>
      </c>
      <c r="D55" s="1275">
        <v>580.71</v>
      </c>
      <c r="E55" s="1275" t="s">
        <v>286</v>
      </c>
      <c r="F55" s="241">
        <v>177.8</v>
      </c>
      <c r="G55" s="1275" t="s">
        <v>28</v>
      </c>
      <c r="H55" s="1474" t="s">
        <v>685</v>
      </c>
      <c r="I55" s="1475">
        <v>566.44000000000005</v>
      </c>
      <c r="J55" s="1448">
        <v>0</v>
      </c>
      <c r="K55" s="241"/>
      <c r="L55" s="1277">
        <v>0</v>
      </c>
      <c r="M55" s="241"/>
      <c r="N55" s="1278">
        <v>0</v>
      </c>
      <c r="O55" s="241"/>
      <c r="P55" s="1278" t="e">
        <f t="shared" ref="P55:P59" si="18">AI55</f>
        <v>#DIV/0!</v>
      </c>
      <c r="Q55" s="1278">
        <f>(20/100)*J55</f>
        <v>0</v>
      </c>
      <c r="R55" s="244">
        <v>0</v>
      </c>
      <c r="S55" s="244">
        <v>0</v>
      </c>
      <c r="T55" s="1277">
        <v>0</v>
      </c>
      <c r="U55" s="1278">
        <f t="shared" ref="U55:U59" si="19">IF(R55=0,0,T55/R55)</f>
        <v>0</v>
      </c>
      <c r="V55" s="1278" t="e">
        <f t="shared" ref="V55:V59" si="20">(S55-R55)/S55*100</f>
        <v>#DIV/0!</v>
      </c>
      <c r="W55" s="1279">
        <v>0</v>
      </c>
      <c r="X55" s="1453">
        <v>95</v>
      </c>
      <c r="Y55" s="1277">
        <v>110.84962406015038</v>
      </c>
      <c r="Z55" s="244">
        <v>6.5593320000000004</v>
      </c>
      <c r="AA55" s="244">
        <v>14.566084</v>
      </c>
      <c r="AB55" s="1277">
        <v>13.4368</v>
      </c>
      <c r="AC55" s="1459">
        <v>2.0485012803133</v>
      </c>
      <c r="AD55" s="1277">
        <v>54.968459607949526</v>
      </c>
      <c r="AE55" s="241">
        <v>5</v>
      </c>
      <c r="AF55" s="1459">
        <v>32.796660000000003</v>
      </c>
      <c r="AG55" s="1281" t="s">
        <v>808</v>
      </c>
      <c r="AI55" s="1282" t="e">
        <f t="shared" si="0"/>
        <v>#DIV/0!</v>
      </c>
      <c r="AJ55" s="1252">
        <v>0.91320000000000001</v>
      </c>
      <c r="AK55" s="1252">
        <v>1.018</v>
      </c>
      <c r="AL55" s="1252">
        <v>6.1000000000000004E-3</v>
      </c>
    </row>
    <row r="56" spans="1:38" ht="18.75" customHeight="1" x14ac:dyDescent="0.2">
      <c r="A56" s="1273">
        <v>40</v>
      </c>
      <c r="B56" s="1274" t="s">
        <v>116</v>
      </c>
      <c r="C56" s="241" t="s">
        <v>46</v>
      </c>
      <c r="D56" s="241">
        <v>681.27</v>
      </c>
      <c r="E56" s="241" t="s">
        <v>601</v>
      </c>
      <c r="F56" s="241">
        <v>177.8</v>
      </c>
      <c r="G56" s="241" t="s">
        <v>28</v>
      </c>
      <c r="H56" s="241" t="s">
        <v>687</v>
      </c>
      <c r="I56" s="1771">
        <v>589.64</v>
      </c>
      <c r="J56" s="1448">
        <v>0</v>
      </c>
      <c r="K56" s="241"/>
      <c r="L56" s="1277">
        <v>0</v>
      </c>
      <c r="M56" s="241"/>
      <c r="N56" s="1278">
        <v>0</v>
      </c>
      <c r="O56" s="241"/>
      <c r="P56" s="1278" t="e">
        <f t="shared" si="18"/>
        <v>#DIV/0!</v>
      </c>
      <c r="Q56" s="1278">
        <f>(20/100)*J56</f>
        <v>0</v>
      </c>
      <c r="R56" s="244">
        <v>0</v>
      </c>
      <c r="S56" s="244">
        <v>0</v>
      </c>
      <c r="T56" s="1277">
        <v>0</v>
      </c>
      <c r="U56" s="1278">
        <f t="shared" si="19"/>
        <v>0</v>
      </c>
      <c r="V56" s="1278" t="e">
        <f t="shared" si="20"/>
        <v>#DIV/0!</v>
      </c>
      <c r="W56" s="1279">
        <v>0</v>
      </c>
      <c r="X56" s="1449">
        <v>120</v>
      </c>
      <c r="Y56" s="1277">
        <v>75.629166666666663</v>
      </c>
      <c r="Z56" s="244">
        <v>2.491736</v>
      </c>
      <c r="AA56" s="244">
        <v>17.933188000000001</v>
      </c>
      <c r="AB56" s="1277">
        <v>12.053599999999999</v>
      </c>
      <c r="AC56" s="1459">
        <v>4.8374306106264866</v>
      </c>
      <c r="AD56" s="1277">
        <v>86.105448735606842</v>
      </c>
      <c r="AE56" s="241">
        <v>5</v>
      </c>
      <c r="AF56" s="244">
        <v>12.458679999999999</v>
      </c>
      <c r="AG56" s="1281" t="s">
        <v>808</v>
      </c>
      <c r="AI56" s="1282" t="e">
        <f t="shared" si="0"/>
        <v>#DIV/0!</v>
      </c>
      <c r="AJ56" s="1252">
        <v>0.91420000000000001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41</v>
      </c>
      <c r="B57" s="1274" t="s">
        <v>120</v>
      </c>
      <c r="C57" s="241" t="s">
        <v>46</v>
      </c>
      <c r="D57" s="241">
        <v>669.48</v>
      </c>
      <c r="E57" s="241" t="s">
        <v>285</v>
      </c>
      <c r="F57" s="241">
        <v>177.8</v>
      </c>
      <c r="G57" s="241" t="s">
        <v>28</v>
      </c>
      <c r="H57" s="1275" t="s">
        <v>563</v>
      </c>
      <c r="I57" s="1771">
        <v>560.83000000000004</v>
      </c>
      <c r="J57" s="1448">
        <v>0</v>
      </c>
      <c r="K57" s="241"/>
      <c r="L57" s="1277">
        <v>0</v>
      </c>
      <c r="M57" s="241"/>
      <c r="N57" s="1278">
        <v>0</v>
      </c>
      <c r="O57" s="241"/>
      <c r="P57" s="1278" t="e">
        <f t="shared" si="18"/>
        <v>#DIV/0!</v>
      </c>
      <c r="Q57" s="1278">
        <f>(20/100)*J57</f>
        <v>0</v>
      </c>
      <c r="R57" s="244">
        <v>0</v>
      </c>
      <c r="S57" s="244">
        <v>0</v>
      </c>
      <c r="T57" s="1277">
        <v>0</v>
      </c>
      <c r="U57" s="1278">
        <f t="shared" si="19"/>
        <v>0</v>
      </c>
      <c r="V57" s="1278" t="e">
        <f t="shared" si="20"/>
        <v>#DIV/0!</v>
      </c>
      <c r="W57" s="1279">
        <v>0</v>
      </c>
      <c r="X57" s="1316">
        <v>110</v>
      </c>
      <c r="Y57" s="1277">
        <v>105.15757575757576</v>
      </c>
      <c r="Z57" s="244">
        <v>7.6678680000000004</v>
      </c>
      <c r="AA57" s="244">
        <v>17.142787999999999</v>
      </c>
      <c r="AB57" s="1277">
        <v>10.868</v>
      </c>
      <c r="AC57" s="244">
        <v>1.4173431258858393</v>
      </c>
      <c r="AD57" s="1277">
        <v>55.27058959137802</v>
      </c>
      <c r="AE57" s="241">
        <v>5</v>
      </c>
      <c r="AF57" s="244">
        <v>38.33934</v>
      </c>
      <c r="AG57" s="1281" t="s">
        <v>808</v>
      </c>
      <c r="AI57" s="1282" t="e">
        <f t="shared" si="0"/>
        <v>#DIV/0!</v>
      </c>
      <c r="AJ57" s="1252">
        <v>0.91379999999999995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42</v>
      </c>
      <c r="B58" s="1274" t="s">
        <v>114</v>
      </c>
      <c r="C58" s="241" t="s">
        <v>46</v>
      </c>
      <c r="D58" s="241">
        <v>584.25</v>
      </c>
      <c r="E58" s="241" t="s">
        <v>602</v>
      </c>
      <c r="F58" s="241">
        <v>177.8</v>
      </c>
      <c r="G58" s="241" t="s">
        <v>28</v>
      </c>
      <c r="H58" s="1299" t="s">
        <v>540</v>
      </c>
      <c r="I58" s="1771">
        <v>556.55999999999995</v>
      </c>
      <c r="J58" s="1448">
        <v>0</v>
      </c>
      <c r="K58" s="241"/>
      <c r="L58" s="1277">
        <v>0</v>
      </c>
      <c r="M58" s="241"/>
      <c r="N58" s="1278">
        <v>0</v>
      </c>
      <c r="O58" s="241"/>
      <c r="P58" s="1278" t="e">
        <f t="shared" si="18"/>
        <v>#DIV/0!</v>
      </c>
      <c r="Q58" s="1278">
        <f>(20/100)*J58</f>
        <v>0</v>
      </c>
      <c r="R58" s="244">
        <v>0</v>
      </c>
      <c r="S58" s="244">
        <v>0</v>
      </c>
      <c r="T58" s="1277">
        <v>0</v>
      </c>
      <c r="U58" s="1278">
        <f t="shared" si="19"/>
        <v>0</v>
      </c>
      <c r="V58" s="1278" t="e">
        <f t="shared" si="20"/>
        <v>#DIV/0!</v>
      </c>
      <c r="W58" s="1279">
        <v>0</v>
      </c>
      <c r="X58" s="1316">
        <v>100</v>
      </c>
      <c r="Y58" s="1277">
        <v>88.231818181818184</v>
      </c>
      <c r="Z58" s="244">
        <v>2.095548</v>
      </c>
      <c r="AA58" s="244">
        <v>19.178068</v>
      </c>
      <c r="AB58" s="1277">
        <v>8.8919999999999995</v>
      </c>
      <c r="AC58" s="244">
        <v>4.2432814710042432</v>
      </c>
      <c r="AD58" s="1277">
        <v>89.073205914172377</v>
      </c>
      <c r="AE58" s="241">
        <v>0</v>
      </c>
      <c r="AF58" s="244">
        <v>0</v>
      </c>
      <c r="AG58" s="1281" t="s">
        <v>808</v>
      </c>
      <c r="AI58" s="1282" t="e">
        <f t="shared" si="0"/>
        <v>#DIV/0!</v>
      </c>
      <c r="AJ58" s="1252">
        <v>0.9254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43</v>
      </c>
      <c r="B59" s="1274" t="s">
        <v>106</v>
      </c>
      <c r="C59" s="241" t="s">
        <v>46</v>
      </c>
      <c r="D59" s="241">
        <v>582.16</v>
      </c>
      <c r="E59" s="241" t="s">
        <v>691</v>
      </c>
      <c r="F59" s="241">
        <v>177.8</v>
      </c>
      <c r="G59" s="241" t="s">
        <v>28</v>
      </c>
      <c r="H59" s="1299" t="s">
        <v>685</v>
      </c>
      <c r="I59" s="1771">
        <v>551.66</v>
      </c>
      <c r="J59" s="1448">
        <v>0</v>
      </c>
      <c r="K59" s="241"/>
      <c r="L59" s="1277">
        <v>0</v>
      </c>
      <c r="M59" s="241"/>
      <c r="N59" s="1278">
        <v>0</v>
      </c>
      <c r="O59" s="241"/>
      <c r="P59" s="1278" t="e">
        <f t="shared" si="18"/>
        <v>#DIV/0!</v>
      </c>
      <c r="Q59" s="1278">
        <f>(20/100)*J59</f>
        <v>0</v>
      </c>
      <c r="R59" s="244">
        <v>0</v>
      </c>
      <c r="S59" s="244">
        <v>0</v>
      </c>
      <c r="T59" s="1277">
        <v>0</v>
      </c>
      <c r="U59" s="1278">
        <f t="shared" si="19"/>
        <v>0</v>
      </c>
      <c r="V59" s="1278" t="e">
        <f t="shared" si="20"/>
        <v>#DIV/0!</v>
      </c>
      <c r="W59" s="1279">
        <v>0</v>
      </c>
      <c r="X59" s="1316">
        <v>120</v>
      </c>
      <c r="Y59" s="1277">
        <v>68.208333333333329</v>
      </c>
      <c r="Z59" s="244">
        <v>1.068028</v>
      </c>
      <c r="AA59" s="244">
        <v>11.321491999999999</v>
      </c>
      <c r="AB59" s="1277">
        <v>10.868</v>
      </c>
      <c r="AC59" s="244">
        <v>10.175763182238668</v>
      </c>
      <c r="AD59" s="1277">
        <v>90.566367047735412</v>
      </c>
      <c r="AE59" s="241">
        <v>0</v>
      </c>
      <c r="AF59" s="244">
        <v>0</v>
      </c>
      <c r="AG59" s="1281" t="s">
        <v>769</v>
      </c>
      <c r="AI59" s="1282" t="e">
        <f t="shared" si="0"/>
        <v>#DIV/0!</v>
      </c>
      <c r="AJ59" s="1252">
        <v>0.89570000000000005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44</v>
      </c>
      <c r="B60" s="1274" t="s">
        <v>105</v>
      </c>
      <c r="C60" s="241" t="s">
        <v>445</v>
      </c>
      <c r="D60" s="241">
        <v>565</v>
      </c>
      <c r="E60" s="241" t="s">
        <v>797</v>
      </c>
      <c r="F60" s="241">
        <v>177.8</v>
      </c>
      <c r="G60" s="241" t="s">
        <v>28</v>
      </c>
      <c r="H60" s="1299" t="s">
        <v>685</v>
      </c>
      <c r="I60" s="1778">
        <v>582.49</v>
      </c>
      <c r="J60" s="241">
        <v>110</v>
      </c>
      <c r="K60" s="241"/>
      <c r="L60" s="1319">
        <v>487</v>
      </c>
      <c r="M60" s="1278"/>
      <c r="N60" s="1278">
        <v>2.2999999999999998</v>
      </c>
      <c r="O60" s="241"/>
      <c r="P60" s="1278">
        <f t="shared" si="2"/>
        <v>10.950315163645785</v>
      </c>
      <c r="Q60" s="1278">
        <f>14*J60/100</f>
        <v>15.4</v>
      </c>
      <c r="R60" s="244">
        <v>5.585</v>
      </c>
      <c r="S60" s="244">
        <v>5.8979999999999997</v>
      </c>
      <c r="T60" s="1277">
        <v>233</v>
      </c>
      <c r="U60" s="1278">
        <f t="shared" si="13"/>
        <v>41.718889883616832</v>
      </c>
      <c r="V60" s="1278">
        <f t="shared" ref="V60:V85" si="21">(S60-R60)/S60*100</f>
        <v>5.3068836893862281</v>
      </c>
      <c r="W60" s="1279">
        <v>0.2</v>
      </c>
      <c r="X60" s="1316">
        <v>110</v>
      </c>
      <c r="Y60" s="1277">
        <f t="shared" si="1"/>
        <v>38.298701298701296</v>
      </c>
      <c r="Z60" s="244">
        <f t="shared" ref="Z60:AB70" si="22">R60*0.988</f>
        <v>5.5179799999999997</v>
      </c>
      <c r="AA60" s="244">
        <f t="shared" si="22"/>
        <v>5.8272239999999993</v>
      </c>
      <c r="AB60" s="1277">
        <f t="shared" si="22"/>
        <v>230.20400000000001</v>
      </c>
      <c r="AC60" s="244">
        <f>U60</f>
        <v>41.718889883616832</v>
      </c>
      <c r="AD60" s="1277">
        <f>V60</f>
        <v>5.3068836893862281</v>
      </c>
      <c r="AE60" s="241">
        <f t="shared" ref="AE60:AE84" si="23">(DAY(EOMONTH($AH$15,0))-AH60)</f>
        <v>31</v>
      </c>
      <c r="AF60" s="244">
        <f t="shared" si="8"/>
        <v>171.05737999999999</v>
      </c>
      <c r="AG60" s="1281"/>
      <c r="AI60" s="1282">
        <f t="shared" si="0"/>
        <v>10.950315163645785</v>
      </c>
      <c r="AJ60" s="1252">
        <v>0.8982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45</v>
      </c>
      <c r="B61" s="1274" t="s">
        <v>104</v>
      </c>
      <c r="C61" s="241" t="s">
        <v>580</v>
      </c>
      <c r="D61" s="241">
        <v>705.7</v>
      </c>
      <c r="E61" s="1778" t="s">
        <v>692</v>
      </c>
      <c r="F61" s="241">
        <v>177.8</v>
      </c>
      <c r="G61" s="241" t="s">
        <v>28</v>
      </c>
      <c r="H61" s="1299" t="s">
        <v>683</v>
      </c>
      <c r="I61" s="1778">
        <v>513.6</v>
      </c>
      <c r="J61" s="241">
        <v>110</v>
      </c>
      <c r="K61" s="241"/>
      <c r="L61" s="1277">
        <v>387</v>
      </c>
      <c r="M61" s="241"/>
      <c r="N61" s="1278">
        <v>1.3</v>
      </c>
      <c r="O61" s="241"/>
      <c r="P61" s="1278">
        <f t="shared" si="2"/>
        <v>13.024279840935703</v>
      </c>
      <c r="Q61" s="1278">
        <f>J61*13/100</f>
        <v>14.3</v>
      </c>
      <c r="R61" s="244">
        <v>1.8680000000000001</v>
      </c>
      <c r="S61" s="244">
        <v>2.8330000000000002</v>
      </c>
      <c r="T61" s="1277">
        <v>8</v>
      </c>
      <c r="U61" s="1278">
        <f t="shared" si="13"/>
        <v>4.2826552462526761</v>
      </c>
      <c r="V61" s="1278">
        <f t="shared" si="21"/>
        <v>34.062830921284856</v>
      </c>
      <c r="W61" s="1279">
        <v>0.2</v>
      </c>
      <c r="X61" s="1316">
        <v>110</v>
      </c>
      <c r="Y61" s="1277">
        <f t="shared" si="1"/>
        <v>19.811188811188813</v>
      </c>
      <c r="Z61" s="244">
        <f t="shared" si="22"/>
        <v>1.8455840000000001</v>
      </c>
      <c r="AA61" s="244">
        <f t="shared" si="22"/>
        <v>2.799004</v>
      </c>
      <c r="AB61" s="1277">
        <f t="shared" si="22"/>
        <v>7.9039999999999999</v>
      </c>
      <c r="AC61" s="244">
        <f t="shared" ref="AC61:AD68" si="24">U61</f>
        <v>4.2826552462526761</v>
      </c>
      <c r="AD61" s="1277">
        <f>V61</f>
        <v>34.062830921284856</v>
      </c>
      <c r="AE61" s="241">
        <f t="shared" si="23"/>
        <v>31</v>
      </c>
      <c r="AF61" s="244">
        <f t="shared" si="8"/>
        <v>57.213104000000001</v>
      </c>
      <c r="AG61" s="1281"/>
      <c r="AI61" s="1282">
        <f t="shared" si="0"/>
        <v>13.024279840935703</v>
      </c>
      <c r="AJ61" s="1252">
        <v>0.89649999999999996</v>
      </c>
      <c r="AK61" s="1252">
        <v>1.018</v>
      </c>
      <c r="AL61" s="1252">
        <v>6.1000000000000004E-3</v>
      </c>
    </row>
    <row r="62" spans="1:38" ht="18.600000000000001" customHeight="1" x14ac:dyDescent="0.25">
      <c r="A62" s="1273">
        <v>46</v>
      </c>
      <c r="B62" s="1317" t="s">
        <v>158</v>
      </c>
      <c r="C62" s="241" t="s">
        <v>46</v>
      </c>
      <c r="D62" s="1778">
        <v>674.45</v>
      </c>
      <c r="E62" s="1778" t="s">
        <v>232</v>
      </c>
      <c r="F62" s="241">
        <v>177.8</v>
      </c>
      <c r="G62" s="241" t="s">
        <v>28</v>
      </c>
      <c r="H62" s="1299" t="s">
        <v>464</v>
      </c>
      <c r="I62" s="1778">
        <v>542.6</v>
      </c>
      <c r="J62" s="1778">
        <v>150</v>
      </c>
      <c r="K62" s="1778"/>
      <c r="L62" s="1319">
        <v>473</v>
      </c>
      <c r="M62" s="1778"/>
      <c r="N62" s="1278">
        <v>2.4</v>
      </c>
      <c r="O62" s="1778"/>
      <c r="P62" s="1278">
        <f t="shared" si="2"/>
        <v>8.9426840713999205</v>
      </c>
      <c r="Q62" s="1278">
        <f>RIGHT(H62,(FIND("T",H62,1)-0))*J62/100</f>
        <v>21</v>
      </c>
      <c r="R62" s="244">
        <v>6.0839999999999996</v>
      </c>
      <c r="S62" s="244">
        <v>8.6539999999999999</v>
      </c>
      <c r="T62" s="1319">
        <v>12</v>
      </c>
      <c r="U62" s="1278">
        <f t="shared" si="13"/>
        <v>1.9723865877712032</v>
      </c>
      <c r="V62" s="1278">
        <f t="shared" si="21"/>
        <v>29.697249826669754</v>
      </c>
      <c r="W62" s="1279">
        <v>0.2</v>
      </c>
      <c r="X62" s="1410">
        <v>150</v>
      </c>
      <c r="Y62" s="1277">
        <f t="shared" si="1"/>
        <v>41.209523809523809</v>
      </c>
      <c r="Z62" s="244">
        <f t="shared" si="22"/>
        <v>6.0109919999999999</v>
      </c>
      <c r="AA62" s="244">
        <f t="shared" si="22"/>
        <v>8.5501520000000006</v>
      </c>
      <c r="AB62" s="1277">
        <f t="shared" si="22"/>
        <v>11.856</v>
      </c>
      <c r="AC62" s="244">
        <f t="shared" si="24"/>
        <v>1.9723865877712032</v>
      </c>
      <c r="AD62" s="1277">
        <f t="shared" si="24"/>
        <v>29.697249826669754</v>
      </c>
      <c r="AE62" s="241">
        <f t="shared" si="23"/>
        <v>31</v>
      </c>
      <c r="AF62" s="244">
        <f>Z62*AE62</f>
        <v>186.34075200000001</v>
      </c>
      <c r="AG62" s="1342"/>
      <c r="AI62" s="1282">
        <f t="shared" si="0"/>
        <v>8.9426840713999205</v>
      </c>
      <c r="AJ62" s="1252">
        <v>0.8921</v>
      </c>
      <c r="AK62" s="1252">
        <v>1.018</v>
      </c>
      <c r="AL62" s="1252">
        <v>6.1000000000000004E-3</v>
      </c>
    </row>
    <row r="63" spans="1:38" ht="18.75" customHeight="1" x14ac:dyDescent="0.2">
      <c r="A63" s="1273">
        <v>47</v>
      </c>
      <c r="B63" s="1274" t="s">
        <v>164</v>
      </c>
      <c r="C63" s="241" t="s">
        <v>46</v>
      </c>
      <c r="D63" s="1778">
        <v>678.47</v>
      </c>
      <c r="E63" s="1778" t="s">
        <v>606</v>
      </c>
      <c r="F63" s="241">
        <v>177.8</v>
      </c>
      <c r="G63" s="241" t="s">
        <v>28</v>
      </c>
      <c r="H63" s="241" t="s">
        <v>687</v>
      </c>
      <c r="I63" s="1778">
        <v>576.29999999999995</v>
      </c>
      <c r="J63" s="1373">
        <v>85</v>
      </c>
      <c r="K63" s="1778"/>
      <c r="L63" s="1319">
        <v>127</v>
      </c>
      <c r="M63" s="1778"/>
      <c r="N63" s="1278">
        <v>0</v>
      </c>
      <c r="O63" s="1778"/>
      <c r="P63" s="1278">
        <f t="shared" si="2"/>
        <v>43.382529023125336</v>
      </c>
      <c r="Q63" s="1278">
        <f>RIGHT(H63,(FIND("T",H63,1)-0))*J63/100</f>
        <v>17</v>
      </c>
      <c r="R63" s="244">
        <v>4.3179999999999996</v>
      </c>
      <c r="S63" s="244">
        <v>19.526</v>
      </c>
      <c r="T63" s="1277">
        <v>20</v>
      </c>
      <c r="U63" s="1278">
        <f t="shared" si="13"/>
        <v>4.6317739694302924</v>
      </c>
      <c r="V63" s="1278">
        <f t="shared" si="21"/>
        <v>77.885895728771885</v>
      </c>
      <c r="W63" s="1279">
        <v>0.2</v>
      </c>
      <c r="X63" s="1452">
        <v>85</v>
      </c>
      <c r="Y63" s="1277">
        <f t="shared" si="1"/>
        <v>114.85882352941177</v>
      </c>
      <c r="Z63" s="244">
        <f t="shared" si="22"/>
        <v>4.266184</v>
      </c>
      <c r="AA63" s="244">
        <f t="shared" si="22"/>
        <v>19.291688000000001</v>
      </c>
      <c r="AB63" s="1277">
        <f t="shared" si="22"/>
        <v>19.759999999999998</v>
      </c>
      <c r="AC63" s="244">
        <f t="shared" si="24"/>
        <v>4.6317739694302924</v>
      </c>
      <c r="AD63" s="1277">
        <f t="shared" si="24"/>
        <v>77.885895728771885</v>
      </c>
      <c r="AE63" s="241">
        <f t="shared" si="23"/>
        <v>31</v>
      </c>
      <c r="AF63" s="244">
        <f t="shared" ref="AF63:AF73" si="25">Z63*AE63</f>
        <v>132.25170399999999</v>
      </c>
      <c r="AG63" s="1281"/>
      <c r="AI63" s="1282">
        <f t="shared" si="0"/>
        <v>43.382529023125336</v>
      </c>
      <c r="AJ63" s="1252">
        <v>0.91659999999999997</v>
      </c>
      <c r="AK63" s="1252">
        <v>1.018</v>
      </c>
      <c r="AL63" s="1252">
        <v>6.1000000000000004E-3</v>
      </c>
    </row>
    <row r="64" spans="1:38" ht="18.75" customHeight="1" x14ac:dyDescent="0.2">
      <c r="A64" s="1273">
        <v>48</v>
      </c>
      <c r="B64" s="1274" t="s">
        <v>61</v>
      </c>
      <c r="C64" s="241" t="s">
        <v>46</v>
      </c>
      <c r="D64" s="241">
        <v>667.18</v>
      </c>
      <c r="E64" s="241" t="s">
        <v>96</v>
      </c>
      <c r="F64" s="241">
        <v>177.8</v>
      </c>
      <c r="G64" s="241" t="s">
        <v>28</v>
      </c>
      <c r="H64" s="1299" t="s">
        <v>693</v>
      </c>
      <c r="I64" s="1778">
        <v>541.12</v>
      </c>
      <c r="J64" s="241">
        <v>185</v>
      </c>
      <c r="K64" s="241"/>
      <c r="L64" s="1277">
        <v>444</v>
      </c>
      <c r="M64" s="241"/>
      <c r="N64" s="1278">
        <v>3.5</v>
      </c>
      <c r="O64" s="241"/>
      <c r="P64" s="1278">
        <f t="shared" si="2"/>
        <v>13.016202636684742</v>
      </c>
      <c r="Q64" s="1278">
        <f>20*J64/100</f>
        <v>37</v>
      </c>
      <c r="R64" s="244">
        <v>5.0190000000000001</v>
      </c>
      <c r="S64" s="244">
        <v>18.527000000000001</v>
      </c>
      <c r="T64" s="1277">
        <v>38</v>
      </c>
      <c r="U64" s="1278">
        <f t="shared" si="13"/>
        <v>7.571229328551504</v>
      </c>
      <c r="V64" s="1278">
        <f t="shared" si="21"/>
        <v>72.909807308252823</v>
      </c>
      <c r="W64" s="1279">
        <v>0.2</v>
      </c>
      <c r="X64" s="1316">
        <v>185</v>
      </c>
      <c r="Y64" s="1277">
        <f t="shared" si="1"/>
        <v>50.072972972972977</v>
      </c>
      <c r="Z64" s="244">
        <f t="shared" si="22"/>
        <v>4.9587719999999997</v>
      </c>
      <c r="AA64" s="244">
        <f t="shared" si="22"/>
        <v>18.304676000000001</v>
      </c>
      <c r="AB64" s="1277">
        <f t="shared" si="22"/>
        <v>37.543999999999997</v>
      </c>
      <c r="AC64" s="244">
        <f t="shared" si="24"/>
        <v>7.571229328551504</v>
      </c>
      <c r="AD64" s="1277">
        <f t="shared" si="24"/>
        <v>72.909807308252823</v>
      </c>
      <c r="AE64" s="241">
        <f t="shared" si="23"/>
        <v>31</v>
      </c>
      <c r="AF64" s="244">
        <f t="shared" si="25"/>
        <v>153.72193199999998</v>
      </c>
      <c r="AG64" s="1285"/>
      <c r="AI64" s="1282">
        <f t="shared" si="0"/>
        <v>13.016202636684742</v>
      </c>
      <c r="AJ64" s="1252">
        <v>0.8931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49</v>
      </c>
      <c r="B65" s="1274" t="s">
        <v>64</v>
      </c>
      <c r="C65" s="241" t="s">
        <v>46</v>
      </c>
      <c r="D65" s="241">
        <v>674.52</v>
      </c>
      <c r="E65" s="241" t="s">
        <v>444</v>
      </c>
      <c r="F65" s="241">
        <v>177.8</v>
      </c>
      <c r="G65" s="241" t="s">
        <v>28</v>
      </c>
      <c r="H65" s="1299" t="s">
        <v>464</v>
      </c>
      <c r="I65" s="1778">
        <v>521.42999999999995</v>
      </c>
      <c r="J65" s="241">
        <v>300</v>
      </c>
      <c r="K65" s="241"/>
      <c r="L65" s="1277">
        <v>441</v>
      </c>
      <c r="M65" s="241"/>
      <c r="N65" s="1278">
        <v>3.6</v>
      </c>
      <c r="O65" s="241"/>
      <c r="P65" s="1278">
        <f t="shared" si="2"/>
        <v>11.120638617541426</v>
      </c>
      <c r="Q65" s="1278">
        <f>J65*14/100</f>
        <v>42</v>
      </c>
      <c r="R65" s="244">
        <v>9.1229999999999993</v>
      </c>
      <c r="S65" s="244">
        <v>14.837</v>
      </c>
      <c r="T65" s="1277">
        <v>264</v>
      </c>
      <c r="U65" s="1278">
        <f t="shared" si="13"/>
        <v>28.937849391647486</v>
      </c>
      <c r="V65" s="1278">
        <f t="shared" si="21"/>
        <v>38.511828536766195</v>
      </c>
      <c r="W65" s="1279">
        <v>0.2</v>
      </c>
      <c r="X65" s="1316">
        <v>300</v>
      </c>
      <c r="Y65" s="1277">
        <f t="shared" si="1"/>
        <v>35.326190476190476</v>
      </c>
      <c r="Z65" s="244">
        <f t="shared" si="22"/>
        <v>9.0135239999999985</v>
      </c>
      <c r="AA65" s="244">
        <f t="shared" si="22"/>
        <v>14.658956</v>
      </c>
      <c r="AB65" s="1277">
        <f t="shared" si="22"/>
        <v>260.83199999999999</v>
      </c>
      <c r="AC65" s="244">
        <f t="shared" si="24"/>
        <v>28.937849391647486</v>
      </c>
      <c r="AD65" s="1277">
        <f t="shared" si="24"/>
        <v>38.511828536766195</v>
      </c>
      <c r="AE65" s="241">
        <f t="shared" si="23"/>
        <v>31</v>
      </c>
      <c r="AF65" s="244">
        <f t="shared" si="25"/>
        <v>279.41924399999994</v>
      </c>
      <c r="AG65" s="1281"/>
      <c r="AI65" s="1282">
        <f t="shared" si="0"/>
        <v>11.120638617541426</v>
      </c>
      <c r="AJ65" s="1252">
        <v>0.87870000000000004</v>
      </c>
      <c r="AK65" s="1252">
        <v>1.018</v>
      </c>
      <c r="AL65" s="1252">
        <v>6.1000000000000004E-3</v>
      </c>
    </row>
    <row r="66" spans="1:38" ht="29.25" customHeight="1" x14ac:dyDescent="0.2">
      <c r="A66" s="1273">
        <v>50</v>
      </c>
      <c r="B66" s="1274" t="s">
        <v>156</v>
      </c>
      <c r="C66" s="241" t="s">
        <v>408</v>
      </c>
      <c r="D66" s="241">
        <v>679.54</v>
      </c>
      <c r="E66" s="1778" t="s">
        <v>607</v>
      </c>
      <c r="F66" s="241">
        <v>177.8</v>
      </c>
      <c r="G66" s="241" t="s">
        <v>28</v>
      </c>
      <c r="H66" s="241" t="s">
        <v>464</v>
      </c>
      <c r="I66" s="1778">
        <v>512.28</v>
      </c>
      <c r="J66" s="241">
        <v>195</v>
      </c>
      <c r="K66" s="241"/>
      <c r="L66" s="1277">
        <v>414</v>
      </c>
      <c r="M66" s="241"/>
      <c r="N66" s="1278">
        <v>2.6</v>
      </c>
      <c r="O66" s="241"/>
      <c r="P66" s="1278">
        <f t="shared" si="2"/>
        <v>12.061005534368913</v>
      </c>
      <c r="Q66" s="1278">
        <f>J66*14/100</f>
        <v>27.3</v>
      </c>
      <c r="R66" s="244">
        <v>5.694</v>
      </c>
      <c r="S66" s="244">
        <v>12.542999999999999</v>
      </c>
      <c r="T66" s="1277">
        <v>19</v>
      </c>
      <c r="U66" s="1278">
        <f t="shared" si="13"/>
        <v>3.3368458025992274</v>
      </c>
      <c r="V66" s="1278">
        <f t="shared" si="21"/>
        <v>54.604161683807696</v>
      </c>
      <c r="W66" s="1279">
        <v>0.2</v>
      </c>
      <c r="X66" s="1316">
        <v>195</v>
      </c>
      <c r="Y66" s="1277">
        <f t="shared" si="1"/>
        <v>45.945054945054942</v>
      </c>
      <c r="Z66" s="244">
        <f t="shared" si="22"/>
        <v>5.6256719999999998</v>
      </c>
      <c r="AA66" s="244">
        <f t="shared" si="22"/>
        <v>12.392484</v>
      </c>
      <c r="AB66" s="1277">
        <f t="shared" si="22"/>
        <v>18.771999999999998</v>
      </c>
      <c r="AC66" s="244">
        <f t="shared" si="24"/>
        <v>3.3368458025992274</v>
      </c>
      <c r="AD66" s="1277">
        <f t="shared" si="24"/>
        <v>54.604161683807696</v>
      </c>
      <c r="AE66" s="241">
        <f t="shared" si="23"/>
        <v>31</v>
      </c>
      <c r="AF66" s="244">
        <f t="shared" si="25"/>
        <v>174.39583199999998</v>
      </c>
      <c r="AG66" s="1285"/>
      <c r="AI66" s="1282">
        <f t="shared" si="0"/>
        <v>12.061005534368913</v>
      </c>
      <c r="AJ66" s="1252">
        <v>0.90920000000000001</v>
      </c>
      <c r="AK66" s="1252">
        <v>1.018</v>
      </c>
      <c r="AL66" s="1252">
        <v>6.1000000000000004E-3</v>
      </c>
    </row>
    <row r="67" spans="1:38" ht="18.75" customHeight="1" x14ac:dyDescent="0.2">
      <c r="A67" s="1273">
        <v>51</v>
      </c>
      <c r="B67" s="1274" t="s">
        <v>169</v>
      </c>
      <c r="C67" s="241" t="s">
        <v>46</v>
      </c>
      <c r="D67" s="241">
        <v>578.64</v>
      </c>
      <c r="E67" s="241" t="s">
        <v>694</v>
      </c>
      <c r="F67" s="241">
        <v>177.8</v>
      </c>
      <c r="G67" s="241" t="s">
        <v>28</v>
      </c>
      <c r="H67" s="241" t="s">
        <v>466</v>
      </c>
      <c r="I67" s="1778">
        <v>539.28</v>
      </c>
      <c r="J67" s="241">
        <v>110</v>
      </c>
      <c r="K67" s="241"/>
      <c r="L67" s="1277">
        <v>267</v>
      </c>
      <c r="M67" s="241"/>
      <c r="N67" s="1278">
        <v>3.9</v>
      </c>
      <c r="O67" s="241"/>
      <c r="P67" s="1278">
        <f t="shared" si="2"/>
        <v>30.508072719347663</v>
      </c>
      <c r="Q67" s="1278">
        <f>J67*13/100</f>
        <v>14.3</v>
      </c>
      <c r="R67" s="244">
        <v>0.77900000000000003</v>
      </c>
      <c r="S67" s="244">
        <v>5.8970000000000002</v>
      </c>
      <c r="T67" s="1277">
        <v>3</v>
      </c>
      <c r="U67" s="1278">
        <f t="shared" si="13"/>
        <v>3.8510911424903722</v>
      </c>
      <c r="V67" s="1278">
        <f t="shared" si="21"/>
        <v>86.789893166016611</v>
      </c>
      <c r="W67" s="1279">
        <v>0.2</v>
      </c>
      <c r="X67" s="1316">
        <v>110</v>
      </c>
      <c r="Y67" s="1277">
        <f t="shared" si="1"/>
        <v>41.23776223776224</v>
      </c>
      <c r="Z67" s="244">
        <f t="shared" si="22"/>
        <v>0.769652</v>
      </c>
      <c r="AA67" s="244">
        <f t="shared" si="22"/>
        <v>5.8262359999999997</v>
      </c>
      <c r="AB67" s="1277">
        <f t="shared" si="22"/>
        <v>2.964</v>
      </c>
      <c r="AC67" s="244">
        <f t="shared" si="24"/>
        <v>3.8510911424903722</v>
      </c>
      <c r="AD67" s="1277">
        <f t="shared" si="24"/>
        <v>86.789893166016611</v>
      </c>
      <c r="AE67" s="241">
        <f t="shared" si="23"/>
        <v>31</v>
      </c>
      <c r="AF67" s="244">
        <f>Z67*AE67</f>
        <v>23.859211999999999</v>
      </c>
      <c r="AG67" s="1281"/>
      <c r="AI67" s="1282">
        <f t="shared" si="0"/>
        <v>30.508072719347663</v>
      </c>
      <c r="AJ67" s="1252">
        <v>0.9073</v>
      </c>
      <c r="AK67" s="1252">
        <v>1.018</v>
      </c>
      <c r="AL67" s="1252">
        <v>6.1000000000000004E-3</v>
      </c>
    </row>
    <row r="68" spans="1:38" ht="19.5" customHeight="1" x14ac:dyDescent="0.2">
      <c r="A68" s="1273">
        <v>52</v>
      </c>
      <c r="B68" s="1274" t="s">
        <v>62</v>
      </c>
      <c r="C68" s="241" t="s">
        <v>46</v>
      </c>
      <c r="D68" s="241">
        <v>673.73</v>
      </c>
      <c r="E68" s="241" t="s">
        <v>97</v>
      </c>
      <c r="F68" s="241">
        <v>177.8</v>
      </c>
      <c r="G68" s="241" t="s">
        <v>28</v>
      </c>
      <c r="H68" s="1299" t="s">
        <v>565</v>
      </c>
      <c r="I68" s="1778">
        <v>541.46</v>
      </c>
      <c r="J68" s="241">
        <v>100</v>
      </c>
      <c r="K68" s="241"/>
      <c r="L68" s="1277">
        <v>275</v>
      </c>
      <c r="M68" s="241"/>
      <c r="N68" s="1278">
        <v>5.3</v>
      </c>
      <c r="O68" s="241"/>
      <c r="P68" s="1278">
        <f t="shared" si="2"/>
        <v>31.151927491976654</v>
      </c>
      <c r="Q68" s="1278">
        <f>(32/100)*J68</f>
        <v>32</v>
      </c>
      <c r="R68" s="244">
        <v>5.5359999999999996</v>
      </c>
      <c r="S68" s="244">
        <v>29.324000000000002</v>
      </c>
      <c r="T68" s="1277">
        <v>49</v>
      </c>
      <c r="U68" s="1278">
        <f t="shared" si="13"/>
        <v>8.851156069364162</v>
      </c>
      <c r="V68" s="1278">
        <f t="shared" si="21"/>
        <v>81.121265857318249</v>
      </c>
      <c r="W68" s="1279">
        <v>0.2</v>
      </c>
      <c r="X68" s="1316">
        <v>100</v>
      </c>
      <c r="Y68" s="1277">
        <f t="shared" si="1"/>
        <v>91.637500000000003</v>
      </c>
      <c r="Z68" s="244">
        <f t="shared" si="22"/>
        <v>5.4695679999999998</v>
      </c>
      <c r="AA68" s="244">
        <f t="shared" si="22"/>
        <v>28.972112000000003</v>
      </c>
      <c r="AB68" s="1277">
        <f t="shared" si="22"/>
        <v>48.411999999999999</v>
      </c>
      <c r="AC68" s="244">
        <f>U68</f>
        <v>8.851156069364162</v>
      </c>
      <c r="AD68" s="1277">
        <f t="shared" si="24"/>
        <v>81.121265857318249</v>
      </c>
      <c r="AE68" s="241">
        <f t="shared" si="23"/>
        <v>31</v>
      </c>
      <c r="AF68" s="244">
        <f t="shared" si="25"/>
        <v>169.55660799999998</v>
      </c>
      <c r="AG68" s="1285"/>
      <c r="AI68" s="1282">
        <f t="shared" si="0"/>
        <v>31.151927491976654</v>
      </c>
      <c r="AJ68" s="1252">
        <v>0.90039999999999998</v>
      </c>
      <c r="AK68" s="1252">
        <v>1.018</v>
      </c>
      <c r="AL68" s="1252">
        <v>6.1000000000000004E-3</v>
      </c>
    </row>
    <row r="69" spans="1:38" ht="18.75" customHeight="1" x14ac:dyDescent="0.2">
      <c r="A69" s="1273">
        <v>53</v>
      </c>
      <c r="B69" s="1274" t="s">
        <v>157</v>
      </c>
      <c r="C69" s="241" t="s">
        <v>46</v>
      </c>
      <c r="D69" s="241">
        <v>602</v>
      </c>
      <c r="E69" s="241" t="s">
        <v>608</v>
      </c>
      <c r="F69" s="241">
        <v>177.8</v>
      </c>
      <c r="G69" s="241" t="s">
        <v>28</v>
      </c>
      <c r="H69" s="241" t="s">
        <v>695</v>
      </c>
      <c r="I69" s="1771">
        <v>541.84</v>
      </c>
      <c r="J69" s="1448">
        <v>0</v>
      </c>
      <c r="K69" s="241"/>
      <c r="L69" s="1277">
        <v>0</v>
      </c>
      <c r="M69" s="1278"/>
      <c r="N69" s="1278">
        <v>0</v>
      </c>
      <c r="O69" s="241"/>
      <c r="P69" s="1278" t="e">
        <f t="shared" si="2"/>
        <v>#DIV/0!</v>
      </c>
      <c r="Q69" s="1278">
        <f>(32/100)*J69</f>
        <v>0</v>
      </c>
      <c r="R69" s="244">
        <v>0</v>
      </c>
      <c r="S69" s="244">
        <v>0</v>
      </c>
      <c r="T69" s="1277">
        <v>0</v>
      </c>
      <c r="U69" s="1278">
        <f t="shared" si="13"/>
        <v>0</v>
      </c>
      <c r="V69" s="1278" t="e">
        <f t="shared" si="21"/>
        <v>#DIV/0!</v>
      </c>
      <c r="W69" s="1279">
        <v>0</v>
      </c>
      <c r="X69" s="1449">
        <v>0</v>
      </c>
      <c r="Y69" s="1277">
        <f t="shared" si="1"/>
        <v>0</v>
      </c>
      <c r="Z69" s="244">
        <f t="shared" si="22"/>
        <v>0</v>
      </c>
      <c r="AA69" s="244">
        <f t="shared" si="22"/>
        <v>0</v>
      </c>
      <c r="AB69" s="1277">
        <f t="shared" si="22"/>
        <v>0</v>
      </c>
      <c r="AC69" s="244">
        <f>U69</f>
        <v>0</v>
      </c>
      <c r="AD69" s="1277" t="e">
        <f>V69</f>
        <v>#DIV/0!</v>
      </c>
      <c r="AE69" s="241">
        <v>0</v>
      </c>
      <c r="AF69" s="244">
        <f t="shared" si="25"/>
        <v>0</v>
      </c>
      <c r="AG69" s="1281" t="s">
        <v>769</v>
      </c>
      <c r="AI69" s="1282" t="e">
        <f t="shared" si="0"/>
        <v>#DIV/0!</v>
      </c>
      <c r="AJ69" s="1252">
        <v>0.90700000000000003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54</v>
      </c>
      <c r="B70" s="1274" t="s">
        <v>159</v>
      </c>
      <c r="C70" s="241" t="s">
        <v>46</v>
      </c>
      <c r="D70" s="241">
        <v>676.1</v>
      </c>
      <c r="E70" s="241" t="s">
        <v>167</v>
      </c>
      <c r="F70" s="241">
        <v>177.8</v>
      </c>
      <c r="G70" s="241" t="s">
        <v>28</v>
      </c>
      <c r="H70" s="1299" t="s">
        <v>565</v>
      </c>
      <c r="I70" s="1778">
        <v>512.47</v>
      </c>
      <c r="J70" s="1277">
        <v>255</v>
      </c>
      <c r="K70" s="241"/>
      <c r="L70" s="1277">
        <v>462</v>
      </c>
      <c r="M70" s="241"/>
      <c r="N70" s="1278">
        <v>4.3</v>
      </c>
      <c r="O70" s="241"/>
      <c r="P70" s="1278">
        <f t="shared" si="2"/>
        <v>8.9899857276873867</v>
      </c>
      <c r="Q70" s="1278">
        <f>(32*J70)/100</f>
        <v>81.599999999999994</v>
      </c>
      <c r="R70" s="244">
        <v>14.933</v>
      </c>
      <c r="S70" s="244">
        <v>19.251000000000001</v>
      </c>
      <c r="T70" s="1277">
        <v>385</v>
      </c>
      <c r="U70" s="1278">
        <f t="shared" si="13"/>
        <v>25.781825487176054</v>
      </c>
      <c r="V70" s="1278">
        <f t="shared" si="21"/>
        <v>22.430003636174749</v>
      </c>
      <c r="W70" s="1279">
        <v>0.2</v>
      </c>
      <c r="X70" s="1454">
        <v>255</v>
      </c>
      <c r="Y70" s="1277">
        <f t="shared" si="1"/>
        <v>23.591911764705888</v>
      </c>
      <c r="Z70" s="244">
        <f t="shared" si="22"/>
        <v>14.753803999999999</v>
      </c>
      <c r="AA70" s="244">
        <f t="shared" si="22"/>
        <v>19.019988000000001</v>
      </c>
      <c r="AB70" s="1277">
        <f t="shared" si="22"/>
        <v>380.38</v>
      </c>
      <c r="AC70" s="244">
        <f>U70</f>
        <v>25.781825487176054</v>
      </c>
      <c r="AD70" s="1277">
        <f>V70</f>
        <v>22.430003636174749</v>
      </c>
      <c r="AE70" s="241">
        <f t="shared" si="23"/>
        <v>31</v>
      </c>
      <c r="AF70" s="244">
        <f t="shared" si="25"/>
        <v>457.36792399999996</v>
      </c>
      <c r="AG70" s="1281"/>
      <c r="AI70" s="1282">
        <f t="shared" si="0"/>
        <v>8.9899857276873867</v>
      </c>
      <c r="AJ70" s="1252">
        <v>0.871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55</v>
      </c>
      <c r="B71" s="1274" t="s">
        <v>330</v>
      </c>
      <c r="C71" s="241" t="s">
        <v>46</v>
      </c>
      <c r="D71" s="241">
        <v>594.58000000000004</v>
      </c>
      <c r="E71" s="241" t="s">
        <v>758</v>
      </c>
      <c r="F71" s="241">
        <v>178.8</v>
      </c>
      <c r="G71" s="241" t="s">
        <v>28</v>
      </c>
      <c r="H71" s="1299" t="s">
        <v>565</v>
      </c>
      <c r="I71" s="1778">
        <v>507.46</v>
      </c>
      <c r="J71" s="1448">
        <v>110</v>
      </c>
      <c r="K71" s="241"/>
      <c r="L71" s="1277">
        <v>410</v>
      </c>
      <c r="M71" s="241"/>
      <c r="N71" s="1278">
        <v>4.9000000000000004</v>
      </c>
      <c r="O71" s="241"/>
      <c r="P71" s="1278">
        <f t="shared" si="2"/>
        <v>13.506296465143295</v>
      </c>
      <c r="Q71" s="1278">
        <f>J71*32/100</f>
        <v>35.200000000000003</v>
      </c>
      <c r="R71" s="244">
        <v>14.173999999999999</v>
      </c>
      <c r="S71" s="244">
        <v>15.362</v>
      </c>
      <c r="T71" s="1277">
        <v>102</v>
      </c>
      <c r="U71" s="1278">
        <f t="shared" si="13"/>
        <v>7.1962748694793284</v>
      </c>
      <c r="V71" s="1278">
        <f t="shared" si="21"/>
        <v>7.7333680510350247</v>
      </c>
      <c r="W71" s="1279">
        <v>0.2</v>
      </c>
      <c r="X71" s="1449">
        <v>110</v>
      </c>
      <c r="Y71" s="1277">
        <f t="shared" si="1"/>
        <v>43.642045454545453</v>
      </c>
      <c r="Z71" s="244">
        <f t="shared" ref="Z71:AB77" si="26">R71*0.988</f>
        <v>14.003912</v>
      </c>
      <c r="AA71" s="244">
        <f t="shared" si="26"/>
        <v>15.177656000000001</v>
      </c>
      <c r="AB71" s="1277">
        <f t="shared" si="26"/>
        <v>100.776</v>
      </c>
      <c r="AC71" s="244">
        <v>20</v>
      </c>
      <c r="AD71" s="1277">
        <v>17</v>
      </c>
      <c r="AE71" s="241">
        <f t="shared" si="23"/>
        <v>31</v>
      </c>
      <c r="AF71" s="244">
        <f t="shared" si="25"/>
        <v>434.12127199999998</v>
      </c>
      <c r="AG71" s="1281"/>
      <c r="AI71" s="1282">
        <f t="shared" si="0"/>
        <v>13.506296465143295</v>
      </c>
      <c r="AJ71" s="1252">
        <v>0.87539999999999996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56</v>
      </c>
      <c r="B72" s="1274" t="s">
        <v>210</v>
      </c>
      <c r="C72" s="241" t="s">
        <v>46</v>
      </c>
      <c r="D72" s="241">
        <v>728.8</v>
      </c>
      <c r="E72" s="241" t="s">
        <v>610</v>
      </c>
      <c r="F72" s="241">
        <v>177.8</v>
      </c>
      <c r="G72" s="241" t="s">
        <v>28</v>
      </c>
      <c r="H72" s="1299" t="s">
        <v>540</v>
      </c>
      <c r="I72" s="1778">
        <v>549.1</v>
      </c>
      <c r="J72" s="1448">
        <v>205</v>
      </c>
      <c r="K72" s="241"/>
      <c r="L72" s="1277">
        <v>413</v>
      </c>
      <c r="M72" s="241"/>
      <c r="N72" s="1278">
        <v>7.7</v>
      </c>
      <c r="O72" s="241"/>
      <c r="P72" s="1278">
        <f t="shared" si="2"/>
        <v>20.668175207704884</v>
      </c>
      <c r="Q72" s="1278">
        <f>LEFT(H72,(FIND("E",H72,1)-1))*J72/100</f>
        <v>45.1</v>
      </c>
      <c r="R72" s="244">
        <v>11.817</v>
      </c>
      <c r="S72" s="244">
        <v>29.506</v>
      </c>
      <c r="T72" s="1277">
        <v>247</v>
      </c>
      <c r="U72" s="1278">
        <f t="shared" si="13"/>
        <v>20.902090209020901</v>
      </c>
      <c r="V72" s="1278">
        <f t="shared" si="21"/>
        <v>59.950518538602317</v>
      </c>
      <c r="W72" s="1279">
        <v>0.2</v>
      </c>
      <c r="X72" s="1449">
        <v>205</v>
      </c>
      <c r="Y72" s="1277">
        <f t="shared" si="1"/>
        <v>65.423503325942349</v>
      </c>
      <c r="Z72" s="244">
        <f t="shared" si="26"/>
        <v>11.675196</v>
      </c>
      <c r="AA72" s="244">
        <f t="shared" si="26"/>
        <v>29.151928000000002</v>
      </c>
      <c r="AB72" s="1277">
        <f t="shared" si="26"/>
        <v>244.036</v>
      </c>
      <c r="AC72" s="244">
        <f>U72</f>
        <v>20.902090209020901</v>
      </c>
      <c r="AD72" s="1277">
        <f>V72</f>
        <v>59.950518538602317</v>
      </c>
      <c r="AE72" s="241">
        <f t="shared" si="23"/>
        <v>31</v>
      </c>
      <c r="AF72" s="244">
        <f t="shared" si="25"/>
        <v>361.93107599999996</v>
      </c>
      <c r="AG72" s="1285"/>
      <c r="AI72" s="1282">
        <f t="shared" si="0"/>
        <v>20.668175207704884</v>
      </c>
      <c r="AJ72" s="1252">
        <v>0.88729999999999998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57</v>
      </c>
      <c r="B73" s="1274" t="s">
        <v>63</v>
      </c>
      <c r="C73" s="241" t="s">
        <v>46</v>
      </c>
      <c r="D73" s="241">
        <v>672.99</v>
      </c>
      <c r="E73" s="241" t="s">
        <v>98</v>
      </c>
      <c r="F73" s="241">
        <v>177.8</v>
      </c>
      <c r="G73" s="241" t="s">
        <v>28</v>
      </c>
      <c r="H73" s="241" t="s">
        <v>686</v>
      </c>
      <c r="I73" s="1771">
        <v>542.46</v>
      </c>
      <c r="J73" s="1448">
        <v>85</v>
      </c>
      <c r="K73" s="241"/>
      <c r="L73" s="1277">
        <v>368</v>
      </c>
      <c r="M73" s="241"/>
      <c r="N73" s="1278">
        <v>7.3</v>
      </c>
      <c r="O73" s="241"/>
      <c r="P73" s="1278">
        <f t="shared" si="2"/>
        <v>23.767468511580372</v>
      </c>
      <c r="Q73" s="1278">
        <f>(20/100)*J73</f>
        <v>17</v>
      </c>
      <c r="R73" s="244">
        <v>7.8890000000000002</v>
      </c>
      <c r="S73" s="244">
        <v>17.393000000000001</v>
      </c>
      <c r="T73" s="1277">
        <v>100.6</v>
      </c>
      <c r="U73" s="1278">
        <f t="shared" si="13"/>
        <v>12.75193307136519</v>
      </c>
      <c r="V73" s="1278">
        <f t="shared" si="21"/>
        <v>54.642672339446904</v>
      </c>
      <c r="W73" s="1279">
        <v>0.2</v>
      </c>
      <c r="X73" s="1449">
        <v>85</v>
      </c>
      <c r="Y73" s="1277">
        <f t="shared" si="1"/>
        <v>102.31176470588235</v>
      </c>
      <c r="Z73" s="244">
        <f t="shared" si="26"/>
        <v>7.7943319999999998</v>
      </c>
      <c r="AA73" s="244">
        <f t="shared" si="26"/>
        <v>17.184284000000002</v>
      </c>
      <c r="AB73" s="1277">
        <f t="shared" si="26"/>
        <v>99.392799999999994</v>
      </c>
      <c r="AC73" s="244">
        <f>U73</f>
        <v>12.75193307136519</v>
      </c>
      <c r="AD73" s="1277">
        <f>V73</f>
        <v>54.642672339446904</v>
      </c>
      <c r="AE73" s="1288">
        <v>27</v>
      </c>
      <c r="AF73" s="244">
        <f t="shared" si="25"/>
        <v>210.44696400000001</v>
      </c>
      <c r="AG73" s="1285" t="s">
        <v>817</v>
      </c>
      <c r="AI73" s="1282">
        <f t="shared" si="0"/>
        <v>23.767468511580372</v>
      </c>
      <c r="AJ73" s="1252">
        <v>0.89470000000000005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58</v>
      </c>
      <c r="B74" s="1274" t="s">
        <v>217</v>
      </c>
      <c r="C74" s="241" t="s">
        <v>408</v>
      </c>
      <c r="D74" s="241">
        <v>587.72</v>
      </c>
      <c r="E74" s="241" t="s">
        <v>611</v>
      </c>
      <c r="F74" s="241">
        <v>177.8</v>
      </c>
      <c r="G74" s="241" t="s">
        <v>28</v>
      </c>
      <c r="H74" s="1299" t="s">
        <v>466</v>
      </c>
      <c r="I74" s="1771">
        <v>555.54999999999995</v>
      </c>
      <c r="J74" s="1448">
        <v>0</v>
      </c>
      <c r="K74" s="241">
        <v>51</v>
      </c>
      <c r="L74" s="1277"/>
      <c r="M74" s="241">
        <v>4.8</v>
      </c>
      <c r="N74" s="1278"/>
      <c r="O74" s="241"/>
      <c r="P74" s="1278">
        <f t="shared" si="2"/>
        <v>47.870234344929671</v>
      </c>
      <c r="Q74" s="1278"/>
      <c r="R74" s="244"/>
      <c r="S74" s="244"/>
      <c r="T74" s="1277"/>
      <c r="U74" s="1278"/>
      <c r="V74" s="1278"/>
      <c r="W74" s="1279"/>
      <c r="X74" s="1449">
        <v>0</v>
      </c>
      <c r="Y74" s="1277">
        <f t="shared" si="1"/>
        <v>0</v>
      </c>
      <c r="Z74" s="244"/>
      <c r="AA74" s="244"/>
      <c r="AB74" s="1277"/>
      <c r="AC74" s="244"/>
      <c r="AD74" s="1277"/>
      <c r="AE74" s="241"/>
      <c r="AF74" s="244"/>
      <c r="AG74" s="1281" t="s">
        <v>682</v>
      </c>
      <c r="AI74" s="1282">
        <f t="shared" si="0"/>
        <v>47.870234344929671</v>
      </c>
      <c r="AJ74" s="1252">
        <v>0.89</v>
      </c>
      <c r="AK74" s="1252">
        <v>1.018</v>
      </c>
      <c r="AL74" s="1252">
        <v>6.1000000000000004E-3</v>
      </c>
    </row>
    <row r="75" spans="1:38" ht="30" customHeight="1" x14ac:dyDescent="0.2">
      <c r="A75" s="1273">
        <v>59</v>
      </c>
      <c r="B75" s="1274" t="s">
        <v>504</v>
      </c>
      <c r="C75" s="241" t="s">
        <v>445</v>
      </c>
      <c r="D75" s="1771">
        <v>695.15</v>
      </c>
      <c r="E75" s="1779" t="s">
        <v>823</v>
      </c>
      <c r="F75" s="1274">
        <v>177.8</v>
      </c>
      <c r="G75" s="241" t="s">
        <v>28</v>
      </c>
      <c r="H75" s="241" t="s">
        <v>464</v>
      </c>
      <c r="I75" s="1771">
        <v>640.19000000000005</v>
      </c>
      <c r="J75" s="1771">
        <v>85</v>
      </c>
      <c r="K75" s="1771"/>
      <c r="L75" s="1277">
        <v>613</v>
      </c>
      <c r="M75" s="241"/>
      <c r="N75" s="1278">
        <v>6</v>
      </c>
      <c r="O75" s="241"/>
      <c r="P75" s="1278">
        <f t="shared" ref="P75" si="27">AI75</f>
        <v>8.7209623550808981</v>
      </c>
      <c r="Q75" s="1278">
        <f>(14/100)*J75</f>
        <v>11.9</v>
      </c>
      <c r="R75" s="244">
        <v>2</v>
      </c>
      <c r="S75" s="244">
        <v>2.1</v>
      </c>
      <c r="T75" s="1277">
        <v>80</v>
      </c>
      <c r="U75" s="1278">
        <f t="shared" ref="U75" si="28">IF(R75=0,0,T75/R75)</f>
        <v>40</v>
      </c>
      <c r="V75" s="1278">
        <f t="shared" ref="V75" si="29">(S75-R75)/S75*100</f>
        <v>4.7619047619047654</v>
      </c>
      <c r="W75" s="1279">
        <v>0.2</v>
      </c>
      <c r="X75" s="1449">
        <v>85</v>
      </c>
      <c r="Y75" s="1277">
        <f t="shared" ref="Y75" si="30">IF(S75=0,0,S75/Q75)*100</f>
        <v>17.647058823529413</v>
      </c>
      <c r="Z75" s="244">
        <f t="shared" ref="Z75" si="31">R75*0.988</f>
        <v>1.976</v>
      </c>
      <c r="AA75" s="244">
        <f t="shared" ref="AA75" si="32">S75*0.988</f>
        <v>2.0748000000000002</v>
      </c>
      <c r="AB75" s="1277">
        <f t="shared" ref="AB75" si="33">T75*0.988</f>
        <v>79.039999999999992</v>
      </c>
      <c r="AC75" s="244">
        <f>U75</f>
        <v>40</v>
      </c>
      <c r="AD75" s="1277">
        <f>V75</f>
        <v>4.7619047619047654</v>
      </c>
      <c r="AE75" s="1288">
        <v>15</v>
      </c>
      <c r="AF75" s="244">
        <f t="shared" ref="AF75" si="34">Z75*AE75</f>
        <v>29.64</v>
      </c>
      <c r="AG75" s="1281" t="s">
        <v>824</v>
      </c>
      <c r="AI75" s="1282">
        <f t="shared" ref="AI75" si="35">(9.81*(AJ75*(100%-(V75/100))+AK75*(V75/100))*(I75-L75)+N75*101.325+9.81*(AL75)*L75)/101.325</f>
        <v>8.7209623550808981</v>
      </c>
      <c r="AJ75" s="1252">
        <v>0.89</v>
      </c>
      <c r="AK75" s="1252">
        <v>1.018</v>
      </c>
      <c r="AL75" s="1252">
        <v>6.1000000000000004E-3</v>
      </c>
    </row>
    <row r="76" spans="1:38" ht="20.25" customHeight="1" x14ac:dyDescent="0.2">
      <c r="A76" s="1273">
        <v>60</v>
      </c>
      <c r="B76" s="1274" t="s">
        <v>211</v>
      </c>
      <c r="C76" s="241" t="s">
        <v>46</v>
      </c>
      <c r="D76" s="241">
        <v>684.03</v>
      </c>
      <c r="E76" s="241" t="s">
        <v>794</v>
      </c>
      <c r="F76" s="241">
        <v>177.8</v>
      </c>
      <c r="G76" s="241" t="s">
        <v>28</v>
      </c>
      <c r="H76" s="1299" t="s">
        <v>687</v>
      </c>
      <c r="I76" s="1778">
        <v>560.02</v>
      </c>
      <c r="J76" s="1448">
        <v>200</v>
      </c>
      <c r="K76" s="241"/>
      <c r="L76" s="1277">
        <v>183</v>
      </c>
      <c r="M76" s="241"/>
      <c r="N76" s="1278">
        <v>0.1</v>
      </c>
      <c r="O76" s="241"/>
      <c r="P76" s="1278">
        <f t="shared" si="2"/>
        <v>36.458172700576306</v>
      </c>
      <c r="Q76" s="1278">
        <f>(20*J76)/100</f>
        <v>40</v>
      </c>
      <c r="R76" s="244">
        <v>2.5089999999999999</v>
      </c>
      <c r="S76" s="244">
        <v>9.8439999999999994</v>
      </c>
      <c r="T76" s="1277">
        <v>43</v>
      </c>
      <c r="U76" s="1278">
        <f t="shared" si="13"/>
        <v>17.138302112395376</v>
      </c>
      <c r="V76" s="1278">
        <f t="shared" si="21"/>
        <v>74.512393336042265</v>
      </c>
      <c r="W76" s="1279">
        <v>0.2</v>
      </c>
      <c r="X76" s="1449">
        <v>200</v>
      </c>
      <c r="Y76" s="1277">
        <f t="shared" si="1"/>
        <v>24.61</v>
      </c>
      <c r="Z76" s="244">
        <f t="shared" ref="Z76:AB82" si="36">R76*0.988</f>
        <v>2.4788919999999997</v>
      </c>
      <c r="AA76" s="244">
        <f t="shared" si="26"/>
        <v>9.725871999999999</v>
      </c>
      <c r="AB76" s="1277">
        <f t="shared" si="36"/>
        <v>42.484000000000002</v>
      </c>
      <c r="AC76" s="244">
        <f t="shared" ref="AC76:AD82" si="37">U76</f>
        <v>17.138302112395376</v>
      </c>
      <c r="AD76" s="1277">
        <f t="shared" si="37"/>
        <v>74.512393336042265</v>
      </c>
      <c r="AE76" s="241">
        <f t="shared" si="23"/>
        <v>31</v>
      </c>
      <c r="AF76" s="244">
        <f t="shared" ref="AF76:AF83" si="38">Z76*AE76</f>
        <v>76.845651999999987</v>
      </c>
      <c r="AG76" s="1281"/>
      <c r="AI76" s="1282">
        <f t="shared" si="0"/>
        <v>36.458172700576306</v>
      </c>
      <c r="AJ76" s="1252">
        <v>0.92030000000000001</v>
      </c>
      <c r="AK76" s="1252">
        <v>1.018</v>
      </c>
      <c r="AL76" s="1252">
        <v>6.1000000000000004E-3</v>
      </c>
    </row>
    <row r="77" spans="1:38" ht="18.600000000000001" customHeight="1" x14ac:dyDescent="0.2">
      <c r="A77" s="1273">
        <v>61</v>
      </c>
      <c r="B77" s="1274" t="s">
        <v>341</v>
      </c>
      <c r="C77" s="241" t="s">
        <v>46</v>
      </c>
      <c r="D77" s="241">
        <v>675.29</v>
      </c>
      <c r="E77" s="241" t="s">
        <v>343</v>
      </c>
      <c r="F77" s="241">
        <v>177.8</v>
      </c>
      <c r="G77" s="241" t="s">
        <v>28</v>
      </c>
      <c r="H77" s="1299" t="s">
        <v>799</v>
      </c>
      <c r="I77" s="1778">
        <v>510.1</v>
      </c>
      <c r="J77" s="1448">
        <v>120</v>
      </c>
      <c r="K77" s="241"/>
      <c r="L77" s="1277">
        <v>250</v>
      </c>
      <c r="M77" s="241"/>
      <c r="N77" s="1278">
        <v>6.9</v>
      </c>
      <c r="O77" s="241"/>
      <c r="P77" s="1278">
        <f t="shared" si="2"/>
        <v>31.582126861063117</v>
      </c>
      <c r="Q77" s="1278">
        <f>(32*J77)/100</f>
        <v>38.4</v>
      </c>
      <c r="R77" s="244">
        <v>10.129</v>
      </c>
      <c r="S77" s="244">
        <v>28.635999999999999</v>
      </c>
      <c r="T77" s="1277">
        <v>450</v>
      </c>
      <c r="U77" s="1278">
        <f t="shared" si="13"/>
        <v>44.426893079277328</v>
      </c>
      <c r="V77" s="1278">
        <f t="shared" si="21"/>
        <v>64.628439726218744</v>
      </c>
      <c r="W77" s="1279">
        <v>0.2</v>
      </c>
      <c r="X77" s="1449">
        <v>120</v>
      </c>
      <c r="Y77" s="1277">
        <f t="shared" si="1"/>
        <v>74.572916666666671</v>
      </c>
      <c r="Z77" s="244">
        <f t="shared" si="36"/>
        <v>10.007451999999999</v>
      </c>
      <c r="AA77" s="244">
        <f t="shared" si="26"/>
        <v>28.292368</v>
      </c>
      <c r="AB77" s="1277">
        <f t="shared" si="36"/>
        <v>444.6</v>
      </c>
      <c r="AC77" s="244">
        <f t="shared" si="37"/>
        <v>44.426893079277328</v>
      </c>
      <c r="AD77" s="1277">
        <f t="shared" si="37"/>
        <v>64.628439726218744</v>
      </c>
      <c r="AE77" s="241">
        <f t="shared" si="23"/>
        <v>31</v>
      </c>
      <c r="AF77" s="244">
        <f t="shared" si="38"/>
        <v>310.23101199999996</v>
      </c>
      <c r="AG77" s="1285"/>
      <c r="AI77" s="1282">
        <f t="shared" si="0"/>
        <v>31.582126861063117</v>
      </c>
      <c r="AJ77" s="1252">
        <v>0.89439999999999997</v>
      </c>
      <c r="AK77" s="1252">
        <v>1.018</v>
      </c>
      <c r="AL77" s="1252">
        <v>6.1000000000000004E-3</v>
      </c>
    </row>
    <row r="78" spans="1:38" ht="18.75" customHeight="1" x14ac:dyDescent="0.2">
      <c r="A78" s="1273">
        <v>62</v>
      </c>
      <c r="B78" s="1274" t="s">
        <v>354</v>
      </c>
      <c r="C78" s="241" t="s">
        <v>46</v>
      </c>
      <c r="D78" s="241">
        <v>563.85</v>
      </c>
      <c r="E78" s="1346" t="s">
        <v>545</v>
      </c>
      <c r="F78" s="241">
        <v>178.8</v>
      </c>
      <c r="G78" s="241" t="s">
        <v>28</v>
      </c>
      <c r="H78" s="1299" t="s">
        <v>687</v>
      </c>
      <c r="I78" s="1771">
        <v>533.89</v>
      </c>
      <c r="J78" s="1448">
        <v>0</v>
      </c>
      <c r="K78" s="241"/>
      <c r="L78" s="1277">
        <v>0</v>
      </c>
      <c r="M78" s="241"/>
      <c r="N78" s="1278">
        <v>0</v>
      </c>
      <c r="O78" s="241"/>
      <c r="P78" s="1278" t="e">
        <f t="shared" si="2"/>
        <v>#DIV/0!</v>
      </c>
      <c r="Q78" s="1278">
        <f>(20/100)*J78</f>
        <v>0</v>
      </c>
      <c r="R78" s="244">
        <v>0</v>
      </c>
      <c r="S78" s="244">
        <v>0</v>
      </c>
      <c r="T78" s="1277">
        <v>0</v>
      </c>
      <c r="U78" s="1278">
        <f t="shared" si="13"/>
        <v>0</v>
      </c>
      <c r="V78" s="1278" t="e">
        <f t="shared" si="21"/>
        <v>#DIV/0!</v>
      </c>
      <c r="W78" s="1279">
        <v>0</v>
      </c>
      <c r="X78" s="1449">
        <v>0</v>
      </c>
      <c r="Y78" s="1277">
        <f t="shared" si="1"/>
        <v>0</v>
      </c>
      <c r="Z78" s="244">
        <f t="shared" si="36"/>
        <v>0</v>
      </c>
      <c r="AA78" s="244">
        <f t="shared" si="36"/>
        <v>0</v>
      </c>
      <c r="AB78" s="1277">
        <f t="shared" si="36"/>
        <v>0</v>
      </c>
      <c r="AC78" s="244">
        <f t="shared" si="37"/>
        <v>0</v>
      </c>
      <c r="AD78" s="1277" t="e">
        <f t="shared" si="37"/>
        <v>#DIV/0!</v>
      </c>
      <c r="AE78" s="1288">
        <v>0</v>
      </c>
      <c r="AF78" s="244">
        <f t="shared" si="38"/>
        <v>0</v>
      </c>
      <c r="AG78" s="1285" t="s">
        <v>826</v>
      </c>
      <c r="AI78" s="1282" t="e">
        <f t="shared" si="0"/>
        <v>#DIV/0!</v>
      </c>
      <c r="AJ78" s="1252">
        <v>0.91379999999999995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63</v>
      </c>
      <c r="B79" s="1274" t="s">
        <v>423</v>
      </c>
      <c r="C79" s="241" t="s">
        <v>445</v>
      </c>
      <c r="D79" s="241">
        <v>672</v>
      </c>
      <c r="E79" s="26" t="s">
        <v>819</v>
      </c>
      <c r="F79" s="241">
        <v>179.8</v>
      </c>
      <c r="G79" s="241" t="s">
        <v>28</v>
      </c>
      <c r="H79" s="1299" t="s">
        <v>565</v>
      </c>
      <c r="I79" s="1778">
        <v>582.05999999999995</v>
      </c>
      <c r="J79" s="1448">
        <v>150</v>
      </c>
      <c r="K79" s="241"/>
      <c r="L79" s="1277">
        <v>293</v>
      </c>
      <c r="M79" s="241"/>
      <c r="N79" s="1278">
        <v>6.6</v>
      </c>
      <c r="O79" s="241"/>
      <c r="P79" s="1278">
        <f t="shared" si="2"/>
        <v>30.754374635366862</v>
      </c>
      <c r="Q79" s="1278">
        <f>(32/100)*J79</f>
        <v>48</v>
      </c>
      <c r="R79" s="244">
        <v>12.885</v>
      </c>
      <c r="S79" s="244">
        <v>15.101000000000001</v>
      </c>
      <c r="T79" s="1277">
        <v>610</v>
      </c>
      <c r="U79" s="1278">
        <f t="shared" si="13"/>
        <v>47.341870391928602</v>
      </c>
      <c r="V79" s="1278">
        <f t="shared" si="21"/>
        <v>14.674524865902928</v>
      </c>
      <c r="W79" s="1279">
        <v>0.2</v>
      </c>
      <c r="X79" s="1449">
        <v>150</v>
      </c>
      <c r="Y79" s="1277">
        <f t="shared" si="1"/>
        <v>31.460416666666667</v>
      </c>
      <c r="Z79" s="244">
        <v>11</v>
      </c>
      <c r="AA79" s="244">
        <v>12</v>
      </c>
      <c r="AB79" s="1277">
        <f t="shared" si="36"/>
        <v>602.67999999999995</v>
      </c>
      <c r="AC79" s="244">
        <f t="shared" si="37"/>
        <v>47.341870391928602</v>
      </c>
      <c r="AD79" s="1277">
        <f t="shared" si="37"/>
        <v>14.674524865902928</v>
      </c>
      <c r="AE79" s="241">
        <f t="shared" si="23"/>
        <v>31</v>
      </c>
      <c r="AF79" s="244">
        <f t="shared" si="38"/>
        <v>341</v>
      </c>
      <c r="AG79" s="1285"/>
      <c r="AI79" s="1282">
        <f t="shared" si="0"/>
        <v>30.754374635366862</v>
      </c>
      <c r="AJ79" s="1252">
        <v>0.82920000000000005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64</v>
      </c>
      <c r="B80" s="1274" t="s">
        <v>213</v>
      </c>
      <c r="C80" s="241" t="s">
        <v>445</v>
      </c>
      <c r="D80" s="241">
        <v>694.35</v>
      </c>
      <c r="E80" s="241" t="s">
        <v>452</v>
      </c>
      <c r="F80" s="241">
        <v>177.8</v>
      </c>
      <c r="G80" s="241" t="s">
        <v>28</v>
      </c>
      <c r="H80" s="241" t="s">
        <v>464</v>
      </c>
      <c r="I80" s="1778">
        <v>665.09</v>
      </c>
      <c r="J80" s="1448">
        <v>165</v>
      </c>
      <c r="K80" s="241"/>
      <c r="L80" s="1277">
        <v>36</v>
      </c>
      <c r="M80" s="241"/>
      <c r="N80" s="1278">
        <v>0.5</v>
      </c>
      <c r="O80" s="241"/>
      <c r="P80" s="1278">
        <f t="shared" si="2"/>
        <v>56.231615454788759</v>
      </c>
      <c r="Q80" s="1278">
        <f>14*J80/100</f>
        <v>23.1</v>
      </c>
      <c r="R80" s="244">
        <v>5.5270000000000001</v>
      </c>
      <c r="S80" s="244">
        <v>5.601</v>
      </c>
      <c r="T80" s="1277">
        <v>202</v>
      </c>
      <c r="U80" s="1278">
        <f t="shared" si="13"/>
        <v>36.547855979735843</v>
      </c>
      <c r="V80" s="1278">
        <f t="shared" si="21"/>
        <v>1.3211926441706812</v>
      </c>
      <c r="W80" s="1279">
        <v>0.2</v>
      </c>
      <c r="X80" s="1449">
        <v>165</v>
      </c>
      <c r="Y80" s="1277">
        <f t="shared" si="1"/>
        <v>24.246753246753244</v>
      </c>
      <c r="Z80" s="244">
        <v>4</v>
      </c>
      <c r="AA80" s="244">
        <v>4.5</v>
      </c>
      <c r="AB80" s="1277">
        <f t="shared" si="36"/>
        <v>199.57599999999999</v>
      </c>
      <c r="AC80" s="244">
        <f t="shared" si="37"/>
        <v>36.547855979735843</v>
      </c>
      <c r="AD80" s="1277">
        <f t="shared" si="37"/>
        <v>1.3211926441706812</v>
      </c>
      <c r="AE80" s="241">
        <f t="shared" si="23"/>
        <v>31</v>
      </c>
      <c r="AF80" s="244">
        <f t="shared" si="38"/>
        <v>124</v>
      </c>
      <c r="AG80" s="1285"/>
      <c r="AI80" s="1282">
        <f t="shared" si="0"/>
        <v>56.231615454788759</v>
      </c>
      <c r="AJ80" s="1252">
        <v>0.9133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65</v>
      </c>
      <c r="B81" s="1274" t="s">
        <v>506</v>
      </c>
      <c r="C81" s="241" t="s">
        <v>46</v>
      </c>
      <c r="D81" s="1771">
        <v>700</v>
      </c>
      <c r="E81" s="1771" t="s">
        <v>547</v>
      </c>
      <c r="F81" s="241">
        <v>177.8</v>
      </c>
      <c r="G81" s="241" t="s">
        <v>28</v>
      </c>
      <c r="H81" s="241" t="s">
        <v>464</v>
      </c>
      <c r="I81" s="1771">
        <v>608.22</v>
      </c>
      <c r="J81" s="1771">
        <v>0</v>
      </c>
      <c r="K81" s="1771"/>
      <c r="L81" s="1319">
        <v>0</v>
      </c>
      <c r="M81" s="1771"/>
      <c r="N81" s="1278">
        <v>0</v>
      </c>
      <c r="O81" s="1771"/>
      <c r="P81" s="1278">
        <f t="shared" si="2"/>
        <v>48.239526409474465</v>
      </c>
      <c r="Q81" s="1278"/>
      <c r="R81" s="244"/>
      <c r="S81" s="244"/>
      <c r="T81" s="1319"/>
      <c r="U81" s="244"/>
      <c r="V81" s="1278"/>
      <c r="W81" s="1279"/>
      <c r="X81" s="1410">
        <v>0</v>
      </c>
      <c r="Y81" s="1277">
        <f t="shared" si="1"/>
        <v>0</v>
      </c>
      <c r="Z81" s="244">
        <f t="shared" si="36"/>
        <v>0</v>
      </c>
      <c r="AA81" s="244"/>
      <c r="AB81" s="1277"/>
      <c r="AC81" s="244"/>
      <c r="AD81" s="244"/>
      <c r="AE81" s="241"/>
      <c r="AF81" s="244"/>
      <c r="AG81" s="1281" t="s">
        <v>682</v>
      </c>
      <c r="AI81" s="1282">
        <f t="shared" si="0"/>
        <v>48.239526409474465</v>
      </c>
      <c r="AJ81" s="1252">
        <v>0.81920000000000004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66</v>
      </c>
      <c r="B82" s="1274" t="s">
        <v>451</v>
      </c>
      <c r="C82" s="241" t="s">
        <v>445</v>
      </c>
      <c r="D82" s="1778">
        <v>674.5</v>
      </c>
      <c r="E82" s="1778" t="s">
        <v>820</v>
      </c>
      <c r="F82" s="241">
        <v>177.8</v>
      </c>
      <c r="G82" s="241" t="s">
        <v>28</v>
      </c>
      <c r="H82" s="241" t="s">
        <v>464</v>
      </c>
      <c r="I82" s="1778">
        <v>630.33000000000004</v>
      </c>
      <c r="J82" s="1778">
        <v>150</v>
      </c>
      <c r="K82" s="1778"/>
      <c r="L82" s="1319">
        <v>56</v>
      </c>
      <c r="M82" s="1778"/>
      <c r="N82" s="1278">
        <v>1.9</v>
      </c>
      <c r="O82" s="1778"/>
      <c r="P82" s="1278">
        <f t="shared" si="2"/>
        <v>52.470833020067495</v>
      </c>
      <c r="Q82" s="1278">
        <f t="shared" ref="Q82" si="39">14*J82/100</f>
        <v>21</v>
      </c>
      <c r="R82" s="244">
        <v>3.6120000000000001</v>
      </c>
      <c r="S82" s="244">
        <v>3.8029999999999999</v>
      </c>
      <c r="T82" s="1319">
        <v>171</v>
      </c>
      <c r="U82" s="244">
        <f t="shared" si="13"/>
        <v>47.342192691029901</v>
      </c>
      <c r="V82" s="1278">
        <f t="shared" si="21"/>
        <v>5.0223507757033881</v>
      </c>
      <c r="W82" s="1279">
        <v>0.2</v>
      </c>
      <c r="X82" s="1410">
        <v>150</v>
      </c>
      <c r="Y82" s="1277">
        <f t="shared" si="1"/>
        <v>18.109523809523807</v>
      </c>
      <c r="Z82" s="244">
        <v>4</v>
      </c>
      <c r="AA82" s="244">
        <v>4.5</v>
      </c>
      <c r="AB82" s="1277">
        <f t="shared" si="36"/>
        <v>168.94800000000001</v>
      </c>
      <c r="AC82" s="244">
        <f t="shared" si="37"/>
        <v>47.342192691029901</v>
      </c>
      <c r="AD82" s="1277">
        <f t="shared" si="37"/>
        <v>5.0223507757033881</v>
      </c>
      <c r="AE82" s="241">
        <f t="shared" si="23"/>
        <v>31</v>
      </c>
      <c r="AF82" s="244">
        <f t="shared" si="38"/>
        <v>124</v>
      </c>
      <c r="AG82" s="1285"/>
      <c r="AI82" s="1282">
        <f t="shared" ref="AI82:AI85" si="40">(9.81*(AJ82*(100%-(V82/100))+AK82*(V82/100))*(I82-L82)+N82*101.325+9.81*(AL82)*L82)/101.325</f>
        <v>52.470833020067495</v>
      </c>
      <c r="AJ82" s="1252">
        <v>0.90310000000000001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67</v>
      </c>
      <c r="B83" s="1274" t="s">
        <v>424</v>
      </c>
      <c r="C83" s="241" t="s">
        <v>46</v>
      </c>
      <c r="D83" s="1779">
        <v>689.4</v>
      </c>
      <c r="E83" s="1779" t="s">
        <v>616</v>
      </c>
      <c r="F83" s="241">
        <v>177.8</v>
      </c>
      <c r="G83" s="241" t="s">
        <v>28</v>
      </c>
      <c r="H83" s="1299" t="s">
        <v>466</v>
      </c>
      <c r="I83" s="1779">
        <v>604.96</v>
      </c>
      <c r="J83" s="1779">
        <v>0</v>
      </c>
      <c r="K83" s="1779"/>
      <c r="L83" s="1319"/>
      <c r="M83" s="1779"/>
      <c r="N83" s="1278"/>
      <c r="O83" s="1779"/>
      <c r="P83" s="1278">
        <f t="shared" si="2"/>
        <v>47.576830678312362</v>
      </c>
      <c r="Q83" s="1278"/>
      <c r="R83" s="244"/>
      <c r="S83" s="244"/>
      <c r="T83" s="1319"/>
      <c r="U83" s="244"/>
      <c r="V83" s="1278"/>
      <c r="W83" s="1279"/>
      <c r="X83" s="1410">
        <v>85</v>
      </c>
      <c r="Y83" s="1277">
        <f t="shared" ref="Y83:Y85" si="41">IF(S83=0,0,S83/Q83)*100</f>
        <v>0</v>
      </c>
      <c r="Z83" s="244">
        <v>3</v>
      </c>
      <c r="AA83" s="244">
        <v>3.25</v>
      </c>
      <c r="AB83" s="1277">
        <v>120</v>
      </c>
      <c r="AC83" s="244">
        <f>AB83/Z83</f>
        <v>40</v>
      </c>
      <c r="AD83" s="244">
        <f>AA83-Z83/AA83/100</f>
        <v>3.2407692307692306</v>
      </c>
      <c r="AE83" s="241">
        <v>19</v>
      </c>
      <c r="AF83" s="244">
        <f t="shared" si="38"/>
        <v>57</v>
      </c>
      <c r="AG83" s="1281" t="s">
        <v>825</v>
      </c>
      <c r="AI83" s="1282">
        <f t="shared" si="40"/>
        <v>47.576830678312362</v>
      </c>
      <c r="AJ83" s="1252">
        <v>0.81230000000000002</v>
      </c>
      <c r="AK83" s="1252">
        <v>1.018</v>
      </c>
      <c r="AL83" s="1252">
        <v>6.1000000000000004E-3</v>
      </c>
    </row>
    <row r="84" spans="1:38" ht="18.75" customHeight="1" x14ac:dyDescent="0.2">
      <c r="A84" s="1273">
        <v>68</v>
      </c>
      <c r="B84" s="1274" t="s">
        <v>567</v>
      </c>
      <c r="C84" s="241" t="s">
        <v>46</v>
      </c>
      <c r="D84" s="1778">
        <v>577.12</v>
      </c>
      <c r="E84" s="1778" t="s">
        <v>614</v>
      </c>
      <c r="F84" s="241">
        <v>177.8</v>
      </c>
      <c r="G84" s="241" t="s">
        <v>28</v>
      </c>
      <c r="H84" s="1299" t="s">
        <v>687</v>
      </c>
      <c r="I84" s="1778">
        <v>536.02</v>
      </c>
      <c r="J84" s="1778">
        <v>105</v>
      </c>
      <c r="K84" s="1778"/>
      <c r="L84" s="1319">
        <v>368</v>
      </c>
      <c r="M84" s="1778"/>
      <c r="N84" s="1278">
        <v>0.1</v>
      </c>
      <c r="O84" s="1778"/>
      <c r="P84" s="1278">
        <f t="shared" ref="P84:P85" si="42">AI84</f>
        <v>15.966395831260503</v>
      </c>
      <c r="Q84" s="1278">
        <f>RIGHT(H84,(FIND("T",H84,1)-0))*J84/100</f>
        <v>21</v>
      </c>
      <c r="R84" s="244">
        <v>3.4780000000000002</v>
      </c>
      <c r="S84" s="244">
        <v>6.7510000000000003</v>
      </c>
      <c r="T84" s="1319">
        <v>7</v>
      </c>
      <c r="U84" s="244">
        <f t="shared" ref="U84" si="43">IF(R84=0,0,T84/R84)</f>
        <v>2.0126509488211615</v>
      </c>
      <c r="V84" s="1278">
        <f t="shared" si="21"/>
        <v>48.481706413864615</v>
      </c>
      <c r="W84" s="1279">
        <v>0.2</v>
      </c>
      <c r="X84" s="1410">
        <v>105</v>
      </c>
      <c r="Y84" s="1277">
        <f t="shared" si="41"/>
        <v>32.147619047619045</v>
      </c>
      <c r="Z84" s="244">
        <f t="shared" ref="Z84:AB85" si="44">R84*0.988</f>
        <v>3.436264</v>
      </c>
      <c r="AA84" s="244">
        <f t="shared" si="44"/>
        <v>6.669988</v>
      </c>
      <c r="AB84" s="1277">
        <f t="shared" si="44"/>
        <v>6.9160000000000004</v>
      </c>
      <c r="AC84" s="244">
        <f t="shared" ref="AC84:AD84" si="45">U84</f>
        <v>2.0126509488211615</v>
      </c>
      <c r="AD84" s="1277">
        <f t="shared" si="45"/>
        <v>48.481706413864615</v>
      </c>
      <c r="AE84" s="241">
        <f t="shared" si="23"/>
        <v>31</v>
      </c>
      <c r="AF84" s="244">
        <f>Z84*AE84</f>
        <v>106.52418400000001</v>
      </c>
      <c r="AG84" s="1281"/>
      <c r="AI84" s="1282">
        <f t="shared" si="40"/>
        <v>15.966395831260503</v>
      </c>
      <c r="AJ84" s="1252">
        <v>0.9093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69</v>
      </c>
      <c r="B85" s="1274" t="s">
        <v>172</v>
      </c>
      <c r="C85" s="241" t="s">
        <v>46</v>
      </c>
      <c r="D85" s="241">
        <v>673.05</v>
      </c>
      <c r="E85" s="241" t="s">
        <v>615</v>
      </c>
      <c r="F85" s="241">
        <v>177.8</v>
      </c>
      <c r="G85" s="241" t="s">
        <v>28</v>
      </c>
      <c r="H85" s="241" t="s">
        <v>464</v>
      </c>
      <c r="I85" s="1771">
        <v>576.27</v>
      </c>
      <c r="J85" s="1448">
        <v>0</v>
      </c>
      <c r="K85" s="241"/>
      <c r="L85" s="1277">
        <v>0</v>
      </c>
      <c r="M85" s="241"/>
      <c r="N85" s="1278">
        <v>0</v>
      </c>
      <c r="O85" s="241"/>
      <c r="P85" s="1278" t="e">
        <f t="shared" si="42"/>
        <v>#DIV/0!</v>
      </c>
      <c r="Q85" s="1278">
        <f>14*J85/100</f>
        <v>0</v>
      </c>
      <c r="R85" s="244">
        <v>0</v>
      </c>
      <c r="S85" s="244">
        <v>0</v>
      </c>
      <c r="T85" s="1277">
        <v>0</v>
      </c>
      <c r="U85" s="1278">
        <f t="shared" si="13"/>
        <v>0</v>
      </c>
      <c r="V85" s="1278" t="e">
        <f t="shared" si="21"/>
        <v>#DIV/0!</v>
      </c>
      <c r="W85" s="1279">
        <v>0</v>
      </c>
      <c r="X85" s="1449">
        <v>0</v>
      </c>
      <c r="Y85" s="1277">
        <f t="shared" si="41"/>
        <v>0</v>
      </c>
      <c r="Z85" s="244">
        <f t="shared" si="44"/>
        <v>0</v>
      </c>
      <c r="AA85" s="244">
        <f t="shared" si="44"/>
        <v>0</v>
      </c>
      <c r="AB85" s="1277">
        <f t="shared" si="44"/>
        <v>0</v>
      </c>
      <c r="AC85" s="244">
        <f>U85</f>
        <v>0</v>
      </c>
      <c r="AD85" s="1277" t="e">
        <f>V85</f>
        <v>#DIV/0!</v>
      </c>
      <c r="AE85" s="241">
        <v>0</v>
      </c>
      <c r="AF85" s="244">
        <f>Z85*AE85</f>
        <v>0</v>
      </c>
      <c r="AG85" s="1281" t="s">
        <v>771</v>
      </c>
      <c r="AI85" s="1282" t="e">
        <f t="shared" si="40"/>
        <v>#DIV/0!</v>
      </c>
      <c r="AJ85" s="1252">
        <v>0.91310000000000002</v>
      </c>
      <c r="AK85" s="1252">
        <v>1.018</v>
      </c>
      <c r="AL85" s="1252">
        <v>6.1000000000000004E-3</v>
      </c>
    </row>
    <row r="86" spans="1:38" ht="18.75" customHeight="1" x14ac:dyDescent="0.2">
      <c r="A86" s="1347"/>
      <c r="B86" s="241"/>
      <c r="C86" s="241"/>
      <c r="D86" s="1771"/>
      <c r="E86" s="1771"/>
      <c r="F86" s="1274"/>
      <c r="G86" s="241"/>
      <c r="H86" s="241"/>
      <c r="I86" s="1771"/>
      <c r="J86" s="1771"/>
      <c r="K86" s="1771"/>
      <c r="L86" s="1771"/>
      <c r="M86" s="1771"/>
      <c r="N86" s="241"/>
      <c r="O86" s="1771"/>
      <c r="P86" s="1278"/>
      <c r="Q86" s="1269"/>
      <c r="R86" s="1348">
        <f>SUM(R17:R85)</f>
        <v>300.62400000000008</v>
      </c>
      <c r="S86" s="1348">
        <f>SUM(S17:S85)</f>
        <v>690.42399999999986</v>
      </c>
      <c r="T86" s="1349">
        <f>SUM(T17:T85)</f>
        <v>5930.35</v>
      </c>
      <c r="U86" s="1348">
        <f>T86/R86</f>
        <v>19.726801586034377</v>
      </c>
      <c r="V86" s="1348"/>
      <c r="W86" s="1350"/>
      <c r="X86" s="1410"/>
      <c r="Y86" s="1348"/>
      <c r="Z86" s="1348">
        <f>SUM(Z17:Z85)</f>
        <v>344.77947599999999</v>
      </c>
      <c r="AA86" s="1348">
        <f>SUM(AA17:AA85)</f>
        <v>851.04490400000009</v>
      </c>
      <c r="AB86" s="1351">
        <f>SUM(AB17:AB85)</f>
        <v>6430.4589999999998</v>
      </c>
      <c r="AC86" s="1348">
        <f>AB86/Z86</f>
        <v>18.650933270749562</v>
      </c>
      <c r="AD86" s="1348"/>
      <c r="AE86" s="1302"/>
      <c r="AF86" s="1348">
        <f>SUM(AF17:AF85)</f>
        <v>9384.8083760000027</v>
      </c>
      <c r="AG86" s="1281"/>
      <c r="AI86" s="1282"/>
    </row>
    <row r="87" spans="1:38" ht="18.75" customHeight="1" x14ac:dyDescent="0.2">
      <c r="A87" s="1347"/>
      <c r="B87" s="241"/>
      <c r="C87" s="241"/>
      <c r="D87" s="1771"/>
      <c r="E87" s="1770" t="s">
        <v>388</v>
      </c>
      <c r="F87" s="1274"/>
      <c r="G87" s="241"/>
      <c r="H87" s="241"/>
      <c r="I87" s="1771"/>
      <c r="J87" s="1771"/>
      <c r="K87" s="1771"/>
      <c r="L87" s="1771"/>
      <c r="M87" s="1771"/>
      <c r="N87" s="241"/>
      <c r="O87" s="1771"/>
      <c r="P87" s="1278"/>
      <c r="Q87" s="1269"/>
      <c r="R87" s="1348"/>
      <c r="S87" s="1348"/>
      <c r="T87" s="1349"/>
      <c r="U87" s="1348"/>
      <c r="V87" s="1348"/>
      <c r="W87" s="1350"/>
      <c r="X87" s="1410"/>
      <c r="Y87" s="1348"/>
      <c r="Z87" s="1348"/>
      <c r="AA87" s="1352"/>
      <c r="AB87" s="1351"/>
      <c r="AC87" s="1348"/>
      <c r="AD87" s="1348"/>
      <c r="AE87" s="1302"/>
      <c r="AF87" s="1348"/>
      <c r="AG87" s="1281"/>
      <c r="AI87" s="1282"/>
    </row>
    <row r="88" spans="1:38" ht="18.75" customHeight="1" x14ac:dyDescent="0.2">
      <c r="A88" s="1273">
        <v>70</v>
      </c>
      <c r="B88" s="1274" t="s">
        <v>505</v>
      </c>
      <c r="C88" s="241" t="s">
        <v>445</v>
      </c>
      <c r="D88" s="1771">
        <v>737.21</v>
      </c>
      <c r="E88" s="1771" t="s">
        <v>507</v>
      </c>
      <c r="F88" s="241">
        <v>177.8</v>
      </c>
      <c r="G88" s="241" t="s">
        <v>28</v>
      </c>
      <c r="H88" s="1354" t="s">
        <v>466</v>
      </c>
      <c r="I88" s="1771">
        <v>680.94</v>
      </c>
      <c r="J88" s="1771"/>
      <c r="K88" s="1771"/>
      <c r="L88" s="1771"/>
      <c r="M88" s="1771"/>
      <c r="N88" s="241"/>
      <c r="O88" s="1771"/>
      <c r="P88" s="1278"/>
      <c r="Q88" s="1269"/>
      <c r="R88" s="244"/>
      <c r="S88" s="244"/>
      <c r="T88" s="1319"/>
      <c r="U88" s="244"/>
      <c r="V88" s="244"/>
      <c r="W88" s="1355"/>
      <c r="X88" s="1410"/>
      <c r="Y88" s="244">
        <f>IF(S88=0,0,S88/Q88)</f>
        <v>0</v>
      </c>
      <c r="Z88" s="244">
        <f t="shared" ref="Z88:AB90" si="46">R88*0.988</f>
        <v>0</v>
      </c>
      <c r="AA88" s="244">
        <f t="shared" si="46"/>
        <v>0</v>
      </c>
      <c r="AB88" s="1277">
        <f t="shared" si="46"/>
        <v>0</v>
      </c>
      <c r="AC88" s="244">
        <f t="shared" ref="AC88:AD90" si="47">U88</f>
        <v>0</v>
      </c>
      <c r="AD88" s="244">
        <f t="shared" si="47"/>
        <v>0</v>
      </c>
      <c r="AE88" s="241">
        <v>0</v>
      </c>
      <c r="AF88" s="244">
        <f>Z88*AE88</f>
        <v>0</v>
      </c>
      <c r="AG88" s="1281" t="s">
        <v>682</v>
      </c>
      <c r="AI88" s="1282">
        <f>(9.81*(AJ88*(100%-(V88/100))+AK88*(V88/100))*(I88-L88)+N88*101.325+9.81*(AL88)*L88)/101.325</f>
        <v>58.978012775129535</v>
      </c>
      <c r="AJ88" s="1252">
        <v>0.89459999999999995</v>
      </c>
      <c r="AK88" s="1252">
        <v>1.018</v>
      </c>
      <c r="AL88" s="1252">
        <v>6.1000000000000004E-3</v>
      </c>
    </row>
    <row r="89" spans="1:38" ht="18.75" customHeight="1" x14ac:dyDescent="0.2">
      <c r="A89" s="1273">
        <v>71</v>
      </c>
      <c r="B89" s="1317" t="s">
        <v>220</v>
      </c>
      <c r="C89" s="241" t="s">
        <v>445</v>
      </c>
      <c r="D89" s="1771">
        <v>685.69</v>
      </c>
      <c r="E89" s="1771" t="s">
        <v>579</v>
      </c>
      <c r="F89" s="241">
        <v>177.8</v>
      </c>
      <c r="G89" s="241" t="s">
        <v>28</v>
      </c>
      <c r="H89" s="1299" t="s">
        <v>466</v>
      </c>
      <c r="I89" s="1771">
        <v>639.97</v>
      </c>
      <c r="J89" s="1771"/>
      <c r="K89" s="1771"/>
      <c r="L89" s="1771"/>
      <c r="M89" s="1771"/>
      <c r="N89" s="241"/>
      <c r="O89" s="1771"/>
      <c r="P89" s="1278"/>
      <c r="Q89" s="1269"/>
      <c r="R89" s="1356"/>
      <c r="S89" s="1356"/>
      <c r="T89" s="1356"/>
      <c r="U89" s="1356"/>
      <c r="V89" s="1356"/>
      <c r="W89" s="1357"/>
      <c r="X89" s="1410"/>
      <c r="Y89" s="244">
        <f>IF(S89=0,0,S89/Q89)</f>
        <v>0</v>
      </c>
      <c r="Z89" s="244">
        <f t="shared" si="46"/>
        <v>0</v>
      </c>
      <c r="AA89" s="244">
        <f t="shared" si="46"/>
        <v>0</v>
      </c>
      <c r="AB89" s="1277">
        <f t="shared" si="46"/>
        <v>0</v>
      </c>
      <c r="AC89" s="244">
        <f t="shared" si="47"/>
        <v>0</v>
      </c>
      <c r="AD89" s="244">
        <f t="shared" si="47"/>
        <v>0</v>
      </c>
      <c r="AE89" s="241">
        <v>0</v>
      </c>
      <c r="AF89" s="244">
        <f t="shared" ref="AF89:AF90" si="48">Z89*AE89</f>
        <v>0</v>
      </c>
      <c r="AG89" s="1281" t="s">
        <v>682</v>
      </c>
      <c r="AI89" s="1282">
        <f>(9.81*(AJ89*(100%-(V89/100))+AK89*(V89/100))*(I89-L89)+N89*101.325+9.81*(AL89)*L89)/101.325</f>
        <v>55.429492812435235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273">
        <v>72</v>
      </c>
      <c r="B90" s="1274" t="s">
        <v>465</v>
      </c>
      <c r="C90" s="241" t="s">
        <v>46</v>
      </c>
      <c r="D90" s="241">
        <v>571.91</v>
      </c>
      <c r="E90" s="241" t="s">
        <v>478</v>
      </c>
      <c r="F90" s="241">
        <v>177.8</v>
      </c>
      <c r="G90" s="241" t="s">
        <v>618</v>
      </c>
      <c r="H90" s="1303"/>
      <c r="I90" s="1771">
        <v>9.5</v>
      </c>
      <c r="J90" s="1771"/>
      <c r="K90" s="1771"/>
      <c r="L90" s="1771"/>
      <c r="M90" s="1771"/>
      <c r="N90" s="241"/>
      <c r="O90" s="1771"/>
      <c r="P90" s="1278"/>
      <c r="Q90" s="1269"/>
      <c r="R90" s="1348"/>
      <c r="S90" s="1348"/>
      <c r="T90" s="1349"/>
      <c r="U90" s="1348"/>
      <c r="V90" s="1348"/>
      <c r="W90" s="1350"/>
      <c r="X90" s="1410"/>
      <c r="Y90" s="244">
        <f>IF(S90=0,0,S90/Q90)</f>
        <v>0</v>
      </c>
      <c r="Z90" s="244">
        <f t="shared" si="46"/>
        <v>0</v>
      </c>
      <c r="AA90" s="244">
        <f t="shared" si="46"/>
        <v>0</v>
      </c>
      <c r="AB90" s="1277">
        <f t="shared" si="46"/>
        <v>0</v>
      </c>
      <c r="AC90" s="244">
        <f t="shared" si="47"/>
        <v>0</v>
      </c>
      <c r="AD90" s="244">
        <f t="shared" si="47"/>
        <v>0</v>
      </c>
      <c r="AE90" s="241">
        <v>0</v>
      </c>
      <c r="AF90" s="244">
        <f t="shared" si="48"/>
        <v>0</v>
      </c>
      <c r="AG90" s="1281" t="s">
        <v>682</v>
      </c>
      <c r="AI90" s="1282">
        <f>(9.81*(AJ90*(100%-(V90/100))+AK90*(V90/100))*(I90-L90)+N90*101.325+9.81*(AL90)*L90)/101.325</f>
        <v>0.82282010362694302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347"/>
      <c r="B91" s="1358"/>
      <c r="C91" s="1358"/>
      <c r="D91" s="1358"/>
      <c r="E91" s="1358"/>
      <c r="F91" s="1274"/>
      <c r="G91" s="241"/>
      <c r="H91" s="241"/>
      <c r="I91" s="241"/>
      <c r="J91" s="1771"/>
      <c r="K91" s="1771"/>
      <c r="L91" s="1771"/>
      <c r="M91" s="1771"/>
      <c r="N91" s="1771"/>
      <c r="O91" s="1771"/>
      <c r="P91" s="1269"/>
      <c r="Q91" s="1269"/>
      <c r="R91" s="1348"/>
      <c r="S91" s="1348"/>
      <c r="T91" s="1349"/>
      <c r="U91" s="1348"/>
      <c r="V91" s="1348"/>
      <c r="W91" s="1350"/>
      <c r="X91" s="1410"/>
      <c r="Y91" s="1348"/>
      <c r="Z91" s="1348"/>
      <c r="AA91" s="1348"/>
      <c r="AB91" s="1351"/>
      <c r="AC91" s="1348"/>
      <c r="AD91" s="1348"/>
      <c r="AE91" s="1302"/>
      <c r="AF91" s="1348"/>
      <c r="AG91" s="1281"/>
      <c r="AI91" s="1282"/>
    </row>
    <row r="92" spans="1:38" ht="18.75" customHeight="1" x14ac:dyDescent="0.2">
      <c r="A92" s="1359"/>
      <c r="B92" s="1358"/>
      <c r="C92" s="1358"/>
      <c r="D92" s="1358"/>
      <c r="E92" s="1360" t="s">
        <v>470</v>
      </c>
      <c r="F92" s="1274"/>
      <c r="G92" s="241"/>
      <c r="H92" s="241"/>
      <c r="I92" s="241"/>
      <c r="J92" s="1771"/>
      <c r="K92" s="1771"/>
      <c r="L92" s="1771"/>
      <c r="M92" s="1771"/>
      <c r="N92" s="1771"/>
      <c r="O92" s="1771"/>
      <c r="P92" s="1269"/>
      <c r="Q92" s="1269"/>
      <c r="R92" s="1348"/>
      <c r="S92" s="1348"/>
      <c r="T92" s="1349"/>
      <c r="U92" s="1348"/>
      <c r="V92" s="1348"/>
      <c r="W92" s="1350"/>
      <c r="X92" s="1410"/>
      <c r="Y92" s="1348"/>
      <c r="Z92" s="1348"/>
      <c r="AA92" s="1348"/>
      <c r="AB92" s="1351"/>
      <c r="AC92" s="1348"/>
      <c r="AD92" s="1348"/>
      <c r="AE92" s="1302"/>
      <c r="AF92" s="1348"/>
      <c r="AG92" s="1281"/>
      <c r="AI92" s="1282"/>
    </row>
    <row r="93" spans="1:38" ht="18.75" customHeight="1" x14ac:dyDescent="0.2">
      <c r="A93" s="1273">
        <v>73</v>
      </c>
      <c r="B93" s="241" t="s">
        <v>582</v>
      </c>
      <c r="C93" s="1316" t="s">
        <v>344</v>
      </c>
      <c r="D93" s="241">
        <v>371.11</v>
      </c>
      <c r="E93" s="1318" t="s">
        <v>583</v>
      </c>
      <c r="F93" s="241">
        <v>177.8</v>
      </c>
      <c r="G93" s="241" t="s">
        <v>28</v>
      </c>
      <c r="H93" s="1299" t="s">
        <v>584</v>
      </c>
      <c r="I93" s="1778">
        <v>183.38</v>
      </c>
      <c r="J93" s="1778">
        <v>150</v>
      </c>
      <c r="K93" s="241"/>
      <c r="L93" s="241">
        <v>122</v>
      </c>
      <c r="M93" s="241"/>
      <c r="N93" s="241">
        <v>0.4</v>
      </c>
      <c r="O93" s="241"/>
      <c r="P93" s="1278">
        <f t="shared" ref="P93:P98" si="49">AI93</f>
        <v>6.0193044756440086</v>
      </c>
      <c r="Q93" s="1269">
        <f>(13*J93)/100</f>
        <v>19.5</v>
      </c>
      <c r="R93" s="244">
        <v>7.06</v>
      </c>
      <c r="S93" s="244">
        <v>7.9690000000000003</v>
      </c>
      <c r="T93" s="1277">
        <v>0</v>
      </c>
      <c r="U93" s="244">
        <f t="shared" ref="U93:U98" si="50">IF(R93=0,0,T93/R93)</f>
        <v>0</v>
      </c>
      <c r="V93" s="1278">
        <f t="shared" ref="V93:V98" si="51">(S93-R93)/S93*100</f>
        <v>11.406700966244204</v>
      </c>
      <c r="W93" s="1279">
        <v>0.2</v>
      </c>
      <c r="X93" s="1410">
        <v>150</v>
      </c>
      <c r="Y93" s="1277">
        <f>IF(S93=0,0,S93/Q93)*100</f>
        <v>40.866666666666667</v>
      </c>
      <c r="Z93" s="244">
        <f t="shared" ref="Z93:AB98" si="52">R93*0.988</f>
        <v>6.9752799999999997</v>
      </c>
      <c r="AA93" s="244">
        <f t="shared" si="52"/>
        <v>7.8733719999999998</v>
      </c>
      <c r="AB93" s="244">
        <f t="shared" si="52"/>
        <v>0</v>
      </c>
      <c r="AC93" s="244">
        <f>U93</f>
        <v>0</v>
      </c>
      <c r="AD93" s="1278">
        <f>V93</f>
        <v>11.406700966244204</v>
      </c>
      <c r="AE93" s="241">
        <f t="shared" ref="AE93:AE98" si="53">(DAY(EOMONTH($AH$15,0))-AH93)</f>
        <v>31</v>
      </c>
      <c r="AF93" s="244">
        <f t="shared" ref="AF93:AF98" si="54">Z93*AE93</f>
        <v>216.23367999999999</v>
      </c>
      <c r="AG93" s="1285"/>
      <c r="AI93" s="1282">
        <f t="shared" ref="AI93:AI98" si="55">(9.81*(AJ93*(100%-(V93/100))+AK93*(V93/100))*(I93-L93)+N93*101.325+9.81*(AL93)*L93)/101.325</f>
        <v>6.0193044756440086</v>
      </c>
      <c r="AJ93" s="1252">
        <v>0.92490000000000006</v>
      </c>
      <c r="AK93" s="1252">
        <v>1</v>
      </c>
      <c r="AL93" s="1252">
        <v>6.1000000000000004E-3</v>
      </c>
    </row>
    <row r="94" spans="1:38" ht="18.75" customHeight="1" x14ac:dyDescent="0.2">
      <c r="A94" s="1273">
        <v>74</v>
      </c>
      <c r="B94" s="241" t="s">
        <v>131</v>
      </c>
      <c r="C94" s="1316" t="s">
        <v>344</v>
      </c>
      <c r="D94" s="241">
        <v>389.74</v>
      </c>
      <c r="E94" s="1318" t="s">
        <v>713</v>
      </c>
      <c r="F94" s="241">
        <v>177.8</v>
      </c>
      <c r="G94" s="241" t="s">
        <v>28</v>
      </c>
      <c r="H94" s="1299" t="s">
        <v>540</v>
      </c>
      <c r="I94" s="1778">
        <v>136.35</v>
      </c>
      <c r="J94" s="1778">
        <v>150</v>
      </c>
      <c r="K94" s="1778"/>
      <c r="L94" s="1319">
        <v>94</v>
      </c>
      <c r="M94" s="1778"/>
      <c r="N94" s="1278">
        <v>2.2000000000000002</v>
      </c>
      <c r="O94" s="1778"/>
      <c r="P94" s="1278">
        <f t="shared" si="49"/>
        <v>6.1708858186033417</v>
      </c>
      <c r="Q94" s="1278">
        <f>(22*J94)/100</f>
        <v>33</v>
      </c>
      <c r="R94" s="244">
        <v>15.736000000000001</v>
      </c>
      <c r="S94" s="244">
        <v>24.4</v>
      </c>
      <c r="T94" s="1319">
        <v>0</v>
      </c>
      <c r="U94" s="244">
        <f t="shared" si="50"/>
        <v>0</v>
      </c>
      <c r="V94" s="1278">
        <f t="shared" si="51"/>
        <v>35.508196721311471</v>
      </c>
      <c r="W94" s="1279">
        <v>0.2</v>
      </c>
      <c r="X94" s="1410">
        <v>150</v>
      </c>
      <c r="Y94" s="1277">
        <f t="shared" ref="Y94:Y102" si="56">IF(S94=0,0,S94/Q94)*100</f>
        <v>73.939393939393938</v>
      </c>
      <c r="Z94" s="244">
        <f t="shared" si="52"/>
        <v>15.547168000000001</v>
      </c>
      <c r="AA94" s="244">
        <f t="shared" si="52"/>
        <v>24.107199999999999</v>
      </c>
      <c r="AB94" s="244">
        <f t="shared" si="52"/>
        <v>0</v>
      </c>
      <c r="AC94" s="244">
        <f t="shared" ref="AC94:AD98" si="57">U94</f>
        <v>0</v>
      </c>
      <c r="AD94" s="1278">
        <f t="shared" si="57"/>
        <v>35.508196721311471</v>
      </c>
      <c r="AE94" s="241">
        <f t="shared" si="53"/>
        <v>31</v>
      </c>
      <c r="AF94" s="244">
        <f>Z94*AE94</f>
        <v>481.96220800000003</v>
      </c>
      <c r="AG94" s="1285"/>
      <c r="AI94" s="1282">
        <f t="shared" si="55"/>
        <v>6.1708858186033417</v>
      </c>
      <c r="AJ94" s="1252">
        <v>0.93010000000000004</v>
      </c>
      <c r="AK94" s="1252">
        <v>1</v>
      </c>
      <c r="AL94" s="1252">
        <v>6.1000000000000004E-3</v>
      </c>
    </row>
    <row r="95" spans="1:38" ht="32.25" customHeight="1" x14ac:dyDescent="0.2">
      <c r="A95" s="1273">
        <v>75</v>
      </c>
      <c r="B95" s="241" t="s">
        <v>132</v>
      </c>
      <c r="C95" s="1316" t="s">
        <v>313</v>
      </c>
      <c r="D95" s="241">
        <v>389.09</v>
      </c>
      <c r="E95" s="1318" t="s">
        <v>135</v>
      </c>
      <c r="F95" s="241">
        <v>177.8</v>
      </c>
      <c r="G95" s="241" t="s">
        <v>28</v>
      </c>
      <c r="H95" s="241" t="s">
        <v>485</v>
      </c>
      <c r="I95" s="1778">
        <v>130.11000000000001</v>
      </c>
      <c r="J95" s="1778">
        <v>160</v>
      </c>
      <c r="K95" s="1778"/>
      <c r="L95" s="1319">
        <v>59</v>
      </c>
      <c r="M95" s="1778"/>
      <c r="N95" s="1278">
        <v>0</v>
      </c>
      <c r="O95" s="1778"/>
      <c r="P95" s="1278">
        <f t="shared" si="49"/>
        <v>6.4559344806542915</v>
      </c>
      <c r="Q95" s="1278">
        <f>(15*J95)/100</f>
        <v>24</v>
      </c>
      <c r="R95" s="244">
        <v>11.586</v>
      </c>
      <c r="S95" s="244">
        <v>12.164999999999999</v>
      </c>
      <c r="T95" s="1319">
        <v>0</v>
      </c>
      <c r="U95" s="244">
        <f t="shared" si="50"/>
        <v>0</v>
      </c>
      <c r="V95" s="1278">
        <f t="shared" si="51"/>
        <v>4.7595561035758234</v>
      </c>
      <c r="W95" s="1279">
        <v>0.2</v>
      </c>
      <c r="X95" s="1410">
        <v>160</v>
      </c>
      <c r="Y95" s="1277">
        <f t="shared" si="56"/>
        <v>50.6875</v>
      </c>
      <c r="Z95" s="244">
        <f t="shared" si="52"/>
        <v>11.446968</v>
      </c>
      <c r="AA95" s="244">
        <f t="shared" si="52"/>
        <v>12.019019999999999</v>
      </c>
      <c r="AB95" s="244">
        <f t="shared" si="52"/>
        <v>0</v>
      </c>
      <c r="AC95" s="244">
        <f t="shared" si="57"/>
        <v>0</v>
      </c>
      <c r="AD95" s="1278">
        <f t="shared" si="57"/>
        <v>4.7595561035758234</v>
      </c>
      <c r="AE95" s="241">
        <f t="shared" si="53"/>
        <v>31</v>
      </c>
      <c r="AF95" s="244">
        <f t="shared" si="54"/>
        <v>354.85600799999997</v>
      </c>
      <c r="AG95" s="1285"/>
      <c r="AI95" s="1282">
        <f t="shared" si="55"/>
        <v>6.4559344806542915</v>
      </c>
      <c r="AJ95" s="1252">
        <v>0.92930000000000001</v>
      </c>
      <c r="AK95" s="1252">
        <v>1</v>
      </c>
      <c r="AL95" s="1252">
        <v>6.1000000000000004E-3</v>
      </c>
    </row>
    <row r="96" spans="1:38" ht="18.75" customHeight="1" x14ac:dyDescent="0.2">
      <c r="A96" s="1273">
        <v>76</v>
      </c>
      <c r="B96" s="241" t="s">
        <v>121</v>
      </c>
      <c r="C96" s="1316" t="s">
        <v>313</v>
      </c>
      <c r="D96" s="241">
        <v>389.57</v>
      </c>
      <c r="E96" s="241" t="s">
        <v>137</v>
      </c>
      <c r="F96" s="241">
        <v>177.8</v>
      </c>
      <c r="G96" s="241" t="s">
        <v>28</v>
      </c>
      <c r="H96" s="241" t="s">
        <v>588</v>
      </c>
      <c r="I96" s="1778">
        <v>134.97</v>
      </c>
      <c r="J96" s="1778">
        <v>160</v>
      </c>
      <c r="K96" s="1778"/>
      <c r="L96" s="1319">
        <v>46</v>
      </c>
      <c r="M96" s="1778"/>
      <c r="N96" s="1278">
        <v>0.1</v>
      </c>
      <c r="O96" s="1778"/>
      <c r="P96" s="1278">
        <f t="shared" si="49"/>
        <v>8.1799737642322317</v>
      </c>
      <c r="Q96" s="1278">
        <f>(14*J96)/100</f>
        <v>22.4</v>
      </c>
      <c r="R96" s="244">
        <v>12.586</v>
      </c>
      <c r="S96" s="244">
        <v>13.817</v>
      </c>
      <c r="T96" s="1319">
        <v>0</v>
      </c>
      <c r="U96" s="244">
        <f t="shared" si="50"/>
        <v>0</v>
      </c>
      <c r="V96" s="1278">
        <f t="shared" si="51"/>
        <v>8.9093146124339562</v>
      </c>
      <c r="W96" s="1279">
        <v>0.2</v>
      </c>
      <c r="X96" s="1410">
        <v>160</v>
      </c>
      <c r="Y96" s="1277">
        <f t="shared" si="56"/>
        <v>61.683035714285715</v>
      </c>
      <c r="Z96" s="244">
        <f t="shared" si="52"/>
        <v>12.434968</v>
      </c>
      <c r="AA96" s="244">
        <f t="shared" si="52"/>
        <v>13.651196000000001</v>
      </c>
      <c r="AB96" s="244">
        <f t="shared" si="52"/>
        <v>0</v>
      </c>
      <c r="AC96" s="244">
        <f t="shared" si="57"/>
        <v>0</v>
      </c>
      <c r="AD96" s="1278">
        <f t="shared" si="57"/>
        <v>8.9093146124339562</v>
      </c>
      <c r="AE96" s="241">
        <f t="shared" si="53"/>
        <v>31</v>
      </c>
      <c r="AF96" s="244">
        <f t="shared" si="54"/>
        <v>385.48400799999996</v>
      </c>
      <c r="AG96" s="1285"/>
      <c r="AI96" s="1282">
        <f t="shared" si="55"/>
        <v>8.1799737642322317</v>
      </c>
      <c r="AJ96" s="1252">
        <v>0.92849999999999999</v>
      </c>
      <c r="AK96" s="1252">
        <v>1</v>
      </c>
      <c r="AL96" s="1252">
        <v>6.1000000000000004E-3</v>
      </c>
    </row>
    <row r="97" spans="1:38" ht="18.75" customHeight="1" x14ac:dyDescent="0.2">
      <c r="A97" s="1273">
        <v>77</v>
      </c>
      <c r="B97" s="241" t="s">
        <v>122</v>
      </c>
      <c r="C97" s="1316" t="s">
        <v>313</v>
      </c>
      <c r="D97" s="241">
        <v>391.06</v>
      </c>
      <c r="E97" s="241" t="s">
        <v>138</v>
      </c>
      <c r="F97" s="241">
        <v>177.8</v>
      </c>
      <c r="G97" s="241" t="s">
        <v>28</v>
      </c>
      <c r="H97" s="241" t="s">
        <v>588</v>
      </c>
      <c r="I97" s="244">
        <v>149.84</v>
      </c>
      <c r="J97" s="1778">
        <v>150</v>
      </c>
      <c r="K97" s="1778"/>
      <c r="L97" s="1319">
        <v>102</v>
      </c>
      <c r="M97" s="1778"/>
      <c r="N97" s="1278">
        <v>0.9</v>
      </c>
      <c r="O97" s="1778"/>
      <c r="P97" s="1278">
        <f t="shared" si="49"/>
        <v>5.2939334073791224</v>
      </c>
      <c r="Q97" s="1278">
        <f>(14*J97)/100</f>
        <v>21</v>
      </c>
      <c r="R97" s="244">
        <v>8.7650000000000006</v>
      </c>
      <c r="S97" s="244">
        <v>9.407</v>
      </c>
      <c r="T97" s="1319">
        <v>0</v>
      </c>
      <c r="U97" s="244">
        <f t="shared" si="50"/>
        <v>0</v>
      </c>
      <c r="V97" s="1278">
        <f t="shared" si="51"/>
        <v>6.8247050069097428</v>
      </c>
      <c r="W97" s="1279">
        <v>0.2</v>
      </c>
      <c r="X97" s="1410">
        <v>150</v>
      </c>
      <c r="Y97" s="1277">
        <f t="shared" si="56"/>
        <v>44.795238095238091</v>
      </c>
      <c r="Z97" s="244">
        <f t="shared" si="52"/>
        <v>8.6598199999999999</v>
      </c>
      <c r="AA97" s="244">
        <f t="shared" si="52"/>
        <v>9.2941160000000007</v>
      </c>
      <c r="AB97" s="244">
        <f t="shared" si="52"/>
        <v>0</v>
      </c>
      <c r="AC97" s="244">
        <f t="shared" si="57"/>
        <v>0</v>
      </c>
      <c r="AD97" s="1278">
        <f t="shared" si="57"/>
        <v>6.8247050069097428</v>
      </c>
      <c r="AE97" s="241">
        <f t="shared" si="53"/>
        <v>31</v>
      </c>
      <c r="AF97" s="244">
        <f t="shared" si="54"/>
        <v>268.45441999999997</v>
      </c>
      <c r="AG97" s="1285"/>
      <c r="AI97" s="1282">
        <f t="shared" si="55"/>
        <v>5.2939334073791224</v>
      </c>
      <c r="AJ97" s="1252">
        <v>0.93049999999999999</v>
      </c>
      <c r="AK97" s="1252">
        <v>1.006</v>
      </c>
      <c r="AL97" s="1252">
        <v>6.1000000000000004E-3</v>
      </c>
    </row>
    <row r="98" spans="1:38" ht="18.75" customHeight="1" x14ac:dyDescent="0.2">
      <c r="A98" s="1273">
        <v>78</v>
      </c>
      <c r="B98" s="241" t="s">
        <v>697</v>
      </c>
      <c r="C98" s="1316" t="s">
        <v>344</v>
      </c>
      <c r="D98" s="241">
        <v>383.1</v>
      </c>
      <c r="E98" s="241" t="s">
        <v>698</v>
      </c>
      <c r="F98" s="241">
        <v>177.8</v>
      </c>
      <c r="G98" s="241" t="s">
        <v>28</v>
      </c>
      <c r="H98" s="1299" t="s">
        <v>800</v>
      </c>
      <c r="I98" s="244">
        <v>206.58</v>
      </c>
      <c r="J98" s="241">
        <v>150</v>
      </c>
      <c r="K98" s="1302"/>
      <c r="L98" s="1277">
        <v>37</v>
      </c>
      <c r="M98" s="1302"/>
      <c r="N98" s="241">
        <v>0.6</v>
      </c>
      <c r="O98" s="1302"/>
      <c r="P98" s="1278">
        <f t="shared" si="49"/>
        <v>16.225105746283187</v>
      </c>
      <c r="Q98" s="1269">
        <f>(7*J98)/100</f>
        <v>10.5</v>
      </c>
      <c r="R98" s="244">
        <v>6.0330000000000004</v>
      </c>
      <c r="S98" s="244">
        <v>8.3130000000000006</v>
      </c>
      <c r="T98" s="1277">
        <v>0</v>
      </c>
      <c r="U98" s="244">
        <f t="shared" si="50"/>
        <v>0</v>
      </c>
      <c r="V98" s="1278">
        <f t="shared" si="51"/>
        <v>27.42692168892097</v>
      </c>
      <c r="W98" s="1279">
        <v>0.2</v>
      </c>
      <c r="X98" s="1410">
        <v>150</v>
      </c>
      <c r="Y98" s="1277">
        <f t="shared" si="56"/>
        <v>79.171428571428578</v>
      </c>
      <c r="Z98" s="244">
        <f t="shared" si="52"/>
        <v>5.960604</v>
      </c>
      <c r="AA98" s="244">
        <f t="shared" si="52"/>
        <v>8.2132440000000013</v>
      </c>
      <c r="AB98" s="244">
        <f t="shared" si="52"/>
        <v>0</v>
      </c>
      <c r="AC98" s="244">
        <f t="shared" si="57"/>
        <v>0</v>
      </c>
      <c r="AD98" s="1278">
        <f t="shared" si="57"/>
        <v>27.42692168892097</v>
      </c>
      <c r="AE98" s="241">
        <f t="shared" si="53"/>
        <v>31</v>
      </c>
      <c r="AF98" s="244">
        <f t="shared" si="54"/>
        <v>184.77872400000001</v>
      </c>
      <c r="AG98" s="1285"/>
      <c r="AI98" s="1282">
        <f t="shared" si="55"/>
        <v>16.225105746283187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79</v>
      </c>
      <c r="B99" s="241" t="s">
        <v>188</v>
      </c>
      <c r="C99" s="1316" t="s">
        <v>344</v>
      </c>
      <c r="D99" s="241">
        <v>224.89</v>
      </c>
      <c r="E99" s="241" t="s">
        <v>385</v>
      </c>
      <c r="F99" s="241">
        <v>177.8</v>
      </c>
      <c r="G99" s="241" t="s">
        <v>28</v>
      </c>
      <c r="H99" s="241" t="s">
        <v>383</v>
      </c>
      <c r="I99" s="244">
        <v>144.54</v>
      </c>
      <c r="J99" s="241"/>
      <c r="K99" s="1302"/>
      <c r="L99" s="241"/>
      <c r="M99" s="1302"/>
      <c r="N99" s="241"/>
      <c r="O99" s="1302"/>
      <c r="P99" s="1278"/>
      <c r="Q99" s="1269"/>
      <c r="R99" s="244"/>
      <c r="S99" s="244"/>
      <c r="T99" s="244"/>
      <c r="U99" s="244"/>
      <c r="V99" s="244"/>
      <c r="W99" s="1355"/>
      <c r="X99" s="1316"/>
      <c r="Y99" s="1277">
        <f t="shared" si="56"/>
        <v>0</v>
      </c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8" ht="18.75" customHeight="1" x14ac:dyDescent="0.2">
      <c r="A100" s="1273">
        <v>80</v>
      </c>
      <c r="B100" s="241" t="s">
        <v>186</v>
      </c>
      <c r="C100" s="1316" t="s">
        <v>346</v>
      </c>
      <c r="D100" s="241">
        <v>349.5</v>
      </c>
      <c r="E100" s="1274" t="s">
        <v>347</v>
      </c>
      <c r="F100" s="241">
        <v>177.8</v>
      </c>
      <c r="G100" s="241" t="s">
        <v>618</v>
      </c>
      <c r="H100" s="1299" t="s">
        <v>466</v>
      </c>
      <c r="I100" s="244">
        <v>9</v>
      </c>
      <c r="J100" s="241"/>
      <c r="K100" s="241"/>
      <c r="L100" s="241"/>
      <c r="M100" s="1302"/>
      <c r="N100" s="241"/>
      <c r="O100" s="1302"/>
      <c r="P100" s="1278"/>
      <c r="Q100" s="1269"/>
      <c r="R100" s="244"/>
      <c r="S100" s="244"/>
      <c r="T100" s="244"/>
      <c r="U100" s="244"/>
      <c r="V100" s="244"/>
      <c r="W100" s="1355"/>
      <c r="X100" s="1316"/>
      <c r="Y100" s="1277">
        <f t="shared" si="56"/>
        <v>0</v>
      </c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81</v>
      </c>
      <c r="B101" s="241" t="s">
        <v>57</v>
      </c>
      <c r="C101" s="1316" t="s">
        <v>346</v>
      </c>
      <c r="D101" s="241">
        <v>376.58</v>
      </c>
      <c r="E101" s="1274" t="s">
        <v>568</v>
      </c>
      <c r="F101" s="241">
        <v>177.8</v>
      </c>
      <c r="G101" s="241" t="s">
        <v>28</v>
      </c>
      <c r="H101" s="1299" t="s">
        <v>466</v>
      </c>
      <c r="I101" s="1771">
        <v>131.13</v>
      </c>
      <c r="J101" s="1448">
        <v>0</v>
      </c>
      <c r="K101" s="241"/>
      <c r="L101" s="241">
        <v>0</v>
      </c>
      <c r="M101" s="241"/>
      <c r="N101" s="1278">
        <v>0</v>
      </c>
      <c r="O101" s="241"/>
      <c r="P101" s="1278">
        <v>15.793855791841201</v>
      </c>
      <c r="Q101" s="1278">
        <f>(32/100)*J101</f>
        <v>0</v>
      </c>
      <c r="R101" s="244"/>
      <c r="S101" s="244">
        <v>0</v>
      </c>
      <c r="T101" s="1277">
        <v>0</v>
      </c>
      <c r="U101" s="1278">
        <f t="shared" ref="U101:U102" si="58">IF(R101=0,0,T101/R101)</f>
        <v>0</v>
      </c>
      <c r="V101" s="1278">
        <v>0.5</v>
      </c>
      <c r="W101" s="1279">
        <v>0.3</v>
      </c>
      <c r="X101" s="1449">
        <v>0</v>
      </c>
      <c r="Y101" s="1277">
        <f t="shared" si="56"/>
        <v>0</v>
      </c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273">
        <v>82</v>
      </c>
      <c r="B102" s="241" t="s">
        <v>184</v>
      </c>
      <c r="C102" s="1316" t="s">
        <v>314</v>
      </c>
      <c r="D102" s="241">
        <v>422.78</v>
      </c>
      <c r="E102" s="1274" t="s">
        <v>573</v>
      </c>
      <c r="F102" s="241">
        <v>177.8</v>
      </c>
      <c r="G102" s="241" t="s">
        <v>28</v>
      </c>
      <c r="H102" s="1299" t="s">
        <v>466</v>
      </c>
      <c r="I102" s="1771">
        <v>209.37</v>
      </c>
      <c r="J102" s="1448">
        <v>0</v>
      </c>
      <c r="K102" s="241"/>
      <c r="L102" s="241">
        <v>0</v>
      </c>
      <c r="M102" s="241"/>
      <c r="N102" s="1278">
        <v>0</v>
      </c>
      <c r="O102" s="241"/>
      <c r="P102" s="1278">
        <v>15.793855791841201</v>
      </c>
      <c r="Q102" s="1278">
        <f>(32/100)*J102</f>
        <v>0</v>
      </c>
      <c r="R102" s="244"/>
      <c r="S102" s="244">
        <v>0</v>
      </c>
      <c r="T102" s="1277">
        <v>0</v>
      </c>
      <c r="U102" s="1278">
        <f t="shared" si="58"/>
        <v>0</v>
      </c>
      <c r="V102" s="1278">
        <v>0.3</v>
      </c>
      <c r="W102" s="1279">
        <v>0.3</v>
      </c>
      <c r="X102" s="1449">
        <v>0</v>
      </c>
      <c r="Y102" s="1277">
        <f t="shared" si="56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347"/>
      <c r="B103" s="1364"/>
      <c r="C103" s="1365"/>
      <c r="D103" s="1365"/>
      <c r="E103" s="1366"/>
      <c r="F103" s="1771"/>
      <c r="G103" s="1769"/>
      <c r="H103" s="1770"/>
      <c r="I103" s="1770"/>
      <c r="J103" s="1771"/>
      <c r="K103" s="1771"/>
      <c r="L103" s="1771"/>
      <c r="M103" s="1771"/>
      <c r="N103" s="1771"/>
      <c r="O103" s="1771"/>
      <c r="P103" s="1269"/>
      <c r="Q103" s="1269"/>
      <c r="R103" s="1348">
        <f>SUM(R93:R98)</f>
        <v>61.765999999999998</v>
      </c>
      <c r="S103" s="1348">
        <f>SUM(S93:S98)</f>
        <v>76.070999999999998</v>
      </c>
      <c r="T103" s="1348">
        <f>SUM(T93:T98)</f>
        <v>0</v>
      </c>
      <c r="U103" s="1348">
        <f>SUM(U93:U98)</f>
        <v>0</v>
      </c>
      <c r="V103" s="1769"/>
      <c r="W103" s="1777"/>
      <c r="X103" s="1410"/>
      <c r="Y103" s="1769"/>
      <c r="Z103" s="1348">
        <f>SUM(Z93:Z100)</f>
        <v>61.024808000000007</v>
      </c>
      <c r="AA103" s="1348">
        <f>SUM(AA93:AA100)</f>
        <v>75.158147999999997</v>
      </c>
      <c r="AB103" s="1348">
        <f>SUM(AB94:AB97)</f>
        <v>0</v>
      </c>
      <c r="AC103" s="1348">
        <v>0</v>
      </c>
      <c r="AD103" s="1769"/>
      <c r="AE103" s="1771"/>
      <c r="AF103" s="1348">
        <f>SUM(AF94:AF100)</f>
        <v>1675.5353680000001</v>
      </c>
      <c r="AG103" s="1368"/>
    </row>
    <row r="104" spans="1:38" ht="18.75" customHeight="1" x14ac:dyDescent="0.2">
      <c r="A104" s="1347"/>
      <c r="B104" s="1370"/>
      <c r="C104" s="1371"/>
      <c r="D104" s="1371"/>
      <c r="E104" s="1262" t="s">
        <v>472</v>
      </c>
      <c r="F104" s="1371"/>
      <c r="G104" s="1769"/>
      <c r="H104" s="1770"/>
      <c r="I104" s="1770"/>
      <c r="J104" s="1771"/>
      <c r="K104" s="1771"/>
      <c r="L104" s="1771"/>
      <c r="M104" s="1771"/>
      <c r="N104" s="1771"/>
      <c r="O104" s="1771"/>
      <c r="P104" s="1269"/>
      <c r="Q104" s="1269"/>
      <c r="R104" s="1771"/>
      <c r="S104" s="1771"/>
      <c r="T104" s="1771"/>
      <c r="U104" s="1769"/>
      <c r="V104" s="1769"/>
      <c r="W104" s="1777"/>
      <c r="X104" s="1410"/>
      <c r="Y104" s="1769"/>
      <c r="Z104" s="1771"/>
      <c r="AA104" s="1771"/>
      <c r="AB104" s="1771"/>
      <c r="AC104" s="1769"/>
      <c r="AD104" s="1769"/>
      <c r="AE104" s="1771"/>
      <c r="AF104" s="1771"/>
      <c r="AG104" s="1768"/>
    </row>
    <row r="105" spans="1:38" ht="18.75" customHeight="1" x14ac:dyDescent="0.2">
      <c r="A105" s="1273">
        <v>83</v>
      </c>
      <c r="B105" s="1317" t="s">
        <v>107</v>
      </c>
      <c r="C105" s="1771" t="s">
        <v>109</v>
      </c>
      <c r="D105" s="1771"/>
      <c r="E105" s="1771"/>
      <c r="F105" s="1771"/>
      <c r="G105" s="1769"/>
      <c r="H105" s="1770"/>
      <c r="I105" s="1770"/>
      <c r="J105" s="1771"/>
      <c r="K105" s="1771"/>
      <c r="L105" s="1771"/>
      <c r="M105" s="1771"/>
      <c r="N105" s="1771"/>
      <c r="O105" s="1771"/>
      <c r="P105" s="1269"/>
      <c r="Q105" s="1269"/>
      <c r="R105" s="1771"/>
      <c r="S105" s="1771"/>
      <c r="T105" s="1771"/>
      <c r="U105" s="1769"/>
      <c r="V105" s="1769"/>
      <c r="W105" s="1777"/>
      <c r="X105" s="1410"/>
      <c r="Y105" s="1769"/>
      <c r="Z105" s="1770"/>
      <c r="AA105" s="1770"/>
      <c r="AB105" s="1771"/>
      <c r="AC105" s="1769"/>
      <c r="AD105" s="1769"/>
      <c r="AE105" s="1373"/>
      <c r="AF105" s="1771"/>
      <c r="AG105" s="1768"/>
    </row>
    <row r="106" spans="1:38" ht="18.75" customHeight="1" x14ac:dyDescent="0.2">
      <c r="A106" s="1273">
        <v>84</v>
      </c>
      <c r="B106" s="1317" t="s">
        <v>108</v>
      </c>
      <c r="C106" s="1771" t="s">
        <v>109</v>
      </c>
      <c r="D106" s="1771"/>
      <c r="E106" s="1771"/>
      <c r="F106" s="1771"/>
      <c r="G106" s="1769"/>
      <c r="H106" s="1770"/>
      <c r="I106" s="1770"/>
      <c r="J106" s="1771"/>
      <c r="K106" s="1771"/>
      <c r="L106" s="1771"/>
      <c r="M106" s="1771"/>
      <c r="N106" s="1771"/>
      <c r="O106" s="1771"/>
      <c r="P106" s="1269"/>
      <c r="Q106" s="1269"/>
      <c r="R106" s="1301"/>
      <c r="S106" s="1771"/>
      <c r="T106" s="1771"/>
      <c r="U106" s="1769"/>
      <c r="V106" s="1769"/>
      <c r="W106" s="1777"/>
      <c r="X106" s="1410"/>
      <c r="Y106" s="1769"/>
      <c r="Z106" s="1770"/>
      <c r="AA106" s="1770"/>
      <c r="AB106" s="1771"/>
      <c r="AC106" s="1769"/>
      <c r="AD106" s="1769"/>
      <c r="AE106" s="1373"/>
      <c r="AF106" s="1771"/>
      <c r="AG106" s="1768"/>
    </row>
    <row r="107" spans="1:38" ht="18.75" customHeight="1" x14ac:dyDescent="0.2">
      <c r="A107" s="1273">
        <v>85</v>
      </c>
      <c r="B107" s="1317" t="s">
        <v>195</v>
      </c>
      <c r="C107" s="1316" t="s">
        <v>484</v>
      </c>
      <c r="D107" s="1771"/>
      <c r="E107" s="1771"/>
      <c r="F107" s="1771"/>
      <c r="G107" s="1769"/>
      <c r="H107" s="1770"/>
      <c r="I107" s="1770"/>
      <c r="J107" s="1771"/>
      <c r="K107" s="1771"/>
      <c r="L107" s="1771"/>
      <c r="M107" s="1771"/>
      <c r="N107" s="1771"/>
      <c r="O107" s="1771"/>
      <c r="P107" s="1269"/>
      <c r="Q107" s="1269"/>
      <c r="R107" s="1771"/>
      <c r="S107" s="1771"/>
      <c r="T107" s="1771"/>
      <c r="U107" s="1769"/>
      <c r="V107" s="1769"/>
      <c r="W107" s="1777"/>
      <c r="X107" s="1410"/>
      <c r="Y107" s="1769"/>
      <c r="Z107" s="1770"/>
      <c r="AA107" s="1770"/>
      <c r="AB107" s="1771"/>
      <c r="AC107" s="1769"/>
      <c r="AD107" s="1769"/>
      <c r="AE107" s="1373"/>
      <c r="AF107" s="1771"/>
      <c r="AG107" s="1285"/>
    </row>
    <row r="108" spans="1:38" ht="18.75" customHeight="1" x14ac:dyDescent="0.2">
      <c r="A108" s="1273">
        <v>86</v>
      </c>
      <c r="B108" s="1317" t="s">
        <v>192</v>
      </c>
      <c r="C108" s="1316" t="s">
        <v>484</v>
      </c>
      <c r="D108" s="1771"/>
      <c r="E108" s="1771"/>
      <c r="F108" s="1771"/>
      <c r="G108" s="1769"/>
      <c r="H108" s="1770"/>
      <c r="I108" s="1770"/>
      <c r="J108" s="1771"/>
      <c r="K108" s="1771"/>
      <c r="L108" s="1771"/>
      <c r="M108" s="1771"/>
      <c r="N108" s="1771"/>
      <c r="O108" s="1771"/>
      <c r="P108" s="1269"/>
      <c r="Q108" s="1269"/>
      <c r="R108" s="1771"/>
      <c r="S108" s="1771"/>
      <c r="T108" s="1771"/>
      <c r="U108" s="1769"/>
      <c r="V108" s="1769"/>
      <c r="W108" s="1777"/>
      <c r="X108" s="1410"/>
      <c r="Y108" s="1769"/>
      <c r="Z108" s="1770"/>
      <c r="AA108" s="1770"/>
      <c r="AB108" s="1771"/>
      <c r="AC108" s="1769"/>
      <c r="AD108" s="1769"/>
      <c r="AE108" s="1373"/>
      <c r="AF108" s="1771"/>
      <c r="AG108" s="1285"/>
    </row>
    <row r="109" spans="1:38" ht="18.75" customHeight="1" x14ac:dyDescent="0.2">
      <c r="A109" s="1273"/>
      <c r="B109" s="1262"/>
      <c r="C109" s="1371"/>
      <c r="D109" s="1371"/>
      <c r="E109" s="1770" t="s">
        <v>278</v>
      </c>
      <c r="F109" s="1371"/>
      <c r="G109" s="1769"/>
      <c r="H109" s="1770"/>
      <c r="I109" s="1770"/>
      <c r="J109" s="1771"/>
      <c r="K109" s="1771"/>
      <c r="L109" s="1771"/>
      <c r="M109" s="1771"/>
      <c r="N109" s="1771"/>
      <c r="O109" s="1771"/>
      <c r="P109" s="1269"/>
      <c r="Q109" s="1269"/>
      <c r="R109" s="1771"/>
      <c r="S109" s="1771"/>
      <c r="T109" s="1771"/>
      <c r="U109" s="1769"/>
      <c r="V109" s="1769"/>
      <c r="W109" s="1777"/>
      <c r="X109" s="1410"/>
      <c r="Y109" s="1769"/>
      <c r="Z109" s="1301"/>
      <c r="AA109" s="1771"/>
      <c r="AB109" s="1771"/>
      <c r="AC109" s="1769"/>
      <c r="AD109" s="1769"/>
      <c r="AE109" s="1771"/>
      <c r="AF109" s="1771"/>
      <c r="AG109" s="1768"/>
    </row>
    <row r="110" spans="1:38" ht="18.75" customHeight="1" x14ac:dyDescent="0.25">
      <c r="A110" s="1273">
        <v>87</v>
      </c>
      <c r="B110" s="1274" t="s">
        <v>181</v>
      </c>
      <c r="C110" s="1374" t="s">
        <v>344</v>
      </c>
      <c r="D110" s="241">
        <v>374.5</v>
      </c>
      <c r="E110" s="241" t="s">
        <v>182</v>
      </c>
      <c r="F110" s="241">
        <v>177.8</v>
      </c>
      <c r="G110" s="241"/>
      <c r="H110" s="241"/>
      <c r="I110" s="1771"/>
      <c r="J110" s="241"/>
      <c r="K110" s="241"/>
      <c r="L110" s="241"/>
      <c r="M110" s="241"/>
      <c r="N110" s="1278"/>
      <c r="O110" s="241"/>
      <c r="P110" s="244"/>
      <c r="Q110" s="1278"/>
      <c r="R110" s="244"/>
      <c r="S110" s="244"/>
      <c r="T110" s="244"/>
      <c r="U110" s="244"/>
      <c r="V110" s="244"/>
      <c r="W110" s="1355"/>
      <c r="X110" s="1316"/>
      <c r="Y110" s="1375"/>
      <c r="Z110" s="244"/>
      <c r="AA110" s="244"/>
      <c r="AB110" s="244"/>
      <c r="AC110" s="244"/>
      <c r="AD110" s="244"/>
      <c r="AE110" s="241"/>
      <c r="AF110" s="244"/>
      <c r="AG110" s="1285"/>
    </row>
    <row r="111" spans="1:38" ht="18.75" customHeight="1" x14ac:dyDescent="0.2">
      <c r="A111" s="1273">
        <v>88</v>
      </c>
      <c r="B111" s="1317" t="s">
        <v>160</v>
      </c>
      <c r="C111" s="241" t="s">
        <v>46</v>
      </c>
      <c r="D111" s="1771">
        <v>625.1</v>
      </c>
      <c r="E111" s="1771" t="s">
        <v>578</v>
      </c>
      <c r="F111" s="241">
        <v>177.8</v>
      </c>
      <c r="G111" s="241"/>
      <c r="H111" s="241"/>
      <c r="I111" s="244"/>
      <c r="J111" s="1771"/>
      <c r="K111" s="1771"/>
      <c r="L111" s="1771"/>
      <c r="M111" s="1771"/>
      <c r="N111" s="1771"/>
      <c r="O111" s="1771"/>
      <c r="P111" s="1269"/>
      <c r="Q111" s="1269"/>
      <c r="R111" s="1771"/>
      <c r="S111" s="1771"/>
      <c r="T111" s="1771"/>
      <c r="U111" s="1769"/>
      <c r="V111" s="1769"/>
      <c r="W111" s="1777"/>
      <c r="X111" s="1410"/>
      <c r="Y111" s="1376"/>
      <c r="Z111" s="1319"/>
      <c r="AA111" s="1771"/>
      <c r="AB111" s="1771"/>
      <c r="AC111" s="1769"/>
      <c r="AD111" s="1771"/>
      <c r="AE111" s="1373"/>
      <c r="AF111" s="1301"/>
      <c r="AG111" s="1285" t="s">
        <v>827</v>
      </c>
    </row>
    <row r="112" spans="1:38" ht="15" x14ac:dyDescent="0.2">
      <c r="A112" s="1359"/>
      <c r="B112" s="241"/>
      <c r="C112" s="241"/>
      <c r="D112" s="241"/>
      <c r="E112" s="1274"/>
      <c r="F112" s="241"/>
      <c r="G112" s="241"/>
      <c r="H112" s="241"/>
      <c r="I112" s="1771"/>
      <c r="J112" s="241"/>
      <c r="K112" s="241"/>
      <c r="L112" s="241"/>
      <c r="M112" s="241"/>
      <c r="N112" s="1278"/>
      <c r="O112" s="241"/>
      <c r="P112" s="244"/>
      <c r="Q112" s="1377"/>
      <c r="R112" s="244"/>
      <c r="S112" s="244"/>
      <c r="T112" s="244"/>
      <c r="U112" s="244"/>
      <c r="V112" s="244"/>
      <c r="W112" s="1355"/>
      <c r="X112" s="1316"/>
      <c r="Y112" s="1375"/>
      <c r="Z112" s="244"/>
      <c r="AA112" s="244"/>
      <c r="AB112" s="244"/>
      <c r="AC112" s="244"/>
      <c r="AD112" s="244"/>
      <c r="AE112" s="241"/>
      <c r="AF112" s="244"/>
      <c r="AG112" s="1285"/>
    </row>
    <row r="113" spans="1:33" ht="15.75" thickBot="1" x14ac:dyDescent="0.25">
      <c r="A113" s="1378"/>
      <c r="B113" s="1773"/>
      <c r="C113" s="1773"/>
      <c r="D113" s="1773"/>
      <c r="E113" s="1774"/>
      <c r="F113" s="1379"/>
      <c r="G113" s="1380"/>
      <c r="H113" s="1380"/>
      <c r="I113" s="1381"/>
      <c r="J113" s="1380"/>
      <c r="K113" s="1379"/>
      <c r="L113" s="1380"/>
      <c r="M113" s="1379"/>
      <c r="N113" s="1383"/>
      <c r="O113" s="1379"/>
      <c r="P113" s="1384"/>
      <c r="Q113" s="1385"/>
      <c r="R113" s="1386">
        <f>R86+R91+R103</f>
        <v>362.3900000000001</v>
      </c>
      <c r="S113" s="1386">
        <f>S86+S91+S103</f>
        <v>766.49499999999989</v>
      </c>
      <c r="T113" s="1387">
        <f>T86+T91+T103</f>
        <v>5930.35</v>
      </c>
      <c r="U113" s="1386">
        <f>T113/R113</f>
        <v>16.364552001986805</v>
      </c>
      <c r="V113" s="1386"/>
      <c r="W113" s="1388"/>
      <c r="X113" s="1456"/>
      <c r="Y113" s="1386"/>
      <c r="Z113" s="1386">
        <f>Z86+Z91+Z103</f>
        <v>405.804284</v>
      </c>
      <c r="AA113" s="1386">
        <f>AA86+AA103+AA91</f>
        <v>926.20305200000007</v>
      </c>
      <c r="AB113" s="1387">
        <f>AB86+AB103+AB91</f>
        <v>6430.4589999999998</v>
      </c>
      <c r="AC113" s="1386">
        <f>AC86+AC103+AC91</f>
        <v>18.650933270749562</v>
      </c>
      <c r="AD113" s="1386"/>
      <c r="AE113" s="1386"/>
      <c r="AF113" s="1390">
        <f>AF86+AF91+AF103</f>
        <v>11060.343744000003</v>
      </c>
      <c r="AG113" s="1391"/>
    </row>
    <row r="114" spans="1:33" ht="15" x14ac:dyDescent="0.2">
      <c r="B114" s="254"/>
      <c r="C114" s="254"/>
      <c r="D114" s="254"/>
      <c r="E114" s="254"/>
      <c r="F114" s="254"/>
      <c r="G114" s="255"/>
      <c r="H114" s="256"/>
      <c r="I114" s="256"/>
      <c r="J114" s="254"/>
      <c r="K114" s="254"/>
      <c r="L114" s="254"/>
      <c r="M114" s="254"/>
      <c r="N114" s="254"/>
      <c r="O114" s="254"/>
      <c r="P114" s="257"/>
      <c r="Q114" s="1393"/>
      <c r="R114" s="254"/>
      <c r="S114" s="254"/>
      <c r="T114" s="254"/>
      <c r="U114" s="255"/>
      <c r="V114" s="255"/>
      <c r="W114" s="255"/>
      <c r="X114" s="254"/>
      <c r="Y114" s="255"/>
      <c r="Z114" s="254"/>
      <c r="AA114" s="254"/>
      <c r="AB114" s="254"/>
      <c r="AC114" s="255"/>
      <c r="AD114" s="255"/>
      <c r="AE114" s="254"/>
      <c r="AF114" s="254"/>
      <c r="AG114" s="256"/>
    </row>
    <row r="115" spans="1:33" ht="15" x14ac:dyDescent="0.2">
      <c r="B115" s="148"/>
      <c r="C115" s="1772"/>
      <c r="D115" s="148"/>
      <c r="E115" s="1394">
        <v>0.95</v>
      </c>
      <c r="F115" s="148"/>
      <c r="G115" s="148" t="s">
        <v>102</v>
      </c>
      <c r="H115" s="1772"/>
      <c r="I115" s="1395"/>
      <c r="J115" s="148"/>
      <c r="K115" s="1983">
        <f>AF113*E115</f>
        <v>10507.326556800002</v>
      </c>
      <c r="L115" s="1984"/>
      <c r="M115" s="1984"/>
      <c r="N115" s="1772" t="s">
        <v>27</v>
      </c>
      <c r="O115" s="254"/>
      <c r="P115" s="257"/>
      <c r="Q115" s="1393"/>
      <c r="R115" s="254"/>
      <c r="S115" s="254"/>
      <c r="T115" s="254"/>
      <c r="U115" s="255"/>
      <c r="V115" s="255"/>
      <c r="W115" s="255"/>
      <c r="X115" s="148"/>
      <c r="Y115" s="255"/>
      <c r="Z115" s="258"/>
      <c r="AA115" s="254"/>
      <c r="AB115" s="254"/>
      <c r="AC115" s="255"/>
      <c r="AD115" s="255"/>
      <c r="AE115" s="254"/>
      <c r="AF115" s="258"/>
      <c r="AG115" s="256"/>
    </row>
    <row r="116" spans="1:33" ht="15" x14ac:dyDescent="0.2">
      <c r="B116" s="148"/>
      <c r="C116" s="1772"/>
      <c r="D116" s="148"/>
      <c r="E116" s="154"/>
      <c r="F116" s="148"/>
      <c r="G116" s="148" t="s">
        <v>733</v>
      </c>
      <c r="H116" s="1772"/>
      <c r="I116" s="1395"/>
      <c r="J116" s="148"/>
      <c r="K116" s="1772"/>
      <c r="L116" s="1397"/>
      <c r="M116" s="148">
        <f>K115*0.8705</f>
        <v>9146.6277676944028</v>
      </c>
      <c r="N116" s="148" t="s">
        <v>734</v>
      </c>
      <c r="O116" s="148"/>
      <c r="P116" s="1398"/>
      <c r="Q116" s="1399"/>
      <c r="R116" s="148"/>
      <c r="S116" s="148"/>
      <c r="T116" s="148"/>
      <c r="U116" s="148"/>
      <c r="V116" s="148"/>
      <c r="W116" s="148"/>
      <c r="X116" s="148"/>
      <c r="Y116" s="1776"/>
      <c r="Z116" s="1776"/>
      <c r="AA116" s="150"/>
      <c r="AB116" s="1776"/>
      <c r="AC116" s="1776"/>
      <c r="AD116" s="1776"/>
      <c r="AE116" s="1776"/>
      <c r="AF116" s="1776"/>
      <c r="AG116" s="1400"/>
    </row>
    <row r="117" spans="1:33" ht="15" x14ac:dyDescent="0.2">
      <c r="B117" s="148"/>
      <c r="C117" s="1772"/>
      <c r="D117" s="148"/>
      <c r="E117" s="154"/>
      <c r="F117" s="148"/>
      <c r="G117" s="148"/>
      <c r="H117" s="1772"/>
      <c r="I117" s="1395"/>
      <c r="J117" s="148"/>
      <c r="K117" s="1772"/>
      <c r="L117" s="1397"/>
      <c r="M117" s="148"/>
      <c r="N117" s="148"/>
      <c r="O117" s="148"/>
      <c r="P117" s="1398"/>
      <c r="Q117" s="1399"/>
      <c r="R117" s="148"/>
      <c r="S117" s="148"/>
      <c r="T117" s="148"/>
      <c r="U117" s="148"/>
      <c r="V117" s="148"/>
      <c r="W117" s="148"/>
      <c r="X117" s="148"/>
      <c r="Y117" s="1776"/>
      <c r="Z117" s="1776"/>
      <c r="AA117" s="1776"/>
      <c r="AB117" s="1776"/>
      <c r="AC117" s="1776"/>
      <c r="AD117" s="1776"/>
      <c r="AE117" s="1776"/>
      <c r="AF117" s="1776"/>
      <c r="AG117" s="1400"/>
    </row>
    <row r="118" spans="1:33" ht="15" x14ac:dyDescent="0.2">
      <c r="B118" s="148"/>
      <c r="C118" s="148"/>
      <c r="D118" s="148"/>
      <c r="E118" s="1401" t="s">
        <v>214</v>
      </c>
      <c r="F118" s="1826" t="s">
        <v>268</v>
      </c>
      <c r="G118" s="1826"/>
      <c r="H118" s="1826"/>
      <c r="I118" s="148"/>
      <c r="J118" s="148"/>
      <c r="K118" s="1772"/>
      <c r="L118" s="1772"/>
      <c r="M118" s="148"/>
      <c r="N118" s="148"/>
      <c r="O118" s="148"/>
      <c r="P118" s="148"/>
      <c r="Q118" s="1399"/>
      <c r="R118" s="148"/>
      <c r="S118" s="148"/>
      <c r="T118" s="148"/>
      <c r="U118" s="148"/>
      <c r="V118" s="148"/>
      <c r="W118" s="148"/>
      <c r="X118" s="148"/>
      <c r="Y118" s="1985" t="s">
        <v>352</v>
      </c>
      <c r="Z118" s="1986"/>
      <c r="AA118" s="1986"/>
      <c r="AB118" s="1986"/>
      <c r="AC118" s="1776" t="s">
        <v>561</v>
      </c>
      <c r="AD118" s="1776"/>
      <c r="AE118" s="1776"/>
      <c r="AF118" s="1776"/>
      <c r="AG118" s="1776"/>
    </row>
    <row r="119" spans="1:33" x14ac:dyDescent="0.2">
      <c r="R119" s="1282"/>
    </row>
    <row r="120" spans="1:33" x14ac:dyDescent="0.2">
      <c r="AA120" s="1282"/>
    </row>
    <row r="122" spans="1:33" x14ac:dyDescent="0.2">
      <c r="E122" s="1267"/>
    </row>
  </sheetData>
  <autoFilter ref="A12:AO90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0">
    <mergeCell ref="H12:X12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  <mergeCell ref="J13:W13"/>
    <mergeCell ref="A14:A16"/>
    <mergeCell ref="B14:B16"/>
    <mergeCell ref="C14:C16"/>
    <mergeCell ref="D14:D16"/>
    <mergeCell ref="E14:E16"/>
    <mergeCell ref="F14:F16"/>
    <mergeCell ref="G14:G16"/>
    <mergeCell ref="H14:W14"/>
    <mergeCell ref="AD15:AD16"/>
    <mergeCell ref="AG15:AG16"/>
    <mergeCell ref="AN15:AN16"/>
    <mergeCell ref="AO15:AO16"/>
    <mergeCell ref="X14:AG14"/>
    <mergeCell ref="Y15:Y16"/>
    <mergeCell ref="K115:M115"/>
    <mergeCell ref="F118:H118"/>
    <mergeCell ref="Y118:AB118"/>
    <mergeCell ref="Z15:AB15"/>
    <mergeCell ref="AC15:AC16"/>
    <mergeCell ref="H15:H16"/>
    <mergeCell ref="K15:L15"/>
    <mergeCell ref="M15:N15"/>
    <mergeCell ref="O15:P15"/>
    <mergeCell ref="R15:T15"/>
    <mergeCell ref="U15:U16"/>
    <mergeCell ref="V15:V16"/>
    <mergeCell ref="W15:W16"/>
  </mergeCells>
  <pageMargins left="7.874015748031496E-2" right="7.874015748031496E-2" top="0" bottom="0" header="0" footer="0"/>
  <pageSetup paperSize="8" scale="60" fitToWidth="2" fitToHeight="2" orientation="landscape" r:id="rId1"/>
  <ignoredErrors>
    <ignoredError sqref="AC83:AD83" formula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2006-8FA9-48B9-8921-F9DCD3584FA5}">
  <dimension ref="A1:AQ122"/>
  <sheetViews>
    <sheetView zoomScale="80" zoomScaleNormal="80" workbookViewId="0">
      <selection sqref="A1:D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6.8554687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2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792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41" ht="74.25" customHeight="1" x14ac:dyDescent="0.2">
      <c r="A2" s="1977" t="s">
        <v>814</v>
      </c>
      <c r="B2" s="1977"/>
      <c r="C2" s="1977"/>
      <c r="D2" s="1977"/>
      <c r="E2" s="1792"/>
      <c r="F2" s="1792"/>
      <c r="G2" s="1781"/>
      <c r="H2" s="1791"/>
      <c r="I2" s="1791"/>
      <c r="J2" s="1791"/>
      <c r="K2" s="1791"/>
      <c r="L2" s="1791"/>
      <c r="M2" s="1791"/>
      <c r="N2" s="1791"/>
      <c r="O2" s="1791"/>
      <c r="P2" s="1791"/>
      <c r="Q2" s="1256"/>
      <c r="R2" s="1792"/>
      <c r="S2" s="1792"/>
      <c r="T2" s="1792"/>
      <c r="U2" s="1792"/>
      <c r="V2" s="1792"/>
      <c r="W2" s="1792"/>
      <c r="X2" s="1791"/>
      <c r="Y2" s="1792"/>
      <c r="Z2" s="1792"/>
      <c r="AA2" s="1792"/>
      <c r="AC2" s="1792"/>
      <c r="AD2" s="1792"/>
      <c r="AE2" s="1792"/>
      <c r="AF2" s="1998" t="s">
        <v>750</v>
      </c>
      <c r="AG2" s="1998"/>
    </row>
    <row r="3" spans="1:41" ht="15.75" x14ac:dyDescent="0.25">
      <c r="A3" s="1408" t="s">
        <v>815</v>
      </c>
      <c r="B3" s="1782"/>
      <c r="C3" s="1782"/>
      <c r="D3" s="1782"/>
      <c r="E3" s="1792"/>
      <c r="F3" s="1792"/>
      <c r="G3" s="1781"/>
      <c r="H3" s="1791"/>
      <c r="I3" s="1791"/>
      <c r="J3" s="1791"/>
      <c r="K3" s="1791"/>
      <c r="L3" s="1791"/>
      <c r="M3" s="1791"/>
      <c r="N3" s="1791"/>
      <c r="O3" s="1791"/>
      <c r="P3" s="1791"/>
      <c r="Q3" s="1256"/>
      <c r="R3" s="1792"/>
      <c r="S3" s="1792"/>
      <c r="T3" s="1792"/>
      <c r="U3" s="1792"/>
      <c r="V3" s="1792"/>
      <c r="W3" s="1792"/>
      <c r="X3" s="1791"/>
      <c r="Y3" s="1792"/>
      <c r="Z3" s="1792"/>
      <c r="AA3" s="1792"/>
      <c r="AB3" s="1792"/>
      <c r="AC3" s="1260"/>
      <c r="AE3" s="1222"/>
      <c r="AF3" s="1791" t="s">
        <v>739</v>
      </c>
      <c r="AG3" s="1494"/>
    </row>
    <row r="4" spans="1:41" ht="15" x14ac:dyDescent="0.25">
      <c r="A4" s="1976"/>
      <c r="B4" s="1976"/>
      <c r="C4" s="1976"/>
      <c r="D4" s="1976"/>
      <c r="E4" s="1783"/>
      <c r="F4" s="1792"/>
      <c r="G4" s="1781"/>
      <c r="H4" s="1781"/>
      <c r="I4" s="1791"/>
      <c r="J4" s="1791"/>
      <c r="K4" s="1791"/>
      <c r="L4" s="1791"/>
      <c r="M4" s="1791"/>
      <c r="N4" s="1791"/>
      <c r="O4" s="1791"/>
      <c r="P4" s="1791"/>
      <c r="Q4" s="1256"/>
      <c r="R4" s="1780"/>
      <c r="S4" s="1780"/>
      <c r="T4" s="1780"/>
      <c r="U4" s="1780"/>
      <c r="V4" s="1780"/>
      <c r="W4" s="1780"/>
      <c r="X4" s="1791"/>
      <c r="Y4" s="1792"/>
      <c r="Z4" s="1792"/>
      <c r="AB4" s="1792"/>
      <c r="AD4" s="1792"/>
      <c r="AE4" s="1258"/>
      <c r="AF4" s="154"/>
      <c r="AG4" s="1495"/>
    </row>
    <row r="5" spans="1:41" ht="27" customHeight="1" x14ac:dyDescent="0.25">
      <c r="A5" s="1976" t="s">
        <v>802</v>
      </c>
      <c r="B5" s="1976"/>
      <c r="C5" s="1976"/>
      <c r="D5" s="1976"/>
      <c r="E5" s="1792"/>
      <c r="F5" s="1792"/>
      <c r="G5" s="1781"/>
      <c r="H5" s="1781"/>
      <c r="I5" s="1792"/>
      <c r="J5" s="1792"/>
      <c r="K5" s="1781"/>
      <c r="L5" s="1781"/>
      <c r="M5" s="1792"/>
      <c r="N5" s="1792"/>
      <c r="O5" s="1792"/>
      <c r="P5" s="149"/>
      <c r="Q5" s="1257"/>
      <c r="R5" s="1792"/>
      <c r="S5" s="1792"/>
      <c r="T5" s="1792"/>
      <c r="U5" s="1792"/>
      <c r="V5" s="1792"/>
      <c r="W5" s="1792"/>
      <c r="X5" s="1792"/>
      <c r="Y5" s="1792"/>
      <c r="Z5" s="1792"/>
      <c r="AA5" s="1792"/>
      <c r="AB5" s="1792"/>
      <c r="AC5" s="1792"/>
      <c r="AD5" s="1792"/>
      <c r="AF5" s="154" t="s">
        <v>803</v>
      </c>
      <c r="AG5" s="1495"/>
    </row>
    <row r="6" spans="1:41" ht="27" customHeight="1" x14ac:dyDescent="0.2">
      <c r="A6" s="1942"/>
      <c r="B6" s="1942"/>
      <c r="C6" s="1942"/>
      <c r="D6" s="1942"/>
      <c r="E6" s="1792"/>
      <c r="F6" s="1792"/>
      <c r="G6" s="1781"/>
      <c r="H6" s="1781"/>
      <c r="I6" s="1792"/>
      <c r="J6" s="1792"/>
      <c r="K6" s="1781"/>
      <c r="L6" s="1781"/>
      <c r="M6" s="1792"/>
      <c r="N6" s="1792"/>
      <c r="O6" s="1792"/>
      <c r="P6" s="149"/>
      <c r="Q6" s="1257"/>
      <c r="R6" s="1792"/>
      <c r="S6" s="1792"/>
      <c r="T6" s="1792"/>
      <c r="U6" s="1792"/>
      <c r="V6" s="1792"/>
      <c r="W6" s="1792"/>
      <c r="X6" s="1792"/>
      <c r="Y6" s="1792"/>
      <c r="Z6" s="1792"/>
      <c r="AA6" s="1792"/>
      <c r="AB6" s="1792"/>
      <c r="AC6" s="1792"/>
      <c r="AD6" s="1792"/>
      <c r="AE6" s="1792"/>
      <c r="AF6" s="1792"/>
    </row>
    <row r="7" spans="1:41" ht="27" customHeight="1" x14ac:dyDescent="0.2">
      <c r="A7" s="1942" t="s">
        <v>54</v>
      </c>
      <c r="B7" s="1942"/>
      <c r="C7" s="1942"/>
      <c r="D7" s="1942"/>
      <c r="E7" s="1792"/>
      <c r="F7" s="1792"/>
      <c r="G7" s="1781"/>
      <c r="H7" s="1781"/>
      <c r="I7" s="1792"/>
      <c r="J7" s="1792"/>
      <c r="K7" s="1781"/>
      <c r="L7" s="1781"/>
      <c r="M7" s="1792"/>
      <c r="N7" s="1792"/>
      <c r="O7" s="1792"/>
      <c r="P7" s="149"/>
      <c r="Q7" s="1257"/>
      <c r="R7" s="1792"/>
      <c r="S7" s="1792"/>
      <c r="T7" s="1792"/>
      <c r="U7" s="1792"/>
      <c r="V7" s="1792"/>
      <c r="W7" s="1792"/>
      <c r="X7" s="1792"/>
      <c r="Y7" s="1792"/>
      <c r="Z7" s="1792"/>
      <c r="AA7" s="1792"/>
      <c r="AB7" s="1792"/>
      <c r="AC7" s="1792"/>
      <c r="AD7" s="1792"/>
      <c r="AE7" s="1792"/>
      <c r="AF7" s="1792"/>
    </row>
    <row r="8" spans="1:41" ht="39" customHeight="1" x14ac:dyDescent="0.2">
      <c r="A8" s="1977" t="s">
        <v>736</v>
      </c>
      <c r="B8" s="1977"/>
      <c r="C8" s="1977"/>
      <c r="D8" s="1977"/>
      <c r="E8" s="1792"/>
      <c r="F8" s="1792"/>
      <c r="G8" s="1781"/>
      <c r="H8" s="1781"/>
      <c r="I8" s="1792"/>
      <c r="J8" s="1792"/>
      <c r="K8" s="1781"/>
      <c r="L8" s="1781"/>
      <c r="M8" s="1792"/>
      <c r="N8" s="1792"/>
      <c r="O8" s="1792"/>
      <c r="P8" s="149"/>
      <c r="Q8" s="1257"/>
      <c r="R8" s="1792"/>
      <c r="S8" s="1792"/>
      <c r="T8" s="1792"/>
      <c r="U8" s="1792"/>
      <c r="V8" s="1792"/>
      <c r="W8" s="1792"/>
      <c r="X8" s="1792"/>
      <c r="Y8" s="1792"/>
      <c r="Z8" s="1792"/>
      <c r="AA8" s="1792"/>
      <c r="AB8" s="1792"/>
      <c r="AC8" s="1792"/>
      <c r="AD8" s="1792"/>
      <c r="AE8" s="1792"/>
      <c r="AF8" s="1792"/>
    </row>
    <row r="9" spans="1:41" ht="27" customHeight="1" x14ac:dyDescent="0.2">
      <c r="A9" s="1408" t="s">
        <v>737</v>
      </c>
      <c r="B9" s="1782"/>
      <c r="C9" s="1782"/>
      <c r="D9" s="1782"/>
      <c r="E9" s="1792"/>
      <c r="F9" s="1792"/>
      <c r="G9" s="1781"/>
      <c r="H9" s="1781"/>
      <c r="I9" s="1792"/>
      <c r="J9" s="1792"/>
      <c r="K9" s="1781"/>
      <c r="L9" s="1781"/>
      <c r="M9" s="1792"/>
      <c r="N9" s="1792"/>
      <c r="O9" s="1792"/>
      <c r="P9" s="149"/>
      <c r="Q9" s="1257"/>
      <c r="R9" s="1792"/>
      <c r="S9" s="1792"/>
      <c r="T9" s="1792"/>
      <c r="U9" s="1792"/>
      <c r="V9" s="1792"/>
      <c r="W9" s="1792"/>
      <c r="X9" s="1792"/>
      <c r="Y9" s="1792"/>
      <c r="Z9" s="1792"/>
      <c r="AA9" s="1792"/>
      <c r="AB9" s="1792"/>
      <c r="AC9" s="1792"/>
      <c r="AD9" s="1792"/>
      <c r="AE9" s="1792"/>
      <c r="AF9" s="1792"/>
    </row>
    <row r="10" spans="1:41" ht="27" customHeight="1" x14ac:dyDescent="0.2">
      <c r="A10" s="1976"/>
      <c r="B10" s="1976"/>
      <c r="C10" s="1976"/>
      <c r="D10" s="1976"/>
      <c r="E10" s="1783"/>
      <c r="F10" s="1792"/>
      <c r="G10" s="1781"/>
      <c r="H10" s="1781"/>
      <c r="I10" s="1792"/>
      <c r="J10" s="1792"/>
      <c r="K10" s="1781"/>
      <c r="L10" s="1781"/>
      <c r="M10" s="1792"/>
      <c r="N10" s="1792"/>
      <c r="O10" s="1792"/>
      <c r="P10" s="149"/>
      <c r="Q10" s="1257"/>
      <c r="R10" s="1792"/>
      <c r="S10" s="1792"/>
      <c r="T10" s="1792"/>
      <c r="U10" s="1792"/>
      <c r="V10" s="1792"/>
      <c r="W10" s="1792"/>
      <c r="X10" s="1792"/>
      <c r="Y10" s="1792"/>
      <c r="Z10" s="1792"/>
      <c r="AA10" s="1792"/>
      <c r="AB10" s="1792"/>
      <c r="AC10" s="1792"/>
      <c r="AD10" s="1792"/>
      <c r="AE10" s="1792"/>
      <c r="AF10" s="1792"/>
    </row>
    <row r="11" spans="1:41" ht="27" customHeight="1" x14ac:dyDescent="0.2">
      <c r="A11" s="1976" t="s">
        <v>802</v>
      </c>
      <c r="B11" s="1976"/>
      <c r="C11" s="1976"/>
      <c r="D11" s="1976"/>
      <c r="E11" s="1792"/>
      <c r="F11" s="1792"/>
      <c r="G11" s="1781"/>
      <c r="H11" s="1781"/>
      <c r="I11" s="1792"/>
      <c r="J11" s="1792"/>
      <c r="K11" s="1781"/>
      <c r="L11" s="1781"/>
      <c r="M11" s="1792"/>
      <c r="N11" s="1792"/>
      <c r="O11" s="1792"/>
      <c r="P11" s="149"/>
      <c r="Q11" s="1257"/>
      <c r="R11" s="1792"/>
      <c r="S11" s="1792"/>
      <c r="T11" s="1792"/>
      <c r="U11" s="1792"/>
      <c r="V11" s="1792"/>
      <c r="W11" s="1792"/>
      <c r="X11" s="1792"/>
      <c r="Y11" s="1792"/>
      <c r="Z11" s="1792"/>
      <c r="AA11" s="1792"/>
      <c r="AB11" s="1792"/>
      <c r="AC11" s="1792"/>
      <c r="AD11" s="1792"/>
      <c r="AE11" s="1792"/>
      <c r="AF11" s="1792"/>
    </row>
    <row r="12" spans="1:41" ht="28.5" customHeight="1" x14ac:dyDescent="0.2">
      <c r="B12" s="1781"/>
      <c r="C12" s="1781"/>
      <c r="D12" s="1781"/>
      <c r="E12" s="1792"/>
      <c r="F12" s="1792"/>
      <c r="G12" s="1781"/>
      <c r="H12" s="1962" t="s">
        <v>65</v>
      </c>
      <c r="I12" s="1963"/>
      <c r="J12" s="1963"/>
      <c r="K12" s="1963"/>
      <c r="L12" s="1963"/>
      <c r="M12" s="1963"/>
      <c r="N12" s="1963"/>
      <c r="O12" s="1963"/>
      <c r="P12" s="1963"/>
      <c r="Q12" s="1963"/>
      <c r="R12" s="1963"/>
      <c r="S12" s="1963"/>
      <c r="T12" s="1963"/>
      <c r="U12" s="1963"/>
      <c r="V12" s="1963"/>
      <c r="W12" s="1963"/>
      <c r="X12" s="1963"/>
      <c r="Y12" s="1792"/>
      <c r="Z12" s="148"/>
      <c r="AA12" s="148"/>
      <c r="AB12" s="148"/>
      <c r="AC12" s="148"/>
    </row>
    <row r="13" spans="1:41" ht="31.5" customHeight="1" thickBot="1" x14ac:dyDescent="0.25">
      <c r="B13" s="1781"/>
      <c r="C13" s="1781"/>
      <c r="D13" s="1781"/>
      <c r="E13" s="1792"/>
      <c r="F13" s="1792"/>
      <c r="G13" s="1781"/>
      <c r="H13" s="1781"/>
      <c r="I13" s="140"/>
      <c r="J13" s="1964" t="s">
        <v>829</v>
      </c>
      <c r="K13" s="1965"/>
      <c r="L13" s="1965"/>
      <c r="M13" s="1965"/>
      <c r="N13" s="1965"/>
      <c r="O13" s="1965"/>
      <c r="P13" s="1965"/>
      <c r="Q13" s="1965"/>
      <c r="R13" s="1965"/>
      <c r="S13" s="1965"/>
      <c r="T13" s="1965"/>
      <c r="U13" s="1965"/>
      <c r="V13" s="1965"/>
      <c r="W13" s="1965"/>
      <c r="X13" s="1792"/>
      <c r="Y13" s="1792"/>
      <c r="Z13" s="148"/>
      <c r="AA13" s="148"/>
      <c r="AB13" s="148"/>
      <c r="AC13" s="148"/>
      <c r="AD13" s="1792"/>
      <c r="AE13" s="1792"/>
      <c r="AF13" s="1792"/>
      <c r="AG13" s="151"/>
    </row>
    <row r="14" spans="1:41" ht="18.75" customHeight="1" x14ac:dyDescent="0.2">
      <c r="A14" s="1969" t="s">
        <v>1</v>
      </c>
      <c r="B14" s="1971" t="s">
        <v>664</v>
      </c>
      <c r="C14" s="1973" t="s">
        <v>8</v>
      </c>
      <c r="D14" s="1992" t="s">
        <v>719</v>
      </c>
      <c r="E14" s="1994" t="s">
        <v>720</v>
      </c>
      <c r="F14" s="1992" t="s">
        <v>721</v>
      </c>
      <c r="G14" s="1973" t="s">
        <v>667</v>
      </c>
      <c r="H14" s="1988" t="s">
        <v>669</v>
      </c>
      <c r="I14" s="1988"/>
      <c r="J14" s="1988"/>
      <c r="K14" s="1988"/>
      <c r="L14" s="1988"/>
      <c r="M14" s="1988"/>
      <c r="N14" s="1988"/>
      <c r="O14" s="1988"/>
      <c r="P14" s="1988"/>
      <c r="Q14" s="1988"/>
      <c r="R14" s="1988"/>
      <c r="S14" s="1988"/>
      <c r="T14" s="1988"/>
      <c r="U14" s="1988"/>
      <c r="V14" s="1988"/>
      <c r="W14" s="1989"/>
      <c r="X14" s="1978" t="s">
        <v>22</v>
      </c>
      <c r="Y14" s="1979"/>
      <c r="Z14" s="1979"/>
      <c r="AA14" s="1979"/>
      <c r="AB14" s="1979"/>
      <c r="AC14" s="1979"/>
      <c r="AD14" s="1979"/>
      <c r="AE14" s="1979"/>
      <c r="AF14" s="1979"/>
      <c r="AG14" s="1980"/>
    </row>
    <row r="15" spans="1:41" ht="168" customHeight="1" x14ac:dyDescent="0.2">
      <c r="A15" s="1970"/>
      <c r="B15" s="1972"/>
      <c r="C15" s="1968"/>
      <c r="D15" s="1993"/>
      <c r="E15" s="1995"/>
      <c r="F15" s="1993"/>
      <c r="G15" s="1968"/>
      <c r="H15" s="1990" t="s">
        <v>668</v>
      </c>
      <c r="I15" s="1262" t="s">
        <v>670</v>
      </c>
      <c r="J15" s="1785" t="s">
        <v>671</v>
      </c>
      <c r="K15" s="1972" t="s">
        <v>672</v>
      </c>
      <c r="L15" s="1972"/>
      <c r="M15" s="1972" t="s">
        <v>10</v>
      </c>
      <c r="N15" s="1972"/>
      <c r="O15" s="1968" t="s">
        <v>11</v>
      </c>
      <c r="P15" s="1968"/>
      <c r="Q15" s="1264" t="s">
        <v>674</v>
      </c>
      <c r="R15" s="1972" t="s">
        <v>15</v>
      </c>
      <c r="S15" s="1975"/>
      <c r="T15" s="1975"/>
      <c r="U15" s="1968" t="s">
        <v>100</v>
      </c>
      <c r="V15" s="1968" t="s">
        <v>16</v>
      </c>
      <c r="W15" s="1987" t="s">
        <v>677</v>
      </c>
      <c r="X15" s="1451" t="s">
        <v>671</v>
      </c>
      <c r="Y15" s="1968" t="s">
        <v>24</v>
      </c>
      <c r="Z15" s="1972" t="s">
        <v>678</v>
      </c>
      <c r="AA15" s="1975"/>
      <c r="AB15" s="1975"/>
      <c r="AC15" s="1968" t="s">
        <v>100</v>
      </c>
      <c r="AD15" s="1968" t="s">
        <v>16</v>
      </c>
      <c r="AE15" s="1785" t="s">
        <v>18</v>
      </c>
      <c r="AF15" s="1785" t="s">
        <v>20</v>
      </c>
      <c r="AG15" s="1967" t="s">
        <v>21</v>
      </c>
      <c r="AH15" s="1267">
        <v>45444</v>
      </c>
      <c r="AN15" s="1966" t="s">
        <v>711</v>
      </c>
      <c r="AO15" s="1966" t="s">
        <v>712</v>
      </c>
    </row>
    <row r="16" spans="1:41" ht="25.5" customHeight="1" x14ac:dyDescent="0.2">
      <c r="A16" s="1970"/>
      <c r="B16" s="1972"/>
      <c r="C16" s="1968"/>
      <c r="D16" s="1991"/>
      <c r="E16" s="1996"/>
      <c r="F16" s="1991"/>
      <c r="G16" s="1968"/>
      <c r="H16" s="1991"/>
      <c r="I16" s="1787" t="s">
        <v>3</v>
      </c>
      <c r="J16" s="1787" t="s">
        <v>7</v>
      </c>
      <c r="K16" s="1787" t="s">
        <v>30</v>
      </c>
      <c r="L16" s="1787" t="s">
        <v>29</v>
      </c>
      <c r="M16" s="1787" t="s">
        <v>31</v>
      </c>
      <c r="N16" s="1787" t="s">
        <v>32</v>
      </c>
      <c r="O16" s="1787" t="s">
        <v>12</v>
      </c>
      <c r="P16" s="1269" t="s">
        <v>673</v>
      </c>
      <c r="Q16" s="1270" t="s">
        <v>26</v>
      </c>
      <c r="R16" s="1787" t="s">
        <v>675</v>
      </c>
      <c r="S16" s="1787" t="s">
        <v>25</v>
      </c>
      <c r="T16" s="1787" t="s">
        <v>676</v>
      </c>
      <c r="U16" s="1968"/>
      <c r="V16" s="1968"/>
      <c r="W16" s="1987"/>
      <c r="X16" s="1410" t="s">
        <v>7</v>
      </c>
      <c r="Y16" s="1968"/>
      <c r="Z16" s="1787" t="s">
        <v>14</v>
      </c>
      <c r="AA16" s="1787" t="s">
        <v>679</v>
      </c>
      <c r="AB16" s="1787" t="s">
        <v>113</v>
      </c>
      <c r="AC16" s="1968"/>
      <c r="AD16" s="1968"/>
      <c r="AE16" s="1787" t="s">
        <v>19</v>
      </c>
      <c r="AF16" s="1787" t="s">
        <v>680</v>
      </c>
      <c r="AG16" s="1967"/>
      <c r="AH16" s="1252" t="s">
        <v>657</v>
      </c>
      <c r="AI16" s="1269" t="s">
        <v>636</v>
      </c>
      <c r="AJ16" s="1269" t="s">
        <v>654</v>
      </c>
      <c r="AK16" s="1269" t="s">
        <v>653</v>
      </c>
      <c r="AL16" s="1269" t="s">
        <v>655</v>
      </c>
      <c r="AM16" s="1272" t="s">
        <v>710</v>
      </c>
      <c r="AN16" s="1966"/>
      <c r="AO16" s="1966"/>
    </row>
    <row r="17" spans="1:41" ht="18.75" customHeight="1" x14ac:dyDescent="0.2">
      <c r="A17" s="1273">
        <v>1</v>
      </c>
      <c r="B17" s="1274" t="s">
        <v>139</v>
      </c>
      <c r="C17" s="241" t="s">
        <v>46</v>
      </c>
      <c r="D17" s="241">
        <v>610.5</v>
      </c>
      <c r="E17" s="241" t="s">
        <v>571</v>
      </c>
      <c r="F17" s="241">
        <v>177.8</v>
      </c>
      <c r="G17" s="241" t="s">
        <v>28</v>
      </c>
      <c r="H17" s="1275" t="s">
        <v>556</v>
      </c>
      <c r="I17" s="1787">
        <v>557.80999999999995</v>
      </c>
      <c r="J17" s="1448">
        <v>210</v>
      </c>
      <c r="K17" s="241"/>
      <c r="L17" s="1277">
        <v>244</v>
      </c>
      <c r="M17" s="241"/>
      <c r="N17" s="1278">
        <v>0.6</v>
      </c>
      <c r="O17" s="241"/>
      <c r="P17" s="1278">
        <f>AI17</f>
        <v>30.915452628701047</v>
      </c>
      <c r="Q17" s="1278">
        <f>LEFT(H17,(FIND("Е",H17,1)-1))*J17/100</f>
        <v>27.3</v>
      </c>
      <c r="R17" s="244">
        <v>1.679</v>
      </c>
      <c r="S17" s="244">
        <v>8.2550000000000008</v>
      </c>
      <c r="T17" s="1277">
        <v>36.5</v>
      </c>
      <c r="U17" s="1278">
        <f t="shared" ref="U17" si="0">IF(R17=0,0,T17/R17)</f>
        <v>21.739130434782609</v>
      </c>
      <c r="V17" s="1278">
        <f>(S17-R17)/S17*100</f>
        <v>79.66081162931556</v>
      </c>
      <c r="W17" s="1279">
        <v>0.2</v>
      </c>
      <c r="X17" s="1449">
        <v>210</v>
      </c>
      <c r="Y17" s="1277">
        <f t="shared" ref="Y17:Y83" si="1">IF(S17=0,0,S17/Q17)*100</f>
        <v>30.238095238095241</v>
      </c>
      <c r="Z17" s="244">
        <f t="shared" ref="Z17" si="2">R17*0.988</f>
        <v>1.658852</v>
      </c>
      <c r="AA17" s="244">
        <f t="shared" ref="AA17" si="3">S17*0.988</f>
        <v>8.1559400000000011</v>
      </c>
      <c r="AB17" s="1277">
        <f t="shared" ref="AB17" si="4">T17*0.988</f>
        <v>36.061999999999998</v>
      </c>
      <c r="AC17" s="244">
        <f t="shared" ref="AC17" si="5">U17</f>
        <v>21.739130434782609</v>
      </c>
      <c r="AD17" s="1277">
        <f t="shared" ref="AD17" si="6">V17</f>
        <v>79.66081162931556</v>
      </c>
      <c r="AE17" s="241">
        <f t="shared" ref="AE17:AE38" si="7">(DAY(EOMONTH($AH$15,0))-AH17)</f>
        <v>30</v>
      </c>
      <c r="AF17" s="244">
        <v>23.381019999999996</v>
      </c>
      <c r="AG17" s="1281"/>
      <c r="AI17" s="1282">
        <f t="shared" ref="AI17:AI82" si="8">(9.81*(AJ17*(100%-(V17/100))+AK17*(V17/100))*(I17-L17)+N17*101.325+9.81*(AL17)*L17)/101.325</f>
        <v>30.915452628701047</v>
      </c>
      <c r="AJ17" s="1252">
        <v>0.91579999999999995</v>
      </c>
      <c r="AK17" s="1252">
        <v>1.018</v>
      </c>
      <c r="AL17" s="1252">
        <v>7.5858300000000007E-4</v>
      </c>
      <c r="AM17" s="1252">
        <f>DAY(EOMONTH($AH$15,0))</f>
        <v>30</v>
      </c>
      <c r="AN17" s="1252">
        <v>39369</v>
      </c>
      <c r="AO17" s="1252">
        <f>COUNTIF(R17:R102, "&lt;200")</f>
        <v>68</v>
      </c>
    </row>
    <row r="18" spans="1:41" ht="18.75" customHeight="1" x14ac:dyDescent="0.2">
      <c r="A18" s="1273">
        <v>2</v>
      </c>
      <c r="B18" s="1274" t="s">
        <v>140</v>
      </c>
      <c r="C18" s="241" t="s">
        <v>46</v>
      </c>
      <c r="D18" s="241">
        <v>623.5</v>
      </c>
      <c r="E18" s="241" t="s">
        <v>585</v>
      </c>
      <c r="F18" s="241">
        <v>177.8</v>
      </c>
      <c r="G18" s="241" t="s">
        <v>28</v>
      </c>
      <c r="H18" s="241" t="s">
        <v>683</v>
      </c>
      <c r="I18" s="1787">
        <v>563.55999999999995</v>
      </c>
      <c r="J18" s="241"/>
      <c r="K18" s="241">
        <v>164</v>
      </c>
      <c r="L18" s="1277"/>
      <c r="M18" s="241">
        <v>1.2</v>
      </c>
      <c r="N18" s="1278"/>
      <c r="O18" s="241"/>
      <c r="P18" s="1278"/>
      <c r="Q18" s="1278"/>
      <c r="R18" s="244"/>
      <c r="S18" s="244"/>
      <c r="T18" s="1277"/>
      <c r="U18" s="1278"/>
      <c r="V18" s="1278"/>
      <c r="W18" s="1279"/>
      <c r="X18" s="1316"/>
      <c r="Y18" s="1277">
        <f t="shared" si="1"/>
        <v>0</v>
      </c>
      <c r="Z18" s="244"/>
      <c r="AA18" s="244"/>
      <c r="AB18" s="1277"/>
      <c r="AC18" s="244"/>
      <c r="AD18" s="1277"/>
      <c r="AE18" s="241"/>
      <c r="AF18" s="244"/>
      <c r="AG18" s="1285" t="s">
        <v>716</v>
      </c>
      <c r="AI18" s="1282">
        <f t="shared" si="8"/>
        <v>49.509818057142851</v>
      </c>
      <c r="AJ18" s="1252">
        <v>0.90739999999999998</v>
      </c>
      <c r="AK18" s="1252">
        <v>1.024</v>
      </c>
      <c r="AL18" s="1252">
        <v>6.9596980000000001E-4</v>
      </c>
    </row>
    <row r="19" spans="1:41" ht="18.75" customHeight="1" x14ac:dyDescent="0.2">
      <c r="A19" s="1273">
        <v>3</v>
      </c>
      <c r="B19" s="1274" t="s">
        <v>141</v>
      </c>
      <c r="C19" s="241" t="s">
        <v>46</v>
      </c>
      <c r="D19" s="241">
        <v>670</v>
      </c>
      <c r="E19" s="241" t="s">
        <v>68</v>
      </c>
      <c r="F19" s="241">
        <v>177.8</v>
      </c>
      <c r="G19" s="241" t="s">
        <v>28</v>
      </c>
      <c r="H19" s="241" t="s">
        <v>763</v>
      </c>
      <c r="I19" s="1787">
        <v>528.5</v>
      </c>
      <c r="J19" s="241">
        <v>145</v>
      </c>
      <c r="K19" s="241"/>
      <c r="L19" s="1277">
        <v>425</v>
      </c>
      <c r="M19" s="241"/>
      <c r="N19" s="1278">
        <v>5.5</v>
      </c>
      <c r="O19" s="241"/>
      <c r="P19" s="1278">
        <f t="shared" ref="P19:P83" si="9">AI19</f>
        <v>15.007287317022074</v>
      </c>
      <c r="Q19" s="1278">
        <f>RIGHT(H19,(FIND("T",H19,1)-0))*J19/100</f>
        <v>29</v>
      </c>
      <c r="R19" s="244">
        <v>8.7520000000000007</v>
      </c>
      <c r="S19" s="244">
        <v>15.7</v>
      </c>
      <c r="T19" s="1277">
        <v>102.5</v>
      </c>
      <c r="U19" s="1278">
        <f t="shared" ref="U19:U35" si="10">IF(R19=0,0,T19/R19)</f>
        <v>11.71160877513711</v>
      </c>
      <c r="V19" s="1278">
        <f t="shared" ref="V19:V51" si="11">(S19-R19)/S19*100</f>
        <v>44.254777070063689</v>
      </c>
      <c r="W19" s="1279">
        <v>0.2</v>
      </c>
      <c r="X19" s="1316">
        <v>145</v>
      </c>
      <c r="Y19" s="1277">
        <f t="shared" si="1"/>
        <v>54.137931034482754</v>
      </c>
      <c r="Z19" s="244">
        <f t="shared" ref="Z19:AB34" si="12">R19*0.988</f>
        <v>8.6469760000000004</v>
      </c>
      <c r="AA19" s="244">
        <f t="shared" si="12"/>
        <v>15.5116</v>
      </c>
      <c r="AB19" s="1277">
        <f t="shared" si="12"/>
        <v>101.27</v>
      </c>
      <c r="AC19" s="244">
        <f t="shared" ref="AC19:AD34" si="13">U19</f>
        <v>11.71160877513711</v>
      </c>
      <c r="AD19" s="1277">
        <f t="shared" si="13"/>
        <v>44.254777070063689</v>
      </c>
      <c r="AE19" s="241">
        <f t="shared" si="7"/>
        <v>30</v>
      </c>
      <c r="AF19" s="244">
        <f t="shared" ref="AF19:AF61" si="14">Z19*AE19</f>
        <v>259.40928000000002</v>
      </c>
      <c r="AG19" s="1281"/>
      <c r="AI19" s="1282">
        <f t="shared" si="8"/>
        <v>15.007287317022074</v>
      </c>
      <c r="AJ19" s="1252">
        <v>0.87370000000000003</v>
      </c>
      <c r="AK19" s="1252">
        <v>1.0349999999999999</v>
      </c>
      <c r="AL19" s="1252">
        <v>8.9946269999999998E-4</v>
      </c>
    </row>
    <row r="20" spans="1:41" ht="18.75" customHeight="1" x14ac:dyDescent="0.2">
      <c r="A20" s="1273">
        <v>4</v>
      </c>
      <c r="B20" s="1274" t="s">
        <v>142</v>
      </c>
      <c r="C20" s="241" t="s">
        <v>46</v>
      </c>
      <c r="D20" s="241">
        <v>656</v>
      </c>
      <c r="E20" s="241" t="s">
        <v>481</v>
      </c>
      <c r="F20" s="241">
        <v>177.8</v>
      </c>
      <c r="G20" s="241" t="s">
        <v>28</v>
      </c>
      <c r="H20" s="241" t="s">
        <v>685</v>
      </c>
      <c r="I20" s="1787">
        <v>544.29999999999995</v>
      </c>
      <c r="J20" s="241">
        <v>195</v>
      </c>
      <c r="K20" s="241"/>
      <c r="L20" s="1277">
        <v>450</v>
      </c>
      <c r="M20" s="241"/>
      <c r="N20" s="1278">
        <v>4.3</v>
      </c>
      <c r="O20" s="241"/>
      <c r="P20" s="1278">
        <f t="shared" si="9"/>
        <v>13.102317049380458</v>
      </c>
      <c r="Q20" s="1278">
        <f t="shared" ref="Q20:Q25" si="15">RIGHT(H20,(FIND("T",H20,1)-0))*J20/100</f>
        <v>27.3</v>
      </c>
      <c r="R20" s="244">
        <v>9.0329999999999995</v>
      </c>
      <c r="S20" s="244">
        <v>19.047999999999998</v>
      </c>
      <c r="T20" s="1277">
        <v>57</v>
      </c>
      <c r="U20" s="1278">
        <f t="shared" si="10"/>
        <v>6.3101959481899703</v>
      </c>
      <c r="V20" s="1278">
        <f t="shared" si="11"/>
        <v>52.577698446031071</v>
      </c>
      <c r="W20" s="1279">
        <v>0.23</v>
      </c>
      <c r="X20" s="1316">
        <v>195</v>
      </c>
      <c r="Y20" s="1277">
        <f t="shared" si="1"/>
        <v>69.772893772893767</v>
      </c>
      <c r="Z20" s="244">
        <f t="shared" si="12"/>
        <v>8.9246039999999986</v>
      </c>
      <c r="AA20" s="244">
        <f t="shared" si="12"/>
        <v>18.819423999999998</v>
      </c>
      <c r="AB20" s="1277">
        <f t="shared" si="12"/>
        <v>56.316000000000003</v>
      </c>
      <c r="AC20" s="244">
        <f t="shared" si="13"/>
        <v>6.3101959481899703</v>
      </c>
      <c r="AD20" s="1277">
        <f t="shared" si="13"/>
        <v>52.577698446031071</v>
      </c>
      <c r="AE20" s="241">
        <f t="shared" si="7"/>
        <v>30</v>
      </c>
      <c r="AF20" s="244">
        <f t="shared" si="14"/>
        <v>267.73811999999998</v>
      </c>
      <c r="AG20" s="1281"/>
      <c r="AI20" s="1282">
        <f t="shared" si="8"/>
        <v>13.102317049380458</v>
      </c>
      <c r="AJ20" s="1252">
        <v>0.89700000000000002</v>
      </c>
      <c r="AK20" s="1252">
        <v>1.018</v>
      </c>
      <c r="AL20" s="1252">
        <v>7.3450100000000003E-4</v>
      </c>
    </row>
    <row r="21" spans="1:41" ht="18.75" customHeight="1" x14ac:dyDescent="0.2">
      <c r="A21" s="1273">
        <v>5</v>
      </c>
      <c r="B21" s="1274" t="s">
        <v>143</v>
      </c>
      <c r="C21" s="241" t="s">
        <v>46</v>
      </c>
      <c r="D21" s="241">
        <v>576.62</v>
      </c>
      <c r="E21" s="241" t="s">
        <v>70</v>
      </c>
      <c r="F21" s="241">
        <v>177.8</v>
      </c>
      <c r="G21" s="241" t="s">
        <v>28</v>
      </c>
      <c r="H21" s="1299" t="s">
        <v>587</v>
      </c>
      <c r="I21" s="1787">
        <v>548.32000000000005</v>
      </c>
      <c r="J21" s="241">
        <v>110</v>
      </c>
      <c r="K21" s="241"/>
      <c r="L21" s="1277">
        <v>419</v>
      </c>
      <c r="M21" s="241"/>
      <c r="N21" s="1278">
        <v>1.5</v>
      </c>
      <c r="O21" s="241"/>
      <c r="P21" s="1278">
        <f t="shared" si="9"/>
        <v>13.290995267529727</v>
      </c>
      <c r="Q21" s="1278">
        <f t="shared" si="15"/>
        <v>15.4</v>
      </c>
      <c r="R21" s="244">
        <v>6.28</v>
      </c>
      <c r="S21" s="244">
        <v>8.5709999999999997</v>
      </c>
      <c r="T21" s="1277">
        <v>46.6</v>
      </c>
      <c r="U21" s="1278">
        <f t="shared" si="10"/>
        <v>7.4203821656050959</v>
      </c>
      <c r="V21" s="1278">
        <f t="shared" si="11"/>
        <v>26.72966981682417</v>
      </c>
      <c r="W21" s="1279">
        <v>0.2</v>
      </c>
      <c r="X21" s="1316">
        <v>110</v>
      </c>
      <c r="Y21" s="1277">
        <f t="shared" si="1"/>
        <v>55.65584415584415</v>
      </c>
      <c r="Z21" s="244">
        <f t="shared" si="12"/>
        <v>6.2046400000000004</v>
      </c>
      <c r="AA21" s="244">
        <f t="shared" si="12"/>
        <v>8.4681479999999993</v>
      </c>
      <c r="AB21" s="1277">
        <f t="shared" si="12"/>
        <v>46.040800000000004</v>
      </c>
      <c r="AC21" s="244">
        <f t="shared" si="13"/>
        <v>7.4203821656050959</v>
      </c>
      <c r="AD21" s="1277">
        <f t="shared" si="13"/>
        <v>26.72966981682417</v>
      </c>
      <c r="AE21" s="241">
        <f t="shared" si="7"/>
        <v>30</v>
      </c>
      <c r="AF21" s="244">
        <f t="shared" si="14"/>
        <v>186.13920000000002</v>
      </c>
      <c r="AG21" s="1281"/>
      <c r="AI21" s="1282">
        <f t="shared" si="8"/>
        <v>13.290995267529727</v>
      </c>
      <c r="AJ21" s="1252">
        <v>0.90959999999999996</v>
      </c>
      <c r="AK21" s="1252">
        <v>1.02</v>
      </c>
      <c r="AL21" s="1252">
        <v>8.1276750000000011E-4</v>
      </c>
      <c r="AN21" s="1252">
        <v>43008</v>
      </c>
    </row>
    <row r="22" spans="1:41" ht="18.75" customHeight="1" x14ac:dyDescent="0.2">
      <c r="A22" s="1273">
        <v>6</v>
      </c>
      <c r="B22" s="1274" t="s">
        <v>144</v>
      </c>
      <c r="C22" s="241" t="s">
        <v>46</v>
      </c>
      <c r="D22" s="241">
        <v>648.48</v>
      </c>
      <c r="E22" s="241" t="s">
        <v>460</v>
      </c>
      <c r="F22" s="241">
        <v>177.8</v>
      </c>
      <c r="G22" s="241" t="s">
        <v>28</v>
      </c>
      <c r="H22" s="1299" t="s">
        <v>587</v>
      </c>
      <c r="I22" s="1787">
        <v>564.33000000000004</v>
      </c>
      <c r="J22" s="241">
        <v>145</v>
      </c>
      <c r="K22" s="241"/>
      <c r="L22" s="1277">
        <v>414</v>
      </c>
      <c r="M22" s="241"/>
      <c r="N22" s="1278">
        <v>1</v>
      </c>
      <c r="O22" s="241"/>
      <c r="P22" s="1278">
        <f t="shared" si="9"/>
        <v>14.845556207371358</v>
      </c>
      <c r="Q22" s="1278">
        <f t="shared" si="15"/>
        <v>20.3</v>
      </c>
      <c r="R22" s="244">
        <v>5.0890000000000004</v>
      </c>
      <c r="S22" s="244">
        <v>6.3680000000000003</v>
      </c>
      <c r="T22" s="1277">
        <v>8</v>
      </c>
      <c r="U22" s="1278">
        <f t="shared" si="10"/>
        <v>1.5720180782078992</v>
      </c>
      <c r="V22" s="1278">
        <f t="shared" si="11"/>
        <v>20.084798994974872</v>
      </c>
      <c r="W22" s="1279">
        <v>0.2</v>
      </c>
      <c r="X22" s="1316">
        <v>145</v>
      </c>
      <c r="Y22" s="1277">
        <f t="shared" si="1"/>
        <v>31.369458128078819</v>
      </c>
      <c r="Z22" s="244">
        <f t="shared" si="12"/>
        <v>5.0279320000000007</v>
      </c>
      <c r="AA22" s="244">
        <f t="shared" si="12"/>
        <v>6.2915840000000003</v>
      </c>
      <c r="AB22" s="1277">
        <f t="shared" si="12"/>
        <v>7.9039999999999999</v>
      </c>
      <c r="AC22" s="244">
        <f t="shared" si="13"/>
        <v>1.5720180782078992</v>
      </c>
      <c r="AD22" s="1277">
        <f t="shared" si="13"/>
        <v>20.084798994974872</v>
      </c>
      <c r="AE22" s="241">
        <f t="shared" si="7"/>
        <v>30</v>
      </c>
      <c r="AF22" s="244">
        <f t="shared" si="14"/>
        <v>150.83796000000001</v>
      </c>
      <c r="AG22" s="1281"/>
      <c r="AI22" s="1282">
        <f t="shared" si="8"/>
        <v>14.845556207371358</v>
      </c>
      <c r="AJ22" s="1252">
        <v>0.92820000000000003</v>
      </c>
      <c r="AK22" s="1252">
        <v>1.028</v>
      </c>
      <c r="AL22" s="1252">
        <v>1.1053638000000001E-3</v>
      </c>
      <c r="AN22" s="1252">
        <f>AN17/AN21</f>
        <v>0.9153878348214286</v>
      </c>
    </row>
    <row r="23" spans="1:41" ht="18.75" customHeight="1" x14ac:dyDescent="0.2">
      <c r="A23" s="1273">
        <v>7</v>
      </c>
      <c r="B23" s="1274" t="s">
        <v>145</v>
      </c>
      <c r="C23" s="241" t="s">
        <v>46</v>
      </c>
      <c r="D23" s="241">
        <v>676.7</v>
      </c>
      <c r="E23" s="241" t="s">
        <v>72</v>
      </c>
      <c r="F23" s="241">
        <v>177.8</v>
      </c>
      <c r="G23" s="241" t="s">
        <v>28</v>
      </c>
      <c r="H23" s="241" t="s">
        <v>588</v>
      </c>
      <c r="I23" s="1787">
        <v>540.01</v>
      </c>
      <c r="J23" s="241">
        <v>120</v>
      </c>
      <c r="K23" s="241"/>
      <c r="L23" s="1277">
        <v>395</v>
      </c>
      <c r="M23" s="241"/>
      <c r="N23" s="1278">
        <v>0.8</v>
      </c>
      <c r="O23" s="241"/>
      <c r="P23" s="1278">
        <f t="shared" si="9"/>
        <v>14.399425756912875</v>
      </c>
      <c r="Q23" s="1278">
        <f t="shared" si="15"/>
        <v>16.8</v>
      </c>
      <c r="R23" s="244">
        <v>3.427</v>
      </c>
      <c r="S23" s="244">
        <v>6.8390000000000004</v>
      </c>
      <c r="T23" s="1277">
        <v>8</v>
      </c>
      <c r="U23" s="1278">
        <f t="shared" si="10"/>
        <v>2.3344032681645754</v>
      </c>
      <c r="V23" s="1278">
        <f t="shared" si="11"/>
        <v>49.890334844275479</v>
      </c>
      <c r="W23" s="1279">
        <v>0.2</v>
      </c>
      <c r="X23" s="1316">
        <v>120</v>
      </c>
      <c r="Y23" s="1277">
        <f t="shared" si="1"/>
        <v>40.708333333333336</v>
      </c>
      <c r="Z23" s="244">
        <f t="shared" si="12"/>
        <v>3.3858760000000001</v>
      </c>
      <c r="AA23" s="244">
        <f t="shared" si="12"/>
        <v>6.7569319999999999</v>
      </c>
      <c r="AB23" s="1277">
        <f t="shared" si="12"/>
        <v>7.9039999999999999</v>
      </c>
      <c r="AC23" s="244">
        <f t="shared" si="13"/>
        <v>2.3344032681645754</v>
      </c>
      <c r="AD23" s="1277">
        <f t="shared" si="13"/>
        <v>49.890334844275479</v>
      </c>
      <c r="AE23" s="241">
        <f t="shared" si="7"/>
        <v>30</v>
      </c>
      <c r="AF23" s="244">
        <f t="shared" si="14"/>
        <v>101.57628</v>
      </c>
      <c r="AG23" s="1281"/>
      <c r="AI23" s="1282">
        <f t="shared" si="8"/>
        <v>14.399425756912875</v>
      </c>
      <c r="AJ23" s="1252">
        <v>0.91279999999999994</v>
      </c>
      <c r="AK23" s="1252">
        <v>1.0209999999999999</v>
      </c>
      <c r="AL23" s="1252">
        <v>6.8874520000000001E-4</v>
      </c>
    </row>
    <row r="24" spans="1:41" ht="18.75" customHeight="1" x14ac:dyDescent="0.2">
      <c r="A24" s="1273">
        <v>8</v>
      </c>
      <c r="B24" s="1274" t="s">
        <v>146</v>
      </c>
      <c r="C24" s="241" t="s">
        <v>46</v>
      </c>
      <c r="D24" s="241">
        <v>567</v>
      </c>
      <c r="E24" s="1300" t="s">
        <v>572</v>
      </c>
      <c r="F24" s="241">
        <v>177.8</v>
      </c>
      <c r="G24" s="241" t="s">
        <v>28</v>
      </c>
      <c r="H24" s="241" t="s">
        <v>717</v>
      </c>
      <c r="I24" s="1301">
        <v>552.25</v>
      </c>
      <c r="J24" s="241">
        <v>145</v>
      </c>
      <c r="K24" s="1302"/>
      <c r="L24" s="1277">
        <v>445</v>
      </c>
      <c r="M24" s="1302"/>
      <c r="N24" s="1278">
        <v>4.5999999999999996</v>
      </c>
      <c r="O24" s="1302"/>
      <c r="P24" s="1278">
        <f t="shared" si="9"/>
        <v>14.885271045866572</v>
      </c>
      <c r="Q24" s="1278">
        <f t="shared" si="15"/>
        <v>29</v>
      </c>
      <c r="R24" s="244">
        <v>4.4820000000000002</v>
      </c>
      <c r="S24" s="244">
        <v>15.038</v>
      </c>
      <c r="T24" s="1277">
        <v>107</v>
      </c>
      <c r="U24" s="1278">
        <f t="shared" si="10"/>
        <v>23.873270861222668</v>
      </c>
      <c r="V24" s="1278">
        <f t="shared" si="11"/>
        <v>70.195504721372529</v>
      </c>
      <c r="W24" s="1279">
        <v>0.2</v>
      </c>
      <c r="X24" s="1316">
        <v>145</v>
      </c>
      <c r="Y24" s="1277">
        <f t="shared" si="1"/>
        <v>51.855172413793106</v>
      </c>
      <c r="Z24" s="244">
        <f t="shared" si="12"/>
        <v>4.4282159999999999</v>
      </c>
      <c r="AA24" s="244">
        <f t="shared" si="12"/>
        <v>14.857544000000001</v>
      </c>
      <c r="AB24" s="1277">
        <f t="shared" si="12"/>
        <v>105.71599999999999</v>
      </c>
      <c r="AC24" s="244">
        <f t="shared" si="13"/>
        <v>23.873270861222668</v>
      </c>
      <c r="AD24" s="1277">
        <f t="shared" si="13"/>
        <v>70.195504721372529</v>
      </c>
      <c r="AE24" s="241">
        <f t="shared" si="7"/>
        <v>30</v>
      </c>
      <c r="AF24" s="244">
        <f t="shared" si="14"/>
        <v>132.84647999999999</v>
      </c>
      <c r="AG24" s="1281"/>
      <c r="AI24" s="1282">
        <f t="shared" si="8"/>
        <v>14.885271045866572</v>
      </c>
      <c r="AJ24" s="1252">
        <v>0.89900000000000002</v>
      </c>
      <c r="AK24" s="1252">
        <v>1.024</v>
      </c>
      <c r="AL24" s="1252">
        <v>9.1150370000000005E-4</v>
      </c>
    </row>
    <row r="25" spans="1:41" ht="18.75" customHeight="1" x14ac:dyDescent="0.2">
      <c r="A25" s="1273">
        <v>9</v>
      </c>
      <c r="B25" s="1274" t="s">
        <v>147</v>
      </c>
      <c r="C25" s="241" t="s">
        <v>46</v>
      </c>
      <c r="D25" s="241">
        <v>650.1</v>
      </c>
      <c r="E25" s="241" t="s">
        <v>74</v>
      </c>
      <c r="F25" s="241">
        <v>177.8</v>
      </c>
      <c r="G25" s="241" t="s">
        <v>28</v>
      </c>
      <c r="H25" s="241" t="s">
        <v>793</v>
      </c>
      <c r="I25" s="1787">
        <v>547.62</v>
      </c>
      <c r="J25" s="241">
        <v>135</v>
      </c>
      <c r="K25" s="241"/>
      <c r="L25" s="1277">
        <v>382</v>
      </c>
      <c r="M25" s="241"/>
      <c r="N25" s="1278">
        <v>1.7</v>
      </c>
      <c r="O25" s="241"/>
      <c r="P25" s="1278">
        <f t="shared" si="9"/>
        <v>17.201043603636222</v>
      </c>
      <c r="Q25" s="1278">
        <f t="shared" si="15"/>
        <v>18.899999999999999</v>
      </c>
      <c r="R25" s="244">
        <v>7.4039999999999999</v>
      </c>
      <c r="S25" s="244">
        <v>15.462999999999999</v>
      </c>
      <c r="T25" s="1277">
        <v>30.2</v>
      </c>
      <c r="U25" s="1278">
        <f t="shared" si="10"/>
        <v>4.0788762830902217</v>
      </c>
      <c r="V25" s="1278">
        <f t="shared" si="11"/>
        <v>52.117958998900605</v>
      </c>
      <c r="W25" s="1279">
        <v>0.2</v>
      </c>
      <c r="X25" s="1316">
        <v>135</v>
      </c>
      <c r="Y25" s="1277">
        <f t="shared" si="1"/>
        <v>81.814814814814824</v>
      </c>
      <c r="Z25" s="244">
        <f t="shared" si="12"/>
        <v>7.3151519999999994</v>
      </c>
      <c r="AA25" s="244">
        <f t="shared" si="12"/>
        <v>15.277443999999999</v>
      </c>
      <c r="AB25" s="1277">
        <f t="shared" si="12"/>
        <v>29.837599999999998</v>
      </c>
      <c r="AC25" s="244">
        <f t="shared" si="13"/>
        <v>4.0788762830902217</v>
      </c>
      <c r="AD25" s="1277">
        <f t="shared" si="13"/>
        <v>52.117958998900605</v>
      </c>
      <c r="AE25" s="241">
        <f t="shared" si="7"/>
        <v>30</v>
      </c>
      <c r="AF25" s="244">
        <f t="shared" si="14"/>
        <v>219.45455999999999</v>
      </c>
      <c r="AG25" s="1281"/>
      <c r="AI25" s="1282">
        <f t="shared" si="8"/>
        <v>17.201043603636222</v>
      </c>
      <c r="AJ25" s="1252">
        <v>0.90369999999999995</v>
      </c>
      <c r="AK25" s="1252">
        <v>1.0209999999999999</v>
      </c>
      <c r="AL25" s="1252">
        <v>8.1276750000000011E-4</v>
      </c>
    </row>
    <row r="26" spans="1:41" ht="18" customHeight="1" x14ac:dyDescent="0.2">
      <c r="A26" s="1273">
        <v>10</v>
      </c>
      <c r="B26" s="1274" t="s">
        <v>148</v>
      </c>
      <c r="C26" s="241" t="s">
        <v>46</v>
      </c>
      <c r="D26" s="241">
        <v>640.20000000000005</v>
      </c>
      <c r="E26" s="241" t="s">
        <v>398</v>
      </c>
      <c r="F26" s="241">
        <v>177.8</v>
      </c>
      <c r="G26" s="241" t="s">
        <v>28</v>
      </c>
      <c r="H26" s="1404" t="s">
        <v>753</v>
      </c>
      <c r="I26" s="1787">
        <v>566.99</v>
      </c>
      <c r="J26" s="1448">
        <v>85</v>
      </c>
      <c r="K26" s="241"/>
      <c r="L26" s="1277">
        <v>295</v>
      </c>
      <c r="M26" s="241"/>
      <c r="N26" s="1278">
        <v>0.1</v>
      </c>
      <c r="O26" s="241"/>
      <c r="P26" s="1278">
        <f t="shared" si="9"/>
        <v>25.812813700464975</v>
      </c>
      <c r="Q26" s="1278">
        <f>J26*14/100</f>
        <v>11.9</v>
      </c>
      <c r="R26" s="244">
        <v>4.6509999999999998</v>
      </c>
      <c r="S26" s="244">
        <v>10.141</v>
      </c>
      <c r="T26" s="1277">
        <v>18</v>
      </c>
      <c r="U26" s="1278">
        <f t="shared" si="10"/>
        <v>3.8701354547409159</v>
      </c>
      <c r="V26" s="1278">
        <f t="shared" si="11"/>
        <v>54.136672911941631</v>
      </c>
      <c r="W26" s="1279">
        <v>0.2</v>
      </c>
      <c r="X26" s="1449">
        <v>85</v>
      </c>
      <c r="Y26" s="1277">
        <f t="shared" si="1"/>
        <v>85.218487394957975</v>
      </c>
      <c r="Z26" s="244">
        <f t="shared" si="12"/>
        <v>4.5951879999999994</v>
      </c>
      <c r="AA26" s="244">
        <f t="shared" si="12"/>
        <v>10.019308000000001</v>
      </c>
      <c r="AB26" s="1277">
        <f t="shared" si="12"/>
        <v>17.783999999999999</v>
      </c>
      <c r="AC26" s="244">
        <f t="shared" si="13"/>
        <v>3.8701354547409159</v>
      </c>
      <c r="AD26" s="1277">
        <f t="shared" si="13"/>
        <v>54.136672911941631</v>
      </c>
      <c r="AE26" s="241">
        <f t="shared" si="7"/>
        <v>30</v>
      </c>
      <c r="AF26" s="244">
        <f t="shared" si="14"/>
        <v>137.85563999999999</v>
      </c>
      <c r="AG26" s="1281"/>
      <c r="AI26" s="1282">
        <f t="shared" si="8"/>
        <v>25.812813700464975</v>
      </c>
      <c r="AJ26" s="1252">
        <v>0.91020000000000001</v>
      </c>
      <c r="AK26" s="1252">
        <v>1.0309999999999999</v>
      </c>
      <c r="AL26" s="1252">
        <v>7.7447712000000004E-4</v>
      </c>
    </row>
    <row r="27" spans="1:41" ht="18.75" customHeight="1" x14ac:dyDescent="0.2">
      <c r="A27" s="1273">
        <v>11</v>
      </c>
      <c r="B27" s="1274" t="s">
        <v>149</v>
      </c>
      <c r="C27" s="241" t="s">
        <v>46</v>
      </c>
      <c r="D27" s="241">
        <v>606.29999999999995</v>
      </c>
      <c r="E27" s="241" t="s">
        <v>76</v>
      </c>
      <c r="F27" s="241">
        <v>177.8</v>
      </c>
      <c r="G27" s="241" t="s">
        <v>28</v>
      </c>
      <c r="H27" s="1299" t="s">
        <v>800</v>
      </c>
      <c r="I27" s="1787">
        <v>594.42999999999995</v>
      </c>
      <c r="J27" s="241">
        <v>100</v>
      </c>
      <c r="K27" s="241"/>
      <c r="L27" s="1277">
        <v>428</v>
      </c>
      <c r="M27" s="241"/>
      <c r="N27" s="1278">
        <v>5.25</v>
      </c>
      <c r="O27" s="241"/>
      <c r="P27" s="1278">
        <f t="shared" si="9"/>
        <v>21.329535773646086</v>
      </c>
      <c r="Q27" s="1278">
        <f>(7/100)*J27</f>
        <v>7.0000000000000009</v>
      </c>
      <c r="R27" s="244">
        <v>2.742</v>
      </c>
      <c r="S27" s="244">
        <v>6.97</v>
      </c>
      <c r="T27" s="1277">
        <v>50</v>
      </c>
      <c r="U27" s="1278">
        <f t="shared" si="10"/>
        <v>18.234865061998541</v>
      </c>
      <c r="V27" s="1278">
        <f t="shared" si="11"/>
        <v>60.659971305595406</v>
      </c>
      <c r="W27" s="1279">
        <v>0.27</v>
      </c>
      <c r="X27" s="1316">
        <v>100</v>
      </c>
      <c r="Y27" s="1277">
        <f t="shared" si="1"/>
        <v>99.571428571428555</v>
      </c>
      <c r="Z27" s="244">
        <f t="shared" si="12"/>
        <v>2.7090960000000002</v>
      </c>
      <c r="AA27" s="244">
        <f t="shared" si="12"/>
        <v>6.8863599999999998</v>
      </c>
      <c r="AB27" s="1277">
        <f t="shared" si="12"/>
        <v>49.4</v>
      </c>
      <c r="AC27" s="244">
        <f t="shared" si="13"/>
        <v>18.234865061998541</v>
      </c>
      <c r="AD27" s="1277">
        <f t="shared" si="13"/>
        <v>60.659971305595406</v>
      </c>
      <c r="AE27" s="241">
        <f t="shared" si="7"/>
        <v>30</v>
      </c>
      <c r="AF27" s="244">
        <f t="shared" si="14"/>
        <v>81.272880000000001</v>
      </c>
      <c r="AG27" s="1281"/>
      <c r="AI27" s="1282">
        <f t="shared" si="8"/>
        <v>21.329535773646086</v>
      </c>
      <c r="AJ27" s="1252">
        <v>0.91900000000000004</v>
      </c>
      <c r="AK27" s="1252">
        <v>1.0449999999999999</v>
      </c>
      <c r="AL27" s="1252">
        <v>9.6207590000000004E-4</v>
      </c>
    </row>
    <row r="28" spans="1:41" ht="18.75" customHeight="1" x14ac:dyDescent="0.2">
      <c r="A28" s="1273">
        <v>12</v>
      </c>
      <c r="B28" s="1274" t="s">
        <v>151</v>
      </c>
      <c r="C28" s="241" t="s">
        <v>46</v>
      </c>
      <c r="D28" s="241">
        <v>675.42</v>
      </c>
      <c r="E28" s="1787" t="s">
        <v>298</v>
      </c>
      <c r="F28" s="241">
        <v>177.8</v>
      </c>
      <c r="G28" s="241" t="s">
        <v>28</v>
      </c>
      <c r="H28" s="1299" t="s">
        <v>687</v>
      </c>
      <c r="I28" s="1787">
        <v>558.21</v>
      </c>
      <c r="J28" s="1448">
        <v>105</v>
      </c>
      <c r="K28" s="241"/>
      <c r="L28" s="1277">
        <v>259</v>
      </c>
      <c r="M28" s="241"/>
      <c r="N28" s="1278">
        <v>3.8</v>
      </c>
      <c r="O28" s="241"/>
      <c r="P28" s="1278">
        <f t="shared" si="9"/>
        <v>32.746834531908071</v>
      </c>
      <c r="Q28" s="1278">
        <f>20*J28/100</f>
        <v>21</v>
      </c>
      <c r="R28" s="244">
        <v>1.5680000000000001</v>
      </c>
      <c r="S28" s="244">
        <v>9.5559999999999992</v>
      </c>
      <c r="T28" s="1277">
        <v>4</v>
      </c>
      <c r="U28" s="1278">
        <f t="shared" si="10"/>
        <v>2.5510204081632653</v>
      </c>
      <c r="V28" s="1278">
        <f t="shared" si="11"/>
        <v>83.591460862285487</v>
      </c>
      <c r="W28" s="1279">
        <v>0.3</v>
      </c>
      <c r="X28" s="1449">
        <v>105</v>
      </c>
      <c r="Y28" s="1277">
        <f t="shared" si="1"/>
        <v>45.504761904761907</v>
      </c>
      <c r="Z28" s="244">
        <f t="shared" si="12"/>
        <v>1.5491840000000001</v>
      </c>
      <c r="AA28" s="244">
        <f t="shared" si="12"/>
        <v>9.4413279999999986</v>
      </c>
      <c r="AB28" s="1277">
        <f t="shared" si="12"/>
        <v>3.952</v>
      </c>
      <c r="AC28" s="244">
        <f t="shared" si="13"/>
        <v>2.5510204081632653</v>
      </c>
      <c r="AD28" s="1277">
        <f t="shared" si="13"/>
        <v>83.591460862285487</v>
      </c>
      <c r="AE28" s="241">
        <f t="shared" si="7"/>
        <v>30</v>
      </c>
      <c r="AF28" s="244">
        <f>Z28*AE28</f>
        <v>46.475520000000003</v>
      </c>
      <c r="AG28" s="1281"/>
      <c r="AI28" s="1282">
        <f t="shared" si="8"/>
        <v>32.746834531908071</v>
      </c>
      <c r="AJ28" s="1252">
        <v>0.92</v>
      </c>
      <c r="AK28" s="1252">
        <v>1.014</v>
      </c>
      <c r="AL28" s="1252">
        <v>7.7447712000000004E-4</v>
      </c>
    </row>
    <row r="29" spans="1:41" ht="18.75" customHeight="1" x14ac:dyDescent="0.2">
      <c r="A29" s="1273">
        <v>13</v>
      </c>
      <c r="B29" s="1274" t="s">
        <v>36</v>
      </c>
      <c r="C29" s="241" t="s">
        <v>46</v>
      </c>
      <c r="D29" s="241">
        <v>584.42999999999995</v>
      </c>
      <c r="E29" s="1787" t="s">
        <v>79</v>
      </c>
      <c r="F29" s="241">
        <v>177.8</v>
      </c>
      <c r="G29" s="241" t="s">
        <v>28</v>
      </c>
      <c r="H29" s="1299" t="s">
        <v>565</v>
      </c>
      <c r="I29" s="1787">
        <v>526.29</v>
      </c>
      <c r="J29" s="1448">
        <v>315</v>
      </c>
      <c r="K29" s="241"/>
      <c r="L29" s="1277">
        <v>335</v>
      </c>
      <c r="M29" s="241"/>
      <c r="N29" s="1278">
        <v>1.8</v>
      </c>
      <c r="O29" s="241"/>
      <c r="P29" s="1278">
        <f t="shared" si="9"/>
        <v>20.110552555196954</v>
      </c>
      <c r="Q29" s="1278">
        <f>LEFT(H29,(FIND("E",H29,1)-1))*J29/100</f>
        <v>100.8</v>
      </c>
      <c r="R29" s="244">
        <v>15.087999999999999</v>
      </c>
      <c r="S29" s="244">
        <v>53.847000000000001</v>
      </c>
      <c r="T29" s="1277">
        <v>724</v>
      </c>
      <c r="U29" s="1278">
        <f t="shared" si="10"/>
        <v>47.985153764581128</v>
      </c>
      <c r="V29" s="1278">
        <f t="shared" si="11"/>
        <v>71.979868887774629</v>
      </c>
      <c r="W29" s="1279">
        <v>0.2</v>
      </c>
      <c r="X29" s="1449">
        <v>315</v>
      </c>
      <c r="Y29" s="1277">
        <f t="shared" si="1"/>
        <v>53.419642857142854</v>
      </c>
      <c r="Z29" s="244">
        <f t="shared" si="12"/>
        <v>14.906943999999999</v>
      </c>
      <c r="AA29" s="244">
        <f t="shared" si="12"/>
        <v>53.200836000000002</v>
      </c>
      <c r="AB29" s="1277">
        <f t="shared" si="12"/>
        <v>715.31200000000001</v>
      </c>
      <c r="AC29" s="244">
        <f t="shared" si="13"/>
        <v>47.985153764581128</v>
      </c>
      <c r="AD29" s="1277">
        <f t="shared" si="13"/>
        <v>71.979868887774629</v>
      </c>
      <c r="AE29" s="241">
        <f t="shared" si="7"/>
        <v>30</v>
      </c>
      <c r="AF29" s="244">
        <f>Z29*AE29</f>
        <v>447.20831999999996</v>
      </c>
      <c r="AG29" s="1281"/>
      <c r="AI29" s="1282">
        <f t="shared" si="8"/>
        <v>20.110552555196954</v>
      </c>
      <c r="AJ29" s="1252">
        <v>0.89029999999999998</v>
      </c>
      <c r="AK29" s="1252">
        <v>1.0249999999999999</v>
      </c>
      <c r="AL29" s="1252">
        <v>8.1397160000000013E-4</v>
      </c>
    </row>
    <row r="30" spans="1:41" ht="18.75" customHeight="1" x14ac:dyDescent="0.2">
      <c r="A30" s="1273">
        <v>14</v>
      </c>
      <c r="B30" s="1274" t="s">
        <v>152</v>
      </c>
      <c r="C30" s="241" t="s">
        <v>46</v>
      </c>
      <c r="D30" s="241">
        <v>564.97999999999979</v>
      </c>
      <c r="E30" s="1787" t="s">
        <v>80</v>
      </c>
      <c r="F30" s="241">
        <v>177.8</v>
      </c>
      <c r="G30" s="241" t="s">
        <v>28</v>
      </c>
      <c r="H30" s="241" t="s">
        <v>684</v>
      </c>
      <c r="I30" s="1301">
        <v>519.13</v>
      </c>
      <c r="J30" s="241">
        <v>110</v>
      </c>
      <c r="K30" s="241"/>
      <c r="L30" s="1277">
        <v>382</v>
      </c>
      <c r="M30" s="241"/>
      <c r="N30" s="1278">
        <v>6</v>
      </c>
      <c r="O30" s="241"/>
      <c r="P30" s="1278">
        <f t="shared" si="9"/>
        <v>18.625048235042922</v>
      </c>
      <c r="Q30" s="1278">
        <f>32*J30/100</f>
        <v>35.200000000000003</v>
      </c>
      <c r="R30" s="244">
        <v>13.272</v>
      </c>
      <c r="S30" s="244">
        <v>24.693999999999999</v>
      </c>
      <c r="T30" s="1277">
        <v>230</v>
      </c>
      <c r="U30" s="1278">
        <f t="shared" si="10"/>
        <v>17.329716696805303</v>
      </c>
      <c r="V30" s="1278">
        <f t="shared" si="11"/>
        <v>46.254150805863773</v>
      </c>
      <c r="W30" s="1279">
        <v>0.2</v>
      </c>
      <c r="X30" s="1316">
        <v>110</v>
      </c>
      <c r="Y30" s="1277">
        <f t="shared" si="1"/>
        <v>70.153409090909079</v>
      </c>
      <c r="Z30" s="244">
        <f t="shared" si="12"/>
        <v>13.112736</v>
      </c>
      <c r="AA30" s="244">
        <f t="shared" si="12"/>
        <v>24.397672</v>
      </c>
      <c r="AB30" s="1277">
        <f t="shared" si="12"/>
        <v>227.24</v>
      </c>
      <c r="AC30" s="244">
        <f t="shared" si="13"/>
        <v>17.329716696805303</v>
      </c>
      <c r="AD30" s="1277">
        <f t="shared" si="13"/>
        <v>46.254150805863773</v>
      </c>
      <c r="AE30" s="241">
        <f t="shared" si="7"/>
        <v>30</v>
      </c>
      <c r="AF30" s="244">
        <f t="shared" si="14"/>
        <v>393.38207999999997</v>
      </c>
      <c r="AG30" s="1281"/>
      <c r="AI30" s="1282">
        <f t="shared" si="8"/>
        <v>18.625048235042922</v>
      </c>
      <c r="AJ30" s="1252">
        <v>0.88080000000000003</v>
      </c>
      <c r="AK30" s="1252">
        <v>1.0269999999999999</v>
      </c>
      <c r="AL30" s="1252">
        <v>8.9946269999999998E-4</v>
      </c>
    </row>
    <row r="31" spans="1:41" ht="18.75" customHeight="1" x14ac:dyDescent="0.2">
      <c r="A31" s="1273">
        <v>15</v>
      </c>
      <c r="B31" s="1274" t="s">
        <v>37</v>
      </c>
      <c r="C31" s="241" t="s">
        <v>46</v>
      </c>
      <c r="D31" s="241">
        <v>670</v>
      </c>
      <c r="E31" s="241" t="s">
        <v>81</v>
      </c>
      <c r="F31" s="241">
        <v>177.8</v>
      </c>
      <c r="G31" s="241" t="s">
        <v>28</v>
      </c>
      <c r="H31" s="1299" t="s">
        <v>48</v>
      </c>
      <c r="I31" s="1787">
        <v>569.99</v>
      </c>
      <c r="J31" s="1448">
        <v>260</v>
      </c>
      <c r="K31" s="241"/>
      <c r="L31" s="1277">
        <v>395</v>
      </c>
      <c r="M31" s="241"/>
      <c r="N31" s="1278">
        <v>4</v>
      </c>
      <c r="O31" s="241"/>
      <c r="P31" s="1278">
        <f t="shared" si="9"/>
        <v>20.820120328979588</v>
      </c>
      <c r="Q31" s="1278">
        <f>LEFT(H31,(FIND("K",H31,1)-1))*J31/100</f>
        <v>33.799999999999997</v>
      </c>
      <c r="R31" s="244">
        <v>5.8579999999999997</v>
      </c>
      <c r="S31" s="244">
        <v>18.666</v>
      </c>
      <c r="T31" s="1277">
        <v>72.3</v>
      </c>
      <c r="U31" s="1278">
        <f t="shared" si="10"/>
        <v>12.342096278593377</v>
      </c>
      <c r="V31" s="1278">
        <f t="shared" si="11"/>
        <v>68.616736312011142</v>
      </c>
      <c r="W31" s="1279">
        <v>0.2</v>
      </c>
      <c r="X31" s="1449">
        <v>260</v>
      </c>
      <c r="Y31" s="1277">
        <f t="shared" si="1"/>
        <v>55.224852071005927</v>
      </c>
      <c r="Z31" s="244">
        <f t="shared" si="12"/>
        <v>5.7877039999999997</v>
      </c>
      <c r="AA31" s="244">
        <f t="shared" si="12"/>
        <v>18.442008000000001</v>
      </c>
      <c r="AB31" s="1277">
        <f t="shared" si="12"/>
        <v>71.432400000000001</v>
      </c>
      <c r="AC31" s="244">
        <f t="shared" si="13"/>
        <v>12.342096278593377</v>
      </c>
      <c r="AD31" s="1277">
        <f t="shared" si="13"/>
        <v>68.616736312011142</v>
      </c>
      <c r="AE31" s="241">
        <f t="shared" si="7"/>
        <v>30</v>
      </c>
      <c r="AF31" s="244">
        <f>Z31*AE31</f>
        <v>173.63111999999998</v>
      </c>
      <c r="AG31" s="1285"/>
      <c r="AI31" s="1282">
        <f t="shared" si="8"/>
        <v>20.820120328979588</v>
      </c>
      <c r="AJ31" s="1252">
        <v>0.9194</v>
      </c>
      <c r="AK31" s="1252">
        <v>1.024</v>
      </c>
      <c r="AL31" s="1252">
        <v>7.2245999999999996E-4</v>
      </c>
    </row>
    <row r="32" spans="1:41" ht="18.75" customHeight="1" x14ac:dyDescent="0.2">
      <c r="A32" s="1273">
        <v>16</v>
      </c>
      <c r="B32" s="1274" t="s">
        <v>153</v>
      </c>
      <c r="C32" s="1274" t="s">
        <v>46</v>
      </c>
      <c r="D32" s="1274">
        <v>574.61</v>
      </c>
      <c r="E32" s="1274" t="s">
        <v>688</v>
      </c>
      <c r="F32" s="1274">
        <v>177.8</v>
      </c>
      <c r="G32" s="1274" t="s">
        <v>28</v>
      </c>
      <c r="H32" s="1299" t="s">
        <v>540</v>
      </c>
      <c r="I32" s="1274">
        <v>541.78</v>
      </c>
      <c r="J32" s="1274">
        <v>0</v>
      </c>
      <c r="K32" s="1274"/>
      <c r="L32" s="1305"/>
      <c r="M32" s="1274"/>
      <c r="N32" s="1306"/>
      <c r="O32" s="1274"/>
      <c r="P32" s="1278" t="e">
        <f t="shared" si="9"/>
        <v>#DIV/0!</v>
      </c>
      <c r="Q32" s="1278">
        <f>22*J32/100</f>
        <v>0</v>
      </c>
      <c r="R32" s="1307">
        <v>0</v>
      </c>
      <c r="S32" s="244">
        <v>0</v>
      </c>
      <c r="T32" s="1305">
        <v>0</v>
      </c>
      <c r="U32" s="1278">
        <f t="shared" si="10"/>
        <v>0</v>
      </c>
      <c r="V32" s="1278" t="e">
        <f t="shared" si="11"/>
        <v>#DIV/0!</v>
      </c>
      <c r="W32" s="1308">
        <v>0</v>
      </c>
      <c r="X32" s="1410">
        <v>85</v>
      </c>
      <c r="Y32" s="1277">
        <f t="shared" si="1"/>
        <v>0</v>
      </c>
      <c r="Z32" s="244">
        <v>6</v>
      </c>
      <c r="AA32" s="244">
        <v>6.5</v>
      </c>
      <c r="AB32" s="1277">
        <v>235</v>
      </c>
      <c r="AC32" s="244">
        <f>AB32/Z32</f>
        <v>39.166666666666664</v>
      </c>
      <c r="AD32" s="244">
        <f>AA32-Z32/AA32/100</f>
        <v>6.4907692307692306</v>
      </c>
      <c r="AE32" s="1288">
        <v>10</v>
      </c>
      <c r="AF32" s="244">
        <f t="shared" ref="AF32" si="16">Z32*AE32</f>
        <v>60</v>
      </c>
      <c r="AG32" s="1281" t="s">
        <v>833</v>
      </c>
      <c r="AI32" s="1282" t="e">
        <f t="shared" si="8"/>
        <v>#DIV/0!</v>
      </c>
      <c r="AJ32" s="1252">
        <v>0.91959999999999997</v>
      </c>
      <c r="AK32" s="1252">
        <v>1.022</v>
      </c>
      <c r="AL32" s="1252">
        <v>9.1150370000000005E-4</v>
      </c>
    </row>
    <row r="33" spans="1:38" ht="18.600000000000001" customHeight="1" x14ac:dyDescent="0.2">
      <c r="A33" s="1273">
        <v>17</v>
      </c>
      <c r="B33" s="1274" t="s">
        <v>154</v>
      </c>
      <c r="C33" s="1274" t="s">
        <v>46</v>
      </c>
      <c r="D33" s="1311">
        <v>644.79999999999995</v>
      </c>
      <c r="E33" s="1300" t="s">
        <v>421</v>
      </c>
      <c r="F33" s="241">
        <v>177.8</v>
      </c>
      <c r="G33" s="241" t="s">
        <v>28</v>
      </c>
      <c r="H33" s="1299" t="s">
        <v>687</v>
      </c>
      <c r="I33" s="1301">
        <v>562.54999999999995</v>
      </c>
      <c r="J33" s="241">
        <v>115</v>
      </c>
      <c r="K33" s="241"/>
      <c r="L33" s="1277">
        <v>436</v>
      </c>
      <c r="M33" s="241"/>
      <c r="N33" s="1278">
        <v>2</v>
      </c>
      <c r="O33" s="241"/>
      <c r="P33" s="1278">
        <f t="shared" si="9"/>
        <v>14.103813501367872</v>
      </c>
      <c r="Q33" s="1278">
        <f>20*J33/100</f>
        <v>23</v>
      </c>
      <c r="R33" s="244">
        <v>1.946</v>
      </c>
      <c r="S33" s="244">
        <v>6.1040000000000001</v>
      </c>
      <c r="T33" s="1277">
        <v>8.8000000000000007</v>
      </c>
      <c r="U33" s="1278">
        <f t="shared" si="10"/>
        <v>4.5220966084275442</v>
      </c>
      <c r="V33" s="1278">
        <f t="shared" si="11"/>
        <v>68.119266055045884</v>
      </c>
      <c r="W33" s="1279">
        <v>0.2</v>
      </c>
      <c r="X33" s="1316">
        <v>115</v>
      </c>
      <c r="Y33" s="1277">
        <f t="shared" si="1"/>
        <v>26.53913043478261</v>
      </c>
      <c r="Z33" s="244">
        <f t="shared" si="12"/>
        <v>1.9226479999999999</v>
      </c>
      <c r="AA33" s="244">
        <f t="shared" si="12"/>
        <v>6.0307519999999997</v>
      </c>
      <c r="AB33" s="1277">
        <f t="shared" si="12"/>
        <v>8.6943999999999999</v>
      </c>
      <c r="AC33" s="1307">
        <f t="shared" si="13"/>
        <v>4.5220966084275442</v>
      </c>
      <c r="AD33" s="1305">
        <f t="shared" si="13"/>
        <v>68.119266055045884</v>
      </c>
      <c r="AE33" s="241">
        <f t="shared" si="7"/>
        <v>30</v>
      </c>
      <c r="AF33" s="1307">
        <f>Z33*AE33</f>
        <v>57.67944</v>
      </c>
      <c r="AG33" s="1285"/>
      <c r="AI33" s="1282">
        <f t="shared" si="8"/>
        <v>14.103813501367872</v>
      </c>
      <c r="AJ33" s="1252">
        <v>0.8901</v>
      </c>
      <c r="AK33" s="1252">
        <v>1.03</v>
      </c>
      <c r="AL33" s="1252">
        <v>7.2245999999999996E-4</v>
      </c>
    </row>
    <row r="34" spans="1:38" ht="18.75" customHeight="1" x14ac:dyDescent="0.2">
      <c r="A34" s="1273">
        <v>18</v>
      </c>
      <c r="B34" s="1274" t="s">
        <v>38</v>
      </c>
      <c r="C34" s="241" t="s">
        <v>46</v>
      </c>
      <c r="D34" s="1278">
        <v>580</v>
      </c>
      <c r="E34" s="241" t="s">
        <v>84</v>
      </c>
      <c r="F34" s="241">
        <v>177.8</v>
      </c>
      <c r="G34" s="241" t="s">
        <v>28</v>
      </c>
      <c r="H34" s="1299" t="s">
        <v>687</v>
      </c>
      <c r="I34" s="1787">
        <v>562.66</v>
      </c>
      <c r="J34" s="241">
        <v>100</v>
      </c>
      <c r="K34" s="241"/>
      <c r="L34" s="1277">
        <v>389</v>
      </c>
      <c r="M34" s="241"/>
      <c r="N34" s="1278">
        <v>0</v>
      </c>
      <c r="O34" s="241"/>
      <c r="P34" s="1278">
        <f t="shared" si="9"/>
        <v>16.610786710431146</v>
      </c>
      <c r="Q34" s="1278">
        <f>20*J34/100</f>
        <v>20</v>
      </c>
      <c r="R34" s="244">
        <v>4.4279999999999999</v>
      </c>
      <c r="S34" s="244">
        <v>13.686999999999999</v>
      </c>
      <c r="T34" s="1277">
        <v>10</v>
      </c>
      <c r="U34" s="1278">
        <f t="shared" si="10"/>
        <v>2.2583559168925023</v>
      </c>
      <c r="V34" s="1278">
        <f t="shared" si="11"/>
        <v>67.648133265142107</v>
      </c>
      <c r="W34" s="1279">
        <v>0</v>
      </c>
      <c r="X34" s="1316">
        <v>100</v>
      </c>
      <c r="Y34" s="1277">
        <f t="shared" si="1"/>
        <v>68.435000000000002</v>
      </c>
      <c r="Z34" s="244">
        <f t="shared" si="12"/>
        <v>4.3748639999999996</v>
      </c>
      <c r="AA34" s="244">
        <f t="shared" si="12"/>
        <v>13.522755999999999</v>
      </c>
      <c r="AB34" s="1277">
        <f t="shared" si="12"/>
        <v>9.879999999999999</v>
      </c>
      <c r="AC34" s="1307">
        <f t="shared" si="13"/>
        <v>2.2583559168925023</v>
      </c>
      <c r="AD34" s="1305">
        <f t="shared" si="13"/>
        <v>67.648133265142107</v>
      </c>
      <c r="AE34" s="241">
        <f t="shared" si="7"/>
        <v>30</v>
      </c>
      <c r="AF34" s="244">
        <f t="shared" si="14"/>
        <v>131.24591999999998</v>
      </c>
      <c r="AG34" s="1281"/>
      <c r="AI34" s="1282">
        <f t="shared" si="8"/>
        <v>16.610786710431146</v>
      </c>
      <c r="AJ34" s="1252">
        <v>0.92159999999999997</v>
      </c>
      <c r="AK34" s="1252">
        <v>1.0169999999999999</v>
      </c>
      <c r="AL34" s="1252">
        <v>8.1276750000000011E-4</v>
      </c>
    </row>
    <row r="35" spans="1:38" ht="18.75" customHeight="1" x14ac:dyDescent="0.2">
      <c r="A35" s="1273">
        <v>19</v>
      </c>
      <c r="B35" s="1274" t="s">
        <v>39</v>
      </c>
      <c r="C35" s="241" t="s">
        <v>46</v>
      </c>
      <c r="D35" s="241">
        <v>575.26</v>
      </c>
      <c r="E35" s="241" t="s">
        <v>411</v>
      </c>
      <c r="F35" s="241">
        <v>177.8</v>
      </c>
      <c r="G35" s="241" t="s">
        <v>28</v>
      </c>
      <c r="H35" s="1299" t="s">
        <v>588</v>
      </c>
      <c r="I35" s="1787">
        <v>538.45000000000005</v>
      </c>
      <c r="J35" s="1448">
        <v>145</v>
      </c>
      <c r="K35" s="241"/>
      <c r="L35" s="1277">
        <v>403</v>
      </c>
      <c r="M35" s="241"/>
      <c r="N35" s="1278">
        <v>1.2</v>
      </c>
      <c r="O35" s="241"/>
      <c r="P35" s="1278">
        <f t="shared" si="9"/>
        <v>13.89318345412201</v>
      </c>
      <c r="Q35" s="1278">
        <f>14*J35/100</f>
        <v>20.3</v>
      </c>
      <c r="R35" s="244">
        <v>6.4560000000000004</v>
      </c>
      <c r="S35" s="244">
        <v>15.262</v>
      </c>
      <c r="T35" s="1277">
        <v>116.7</v>
      </c>
      <c r="U35" s="1278">
        <f t="shared" si="10"/>
        <v>18.076208178438662</v>
      </c>
      <c r="V35" s="1278">
        <f t="shared" si="11"/>
        <v>57.698859913510681</v>
      </c>
      <c r="W35" s="1279">
        <v>0.2</v>
      </c>
      <c r="X35" s="1449">
        <v>145</v>
      </c>
      <c r="Y35" s="1277">
        <f t="shared" si="1"/>
        <v>75.182266009852214</v>
      </c>
      <c r="Z35" s="244">
        <f t="shared" ref="Z35:AB48" si="17">R35*0.988</f>
        <v>6.3785280000000002</v>
      </c>
      <c r="AA35" s="244">
        <f t="shared" si="17"/>
        <v>15.078856</v>
      </c>
      <c r="AB35" s="1277">
        <f t="shared" si="17"/>
        <v>115.2996</v>
      </c>
      <c r="AC35" s="244">
        <f t="shared" ref="AC35:AD37" si="18">U35</f>
        <v>18.076208178438662</v>
      </c>
      <c r="AD35" s="1305">
        <f t="shared" si="18"/>
        <v>57.698859913510681</v>
      </c>
      <c r="AE35" s="241">
        <f t="shared" si="7"/>
        <v>30</v>
      </c>
      <c r="AF35" s="244">
        <f t="shared" si="14"/>
        <v>191.35584</v>
      </c>
      <c r="AG35" s="1281"/>
      <c r="AI35" s="1282">
        <f t="shared" si="8"/>
        <v>13.89318345412201</v>
      </c>
      <c r="AJ35" s="1252">
        <v>0.88570000000000004</v>
      </c>
      <c r="AK35" s="1252">
        <v>1.024</v>
      </c>
      <c r="AL35" s="1252">
        <v>8.1397160000000013E-4</v>
      </c>
    </row>
    <row r="36" spans="1:38" ht="18.75" customHeight="1" x14ac:dyDescent="0.2">
      <c r="A36" s="1273">
        <v>20</v>
      </c>
      <c r="B36" s="1274" t="s">
        <v>40</v>
      </c>
      <c r="C36" s="241" t="s">
        <v>46</v>
      </c>
      <c r="D36" s="241">
        <v>604.16999999999996</v>
      </c>
      <c r="E36" s="241" t="s">
        <v>689</v>
      </c>
      <c r="F36" s="241">
        <v>177.8</v>
      </c>
      <c r="G36" s="241" t="s">
        <v>28</v>
      </c>
      <c r="H36" s="241" t="s">
        <v>556</v>
      </c>
      <c r="I36" s="1787">
        <v>565.36</v>
      </c>
      <c r="J36" s="241">
        <v>100</v>
      </c>
      <c r="K36" s="241"/>
      <c r="L36" s="1277">
        <v>230</v>
      </c>
      <c r="M36" s="241"/>
      <c r="N36" s="1278">
        <v>0</v>
      </c>
      <c r="O36" s="241"/>
      <c r="P36" s="1278">
        <f t="shared" si="9"/>
        <v>32.130461561908817</v>
      </c>
      <c r="Q36" s="1278">
        <f>13*J36/100</f>
        <v>13</v>
      </c>
      <c r="R36" s="244">
        <v>2.1800000000000002</v>
      </c>
      <c r="S36" s="244">
        <v>8.68</v>
      </c>
      <c r="T36" s="1277">
        <v>10</v>
      </c>
      <c r="U36" s="1278">
        <f>IF(R36=0,0,T36/R36)</f>
        <v>4.5871559633027523</v>
      </c>
      <c r="V36" s="1278">
        <f t="shared" si="11"/>
        <v>74.884792626728114</v>
      </c>
      <c r="W36" s="1279">
        <v>0.2</v>
      </c>
      <c r="X36" s="1316">
        <v>100</v>
      </c>
      <c r="Y36" s="1277">
        <f t="shared" ref="Y36" si="19">IF(S36=0,0,S36/Q36)*100</f>
        <v>66.769230769230774</v>
      </c>
      <c r="Z36" s="244">
        <f t="shared" ref="Z36" si="20">R36*0.988</f>
        <v>2.1538400000000002</v>
      </c>
      <c r="AA36" s="244">
        <f t="shared" ref="AA36" si="21">S36*0.988</f>
        <v>8.5758399999999995</v>
      </c>
      <c r="AB36" s="1277">
        <f t="shared" ref="AB36" si="22">T36*0.988</f>
        <v>9.879999999999999</v>
      </c>
      <c r="AC36" s="244">
        <f t="shared" ref="AC36" si="23">U36</f>
        <v>4.5871559633027523</v>
      </c>
      <c r="AD36" s="1305">
        <f t="shared" ref="AD36" si="24">V36</f>
        <v>74.884792626728114</v>
      </c>
      <c r="AE36" s="241">
        <f t="shared" ref="AE36" si="25">(DAY(EOMONTH($AH$15,0))-AH36)</f>
        <v>30</v>
      </c>
      <c r="AF36" s="244">
        <f t="shared" ref="AF36" si="26">Z36*AE36</f>
        <v>64.615200000000002</v>
      </c>
      <c r="AG36" s="1281"/>
      <c r="AI36" s="1282">
        <f t="shared" si="8"/>
        <v>32.130461561908817</v>
      </c>
      <c r="AJ36" s="1252">
        <v>0.91769999999999996</v>
      </c>
      <c r="AK36" s="1252">
        <v>1.0129999999999999</v>
      </c>
      <c r="AL36" s="1252">
        <v>7.5858300000000007E-4</v>
      </c>
    </row>
    <row r="37" spans="1:38" ht="18.75" customHeight="1" x14ac:dyDescent="0.2">
      <c r="A37" s="1273">
        <v>21</v>
      </c>
      <c r="B37" s="1274" t="s">
        <v>41</v>
      </c>
      <c r="C37" s="241" t="s">
        <v>46</v>
      </c>
      <c r="D37" s="241">
        <v>573.37</v>
      </c>
      <c r="E37" s="241" t="s">
        <v>87</v>
      </c>
      <c r="F37" s="241">
        <v>177.8</v>
      </c>
      <c r="G37" s="241" t="s">
        <v>28</v>
      </c>
      <c r="H37" s="241" t="s">
        <v>461</v>
      </c>
      <c r="I37" s="1787">
        <v>535.91</v>
      </c>
      <c r="J37" s="1448">
        <v>300</v>
      </c>
      <c r="K37" s="241"/>
      <c r="L37" s="1277">
        <v>446</v>
      </c>
      <c r="M37" s="241"/>
      <c r="N37" s="1278">
        <v>2.5</v>
      </c>
      <c r="O37" s="241"/>
      <c r="P37" s="1278">
        <f t="shared" si="9"/>
        <v>10.796821982754564</v>
      </c>
      <c r="Q37" s="1278">
        <f>(20/100)*J37</f>
        <v>60</v>
      </c>
      <c r="R37" s="244">
        <v>7.7359999999999998</v>
      </c>
      <c r="S37" s="244">
        <v>14.016</v>
      </c>
      <c r="T37" s="1277">
        <v>188.6</v>
      </c>
      <c r="U37" s="1278">
        <f t="shared" ref="U37:U86" si="27">IF(R37=0,0,T37/R37)</f>
        <v>24.379524301964839</v>
      </c>
      <c r="V37" s="1278">
        <f t="shared" si="11"/>
        <v>44.805936073059357</v>
      </c>
      <c r="W37" s="1279">
        <v>0.2</v>
      </c>
      <c r="X37" s="1449">
        <v>300</v>
      </c>
      <c r="Y37" s="1277">
        <f t="shared" si="1"/>
        <v>23.36</v>
      </c>
      <c r="Z37" s="244">
        <f t="shared" si="17"/>
        <v>7.6431679999999993</v>
      </c>
      <c r="AA37" s="244">
        <f t="shared" si="17"/>
        <v>13.847808000000001</v>
      </c>
      <c r="AB37" s="1277">
        <f t="shared" si="17"/>
        <v>186.33679999999998</v>
      </c>
      <c r="AC37" s="244">
        <f t="shared" si="18"/>
        <v>24.379524301964839</v>
      </c>
      <c r="AD37" s="1305">
        <f>V37</f>
        <v>44.805936073059357</v>
      </c>
      <c r="AE37" s="241">
        <f t="shared" si="7"/>
        <v>30</v>
      </c>
      <c r="AF37" s="244">
        <f t="shared" si="14"/>
        <v>229.29503999999997</v>
      </c>
      <c r="AG37" s="1281"/>
      <c r="AI37" s="1282">
        <f t="shared" si="8"/>
        <v>10.796821982754564</v>
      </c>
      <c r="AJ37" s="1252">
        <v>0.88919999999999999</v>
      </c>
      <c r="AK37" s="1252">
        <v>1.0229999999999999</v>
      </c>
      <c r="AL37" s="1252">
        <v>8.0193060000000006E-4</v>
      </c>
    </row>
    <row r="38" spans="1:38" ht="18.75" customHeight="1" x14ac:dyDescent="0.2">
      <c r="A38" s="1273">
        <v>22</v>
      </c>
      <c r="B38" s="1274" t="s">
        <v>42</v>
      </c>
      <c r="C38" s="241" t="s">
        <v>46</v>
      </c>
      <c r="D38" s="241">
        <v>583.20000000000005</v>
      </c>
      <c r="E38" s="241" t="s">
        <v>88</v>
      </c>
      <c r="F38" s="241">
        <v>177.8</v>
      </c>
      <c r="G38" s="241" t="s">
        <v>28</v>
      </c>
      <c r="H38" s="1299" t="s">
        <v>540</v>
      </c>
      <c r="I38" s="1787">
        <v>563.91</v>
      </c>
      <c r="J38" s="1448">
        <v>85</v>
      </c>
      <c r="K38" s="241"/>
      <c r="L38" s="1277">
        <v>187</v>
      </c>
      <c r="M38" s="241"/>
      <c r="N38" s="1278">
        <v>0</v>
      </c>
      <c r="O38" s="241"/>
      <c r="P38" s="1278">
        <f t="shared" si="9"/>
        <v>36.525701479092938</v>
      </c>
      <c r="Q38" s="1278">
        <f>22*J38/100</f>
        <v>18.7</v>
      </c>
      <c r="R38" s="244">
        <v>4.3250000000000002</v>
      </c>
      <c r="S38" s="244">
        <v>19.669</v>
      </c>
      <c r="T38" s="1277">
        <v>23.1</v>
      </c>
      <c r="U38" s="1278">
        <f t="shared" si="27"/>
        <v>5.3410404624277454</v>
      </c>
      <c r="V38" s="1278">
        <f t="shared" si="11"/>
        <v>78.011083430779408</v>
      </c>
      <c r="W38" s="1279">
        <v>0</v>
      </c>
      <c r="X38" s="1449">
        <v>85</v>
      </c>
      <c r="Y38" s="1277">
        <f t="shared" si="1"/>
        <v>105.1818181818182</v>
      </c>
      <c r="Z38" s="244">
        <f t="shared" si="17"/>
        <v>4.2731000000000003</v>
      </c>
      <c r="AA38" s="244">
        <f t="shared" si="17"/>
        <v>19.432971999999999</v>
      </c>
      <c r="AB38" s="1277">
        <f t="shared" si="17"/>
        <v>22.822800000000001</v>
      </c>
      <c r="AC38" s="244">
        <f>U38</f>
        <v>5.3410404624277454</v>
      </c>
      <c r="AD38" s="1277">
        <f>V38</f>
        <v>78.011083430779408</v>
      </c>
      <c r="AE38" s="241">
        <f t="shared" si="7"/>
        <v>30</v>
      </c>
      <c r="AF38" s="244">
        <f t="shared" si="14"/>
        <v>128.19300000000001</v>
      </c>
      <c r="AG38" s="1281"/>
      <c r="AI38" s="1282">
        <f t="shared" si="8"/>
        <v>36.525701479092938</v>
      </c>
      <c r="AJ38" s="1252">
        <v>0.9173</v>
      </c>
      <c r="AK38" s="1252">
        <v>1.024</v>
      </c>
      <c r="AL38" s="1252">
        <v>8.1276750000000011E-4</v>
      </c>
    </row>
    <row r="39" spans="1:38" ht="18.75" customHeight="1" x14ac:dyDescent="0.2">
      <c r="A39" s="1273">
        <v>23</v>
      </c>
      <c r="B39" s="1274" t="s">
        <v>43</v>
      </c>
      <c r="C39" s="241" t="s">
        <v>46</v>
      </c>
      <c r="D39" s="241">
        <v>682.7</v>
      </c>
      <c r="E39" s="241" t="s">
        <v>690</v>
      </c>
      <c r="F39" s="241">
        <v>177.8</v>
      </c>
      <c r="G39" s="241" t="s">
        <v>28</v>
      </c>
      <c r="H39" s="1299" t="s">
        <v>685</v>
      </c>
      <c r="I39" s="1315">
        <v>553.84</v>
      </c>
      <c r="J39" s="241">
        <v>95</v>
      </c>
      <c r="K39" s="241"/>
      <c r="L39" s="1277">
        <v>334</v>
      </c>
      <c r="M39" s="241"/>
      <c r="N39" s="1278">
        <v>4.3</v>
      </c>
      <c r="O39" s="241"/>
      <c r="P39" s="1278">
        <f t="shared" si="9"/>
        <v>25.450959337753577</v>
      </c>
      <c r="Q39" s="1278">
        <f>14*J39/100</f>
        <v>13.3</v>
      </c>
      <c r="R39" s="244">
        <v>2.0910000000000002</v>
      </c>
      <c r="S39" s="244">
        <v>9.8309999999999995</v>
      </c>
      <c r="T39" s="1277">
        <v>16.286000000000001</v>
      </c>
      <c r="U39" s="1278">
        <f t="shared" si="27"/>
        <v>7.7886178861788613</v>
      </c>
      <c r="V39" s="1278">
        <f t="shared" si="11"/>
        <v>78.73054623130912</v>
      </c>
      <c r="W39" s="1279">
        <v>0.2</v>
      </c>
      <c r="X39" s="1449">
        <v>95</v>
      </c>
      <c r="Y39" s="1277">
        <f t="shared" ref="Y39" si="28">IF(S39=0,0,S39/Q39)*100</f>
        <v>73.917293233082702</v>
      </c>
      <c r="Z39" s="244">
        <f t="shared" ref="Z39" si="29">R39*0.988</f>
        <v>2.0659080000000003</v>
      </c>
      <c r="AA39" s="244">
        <f t="shared" ref="AA39" si="30">S39*0.988</f>
        <v>9.7130279999999996</v>
      </c>
      <c r="AB39" s="1277">
        <f t="shared" ref="AB39" si="31">T39*0.988</f>
        <v>16.090568000000001</v>
      </c>
      <c r="AC39" s="244">
        <f>U39</f>
        <v>7.7886178861788613</v>
      </c>
      <c r="AD39" s="1277">
        <f>V39</f>
        <v>78.73054623130912</v>
      </c>
      <c r="AE39" s="241">
        <f t="shared" ref="AE39:AE40" si="32">(DAY(EOMONTH($AH$15,0))-AH39)</f>
        <v>30</v>
      </c>
      <c r="AF39" s="244">
        <f t="shared" ref="AF39" si="33">Z39*AE39</f>
        <v>61.977240000000009</v>
      </c>
      <c r="AG39" s="1281"/>
      <c r="AI39" s="1282">
        <f t="shared" si="8"/>
        <v>25.450959337753577</v>
      </c>
      <c r="AJ39" s="1252">
        <v>0.90210000000000001</v>
      </c>
      <c r="AK39" s="1252">
        <v>1.0169999999999999</v>
      </c>
      <c r="AL39" s="1252">
        <v>7.7303220000000006E-4</v>
      </c>
    </row>
    <row r="40" spans="1:38" ht="18.75" customHeight="1" x14ac:dyDescent="0.2">
      <c r="A40" s="1273">
        <v>24</v>
      </c>
      <c r="B40" s="1274" t="s">
        <v>44</v>
      </c>
      <c r="C40" s="241" t="s">
        <v>445</v>
      </c>
      <c r="D40" s="241">
        <v>734.5</v>
      </c>
      <c r="E40" s="1787" t="s">
        <v>821</v>
      </c>
      <c r="F40" s="241">
        <v>177.8</v>
      </c>
      <c r="G40" s="241" t="s">
        <v>28</v>
      </c>
      <c r="H40" s="1299" t="s">
        <v>822</v>
      </c>
      <c r="I40" s="1315">
        <v>617.66</v>
      </c>
      <c r="J40" s="241">
        <v>105</v>
      </c>
      <c r="K40" s="241"/>
      <c r="L40" s="1277">
        <v>229</v>
      </c>
      <c r="M40" s="241"/>
      <c r="N40" s="1278">
        <v>1.6</v>
      </c>
      <c r="O40" s="241"/>
      <c r="P40" s="1278">
        <f t="shared" si="9"/>
        <v>37.384994001503557</v>
      </c>
      <c r="Q40" s="1278">
        <f>(32/100)*J40</f>
        <v>33.6</v>
      </c>
      <c r="R40" s="244">
        <v>11.331</v>
      </c>
      <c r="S40" s="244">
        <v>18.559000000000001</v>
      </c>
      <c r="T40" s="1277">
        <v>523</v>
      </c>
      <c r="U40" s="1278">
        <f t="shared" si="27"/>
        <v>46.156561645044569</v>
      </c>
      <c r="V40" s="1278">
        <f t="shared" si="11"/>
        <v>38.946063904305191</v>
      </c>
      <c r="W40" s="1279">
        <v>0.2</v>
      </c>
      <c r="X40" s="1316">
        <v>105</v>
      </c>
      <c r="Y40" s="1277">
        <f t="shared" si="1"/>
        <v>55.235119047619051</v>
      </c>
      <c r="Z40" s="244">
        <f t="shared" si="17"/>
        <v>11.195027999999999</v>
      </c>
      <c r="AA40" s="244">
        <f t="shared" si="17"/>
        <v>18.336292</v>
      </c>
      <c r="AB40" s="1277">
        <f t="shared" si="17"/>
        <v>516.72400000000005</v>
      </c>
      <c r="AC40" s="244">
        <f>U40</f>
        <v>46.156561645044569</v>
      </c>
      <c r="AD40" s="1277">
        <f>V40</f>
        <v>38.946063904305191</v>
      </c>
      <c r="AE40" s="241">
        <f t="shared" si="32"/>
        <v>30</v>
      </c>
      <c r="AF40" s="244">
        <f t="shared" si="14"/>
        <v>335.85083999999995</v>
      </c>
      <c r="AG40" s="1281"/>
      <c r="AI40" s="1282">
        <f t="shared" si="8"/>
        <v>37.384994001503557</v>
      </c>
      <c r="AJ40" s="1252">
        <v>0.90480000000000005</v>
      </c>
      <c r="AK40" s="1252">
        <v>1.022</v>
      </c>
      <c r="AL40" s="1252">
        <v>9.3558570000000008E-4</v>
      </c>
    </row>
    <row r="41" spans="1:38" ht="18.75" customHeight="1" x14ac:dyDescent="0.2">
      <c r="A41" s="1273">
        <v>25</v>
      </c>
      <c r="B41" s="1274" t="s">
        <v>45</v>
      </c>
      <c r="C41" s="241" t="s">
        <v>46</v>
      </c>
      <c r="D41" s="241">
        <v>636.4</v>
      </c>
      <c r="E41" s="241" t="s">
        <v>595</v>
      </c>
      <c r="F41" s="241">
        <v>177.8</v>
      </c>
      <c r="G41" s="241" t="s">
        <v>28</v>
      </c>
      <c r="H41" s="241" t="s">
        <v>684</v>
      </c>
      <c r="I41" s="1787">
        <v>554.16999999999996</v>
      </c>
      <c r="J41" s="1448">
        <v>125</v>
      </c>
      <c r="K41" s="241"/>
      <c r="L41" s="1277">
        <v>329</v>
      </c>
      <c r="M41" s="241"/>
      <c r="N41" s="1278">
        <v>4.9000000000000004</v>
      </c>
      <c r="O41" s="241"/>
      <c r="P41" s="1278">
        <f t="shared" si="9"/>
        <v>26.6666540010769</v>
      </c>
      <c r="Q41" s="1278">
        <f>(32/100)*J41</f>
        <v>40</v>
      </c>
      <c r="R41" s="244">
        <v>7.89</v>
      </c>
      <c r="S41" s="244">
        <v>36.777999999999999</v>
      </c>
      <c r="T41" s="1277">
        <v>232</v>
      </c>
      <c r="U41" s="1278">
        <f t="shared" si="27"/>
        <v>29.404309252217999</v>
      </c>
      <c r="V41" s="1278">
        <f t="shared" si="11"/>
        <v>78.546957420196847</v>
      </c>
      <c r="W41" s="1279">
        <v>0.2</v>
      </c>
      <c r="X41" s="1449">
        <v>125</v>
      </c>
      <c r="Y41" s="1277">
        <f t="shared" si="1"/>
        <v>91.944999999999993</v>
      </c>
      <c r="Z41" s="244">
        <f t="shared" si="17"/>
        <v>7.7953199999999994</v>
      </c>
      <c r="AA41" s="244">
        <f t="shared" si="17"/>
        <v>36.336663999999999</v>
      </c>
      <c r="AB41" s="1277">
        <f t="shared" si="17"/>
        <v>229.21600000000001</v>
      </c>
      <c r="AC41" s="244">
        <f>U41</f>
        <v>29.404309252217999</v>
      </c>
      <c r="AD41" s="1277">
        <f>V41</f>
        <v>78.546957420196847</v>
      </c>
      <c r="AE41" s="241">
        <f>(DAY(EOMONTH($AH$15,0))-AH41)</f>
        <v>30</v>
      </c>
      <c r="AF41" s="244">
        <f t="shared" si="14"/>
        <v>233.85959999999997</v>
      </c>
      <c r="AG41" s="1281"/>
      <c r="AI41" s="1282">
        <f t="shared" si="8"/>
        <v>26.6666540010769</v>
      </c>
      <c r="AJ41" s="1252">
        <v>0.9</v>
      </c>
      <c r="AK41" s="1252">
        <v>1.024</v>
      </c>
      <c r="AL41" s="1252">
        <v>7.2366409999999998E-4</v>
      </c>
    </row>
    <row r="42" spans="1:38" ht="18.600000000000001" customHeight="1" x14ac:dyDescent="0.2">
      <c r="A42" s="1273">
        <v>26</v>
      </c>
      <c r="B42" s="1274" t="s">
        <v>56</v>
      </c>
      <c r="C42" s="1316" t="s">
        <v>46</v>
      </c>
      <c r="D42" s="241">
        <v>680.52</v>
      </c>
      <c r="E42" s="1274" t="s">
        <v>596</v>
      </c>
      <c r="F42" s="241">
        <v>177.8</v>
      </c>
      <c r="G42" s="241" t="s">
        <v>28</v>
      </c>
      <c r="H42" s="1299" t="s">
        <v>349</v>
      </c>
      <c r="I42" s="1787">
        <v>583.46</v>
      </c>
      <c r="J42" s="1448"/>
      <c r="K42" s="241"/>
      <c r="L42" s="1277"/>
      <c r="M42" s="241"/>
      <c r="N42" s="1278"/>
      <c r="O42" s="241"/>
      <c r="P42" s="1278"/>
      <c r="Q42" s="1278"/>
      <c r="R42" s="244"/>
      <c r="S42" s="244"/>
      <c r="T42" s="1277"/>
      <c r="U42" s="1278"/>
      <c r="V42" s="1278"/>
      <c r="W42" s="1279"/>
      <c r="X42" s="1449"/>
      <c r="Y42" s="1277">
        <f t="shared" si="1"/>
        <v>0</v>
      </c>
      <c r="Z42" s="244"/>
      <c r="AA42" s="244"/>
      <c r="AB42" s="1277"/>
      <c r="AC42" s="244"/>
      <c r="AD42" s="1277"/>
      <c r="AE42" s="241"/>
      <c r="AF42" s="244"/>
      <c r="AG42" s="1285" t="s">
        <v>681</v>
      </c>
      <c r="AI42" s="1282">
        <f t="shared" si="8"/>
        <v>51.69303580814212</v>
      </c>
      <c r="AJ42" s="1252">
        <v>0.91510000000000002</v>
      </c>
      <c r="AK42" s="1252">
        <v>1.022</v>
      </c>
      <c r="AL42" s="1252">
        <v>6.1000000000000004E-3</v>
      </c>
    </row>
    <row r="43" spans="1:38" ht="18.75" customHeight="1" x14ac:dyDescent="0.2">
      <c r="A43" s="1273">
        <v>27</v>
      </c>
      <c r="B43" s="1274" t="s">
        <v>206</v>
      </c>
      <c r="C43" s="241" t="s">
        <v>46</v>
      </c>
      <c r="D43" s="241">
        <v>660.74</v>
      </c>
      <c r="E43" s="241" t="s">
        <v>436</v>
      </c>
      <c r="F43" s="241">
        <v>177.8</v>
      </c>
      <c r="G43" s="241" t="s">
        <v>28</v>
      </c>
      <c r="H43" s="241" t="s">
        <v>693</v>
      </c>
      <c r="I43" s="1787">
        <v>544.70000000000005</v>
      </c>
      <c r="J43" s="241">
        <v>160</v>
      </c>
      <c r="K43" s="241"/>
      <c r="L43" s="1277">
        <v>105</v>
      </c>
      <c r="M43" s="241"/>
      <c r="N43" s="1278">
        <v>2.5</v>
      </c>
      <c r="O43" s="241"/>
      <c r="P43" s="1278">
        <f t="shared" si="9"/>
        <v>45.137511671657521</v>
      </c>
      <c r="Q43" s="1278">
        <f>J43*20/100</f>
        <v>32</v>
      </c>
      <c r="R43" s="244">
        <v>2.9129999999999998</v>
      </c>
      <c r="S43" s="244">
        <v>20.376999999999999</v>
      </c>
      <c r="T43" s="1277">
        <v>31</v>
      </c>
      <c r="U43" s="1278">
        <f t="shared" si="27"/>
        <v>10.641949879848953</v>
      </c>
      <c r="V43" s="1278">
        <f t="shared" si="11"/>
        <v>85.704470726799826</v>
      </c>
      <c r="W43" s="1279">
        <v>0.2</v>
      </c>
      <c r="X43" s="1316">
        <v>160</v>
      </c>
      <c r="Y43" s="1277">
        <f t="shared" si="1"/>
        <v>63.678124999999994</v>
      </c>
      <c r="Z43" s="244">
        <f t="shared" si="17"/>
        <v>2.8780439999999996</v>
      </c>
      <c r="AA43" s="244">
        <f t="shared" si="17"/>
        <v>20.132475999999997</v>
      </c>
      <c r="AB43" s="1277">
        <f t="shared" si="17"/>
        <v>30.628</v>
      </c>
      <c r="AC43" s="244">
        <f t="shared" ref="AC43:AD48" si="34">U43</f>
        <v>10.641949879848953</v>
      </c>
      <c r="AD43" s="1277">
        <f t="shared" si="34"/>
        <v>85.704470726799826</v>
      </c>
      <c r="AE43" s="241">
        <v>30</v>
      </c>
      <c r="AF43" s="244">
        <f t="shared" si="14"/>
        <v>86.341319999999982</v>
      </c>
      <c r="AG43" s="1281"/>
      <c r="AI43" s="1282">
        <f t="shared" si="8"/>
        <v>45.137511671657521</v>
      </c>
      <c r="AJ43" s="1252">
        <v>0.90780000000000005</v>
      </c>
      <c r="AK43" s="1252">
        <v>1.0169999999999999</v>
      </c>
      <c r="AL43" s="1252">
        <v>7.7303220000000006E-4</v>
      </c>
    </row>
    <row r="44" spans="1:38" ht="28.5" customHeight="1" x14ac:dyDescent="0.2">
      <c r="A44" s="1273">
        <v>28</v>
      </c>
      <c r="B44" s="1317" t="s">
        <v>161</v>
      </c>
      <c r="C44" s="241" t="s">
        <v>46</v>
      </c>
      <c r="D44" s="1787">
        <v>677</v>
      </c>
      <c r="E44" s="1318" t="s">
        <v>178</v>
      </c>
      <c r="F44" s="241">
        <v>177.8</v>
      </c>
      <c r="G44" s="241" t="s">
        <v>28</v>
      </c>
      <c r="H44" s="241" t="s">
        <v>684</v>
      </c>
      <c r="I44" s="1787">
        <v>500.03</v>
      </c>
      <c r="J44" s="1787">
        <v>110</v>
      </c>
      <c r="K44" s="1787"/>
      <c r="L44" s="1319">
        <v>382</v>
      </c>
      <c r="M44" s="1787"/>
      <c r="N44" s="1278">
        <v>1.6</v>
      </c>
      <c r="O44" s="1787"/>
      <c r="P44" s="1278">
        <f t="shared" si="9"/>
        <v>12.74695441397037</v>
      </c>
      <c r="Q44" s="1278">
        <f>J44*32/100</f>
        <v>35.200000000000003</v>
      </c>
      <c r="R44" s="244">
        <v>8.8729999999999993</v>
      </c>
      <c r="S44" s="244">
        <v>22.259</v>
      </c>
      <c r="T44" s="1319">
        <v>145.6</v>
      </c>
      <c r="U44" s="1278">
        <f t="shared" si="27"/>
        <v>16.409331680378678</v>
      </c>
      <c r="V44" s="1278">
        <f t="shared" si="11"/>
        <v>60.137472483040568</v>
      </c>
      <c r="W44" s="1279">
        <v>0.2</v>
      </c>
      <c r="X44" s="1410">
        <v>110</v>
      </c>
      <c r="Y44" s="1277">
        <f t="shared" si="1"/>
        <v>63.235795454545453</v>
      </c>
      <c r="Z44" s="244">
        <f t="shared" si="17"/>
        <v>8.7665239999999987</v>
      </c>
      <c r="AA44" s="244">
        <f t="shared" si="17"/>
        <v>21.991892</v>
      </c>
      <c r="AB44" s="1277">
        <f t="shared" si="17"/>
        <v>143.8528</v>
      </c>
      <c r="AC44" s="244">
        <f t="shared" si="34"/>
        <v>16.409331680378678</v>
      </c>
      <c r="AD44" s="1277">
        <f t="shared" si="34"/>
        <v>60.137472483040568</v>
      </c>
      <c r="AE44" s="241">
        <f t="shared" ref="AE44:AE49" si="35">(DAY(EOMONTH($AH$15,0))-AH44)</f>
        <v>30</v>
      </c>
      <c r="AF44" s="244">
        <f t="shared" si="14"/>
        <v>262.99571999999995</v>
      </c>
      <c r="AG44" s="1281"/>
      <c r="AI44" s="1282">
        <f t="shared" si="8"/>
        <v>12.74695441397037</v>
      </c>
      <c r="AJ44" s="1252">
        <v>0.89839999999999998</v>
      </c>
      <c r="AK44" s="1252">
        <v>1.0209999999999999</v>
      </c>
      <c r="AL44" s="1252">
        <v>1.0307096000000001E-3</v>
      </c>
    </row>
    <row r="45" spans="1:38" ht="29.25" customHeight="1" x14ac:dyDescent="0.2">
      <c r="A45" s="1273">
        <v>29</v>
      </c>
      <c r="B45" s="1317" t="s">
        <v>162</v>
      </c>
      <c r="C45" s="241" t="s">
        <v>46</v>
      </c>
      <c r="D45" s="1787">
        <v>676.97</v>
      </c>
      <c r="E45" s="1318" t="s">
        <v>437</v>
      </c>
      <c r="F45" s="241">
        <v>177.8</v>
      </c>
      <c r="G45" s="241" t="s">
        <v>28</v>
      </c>
      <c r="H45" s="1299" t="s">
        <v>588</v>
      </c>
      <c r="I45" s="1787">
        <v>550.59</v>
      </c>
      <c r="J45" s="1373">
        <v>70</v>
      </c>
      <c r="K45" s="1787"/>
      <c r="L45" s="1277">
        <v>400</v>
      </c>
      <c r="M45" s="1787"/>
      <c r="N45" s="1278">
        <v>0.3</v>
      </c>
      <c r="O45" s="1787"/>
      <c r="P45" s="1278">
        <f t="shared" si="9"/>
        <v>14.536073939337749</v>
      </c>
      <c r="Q45" s="1278">
        <f>RIGHT(H45,(FIND("T",H45,1)-0))*J45/100</f>
        <v>9.8000000000000007</v>
      </c>
      <c r="R45" s="244">
        <v>1.1200000000000001</v>
      </c>
      <c r="S45" s="244">
        <v>2.6480000000000001</v>
      </c>
      <c r="T45" s="1319">
        <v>9.4</v>
      </c>
      <c r="U45" s="1278">
        <f t="shared" si="27"/>
        <v>8.3928571428571423</v>
      </c>
      <c r="V45" s="1278">
        <f t="shared" si="11"/>
        <v>57.703927492447129</v>
      </c>
      <c r="W45" s="1279">
        <v>0.2</v>
      </c>
      <c r="X45" s="1452">
        <v>70</v>
      </c>
      <c r="Y45" s="1277">
        <f t="shared" si="1"/>
        <v>27.020408163265309</v>
      </c>
      <c r="Z45" s="244">
        <f t="shared" si="17"/>
        <v>1.10656</v>
      </c>
      <c r="AA45" s="244">
        <f t="shared" si="17"/>
        <v>2.6162239999999999</v>
      </c>
      <c r="AB45" s="1277">
        <f t="shared" si="17"/>
        <v>9.2872000000000003</v>
      </c>
      <c r="AC45" s="244">
        <f t="shared" si="34"/>
        <v>8.3928571428571423</v>
      </c>
      <c r="AD45" s="1277">
        <f t="shared" si="34"/>
        <v>57.703927492447129</v>
      </c>
      <c r="AE45" s="241">
        <f t="shared" si="35"/>
        <v>30</v>
      </c>
      <c r="AF45" s="244">
        <f t="shared" si="14"/>
        <v>33.196799999999996</v>
      </c>
      <c r="AG45" s="1281"/>
      <c r="AI45" s="1282">
        <f t="shared" si="8"/>
        <v>14.536073939337749</v>
      </c>
      <c r="AJ45" s="1252">
        <v>0.90790000000000004</v>
      </c>
      <c r="AK45" s="1252">
        <v>1.0229999999999999</v>
      </c>
      <c r="AL45" s="1252">
        <v>7.9591010000000008E-4</v>
      </c>
    </row>
    <row r="46" spans="1:38" ht="18.75" customHeight="1" x14ac:dyDescent="0.2">
      <c r="A46" s="1273">
        <v>30</v>
      </c>
      <c r="B46" s="1317" t="s">
        <v>163</v>
      </c>
      <c r="C46" s="241" t="s">
        <v>46</v>
      </c>
      <c r="D46" s="1787">
        <v>579</v>
      </c>
      <c r="E46" s="241" t="s">
        <v>597</v>
      </c>
      <c r="F46" s="241">
        <v>177.8</v>
      </c>
      <c r="G46" s="241" t="s">
        <v>28</v>
      </c>
      <c r="H46" s="1299" t="s">
        <v>800</v>
      </c>
      <c r="I46" s="1787">
        <v>548.82000000000005</v>
      </c>
      <c r="J46" s="1787">
        <v>100</v>
      </c>
      <c r="K46" s="1787"/>
      <c r="L46" s="1319">
        <v>327</v>
      </c>
      <c r="M46" s="1787"/>
      <c r="N46" s="1278">
        <v>2.5</v>
      </c>
      <c r="O46" s="1787"/>
      <c r="P46" s="1278">
        <f t="shared" si="9"/>
        <v>23.217990923683249</v>
      </c>
      <c r="Q46" s="1278">
        <f>7*J46/100</f>
        <v>7</v>
      </c>
      <c r="R46" s="244">
        <v>3.5179999999999998</v>
      </c>
      <c r="S46" s="244">
        <v>8.0350000000000001</v>
      </c>
      <c r="T46" s="1319">
        <v>17.5</v>
      </c>
      <c r="U46" s="1278">
        <f t="shared" si="27"/>
        <v>4.9744172825469022</v>
      </c>
      <c r="V46" s="1278">
        <f t="shared" si="11"/>
        <v>56.216552582451776</v>
      </c>
      <c r="W46" s="1279">
        <v>0.2</v>
      </c>
      <c r="X46" s="1410">
        <v>100</v>
      </c>
      <c r="Y46" s="1277">
        <f t="shared" si="1"/>
        <v>114.78571428571429</v>
      </c>
      <c r="Z46" s="244">
        <f t="shared" si="17"/>
        <v>3.4757839999999995</v>
      </c>
      <c r="AA46" s="244">
        <f t="shared" si="17"/>
        <v>7.93858</v>
      </c>
      <c r="AB46" s="1277">
        <f t="shared" si="17"/>
        <v>17.29</v>
      </c>
      <c r="AC46" s="244">
        <f t="shared" si="34"/>
        <v>4.9744172825469022</v>
      </c>
      <c r="AD46" s="1277">
        <f t="shared" si="34"/>
        <v>56.216552582451776</v>
      </c>
      <c r="AE46" s="241">
        <f t="shared" si="35"/>
        <v>30</v>
      </c>
      <c r="AF46" s="244">
        <f t="shared" si="14"/>
        <v>104.27351999999999</v>
      </c>
      <c r="AG46" s="1281"/>
      <c r="AI46" s="1282">
        <f t="shared" si="8"/>
        <v>23.217990923683249</v>
      </c>
      <c r="AJ46" s="1252">
        <v>0.90129999999999999</v>
      </c>
      <c r="AK46" s="1252">
        <v>1.012</v>
      </c>
      <c r="AL46" s="1252">
        <v>7.9591010000000008E-4</v>
      </c>
    </row>
    <row r="47" spans="1:38" ht="18.75" customHeight="1" x14ac:dyDescent="0.2">
      <c r="A47" s="1273">
        <v>31</v>
      </c>
      <c r="B47" s="1274" t="s">
        <v>59</v>
      </c>
      <c r="C47" s="241" t="s">
        <v>46</v>
      </c>
      <c r="D47" s="241">
        <v>615</v>
      </c>
      <c r="E47" s="241" t="s">
        <v>454</v>
      </c>
      <c r="F47" s="241">
        <v>177.8</v>
      </c>
      <c r="G47" s="241" t="s">
        <v>28</v>
      </c>
      <c r="H47" s="1299" t="s">
        <v>686</v>
      </c>
      <c r="I47" s="1787">
        <v>538.69000000000005</v>
      </c>
      <c r="J47" s="241">
        <v>100</v>
      </c>
      <c r="K47" s="241"/>
      <c r="L47" s="1277">
        <v>428</v>
      </c>
      <c r="M47" s="241"/>
      <c r="N47" s="1278">
        <v>2.2999999999999998</v>
      </c>
      <c r="O47" s="241"/>
      <c r="P47" s="1278">
        <f t="shared" si="9"/>
        <v>12.872184912116117</v>
      </c>
      <c r="Q47" s="1278">
        <f>20*J47/100</f>
        <v>20</v>
      </c>
      <c r="R47" s="244">
        <v>2.2730000000000001</v>
      </c>
      <c r="S47" s="244">
        <v>7.38</v>
      </c>
      <c r="T47" s="1277">
        <v>40</v>
      </c>
      <c r="U47" s="1278">
        <f t="shared" si="27"/>
        <v>17.59788825340959</v>
      </c>
      <c r="V47" s="1278">
        <f t="shared" si="11"/>
        <v>69.200542005420047</v>
      </c>
      <c r="W47" s="1279">
        <v>0.2</v>
      </c>
      <c r="X47" s="1410">
        <v>100</v>
      </c>
      <c r="Y47" s="1277">
        <f t="shared" ref="Y47" si="36">IF(S47=0,0,S47/Q47)*100</f>
        <v>36.9</v>
      </c>
      <c r="Z47" s="244">
        <f t="shared" ref="Z47" si="37">R47*0.988</f>
        <v>2.2457240000000001</v>
      </c>
      <c r="AA47" s="244">
        <f t="shared" ref="AA47" si="38">S47*0.988</f>
        <v>7.2914399999999997</v>
      </c>
      <c r="AB47" s="1277">
        <f t="shared" ref="AB47" si="39">T47*0.988</f>
        <v>39.519999999999996</v>
      </c>
      <c r="AC47" s="244">
        <f t="shared" ref="AC47" si="40">U47</f>
        <v>17.59788825340959</v>
      </c>
      <c r="AD47" s="1277">
        <f t="shared" ref="AD47" si="41">V47</f>
        <v>69.200542005420047</v>
      </c>
      <c r="AE47" s="241">
        <f t="shared" si="35"/>
        <v>30</v>
      </c>
      <c r="AF47" s="244">
        <f t="shared" ref="AF47" si="42">Z47*AE47</f>
        <v>67.371719999999996</v>
      </c>
      <c r="AG47" s="1285"/>
      <c r="AI47" s="1282">
        <f t="shared" si="8"/>
        <v>12.872184912116117</v>
      </c>
      <c r="AJ47" s="1252">
        <v>0.9083</v>
      </c>
      <c r="AK47" s="1252">
        <v>1.0169999999999999</v>
      </c>
      <c r="AL47" s="1252">
        <v>7.7447712000000004E-4</v>
      </c>
    </row>
    <row r="48" spans="1:38" s="1478" customFormat="1" ht="18.600000000000001" customHeight="1" x14ac:dyDescent="0.2">
      <c r="A48" s="1273">
        <v>32</v>
      </c>
      <c r="B48" s="1274" t="s">
        <v>207</v>
      </c>
      <c r="C48" s="241" t="s">
        <v>46</v>
      </c>
      <c r="D48" s="241">
        <v>674.39</v>
      </c>
      <c r="E48" s="241" t="s">
        <v>598</v>
      </c>
      <c r="F48" s="241">
        <v>177.8</v>
      </c>
      <c r="G48" s="241" t="s">
        <v>28</v>
      </c>
      <c r="H48" s="1299" t="s">
        <v>588</v>
      </c>
      <c r="I48" s="1787">
        <v>572.85</v>
      </c>
      <c r="J48" s="241">
        <v>120</v>
      </c>
      <c r="K48" s="241"/>
      <c r="L48" s="1277">
        <v>254</v>
      </c>
      <c r="M48" s="241"/>
      <c r="N48" s="1278">
        <v>3.5</v>
      </c>
      <c r="O48" s="241"/>
      <c r="P48" s="1278">
        <f t="shared" si="9"/>
        <v>33.920729760115734</v>
      </c>
      <c r="Q48" s="1278">
        <f>14*J48/100</f>
        <v>16.8</v>
      </c>
      <c r="R48" s="244">
        <v>5.48</v>
      </c>
      <c r="S48" s="244">
        <v>14.946999999999999</v>
      </c>
      <c r="T48" s="1277">
        <v>7</v>
      </c>
      <c r="U48" s="1278">
        <f t="shared" si="27"/>
        <v>1.2773722627737225</v>
      </c>
      <c r="V48" s="1278">
        <f t="shared" si="11"/>
        <v>63.337124506589944</v>
      </c>
      <c r="W48" s="1279">
        <v>0.3</v>
      </c>
      <c r="X48" s="1316">
        <v>120</v>
      </c>
      <c r="Y48" s="1277">
        <f t="shared" si="1"/>
        <v>88.970238095238088</v>
      </c>
      <c r="Z48" s="244">
        <f t="shared" si="17"/>
        <v>5.4142400000000004</v>
      </c>
      <c r="AA48" s="244">
        <f t="shared" si="17"/>
        <v>14.767636</v>
      </c>
      <c r="AB48" s="1277">
        <f t="shared" si="17"/>
        <v>6.9160000000000004</v>
      </c>
      <c r="AC48" s="244">
        <f t="shared" si="34"/>
        <v>1.2773722627737225</v>
      </c>
      <c r="AD48" s="1277">
        <f t="shared" si="34"/>
        <v>63.337124506589944</v>
      </c>
      <c r="AE48" s="241">
        <f t="shared" si="35"/>
        <v>30</v>
      </c>
      <c r="AF48" s="244">
        <f t="shared" si="14"/>
        <v>162.4272</v>
      </c>
      <c r="AG48" s="1285"/>
      <c r="AH48" s="1252"/>
      <c r="AI48" s="1282">
        <f t="shared" si="8"/>
        <v>33.920729760115734</v>
      </c>
      <c r="AJ48" s="1252">
        <v>0.91710000000000003</v>
      </c>
      <c r="AK48" s="1252">
        <v>1.024</v>
      </c>
      <c r="AL48" s="1252">
        <v>7.9591010000000008E-4</v>
      </c>
    </row>
    <row r="49" spans="1:38" ht="30" customHeight="1" x14ac:dyDescent="0.2">
      <c r="A49" s="1273">
        <v>33</v>
      </c>
      <c r="B49" s="1274" t="s">
        <v>599</v>
      </c>
      <c r="C49" s="241" t="s">
        <v>46</v>
      </c>
      <c r="D49" s="1278">
        <v>684.01</v>
      </c>
      <c r="E49" s="1787" t="s">
        <v>600</v>
      </c>
      <c r="F49" s="241">
        <v>177.8</v>
      </c>
      <c r="G49" s="241" t="s">
        <v>28</v>
      </c>
      <c r="H49" s="1299" t="s">
        <v>687</v>
      </c>
      <c r="I49" s="1787">
        <v>546.08000000000004</v>
      </c>
      <c r="J49" s="241">
        <v>105</v>
      </c>
      <c r="K49" s="241"/>
      <c r="L49" s="1322">
        <v>175</v>
      </c>
      <c r="M49" s="241"/>
      <c r="N49" s="1306">
        <v>4.4000000000000004</v>
      </c>
      <c r="O49" s="241"/>
      <c r="P49" s="1278">
        <f t="shared" si="9"/>
        <v>40.542201247172834</v>
      </c>
      <c r="Q49" s="1278">
        <f>20*J49/100</f>
        <v>21</v>
      </c>
      <c r="R49" s="244">
        <v>2.669</v>
      </c>
      <c r="S49" s="244">
        <v>13.385</v>
      </c>
      <c r="T49" s="1277">
        <v>56.3</v>
      </c>
      <c r="U49" s="1278">
        <f t="shared" si="27"/>
        <v>21.09404271262645</v>
      </c>
      <c r="V49" s="1278">
        <f t="shared" si="11"/>
        <v>80.059768397459834</v>
      </c>
      <c r="W49" s="1279">
        <v>0.2</v>
      </c>
      <c r="X49" s="1316">
        <v>105</v>
      </c>
      <c r="Y49" s="1277">
        <f t="shared" ref="Y49" si="43">IF(S49=0,0,S49/Q49)*100</f>
        <v>63.738095238095241</v>
      </c>
      <c r="Z49" s="244">
        <f t="shared" ref="Z49" si="44">R49*0.988</f>
        <v>2.6369720000000001</v>
      </c>
      <c r="AA49" s="244">
        <f t="shared" ref="AA49" si="45">S49*0.988</f>
        <v>13.22438</v>
      </c>
      <c r="AB49" s="1277">
        <f t="shared" ref="AB49" si="46">T49*0.988</f>
        <v>55.624399999999994</v>
      </c>
      <c r="AC49" s="244">
        <f t="shared" ref="AC49" si="47">U49</f>
        <v>21.09404271262645</v>
      </c>
      <c r="AD49" s="1277">
        <f t="shared" ref="AD49" si="48">V49</f>
        <v>80.059768397459834</v>
      </c>
      <c r="AE49" s="241">
        <f t="shared" si="35"/>
        <v>30</v>
      </c>
      <c r="AF49" s="244">
        <f t="shared" ref="AF49" si="49">Z49*AE49</f>
        <v>79.109160000000003</v>
      </c>
      <c r="AG49" s="1285"/>
      <c r="AI49" s="1282">
        <f t="shared" si="8"/>
        <v>40.542201247172834</v>
      </c>
      <c r="AJ49" s="1252">
        <v>0.91579999999999995</v>
      </c>
      <c r="AK49" s="1252">
        <v>1.028</v>
      </c>
      <c r="AL49" s="1252">
        <v>7.7447712000000004E-4</v>
      </c>
    </row>
    <row r="50" spans="1:38" ht="18.75" customHeight="1" x14ac:dyDescent="0.2">
      <c r="A50" s="1273">
        <v>34</v>
      </c>
      <c r="B50" s="1274" t="s">
        <v>196</v>
      </c>
      <c r="C50" s="241" t="s">
        <v>46</v>
      </c>
      <c r="D50" s="241">
        <v>641</v>
      </c>
      <c r="E50" s="241" t="s">
        <v>619</v>
      </c>
      <c r="F50" s="241">
        <v>177.8</v>
      </c>
      <c r="G50" s="241" t="s">
        <v>28</v>
      </c>
      <c r="H50" s="241" t="s">
        <v>50</v>
      </c>
      <c r="I50" s="1787">
        <v>607.85</v>
      </c>
      <c r="J50" s="241"/>
      <c r="K50" s="1323">
        <v>58.46</v>
      </c>
      <c r="L50" s="1324"/>
      <c r="M50" s="1325">
        <v>0.3</v>
      </c>
      <c r="N50" s="1326"/>
      <c r="O50" s="241"/>
      <c r="P50" s="1278">
        <f t="shared" si="9"/>
        <v>52.724000149518879</v>
      </c>
      <c r="Q50" s="1278"/>
      <c r="R50" s="244"/>
      <c r="S50" s="244"/>
      <c r="T50" s="1277"/>
      <c r="U50" s="1278"/>
      <c r="V50" s="1278"/>
      <c r="W50" s="1279"/>
      <c r="X50" s="1316"/>
      <c r="Y50" s="1277">
        <f t="shared" si="1"/>
        <v>0</v>
      </c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8"/>
        <v>52.724000149518879</v>
      </c>
      <c r="AJ50" s="1252">
        <v>0.89590000000000003</v>
      </c>
      <c r="AK50" s="1252">
        <v>1.0169999999999999</v>
      </c>
      <c r="AL50" s="1252">
        <v>1.1667729E-3</v>
      </c>
    </row>
    <row r="51" spans="1:38" ht="18.75" customHeight="1" x14ac:dyDescent="0.2">
      <c r="A51" s="1273">
        <v>35</v>
      </c>
      <c r="B51" s="1274" t="s">
        <v>60</v>
      </c>
      <c r="C51" s="241" t="s">
        <v>46</v>
      </c>
      <c r="D51" s="241">
        <v>641.04999999999995</v>
      </c>
      <c r="E51" s="241" t="s">
        <v>462</v>
      </c>
      <c r="F51" s="241">
        <v>177.8</v>
      </c>
      <c r="G51" s="241" t="s">
        <v>28</v>
      </c>
      <c r="H51" s="1299" t="s">
        <v>592</v>
      </c>
      <c r="I51" s="1787">
        <v>535</v>
      </c>
      <c r="J51" s="1448">
        <v>110</v>
      </c>
      <c r="K51" s="241"/>
      <c r="L51" s="1277">
        <v>448</v>
      </c>
      <c r="M51" s="241"/>
      <c r="N51" s="1278">
        <v>4.9000000000000004</v>
      </c>
      <c r="O51" s="241"/>
      <c r="P51" s="1278">
        <f t="shared" si="9"/>
        <v>13.092988762543415</v>
      </c>
      <c r="Q51" s="1278">
        <f>RIGHT(H51,(FIND("T",H51,1)-0))*J51/100</f>
        <v>15.4</v>
      </c>
      <c r="R51" s="244">
        <v>4.3310000000000004</v>
      </c>
      <c r="S51" s="244">
        <v>10.615</v>
      </c>
      <c r="T51" s="1277">
        <v>121.5</v>
      </c>
      <c r="U51" s="1278">
        <f t="shared" si="27"/>
        <v>28.053567305472175</v>
      </c>
      <c r="V51" s="1278">
        <f t="shared" si="11"/>
        <v>59.199246349505415</v>
      </c>
      <c r="W51" s="1279">
        <v>0.2</v>
      </c>
      <c r="X51" s="1449">
        <v>110</v>
      </c>
      <c r="Y51" s="1277">
        <f t="shared" si="1"/>
        <v>68.928571428571431</v>
      </c>
      <c r="Z51" s="244">
        <f t="shared" ref="Z51:AB51" si="50">R51*0.988</f>
        <v>4.2790280000000003</v>
      </c>
      <c r="AA51" s="244">
        <f t="shared" si="50"/>
        <v>10.48762</v>
      </c>
      <c r="AB51" s="1277">
        <f t="shared" si="50"/>
        <v>120.042</v>
      </c>
      <c r="AC51" s="244">
        <f>U51</f>
        <v>28.053567305472175</v>
      </c>
      <c r="AD51" s="1278">
        <f t="shared" ref="AD51" si="51">(AA51-Z51)/AA51*100</f>
        <v>59.199246349505408</v>
      </c>
      <c r="AE51" s="241">
        <f>(DAY(EOMONTH($AH$15,0))-AH51)</f>
        <v>30</v>
      </c>
      <c r="AF51" s="244">
        <f t="shared" si="14"/>
        <v>128.37084000000002</v>
      </c>
      <c r="AG51" s="1281"/>
      <c r="AI51" s="1282">
        <f t="shared" si="8"/>
        <v>13.092988762543415</v>
      </c>
      <c r="AJ51" s="1252">
        <v>0.88929999999999998</v>
      </c>
      <c r="AK51" s="1252">
        <v>1.02</v>
      </c>
      <c r="AL51" s="1252">
        <v>1.1667729E-3</v>
      </c>
    </row>
    <row r="52" spans="1:38" ht="18.75" customHeight="1" x14ac:dyDescent="0.2">
      <c r="A52" s="1273">
        <v>36</v>
      </c>
      <c r="B52" s="1274" t="s">
        <v>119</v>
      </c>
      <c r="C52" s="241" t="s">
        <v>404</v>
      </c>
      <c r="D52" s="241">
        <v>654.07000000000005</v>
      </c>
      <c r="E52" s="241" t="s">
        <v>410</v>
      </c>
      <c r="F52" s="241">
        <v>177.8</v>
      </c>
      <c r="G52" s="241" t="s">
        <v>28</v>
      </c>
      <c r="H52" s="241" t="s">
        <v>566</v>
      </c>
      <c r="I52" s="1787">
        <v>500.38</v>
      </c>
      <c r="J52" s="241"/>
      <c r="K52" s="241">
        <v>478</v>
      </c>
      <c r="L52" s="1277"/>
      <c r="M52" s="241">
        <v>0</v>
      </c>
      <c r="N52" s="1278"/>
      <c r="O52" s="241"/>
      <c r="P52" s="1278">
        <f t="shared" si="9"/>
        <v>42.733666838193933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1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8"/>
        <v>42.733666838193933</v>
      </c>
      <c r="AJ52" s="1252">
        <v>0.8821</v>
      </c>
      <c r="AK52" s="1252">
        <v>1.018</v>
      </c>
      <c r="AL52" s="1252">
        <v>1.0764654000000001E-3</v>
      </c>
    </row>
    <row r="53" spans="1:38" ht="29.25" customHeight="1" x14ac:dyDescent="0.2">
      <c r="A53" s="1273">
        <v>37</v>
      </c>
      <c r="B53" s="1274" t="s">
        <v>118</v>
      </c>
      <c r="C53" s="241" t="s">
        <v>408</v>
      </c>
      <c r="D53" s="241">
        <v>728.77</v>
      </c>
      <c r="E53" s="1787" t="s">
        <v>442</v>
      </c>
      <c r="F53" s="241">
        <v>177.8</v>
      </c>
      <c r="G53" s="241" t="s">
        <v>28</v>
      </c>
      <c r="H53" s="241" t="s">
        <v>687</v>
      </c>
      <c r="I53" s="1787">
        <v>515.54</v>
      </c>
      <c r="J53" s="241">
        <v>95</v>
      </c>
      <c r="K53" s="241"/>
      <c r="L53" s="1277">
        <v>399</v>
      </c>
      <c r="M53" s="241"/>
      <c r="N53" s="1278">
        <v>3.4</v>
      </c>
      <c r="O53" s="241"/>
      <c r="P53" s="1278">
        <f t="shared" si="9"/>
        <v>14.661476389677675</v>
      </c>
      <c r="Q53" s="1325">
        <f>J53*20/100</f>
        <v>19</v>
      </c>
      <c r="R53" s="244">
        <v>3.1619999999999999</v>
      </c>
      <c r="S53" s="244">
        <v>13.821</v>
      </c>
      <c r="T53" s="1277">
        <v>31.5</v>
      </c>
      <c r="U53" s="1278">
        <f t="shared" ref="U53" si="52">IF(R53=0,0,T53/R53)</f>
        <v>9.9620493358633784</v>
      </c>
      <c r="V53" s="1278">
        <f t="shared" ref="V53" si="53">(S53-R53)/S53*100</f>
        <v>77.12177121771218</v>
      </c>
      <c r="W53" s="1279">
        <v>0</v>
      </c>
      <c r="X53" s="1449">
        <v>95</v>
      </c>
      <c r="Y53" s="1277">
        <f t="shared" ref="Y53" si="54">IF(S53=0,0,S53/Q53)*100</f>
        <v>72.742105263157896</v>
      </c>
      <c r="Z53" s="244">
        <f t="shared" ref="Z53" si="55">R53*0.988</f>
        <v>3.1240559999999999</v>
      </c>
      <c r="AA53" s="244">
        <f t="shared" ref="AA53" si="56">S53*0.988</f>
        <v>13.655147999999999</v>
      </c>
      <c r="AB53" s="1277">
        <f t="shared" ref="AB53" si="57">T53*0.988</f>
        <v>31.122</v>
      </c>
      <c r="AC53" s="244">
        <f>U53</f>
        <v>9.9620493358633784</v>
      </c>
      <c r="AD53" s="1278">
        <f t="shared" ref="AD53" si="58">(AA53-Z53)/AA53*100</f>
        <v>77.12177121771218</v>
      </c>
      <c r="AE53" s="241">
        <v>15</v>
      </c>
      <c r="AF53" s="244">
        <f t="shared" ref="AF53:AF59" si="59">Z53*AE53</f>
        <v>46.860839999999996</v>
      </c>
      <c r="AG53" s="1281" t="s">
        <v>826</v>
      </c>
      <c r="AI53" s="1282">
        <f t="shared" si="8"/>
        <v>14.661476389677675</v>
      </c>
      <c r="AJ53" s="1252">
        <v>0.90849999999999997</v>
      </c>
      <c r="AK53" s="1252">
        <v>1.0209999999999999</v>
      </c>
      <c r="AL53" s="1252">
        <v>8.2480850000000007E-4</v>
      </c>
    </row>
    <row r="54" spans="1:38" ht="18.75" customHeight="1" x14ac:dyDescent="0.2">
      <c r="A54" s="1273">
        <v>38</v>
      </c>
      <c r="B54" s="1274" t="s">
        <v>117</v>
      </c>
      <c r="C54" s="241" t="s">
        <v>46</v>
      </c>
      <c r="D54" s="241">
        <v>671.45</v>
      </c>
      <c r="E54" s="241" t="s">
        <v>554</v>
      </c>
      <c r="F54" s="241">
        <v>177.8</v>
      </c>
      <c r="G54" s="241" t="s">
        <v>28</v>
      </c>
      <c r="H54" s="1299" t="s">
        <v>588</v>
      </c>
      <c r="I54" s="1787">
        <v>564.6500000000002</v>
      </c>
      <c r="J54" s="1448">
        <v>0</v>
      </c>
      <c r="K54" s="241"/>
      <c r="L54" s="1277">
        <v>0</v>
      </c>
      <c r="M54" s="241"/>
      <c r="N54" s="1278">
        <v>0</v>
      </c>
      <c r="O54" s="241"/>
      <c r="P54" s="1278" t="e">
        <v>#DIV/0!</v>
      </c>
      <c r="Q54" s="1278">
        <v>0</v>
      </c>
      <c r="R54" s="244">
        <v>0</v>
      </c>
      <c r="S54" s="244">
        <v>0</v>
      </c>
      <c r="T54" s="1277">
        <v>0</v>
      </c>
      <c r="U54" s="1278">
        <v>0</v>
      </c>
      <c r="V54" s="1278" t="e">
        <v>#DIV/0!</v>
      </c>
      <c r="W54" s="1279">
        <v>0</v>
      </c>
      <c r="X54" s="1449"/>
      <c r="Y54" s="1277">
        <f t="shared" si="1"/>
        <v>0</v>
      </c>
      <c r="Z54" s="244"/>
      <c r="AA54" s="244"/>
      <c r="AB54" s="1277"/>
      <c r="AC54" s="244"/>
      <c r="AD54" s="1277"/>
      <c r="AE54" s="241"/>
      <c r="AF54" s="244"/>
      <c r="AG54" s="1281" t="s">
        <v>682</v>
      </c>
      <c r="AI54" s="1282" t="e">
        <f t="shared" si="8"/>
        <v>#DIV/0!</v>
      </c>
      <c r="AJ54" s="1252">
        <v>0.91290000000000004</v>
      </c>
      <c r="AK54" s="1252">
        <v>1.0189999999999999</v>
      </c>
      <c r="AL54" s="1252">
        <v>8.1276750000000011E-4</v>
      </c>
    </row>
    <row r="55" spans="1:38" ht="18.75" customHeight="1" x14ac:dyDescent="0.2">
      <c r="A55" s="1273">
        <v>39</v>
      </c>
      <c r="B55" s="1473" t="s">
        <v>115</v>
      </c>
      <c r="C55" s="1275" t="s">
        <v>46</v>
      </c>
      <c r="D55" s="1275">
        <v>580.71</v>
      </c>
      <c r="E55" s="1275" t="s">
        <v>286</v>
      </c>
      <c r="F55" s="241">
        <v>177.8</v>
      </c>
      <c r="G55" s="1275" t="s">
        <v>28</v>
      </c>
      <c r="H55" s="1474" t="s">
        <v>685</v>
      </c>
      <c r="I55" s="1475">
        <v>566.44000000000005</v>
      </c>
      <c r="J55" s="1448">
        <v>0</v>
      </c>
      <c r="K55" s="241"/>
      <c r="L55" s="1277">
        <v>0</v>
      </c>
      <c r="M55" s="241"/>
      <c r="N55" s="1278">
        <v>0</v>
      </c>
      <c r="O55" s="241"/>
      <c r="P55" s="1278" t="e">
        <f t="shared" ref="P55:P59" si="60">AI55</f>
        <v>#DIV/0!</v>
      </c>
      <c r="Q55" s="1278">
        <f>(20/100)*J55</f>
        <v>0</v>
      </c>
      <c r="R55" s="244">
        <v>0</v>
      </c>
      <c r="S55" s="244">
        <v>0</v>
      </c>
      <c r="T55" s="1277">
        <v>0</v>
      </c>
      <c r="U55" s="1278">
        <f t="shared" ref="U55:U59" si="61">IF(R55=0,0,T55/R55)</f>
        <v>0</v>
      </c>
      <c r="V55" s="1278" t="e">
        <f t="shared" ref="V55:V86" si="62">(S55-R55)/S55*100</f>
        <v>#DIV/0!</v>
      </c>
      <c r="W55" s="1279">
        <v>0</v>
      </c>
      <c r="X55" s="1453">
        <v>95</v>
      </c>
      <c r="Y55" s="1277">
        <v>110.84962406015038</v>
      </c>
      <c r="Z55" s="244">
        <v>6.5593320000000004</v>
      </c>
      <c r="AA55" s="244">
        <v>14.566084</v>
      </c>
      <c r="AB55" s="1277">
        <v>13.4368</v>
      </c>
      <c r="AC55" s="1459">
        <v>2.0485012803133</v>
      </c>
      <c r="AD55" s="1277">
        <v>54.968459607949526</v>
      </c>
      <c r="AE55" s="241">
        <v>5</v>
      </c>
      <c r="AF55" s="244">
        <f t="shared" si="59"/>
        <v>32.796660000000003</v>
      </c>
      <c r="AG55" s="1281" t="s">
        <v>808</v>
      </c>
      <c r="AI55" s="1282" t="e">
        <f t="shared" si="8"/>
        <v>#DIV/0!</v>
      </c>
      <c r="AJ55" s="1252">
        <v>0.91320000000000001</v>
      </c>
      <c r="AK55" s="1252">
        <v>1.018</v>
      </c>
      <c r="AL55" s="1252">
        <v>6.1000000000000004E-3</v>
      </c>
    </row>
    <row r="56" spans="1:38" ht="18.75" customHeight="1" x14ac:dyDescent="0.2">
      <c r="A56" s="1273">
        <v>40</v>
      </c>
      <c r="B56" s="1274" t="s">
        <v>116</v>
      </c>
      <c r="C56" s="241" t="s">
        <v>46</v>
      </c>
      <c r="D56" s="241">
        <v>681.27</v>
      </c>
      <c r="E56" s="241" t="s">
        <v>601</v>
      </c>
      <c r="F56" s="241">
        <v>177.8</v>
      </c>
      <c r="G56" s="241" t="s">
        <v>28</v>
      </c>
      <c r="H56" s="241" t="s">
        <v>687</v>
      </c>
      <c r="I56" s="1787">
        <v>589.64</v>
      </c>
      <c r="J56" s="1448">
        <v>0</v>
      </c>
      <c r="K56" s="241"/>
      <c r="L56" s="1277">
        <v>0</v>
      </c>
      <c r="M56" s="241"/>
      <c r="N56" s="1278">
        <v>0</v>
      </c>
      <c r="O56" s="241"/>
      <c r="P56" s="1278" t="e">
        <f t="shared" si="60"/>
        <v>#DIV/0!</v>
      </c>
      <c r="Q56" s="1278">
        <f>(20/100)*J56</f>
        <v>0</v>
      </c>
      <c r="R56" s="244">
        <v>0</v>
      </c>
      <c r="S56" s="244">
        <v>0</v>
      </c>
      <c r="T56" s="1277">
        <v>0</v>
      </c>
      <c r="U56" s="1278">
        <f t="shared" si="61"/>
        <v>0</v>
      </c>
      <c r="V56" s="1278" t="e">
        <f t="shared" si="62"/>
        <v>#DIV/0!</v>
      </c>
      <c r="W56" s="1279">
        <v>0</v>
      </c>
      <c r="X56" s="1449">
        <v>120</v>
      </c>
      <c r="Y56" s="1277">
        <v>75.629166666666663</v>
      </c>
      <c r="Z56" s="244">
        <v>2.491736</v>
      </c>
      <c r="AA56" s="244">
        <v>17.933188000000001</v>
      </c>
      <c r="AB56" s="1277">
        <v>12.053599999999999</v>
      </c>
      <c r="AC56" s="1459">
        <v>4.8374306106264866</v>
      </c>
      <c r="AD56" s="1277">
        <v>86.105448735606842</v>
      </c>
      <c r="AE56" s="241">
        <v>20</v>
      </c>
      <c r="AF56" s="244">
        <f t="shared" si="59"/>
        <v>49.834719999999997</v>
      </c>
      <c r="AG56" s="1281" t="s">
        <v>808</v>
      </c>
      <c r="AI56" s="1282" t="e">
        <f t="shared" si="8"/>
        <v>#DIV/0!</v>
      </c>
      <c r="AJ56" s="1252">
        <v>0.91420000000000001</v>
      </c>
      <c r="AK56" s="1252">
        <v>1.018</v>
      </c>
      <c r="AL56" s="1252">
        <v>6.1000000000000004E-3</v>
      </c>
    </row>
    <row r="57" spans="1:38" ht="18.75" customHeight="1" x14ac:dyDescent="0.2">
      <c r="A57" s="1273">
        <v>41</v>
      </c>
      <c r="B57" s="1274" t="s">
        <v>120</v>
      </c>
      <c r="C57" s="241" t="s">
        <v>46</v>
      </c>
      <c r="D57" s="241">
        <v>669.48</v>
      </c>
      <c r="E57" s="241" t="s">
        <v>285</v>
      </c>
      <c r="F57" s="241">
        <v>177.8</v>
      </c>
      <c r="G57" s="241" t="s">
        <v>28</v>
      </c>
      <c r="H57" s="1275" t="s">
        <v>563</v>
      </c>
      <c r="I57" s="1787">
        <v>560.83000000000004</v>
      </c>
      <c r="J57" s="1448">
        <v>0</v>
      </c>
      <c r="K57" s="241"/>
      <c r="L57" s="1277">
        <v>0</v>
      </c>
      <c r="M57" s="241"/>
      <c r="N57" s="1278">
        <v>0</v>
      </c>
      <c r="O57" s="241"/>
      <c r="P57" s="1278" t="e">
        <f t="shared" si="60"/>
        <v>#DIV/0!</v>
      </c>
      <c r="Q57" s="1278">
        <f>(20/100)*J57</f>
        <v>0</v>
      </c>
      <c r="R57" s="244">
        <v>0</v>
      </c>
      <c r="S57" s="244">
        <v>0</v>
      </c>
      <c r="T57" s="1277">
        <v>0</v>
      </c>
      <c r="U57" s="1278">
        <f t="shared" si="61"/>
        <v>0</v>
      </c>
      <c r="V57" s="1278" t="e">
        <f t="shared" si="62"/>
        <v>#DIV/0!</v>
      </c>
      <c r="W57" s="1279">
        <v>0</v>
      </c>
      <c r="X57" s="1316">
        <v>110</v>
      </c>
      <c r="Y57" s="1277">
        <v>105.15757575757576</v>
      </c>
      <c r="Z57" s="244">
        <v>7.6678680000000004</v>
      </c>
      <c r="AA57" s="244">
        <v>17.142787999999999</v>
      </c>
      <c r="AB57" s="1277">
        <v>10.868</v>
      </c>
      <c r="AC57" s="244">
        <v>1.4173431258858393</v>
      </c>
      <c r="AD57" s="1277">
        <v>55.27058959137802</v>
      </c>
      <c r="AE57" s="241">
        <v>20</v>
      </c>
      <c r="AF57" s="244">
        <f t="shared" si="59"/>
        <v>153.35736</v>
      </c>
      <c r="AG57" s="1281" t="s">
        <v>808</v>
      </c>
      <c r="AI57" s="1282" t="e">
        <f t="shared" si="8"/>
        <v>#DIV/0!</v>
      </c>
      <c r="AJ57" s="1252">
        <v>0.91379999999999995</v>
      </c>
      <c r="AK57" s="1252">
        <v>1.018</v>
      </c>
      <c r="AL57" s="1252">
        <v>6.1000000000000004E-3</v>
      </c>
    </row>
    <row r="58" spans="1:38" ht="18.75" customHeight="1" x14ac:dyDescent="0.2">
      <c r="A58" s="1273">
        <v>42</v>
      </c>
      <c r="B58" s="1274" t="s">
        <v>114</v>
      </c>
      <c r="C58" s="241" t="s">
        <v>46</v>
      </c>
      <c r="D58" s="241">
        <v>584.25</v>
      </c>
      <c r="E58" s="241" t="s">
        <v>602</v>
      </c>
      <c r="F58" s="241">
        <v>177.8</v>
      </c>
      <c r="G58" s="241" t="s">
        <v>28</v>
      </c>
      <c r="H58" s="1299" t="s">
        <v>540</v>
      </c>
      <c r="I58" s="1787">
        <v>556.55999999999995</v>
      </c>
      <c r="J58" s="1448">
        <v>0</v>
      </c>
      <c r="K58" s="241"/>
      <c r="L58" s="1277">
        <v>0</v>
      </c>
      <c r="M58" s="241"/>
      <c r="N58" s="1278">
        <v>0</v>
      </c>
      <c r="O58" s="241"/>
      <c r="P58" s="1278" t="e">
        <f t="shared" si="60"/>
        <v>#DIV/0!</v>
      </c>
      <c r="Q58" s="1278">
        <f>(20/100)*J58</f>
        <v>0</v>
      </c>
      <c r="R58" s="244">
        <v>0</v>
      </c>
      <c r="S58" s="244">
        <v>0</v>
      </c>
      <c r="T58" s="1277">
        <v>0</v>
      </c>
      <c r="U58" s="1278">
        <f t="shared" si="61"/>
        <v>0</v>
      </c>
      <c r="V58" s="1278" t="e">
        <f t="shared" si="62"/>
        <v>#DIV/0!</v>
      </c>
      <c r="W58" s="1279">
        <v>0</v>
      </c>
      <c r="X58" s="1316">
        <v>100</v>
      </c>
      <c r="Y58" s="1277">
        <v>88.231818181818184</v>
      </c>
      <c r="Z58" s="244">
        <v>2.095548</v>
      </c>
      <c r="AA58" s="244">
        <v>19.178068</v>
      </c>
      <c r="AB58" s="1277">
        <v>8.8919999999999995</v>
      </c>
      <c r="AC58" s="244">
        <v>4.2432814710042432</v>
      </c>
      <c r="AD58" s="1277">
        <v>89.073205914172377</v>
      </c>
      <c r="AE58" s="241">
        <v>20</v>
      </c>
      <c r="AF58" s="244">
        <f t="shared" si="59"/>
        <v>41.910960000000003</v>
      </c>
      <c r="AG58" s="1281" t="s">
        <v>808</v>
      </c>
      <c r="AI58" s="1282" t="e">
        <f t="shared" si="8"/>
        <v>#DIV/0!</v>
      </c>
      <c r="AJ58" s="1252">
        <v>0.9254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43</v>
      </c>
      <c r="B59" s="1274" t="s">
        <v>106</v>
      </c>
      <c r="C59" s="241" t="s">
        <v>46</v>
      </c>
      <c r="D59" s="241">
        <v>582.16</v>
      </c>
      <c r="E59" s="241" t="s">
        <v>691</v>
      </c>
      <c r="F59" s="241">
        <v>177.8</v>
      </c>
      <c r="G59" s="241" t="s">
        <v>28</v>
      </c>
      <c r="H59" s="1299" t="s">
        <v>685</v>
      </c>
      <c r="I59" s="1787">
        <v>551.66</v>
      </c>
      <c r="J59" s="1448">
        <v>0</v>
      </c>
      <c r="K59" s="241"/>
      <c r="L59" s="1277">
        <v>0</v>
      </c>
      <c r="M59" s="241"/>
      <c r="N59" s="1278">
        <v>0</v>
      </c>
      <c r="O59" s="241"/>
      <c r="P59" s="1278" t="e">
        <f t="shared" si="60"/>
        <v>#DIV/0!</v>
      </c>
      <c r="Q59" s="1278">
        <f>(20/100)*J59</f>
        <v>0</v>
      </c>
      <c r="R59" s="244">
        <v>0</v>
      </c>
      <c r="S59" s="244">
        <v>0</v>
      </c>
      <c r="T59" s="1277">
        <v>0</v>
      </c>
      <c r="U59" s="1278">
        <f t="shared" si="61"/>
        <v>0</v>
      </c>
      <c r="V59" s="1278" t="e">
        <f t="shared" si="62"/>
        <v>#DIV/0!</v>
      </c>
      <c r="W59" s="1279">
        <v>0</v>
      </c>
      <c r="X59" s="1316">
        <v>120</v>
      </c>
      <c r="Y59" s="1277">
        <v>68.208333333333329</v>
      </c>
      <c r="Z59" s="244">
        <v>1.068028</v>
      </c>
      <c r="AA59" s="244">
        <v>11.321491999999999</v>
      </c>
      <c r="AB59" s="1277">
        <v>10.868</v>
      </c>
      <c r="AC59" s="244">
        <v>10.175763182238668</v>
      </c>
      <c r="AD59" s="1277">
        <v>90.566367047735412</v>
      </c>
      <c r="AE59" s="241">
        <v>20</v>
      </c>
      <c r="AF59" s="244">
        <f t="shared" si="59"/>
        <v>21.36056</v>
      </c>
      <c r="AG59" s="1281" t="s">
        <v>769</v>
      </c>
      <c r="AI59" s="1282" t="e">
        <f t="shared" si="8"/>
        <v>#DIV/0!</v>
      </c>
      <c r="AJ59" s="1252">
        <v>0.89570000000000005</v>
      </c>
      <c r="AK59" s="1252">
        <v>1.018</v>
      </c>
      <c r="AL59" s="1252">
        <v>6.1000000000000004E-3</v>
      </c>
    </row>
    <row r="60" spans="1:38" ht="18.75" customHeight="1" x14ac:dyDescent="0.2">
      <c r="A60" s="1273">
        <v>44</v>
      </c>
      <c r="B60" s="1274" t="s">
        <v>105</v>
      </c>
      <c r="C60" s="241" t="s">
        <v>445</v>
      </c>
      <c r="D60" s="241">
        <v>565</v>
      </c>
      <c r="E60" s="241" t="s">
        <v>797</v>
      </c>
      <c r="F60" s="241">
        <v>177.8</v>
      </c>
      <c r="G60" s="241" t="s">
        <v>28</v>
      </c>
      <c r="H60" s="1299" t="s">
        <v>685</v>
      </c>
      <c r="I60" s="1787">
        <v>582.49</v>
      </c>
      <c r="J60" s="241">
        <v>110</v>
      </c>
      <c r="K60" s="241"/>
      <c r="L60" s="1319">
        <v>493</v>
      </c>
      <c r="M60" s="1278"/>
      <c r="N60" s="1278">
        <v>2.4</v>
      </c>
      <c r="O60" s="241"/>
      <c r="P60" s="1278">
        <f t="shared" si="9"/>
        <v>10.566581875563637</v>
      </c>
      <c r="Q60" s="1278">
        <f>14*J60/100</f>
        <v>15.4</v>
      </c>
      <c r="R60" s="244">
        <v>4.7910000000000004</v>
      </c>
      <c r="S60" s="244">
        <v>5.2640000000000002</v>
      </c>
      <c r="T60" s="1277">
        <v>114</v>
      </c>
      <c r="U60" s="1278">
        <f t="shared" si="27"/>
        <v>23.794614902943017</v>
      </c>
      <c r="V60" s="1278">
        <f t="shared" si="62"/>
        <v>8.9855623100303923</v>
      </c>
      <c r="W60" s="1279">
        <v>0.2</v>
      </c>
      <c r="X60" s="1316">
        <v>110</v>
      </c>
      <c r="Y60" s="1277">
        <f t="shared" si="1"/>
        <v>34.18181818181818</v>
      </c>
      <c r="Z60" s="244">
        <f t="shared" ref="Z60:AB74" si="63">R60*0.988</f>
        <v>4.7335080000000005</v>
      </c>
      <c r="AA60" s="244">
        <f t="shared" si="63"/>
        <v>5.2008320000000001</v>
      </c>
      <c r="AB60" s="1277">
        <f t="shared" si="63"/>
        <v>112.63200000000001</v>
      </c>
      <c r="AC60" s="244">
        <f>U60</f>
        <v>23.794614902943017</v>
      </c>
      <c r="AD60" s="1277">
        <f>V60</f>
        <v>8.9855623100303923</v>
      </c>
      <c r="AE60" s="241">
        <f t="shared" ref="AE60:AE85" si="64">(DAY(EOMONTH($AH$15,0))-AH60)</f>
        <v>30</v>
      </c>
      <c r="AF60" s="244">
        <f t="shared" si="14"/>
        <v>142.00524000000001</v>
      </c>
      <c r="AG60" s="1281"/>
      <c r="AI60" s="1282">
        <f t="shared" si="8"/>
        <v>10.566581875563637</v>
      </c>
      <c r="AJ60" s="1252">
        <v>0.8982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45</v>
      </c>
      <c r="B61" s="1274" t="s">
        <v>104</v>
      </c>
      <c r="C61" s="241" t="s">
        <v>580</v>
      </c>
      <c r="D61" s="241">
        <v>705.7</v>
      </c>
      <c r="E61" s="1787" t="s">
        <v>692</v>
      </c>
      <c r="F61" s="241">
        <v>177.8</v>
      </c>
      <c r="G61" s="241" t="s">
        <v>28</v>
      </c>
      <c r="H61" s="1299" t="s">
        <v>683</v>
      </c>
      <c r="I61" s="1787">
        <v>513.6</v>
      </c>
      <c r="J61" s="241">
        <v>125</v>
      </c>
      <c r="K61" s="241"/>
      <c r="L61" s="1277">
        <v>387</v>
      </c>
      <c r="M61" s="241"/>
      <c r="N61" s="1278">
        <v>1.3</v>
      </c>
      <c r="O61" s="241"/>
      <c r="P61" s="1278">
        <f t="shared" si="9"/>
        <v>13.122532188478212</v>
      </c>
      <c r="Q61" s="1278">
        <f>J61*13/100</f>
        <v>16.25</v>
      </c>
      <c r="R61" s="244">
        <v>1.9410000000000001</v>
      </c>
      <c r="S61" s="244">
        <v>3.2709999999999999</v>
      </c>
      <c r="T61" s="1277">
        <v>23</v>
      </c>
      <c r="U61" s="1278">
        <f t="shared" si="27"/>
        <v>11.84956208140134</v>
      </c>
      <c r="V61" s="1278">
        <f t="shared" si="62"/>
        <v>40.660348517273007</v>
      </c>
      <c r="W61" s="1279">
        <v>0.2</v>
      </c>
      <c r="X61" s="1316">
        <v>125</v>
      </c>
      <c r="Y61" s="1277">
        <f t="shared" si="1"/>
        <v>20.129230769230769</v>
      </c>
      <c r="Z61" s="244">
        <f t="shared" si="63"/>
        <v>1.917708</v>
      </c>
      <c r="AA61" s="244">
        <f t="shared" si="63"/>
        <v>3.2317480000000001</v>
      </c>
      <c r="AB61" s="1277">
        <f t="shared" si="63"/>
        <v>22.724</v>
      </c>
      <c r="AC61" s="244">
        <f t="shared" ref="AC61:AD69" si="65">U61</f>
        <v>11.84956208140134</v>
      </c>
      <c r="AD61" s="1277">
        <f>V61</f>
        <v>40.660348517273007</v>
      </c>
      <c r="AE61" s="241">
        <f t="shared" si="64"/>
        <v>30</v>
      </c>
      <c r="AF61" s="244">
        <f t="shared" si="14"/>
        <v>57.531239999999997</v>
      </c>
      <c r="AG61" s="1281"/>
      <c r="AI61" s="1282">
        <f t="shared" si="8"/>
        <v>13.122532188478212</v>
      </c>
      <c r="AJ61" s="1252">
        <v>0.89649999999999996</v>
      </c>
      <c r="AK61" s="1252">
        <v>1.018</v>
      </c>
      <c r="AL61" s="1252">
        <v>6.1000000000000004E-3</v>
      </c>
    </row>
    <row r="62" spans="1:38" ht="18.600000000000001" customHeight="1" x14ac:dyDescent="0.25">
      <c r="A62" s="1273">
        <v>46</v>
      </c>
      <c r="B62" s="1317" t="s">
        <v>158</v>
      </c>
      <c r="C62" s="241" t="s">
        <v>46</v>
      </c>
      <c r="D62" s="1787">
        <v>674.45</v>
      </c>
      <c r="E62" s="1787" t="s">
        <v>232</v>
      </c>
      <c r="F62" s="241">
        <v>177.8</v>
      </c>
      <c r="G62" s="241" t="s">
        <v>28</v>
      </c>
      <c r="H62" s="1299" t="s">
        <v>464</v>
      </c>
      <c r="I62" s="1787">
        <v>542.6</v>
      </c>
      <c r="J62" s="1787">
        <v>150</v>
      </c>
      <c r="K62" s="1787"/>
      <c r="L62" s="1319">
        <v>473</v>
      </c>
      <c r="M62" s="1787"/>
      <c r="N62" s="1278">
        <v>2.4</v>
      </c>
      <c r="O62" s="1787"/>
      <c r="P62" s="1278">
        <f t="shared" si="9"/>
        <v>8.9700181000528953</v>
      </c>
      <c r="Q62" s="1278">
        <f>RIGHT(H62,(FIND("T",H62,1)-0))*J62/100</f>
        <v>21</v>
      </c>
      <c r="R62" s="244">
        <v>5.6689999999999996</v>
      </c>
      <c r="S62" s="244">
        <v>8.4510000000000005</v>
      </c>
      <c r="T62" s="1319">
        <v>11.8</v>
      </c>
      <c r="U62" s="1278">
        <f t="shared" si="27"/>
        <v>2.0814958546480864</v>
      </c>
      <c r="V62" s="1278">
        <f t="shared" si="62"/>
        <v>32.919181161992675</v>
      </c>
      <c r="W62" s="1279">
        <v>0.2</v>
      </c>
      <c r="X62" s="1410">
        <v>150</v>
      </c>
      <c r="Y62" s="1277">
        <f t="shared" si="1"/>
        <v>40.242857142857147</v>
      </c>
      <c r="Z62" s="244">
        <f t="shared" si="63"/>
        <v>5.6009719999999996</v>
      </c>
      <c r="AA62" s="244">
        <f t="shared" si="63"/>
        <v>8.3495880000000007</v>
      </c>
      <c r="AB62" s="1277">
        <f t="shared" si="63"/>
        <v>11.6584</v>
      </c>
      <c r="AC62" s="244">
        <f t="shared" si="65"/>
        <v>2.0814958546480864</v>
      </c>
      <c r="AD62" s="1277">
        <f t="shared" si="65"/>
        <v>32.919181161992675</v>
      </c>
      <c r="AE62" s="241">
        <f t="shared" si="64"/>
        <v>30</v>
      </c>
      <c r="AF62" s="244">
        <f>Z62*AE62</f>
        <v>168.02915999999999</v>
      </c>
      <c r="AG62" s="1342"/>
      <c r="AI62" s="1282">
        <f t="shared" si="8"/>
        <v>8.9700181000528953</v>
      </c>
      <c r="AJ62" s="1252">
        <v>0.8921</v>
      </c>
      <c r="AK62" s="1252">
        <v>1.018</v>
      </c>
      <c r="AL62" s="1252">
        <v>6.1000000000000004E-3</v>
      </c>
    </row>
    <row r="63" spans="1:38" ht="18.600000000000001" customHeight="1" x14ac:dyDescent="0.25">
      <c r="A63" s="1273">
        <v>47</v>
      </c>
      <c r="B63" s="1317" t="s">
        <v>160</v>
      </c>
      <c r="C63" s="241" t="s">
        <v>445</v>
      </c>
      <c r="D63" s="1795">
        <v>659.8</v>
      </c>
      <c r="E63" s="241" t="s">
        <v>832</v>
      </c>
      <c r="F63" s="241">
        <v>177.8</v>
      </c>
      <c r="G63" s="241" t="s">
        <v>28</v>
      </c>
      <c r="H63" s="1299" t="s">
        <v>800</v>
      </c>
      <c r="I63" s="1795">
        <v>645.67999999999995</v>
      </c>
      <c r="J63" s="1795">
        <v>85</v>
      </c>
      <c r="K63" s="1795"/>
      <c r="L63" s="1319"/>
      <c r="M63" s="1795"/>
      <c r="N63" s="1278"/>
      <c r="O63" s="1795"/>
      <c r="P63" s="1278"/>
      <c r="Q63" s="1278"/>
      <c r="R63" s="244"/>
      <c r="S63" s="244"/>
      <c r="T63" s="1319"/>
      <c r="U63" s="1278"/>
      <c r="V63" s="1278"/>
      <c r="W63" s="1279"/>
      <c r="X63" s="1452">
        <v>85</v>
      </c>
      <c r="Y63" s="1278"/>
      <c r="Z63" s="1278">
        <v>3</v>
      </c>
      <c r="AA63" s="1278">
        <v>3.25</v>
      </c>
      <c r="AB63" s="1278">
        <v>120</v>
      </c>
      <c r="AC63" s="1278">
        <f>AB63/Z63</f>
        <v>40</v>
      </c>
      <c r="AD63" s="1278">
        <f>AA63-Z63/AA63/100</f>
        <v>3.2407692307692306</v>
      </c>
      <c r="AE63" s="1277">
        <v>20</v>
      </c>
      <c r="AF63" s="1278">
        <f t="shared" ref="AF63:AF74" si="66">Z63*AE63</f>
        <v>60</v>
      </c>
      <c r="AG63" s="1342" t="s">
        <v>827</v>
      </c>
      <c r="AI63" s="1282"/>
    </row>
    <row r="64" spans="1:38" ht="18.75" customHeight="1" x14ac:dyDescent="0.2">
      <c r="A64" s="1273">
        <v>48</v>
      </c>
      <c r="B64" s="1274" t="s">
        <v>164</v>
      </c>
      <c r="C64" s="241" t="s">
        <v>46</v>
      </c>
      <c r="D64" s="1787">
        <v>678.47</v>
      </c>
      <c r="E64" s="1787" t="s">
        <v>606</v>
      </c>
      <c r="F64" s="241">
        <v>177.8</v>
      </c>
      <c r="G64" s="241" t="s">
        <v>28</v>
      </c>
      <c r="H64" s="241" t="s">
        <v>687</v>
      </c>
      <c r="I64" s="1787">
        <v>576.29999999999995</v>
      </c>
      <c r="J64" s="1373">
        <v>85</v>
      </c>
      <c r="K64" s="1787"/>
      <c r="L64" s="1319">
        <v>132</v>
      </c>
      <c r="M64" s="1787"/>
      <c r="N64" s="1278">
        <v>0</v>
      </c>
      <c r="O64" s="1787"/>
      <c r="P64" s="1278">
        <f t="shared" si="9"/>
        <v>43.232974537476487</v>
      </c>
      <c r="Q64" s="1278">
        <f>RIGHT(H64,(FIND("T",H64,1)-0))*J64/100</f>
        <v>17</v>
      </c>
      <c r="R64" s="244">
        <v>2.5659999999999998</v>
      </c>
      <c r="S64" s="244">
        <v>17.622</v>
      </c>
      <c r="T64" s="1277">
        <v>22</v>
      </c>
      <c r="U64" s="1278">
        <f t="shared" si="27"/>
        <v>8.5736554949337496</v>
      </c>
      <c r="V64" s="1278">
        <f t="shared" si="62"/>
        <v>85.438656225173077</v>
      </c>
      <c r="W64" s="1279">
        <v>0.2</v>
      </c>
      <c r="X64" s="1452">
        <v>85</v>
      </c>
      <c r="Y64" s="1277">
        <f t="shared" si="1"/>
        <v>103.65882352941176</v>
      </c>
      <c r="Z64" s="244">
        <f t="shared" si="63"/>
        <v>2.5352079999999999</v>
      </c>
      <c r="AA64" s="244">
        <f t="shared" si="63"/>
        <v>17.410536</v>
      </c>
      <c r="AB64" s="1277">
        <f t="shared" si="63"/>
        <v>21.736000000000001</v>
      </c>
      <c r="AC64" s="244">
        <f t="shared" si="65"/>
        <v>8.5736554949337496</v>
      </c>
      <c r="AD64" s="1277">
        <f t="shared" si="65"/>
        <v>85.438656225173077</v>
      </c>
      <c r="AE64" s="1288">
        <v>23</v>
      </c>
      <c r="AF64" s="244">
        <f t="shared" si="66"/>
        <v>58.309784000000001</v>
      </c>
      <c r="AG64" s="1281" t="s">
        <v>834</v>
      </c>
      <c r="AI64" s="1282">
        <f t="shared" si="8"/>
        <v>43.232974537476487</v>
      </c>
      <c r="AJ64" s="1252">
        <v>0.91659999999999997</v>
      </c>
      <c r="AK64" s="1252">
        <v>1.018</v>
      </c>
      <c r="AL64" s="1252">
        <v>6.1000000000000004E-3</v>
      </c>
    </row>
    <row r="65" spans="1:38" ht="18.75" customHeight="1" x14ac:dyDescent="0.2">
      <c r="A65" s="1273">
        <v>49</v>
      </c>
      <c r="B65" s="1274" t="s">
        <v>61</v>
      </c>
      <c r="C65" s="241" t="s">
        <v>46</v>
      </c>
      <c r="D65" s="241">
        <v>667.18</v>
      </c>
      <c r="E65" s="241" t="s">
        <v>96</v>
      </c>
      <c r="F65" s="241">
        <v>177.8</v>
      </c>
      <c r="G65" s="241" t="s">
        <v>28</v>
      </c>
      <c r="H65" s="1299" t="s">
        <v>693</v>
      </c>
      <c r="I65" s="1787">
        <v>541.12</v>
      </c>
      <c r="J65" s="241">
        <v>185</v>
      </c>
      <c r="K65" s="241"/>
      <c r="L65" s="1277">
        <v>449</v>
      </c>
      <c r="M65" s="241"/>
      <c r="N65" s="1278">
        <v>5</v>
      </c>
      <c r="O65" s="241"/>
      <c r="P65" s="1278">
        <f t="shared" si="9"/>
        <v>14.033130310628254</v>
      </c>
      <c r="Q65" s="1278">
        <f>20*J65/100</f>
        <v>37</v>
      </c>
      <c r="R65" s="244">
        <v>4.7030000000000003</v>
      </c>
      <c r="S65" s="244">
        <v>16.824999999999999</v>
      </c>
      <c r="T65" s="1277">
        <v>135</v>
      </c>
      <c r="U65" s="1278">
        <f t="shared" si="27"/>
        <v>28.705081862640867</v>
      </c>
      <c r="V65" s="1278">
        <f t="shared" si="62"/>
        <v>72.047548291233284</v>
      </c>
      <c r="W65" s="1279">
        <v>0.2</v>
      </c>
      <c r="X65" s="1316">
        <v>185</v>
      </c>
      <c r="Y65" s="1277">
        <f t="shared" si="1"/>
        <v>45.472972972972968</v>
      </c>
      <c r="Z65" s="244">
        <f t="shared" si="63"/>
        <v>4.6465640000000006</v>
      </c>
      <c r="AA65" s="244">
        <f t="shared" si="63"/>
        <v>16.623100000000001</v>
      </c>
      <c r="AB65" s="1277">
        <f t="shared" si="63"/>
        <v>133.38</v>
      </c>
      <c r="AC65" s="244">
        <f t="shared" si="65"/>
        <v>28.705081862640867</v>
      </c>
      <c r="AD65" s="1277">
        <f t="shared" si="65"/>
        <v>72.047548291233284</v>
      </c>
      <c r="AE65" s="241">
        <f t="shared" si="64"/>
        <v>30</v>
      </c>
      <c r="AF65" s="244">
        <f t="shared" si="66"/>
        <v>139.39692000000002</v>
      </c>
      <c r="AG65" s="1285"/>
      <c r="AI65" s="1282">
        <f t="shared" si="8"/>
        <v>14.033130310628254</v>
      </c>
      <c r="AJ65" s="1252">
        <v>0.8931</v>
      </c>
      <c r="AK65" s="1252">
        <v>1.018</v>
      </c>
      <c r="AL65" s="1252">
        <v>6.1000000000000004E-3</v>
      </c>
    </row>
    <row r="66" spans="1:38" ht="18.75" customHeight="1" x14ac:dyDescent="0.2">
      <c r="A66" s="1273">
        <v>50</v>
      </c>
      <c r="B66" s="1274" t="s">
        <v>64</v>
      </c>
      <c r="C66" s="241" t="s">
        <v>46</v>
      </c>
      <c r="D66" s="241">
        <v>674.52</v>
      </c>
      <c r="E66" s="241" t="s">
        <v>444</v>
      </c>
      <c r="F66" s="241">
        <v>177.8</v>
      </c>
      <c r="G66" s="241" t="s">
        <v>28</v>
      </c>
      <c r="H66" s="1299" t="s">
        <v>464</v>
      </c>
      <c r="I66" s="1787">
        <v>521.42999999999995</v>
      </c>
      <c r="J66" s="241">
        <v>300</v>
      </c>
      <c r="K66" s="241"/>
      <c r="L66" s="1277">
        <v>454</v>
      </c>
      <c r="M66" s="241"/>
      <c r="N66" s="1278">
        <v>4</v>
      </c>
      <c r="O66" s="241"/>
      <c r="P66" s="1278">
        <f t="shared" si="9"/>
        <v>10.384024191683791</v>
      </c>
      <c r="Q66" s="1278">
        <f>J66*14/100</f>
        <v>42</v>
      </c>
      <c r="R66" s="244">
        <v>8.9890000000000008</v>
      </c>
      <c r="S66" s="244">
        <v>15.423999999999999</v>
      </c>
      <c r="T66" s="1277">
        <v>214</v>
      </c>
      <c r="U66" s="1278">
        <f t="shared" si="27"/>
        <v>23.806875069529422</v>
      </c>
      <c r="V66" s="1278">
        <f t="shared" si="62"/>
        <v>41.720695020746881</v>
      </c>
      <c r="W66" s="1279">
        <v>0.2</v>
      </c>
      <c r="X66" s="1316">
        <v>300</v>
      </c>
      <c r="Y66" s="1277">
        <f t="shared" si="1"/>
        <v>36.723809523809528</v>
      </c>
      <c r="Z66" s="244">
        <f t="shared" si="63"/>
        <v>8.8811320000000009</v>
      </c>
      <c r="AA66" s="244">
        <f t="shared" si="63"/>
        <v>15.238911999999999</v>
      </c>
      <c r="AB66" s="1277">
        <f t="shared" si="63"/>
        <v>211.43199999999999</v>
      </c>
      <c r="AC66" s="244">
        <f t="shared" si="65"/>
        <v>23.806875069529422</v>
      </c>
      <c r="AD66" s="1277">
        <f t="shared" si="65"/>
        <v>41.720695020746881</v>
      </c>
      <c r="AE66" s="241">
        <f t="shared" si="64"/>
        <v>30</v>
      </c>
      <c r="AF66" s="244">
        <f t="shared" si="66"/>
        <v>266.43396000000001</v>
      </c>
      <c r="AG66" s="1281"/>
      <c r="AI66" s="1282">
        <f t="shared" si="8"/>
        <v>10.384024191683791</v>
      </c>
      <c r="AJ66" s="1252">
        <v>0.87870000000000004</v>
      </c>
      <c r="AK66" s="1252">
        <v>1.018</v>
      </c>
      <c r="AL66" s="1252">
        <v>6.1000000000000004E-3</v>
      </c>
    </row>
    <row r="67" spans="1:38" ht="29.25" customHeight="1" x14ac:dyDescent="0.2">
      <c r="A67" s="1273">
        <v>51</v>
      </c>
      <c r="B67" s="1274" t="s">
        <v>156</v>
      </c>
      <c r="C67" s="241" t="s">
        <v>408</v>
      </c>
      <c r="D67" s="241">
        <v>679.54</v>
      </c>
      <c r="E67" s="1787" t="s">
        <v>607</v>
      </c>
      <c r="F67" s="241">
        <v>177.8</v>
      </c>
      <c r="G67" s="241" t="s">
        <v>28</v>
      </c>
      <c r="H67" s="241" t="s">
        <v>464</v>
      </c>
      <c r="I67" s="1787">
        <v>512.28</v>
      </c>
      <c r="J67" s="241">
        <v>195</v>
      </c>
      <c r="K67" s="241"/>
      <c r="L67" s="1277">
        <v>414</v>
      </c>
      <c r="M67" s="241"/>
      <c r="N67" s="1278">
        <v>2.5</v>
      </c>
      <c r="O67" s="241"/>
      <c r="P67" s="1278">
        <f t="shared" si="9"/>
        <v>11.923918947425658</v>
      </c>
      <c r="Q67" s="1278">
        <f>J67*14/100</f>
        <v>27.3</v>
      </c>
      <c r="R67" s="244">
        <v>5.0570000000000004</v>
      </c>
      <c r="S67" s="244">
        <v>10.324999999999999</v>
      </c>
      <c r="T67" s="1277">
        <v>36</v>
      </c>
      <c r="U67" s="1278">
        <f t="shared" si="27"/>
        <v>7.1188451651176585</v>
      </c>
      <c r="V67" s="1278">
        <f t="shared" si="62"/>
        <v>51.021791767554468</v>
      </c>
      <c r="W67" s="1279">
        <v>0.2</v>
      </c>
      <c r="X67" s="1316">
        <v>195</v>
      </c>
      <c r="Y67" s="1277">
        <f t="shared" si="1"/>
        <v>37.820512820512818</v>
      </c>
      <c r="Z67" s="244">
        <f t="shared" si="63"/>
        <v>4.9963160000000002</v>
      </c>
      <c r="AA67" s="244">
        <f t="shared" si="63"/>
        <v>10.201099999999999</v>
      </c>
      <c r="AB67" s="1277">
        <f t="shared" si="63"/>
        <v>35.567999999999998</v>
      </c>
      <c r="AC67" s="244">
        <f t="shared" si="65"/>
        <v>7.1188451651176585</v>
      </c>
      <c r="AD67" s="1277">
        <f t="shared" si="65"/>
        <v>51.021791767554468</v>
      </c>
      <c r="AE67" s="241">
        <f t="shared" si="64"/>
        <v>30</v>
      </c>
      <c r="AF67" s="244">
        <f t="shared" si="66"/>
        <v>149.88947999999999</v>
      </c>
      <c r="AG67" s="1285"/>
      <c r="AI67" s="1282">
        <f t="shared" si="8"/>
        <v>11.923918947425658</v>
      </c>
      <c r="AJ67" s="1252">
        <v>0.90920000000000001</v>
      </c>
      <c r="AK67" s="1252">
        <v>1.018</v>
      </c>
      <c r="AL67" s="1252">
        <v>6.1000000000000004E-3</v>
      </c>
    </row>
    <row r="68" spans="1:38" ht="18.75" customHeight="1" x14ac:dyDescent="0.2">
      <c r="A68" s="1273">
        <v>52</v>
      </c>
      <c r="B68" s="1274" t="s">
        <v>169</v>
      </c>
      <c r="C68" s="241" t="s">
        <v>46</v>
      </c>
      <c r="D68" s="241">
        <v>578.64</v>
      </c>
      <c r="E68" s="241" t="s">
        <v>694</v>
      </c>
      <c r="F68" s="241">
        <v>177.8</v>
      </c>
      <c r="G68" s="241" t="s">
        <v>28</v>
      </c>
      <c r="H68" s="241" t="s">
        <v>466</v>
      </c>
      <c r="I68" s="1787">
        <v>539.28</v>
      </c>
      <c r="J68" s="241">
        <v>110</v>
      </c>
      <c r="K68" s="241"/>
      <c r="L68" s="1277">
        <v>262</v>
      </c>
      <c r="M68" s="241"/>
      <c r="N68" s="1278">
        <v>4.0999999999999996</v>
      </c>
      <c r="O68" s="241"/>
      <c r="P68" s="1278">
        <f t="shared" si="9"/>
        <v>30.858923452936338</v>
      </c>
      <c r="Q68" s="1278">
        <f>J68*13/100</f>
        <v>14.3</v>
      </c>
      <c r="R68" s="244">
        <v>1.482</v>
      </c>
      <c r="S68" s="244">
        <v>6.0789999999999997</v>
      </c>
      <c r="T68" s="1277">
        <v>2.5</v>
      </c>
      <c r="U68" s="1278">
        <f t="shared" si="27"/>
        <v>1.6869095816464237</v>
      </c>
      <c r="V68" s="1278">
        <f t="shared" si="62"/>
        <v>75.62099029445632</v>
      </c>
      <c r="W68" s="1279">
        <v>0.2</v>
      </c>
      <c r="X68" s="1316">
        <v>110</v>
      </c>
      <c r="Y68" s="1277">
        <f t="shared" si="1"/>
        <v>42.510489510489506</v>
      </c>
      <c r="Z68" s="244">
        <f t="shared" si="63"/>
        <v>1.464216</v>
      </c>
      <c r="AA68" s="244">
        <f t="shared" si="63"/>
        <v>6.0060519999999995</v>
      </c>
      <c r="AB68" s="1277">
        <f t="shared" si="63"/>
        <v>2.4699999999999998</v>
      </c>
      <c r="AC68" s="244">
        <f t="shared" si="65"/>
        <v>1.6869095816464237</v>
      </c>
      <c r="AD68" s="1277">
        <f t="shared" si="65"/>
        <v>75.62099029445632</v>
      </c>
      <c r="AE68" s="241">
        <f t="shared" si="64"/>
        <v>30</v>
      </c>
      <c r="AF68" s="244">
        <f>Z68*AE68</f>
        <v>43.926479999999998</v>
      </c>
      <c r="AG68" s="1281"/>
      <c r="AI68" s="1282">
        <f t="shared" si="8"/>
        <v>30.858923452936338</v>
      </c>
      <c r="AJ68" s="1252">
        <v>0.9073</v>
      </c>
      <c r="AK68" s="1252">
        <v>1.018</v>
      </c>
      <c r="AL68" s="1252">
        <v>6.1000000000000004E-3</v>
      </c>
    </row>
    <row r="69" spans="1:38" ht="19.5" customHeight="1" x14ac:dyDescent="0.2">
      <c r="A69" s="1273">
        <v>53</v>
      </c>
      <c r="B69" s="1274" t="s">
        <v>62</v>
      </c>
      <c r="C69" s="241" t="s">
        <v>46</v>
      </c>
      <c r="D69" s="241">
        <v>673.73</v>
      </c>
      <c r="E69" s="241" t="s">
        <v>97</v>
      </c>
      <c r="F69" s="241">
        <v>177.8</v>
      </c>
      <c r="G69" s="241" t="s">
        <v>28</v>
      </c>
      <c r="H69" s="1299" t="s">
        <v>565</v>
      </c>
      <c r="I69" s="1794">
        <v>541.46</v>
      </c>
      <c r="J69" s="241">
        <v>85</v>
      </c>
      <c r="K69" s="241"/>
      <c r="L69" s="1277">
        <v>245</v>
      </c>
      <c r="M69" s="241"/>
      <c r="N69" s="1278">
        <v>3.7</v>
      </c>
      <c r="O69" s="241"/>
      <c r="P69" s="1278">
        <f t="shared" si="9"/>
        <v>32.675710133054196</v>
      </c>
      <c r="Q69" s="1278">
        <f>(32/100)*J69</f>
        <v>27.2</v>
      </c>
      <c r="R69" s="244">
        <v>3.1440000000000001</v>
      </c>
      <c r="S69" s="244">
        <v>27.347999999999999</v>
      </c>
      <c r="T69" s="1277">
        <v>24</v>
      </c>
      <c r="U69" s="1278">
        <f t="shared" si="27"/>
        <v>7.6335877862595414</v>
      </c>
      <c r="V69" s="1278">
        <f t="shared" si="62"/>
        <v>88.503729706011413</v>
      </c>
      <c r="W69" s="1279">
        <v>0.2</v>
      </c>
      <c r="X69" s="1316">
        <v>85</v>
      </c>
      <c r="Y69" s="1277">
        <f t="shared" si="1"/>
        <v>100.54411764705881</v>
      </c>
      <c r="Z69" s="244">
        <f t="shared" si="63"/>
        <v>3.1062720000000001</v>
      </c>
      <c r="AA69" s="244">
        <f t="shared" si="63"/>
        <v>27.019824</v>
      </c>
      <c r="AB69" s="1277">
        <f t="shared" si="63"/>
        <v>23.712</v>
      </c>
      <c r="AC69" s="244">
        <f>U69</f>
        <v>7.6335877862595414</v>
      </c>
      <c r="AD69" s="1277">
        <f t="shared" si="65"/>
        <v>88.503729706011413</v>
      </c>
      <c r="AE69" s="241">
        <f t="shared" si="64"/>
        <v>30</v>
      </c>
      <c r="AF69" s="244">
        <f t="shared" si="66"/>
        <v>93.188160000000011</v>
      </c>
      <c r="AG69" s="1285"/>
      <c r="AI69" s="1282">
        <f t="shared" si="8"/>
        <v>32.675710133054196</v>
      </c>
      <c r="AJ69" s="1252">
        <v>0.90039999999999998</v>
      </c>
      <c r="AK69" s="1252">
        <v>1.018</v>
      </c>
      <c r="AL69" s="1252">
        <v>6.1000000000000004E-3</v>
      </c>
    </row>
    <row r="70" spans="1:38" ht="18.75" customHeight="1" x14ac:dyDescent="0.2">
      <c r="A70" s="1273">
        <v>54</v>
      </c>
      <c r="B70" s="1274" t="s">
        <v>157</v>
      </c>
      <c r="C70" s="241" t="s">
        <v>46</v>
      </c>
      <c r="D70" s="241">
        <v>602</v>
      </c>
      <c r="E70" s="241" t="s">
        <v>608</v>
      </c>
      <c r="F70" s="241">
        <v>177.8</v>
      </c>
      <c r="G70" s="241" t="s">
        <v>28</v>
      </c>
      <c r="H70" s="241" t="s">
        <v>695</v>
      </c>
      <c r="I70" s="1787">
        <v>541.84</v>
      </c>
      <c r="J70" s="1448">
        <v>0</v>
      </c>
      <c r="K70" s="241"/>
      <c r="L70" s="1277">
        <v>0</v>
      </c>
      <c r="M70" s="1278"/>
      <c r="N70" s="1278">
        <v>0</v>
      </c>
      <c r="O70" s="241"/>
      <c r="P70" s="1278" t="e">
        <f t="shared" si="9"/>
        <v>#DIV/0!</v>
      </c>
      <c r="Q70" s="1278">
        <f>(32/100)*J70</f>
        <v>0</v>
      </c>
      <c r="R70" s="244">
        <v>0</v>
      </c>
      <c r="S70" s="244">
        <v>0</v>
      </c>
      <c r="T70" s="1277">
        <v>0</v>
      </c>
      <c r="U70" s="1278">
        <f t="shared" si="27"/>
        <v>0</v>
      </c>
      <c r="V70" s="1278" t="e">
        <f t="shared" si="62"/>
        <v>#DIV/0!</v>
      </c>
      <c r="W70" s="1279">
        <v>0</v>
      </c>
      <c r="X70" s="1449">
        <v>0</v>
      </c>
      <c r="Y70" s="1277">
        <f t="shared" si="1"/>
        <v>0</v>
      </c>
      <c r="Z70" s="244">
        <f t="shared" si="63"/>
        <v>0</v>
      </c>
      <c r="AA70" s="244">
        <f t="shared" si="63"/>
        <v>0</v>
      </c>
      <c r="AB70" s="1277">
        <f t="shared" si="63"/>
        <v>0</v>
      </c>
      <c r="AC70" s="244">
        <f>U70</f>
        <v>0</v>
      </c>
      <c r="AD70" s="1277" t="e">
        <f>V70</f>
        <v>#DIV/0!</v>
      </c>
      <c r="AE70" s="241">
        <v>0</v>
      </c>
      <c r="AF70" s="244">
        <f t="shared" si="66"/>
        <v>0</v>
      </c>
      <c r="AG70" s="1281" t="s">
        <v>769</v>
      </c>
      <c r="AI70" s="1282" t="e">
        <f t="shared" si="8"/>
        <v>#DIV/0!</v>
      </c>
      <c r="AJ70" s="1252">
        <v>0.90700000000000003</v>
      </c>
      <c r="AK70" s="1252">
        <v>1.018</v>
      </c>
      <c r="AL70" s="1252">
        <v>6.1000000000000004E-3</v>
      </c>
    </row>
    <row r="71" spans="1:38" ht="18.75" customHeight="1" x14ac:dyDescent="0.2">
      <c r="A71" s="1273">
        <v>55</v>
      </c>
      <c r="B71" s="1274" t="s">
        <v>159</v>
      </c>
      <c r="C71" s="241" t="s">
        <v>46</v>
      </c>
      <c r="D71" s="241">
        <v>676.1</v>
      </c>
      <c r="E71" s="241" t="s">
        <v>167</v>
      </c>
      <c r="F71" s="241">
        <v>177.8</v>
      </c>
      <c r="G71" s="241" t="s">
        <v>28</v>
      </c>
      <c r="H71" s="1299" t="s">
        <v>565</v>
      </c>
      <c r="I71" s="1794">
        <v>512.47</v>
      </c>
      <c r="J71" s="1277">
        <v>255</v>
      </c>
      <c r="K71" s="241"/>
      <c r="L71" s="1277">
        <v>465</v>
      </c>
      <c r="M71" s="241"/>
      <c r="N71" s="1278">
        <v>4.4000000000000004</v>
      </c>
      <c r="O71" s="241"/>
      <c r="P71" s="1278">
        <f t="shared" si="9"/>
        <v>8.8139206132325558</v>
      </c>
      <c r="Q71" s="1278">
        <f>(32*J71)/100</f>
        <v>81.599999999999994</v>
      </c>
      <c r="R71" s="244">
        <v>15.987</v>
      </c>
      <c r="S71" s="244">
        <v>20.026</v>
      </c>
      <c r="T71" s="1277">
        <v>529</v>
      </c>
      <c r="U71" s="1278">
        <f t="shared" si="27"/>
        <v>33.089385125414402</v>
      </c>
      <c r="V71" s="1278">
        <f t="shared" si="62"/>
        <v>20.168780585239187</v>
      </c>
      <c r="W71" s="1279">
        <v>0.2</v>
      </c>
      <c r="X71" s="1454">
        <v>255</v>
      </c>
      <c r="Y71" s="1277">
        <f t="shared" si="1"/>
        <v>24.541666666666668</v>
      </c>
      <c r="Z71" s="244">
        <f t="shared" si="63"/>
        <v>15.795156</v>
      </c>
      <c r="AA71" s="244">
        <f t="shared" si="63"/>
        <v>19.785688</v>
      </c>
      <c r="AB71" s="1277">
        <f t="shared" si="63"/>
        <v>522.65200000000004</v>
      </c>
      <c r="AC71" s="244">
        <f>U71</f>
        <v>33.089385125414402</v>
      </c>
      <c r="AD71" s="1277">
        <f>V71</f>
        <v>20.168780585239187</v>
      </c>
      <c r="AE71" s="241">
        <f t="shared" si="64"/>
        <v>30</v>
      </c>
      <c r="AF71" s="244">
        <f t="shared" si="66"/>
        <v>473.85468000000003</v>
      </c>
      <c r="AG71" s="1281"/>
      <c r="AI71" s="1282">
        <f t="shared" si="8"/>
        <v>8.8139206132325558</v>
      </c>
      <c r="AJ71" s="1252">
        <v>0.871</v>
      </c>
      <c r="AK71" s="1252">
        <v>1.018</v>
      </c>
      <c r="AL71" s="1252">
        <v>6.1000000000000004E-3</v>
      </c>
    </row>
    <row r="72" spans="1:38" ht="18.75" customHeight="1" x14ac:dyDescent="0.2">
      <c r="A72" s="1273">
        <v>56</v>
      </c>
      <c r="B72" s="1274" t="s">
        <v>330</v>
      </c>
      <c r="C72" s="241" t="s">
        <v>46</v>
      </c>
      <c r="D72" s="241">
        <v>594.58000000000004</v>
      </c>
      <c r="E72" s="241" t="s">
        <v>758</v>
      </c>
      <c r="F72" s="241">
        <v>178.8</v>
      </c>
      <c r="G72" s="241" t="s">
        <v>28</v>
      </c>
      <c r="H72" s="1299" t="s">
        <v>565</v>
      </c>
      <c r="I72" s="1794">
        <v>507.46</v>
      </c>
      <c r="J72" s="1448">
        <v>110</v>
      </c>
      <c r="K72" s="241"/>
      <c r="L72" s="1277">
        <v>396</v>
      </c>
      <c r="M72" s="241"/>
      <c r="N72" s="1278">
        <v>6</v>
      </c>
      <c r="O72" s="241"/>
      <c r="P72" s="1278">
        <f t="shared" si="9"/>
        <v>15.975486795978547</v>
      </c>
      <c r="Q72" s="1278">
        <f>J72*32/100</f>
        <v>35.200000000000003</v>
      </c>
      <c r="R72" s="244">
        <v>13.95</v>
      </c>
      <c r="S72" s="244">
        <v>17.257999999999999</v>
      </c>
      <c r="T72" s="1277">
        <v>124</v>
      </c>
      <c r="U72" s="1278">
        <f t="shared" si="27"/>
        <v>8.8888888888888893</v>
      </c>
      <c r="V72" s="1278">
        <f t="shared" si="62"/>
        <v>19.167922123073357</v>
      </c>
      <c r="W72" s="1279">
        <v>0.2</v>
      </c>
      <c r="X72" s="1449">
        <v>110</v>
      </c>
      <c r="Y72" s="1277">
        <f t="shared" si="1"/>
        <v>49.028409090909086</v>
      </c>
      <c r="Z72" s="244">
        <f t="shared" si="63"/>
        <v>13.782599999999999</v>
      </c>
      <c r="AA72" s="244">
        <f t="shared" si="63"/>
        <v>17.050903999999999</v>
      </c>
      <c r="AB72" s="1277">
        <f t="shared" si="63"/>
        <v>122.512</v>
      </c>
      <c r="AC72" s="244">
        <v>20</v>
      </c>
      <c r="AD72" s="1277">
        <v>17</v>
      </c>
      <c r="AE72" s="241">
        <f t="shared" si="64"/>
        <v>30</v>
      </c>
      <c r="AF72" s="244">
        <f t="shared" si="66"/>
        <v>413.47799999999995</v>
      </c>
      <c r="AG72" s="1281"/>
      <c r="AI72" s="1282">
        <f t="shared" si="8"/>
        <v>15.975486795978547</v>
      </c>
      <c r="AJ72" s="1252">
        <v>0.87539999999999996</v>
      </c>
      <c r="AK72" s="1252">
        <v>1.018</v>
      </c>
      <c r="AL72" s="1252">
        <v>6.1000000000000004E-3</v>
      </c>
    </row>
    <row r="73" spans="1:38" ht="18.75" customHeight="1" x14ac:dyDescent="0.2">
      <c r="A73" s="1273">
        <v>57</v>
      </c>
      <c r="B73" s="1274" t="s">
        <v>210</v>
      </c>
      <c r="C73" s="241" t="s">
        <v>46</v>
      </c>
      <c r="D73" s="241">
        <v>728.8</v>
      </c>
      <c r="E73" s="241" t="s">
        <v>610</v>
      </c>
      <c r="F73" s="241">
        <v>177.8</v>
      </c>
      <c r="G73" s="241" t="s">
        <v>28</v>
      </c>
      <c r="H73" s="1299" t="s">
        <v>540</v>
      </c>
      <c r="I73" s="1794">
        <v>549.1</v>
      </c>
      <c r="J73" s="1448">
        <v>205</v>
      </c>
      <c r="K73" s="241"/>
      <c r="L73" s="1277">
        <v>409</v>
      </c>
      <c r="M73" s="241"/>
      <c r="N73" s="1278">
        <v>7.9</v>
      </c>
      <c r="O73" s="241"/>
      <c r="P73" s="1278">
        <f t="shared" si="9"/>
        <v>21.295694866735502</v>
      </c>
      <c r="Q73" s="1278">
        <f>LEFT(H73,(FIND("E",H73,1)-1))*J73/100</f>
        <v>45.1</v>
      </c>
      <c r="R73" s="244">
        <v>11.048</v>
      </c>
      <c r="S73" s="244">
        <v>29.943999999999999</v>
      </c>
      <c r="T73" s="1277">
        <v>292.5</v>
      </c>
      <c r="U73" s="1278">
        <f t="shared" si="27"/>
        <v>26.475380159304851</v>
      </c>
      <c r="V73" s="1278">
        <f t="shared" si="62"/>
        <v>63.104461661768639</v>
      </c>
      <c r="W73" s="1279">
        <v>0.2</v>
      </c>
      <c r="X73" s="1449">
        <v>205</v>
      </c>
      <c r="Y73" s="1277">
        <f t="shared" si="1"/>
        <v>66.394678492239464</v>
      </c>
      <c r="Z73" s="244">
        <f t="shared" si="63"/>
        <v>10.915424</v>
      </c>
      <c r="AA73" s="244">
        <f t="shared" si="63"/>
        <v>29.584671999999998</v>
      </c>
      <c r="AB73" s="1277">
        <f t="shared" si="63"/>
        <v>288.99</v>
      </c>
      <c r="AC73" s="244">
        <f>U73</f>
        <v>26.475380159304851</v>
      </c>
      <c r="AD73" s="1277">
        <f>V73</f>
        <v>63.104461661768639</v>
      </c>
      <c r="AE73" s="241">
        <f t="shared" si="64"/>
        <v>30</v>
      </c>
      <c r="AF73" s="244">
        <f t="shared" si="66"/>
        <v>327.46271999999999</v>
      </c>
      <c r="AG73" s="1285"/>
      <c r="AI73" s="1282">
        <f t="shared" si="8"/>
        <v>21.295694866735502</v>
      </c>
      <c r="AJ73" s="1252">
        <v>0.88729999999999998</v>
      </c>
      <c r="AK73" s="1252">
        <v>1.018</v>
      </c>
      <c r="AL73" s="1252">
        <v>6.1000000000000004E-3</v>
      </c>
    </row>
    <row r="74" spans="1:38" ht="18.75" customHeight="1" x14ac:dyDescent="0.2">
      <c r="A74" s="1273">
        <v>58</v>
      </c>
      <c r="B74" s="1274" t="s">
        <v>63</v>
      </c>
      <c r="C74" s="241" t="s">
        <v>46</v>
      </c>
      <c r="D74" s="241">
        <v>672.99</v>
      </c>
      <c r="E74" s="241" t="s">
        <v>98</v>
      </c>
      <c r="F74" s="241">
        <v>177.8</v>
      </c>
      <c r="G74" s="241" t="s">
        <v>28</v>
      </c>
      <c r="H74" s="241" t="s">
        <v>686</v>
      </c>
      <c r="I74" s="1794">
        <v>541.97</v>
      </c>
      <c r="J74" s="1448">
        <v>100</v>
      </c>
      <c r="K74" s="241"/>
      <c r="L74" s="1277">
        <v>56</v>
      </c>
      <c r="M74" s="241"/>
      <c r="N74" s="1278">
        <v>1.3</v>
      </c>
      <c r="O74" s="241"/>
      <c r="P74" s="1278">
        <f t="shared" si="9"/>
        <v>47.961512899911256</v>
      </c>
      <c r="Q74" s="1278">
        <f>(20/100)*J74</f>
        <v>20</v>
      </c>
      <c r="R74" s="244">
        <v>4.476</v>
      </c>
      <c r="S74" s="244">
        <v>20.466999999999999</v>
      </c>
      <c r="T74" s="1277">
        <v>44.3</v>
      </c>
      <c r="U74" s="1278">
        <f t="shared" si="27"/>
        <v>9.8972296693476309</v>
      </c>
      <c r="V74" s="1278">
        <f t="shared" si="62"/>
        <v>78.130649337958673</v>
      </c>
      <c r="W74" s="1279">
        <v>0.2</v>
      </c>
      <c r="X74" s="1449">
        <v>100</v>
      </c>
      <c r="Y74" s="1277">
        <f t="shared" si="1"/>
        <v>102.33499999999999</v>
      </c>
      <c r="Z74" s="244">
        <f t="shared" si="63"/>
        <v>4.422288</v>
      </c>
      <c r="AA74" s="244">
        <f t="shared" si="63"/>
        <v>20.221395999999999</v>
      </c>
      <c r="AB74" s="1277">
        <f t="shared" si="63"/>
        <v>43.7684</v>
      </c>
      <c r="AC74" s="244">
        <f>U74</f>
        <v>9.8972296693476309</v>
      </c>
      <c r="AD74" s="1277">
        <f>V74</f>
        <v>78.130649337958673</v>
      </c>
      <c r="AE74" s="241">
        <f t="shared" si="64"/>
        <v>30</v>
      </c>
      <c r="AF74" s="244">
        <f t="shared" si="66"/>
        <v>132.66864000000001</v>
      </c>
      <c r="AG74" s="1285"/>
      <c r="AI74" s="1282">
        <f t="shared" si="8"/>
        <v>47.961512899911256</v>
      </c>
      <c r="AJ74" s="1252">
        <v>0.89470000000000005</v>
      </c>
      <c r="AK74" s="1252">
        <v>1.018</v>
      </c>
      <c r="AL74" s="1252">
        <v>6.1000000000000004E-3</v>
      </c>
    </row>
    <row r="75" spans="1:38" ht="18.75" customHeight="1" x14ac:dyDescent="0.2">
      <c r="A75" s="1273">
        <v>59</v>
      </c>
      <c r="B75" s="1274" t="s">
        <v>217</v>
      </c>
      <c r="C75" s="241" t="s">
        <v>408</v>
      </c>
      <c r="D75" s="241">
        <v>587.72</v>
      </c>
      <c r="E75" s="241" t="s">
        <v>611</v>
      </c>
      <c r="F75" s="241">
        <v>177.8</v>
      </c>
      <c r="G75" s="241" t="s">
        <v>28</v>
      </c>
      <c r="H75" s="1299" t="s">
        <v>466</v>
      </c>
      <c r="I75" s="1787">
        <v>555.54999999999995</v>
      </c>
      <c r="J75" s="1448">
        <v>0</v>
      </c>
      <c r="K75" s="241">
        <v>51</v>
      </c>
      <c r="L75" s="1277"/>
      <c r="M75" s="241">
        <v>4.8</v>
      </c>
      <c r="N75" s="1278"/>
      <c r="O75" s="241"/>
      <c r="P75" s="1278">
        <f t="shared" si="9"/>
        <v>47.870234344929671</v>
      </c>
      <c r="Q75" s="1278"/>
      <c r="R75" s="244"/>
      <c r="S75" s="244"/>
      <c r="T75" s="1277"/>
      <c r="U75" s="1278"/>
      <c r="V75" s="1278"/>
      <c r="W75" s="1279"/>
      <c r="X75" s="1449">
        <v>0</v>
      </c>
      <c r="Y75" s="1277">
        <f t="shared" si="1"/>
        <v>0</v>
      </c>
      <c r="Z75" s="244"/>
      <c r="AA75" s="244"/>
      <c r="AB75" s="1277"/>
      <c r="AC75" s="244"/>
      <c r="AD75" s="1277"/>
      <c r="AE75" s="241"/>
      <c r="AF75" s="244"/>
      <c r="AG75" s="1281" t="s">
        <v>682</v>
      </c>
      <c r="AI75" s="1282">
        <f t="shared" si="8"/>
        <v>47.870234344929671</v>
      </c>
      <c r="AJ75" s="1252">
        <v>0.89</v>
      </c>
      <c r="AK75" s="1252">
        <v>1.018</v>
      </c>
      <c r="AL75" s="1252">
        <v>6.1000000000000004E-3</v>
      </c>
    </row>
    <row r="76" spans="1:38" ht="30" customHeight="1" x14ac:dyDescent="0.2">
      <c r="A76" s="1273">
        <v>60</v>
      </c>
      <c r="B76" s="1274" t="s">
        <v>504</v>
      </c>
      <c r="C76" s="241" t="s">
        <v>445</v>
      </c>
      <c r="D76" s="1794">
        <v>695.15</v>
      </c>
      <c r="E76" s="1794" t="s">
        <v>823</v>
      </c>
      <c r="F76" s="1274">
        <v>177.8</v>
      </c>
      <c r="G76" s="241" t="s">
        <v>28</v>
      </c>
      <c r="H76" s="241" t="s">
        <v>464</v>
      </c>
      <c r="I76" s="1794">
        <v>640.19000000000005</v>
      </c>
      <c r="J76" s="1794">
        <v>75</v>
      </c>
      <c r="K76" s="1794"/>
      <c r="L76" s="1277">
        <v>394</v>
      </c>
      <c r="M76" s="241"/>
      <c r="N76" s="1278">
        <v>6</v>
      </c>
      <c r="O76" s="241"/>
      <c r="P76" s="1278">
        <f t="shared" si="9"/>
        <v>27.643170530702829</v>
      </c>
      <c r="Q76" s="1278">
        <f>(14/100)*J76</f>
        <v>10.500000000000002</v>
      </c>
      <c r="R76" s="244">
        <v>1.5069999999999999</v>
      </c>
      <c r="S76" s="244">
        <v>1.611</v>
      </c>
      <c r="T76" s="1277">
        <v>61</v>
      </c>
      <c r="U76" s="1278">
        <f t="shared" ref="U76" si="67">IF(R76=0,0,T76/R76)</f>
        <v>40.477770404777708</v>
      </c>
      <c r="V76" s="1278">
        <f t="shared" ref="V76" si="68">(S76-R76)/S76*100</f>
        <v>6.455617628801992</v>
      </c>
      <c r="W76" s="1279">
        <v>0.2</v>
      </c>
      <c r="X76" s="1449">
        <v>75</v>
      </c>
      <c r="Y76" s="1277">
        <f t="shared" si="1"/>
        <v>15.342857142857142</v>
      </c>
      <c r="Z76" s="244">
        <f t="shared" ref="Z76:AB83" si="69">R76*0.988</f>
        <v>1.4889159999999999</v>
      </c>
      <c r="AA76" s="244">
        <f t="shared" si="69"/>
        <v>1.5916679999999999</v>
      </c>
      <c r="AB76" s="1277">
        <f t="shared" si="69"/>
        <v>60.268000000000001</v>
      </c>
      <c r="AC76" s="244">
        <f>U76</f>
        <v>40.477770404777708</v>
      </c>
      <c r="AD76" s="1277">
        <f>V76</f>
        <v>6.455617628801992</v>
      </c>
      <c r="AE76" s="241">
        <f t="shared" si="64"/>
        <v>30</v>
      </c>
      <c r="AF76" s="244">
        <f t="shared" ref="AF76:AF84" si="70">Z76*AE76</f>
        <v>44.667479999999998</v>
      </c>
      <c r="AG76" s="1281"/>
      <c r="AI76" s="1282">
        <f t="shared" si="8"/>
        <v>27.643170530702829</v>
      </c>
      <c r="AJ76" s="1252">
        <v>0.89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61</v>
      </c>
      <c r="B77" s="1274" t="s">
        <v>211</v>
      </c>
      <c r="C77" s="241" t="s">
        <v>46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794">
        <v>560.02</v>
      </c>
      <c r="J77" s="1448">
        <v>200</v>
      </c>
      <c r="K77" s="241"/>
      <c r="L77" s="1277">
        <v>181</v>
      </c>
      <c r="M77" s="241"/>
      <c r="N77" s="1278">
        <v>0.2</v>
      </c>
      <c r="O77" s="241"/>
      <c r="P77" s="1278">
        <f t="shared" si="9"/>
        <v>36.742923135439526</v>
      </c>
      <c r="Q77" s="1278">
        <f>(20*J77)/100</f>
        <v>40</v>
      </c>
      <c r="R77" s="244">
        <v>2.4790000000000001</v>
      </c>
      <c r="S77" s="244">
        <v>9.6590000000000007</v>
      </c>
      <c r="T77" s="1277">
        <v>65.7</v>
      </c>
      <c r="U77" s="1278">
        <f t="shared" si="27"/>
        <v>26.502622025010083</v>
      </c>
      <c r="V77" s="1278">
        <f t="shared" si="62"/>
        <v>74.33481726886842</v>
      </c>
      <c r="W77" s="1279">
        <v>0.2</v>
      </c>
      <c r="X77" s="1449">
        <v>200</v>
      </c>
      <c r="Y77" s="1277">
        <f t="shared" si="1"/>
        <v>24.147500000000001</v>
      </c>
      <c r="Z77" s="244">
        <f t="shared" si="69"/>
        <v>2.449252</v>
      </c>
      <c r="AA77" s="244">
        <f t="shared" si="69"/>
        <v>9.5430920000000015</v>
      </c>
      <c r="AB77" s="1277">
        <f t="shared" si="69"/>
        <v>64.911600000000007</v>
      </c>
      <c r="AC77" s="244">
        <f t="shared" ref="AC77:AD83" si="71">U77</f>
        <v>26.502622025010083</v>
      </c>
      <c r="AD77" s="1277">
        <f t="shared" si="71"/>
        <v>74.33481726886842</v>
      </c>
      <c r="AE77" s="241">
        <f t="shared" si="64"/>
        <v>30</v>
      </c>
      <c r="AF77" s="244">
        <f t="shared" si="70"/>
        <v>73.477559999999997</v>
      </c>
      <c r="AG77" s="1281"/>
      <c r="AI77" s="1282">
        <f t="shared" si="8"/>
        <v>36.742923135439526</v>
      </c>
      <c r="AJ77" s="1252">
        <v>0.92030000000000001</v>
      </c>
      <c r="AK77" s="1252">
        <v>1.018</v>
      </c>
      <c r="AL77" s="1252">
        <v>6.1000000000000004E-3</v>
      </c>
    </row>
    <row r="78" spans="1:38" ht="18.600000000000001" customHeight="1" x14ac:dyDescent="0.2">
      <c r="A78" s="1273">
        <v>62</v>
      </c>
      <c r="B78" s="1274" t="s">
        <v>341</v>
      </c>
      <c r="C78" s="241" t="s">
        <v>46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799</v>
      </c>
      <c r="I78" s="1794">
        <v>510.1</v>
      </c>
      <c r="J78" s="1448">
        <v>120</v>
      </c>
      <c r="K78" s="241"/>
      <c r="L78" s="1277">
        <v>256</v>
      </c>
      <c r="M78" s="241"/>
      <c r="N78" s="1278">
        <v>7.4</v>
      </c>
      <c r="O78" s="241"/>
      <c r="P78" s="1278">
        <f t="shared" si="9"/>
        <v>31.758332607592973</v>
      </c>
      <c r="Q78" s="1278">
        <f>(32*J78)/100</f>
        <v>38.4</v>
      </c>
      <c r="R78" s="244">
        <v>8.1189999999999998</v>
      </c>
      <c r="S78" s="244">
        <v>29.498000000000001</v>
      </c>
      <c r="T78" s="1277">
        <v>530.5</v>
      </c>
      <c r="U78" s="1278">
        <f t="shared" si="27"/>
        <v>65.340559182165293</v>
      </c>
      <c r="V78" s="1278">
        <f t="shared" si="62"/>
        <v>72.476100074581325</v>
      </c>
      <c r="W78" s="1279">
        <v>0.2</v>
      </c>
      <c r="X78" s="1449">
        <v>120</v>
      </c>
      <c r="Y78" s="1277">
        <f t="shared" si="1"/>
        <v>76.817708333333329</v>
      </c>
      <c r="Z78" s="244">
        <f t="shared" si="69"/>
        <v>8.021571999999999</v>
      </c>
      <c r="AA78" s="244">
        <f t="shared" si="69"/>
        <v>29.144024000000002</v>
      </c>
      <c r="AB78" s="1277">
        <f t="shared" si="69"/>
        <v>524.13400000000001</v>
      </c>
      <c r="AC78" s="244">
        <f t="shared" si="71"/>
        <v>65.340559182165293</v>
      </c>
      <c r="AD78" s="1277">
        <f t="shared" si="71"/>
        <v>72.476100074581325</v>
      </c>
      <c r="AE78" s="241">
        <f t="shared" si="64"/>
        <v>30</v>
      </c>
      <c r="AF78" s="244">
        <f t="shared" si="70"/>
        <v>240.64715999999999</v>
      </c>
      <c r="AG78" s="1285"/>
      <c r="AI78" s="1282">
        <f t="shared" si="8"/>
        <v>31.758332607592973</v>
      </c>
      <c r="AJ78" s="1252">
        <v>0.89439999999999997</v>
      </c>
      <c r="AK78" s="1252">
        <v>1.018</v>
      </c>
      <c r="AL78" s="1252">
        <v>6.1000000000000004E-3</v>
      </c>
    </row>
    <row r="79" spans="1:38" ht="18.75" customHeight="1" x14ac:dyDescent="0.2">
      <c r="A79" s="1273">
        <v>63</v>
      </c>
      <c r="B79" s="1274" t="s">
        <v>354</v>
      </c>
      <c r="C79" s="241" t="s">
        <v>46</v>
      </c>
      <c r="D79" s="241">
        <v>563.85</v>
      </c>
      <c r="E79" s="1346" t="s">
        <v>545</v>
      </c>
      <c r="F79" s="241">
        <v>178.8</v>
      </c>
      <c r="G79" s="241" t="s">
        <v>28</v>
      </c>
      <c r="H79" s="1299" t="s">
        <v>687</v>
      </c>
      <c r="I79" s="1794">
        <v>533.89</v>
      </c>
      <c r="J79" s="1448">
        <v>0</v>
      </c>
      <c r="K79" s="241"/>
      <c r="L79" s="1277">
        <v>0</v>
      </c>
      <c r="M79" s="241"/>
      <c r="N79" s="1278">
        <v>0</v>
      </c>
      <c r="O79" s="241"/>
      <c r="P79" s="1278" t="e">
        <f t="shared" si="9"/>
        <v>#DIV/0!</v>
      </c>
      <c r="Q79" s="1278">
        <f>(20/100)*J79</f>
        <v>0</v>
      </c>
      <c r="R79" s="244">
        <v>0</v>
      </c>
      <c r="S79" s="244">
        <v>0</v>
      </c>
      <c r="T79" s="1277">
        <v>0</v>
      </c>
      <c r="U79" s="1278">
        <f t="shared" si="27"/>
        <v>0</v>
      </c>
      <c r="V79" s="1278" t="e">
        <f t="shared" si="62"/>
        <v>#DIV/0!</v>
      </c>
      <c r="W79" s="1279">
        <v>0</v>
      </c>
      <c r="X79" s="1449">
        <v>85</v>
      </c>
      <c r="Y79" s="1277">
        <v>74.588235294117638</v>
      </c>
      <c r="Z79" s="244">
        <v>2.525328</v>
      </c>
      <c r="AA79" s="244">
        <v>12.527839999999999</v>
      </c>
      <c r="AB79" s="1277">
        <v>32.011199999999995</v>
      </c>
      <c r="AC79" s="244">
        <v>12.676056338028168</v>
      </c>
      <c r="AD79" s="1277">
        <v>79.84227129337539</v>
      </c>
      <c r="AE79" s="1288">
        <v>15</v>
      </c>
      <c r="AF79" s="244">
        <f t="shared" si="70"/>
        <v>37.879919999999998</v>
      </c>
      <c r="AG79" s="1285" t="s">
        <v>826</v>
      </c>
      <c r="AI79" s="1282" t="e">
        <f t="shared" si="8"/>
        <v>#DIV/0!</v>
      </c>
      <c r="AJ79" s="1252">
        <v>0.91379999999999995</v>
      </c>
      <c r="AK79" s="1252">
        <v>1.018</v>
      </c>
      <c r="AL79" s="1252">
        <v>6.1000000000000004E-3</v>
      </c>
    </row>
    <row r="80" spans="1:38" ht="18.75" customHeight="1" x14ac:dyDescent="0.2">
      <c r="A80" s="1273">
        <v>64</v>
      </c>
      <c r="B80" s="1274" t="s">
        <v>423</v>
      </c>
      <c r="C80" s="241" t="s">
        <v>445</v>
      </c>
      <c r="D80" s="241">
        <v>672</v>
      </c>
      <c r="E80" s="26" t="s">
        <v>819</v>
      </c>
      <c r="F80" s="241">
        <v>179.8</v>
      </c>
      <c r="G80" s="241" t="s">
        <v>28</v>
      </c>
      <c r="H80" s="1299" t="s">
        <v>565</v>
      </c>
      <c r="I80" s="1794">
        <v>582.05999999999995</v>
      </c>
      <c r="J80" s="1448">
        <v>85</v>
      </c>
      <c r="K80" s="241"/>
      <c r="L80" s="1277">
        <v>393</v>
      </c>
      <c r="M80" s="241"/>
      <c r="N80" s="1278">
        <v>6</v>
      </c>
      <c r="O80" s="241"/>
      <c r="P80" s="1278">
        <f t="shared" si="9"/>
        <v>21.7408663548829</v>
      </c>
      <c r="Q80" s="1278">
        <f>(32/100)*J80</f>
        <v>27.2</v>
      </c>
      <c r="R80" s="244">
        <v>12.41</v>
      </c>
      <c r="S80" s="244">
        <v>13.724</v>
      </c>
      <c r="T80" s="1277">
        <v>610</v>
      </c>
      <c r="U80" s="1278">
        <f t="shared" si="27"/>
        <v>49.153908138597906</v>
      </c>
      <c r="V80" s="1278">
        <f t="shared" si="62"/>
        <v>9.5744680851063837</v>
      </c>
      <c r="W80" s="1279">
        <v>0.2</v>
      </c>
      <c r="X80" s="1449">
        <v>85</v>
      </c>
      <c r="Y80" s="1277">
        <f t="shared" si="1"/>
        <v>50.455882352941181</v>
      </c>
      <c r="Z80" s="244">
        <v>11</v>
      </c>
      <c r="AA80" s="244">
        <v>12</v>
      </c>
      <c r="AB80" s="1277">
        <f t="shared" si="69"/>
        <v>602.67999999999995</v>
      </c>
      <c r="AC80" s="244">
        <f t="shared" si="71"/>
        <v>49.153908138597906</v>
      </c>
      <c r="AD80" s="1277">
        <f t="shared" si="71"/>
        <v>9.5744680851063837</v>
      </c>
      <c r="AE80" s="241">
        <v>27</v>
      </c>
      <c r="AF80" s="244">
        <f t="shared" si="70"/>
        <v>297</v>
      </c>
      <c r="AG80" s="1285" t="s">
        <v>785</v>
      </c>
      <c r="AI80" s="1282">
        <f t="shared" si="8"/>
        <v>21.7408663548829</v>
      </c>
      <c r="AJ80" s="1252">
        <v>0.82920000000000005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65</v>
      </c>
      <c r="B81" s="1274" t="s">
        <v>213</v>
      </c>
      <c r="C81" s="241" t="s">
        <v>445</v>
      </c>
      <c r="D81" s="241">
        <v>694.35</v>
      </c>
      <c r="E81" s="241" t="s">
        <v>452</v>
      </c>
      <c r="F81" s="241">
        <v>177.8</v>
      </c>
      <c r="G81" s="241" t="s">
        <v>28</v>
      </c>
      <c r="H81" s="241" t="s">
        <v>464</v>
      </c>
      <c r="I81" s="1794">
        <v>665.09</v>
      </c>
      <c r="J81" s="1448">
        <v>165</v>
      </c>
      <c r="K81" s="241"/>
      <c r="L81" s="1277">
        <v>41</v>
      </c>
      <c r="M81" s="241"/>
      <c r="N81" s="1278">
        <v>0.2</v>
      </c>
      <c r="O81" s="241"/>
      <c r="P81" s="1278">
        <f t="shared" si="9"/>
        <v>56.284522935676002</v>
      </c>
      <c r="Q81" s="1278">
        <f>14*J81/100</f>
        <v>23.1</v>
      </c>
      <c r="R81" s="244">
        <v>5.0810000000000004</v>
      </c>
      <c r="S81" s="244">
        <v>5.8979999999999997</v>
      </c>
      <c r="T81" s="1277">
        <v>215.4</v>
      </c>
      <c r="U81" s="1278">
        <f t="shared" si="27"/>
        <v>42.393229679197006</v>
      </c>
      <c r="V81" s="1278">
        <f t="shared" si="62"/>
        <v>13.852153272295681</v>
      </c>
      <c r="W81" s="1279">
        <v>0.2</v>
      </c>
      <c r="X81" s="1449">
        <v>165</v>
      </c>
      <c r="Y81" s="1277">
        <f t="shared" si="1"/>
        <v>25.532467532467528</v>
      </c>
      <c r="Z81" s="244">
        <v>4</v>
      </c>
      <c r="AA81" s="244">
        <v>4.5</v>
      </c>
      <c r="AB81" s="1277">
        <f t="shared" si="69"/>
        <v>212.8152</v>
      </c>
      <c r="AC81" s="244">
        <f t="shared" si="71"/>
        <v>42.393229679197006</v>
      </c>
      <c r="AD81" s="1277">
        <f t="shared" si="71"/>
        <v>13.852153272295681</v>
      </c>
      <c r="AE81" s="241">
        <f t="shared" si="64"/>
        <v>30</v>
      </c>
      <c r="AF81" s="244">
        <f t="shared" si="70"/>
        <v>120</v>
      </c>
      <c r="AG81" s="1285"/>
      <c r="AI81" s="1282">
        <f t="shared" si="8"/>
        <v>56.284522935676002</v>
      </c>
      <c r="AJ81" s="1252">
        <v>0.9133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66</v>
      </c>
      <c r="B82" s="1274" t="s">
        <v>506</v>
      </c>
      <c r="C82" s="241" t="s">
        <v>46</v>
      </c>
      <c r="D82" s="1787">
        <v>700</v>
      </c>
      <c r="E82" s="1787" t="s">
        <v>547</v>
      </c>
      <c r="F82" s="241">
        <v>177.8</v>
      </c>
      <c r="G82" s="241" t="s">
        <v>28</v>
      </c>
      <c r="H82" s="241" t="s">
        <v>464</v>
      </c>
      <c r="I82" s="1787">
        <v>608.22</v>
      </c>
      <c r="J82" s="1787">
        <v>0</v>
      </c>
      <c r="K82" s="1787"/>
      <c r="L82" s="1319">
        <v>0</v>
      </c>
      <c r="M82" s="1787"/>
      <c r="N82" s="1278">
        <v>0</v>
      </c>
      <c r="O82" s="1787"/>
      <c r="P82" s="1278">
        <f t="shared" si="9"/>
        <v>48.239526409474465</v>
      </c>
      <c r="Q82" s="1278"/>
      <c r="R82" s="244"/>
      <c r="S82" s="244"/>
      <c r="T82" s="1319"/>
      <c r="U82" s="244"/>
      <c r="V82" s="1278"/>
      <c r="W82" s="1279"/>
      <c r="X82" s="1410">
        <v>0</v>
      </c>
      <c r="Y82" s="1277">
        <f t="shared" si="1"/>
        <v>0</v>
      </c>
      <c r="Z82" s="244">
        <f t="shared" si="69"/>
        <v>0</v>
      </c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8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67</v>
      </c>
      <c r="B83" s="1274" t="s">
        <v>451</v>
      </c>
      <c r="C83" s="241" t="s">
        <v>445</v>
      </c>
      <c r="D83" s="1794">
        <v>674.5</v>
      </c>
      <c r="E83" s="1794" t="s">
        <v>820</v>
      </c>
      <c r="F83" s="241">
        <v>177.8</v>
      </c>
      <c r="G83" s="241" t="s">
        <v>28</v>
      </c>
      <c r="H83" s="241" t="s">
        <v>464</v>
      </c>
      <c r="I83" s="1794">
        <v>630.33000000000004</v>
      </c>
      <c r="J83" s="1794">
        <v>150</v>
      </c>
      <c r="K83" s="1794"/>
      <c r="L83" s="1319">
        <v>56</v>
      </c>
      <c r="M83" s="1794"/>
      <c r="N83" s="1278">
        <v>1.9</v>
      </c>
      <c r="O83" s="1794"/>
      <c r="P83" s="1278">
        <f t="shared" si="9"/>
        <v>52.831587226305842</v>
      </c>
      <c r="Q83" s="1278">
        <f t="shared" ref="Q83" si="72">14*J83/100</f>
        <v>21</v>
      </c>
      <c r="R83" s="244">
        <v>3.86</v>
      </c>
      <c r="S83" s="244">
        <v>4.3209999999999997</v>
      </c>
      <c r="T83" s="1319">
        <v>185</v>
      </c>
      <c r="U83" s="244">
        <f t="shared" si="27"/>
        <v>47.927461139896373</v>
      </c>
      <c r="V83" s="1278">
        <f t="shared" si="62"/>
        <v>10.668826660495254</v>
      </c>
      <c r="W83" s="1279">
        <v>0.2</v>
      </c>
      <c r="X83" s="1410">
        <v>150</v>
      </c>
      <c r="Y83" s="1277">
        <f t="shared" si="1"/>
        <v>20.576190476190476</v>
      </c>
      <c r="Z83" s="244">
        <v>4</v>
      </c>
      <c r="AA83" s="244">
        <v>4.5</v>
      </c>
      <c r="AB83" s="1277">
        <f t="shared" si="69"/>
        <v>182.78</v>
      </c>
      <c r="AC83" s="244">
        <f t="shared" si="71"/>
        <v>47.927461139896373</v>
      </c>
      <c r="AD83" s="1277">
        <f t="shared" si="71"/>
        <v>10.668826660495254</v>
      </c>
      <c r="AE83" s="241">
        <f t="shared" si="64"/>
        <v>30</v>
      </c>
      <c r="AF83" s="244">
        <f t="shared" si="70"/>
        <v>120</v>
      </c>
      <c r="AG83" s="1285"/>
      <c r="AI83" s="1282">
        <f t="shared" ref="AI83:AI86" si="73">(9.81*(AJ83*(100%-(V83/100))+AK83*(V83/100))*(I83-L83)+N83*101.325+9.81*(AL83)*L83)/101.325</f>
        <v>52.831587226305842</v>
      </c>
      <c r="AJ83" s="1252">
        <v>0.90310000000000001</v>
      </c>
      <c r="AK83" s="1252">
        <v>1.018</v>
      </c>
      <c r="AL83" s="1252">
        <v>6.1000000000000004E-3</v>
      </c>
    </row>
    <row r="84" spans="1:38" ht="29.25" customHeight="1" x14ac:dyDescent="0.2">
      <c r="A84" s="1273">
        <v>68</v>
      </c>
      <c r="B84" s="1274" t="s">
        <v>424</v>
      </c>
      <c r="C84" s="241" t="s">
        <v>445</v>
      </c>
      <c r="D84" s="1794">
        <v>689.4</v>
      </c>
      <c r="E84" s="1794" t="s">
        <v>831</v>
      </c>
      <c r="F84" s="241">
        <v>177.8</v>
      </c>
      <c r="G84" s="241" t="s">
        <v>28</v>
      </c>
      <c r="H84" s="1299" t="s">
        <v>800</v>
      </c>
      <c r="I84" s="1794">
        <v>666.63</v>
      </c>
      <c r="J84" s="1794"/>
      <c r="K84" s="1794"/>
      <c r="L84" s="1319"/>
      <c r="M84" s="1794"/>
      <c r="N84" s="1278"/>
      <c r="O84" s="1794"/>
      <c r="P84" s="1278"/>
      <c r="Q84" s="1278"/>
      <c r="R84" s="244"/>
      <c r="S84" s="244"/>
      <c r="T84" s="1319"/>
      <c r="U84" s="244"/>
      <c r="V84" s="1278"/>
      <c r="W84" s="1279"/>
      <c r="X84" s="1410">
        <v>100</v>
      </c>
      <c r="Y84" s="1277">
        <f t="shared" ref="Y84:Y86" si="74">IF(S84=0,0,S84/Q84)*100</f>
        <v>0</v>
      </c>
      <c r="Z84" s="244">
        <v>3.1560000000000001</v>
      </c>
      <c r="AA84" s="244">
        <v>4.3890000000000002</v>
      </c>
      <c r="AB84" s="1277">
        <v>120</v>
      </c>
      <c r="AC84" s="244">
        <f>AB84/Z84</f>
        <v>38.022813688212928</v>
      </c>
      <c r="AD84" s="244">
        <f>AA84-Z84/AA84/100</f>
        <v>4.3818092959671908</v>
      </c>
      <c r="AE84" s="241">
        <v>25</v>
      </c>
      <c r="AF84" s="244">
        <f t="shared" si="70"/>
        <v>78.900000000000006</v>
      </c>
      <c r="AG84" s="1281" t="s">
        <v>830</v>
      </c>
      <c r="AI84" s="1282">
        <f t="shared" si="73"/>
        <v>52.426842493856398</v>
      </c>
      <c r="AJ84" s="1252">
        <v>0.81230000000000002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69</v>
      </c>
      <c r="B85" s="1274" t="s">
        <v>567</v>
      </c>
      <c r="C85" s="241" t="s">
        <v>46</v>
      </c>
      <c r="D85" s="1794">
        <v>577.12</v>
      </c>
      <c r="E85" s="1794" t="s">
        <v>614</v>
      </c>
      <c r="F85" s="241">
        <v>177.8</v>
      </c>
      <c r="G85" s="241" t="s">
        <v>28</v>
      </c>
      <c r="H85" s="1299" t="s">
        <v>687</v>
      </c>
      <c r="I85" s="1794">
        <v>536.02</v>
      </c>
      <c r="J85" s="1794">
        <v>120</v>
      </c>
      <c r="K85" s="1794"/>
      <c r="L85" s="1319">
        <v>376</v>
      </c>
      <c r="M85" s="1794"/>
      <c r="N85" s="1278">
        <v>0.1</v>
      </c>
      <c r="O85" s="1794"/>
      <c r="P85" s="1278">
        <f t="shared" ref="P85:P86" si="75">AI85</f>
        <v>15.267690675018153</v>
      </c>
      <c r="Q85" s="1278">
        <f>RIGHT(H85,(FIND("T",H85,1)-0))*J85/100</f>
        <v>24</v>
      </c>
      <c r="R85" s="244">
        <v>3.5640000000000001</v>
      </c>
      <c r="S85" s="244">
        <v>7.2670000000000003</v>
      </c>
      <c r="T85" s="1319">
        <v>11</v>
      </c>
      <c r="U85" s="244">
        <f t="shared" ref="U85" si="76">IF(R85=0,0,T85/R85)</f>
        <v>3.0864197530864197</v>
      </c>
      <c r="V85" s="1278">
        <f t="shared" si="62"/>
        <v>50.956378147791391</v>
      </c>
      <c r="W85" s="1279">
        <v>0.2</v>
      </c>
      <c r="X85" s="1410">
        <v>120</v>
      </c>
      <c r="Y85" s="1277">
        <f t="shared" si="74"/>
        <v>30.279166666666669</v>
      </c>
      <c r="Z85" s="244">
        <f t="shared" ref="Z85:AB86" si="77">R85*0.988</f>
        <v>3.5212319999999999</v>
      </c>
      <c r="AA85" s="244">
        <f t="shared" si="77"/>
        <v>7.1797960000000005</v>
      </c>
      <c r="AB85" s="1277">
        <f t="shared" si="77"/>
        <v>10.868</v>
      </c>
      <c r="AC85" s="244">
        <f t="shared" ref="AC85:AD85" si="78">U85</f>
        <v>3.0864197530864197</v>
      </c>
      <c r="AD85" s="1277">
        <f t="shared" si="78"/>
        <v>50.956378147791391</v>
      </c>
      <c r="AE85" s="241">
        <f t="shared" si="64"/>
        <v>30</v>
      </c>
      <c r="AF85" s="244">
        <f>Z85*AE85</f>
        <v>105.63696</v>
      </c>
      <c r="AG85" s="1281"/>
      <c r="AI85" s="1282">
        <f t="shared" si="73"/>
        <v>15.267690675018153</v>
      </c>
      <c r="AJ85" s="1252">
        <v>0.9093</v>
      </c>
      <c r="AK85" s="1252">
        <v>1.018</v>
      </c>
      <c r="AL85" s="1252">
        <v>6.1000000000000004E-3</v>
      </c>
    </row>
    <row r="86" spans="1:38" ht="18.75" customHeight="1" x14ac:dyDescent="0.2">
      <c r="A86" s="1273">
        <v>70</v>
      </c>
      <c r="B86" s="1274" t="s">
        <v>172</v>
      </c>
      <c r="C86" s="241" t="s">
        <v>46</v>
      </c>
      <c r="D86" s="241">
        <v>673.05</v>
      </c>
      <c r="E86" s="241" t="s">
        <v>615</v>
      </c>
      <c r="F86" s="241">
        <v>177.8</v>
      </c>
      <c r="G86" s="241" t="s">
        <v>28</v>
      </c>
      <c r="H86" s="241" t="s">
        <v>464</v>
      </c>
      <c r="I86" s="1794">
        <v>576.27</v>
      </c>
      <c r="J86" s="1448">
        <v>0</v>
      </c>
      <c r="K86" s="241"/>
      <c r="L86" s="1277">
        <v>0</v>
      </c>
      <c r="M86" s="241"/>
      <c r="N86" s="1278">
        <v>0</v>
      </c>
      <c r="O86" s="241"/>
      <c r="P86" s="1278" t="e">
        <f t="shared" si="75"/>
        <v>#DIV/0!</v>
      </c>
      <c r="Q86" s="1278">
        <f>14*J86/100</f>
        <v>0</v>
      </c>
      <c r="R86" s="244">
        <v>0</v>
      </c>
      <c r="S86" s="244">
        <v>0</v>
      </c>
      <c r="T86" s="1277">
        <v>0</v>
      </c>
      <c r="U86" s="1278">
        <f t="shared" si="27"/>
        <v>0</v>
      </c>
      <c r="V86" s="1278" t="e">
        <f t="shared" si="62"/>
        <v>#DIV/0!</v>
      </c>
      <c r="W86" s="1279">
        <v>0</v>
      </c>
      <c r="X86" s="1449">
        <v>0</v>
      </c>
      <c r="Y86" s="1277">
        <f t="shared" si="74"/>
        <v>0</v>
      </c>
      <c r="Z86" s="244">
        <f t="shared" si="77"/>
        <v>0</v>
      </c>
      <c r="AA86" s="244">
        <f t="shared" si="77"/>
        <v>0</v>
      </c>
      <c r="AB86" s="1277">
        <f t="shared" si="77"/>
        <v>0</v>
      </c>
      <c r="AC86" s="244">
        <f>U86</f>
        <v>0</v>
      </c>
      <c r="AD86" s="1277" t="e">
        <f>V86</f>
        <v>#DIV/0!</v>
      </c>
      <c r="AE86" s="241">
        <v>0</v>
      </c>
      <c r="AF86" s="244">
        <f>Z86*AE86</f>
        <v>0</v>
      </c>
      <c r="AG86" s="1281" t="s">
        <v>771</v>
      </c>
      <c r="AI86" s="1282" t="e">
        <f t="shared" si="73"/>
        <v>#DIV/0!</v>
      </c>
      <c r="AJ86" s="1252">
        <v>0.91310000000000002</v>
      </c>
      <c r="AK86" s="1252">
        <v>1.018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787"/>
      <c r="E87" s="1787"/>
      <c r="F87" s="1274"/>
      <c r="G87" s="241"/>
      <c r="H87" s="241"/>
      <c r="I87" s="1787"/>
      <c r="J87" s="1787"/>
      <c r="K87" s="1787"/>
      <c r="L87" s="1787"/>
      <c r="M87" s="1787"/>
      <c r="N87" s="241"/>
      <c r="O87" s="1787"/>
      <c r="P87" s="1278"/>
      <c r="Q87" s="1269"/>
      <c r="R87" s="1348">
        <f>SUM(R17:R86)</f>
        <v>292.87</v>
      </c>
      <c r="S87" s="1348">
        <f>SUM(S17:S86)</f>
        <v>745.49100000000033</v>
      </c>
      <c r="T87" s="1349">
        <f>SUM(T17:T86)</f>
        <v>6333.0859999999993</v>
      </c>
      <c r="U87" s="1348">
        <f>T87/R87</f>
        <v>21.624222351213845</v>
      </c>
      <c r="V87" s="1348"/>
      <c r="W87" s="1350"/>
      <c r="X87" s="1410"/>
      <c r="Y87" s="1348"/>
      <c r="Z87" s="1348">
        <f>SUM(Z17:Z86)</f>
        <v>321.82461200000006</v>
      </c>
      <c r="AA87" s="1348">
        <f>SUM(AA17:AA86)</f>
        <v>840.69788400000016</v>
      </c>
      <c r="AB87" s="1351">
        <f>SUM(AB17:AB86)</f>
        <v>6820.2185680000002</v>
      </c>
      <c r="AC87" s="1348">
        <f>AB87/Z87</f>
        <v>21.192346121744098</v>
      </c>
      <c r="AD87" s="1348"/>
      <c r="AE87" s="1302"/>
      <c r="AF87" s="1348">
        <f>SUM(AF17:AF86)</f>
        <v>9029.8715039999988</v>
      </c>
      <c r="AG87" s="1281"/>
      <c r="AI87" s="1282"/>
    </row>
    <row r="88" spans="1:38" ht="18.75" customHeight="1" x14ac:dyDescent="0.2">
      <c r="A88" s="1347"/>
      <c r="B88" s="241"/>
      <c r="C88" s="241"/>
      <c r="D88" s="1787"/>
      <c r="E88" s="1786" t="s">
        <v>388</v>
      </c>
      <c r="F88" s="1274"/>
      <c r="G88" s="241"/>
      <c r="H88" s="241"/>
      <c r="I88" s="1787"/>
      <c r="J88" s="1787"/>
      <c r="K88" s="1787"/>
      <c r="L88" s="1787"/>
      <c r="M88" s="1787"/>
      <c r="N88" s="241"/>
      <c r="O88" s="1787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273">
        <v>71</v>
      </c>
      <c r="B89" s="1274" t="s">
        <v>505</v>
      </c>
      <c r="C89" s="241" t="s">
        <v>445</v>
      </c>
      <c r="D89" s="1787">
        <v>737.21</v>
      </c>
      <c r="E89" s="1787" t="s">
        <v>507</v>
      </c>
      <c r="F89" s="241">
        <v>177.8</v>
      </c>
      <c r="G89" s="241" t="s">
        <v>28</v>
      </c>
      <c r="H89" s="1354" t="s">
        <v>466</v>
      </c>
      <c r="I89" s="1787">
        <v>680.94</v>
      </c>
      <c r="J89" s="1787"/>
      <c r="K89" s="1787"/>
      <c r="L89" s="1787"/>
      <c r="M89" s="1787"/>
      <c r="N89" s="241"/>
      <c r="O89" s="1787"/>
      <c r="P89" s="1278"/>
      <c r="Q89" s="1269"/>
      <c r="R89" s="244"/>
      <c r="S89" s="244"/>
      <c r="T89" s="1319"/>
      <c r="U89" s="244"/>
      <c r="V89" s="244"/>
      <c r="W89" s="1355"/>
      <c r="X89" s="1410"/>
      <c r="Y89" s="244">
        <f>IF(S89=0,0,S89/Q89)</f>
        <v>0</v>
      </c>
      <c r="Z89" s="244">
        <f t="shared" ref="Z89:AB91" si="79">R89*0.988</f>
        <v>0</v>
      </c>
      <c r="AA89" s="244">
        <f t="shared" si="79"/>
        <v>0</v>
      </c>
      <c r="AB89" s="1277">
        <f t="shared" si="79"/>
        <v>0</v>
      </c>
      <c r="AC89" s="244">
        <f t="shared" ref="AC89:AD91" si="80">U89</f>
        <v>0</v>
      </c>
      <c r="AD89" s="244">
        <f t="shared" si="80"/>
        <v>0</v>
      </c>
      <c r="AE89" s="241">
        <v>0</v>
      </c>
      <c r="AF89" s="244">
        <f>Z89*AE89</f>
        <v>0</v>
      </c>
      <c r="AG89" s="1281" t="s">
        <v>682</v>
      </c>
      <c r="AI89" s="1282">
        <f>(9.81*(AJ89*(100%-(V89/100))+AK89*(V89/100))*(I89-L89)+N89*101.325+9.81*(AL89)*L89)/101.325</f>
        <v>58.978012775129535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273">
        <v>72</v>
      </c>
      <c r="B90" s="1317" t="s">
        <v>220</v>
      </c>
      <c r="C90" s="241" t="s">
        <v>445</v>
      </c>
      <c r="D90" s="1787">
        <v>685.69</v>
      </c>
      <c r="E90" s="1787" t="s">
        <v>579</v>
      </c>
      <c r="F90" s="241">
        <v>177.8</v>
      </c>
      <c r="G90" s="241" t="s">
        <v>28</v>
      </c>
      <c r="H90" s="1299" t="s">
        <v>466</v>
      </c>
      <c r="I90" s="1787">
        <v>639.97</v>
      </c>
      <c r="J90" s="1787"/>
      <c r="K90" s="1787"/>
      <c r="L90" s="1787"/>
      <c r="M90" s="1787"/>
      <c r="N90" s="241"/>
      <c r="O90" s="1787"/>
      <c r="P90" s="1278"/>
      <c r="Q90" s="1269"/>
      <c r="R90" s="1356"/>
      <c r="S90" s="1356"/>
      <c r="T90" s="1356"/>
      <c r="U90" s="1356"/>
      <c r="V90" s="1356"/>
      <c r="W90" s="1357"/>
      <c r="X90" s="1410"/>
      <c r="Y90" s="244">
        <f>IF(S90=0,0,S90/Q90)</f>
        <v>0</v>
      </c>
      <c r="Z90" s="244">
        <f t="shared" si="79"/>
        <v>0</v>
      </c>
      <c r="AA90" s="244">
        <f t="shared" si="79"/>
        <v>0</v>
      </c>
      <c r="AB90" s="1277">
        <f t="shared" si="79"/>
        <v>0</v>
      </c>
      <c r="AC90" s="244">
        <f t="shared" si="80"/>
        <v>0</v>
      </c>
      <c r="AD90" s="244">
        <f t="shared" si="80"/>
        <v>0</v>
      </c>
      <c r="AE90" s="241">
        <v>0</v>
      </c>
      <c r="AF90" s="244">
        <f t="shared" ref="AF90:AF91" si="81">Z90*AE90</f>
        <v>0</v>
      </c>
      <c r="AG90" s="1281" t="s">
        <v>682</v>
      </c>
      <c r="AI90" s="1282">
        <f>(9.81*(AJ90*(100%-(V90/100))+AK90*(V90/100))*(I90-L90)+N90*101.325+9.81*(AL90)*L90)/101.325</f>
        <v>55.429492812435235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73</v>
      </c>
      <c r="B91" s="1274" t="s">
        <v>465</v>
      </c>
      <c r="C91" s="241" t="s">
        <v>46</v>
      </c>
      <c r="D91" s="241">
        <v>571.91</v>
      </c>
      <c r="E91" s="241" t="s">
        <v>478</v>
      </c>
      <c r="F91" s="241">
        <v>177.8</v>
      </c>
      <c r="G91" s="241" t="s">
        <v>618</v>
      </c>
      <c r="H91" s="1303"/>
      <c r="I91" s="1787">
        <v>9.5</v>
      </c>
      <c r="J91" s="1787"/>
      <c r="K91" s="1787"/>
      <c r="L91" s="1787"/>
      <c r="M91" s="1787"/>
      <c r="N91" s="241"/>
      <c r="O91" s="1787"/>
      <c r="P91" s="1278"/>
      <c r="Q91" s="1269"/>
      <c r="R91" s="1348"/>
      <c r="S91" s="1348"/>
      <c r="T91" s="1349"/>
      <c r="U91" s="1348"/>
      <c r="V91" s="1348"/>
      <c r="W91" s="1350"/>
      <c r="X91" s="1410"/>
      <c r="Y91" s="244">
        <f>IF(S91=0,0,S91/Q91)</f>
        <v>0</v>
      </c>
      <c r="Z91" s="244">
        <f t="shared" si="79"/>
        <v>0</v>
      </c>
      <c r="AA91" s="244">
        <f t="shared" si="79"/>
        <v>0</v>
      </c>
      <c r="AB91" s="1277">
        <f t="shared" si="79"/>
        <v>0</v>
      </c>
      <c r="AC91" s="244">
        <f t="shared" si="80"/>
        <v>0</v>
      </c>
      <c r="AD91" s="244">
        <f t="shared" si="80"/>
        <v>0</v>
      </c>
      <c r="AE91" s="241">
        <v>0</v>
      </c>
      <c r="AF91" s="244">
        <f t="shared" si="81"/>
        <v>0</v>
      </c>
      <c r="AG91" s="1281" t="s">
        <v>682</v>
      </c>
      <c r="AI91" s="1282">
        <f>(9.81*(AJ91*(100%-(V91/100))+AK91*(V91/100))*(I91-L91)+N91*101.325+9.81*(AL91)*L91)/101.325</f>
        <v>0.82282010362694302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359"/>
      <c r="B92" s="1358"/>
      <c r="C92" s="1358"/>
      <c r="D92" s="1358"/>
      <c r="E92" s="1360" t="s">
        <v>470</v>
      </c>
      <c r="F92" s="1274"/>
      <c r="G92" s="241"/>
      <c r="H92" s="241"/>
      <c r="I92" s="241"/>
      <c r="J92" s="1787"/>
      <c r="K92" s="1787"/>
      <c r="L92" s="1787"/>
      <c r="M92" s="1787"/>
      <c r="N92" s="1787"/>
      <c r="O92" s="1787"/>
      <c r="P92" s="1269"/>
      <c r="Q92" s="1269"/>
      <c r="R92" s="1348"/>
      <c r="S92" s="1348"/>
      <c r="T92" s="1349"/>
      <c r="U92" s="1348"/>
      <c r="V92" s="1348"/>
      <c r="W92" s="1350"/>
      <c r="X92" s="1410"/>
      <c r="Y92" s="1348"/>
      <c r="Z92" s="1348"/>
      <c r="AA92" s="1348"/>
      <c r="AB92" s="1351"/>
      <c r="AC92" s="1348"/>
      <c r="AD92" s="1348"/>
      <c r="AE92" s="1302"/>
      <c r="AF92" s="1348"/>
      <c r="AG92" s="1281"/>
      <c r="AI92" s="1282"/>
    </row>
    <row r="93" spans="1:38" ht="18.75" customHeight="1" x14ac:dyDescent="0.2">
      <c r="A93" s="1273">
        <v>74</v>
      </c>
      <c r="B93" s="241" t="s">
        <v>582</v>
      </c>
      <c r="C93" s="1316" t="s">
        <v>344</v>
      </c>
      <c r="D93" s="241">
        <v>371.11</v>
      </c>
      <c r="E93" s="1318" t="s">
        <v>583</v>
      </c>
      <c r="F93" s="241">
        <v>177.8</v>
      </c>
      <c r="G93" s="241" t="s">
        <v>28</v>
      </c>
      <c r="H93" s="1299" t="s">
        <v>584</v>
      </c>
      <c r="I93" s="1794">
        <v>183.38</v>
      </c>
      <c r="J93" s="1794">
        <v>150</v>
      </c>
      <c r="K93" s="241"/>
      <c r="L93" s="241">
        <v>122</v>
      </c>
      <c r="M93" s="241"/>
      <c r="N93" s="241">
        <v>0.4</v>
      </c>
      <c r="O93" s="241"/>
      <c r="P93" s="1278">
        <f t="shared" ref="P93:P98" si="82">AI93</f>
        <v>6.0226895671272898</v>
      </c>
      <c r="Q93" s="1269">
        <f>(13*J93)/100</f>
        <v>19.5</v>
      </c>
      <c r="R93" s="244">
        <v>6.657</v>
      </c>
      <c r="S93" s="244">
        <v>7.5789999999999997</v>
      </c>
      <c r="T93" s="1277">
        <v>0</v>
      </c>
      <c r="U93" s="244">
        <f t="shared" ref="U93:U98" si="83">IF(R93=0,0,T93/R93)</f>
        <v>0</v>
      </c>
      <c r="V93" s="1278">
        <f t="shared" ref="V93:V98" si="84">(S93-R93)/S93*100</f>
        <v>12.165193297268766</v>
      </c>
      <c r="W93" s="1279">
        <v>0.2</v>
      </c>
      <c r="X93" s="1410">
        <v>150</v>
      </c>
      <c r="Y93" s="1277">
        <f>IF(S93=0,0,S93/Q93)*100</f>
        <v>38.866666666666667</v>
      </c>
      <c r="Z93" s="244">
        <f t="shared" ref="Z93:AB98" si="85">R93*0.988</f>
        <v>6.5771160000000002</v>
      </c>
      <c r="AA93" s="244">
        <f t="shared" si="85"/>
        <v>7.4880519999999997</v>
      </c>
      <c r="AB93" s="244">
        <f t="shared" si="85"/>
        <v>0</v>
      </c>
      <c r="AC93" s="244">
        <f>U93</f>
        <v>0</v>
      </c>
      <c r="AD93" s="1278">
        <f>V93</f>
        <v>12.165193297268766</v>
      </c>
      <c r="AE93" s="241">
        <f t="shared" ref="AE93:AE98" si="86">(DAY(EOMONTH($AH$15,0))-AH93)</f>
        <v>30</v>
      </c>
      <c r="AF93" s="244">
        <f t="shared" ref="AF93:AF98" si="87">Z93*AE93</f>
        <v>197.31348</v>
      </c>
      <c r="AG93" s="1285"/>
      <c r="AI93" s="1282">
        <f t="shared" ref="AI93:AI98" si="88">(9.81*(AJ93*(100%-(V93/100))+AK93*(V93/100))*(I93-L93)+N93*101.325+9.81*(AL93)*L93)/101.325</f>
        <v>6.0226895671272898</v>
      </c>
      <c r="AJ93" s="1252">
        <v>0.92490000000000006</v>
      </c>
      <c r="AK93" s="1252">
        <v>1</v>
      </c>
      <c r="AL93" s="1252">
        <v>6.1000000000000004E-3</v>
      </c>
    </row>
    <row r="94" spans="1:38" ht="18.75" customHeight="1" x14ac:dyDescent="0.2">
      <c r="A94" s="1273">
        <v>75</v>
      </c>
      <c r="B94" s="241" t="s">
        <v>131</v>
      </c>
      <c r="C94" s="1316" t="s">
        <v>344</v>
      </c>
      <c r="D94" s="241">
        <v>389.74</v>
      </c>
      <c r="E94" s="1318" t="s">
        <v>713</v>
      </c>
      <c r="F94" s="241">
        <v>177.8</v>
      </c>
      <c r="G94" s="241" t="s">
        <v>28</v>
      </c>
      <c r="H94" s="1299" t="s">
        <v>540</v>
      </c>
      <c r="I94" s="1794">
        <v>136.35</v>
      </c>
      <c r="J94" s="1794">
        <v>160</v>
      </c>
      <c r="K94" s="1794"/>
      <c r="L94" s="1319">
        <v>82</v>
      </c>
      <c r="M94" s="1794"/>
      <c r="N94" s="1278">
        <v>1.3</v>
      </c>
      <c r="O94" s="1794"/>
      <c r="P94" s="1278">
        <f t="shared" si="82"/>
        <v>6.3700251659103442</v>
      </c>
      <c r="Q94" s="1278">
        <f>(22*J94)/100</f>
        <v>35.200000000000003</v>
      </c>
      <c r="R94" s="244">
        <v>16.567</v>
      </c>
      <c r="S94" s="244">
        <v>25.346</v>
      </c>
      <c r="T94" s="1319">
        <v>0</v>
      </c>
      <c r="U94" s="244">
        <f t="shared" si="83"/>
        <v>0</v>
      </c>
      <c r="V94" s="1278">
        <f t="shared" si="84"/>
        <v>34.636629053894104</v>
      </c>
      <c r="W94" s="1279">
        <v>0.2</v>
      </c>
      <c r="X94" s="1410">
        <v>160</v>
      </c>
      <c r="Y94" s="1277">
        <f t="shared" ref="Y94:Y102" si="89">IF(S94=0,0,S94/Q94)*100</f>
        <v>72.005681818181813</v>
      </c>
      <c r="Z94" s="244">
        <f t="shared" si="85"/>
        <v>16.368196000000001</v>
      </c>
      <c r="AA94" s="244">
        <f t="shared" si="85"/>
        <v>25.041847999999998</v>
      </c>
      <c r="AB94" s="244">
        <f t="shared" si="85"/>
        <v>0</v>
      </c>
      <c r="AC94" s="244">
        <f t="shared" ref="AC94:AD98" si="90">U94</f>
        <v>0</v>
      </c>
      <c r="AD94" s="1278">
        <f t="shared" si="90"/>
        <v>34.636629053894104</v>
      </c>
      <c r="AE94" s="241">
        <f t="shared" si="86"/>
        <v>30</v>
      </c>
      <c r="AF94" s="244">
        <f>Z94*AE94</f>
        <v>491.04588000000001</v>
      </c>
      <c r="AG94" s="1285"/>
      <c r="AI94" s="1282">
        <f t="shared" si="88"/>
        <v>6.3700251659103442</v>
      </c>
      <c r="AJ94" s="1252">
        <v>0.93010000000000004</v>
      </c>
      <c r="AK94" s="1252">
        <v>1</v>
      </c>
      <c r="AL94" s="1252">
        <v>6.1000000000000004E-3</v>
      </c>
    </row>
    <row r="95" spans="1:38" ht="32.25" customHeight="1" x14ac:dyDescent="0.2">
      <c r="A95" s="1273">
        <v>76</v>
      </c>
      <c r="B95" s="241" t="s">
        <v>132</v>
      </c>
      <c r="C95" s="1316" t="s">
        <v>313</v>
      </c>
      <c r="D95" s="241">
        <v>389.09</v>
      </c>
      <c r="E95" s="1318" t="s">
        <v>135</v>
      </c>
      <c r="F95" s="241">
        <v>177.8</v>
      </c>
      <c r="G95" s="241" t="s">
        <v>28</v>
      </c>
      <c r="H95" s="241" t="s">
        <v>485</v>
      </c>
      <c r="I95" s="1794">
        <v>130.11000000000001</v>
      </c>
      <c r="J95" s="1794">
        <v>170</v>
      </c>
      <c r="K95" s="1794"/>
      <c r="L95" s="1319">
        <v>64</v>
      </c>
      <c r="M95" s="1794"/>
      <c r="N95" s="1278">
        <v>0</v>
      </c>
      <c r="O95" s="1794"/>
      <c r="P95" s="1278">
        <f t="shared" si="82"/>
        <v>6.007956697525608</v>
      </c>
      <c r="Q95" s="1278">
        <f>(15*J95)/100</f>
        <v>25.5</v>
      </c>
      <c r="R95" s="244">
        <v>11.395</v>
      </c>
      <c r="S95" s="244">
        <v>11.98</v>
      </c>
      <c r="T95" s="1319">
        <v>0</v>
      </c>
      <c r="U95" s="244">
        <f t="shared" si="83"/>
        <v>0</v>
      </c>
      <c r="V95" s="1278">
        <f t="shared" si="84"/>
        <v>4.8831385642737963</v>
      </c>
      <c r="W95" s="1279">
        <v>0.2</v>
      </c>
      <c r="X95" s="1410">
        <v>170</v>
      </c>
      <c r="Y95" s="1277">
        <f t="shared" si="89"/>
        <v>46.980392156862749</v>
      </c>
      <c r="Z95" s="244">
        <f t="shared" si="85"/>
        <v>11.25826</v>
      </c>
      <c r="AA95" s="244">
        <f t="shared" si="85"/>
        <v>11.83624</v>
      </c>
      <c r="AB95" s="244">
        <f t="shared" si="85"/>
        <v>0</v>
      </c>
      <c r="AC95" s="244">
        <f t="shared" si="90"/>
        <v>0</v>
      </c>
      <c r="AD95" s="1278">
        <f t="shared" si="90"/>
        <v>4.8831385642737963</v>
      </c>
      <c r="AE95" s="241">
        <f t="shared" si="86"/>
        <v>30</v>
      </c>
      <c r="AF95" s="244">
        <f t="shared" si="87"/>
        <v>337.74779999999998</v>
      </c>
      <c r="AG95" s="1285"/>
      <c r="AI95" s="1282">
        <f t="shared" si="88"/>
        <v>6.007956697525608</v>
      </c>
      <c r="AJ95" s="1252">
        <v>0.92930000000000001</v>
      </c>
      <c r="AK95" s="1252">
        <v>1</v>
      </c>
      <c r="AL95" s="1252">
        <v>6.1000000000000004E-3</v>
      </c>
    </row>
    <row r="96" spans="1:38" ht="18.75" customHeight="1" x14ac:dyDescent="0.2">
      <c r="A96" s="1273">
        <v>77</v>
      </c>
      <c r="B96" s="241" t="s">
        <v>121</v>
      </c>
      <c r="C96" s="1316" t="s">
        <v>313</v>
      </c>
      <c r="D96" s="241">
        <v>389.57</v>
      </c>
      <c r="E96" s="241" t="s">
        <v>137</v>
      </c>
      <c r="F96" s="241">
        <v>177.8</v>
      </c>
      <c r="G96" s="241" t="s">
        <v>28</v>
      </c>
      <c r="H96" s="241" t="s">
        <v>588</v>
      </c>
      <c r="I96" s="1794">
        <v>134.97</v>
      </c>
      <c r="J96" s="1794">
        <v>170</v>
      </c>
      <c r="K96" s="1794"/>
      <c r="L96" s="1319">
        <v>50</v>
      </c>
      <c r="M96" s="1794"/>
      <c r="N96" s="1278">
        <v>0</v>
      </c>
      <c r="O96" s="1794"/>
      <c r="P96" s="1278">
        <f t="shared" si="82"/>
        <v>7.7086138232219792</v>
      </c>
      <c r="Q96" s="1278">
        <f>(14*J96)/100</f>
        <v>23.8</v>
      </c>
      <c r="R96" s="244">
        <v>13.227</v>
      </c>
      <c r="S96" s="244">
        <v>14.211</v>
      </c>
      <c r="T96" s="1319">
        <v>0</v>
      </c>
      <c r="U96" s="244">
        <f t="shared" si="83"/>
        <v>0</v>
      </c>
      <c r="V96" s="1278">
        <f t="shared" si="84"/>
        <v>6.9242136373231995</v>
      </c>
      <c r="W96" s="1279">
        <v>0.2</v>
      </c>
      <c r="X96" s="1410">
        <v>170</v>
      </c>
      <c r="Y96" s="1277">
        <f t="shared" si="89"/>
        <v>59.710084033613441</v>
      </c>
      <c r="Z96" s="244">
        <f t="shared" si="85"/>
        <v>13.068276000000001</v>
      </c>
      <c r="AA96" s="244">
        <f t="shared" si="85"/>
        <v>14.040468000000001</v>
      </c>
      <c r="AB96" s="244">
        <f t="shared" si="85"/>
        <v>0</v>
      </c>
      <c r="AC96" s="244">
        <f t="shared" si="90"/>
        <v>0</v>
      </c>
      <c r="AD96" s="1278">
        <f t="shared" si="90"/>
        <v>6.9242136373231995</v>
      </c>
      <c r="AE96" s="241">
        <f t="shared" si="86"/>
        <v>30</v>
      </c>
      <c r="AF96" s="244">
        <f t="shared" si="87"/>
        <v>392.04828000000003</v>
      </c>
      <c r="AG96" s="1285"/>
      <c r="AI96" s="1282">
        <f t="shared" si="88"/>
        <v>7.7086138232219792</v>
      </c>
      <c r="AJ96" s="1252">
        <v>0.92849999999999999</v>
      </c>
      <c r="AK96" s="1252">
        <v>1</v>
      </c>
      <c r="AL96" s="1252">
        <v>6.1000000000000004E-3</v>
      </c>
    </row>
    <row r="97" spans="1:38" ht="18.75" customHeight="1" x14ac:dyDescent="0.2">
      <c r="A97" s="1273">
        <v>78</v>
      </c>
      <c r="B97" s="241" t="s">
        <v>122</v>
      </c>
      <c r="C97" s="1316" t="s">
        <v>313</v>
      </c>
      <c r="D97" s="241">
        <v>391.06</v>
      </c>
      <c r="E97" s="241" t="s">
        <v>138</v>
      </c>
      <c r="F97" s="241">
        <v>177.8</v>
      </c>
      <c r="G97" s="241" t="s">
        <v>28</v>
      </c>
      <c r="H97" s="241" t="s">
        <v>588</v>
      </c>
      <c r="I97" s="244">
        <v>149.84</v>
      </c>
      <c r="J97" s="1794">
        <v>150</v>
      </c>
      <c r="K97" s="1794"/>
      <c r="L97" s="1319">
        <v>105</v>
      </c>
      <c r="M97" s="1794"/>
      <c r="N97" s="1278">
        <v>0.6</v>
      </c>
      <c r="O97" s="1794"/>
      <c r="P97" s="1278">
        <f t="shared" si="82"/>
        <v>4.7349919326505887</v>
      </c>
      <c r="Q97" s="1278">
        <f>(14*J97)/100</f>
        <v>21</v>
      </c>
      <c r="R97" s="244">
        <v>7.3019999999999996</v>
      </c>
      <c r="S97" s="244">
        <v>8.1310000000000002</v>
      </c>
      <c r="T97" s="1319">
        <v>0</v>
      </c>
      <c r="U97" s="244">
        <f t="shared" si="83"/>
        <v>0</v>
      </c>
      <c r="V97" s="1278">
        <f t="shared" si="84"/>
        <v>10.195547903086959</v>
      </c>
      <c r="W97" s="1279">
        <v>0.2</v>
      </c>
      <c r="X97" s="1410">
        <v>150</v>
      </c>
      <c r="Y97" s="1277">
        <f t="shared" si="89"/>
        <v>38.719047619047622</v>
      </c>
      <c r="Z97" s="244">
        <f t="shared" si="85"/>
        <v>7.2143759999999997</v>
      </c>
      <c r="AA97" s="244">
        <f t="shared" si="85"/>
        <v>8.0334280000000007</v>
      </c>
      <c r="AB97" s="244">
        <f t="shared" si="85"/>
        <v>0</v>
      </c>
      <c r="AC97" s="244">
        <f t="shared" si="90"/>
        <v>0</v>
      </c>
      <c r="AD97" s="1278">
        <f t="shared" si="90"/>
        <v>10.195547903086959</v>
      </c>
      <c r="AE97" s="241">
        <f t="shared" si="86"/>
        <v>30</v>
      </c>
      <c r="AF97" s="244">
        <f t="shared" si="87"/>
        <v>216.43127999999999</v>
      </c>
      <c r="AG97" s="1285"/>
      <c r="AI97" s="1282">
        <f t="shared" si="88"/>
        <v>4.7349919326505887</v>
      </c>
      <c r="AJ97" s="1252">
        <v>0.93049999999999999</v>
      </c>
      <c r="AK97" s="1252">
        <v>1.006</v>
      </c>
      <c r="AL97" s="1252">
        <v>6.1000000000000004E-3</v>
      </c>
    </row>
    <row r="98" spans="1:38" ht="18.75" customHeight="1" x14ac:dyDescent="0.2">
      <c r="A98" s="1273">
        <v>79</v>
      </c>
      <c r="B98" s="241" t="s">
        <v>697</v>
      </c>
      <c r="C98" s="1316" t="s">
        <v>344</v>
      </c>
      <c r="D98" s="241">
        <v>383.1</v>
      </c>
      <c r="E98" s="241" t="s">
        <v>698</v>
      </c>
      <c r="F98" s="241">
        <v>177.8</v>
      </c>
      <c r="G98" s="241" t="s">
        <v>28</v>
      </c>
      <c r="H98" s="1299" t="s">
        <v>800</v>
      </c>
      <c r="I98" s="244">
        <v>206.58</v>
      </c>
      <c r="J98" s="241">
        <v>150</v>
      </c>
      <c r="K98" s="1302"/>
      <c r="L98" s="1277">
        <v>43</v>
      </c>
      <c r="M98" s="1302"/>
      <c r="N98" s="241">
        <v>0.6</v>
      </c>
      <c r="O98" s="1302"/>
      <c r="P98" s="1278">
        <f t="shared" si="82"/>
        <v>15.710243186246952</v>
      </c>
      <c r="Q98" s="1269">
        <f>(7*J98)/100</f>
        <v>10.5</v>
      </c>
      <c r="R98" s="244">
        <v>5.4349999999999996</v>
      </c>
      <c r="S98" s="244">
        <v>7.8239999999999998</v>
      </c>
      <c r="T98" s="1277">
        <v>0</v>
      </c>
      <c r="U98" s="244">
        <f t="shared" si="83"/>
        <v>0</v>
      </c>
      <c r="V98" s="1278">
        <f t="shared" si="84"/>
        <v>30.534253578732113</v>
      </c>
      <c r="W98" s="1279">
        <v>0.2</v>
      </c>
      <c r="X98" s="1410">
        <v>150</v>
      </c>
      <c r="Y98" s="1277">
        <f t="shared" si="89"/>
        <v>74.514285714285705</v>
      </c>
      <c r="Z98" s="244">
        <f t="shared" si="85"/>
        <v>5.3697799999999996</v>
      </c>
      <c r="AA98" s="244">
        <f t="shared" si="85"/>
        <v>7.7301120000000001</v>
      </c>
      <c r="AB98" s="244">
        <f t="shared" si="85"/>
        <v>0</v>
      </c>
      <c r="AC98" s="244">
        <f t="shared" si="90"/>
        <v>0</v>
      </c>
      <c r="AD98" s="1278">
        <f t="shared" si="90"/>
        <v>30.534253578732113</v>
      </c>
      <c r="AE98" s="241">
        <f t="shared" si="86"/>
        <v>30</v>
      </c>
      <c r="AF98" s="244">
        <f t="shared" si="87"/>
        <v>161.09339999999997</v>
      </c>
      <c r="AG98" s="1285"/>
      <c r="AI98" s="1282">
        <f t="shared" si="88"/>
        <v>15.710243186246952</v>
      </c>
      <c r="AJ98" s="1252">
        <v>0.93159999999999998</v>
      </c>
      <c r="AK98" s="1252">
        <v>1</v>
      </c>
      <c r="AL98" s="1252">
        <v>6.1000000000000004E-3</v>
      </c>
    </row>
    <row r="99" spans="1:38" ht="18.75" customHeight="1" x14ac:dyDescent="0.2">
      <c r="A99" s="1273">
        <v>80</v>
      </c>
      <c r="B99" s="241" t="s">
        <v>188</v>
      </c>
      <c r="C99" s="1316" t="s">
        <v>344</v>
      </c>
      <c r="D99" s="241">
        <v>224.89</v>
      </c>
      <c r="E99" s="241" t="s">
        <v>385</v>
      </c>
      <c r="F99" s="241">
        <v>177.8</v>
      </c>
      <c r="G99" s="241" t="s">
        <v>28</v>
      </c>
      <c r="H99" s="241" t="s">
        <v>383</v>
      </c>
      <c r="I99" s="244">
        <v>144.54</v>
      </c>
      <c r="J99" s="241"/>
      <c r="K99" s="1302"/>
      <c r="L99" s="241"/>
      <c r="M99" s="1302"/>
      <c r="N99" s="241"/>
      <c r="O99" s="1302"/>
      <c r="P99" s="1278"/>
      <c r="Q99" s="1269"/>
      <c r="R99" s="244"/>
      <c r="S99" s="244"/>
      <c r="T99" s="244"/>
      <c r="U99" s="244"/>
      <c r="V99" s="244"/>
      <c r="W99" s="1355"/>
      <c r="X99" s="1316"/>
      <c r="Y99" s="1277">
        <f t="shared" si="89"/>
        <v>0</v>
      </c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8" ht="18.75" customHeight="1" x14ac:dyDescent="0.2">
      <c r="A100" s="1273">
        <v>81</v>
      </c>
      <c r="B100" s="241" t="s">
        <v>186</v>
      </c>
      <c r="C100" s="1316" t="s">
        <v>346</v>
      </c>
      <c r="D100" s="241">
        <v>349.5</v>
      </c>
      <c r="E100" s="1274" t="s">
        <v>347</v>
      </c>
      <c r="F100" s="241">
        <v>177.8</v>
      </c>
      <c r="G100" s="241" t="s">
        <v>618</v>
      </c>
      <c r="H100" s="1299" t="s">
        <v>466</v>
      </c>
      <c r="I100" s="244">
        <v>9</v>
      </c>
      <c r="J100" s="241"/>
      <c r="K100" s="241"/>
      <c r="L100" s="241"/>
      <c r="M100" s="1302"/>
      <c r="N100" s="241"/>
      <c r="O100" s="1302"/>
      <c r="P100" s="1278"/>
      <c r="Q100" s="1269"/>
      <c r="R100" s="244"/>
      <c r="S100" s="244"/>
      <c r="T100" s="244"/>
      <c r="U100" s="244"/>
      <c r="V100" s="244"/>
      <c r="W100" s="1355"/>
      <c r="X100" s="1316"/>
      <c r="Y100" s="1277">
        <f t="shared" si="89"/>
        <v>0</v>
      </c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82</v>
      </c>
      <c r="B101" s="241" t="s">
        <v>57</v>
      </c>
      <c r="C101" s="1316" t="s">
        <v>346</v>
      </c>
      <c r="D101" s="241">
        <v>376.58</v>
      </c>
      <c r="E101" s="1274" t="s">
        <v>568</v>
      </c>
      <c r="F101" s="241">
        <v>177.8</v>
      </c>
      <c r="G101" s="241" t="s">
        <v>28</v>
      </c>
      <c r="H101" s="1299" t="s">
        <v>466</v>
      </c>
      <c r="I101" s="1787">
        <v>131.13</v>
      </c>
      <c r="J101" s="1448">
        <v>0</v>
      </c>
      <c r="K101" s="241"/>
      <c r="L101" s="241">
        <v>0</v>
      </c>
      <c r="M101" s="241"/>
      <c r="N101" s="1278">
        <v>0</v>
      </c>
      <c r="O101" s="241"/>
      <c r="P101" s="1278">
        <v>15.793855791841201</v>
      </c>
      <c r="Q101" s="1278">
        <f>(32/100)*J101</f>
        <v>0</v>
      </c>
      <c r="R101" s="244"/>
      <c r="S101" s="244">
        <v>0</v>
      </c>
      <c r="T101" s="1277">
        <v>0</v>
      </c>
      <c r="U101" s="1278">
        <f t="shared" ref="U101:U102" si="91">IF(R101=0,0,T101/R101)</f>
        <v>0</v>
      </c>
      <c r="V101" s="1278">
        <v>0.5</v>
      </c>
      <c r="W101" s="1279">
        <v>0.3</v>
      </c>
      <c r="X101" s="1449">
        <v>0</v>
      </c>
      <c r="Y101" s="1277">
        <f t="shared" si="89"/>
        <v>0</v>
      </c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273">
        <v>83</v>
      </c>
      <c r="B102" s="241" t="s">
        <v>184</v>
      </c>
      <c r="C102" s="1316" t="s">
        <v>314</v>
      </c>
      <c r="D102" s="241">
        <v>422.78</v>
      </c>
      <c r="E102" s="1274" t="s">
        <v>573</v>
      </c>
      <c r="F102" s="241">
        <v>177.8</v>
      </c>
      <c r="G102" s="241" t="s">
        <v>28</v>
      </c>
      <c r="H102" s="1299" t="s">
        <v>466</v>
      </c>
      <c r="I102" s="1787">
        <v>209.37</v>
      </c>
      <c r="J102" s="1448">
        <v>0</v>
      </c>
      <c r="K102" s="241"/>
      <c r="L102" s="241">
        <v>0</v>
      </c>
      <c r="M102" s="241"/>
      <c r="N102" s="1278">
        <v>0</v>
      </c>
      <c r="O102" s="241"/>
      <c r="P102" s="1278">
        <v>15.793855791841201</v>
      </c>
      <c r="Q102" s="1278">
        <f>(32/100)*J102</f>
        <v>0</v>
      </c>
      <c r="R102" s="244"/>
      <c r="S102" s="244">
        <v>0</v>
      </c>
      <c r="T102" s="1277">
        <v>0</v>
      </c>
      <c r="U102" s="1278">
        <f t="shared" si="91"/>
        <v>0</v>
      </c>
      <c r="V102" s="1278">
        <v>0.3</v>
      </c>
      <c r="W102" s="1279">
        <v>0.3</v>
      </c>
      <c r="X102" s="1449">
        <v>0</v>
      </c>
      <c r="Y102" s="1277">
        <f t="shared" si="89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347"/>
      <c r="B103" s="1364"/>
      <c r="C103" s="1365"/>
      <c r="D103" s="1365"/>
      <c r="E103" s="1366"/>
      <c r="F103" s="1787"/>
      <c r="G103" s="1785"/>
      <c r="H103" s="1786"/>
      <c r="I103" s="1786"/>
      <c r="J103" s="1787"/>
      <c r="K103" s="1787"/>
      <c r="L103" s="1787"/>
      <c r="M103" s="1787"/>
      <c r="N103" s="1787"/>
      <c r="O103" s="1787"/>
      <c r="P103" s="1269"/>
      <c r="Q103" s="1269"/>
      <c r="R103" s="1348">
        <f>SUM(R93:R98)</f>
        <v>60.583000000000006</v>
      </c>
      <c r="S103" s="1348">
        <f>SUM(S93:S98)</f>
        <v>75.070999999999998</v>
      </c>
      <c r="T103" s="1348">
        <f>SUM(T93:T98)</f>
        <v>0</v>
      </c>
      <c r="U103" s="1348">
        <f>SUM(U93:U98)</f>
        <v>0</v>
      </c>
      <c r="V103" s="1785"/>
      <c r="W103" s="1793"/>
      <c r="X103" s="1410"/>
      <c r="Y103" s="1785"/>
      <c r="Z103" s="1348">
        <f>SUM(Z93:Z98)</f>
        <v>59.856004000000006</v>
      </c>
      <c r="AA103" s="1348">
        <f>SUM(AA93:AA100)</f>
        <v>74.170148000000012</v>
      </c>
      <c r="AB103" s="1348">
        <f>SUM(AB94:AB97)</f>
        <v>0</v>
      </c>
      <c r="AC103" s="1348">
        <v>0</v>
      </c>
      <c r="AD103" s="1785"/>
      <c r="AE103" s="1787"/>
      <c r="AF103" s="1348">
        <f>SUM(AF93:AF100)</f>
        <v>1795.68012</v>
      </c>
      <c r="AG103" s="1368"/>
    </row>
    <row r="104" spans="1:38" ht="18.75" customHeight="1" x14ac:dyDescent="0.2">
      <c r="A104" s="1347"/>
      <c r="B104" s="1370"/>
      <c r="C104" s="1371"/>
      <c r="D104" s="1371"/>
      <c r="E104" s="1796" t="s">
        <v>835</v>
      </c>
      <c r="F104" s="1371"/>
      <c r="G104" s="1785"/>
      <c r="H104" s="1786"/>
      <c r="I104" s="1786"/>
      <c r="J104" s="1787"/>
      <c r="K104" s="1787"/>
      <c r="L104" s="1787"/>
      <c r="M104" s="1787"/>
      <c r="N104" s="1787"/>
      <c r="O104" s="1787"/>
      <c r="P104" s="1269"/>
      <c r="Q104" s="1269"/>
      <c r="R104" s="1787"/>
      <c r="S104" s="1787"/>
      <c r="T104" s="1787"/>
      <c r="U104" s="1785"/>
      <c r="V104" s="1785"/>
      <c r="W104" s="1793"/>
      <c r="X104" s="1410"/>
      <c r="Y104" s="1785"/>
      <c r="Z104" s="1787"/>
      <c r="AA104" s="1787"/>
      <c r="AB104" s="1787"/>
      <c r="AC104" s="1785"/>
      <c r="AD104" s="1785"/>
      <c r="AE104" s="1787"/>
      <c r="AF104" s="1787"/>
      <c r="AG104" s="1784"/>
    </row>
    <row r="105" spans="1:38" ht="18.75" customHeight="1" x14ac:dyDescent="0.2">
      <c r="A105" s="1273">
        <v>84</v>
      </c>
      <c r="B105" s="1317" t="s">
        <v>107</v>
      </c>
      <c r="C105" s="1787" t="s">
        <v>109</v>
      </c>
      <c r="D105" s="1787"/>
      <c r="E105" s="1787"/>
      <c r="F105" s="1787"/>
      <c r="G105" s="1785"/>
      <c r="H105" s="1786"/>
      <c r="I105" s="1786"/>
      <c r="J105" s="1787"/>
      <c r="K105" s="1787"/>
      <c r="L105" s="1787"/>
      <c r="M105" s="1787"/>
      <c r="N105" s="1787"/>
      <c r="O105" s="1787"/>
      <c r="P105" s="1269"/>
      <c r="Q105" s="1269"/>
      <c r="R105" s="1787"/>
      <c r="S105" s="1787"/>
      <c r="T105" s="1787"/>
      <c r="U105" s="1785"/>
      <c r="V105" s="1785"/>
      <c r="W105" s="1793"/>
      <c r="X105" s="1410"/>
      <c r="Y105" s="1785"/>
      <c r="Z105" s="1786"/>
      <c r="AA105" s="1786"/>
      <c r="AB105" s="1787"/>
      <c r="AC105" s="1785"/>
      <c r="AD105" s="1785"/>
      <c r="AE105" s="1373"/>
      <c r="AF105" s="1787"/>
      <c r="AG105" s="1784"/>
    </row>
    <row r="106" spans="1:38" ht="18.75" customHeight="1" x14ac:dyDescent="0.2">
      <c r="A106" s="1273">
        <v>85</v>
      </c>
      <c r="B106" s="1317" t="s">
        <v>108</v>
      </c>
      <c r="C106" s="1787" t="s">
        <v>109</v>
      </c>
      <c r="D106" s="1787"/>
      <c r="E106" s="1787"/>
      <c r="F106" s="1787"/>
      <c r="G106" s="1785"/>
      <c r="H106" s="1786"/>
      <c r="I106" s="1786"/>
      <c r="J106" s="1787"/>
      <c r="K106" s="1787"/>
      <c r="L106" s="1787"/>
      <c r="M106" s="1787"/>
      <c r="N106" s="1787"/>
      <c r="O106" s="1787"/>
      <c r="P106" s="1269"/>
      <c r="Q106" s="1269"/>
      <c r="R106" s="1301"/>
      <c r="S106" s="1787"/>
      <c r="T106" s="1787"/>
      <c r="U106" s="1785"/>
      <c r="V106" s="1785"/>
      <c r="W106" s="1793"/>
      <c r="X106" s="1410"/>
      <c r="Y106" s="1785"/>
      <c r="Z106" s="1786"/>
      <c r="AA106" s="1786"/>
      <c r="AB106" s="1787"/>
      <c r="AC106" s="1785"/>
      <c r="AD106" s="1785"/>
      <c r="AE106" s="1373"/>
      <c r="AF106" s="1787"/>
      <c r="AG106" s="1784"/>
    </row>
    <row r="107" spans="1:38" ht="18.75" customHeight="1" x14ac:dyDescent="0.2">
      <c r="A107" s="1273">
        <v>86</v>
      </c>
      <c r="B107" s="1317" t="s">
        <v>195</v>
      </c>
      <c r="C107" s="1316" t="s">
        <v>484</v>
      </c>
      <c r="D107" s="1787"/>
      <c r="E107" s="1787"/>
      <c r="F107" s="1787"/>
      <c r="G107" s="1785"/>
      <c r="H107" s="1786"/>
      <c r="I107" s="1786"/>
      <c r="J107" s="1787"/>
      <c r="K107" s="1787"/>
      <c r="L107" s="1787"/>
      <c r="M107" s="1787"/>
      <c r="N107" s="1787"/>
      <c r="O107" s="1787"/>
      <c r="P107" s="1269"/>
      <c r="Q107" s="1269"/>
      <c r="R107" s="1787"/>
      <c r="S107" s="1787"/>
      <c r="T107" s="1787"/>
      <c r="U107" s="1785"/>
      <c r="V107" s="1785"/>
      <c r="W107" s="1793"/>
      <c r="X107" s="1410"/>
      <c r="Y107" s="1785"/>
      <c r="Z107" s="1786"/>
      <c r="AA107" s="1786"/>
      <c r="AB107" s="1787"/>
      <c r="AC107" s="1785"/>
      <c r="AD107" s="1785"/>
      <c r="AE107" s="1373"/>
      <c r="AF107" s="1787"/>
      <c r="AG107" s="1285"/>
    </row>
    <row r="108" spans="1:38" ht="18.75" customHeight="1" x14ac:dyDescent="0.2">
      <c r="A108" s="1273">
        <v>87</v>
      </c>
      <c r="B108" s="1317" t="s">
        <v>192</v>
      </c>
      <c r="C108" s="1316" t="s">
        <v>484</v>
      </c>
      <c r="D108" s="1787"/>
      <c r="E108" s="1787"/>
      <c r="F108" s="1787"/>
      <c r="G108" s="1785"/>
      <c r="H108" s="1786"/>
      <c r="I108" s="1786"/>
      <c r="J108" s="1787"/>
      <c r="K108" s="1787"/>
      <c r="L108" s="1787"/>
      <c r="M108" s="1787"/>
      <c r="N108" s="1787"/>
      <c r="O108" s="1787"/>
      <c r="P108" s="1269"/>
      <c r="Q108" s="1269"/>
      <c r="R108" s="1787"/>
      <c r="S108" s="1787"/>
      <c r="T108" s="1787"/>
      <c r="U108" s="1785"/>
      <c r="V108" s="1785"/>
      <c r="W108" s="1793"/>
      <c r="X108" s="1410"/>
      <c r="Y108" s="1785"/>
      <c r="Z108" s="1786"/>
      <c r="AA108" s="1786"/>
      <c r="AB108" s="1787"/>
      <c r="AC108" s="1785"/>
      <c r="AD108" s="1785"/>
      <c r="AE108" s="1373"/>
      <c r="AF108" s="1787"/>
      <c r="AG108" s="1285"/>
    </row>
    <row r="109" spans="1:38" ht="18.75" customHeight="1" x14ac:dyDescent="0.2">
      <c r="A109" s="1273"/>
      <c r="B109" s="1262"/>
      <c r="C109" s="1371"/>
      <c r="D109" s="1371"/>
      <c r="E109" s="1786" t="s">
        <v>278</v>
      </c>
      <c r="F109" s="1371"/>
      <c r="G109" s="1785"/>
      <c r="H109" s="1786"/>
      <c r="I109" s="1786"/>
      <c r="J109" s="1787"/>
      <c r="K109" s="1787"/>
      <c r="L109" s="1787"/>
      <c r="M109" s="1787"/>
      <c r="N109" s="1787"/>
      <c r="O109" s="1787"/>
      <c r="P109" s="1269"/>
      <c r="Q109" s="1269"/>
      <c r="R109" s="1787"/>
      <c r="S109" s="1787"/>
      <c r="T109" s="1787"/>
      <c r="U109" s="1785"/>
      <c r="V109" s="1785"/>
      <c r="W109" s="1793"/>
      <c r="X109" s="1410"/>
      <c r="Y109" s="1785"/>
      <c r="Z109" s="1301"/>
      <c r="AA109" s="1787"/>
      <c r="AB109" s="1787"/>
      <c r="AC109" s="1785"/>
      <c r="AD109" s="1785"/>
      <c r="AE109" s="1787"/>
      <c r="AF109" s="1787"/>
      <c r="AG109" s="1784"/>
    </row>
    <row r="110" spans="1:38" ht="18.75" customHeight="1" x14ac:dyDescent="0.25">
      <c r="A110" s="1273">
        <v>88</v>
      </c>
      <c r="B110" s="1274" t="s">
        <v>181</v>
      </c>
      <c r="C110" s="1374" t="s">
        <v>344</v>
      </c>
      <c r="D110" s="241">
        <v>374.5</v>
      </c>
      <c r="E110" s="241" t="s">
        <v>182</v>
      </c>
      <c r="F110" s="241">
        <v>177.8</v>
      </c>
      <c r="G110" s="241"/>
      <c r="H110" s="241"/>
      <c r="I110" s="1787"/>
      <c r="J110" s="241"/>
      <c r="K110" s="241"/>
      <c r="L110" s="241"/>
      <c r="M110" s="241"/>
      <c r="N110" s="1278"/>
      <c r="O110" s="241"/>
      <c r="P110" s="244"/>
      <c r="Q110" s="1278"/>
      <c r="R110" s="244"/>
      <c r="S110" s="244"/>
      <c r="T110" s="244"/>
      <c r="U110" s="244"/>
      <c r="V110" s="244"/>
      <c r="W110" s="1355"/>
      <c r="X110" s="1316"/>
      <c r="Y110" s="1375"/>
      <c r="Z110" s="244"/>
      <c r="AA110" s="244"/>
      <c r="AB110" s="244"/>
      <c r="AC110" s="244"/>
      <c r="AD110" s="244"/>
      <c r="AE110" s="241"/>
      <c r="AF110" s="244"/>
      <c r="AG110" s="1285"/>
    </row>
    <row r="111" spans="1:38" ht="18.75" customHeight="1" x14ac:dyDescent="0.2">
      <c r="A111" s="1273">
        <v>89</v>
      </c>
      <c r="B111" s="1317" t="s">
        <v>160</v>
      </c>
      <c r="C111" s="241" t="s">
        <v>46</v>
      </c>
      <c r="D111" s="1787">
        <v>625.1</v>
      </c>
      <c r="E111" s="1787" t="s">
        <v>578</v>
      </c>
      <c r="F111" s="241">
        <v>177.8</v>
      </c>
      <c r="G111" s="241"/>
      <c r="H111" s="241"/>
      <c r="I111" s="244"/>
      <c r="J111" s="1787"/>
      <c r="K111" s="1787"/>
      <c r="L111" s="1787"/>
      <c r="M111" s="1787"/>
      <c r="N111" s="1787"/>
      <c r="O111" s="1787"/>
      <c r="P111" s="1269"/>
      <c r="Q111" s="1269"/>
      <c r="R111" s="1787"/>
      <c r="S111" s="1787"/>
      <c r="T111" s="1787"/>
      <c r="U111" s="1785"/>
      <c r="V111" s="1785"/>
      <c r="W111" s="1793"/>
      <c r="X111" s="1410"/>
      <c r="Y111" s="1376"/>
      <c r="Z111" s="1319"/>
      <c r="AA111" s="1787"/>
      <c r="AB111" s="1787"/>
      <c r="AC111" s="1785"/>
      <c r="AD111" s="1787"/>
      <c r="AE111" s="1373"/>
      <c r="AF111" s="1301"/>
      <c r="AG111" s="1285" t="s">
        <v>827</v>
      </c>
    </row>
    <row r="112" spans="1:38" ht="15" x14ac:dyDescent="0.2">
      <c r="A112" s="1359"/>
      <c r="B112" s="241"/>
      <c r="C112" s="241"/>
      <c r="D112" s="241"/>
      <c r="E112" s="1274"/>
      <c r="F112" s="241"/>
      <c r="G112" s="241"/>
      <c r="H112" s="241"/>
      <c r="I112" s="1787"/>
      <c r="J112" s="241"/>
      <c r="K112" s="241"/>
      <c r="L112" s="241"/>
      <c r="M112" s="241"/>
      <c r="N112" s="1278"/>
      <c r="O112" s="241"/>
      <c r="P112" s="244"/>
      <c r="Q112" s="1377"/>
      <c r="R112" s="244"/>
      <c r="S112" s="244"/>
      <c r="T112" s="244"/>
      <c r="U112" s="244"/>
      <c r="V112" s="244"/>
      <c r="W112" s="1355"/>
      <c r="X112" s="1316"/>
      <c r="Y112" s="1375"/>
      <c r="Z112" s="244"/>
      <c r="AA112" s="244"/>
      <c r="AB112" s="244"/>
      <c r="AC112" s="244"/>
      <c r="AD112" s="244"/>
      <c r="AE112" s="241"/>
      <c r="AF112" s="244"/>
      <c r="AG112" s="1285"/>
    </row>
    <row r="113" spans="1:33" ht="15.75" thickBot="1" x14ac:dyDescent="0.25">
      <c r="A113" s="1378"/>
      <c r="B113" s="1789"/>
      <c r="C113" s="1789"/>
      <c r="D113" s="1789"/>
      <c r="E113" s="1790"/>
      <c r="F113" s="1379"/>
      <c r="G113" s="1380"/>
      <c r="H113" s="1380"/>
      <c r="I113" s="1381"/>
      <c r="J113" s="1380"/>
      <c r="K113" s="1379"/>
      <c r="L113" s="1380"/>
      <c r="M113" s="1379"/>
      <c r="N113" s="1383"/>
      <c r="O113" s="1379"/>
      <c r="P113" s="1384"/>
      <c r="Q113" s="1385"/>
      <c r="R113" s="1386">
        <f>R87+R103</f>
        <v>353.45300000000003</v>
      </c>
      <c r="S113" s="1386">
        <f>S87+S103</f>
        <v>820.56200000000035</v>
      </c>
      <c r="T113" s="1387">
        <f>T87+T103</f>
        <v>6333.0859999999993</v>
      </c>
      <c r="U113" s="1386">
        <f>T113/R113</f>
        <v>17.91775992847705</v>
      </c>
      <c r="V113" s="1386"/>
      <c r="W113" s="1388"/>
      <c r="X113" s="1456"/>
      <c r="Y113" s="1386"/>
      <c r="Z113" s="1386">
        <f>Z87+Z103</f>
        <v>381.68061600000004</v>
      </c>
      <c r="AA113" s="1386">
        <f>AA87+AA103</f>
        <v>914.8680320000002</v>
      </c>
      <c r="AB113" s="1387">
        <f>AB87+AB103</f>
        <v>6820.2185680000002</v>
      </c>
      <c r="AC113" s="1386">
        <f>AC87+AC103</f>
        <v>21.192346121744098</v>
      </c>
      <c r="AD113" s="1386"/>
      <c r="AE113" s="1386"/>
      <c r="AF113" s="1390">
        <f>AF87+AF103</f>
        <v>10825.551624</v>
      </c>
      <c r="AG113" s="1391"/>
    </row>
    <row r="114" spans="1:33" ht="15" x14ac:dyDescent="0.2">
      <c r="B114" s="254"/>
      <c r="C114" s="254"/>
      <c r="D114" s="254"/>
      <c r="E114" s="254"/>
      <c r="F114" s="254"/>
      <c r="G114" s="255"/>
      <c r="H114" s="256"/>
      <c r="I114" s="256"/>
      <c r="J114" s="254"/>
      <c r="K114" s="254"/>
      <c r="L114" s="254"/>
      <c r="M114" s="254"/>
      <c r="N114" s="254"/>
      <c r="O114" s="254"/>
      <c r="P114" s="257"/>
      <c r="Q114" s="1393"/>
      <c r="R114" s="254"/>
      <c r="S114" s="254"/>
      <c r="T114" s="254"/>
      <c r="U114" s="255"/>
      <c r="V114" s="255"/>
      <c r="W114" s="255"/>
      <c r="X114" s="254"/>
      <c r="Y114" s="255"/>
      <c r="Z114" s="254"/>
      <c r="AA114" s="254"/>
      <c r="AB114" s="254"/>
      <c r="AC114" s="255"/>
      <c r="AD114" s="255"/>
      <c r="AE114" s="254"/>
      <c r="AF114" s="254"/>
      <c r="AG114" s="256"/>
    </row>
    <row r="115" spans="1:33" ht="15" x14ac:dyDescent="0.2">
      <c r="B115" s="148"/>
      <c r="C115" s="1788"/>
      <c r="D115" s="148"/>
      <c r="E115" s="1394">
        <v>0.97</v>
      </c>
      <c r="F115" s="148"/>
      <c r="G115" s="148" t="s">
        <v>102</v>
      </c>
      <c r="H115" s="1788"/>
      <c r="I115" s="1395"/>
      <c r="J115" s="148"/>
      <c r="K115" s="1983">
        <f>AF113*E115</f>
        <v>10500.785075279999</v>
      </c>
      <c r="L115" s="1984"/>
      <c r="M115" s="1984"/>
      <c r="N115" s="1788" t="s">
        <v>27</v>
      </c>
      <c r="O115" s="254"/>
      <c r="P115" s="257"/>
      <c r="Q115" s="1393"/>
      <c r="R115" s="254"/>
      <c r="S115" s="254"/>
      <c r="T115" s="254"/>
      <c r="U115" s="255"/>
      <c r="V115" s="255"/>
      <c r="W115" s="255"/>
      <c r="X115" s="148"/>
      <c r="Y115" s="255"/>
      <c r="Z115" s="258"/>
      <c r="AA115" s="258"/>
      <c r="AB115" s="254"/>
      <c r="AC115" s="255"/>
      <c r="AD115" s="255"/>
      <c r="AE115" s="254"/>
      <c r="AF115" s="258"/>
      <c r="AG115" s="256"/>
    </row>
    <row r="116" spans="1:33" ht="15" x14ac:dyDescent="0.2">
      <c r="B116" s="148"/>
      <c r="C116" s="1788"/>
      <c r="D116" s="148"/>
      <c r="E116" s="154"/>
      <c r="F116" s="148"/>
      <c r="G116" s="148" t="s">
        <v>733</v>
      </c>
      <c r="H116" s="1788"/>
      <c r="I116" s="1395"/>
      <c r="J116" s="148"/>
      <c r="K116" s="1788"/>
      <c r="L116" s="1397"/>
      <c r="M116" s="148">
        <f>K115*0.8705</f>
        <v>9140.9334080312401</v>
      </c>
      <c r="N116" s="148" t="s">
        <v>734</v>
      </c>
      <c r="O116" s="148"/>
      <c r="P116" s="1398"/>
      <c r="Q116" s="1399"/>
      <c r="R116" s="148"/>
      <c r="S116" s="148"/>
      <c r="T116" s="148"/>
      <c r="U116" s="148"/>
      <c r="V116" s="148"/>
      <c r="W116" s="148"/>
      <c r="X116" s="148"/>
      <c r="Y116" s="1792"/>
      <c r="Z116" s="1792"/>
      <c r="AA116" s="150"/>
      <c r="AB116" s="1792"/>
      <c r="AC116" s="1792"/>
      <c r="AD116" s="1792"/>
      <c r="AE116" s="1792"/>
      <c r="AF116" s="1792"/>
      <c r="AG116" s="1400"/>
    </row>
    <row r="117" spans="1:33" ht="15" x14ac:dyDescent="0.2">
      <c r="B117" s="148"/>
      <c r="C117" s="1788"/>
      <c r="D117" s="148"/>
      <c r="E117" s="154"/>
      <c r="F117" s="148"/>
      <c r="G117" s="148"/>
      <c r="H117" s="1788"/>
      <c r="I117" s="1395"/>
      <c r="J117" s="148"/>
      <c r="K117" s="1788"/>
      <c r="L117" s="1397"/>
      <c r="M117" s="148"/>
      <c r="N117" s="148"/>
      <c r="O117" s="148"/>
      <c r="P117" s="1398"/>
      <c r="Q117" s="1399"/>
      <c r="R117" s="148"/>
      <c r="S117" s="148"/>
      <c r="T117" s="148"/>
      <c r="U117" s="148"/>
      <c r="V117" s="148"/>
      <c r="W117" s="148"/>
      <c r="X117" s="148"/>
      <c r="Y117" s="1792"/>
      <c r="Z117" s="1792"/>
      <c r="AA117" s="1792"/>
      <c r="AB117" s="1792"/>
      <c r="AC117" s="1792"/>
      <c r="AD117" s="1792"/>
      <c r="AE117" s="1792"/>
      <c r="AF117" s="1792"/>
      <c r="AG117" s="1400"/>
    </row>
    <row r="118" spans="1:33" ht="15" x14ac:dyDescent="0.2">
      <c r="B118" s="148"/>
      <c r="C118" s="148"/>
      <c r="D118" s="148"/>
      <c r="E118" s="1401" t="s">
        <v>214</v>
      </c>
      <c r="F118" s="1826" t="s">
        <v>268</v>
      </c>
      <c r="G118" s="1826"/>
      <c r="H118" s="1826"/>
      <c r="I118" s="148"/>
      <c r="J118" s="148"/>
      <c r="K118" s="1788"/>
      <c r="L118" s="1788"/>
      <c r="M118" s="148"/>
      <c r="N118" s="148"/>
      <c r="O118" s="148"/>
      <c r="P118" s="148"/>
      <c r="Q118" s="1399"/>
      <c r="R118" s="148"/>
      <c r="S118" s="148"/>
      <c r="T118" s="148"/>
      <c r="U118" s="148"/>
      <c r="V118" s="148"/>
      <c r="W118" s="148"/>
      <c r="X118" s="148"/>
      <c r="Y118" s="1985" t="s">
        <v>352</v>
      </c>
      <c r="Z118" s="1986"/>
      <c r="AA118" s="1986"/>
      <c r="AB118" s="1986"/>
      <c r="AC118" s="1792" t="s">
        <v>561</v>
      </c>
      <c r="AD118" s="1792"/>
      <c r="AE118" s="1792"/>
      <c r="AF118" s="1792"/>
      <c r="AG118" s="1792"/>
    </row>
    <row r="119" spans="1:33" x14ac:dyDescent="0.2">
      <c r="R119" s="1282"/>
    </row>
    <row r="120" spans="1:33" x14ac:dyDescent="0.2">
      <c r="AA120" s="1282"/>
    </row>
    <row r="122" spans="1:33" x14ac:dyDescent="0.2">
      <c r="E122" s="1267"/>
    </row>
  </sheetData>
  <autoFilter ref="A12:AO91" xr:uid="{449B0707-335D-4D83-9C57-8D068A5E03A7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40">
    <mergeCell ref="H12:X12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  <mergeCell ref="J13:W13"/>
    <mergeCell ref="A14:A16"/>
    <mergeCell ref="B14:B16"/>
    <mergeCell ref="C14:C16"/>
    <mergeCell ref="D14:D16"/>
    <mergeCell ref="E14:E16"/>
    <mergeCell ref="F14:F16"/>
    <mergeCell ref="G14:G16"/>
    <mergeCell ref="H14:W14"/>
    <mergeCell ref="AD15:AD16"/>
    <mergeCell ref="AG15:AG16"/>
    <mergeCell ref="AN15:AN16"/>
    <mergeCell ref="AO15:AO16"/>
    <mergeCell ref="X14:AG14"/>
    <mergeCell ref="Y15:Y16"/>
    <mergeCell ref="K115:M115"/>
    <mergeCell ref="F118:H118"/>
    <mergeCell ref="Y118:AB118"/>
    <mergeCell ref="Z15:AB15"/>
    <mergeCell ref="AC15:AC16"/>
    <mergeCell ref="H15:H16"/>
    <mergeCell ref="K15:L15"/>
    <mergeCell ref="M15:N15"/>
    <mergeCell ref="O15:P15"/>
    <mergeCell ref="R15:T15"/>
    <mergeCell ref="U15:U16"/>
    <mergeCell ref="V15:V16"/>
    <mergeCell ref="W15:W16"/>
  </mergeCells>
  <pageMargins left="7.874015748031496E-2" right="7.874015748031496E-2" top="0" bottom="0" header="0" footer="0"/>
  <pageSetup paperSize="8" scale="60" fitToWidth="2" fitToHeight="2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2F87A-BEDC-4116-9873-C12A7B77C619}">
  <dimension ref="A1:AQ122"/>
  <sheetViews>
    <sheetView tabSelected="1" zoomScale="80" zoomScaleNormal="80" workbookViewId="0">
      <selection sqref="A1:D1"/>
    </sheetView>
  </sheetViews>
  <sheetFormatPr defaultColWidth="8.85546875" defaultRowHeight="14.25" outlineLevelCol="1" x14ac:dyDescent="0.2"/>
  <cols>
    <col min="1" max="1" width="5.7109375" style="1252" customWidth="1"/>
    <col min="2" max="2" width="10.42578125" style="1252" customWidth="1"/>
    <col min="3" max="3" width="9.7109375" style="1252" customWidth="1"/>
    <col min="4" max="4" width="8.85546875" style="1252" customWidth="1"/>
    <col min="5" max="5" width="54.42578125" style="1252" customWidth="1"/>
    <col min="6" max="6" width="9.28515625" style="1252" customWidth="1"/>
    <col min="7" max="7" width="8.85546875" style="1252" customWidth="1"/>
    <col min="8" max="8" width="19" style="1252" customWidth="1"/>
    <col min="9" max="9" width="8.42578125" style="1252" customWidth="1"/>
    <col min="10" max="10" width="7.5703125" style="1252" customWidth="1"/>
    <col min="11" max="11" width="8" style="1252" customWidth="1"/>
    <col min="12" max="12" width="8.5703125" style="1252" customWidth="1"/>
    <col min="13" max="13" width="9.28515625" style="1252" bestFit="1" customWidth="1"/>
    <col min="14" max="14" width="9.140625" style="1252" bestFit="1" customWidth="1"/>
    <col min="15" max="15" width="5.85546875" style="1252" customWidth="1"/>
    <col min="16" max="16" width="6" style="1252" customWidth="1"/>
    <col min="17" max="17" width="10.5703125" style="1403" customWidth="1"/>
    <col min="18" max="19" width="8.28515625" style="1252" customWidth="1"/>
    <col min="20" max="20" width="6.85546875" style="1252" customWidth="1"/>
    <col min="21" max="21" width="7" style="1252" customWidth="1"/>
    <col min="22" max="22" width="6.42578125" style="1252" customWidth="1"/>
    <col min="23" max="23" width="5.7109375" style="1252" customWidth="1"/>
    <col min="24" max="24" width="8" style="1252" customWidth="1"/>
    <col min="25" max="25" width="7.28515625" style="1252" customWidth="1"/>
    <col min="26" max="27" width="9.5703125" style="1252" customWidth="1"/>
    <col min="28" max="28" width="9.28515625" style="1252" customWidth="1"/>
    <col min="29" max="29" width="7.85546875" style="1252" customWidth="1"/>
    <col min="30" max="30" width="6.85546875" style="1252" customWidth="1"/>
    <col min="31" max="31" width="5.5703125" style="1252" customWidth="1"/>
    <col min="32" max="32" width="9.85546875" style="1252" customWidth="1"/>
    <col min="33" max="33" width="32.140625" style="1252" customWidth="1"/>
    <col min="34" max="34" width="25.7109375" style="1252" customWidth="1" outlineLevel="1"/>
    <col min="35" max="35" width="12.5703125" style="1252" customWidth="1" outlineLevel="1"/>
    <col min="36" max="43" width="8.85546875" style="1252" customWidth="1" outlineLevel="1"/>
    <col min="44" max="16384" width="8.85546875" style="1252"/>
  </cols>
  <sheetData>
    <row r="1" spans="1:41" ht="18.75" x14ac:dyDescent="0.3">
      <c r="A1" s="1942" t="s">
        <v>54</v>
      </c>
      <c r="B1" s="1942"/>
      <c r="C1" s="1942"/>
      <c r="D1" s="1942"/>
      <c r="E1" s="1804"/>
      <c r="F1" s="1251"/>
      <c r="G1" s="1251"/>
      <c r="H1" s="1251"/>
      <c r="I1" s="1821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2"/>
      <c r="X1" s="1822"/>
      <c r="Y1" s="1822"/>
      <c r="Z1" s="1251"/>
      <c r="AA1" s="1251"/>
      <c r="AB1" s="1251"/>
      <c r="AC1" s="1251"/>
      <c r="AD1" s="1251"/>
      <c r="AE1" s="1251"/>
      <c r="AF1" s="1405" t="s">
        <v>744</v>
      </c>
      <c r="AG1" s="1493" t="s">
        <v>745</v>
      </c>
    </row>
    <row r="2" spans="1:41" ht="74.25" customHeight="1" x14ac:dyDescent="0.2">
      <c r="A2" s="1977" t="s">
        <v>814</v>
      </c>
      <c r="B2" s="1977"/>
      <c r="C2" s="1977"/>
      <c r="D2" s="1977"/>
      <c r="E2" s="1804"/>
      <c r="F2" s="1804"/>
      <c r="G2" s="1798"/>
      <c r="H2" s="1803"/>
      <c r="I2" s="1803"/>
      <c r="J2" s="1803"/>
      <c r="K2" s="1803"/>
      <c r="L2" s="1803"/>
      <c r="M2" s="1803"/>
      <c r="N2" s="1803"/>
      <c r="O2" s="1803"/>
      <c r="P2" s="1803"/>
      <c r="Q2" s="1256"/>
      <c r="R2" s="1804"/>
      <c r="S2" s="1804"/>
      <c r="T2" s="1804"/>
      <c r="U2" s="1804"/>
      <c r="V2" s="1804"/>
      <c r="W2" s="1804"/>
      <c r="X2" s="1803"/>
      <c r="Y2" s="1804"/>
      <c r="Z2" s="1804"/>
      <c r="AA2" s="1804"/>
      <c r="AC2" s="1816"/>
      <c r="AD2" s="1804"/>
      <c r="AE2" s="1816"/>
      <c r="AF2" s="1998" t="s">
        <v>750</v>
      </c>
      <c r="AG2" s="1998"/>
    </row>
    <row r="3" spans="1:41" ht="15.75" x14ac:dyDescent="0.25">
      <c r="A3" s="1408" t="s">
        <v>815</v>
      </c>
      <c r="B3" s="1799"/>
      <c r="C3" s="1799"/>
      <c r="D3" s="1799"/>
      <c r="E3" s="1804"/>
      <c r="F3" s="1804"/>
      <c r="G3" s="1798"/>
      <c r="H3" s="1803"/>
      <c r="I3" s="1803"/>
      <c r="J3" s="1803"/>
      <c r="K3" s="1803"/>
      <c r="L3" s="1803"/>
      <c r="M3" s="1803"/>
      <c r="N3" s="1803"/>
      <c r="O3" s="1803"/>
      <c r="P3" s="1803"/>
      <c r="Q3" s="1256"/>
      <c r="R3" s="1804"/>
      <c r="S3" s="1804"/>
      <c r="T3" s="1804"/>
      <c r="U3" s="1804"/>
      <c r="V3" s="1804"/>
      <c r="W3" s="1804"/>
      <c r="X3" s="1803"/>
      <c r="Y3" s="1804"/>
      <c r="Z3" s="1804"/>
      <c r="AA3" s="1804"/>
      <c r="AB3" s="1804"/>
      <c r="AC3" s="1258"/>
      <c r="AE3" s="1222"/>
      <c r="AF3" s="1803" t="s">
        <v>739</v>
      </c>
      <c r="AG3" s="1494"/>
    </row>
    <row r="4" spans="1:41" ht="15" x14ac:dyDescent="0.25">
      <c r="A4" s="1976"/>
      <c r="B4" s="1976"/>
      <c r="C4" s="1976"/>
      <c r="D4" s="1976"/>
      <c r="E4" s="1800"/>
      <c r="F4" s="1804"/>
      <c r="G4" s="1798"/>
      <c r="H4" s="1798"/>
      <c r="I4" s="1803"/>
      <c r="J4" s="1803"/>
      <c r="K4" s="1803"/>
      <c r="L4" s="1803"/>
      <c r="M4" s="1803"/>
      <c r="N4" s="1803"/>
      <c r="O4" s="1803"/>
      <c r="P4" s="1803"/>
      <c r="Q4" s="1256"/>
      <c r="R4" s="1797"/>
      <c r="S4" s="1797"/>
      <c r="T4" s="1797"/>
      <c r="U4" s="1797"/>
      <c r="V4" s="1797"/>
      <c r="W4" s="1797"/>
      <c r="X4" s="1803"/>
      <c r="Y4" s="1804"/>
      <c r="Z4" s="1804"/>
      <c r="AB4" s="1804"/>
      <c r="AD4" s="1804"/>
      <c r="AE4" s="1258"/>
      <c r="AF4" s="154"/>
      <c r="AG4" s="1495"/>
    </row>
    <row r="5" spans="1:41" ht="27" customHeight="1" x14ac:dyDescent="0.25">
      <c r="A5" s="1976" t="s">
        <v>802</v>
      </c>
      <c r="B5" s="1976"/>
      <c r="C5" s="1976"/>
      <c r="D5" s="1976"/>
      <c r="E5" s="1804"/>
      <c r="F5" s="1804"/>
      <c r="G5" s="1798"/>
      <c r="H5" s="1798"/>
      <c r="I5" s="1804"/>
      <c r="J5" s="1804"/>
      <c r="K5" s="1798"/>
      <c r="L5" s="1798"/>
      <c r="M5" s="1804"/>
      <c r="N5" s="1804"/>
      <c r="O5" s="1804"/>
      <c r="P5" s="149"/>
      <c r="Q5" s="1257"/>
      <c r="R5" s="1804"/>
      <c r="S5" s="1804"/>
      <c r="T5" s="1804"/>
      <c r="U5" s="1804"/>
      <c r="V5" s="1804"/>
      <c r="W5" s="1804"/>
      <c r="X5" s="1804"/>
      <c r="Y5" s="1804"/>
      <c r="Z5" s="1804"/>
      <c r="AA5" s="1804"/>
      <c r="AB5" s="1804"/>
      <c r="AC5" s="1816"/>
      <c r="AD5" s="1804"/>
      <c r="AF5" s="154" t="s">
        <v>803</v>
      </c>
      <c r="AG5" s="1495"/>
    </row>
    <row r="6" spans="1:41" ht="27" customHeight="1" x14ac:dyDescent="0.2">
      <c r="A6" s="1942"/>
      <c r="B6" s="1942"/>
      <c r="C6" s="1942"/>
      <c r="D6" s="1942"/>
      <c r="E6" s="1804"/>
      <c r="F6" s="1804"/>
      <c r="G6" s="1798"/>
      <c r="H6" s="1798"/>
      <c r="I6" s="1804"/>
      <c r="J6" s="1804"/>
      <c r="K6" s="1798"/>
      <c r="L6" s="1798"/>
      <c r="M6" s="1804"/>
      <c r="N6" s="1804"/>
      <c r="O6" s="1804"/>
      <c r="P6" s="149"/>
      <c r="Q6" s="1257"/>
      <c r="R6" s="1804"/>
      <c r="S6" s="1804"/>
      <c r="T6" s="1804"/>
      <c r="U6" s="1804"/>
      <c r="V6" s="1804"/>
      <c r="W6" s="1804"/>
      <c r="X6" s="1804"/>
      <c r="Y6" s="1804"/>
      <c r="Z6" s="1804"/>
      <c r="AA6" s="1804"/>
      <c r="AB6" s="1804"/>
      <c r="AC6" s="1816"/>
      <c r="AD6" s="1804"/>
      <c r="AE6" s="1816"/>
      <c r="AF6" s="1804"/>
    </row>
    <row r="7" spans="1:41" ht="27" customHeight="1" x14ac:dyDescent="0.2">
      <c r="A7" s="1942" t="s">
        <v>54</v>
      </c>
      <c r="B7" s="1942"/>
      <c r="C7" s="1942"/>
      <c r="D7" s="1942"/>
      <c r="E7" s="1804"/>
      <c r="F7" s="1804"/>
      <c r="G7" s="1798"/>
      <c r="H7" s="1798"/>
      <c r="I7" s="1804"/>
      <c r="J7" s="1804"/>
      <c r="K7" s="1798"/>
      <c r="L7" s="1798"/>
      <c r="M7" s="1804"/>
      <c r="N7" s="1804"/>
      <c r="O7" s="1804"/>
      <c r="P7" s="149"/>
      <c r="Q7" s="1257"/>
      <c r="R7" s="1804"/>
      <c r="S7" s="1804"/>
      <c r="T7" s="1804"/>
      <c r="U7" s="1804"/>
      <c r="V7" s="1804"/>
      <c r="W7" s="1804"/>
      <c r="X7" s="1804"/>
      <c r="Y7" s="1804"/>
      <c r="Z7" s="1804"/>
      <c r="AA7" s="1804"/>
      <c r="AB7" s="1804"/>
      <c r="AC7" s="1816"/>
      <c r="AD7" s="1804"/>
      <c r="AE7" s="1816"/>
      <c r="AF7" s="1804"/>
    </row>
    <row r="8" spans="1:41" ht="39" customHeight="1" x14ac:dyDescent="0.2">
      <c r="A8" s="1977" t="s">
        <v>736</v>
      </c>
      <c r="B8" s="1977"/>
      <c r="C8" s="1977"/>
      <c r="D8" s="1977"/>
      <c r="E8" s="1804"/>
      <c r="F8" s="1804"/>
      <c r="G8" s="1798"/>
      <c r="H8" s="1798"/>
      <c r="I8" s="1804"/>
      <c r="J8" s="1804"/>
      <c r="K8" s="1798"/>
      <c r="L8" s="1798"/>
      <c r="M8" s="1804"/>
      <c r="N8" s="1804"/>
      <c r="O8" s="1804"/>
      <c r="P8" s="149"/>
      <c r="Q8" s="1257"/>
      <c r="R8" s="1804"/>
      <c r="S8" s="1804"/>
      <c r="T8" s="1804"/>
      <c r="U8" s="1804"/>
      <c r="V8" s="1804"/>
      <c r="W8" s="1804"/>
      <c r="X8" s="1804"/>
      <c r="Y8" s="1804"/>
      <c r="Z8" s="1804"/>
      <c r="AA8" s="1804"/>
      <c r="AB8" s="1804"/>
      <c r="AC8" s="1816"/>
      <c r="AD8" s="1804"/>
      <c r="AE8" s="1816"/>
      <c r="AF8" s="1804"/>
    </row>
    <row r="9" spans="1:41" ht="27" customHeight="1" x14ac:dyDescent="0.2">
      <c r="A9" s="1408" t="s">
        <v>737</v>
      </c>
      <c r="B9" s="1799"/>
      <c r="C9" s="1799"/>
      <c r="D9" s="1799"/>
      <c r="E9" s="1804"/>
      <c r="F9" s="1804"/>
      <c r="G9" s="1798"/>
      <c r="H9" s="1798"/>
      <c r="I9" s="1804"/>
      <c r="J9" s="1804"/>
      <c r="K9" s="1798"/>
      <c r="L9" s="1798"/>
      <c r="M9" s="1804"/>
      <c r="N9" s="1804"/>
      <c r="O9" s="1804"/>
      <c r="P9" s="149"/>
      <c r="Q9" s="1257"/>
      <c r="R9" s="1804"/>
      <c r="S9" s="1804"/>
      <c r="T9" s="1804"/>
      <c r="U9" s="1804"/>
      <c r="V9" s="1804"/>
      <c r="W9" s="1804"/>
      <c r="X9" s="1804"/>
      <c r="Y9" s="1804"/>
      <c r="Z9" s="1804"/>
      <c r="AA9" s="1804"/>
      <c r="AB9" s="1804"/>
      <c r="AC9" s="1816"/>
      <c r="AD9" s="1804"/>
      <c r="AE9" s="1816"/>
      <c r="AF9" s="1804"/>
    </row>
    <row r="10" spans="1:41" ht="27" customHeight="1" x14ac:dyDescent="0.2">
      <c r="A10" s="1976"/>
      <c r="B10" s="1976"/>
      <c r="C10" s="1976"/>
      <c r="D10" s="1976"/>
      <c r="E10" s="1800"/>
      <c r="F10" s="1804"/>
      <c r="G10" s="1798"/>
      <c r="H10" s="1798"/>
      <c r="I10" s="1804"/>
      <c r="J10" s="1804"/>
      <c r="K10" s="1798"/>
      <c r="L10" s="1798"/>
      <c r="M10" s="1804"/>
      <c r="N10" s="1804"/>
      <c r="O10" s="1804"/>
      <c r="P10" s="149"/>
      <c r="Q10" s="1257"/>
      <c r="R10" s="1804"/>
      <c r="S10" s="1804"/>
      <c r="T10" s="1804"/>
      <c r="U10" s="1804"/>
      <c r="V10" s="1804"/>
      <c r="W10" s="1804"/>
      <c r="X10" s="1804"/>
      <c r="Y10" s="1804"/>
      <c r="Z10" s="1804"/>
      <c r="AA10" s="1804"/>
      <c r="AB10" s="1804"/>
      <c r="AC10" s="1816"/>
      <c r="AD10" s="1804"/>
      <c r="AE10" s="1816"/>
      <c r="AF10" s="1804"/>
    </row>
    <row r="11" spans="1:41" ht="27" customHeight="1" x14ac:dyDescent="0.2">
      <c r="A11" s="1976" t="s">
        <v>802</v>
      </c>
      <c r="B11" s="1976"/>
      <c r="C11" s="1976"/>
      <c r="D11" s="1976"/>
      <c r="E11" s="1804"/>
      <c r="F11" s="1804"/>
      <c r="G11" s="1798"/>
      <c r="H11" s="1798"/>
      <c r="I11" s="1804"/>
      <c r="J11" s="1804"/>
      <c r="K11" s="1798"/>
      <c r="L11" s="1798"/>
      <c r="M11" s="1804"/>
      <c r="N11" s="1804"/>
      <c r="O11" s="1804"/>
      <c r="P11" s="149"/>
      <c r="Q11" s="1257"/>
      <c r="R11" s="1804"/>
      <c r="S11" s="1804"/>
      <c r="T11" s="1804"/>
      <c r="U11" s="1804"/>
      <c r="V11" s="1804"/>
      <c r="W11" s="1804"/>
      <c r="X11" s="1804"/>
      <c r="Y11" s="1804"/>
      <c r="Z11" s="1804"/>
      <c r="AA11" s="1804"/>
      <c r="AB11" s="1804"/>
      <c r="AC11" s="1816"/>
      <c r="AD11" s="1804"/>
      <c r="AE11" s="1816"/>
      <c r="AF11" s="1804"/>
    </row>
    <row r="12" spans="1:41" ht="28.5" customHeight="1" x14ac:dyDescent="0.2">
      <c r="B12" s="1798"/>
      <c r="C12" s="1798"/>
      <c r="D12" s="1798"/>
      <c r="E12" s="1804"/>
      <c r="F12" s="1804"/>
      <c r="G12" s="1798"/>
      <c r="H12" s="1962" t="s">
        <v>65</v>
      </c>
      <c r="I12" s="1963"/>
      <c r="J12" s="1963"/>
      <c r="K12" s="1963"/>
      <c r="L12" s="1963"/>
      <c r="M12" s="1963"/>
      <c r="N12" s="1963"/>
      <c r="O12" s="1963"/>
      <c r="P12" s="1963"/>
      <c r="Q12" s="1963"/>
      <c r="R12" s="1963"/>
      <c r="S12" s="1963"/>
      <c r="T12" s="1963"/>
      <c r="U12" s="1963"/>
      <c r="V12" s="1963"/>
      <c r="W12" s="1963"/>
      <c r="X12" s="1963"/>
      <c r="Y12" s="1804"/>
      <c r="Z12" s="148"/>
      <c r="AA12" s="148"/>
      <c r="AB12" s="148"/>
      <c r="AC12" s="148"/>
    </row>
    <row r="13" spans="1:41" ht="31.5" customHeight="1" thickBot="1" x14ac:dyDescent="0.25">
      <c r="B13" s="1798"/>
      <c r="C13" s="1798"/>
      <c r="D13" s="1798"/>
      <c r="E13" s="1804"/>
      <c r="F13" s="1804"/>
      <c r="G13" s="1798"/>
      <c r="H13" s="1798"/>
      <c r="I13" s="140"/>
      <c r="J13" s="1964" t="s">
        <v>836</v>
      </c>
      <c r="K13" s="1965"/>
      <c r="L13" s="1965"/>
      <c r="M13" s="1965"/>
      <c r="N13" s="1965"/>
      <c r="O13" s="1965"/>
      <c r="P13" s="1965"/>
      <c r="Q13" s="1965"/>
      <c r="R13" s="1965"/>
      <c r="S13" s="1965"/>
      <c r="T13" s="1965"/>
      <c r="U13" s="1965"/>
      <c r="V13" s="1965"/>
      <c r="W13" s="1965"/>
      <c r="X13" s="1804"/>
      <c r="Y13" s="1804"/>
      <c r="Z13" s="148"/>
      <c r="AA13" s="148"/>
      <c r="AB13" s="148"/>
      <c r="AC13" s="148"/>
      <c r="AD13" s="1804"/>
      <c r="AE13" s="1816"/>
      <c r="AF13" s="1804"/>
      <c r="AG13" s="151"/>
    </row>
    <row r="14" spans="1:41" ht="18.75" customHeight="1" x14ac:dyDescent="0.2">
      <c r="A14" s="1969" t="s">
        <v>1</v>
      </c>
      <c r="B14" s="1971" t="s">
        <v>664</v>
      </c>
      <c r="C14" s="1973" t="s">
        <v>8</v>
      </c>
      <c r="D14" s="1992" t="s">
        <v>719</v>
      </c>
      <c r="E14" s="1994" t="s">
        <v>720</v>
      </c>
      <c r="F14" s="1992" t="s">
        <v>721</v>
      </c>
      <c r="G14" s="1973" t="s">
        <v>667</v>
      </c>
      <c r="H14" s="1988" t="s">
        <v>669</v>
      </c>
      <c r="I14" s="1988"/>
      <c r="J14" s="1988"/>
      <c r="K14" s="1988"/>
      <c r="L14" s="1988"/>
      <c r="M14" s="1988"/>
      <c r="N14" s="1988"/>
      <c r="O14" s="1988"/>
      <c r="P14" s="1988"/>
      <c r="Q14" s="1988"/>
      <c r="R14" s="1988"/>
      <c r="S14" s="1988"/>
      <c r="T14" s="1988"/>
      <c r="U14" s="1988"/>
      <c r="V14" s="1988"/>
      <c r="W14" s="1989"/>
      <c r="X14" s="1978" t="s">
        <v>22</v>
      </c>
      <c r="Y14" s="1979"/>
      <c r="Z14" s="1979"/>
      <c r="AA14" s="1979"/>
      <c r="AB14" s="1979"/>
      <c r="AC14" s="1979"/>
      <c r="AD14" s="1979"/>
      <c r="AE14" s="1979"/>
      <c r="AF14" s="1979"/>
      <c r="AG14" s="1980"/>
    </row>
    <row r="15" spans="1:41" ht="168" customHeight="1" x14ac:dyDescent="0.2">
      <c r="A15" s="1970"/>
      <c r="B15" s="1972"/>
      <c r="C15" s="1968"/>
      <c r="D15" s="1993"/>
      <c r="E15" s="1995"/>
      <c r="F15" s="1993"/>
      <c r="G15" s="1968"/>
      <c r="H15" s="1990" t="s">
        <v>668</v>
      </c>
      <c r="I15" s="1262" t="s">
        <v>670</v>
      </c>
      <c r="J15" s="1805" t="s">
        <v>671</v>
      </c>
      <c r="K15" s="1972" t="s">
        <v>672</v>
      </c>
      <c r="L15" s="1972"/>
      <c r="M15" s="1972" t="s">
        <v>10</v>
      </c>
      <c r="N15" s="1972"/>
      <c r="O15" s="1968" t="s">
        <v>11</v>
      </c>
      <c r="P15" s="1968"/>
      <c r="Q15" s="1264" t="s">
        <v>674</v>
      </c>
      <c r="R15" s="1972" t="s">
        <v>15</v>
      </c>
      <c r="S15" s="1975"/>
      <c r="T15" s="1975"/>
      <c r="U15" s="1968" t="s">
        <v>100</v>
      </c>
      <c r="V15" s="1968" t="s">
        <v>16</v>
      </c>
      <c r="W15" s="1987" t="s">
        <v>677</v>
      </c>
      <c r="X15" s="1451" t="s">
        <v>671</v>
      </c>
      <c r="Y15" s="1968" t="s">
        <v>24</v>
      </c>
      <c r="Z15" s="1972" t="s">
        <v>678</v>
      </c>
      <c r="AA15" s="1975"/>
      <c r="AB15" s="1975"/>
      <c r="AC15" s="1968" t="s">
        <v>100</v>
      </c>
      <c r="AD15" s="1968" t="s">
        <v>16</v>
      </c>
      <c r="AE15" s="1817" t="s">
        <v>18</v>
      </c>
      <c r="AF15" s="1805" t="s">
        <v>20</v>
      </c>
      <c r="AG15" s="1967" t="s">
        <v>21</v>
      </c>
      <c r="AH15" s="1267">
        <v>45474</v>
      </c>
      <c r="AN15" s="1966" t="s">
        <v>711</v>
      </c>
      <c r="AO15" s="1966" t="s">
        <v>712</v>
      </c>
    </row>
    <row r="16" spans="1:41" ht="25.5" customHeight="1" x14ac:dyDescent="0.2">
      <c r="A16" s="1970"/>
      <c r="B16" s="1972"/>
      <c r="C16" s="1968"/>
      <c r="D16" s="1991"/>
      <c r="E16" s="1996"/>
      <c r="F16" s="1991"/>
      <c r="G16" s="1968"/>
      <c r="H16" s="1991"/>
      <c r="I16" s="1808" t="s">
        <v>3</v>
      </c>
      <c r="J16" s="1808" t="s">
        <v>7</v>
      </c>
      <c r="K16" s="1808" t="s">
        <v>30</v>
      </c>
      <c r="L16" s="1808" t="s">
        <v>29</v>
      </c>
      <c r="M16" s="1808" t="s">
        <v>31</v>
      </c>
      <c r="N16" s="1808" t="s">
        <v>32</v>
      </c>
      <c r="O16" s="1808" t="s">
        <v>12</v>
      </c>
      <c r="P16" s="1269" t="s">
        <v>673</v>
      </c>
      <c r="Q16" s="1270" t="s">
        <v>26</v>
      </c>
      <c r="R16" s="1808" t="s">
        <v>675</v>
      </c>
      <c r="S16" s="1808" t="s">
        <v>25</v>
      </c>
      <c r="T16" s="1808" t="s">
        <v>676</v>
      </c>
      <c r="U16" s="1968"/>
      <c r="V16" s="1968"/>
      <c r="W16" s="1987"/>
      <c r="X16" s="1410" t="s">
        <v>7</v>
      </c>
      <c r="Y16" s="1968"/>
      <c r="Z16" s="1808" t="s">
        <v>14</v>
      </c>
      <c r="AA16" s="1808" t="s">
        <v>679</v>
      </c>
      <c r="AB16" s="1808" t="s">
        <v>113</v>
      </c>
      <c r="AC16" s="1968"/>
      <c r="AD16" s="1968"/>
      <c r="AE16" s="1818" t="s">
        <v>19</v>
      </c>
      <c r="AF16" s="1808" t="s">
        <v>680</v>
      </c>
      <c r="AG16" s="1967"/>
      <c r="AH16" s="1252" t="s">
        <v>657</v>
      </c>
      <c r="AI16" s="1269" t="s">
        <v>636</v>
      </c>
      <c r="AJ16" s="1269" t="s">
        <v>654</v>
      </c>
      <c r="AK16" s="1269" t="s">
        <v>653</v>
      </c>
      <c r="AL16" s="1269" t="s">
        <v>655</v>
      </c>
      <c r="AM16" s="1272" t="s">
        <v>710</v>
      </c>
      <c r="AN16" s="1966"/>
      <c r="AO16" s="1966"/>
    </row>
    <row r="17" spans="1:41" ht="18.75" customHeight="1" x14ac:dyDescent="0.2">
      <c r="A17" s="1273">
        <v>1</v>
      </c>
      <c r="B17" s="1274" t="s">
        <v>139</v>
      </c>
      <c r="C17" s="241" t="s">
        <v>840</v>
      </c>
      <c r="D17" s="241">
        <v>610.5</v>
      </c>
      <c r="E17" s="241" t="s">
        <v>571</v>
      </c>
      <c r="F17" s="241">
        <v>177.8</v>
      </c>
      <c r="G17" s="241" t="s">
        <v>28</v>
      </c>
      <c r="H17" s="1275" t="s">
        <v>556</v>
      </c>
      <c r="I17" s="1808">
        <v>557.80999999999995</v>
      </c>
      <c r="J17" s="1448">
        <v>260</v>
      </c>
      <c r="K17" s="241"/>
      <c r="L17" s="1277">
        <v>246</v>
      </c>
      <c r="M17" s="241"/>
      <c r="N17" s="1278">
        <v>1.2</v>
      </c>
      <c r="O17" s="241"/>
      <c r="P17" s="1278">
        <f>AI17</f>
        <v>31.518743122924874</v>
      </c>
      <c r="Q17" s="1278">
        <f>LEFT(H17,(FIND("Е",H17,1)-1))*J17/100</f>
        <v>33.799999999999997</v>
      </c>
      <c r="R17" s="244">
        <v>1.1100000000000001</v>
      </c>
      <c r="S17" s="244">
        <v>6.6520000000000001</v>
      </c>
      <c r="T17" s="1277">
        <v>6</v>
      </c>
      <c r="U17" s="1278">
        <f t="shared" ref="U17" si="0">IF(R17=0,0,T17/R17)</f>
        <v>5.4054054054054053</v>
      </c>
      <c r="V17" s="1278">
        <f>(S17-R17)/S17*100</f>
        <v>83.313289236319903</v>
      </c>
      <c r="W17" s="1279">
        <v>0.2</v>
      </c>
      <c r="X17" s="1449">
        <v>85</v>
      </c>
      <c r="Y17" s="1277">
        <f t="shared" ref="Y17:Y83" si="1">IF(S17=0,0,S17/Q17)*100</f>
        <v>19.680473372781069</v>
      </c>
      <c r="Z17" s="244">
        <v>3</v>
      </c>
      <c r="AA17" s="244">
        <v>8.5</v>
      </c>
      <c r="AB17" s="1277">
        <f t="shared" ref="AB17" si="2">T17*0.988</f>
        <v>5.9279999999999999</v>
      </c>
      <c r="AC17" s="244">
        <f>AB17/Z17</f>
        <v>1.976</v>
      </c>
      <c r="AD17" s="1277">
        <f>(AA17-Z17)/AA17*100</f>
        <v>64.705882352941174</v>
      </c>
      <c r="AE17" s="241">
        <v>10</v>
      </c>
      <c r="AF17" s="244">
        <v>23.381019999999996</v>
      </c>
      <c r="AG17" s="1281" t="s">
        <v>826</v>
      </c>
      <c r="AI17" s="1282">
        <f t="shared" ref="AI17:AI82" si="3">(9.81*(AJ17*(100%-(V17/100))+AK17*(V17/100))*(I17-L17)+N17*101.325+9.81*(AL17)*L17)/101.325</f>
        <v>31.518743122924874</v>
      </c>
      <c r="AJ17" s="1252">
        <v>0.9224</v>
      </c>
      <c r="AK17" s="1252">
        <v>1.02</v>
      </c>
      <c r="AL17" s="1252">
        <v>7.5858300000000007E-4</v>
      </c>
      <c r="AM17" s="1252">
        <f>DAY(EOMONTH($AH$15,0))</f>
        <v>31</v>
      </c>
      <c r="AN17" s="1252">
        <v>39369</v>
      </c>
      <c r="AO17" s="1252">
        <f>COUNTIF(R17:R102, "&lt;200")</f>
        <v>70</v>
      </c>
    </row>
    <row r="18" spans="1:41" ht="18.75" customHeight="1" x14ac:dyDescent="0.2">
      <c r="A18" s="1273">
        <v>2</v>
      </c>
      <c r="B18" s="1274" t="s">
        <v>140</v>
      </c>
      <c r="C18" s="241" t="s">
        <v>840</v>
      </c>
      <c r="D18" s="241">
        <v>623.5</v>
      </c>
      <c r="E18" s="241" t="s">
        <v>585</v>
      </c>
      <c r="F18" s="241">
        <v>177.8</v>
      </c>
      <c r="G18" s="241" t="s">
        <v>28</v>
      </c>
      <c r="H18" s="241" t="s">
        <v>683</v>
      </c>
      <c r="I18" s="1808">
        <v>563.55999999999995</v>
      </c>
      <c r="J18" s="241"/>
      <c r="K18" s="241">
        <v>164</v>
      </c>
      <c r="L18" s="1277"/>
      <c r="M18" s="241">
        <v>1.2</v>
      </c>
      <c r="N18" s="1278"/>
      <c r="O18" s="241"/>
      <c r="P18" s="1278"/>
      <c r="Q18" s="1278"/>
      <c r="R18" s="244"/>
      <c r="S18" s="244"/>
      <c r="T18" s="1277"/>
      <c r="U18" s="1278"/>
      <c r="V18" s="1278"/>
      <c r="W18" s="1279"/>
      <c r="X18" s="1316"/>
      <c r="Y18" s="1277">
        <f t="shared" si="1"/>
        <v>0</v>
      </c>
      <c r="Z18" s="244"/>
      <c r="AA18" s="244"/>
      <c r="AB18" s="1277"/>
      <c r="AC18" s="244"/>
      <c r="AD18" s="1277"/>
      <c r="AE18" s="241"/>
      <c r="AF18" s="244"/>
      <c r="AG18" s="1285" t="s">
        <v>716</v>
      </c>
      <c r="AI18" s="1282">
        <f t="shared" si="3"/>
        <v>49.509818057142851</v>
      </c>
      <c r="AJ18" s="1252">
        <v>0.90739999999999998</v>
      </c>
      <c r="AK18" s="1252">
        <v>1.024</v>
      </c>
      <c r="AL18" s="1252">
        <v>6.9596980000000001E-4</v>
      </c>
    </row>
    <row r="19" spans="1:41" ht="18.75" customHeight="1" x14ac:dyDescent="0.2">
      <c r="A19" s="1273">
        <v>3</v>
      </c>
      <c r="B19" s="1274" t="s">
        <v>141</v>
      </c>
      <c r="C19" s="241" t="s">
        <v>840</v>
      </c>
      <c r="D19" s="241">
        <v>670</v>
      </c>
      <c r="E19" s="241" t="s">
        <v>68</v>
      </c>
      <c r="F19" s="241">
        <v>177.8</v>
      </c>
      <c r="G19" s="241" t="s">
        <v>28</v>
      </c>
      <c r="H19" s="241" t="s">
        <v>763</v>
      </c>
      <c r="I19" s="1815">
        <v>528.5</v>
      </c>
      <c r="J19" s="241">
        <v>165</v>
      </c>
      <c r="K19" s="241"/>
      <c r="L19" s="1277">
        <v>410</v>
      </c>
      <c r="M19" s="241"/>
      <c r="N19" s="1278">
        <v>4.0999999999999996</v>
      </c>
      <c r="O19" s="241"/>
      <c r="P19" s="1278">
        <f t="shared" ref="P19:P84" si="4">AI19</f>
        <v>15.080499418456613</v>
      </c>
      <c r="Q19" s="1278">
        <f>RIGHT(H19,(FIND("T",H19,1)-0))*J19/100</f>
        <v>33</v>
      </c>
      <c r="R19" s="244">
        <v>8.8219999999999992</v>
      </c>
      <c r="S19" s="244">
        <v>17.789000000000001</v>
      </c>
      <c r="T19" s="1277">
        <v>146</v>
      </c>
      <c r="U19" s="1278">
        <f t="shared" ref="U19:U35" si="5">IF(R19=0,0,T19/R19)</f>
        <v>16.549535252777151</v>
      </c>
      <c r="V19" s="1278">
        <f t="shared" ref="V19:V51" si="6">(S19-R19)/S19*100</f>
        <v>50.407555230760593</v>
      </c>
      <c r="W19" s="1279">
        <v>0.2</v>
      </c>
      <c r="X19" s="1316">
        <v>165</v>
      </c>
      <c r="Y19" s="1277">
        <f t="shared" si="1"/>
        <v>53.906060606060613</v>
      </c>
      <c r="Z19" s="244">
        <f t="shared" ref="Z19:AB34" si="7">R19*0.988</f>
        <v>8.7161359999999988</v>
      </c>
      <c r="AA19" s="244">
        <f t="shared" si="7"/>
        <v>17.575532000000003</v>
      </c>
      <c r="AB19" s="1277">
        <f t="shared" si="7"/>
        <v>144.24799999999999</v>
      </c>
      <c r="AC19" s="244">
        <f t="shared" ref="AC19:AD34" si="8">U19</f>
        <v>16.549535252777151</v>
      </c>
      <c r="AD19" s="1277">
        <f t="shared" si="8"/>
        <v>50.407555230760593</v>
      </c>
      <c r="AE19" s="241">
        <f t="shared" ref="AE19:AE40" si="9">(DAY(EOMONTH($AH$15,0))-AH19)</f>
        <v>31</v>
      </c>
      <c r="AF19" s="244">
        <f t="shared" ref="AF19:AF61" si="10">Z19*AE19</f>
        <v>270.20021599999995</v>
      </c>
      <c r="AG19" s="1281"/>
      <c r="AI19" s="1282">
        <f t="shared" si="3"/>
        <v>15.080499418456613</v>
      </c>
      <c r="AJ19" s="1252">
        <v>0.87670000000000003</v>
      </c>
      <c r="AK19" s="1252">
        <v>1.03</v>
      </c>
      <c r="AL19" s="1252">
        <v>8.9946269999999998E-4</v>
      </c>
    </row>
    <row r="20" spans="1:41" ht="18.75" customHeight="1" x14ac:dyDescent="0.2">
      <c r="A20" s="1273">
        <v>4</v>
      </c>
      <c r="B20" s="1274" t="s">
        <v>142</v>
      </c>
      <c r="C20" s="241" t="s">
        <v>840</v>
      </c>
      <c r="D20" s="241">
        <v>656</v>
      </c>
      <c r="E20" s="241" t="s">
        <v>481</v>
      </c>
      <c r="F20" s="241">
        <v>177.8</v>
      </c>
      <c r="G20" s="241" t="s">
        <v>28</v>
      </c>
      <c r="H20" s="241" t="s">
        <v>685</v>
      </c>
      <c r="I20" s="1812">
        <v>544.29999999999995</v>
      </c>
      <c r="J20" s="241">
        <v>195</v>
      </c>
      <c r="K20" s="241"/>
      <c r="L20" s="1277">
        <v>448</v>
      </c>
      <c r="M20" s="241"/>
      <c r="N20" s="1278">
        <v>4.2</v>
      </c>
      <c r="O20" s="241"/>
      <c r="P20" s="1278">
        <f t="shared" si="4"/>
        <v>13.189683122551958</v>
      </c>
      <c r="Q20" s="1278">
        <f t="shared" ref="Q20:Q25" si="11">RIGHT(H20,(FIND("T",H20,1)-0))*J20/100</f>
        <v>27.3</v>
      </c>
      <c r="R20" s="244">
        <v>8.6159999999999997</v>
      </c>
      <c r="S20" s="244">
        <v>18.553000000000001</v>
      </c>
      <c r="T20" s="1277">
        <v>56</v>
      </c>
      <c r="U20" s="1278">
        <f t="shared" si="5"/>
        <v>6.4995357474466111</v>
      </c>
      <c r="V20" s="1278">
        <f t="shared" si="6"/>
        <v>53.560071147523317</v>
      </c>
      <c r="W20" s="1279">
        <v>0.23</v>
      </c>
      <c r="X20" s="1316">
        <v>195</v>
      </c>
      <c r="Y20" s="1277">
        <f t="shared" si="1"/>
        <v>67.959706959706949</v>
      </c>
      <c r="Z20" s="244">
        <f t="shared" si="7"/>
        <v>8.5126080000000002</v>
      </c>
      <c r="AA20" s="244">
        <f t="shared" si="7"/>
        <v>18.330363999999999</v>
      </c>
      <c r="AB20" s="1277">
        <f t="shared" si="7"/>
        <v>55.328000000000003</v>
      </c>
      <c r="AC20" s="244">
        <f t="shared" si="8"/>
        <v>6.4995357474466111</v>
      </c>
      <c r="AD20" s="1277">
        <f t="shared" si="8"/>
        <v>53.560071147523317</v>
      </c>
      <c r="AE20" s="241">
        <f t="shared" si="9"/>
        <v>31</v>
      </c>
      <c r="AF20" s="244">
        <f t="shared" si="10"/>
        <v>263.89084800000001</v>
      </c>
      <c r="AG20" s="1281"/>
      <c r="AI20" s="1282">
        <f t="shared" si="3"/>
        <v>13.189683122551958</v>
      </c>
      <c r="AJ20" s="1252">
        <v>0.89939999999999998</v>
      </c>
      <c r="AK20" s="1252">
        <v>1.014</v>
      </c>
      <c r="AL20" s="1252">
        <v>7.3450100000000003E-4</v>
      </c>
    </row>
    <row r="21" spans="1:41" ht="18.75" customHeight="1" x14ac:dyDescent="0.2">
      <c r="A21" s="1273">
        <v>5</v>
      </c>
      <c r="B21" s="1274" t="s">
        <v>143</v>
      </c>
      <c r="C21" s="241" t="s">
        <v>840</v>
      </c>
      <c r="D21" s="241">
        <v>576.62</v>
      </c>
      <c r="E21" s="241" t="s">
        <v>70</v>
      </c>
      <c r="F21" s="241">
        <v>177.8</v>
      </c>
      <c r="G21" s="241" t="s">
        <v>28</v>
      </c>
      <c r="H21" s="1299" t="s">
        <v>587</v>
      </c>
      <c r="I21" s="1812">
        <v>548.32000000000005</v>
      </c>
      <c r="J21" s="241">
        <v>110</v>
      </c>
      <c r="K21" s="241"/>
      <c r="L21" s="1277">
        <v>422</v>
      </c>
      <c r="M21" s="241"/>
      <c r="N21" s="1278">
        <v>1.7</v>
      </c>
      <c r="O21" s="241"/>
      <c r="P21" s="1278">
        <f t="shared" si="4"/>
        <v>13.222809247755231</v>
      </c>
      <c r="Q21" s="1278">
        <f t="shared" si="11"/>
        <v>15.4</v>
      </c>
      <c r="R21" s="244">
        <v>5.35</v>
      </c>
      <c r="S21" s="244">
        <v>7.3140000000000001</v>
      </c>
      <c r="T21" s="1277">
        <v>35</v>
      </c>
      <c r="U21" s="1278">
        <f t="shared" si="5"/>
        <v>6.5420560747663554</v>
      </c>
      <c r="V21" s="1278">
        <f t="shared" si="6"/>
        <v>26.852611430133994</v>
      </c>
      <c r="W21" s="1279">
        <v>0.2</v>
      </c>
      <c r="X21" s="1316">
        <v>110</v>
      </c>
      <c r="Y21" s="1277">
        <f t="shared" si="1"/>
        <v>47.493506493506494</v>
      </c>
      <c r="Z21" s="244">
        <f t="shared" si="7"/>
        <v>5.2857999999999992</v>
      </c>
      <c r="AA21" s="244">
        <f t="shared" si="7"/>
        <v>7.2262319999999995</v>
      </c>
      <c r="AB21" s="1277">
        <f t="shared" si="7"/>
        <v>34.58</v>
      </c>
      <c r="AC21" s="244">
        <f t="shared" si="8"/>
        <v>6.5420560747663554</v>
      </c>
      <c r="AD21" s="1277">
        <f t="shared" si="8"/>
        <v>26.852611430133994</v>
      </c>
      <c r="AE21" s="241">
        <f t="shared" si="9"/>
        <v>31</v>
      </c>
      <c r="AF21" s="244">
        <f t="shared" si="10"/>
        <v>163.85979999999998</v>
      </c>
      <c r="AG21" s="1281"/>
      <c r="AI21" s="1282">
        <f t="shared" si="3"/>
        <v>13.222809247755231</v>
      </c>
      <c r="AJ21" s="1252">
        <v>0.90990000000000004</v>
      </c>
      <c r="AK21" s="1252">
        <v>1.02</v>
      </c>
      <c r="AL21" s="1252">
        <v>8.1276750000000011E-4</v>
      </c>
      <c r="AN21" s="1252">
        <v>43008</v>
      </c>
    </row>
    <row r="22" spans="1:41" ht="18.75" customHeight="1" x14ac:dyDescent="0.2">
      <c r="A22" s="1273">
        <v>6</v>
      </c>
      <c r="B22" s="1274" t="s">
        <v>144</v>
      </c>
      <c r="C22" s="241" t="s">
        <v>840</v>
      </c>
      <c r="D22" s="241">
        <v>648.48</v>
      </c>
      <c r="E22" s="241" t="s">
        <v>460</v>
      </c>
      <c r="F22" s="241">
        <v>177.8</v>
      </c>
      <c r="G22" s="241" t="s">
        <v>28</v>
      </c>
      <c r="H22" s="1299" t="s">
        <v>587</v>
      </c>
      <c r="I22" s="1815">
        <v>564.33000000000004</v>
      </c>
      <c r="J22" s="241">
        <v>145</v>
      </c>
      <c r="K22" s="241"/>
      <c r="L22" s="1277">
        <v>411</v>
      </c>
      <c r="M22" s="241"/>
      <c r="N22" s="1278">
        <v>0.8</v>
      </c>
      <c r="O22" s="241"/>
      <c r="P22" s="1278">
        <f t="shared" si="4"/>
        <v>15.061447580708821</v>
      </c>
      <c r="Q22" s="1278">
        <f t="shared" si="11"/>
        <v>20.3</v>
      </c>
      <c r="R22" s="244">
        <v>4.5170000000000003</v>
      </c>
      <c r="S22" s="244">
        <v>6.1689999999999996</v>
      </c>
      <c r="T22" s="1277">
        <v>35</v>
      </c>
      <c r="U22" s="1278">
        <f t="shared" si="5"/>
        <v>7.7485056453398267</v>
      </c>
      <c r="V22" s="1278">
        <f t="shared" si="6"/>
        <v>26.779056573188516</v>
      </c>
      <c r="W22" s="1279">
        <v>0.2</v>
      </c>
      <c r="X22" s="1316">
        <v>145</v>
      </c>
      <c r="Y22" s="1277">
        <f t="shared" si="1"/>
        <v>30.389162561576349</v>
      </c>
      <c r="Z22" s="244">
        <f t="shared" si="7"/>
        <v>4.462796</v>
      </c>
      <c r="AA22" s="244">
        <f t="shared" si="7"/>
        <v>6.0949719999999994</v>
      </c>
      <c r="AB22" s="1277">
        <f t="shared" si="7"/>
        <v>34.58</v>
      </c>
      <c r="AC22" s="244">
        <f t="shared" si="8"/>
        <v>7.7485056453398267</v>
      </c>
      <c r="AD22" s="1277">
        <f t="shared" si="8"/>
        <v>26.779056573188516</v>
      </c>
      <c r="AE22" s="241">
        <f t="shared" si="9"/>
        <v>31</v>
      </c>
      <c r="AF22" s="244">
        <f t="shared" si="10"/>
        <v>138.346676</v>
      </c>
      <c r="AG22" s="1281"/>
      <c r="AI22" s="1282">
        <f t="shared" si="3"/>
        <v>15.061447580708821</v>
      </c>
      <c r="AJ22" s="1252">
        <v>0.93020000000000003</v>
      </c>
      <c r="AK22" s="1252">
        <v>1.0329999999999999</v>
      </c>
      <c r="AL22" s="1252">
        <v>1.1053638000000001E-3</v>
      </c>
      <c r="AN22" s="1252">
        <f>AN17/AN21</f>
        <v>0.9153878348214286</v>
      </c>
    </row>
    <row r="23" spans="1:41" ht="18.75" customHeight="1" x14ac:dyDescent="0.2">
      <c r="A23" s="1273">
        <v>7</v>
      </c>
      <c r="B23" s="1274" t="s">
        <v>145</v>
      </c>
      <c r="C23" s="241" t="s">
        <v>840</v>
      </c>
      <c r="D23" s="241">
        <v>676.7</v>
      </c>
      <c r="E23" s="241" t="s">
        <v>72</v>
      </c>
      <c r="F23" s="241">
        <v>177.8</v>
      </c>
      <c r="G23" s="241" t="s">
        <v>28</v>
      </c>
      <c r="H23" s="241" t="s">
        <v>588</v>
      </c>
      <c r="I23" s="1815">
        <v>540.01</v>
      </c>
      <c r="J23" s="241">
        <v>120</v>
      </c>
      <c r="K23" s="241"/>
      <c r="L23" s="1277">
        <v>396</v>
      </c>
      <c r="M23" s="241"/>
      <c r="N23" s="1278">
        <v>0.8</v>
      </c>
      <c r="O23" s="241"/>
      <c r="P23" s="1278">
        <f t="shared" si="4"/>
        <v>14.300219510210466</v>
      </c>
      <c r="Q23" s="1278">
        <f t="shared" si="11"/>
        <v>16.8</v>
      </c>
      <c r="R23" s="244">
        <v>3.8660000000000001</v>
      </c>
      <c r="S23" s="244">
        <v>7.8869999999999996</v>
      </c>
      <c r="T23" s="1277">
        <v>7</v>
      </c>
      <c r="U23" s="1278">
        <f t="shared" si="5"/>
        <v>1.8106570098292809</v>
      </c>
      <c r="V23" s="1278">
        <f t="shared" si="6"/>
        <v>50.982629643717502</v>
      </c>
      <c r="W23" s="1279">
        <v>0.2</v>
      </c>
      <c r="X23" s="1316">
        <v>120</v>
      </c>
      <c r="Y23" s="1277">
        <f t="shared" si="1"/>
        <v>46.946428571428569</v>
      </c>
      <c r="Z23" s="244">
        <f t="shared" si="7"/>
        <v>3.8196080000000001</v>
      </c>
      <c r="AA23" s="244">
        <f t="shared" si="7"/>
        <v>7.7923559999999998</v>
      </c>
      <c r="AB23" s="1277">
        <f t="shared" si="7"/>
        <v>6.9160000000000004</v>
      </c>
      <c r="AC23" s="244">
        <f t="shared" si="8"/>
        <v>1.8106570098292809</v>
      </c>
      <c r="AD23" s="1277">
        <f t="shared" si="8"/>
        <v>50.982629643717502</v>
      </c>
      <c r="AE23" s="241">
        <f t="shared" si="9"/>
        <v>31</v>
      </c>
      <c r="AF23" s="244">
        <f t="shared" si="10"/>
        <v>118.407848</v>
      </c>
      <c r="AG23" s="1281"/>
      <c r="AI23" s="1282">
        <f t="shared" si="3"/>
        <v>14.300219510210466</v>
      </c>
      <c r="AJ23" s="1252">
        <v>0.92100000000000004</v>
      </c>
      <c r="AK23" s="1252">
        <v>1.01</v>
      </c>
      <c r="AL23" s="1252">
        <v>6.8874520000000001E-4</v>
      </c>
    </row>
    <row r="24" spans="1:41" ht="18.75" customHeight="1" x14ac:dyDescent="0.2">
      <c r="A24" s="1273">
        <v>8</v>
      </c>
      <c r="B24" s="1274" t="s">
        <v>146</v>
      </c>
      <c r="C24" s="241" t="s">
        <v>840</v>
      </c>
      <c r="D24" s="241">
        <v>567</v>
      </c>
      <c r="E24" s="1300" t="s">
        <v>572</v>
      </c>
      <c r="F24" s="241">
        <v>177.8</v>
      </c>
      <c r="G24" s="241" t="s">
        <v>28</v>
      </c>
      <c r="H24" s="241" t="s">
        <v>717</v>
      </c>
      <c r="I24" s="1301">
        <v>552.25</v>
      </c>
      <c r="J24" s="241">
        <v>145</v>
      </c>
      <c r="K24" s="1302"/>
      <c r="L24" s="1277">
        <v>445</v>
      </c>
      <c r="M24" s="1302"/>
      <c r="N24" s="1278">
        <v>4.5999999999999996</v>
      </c>
      <c r="O24" s="1302"/>
      <c r="P24" s="1278">
        <f t="shared" si="4"/>
        <v>14.892998895155445</v>
      </c>
      <c r="Q24" s="1278">
        <f t="shared" si="11"/>
        <v>29</v>
      </c>
      <c r="R24" s="244">
        <v>3.6840000000000002</v>
      </c>
      <c r="S24" s="244">
        <v>11.962</v>
      </c>
      <c r="T24" s="1277">
        <v>97</v>
      </c>
      <c r="U24" s="1278">
        <f t="shared" si="5"/>
        <v>26.330076004343105</v>
      </c>
      <c r="V24" s="1278">
        <f t="shared" si="6"/>
        <v>69.202474502591528</v>
      </c>
      <c r="W24" s="1279">
        <v>0.2</v>
      </c>
      <c r="X24" s="1316">
        <v>145</v>
      </c>
      <c r="Y24" s="1277">
        <f t="shared" si="1"/>
        <v>41.248275862068965</v>
      </c>
      <c r="Z24" s="244">
        <f t="shared" si="7"/>
        <v>3.6397919999999999</v>
      </c>
      <c r="AA24" s="244">
        <f t="shared" si="7"/>
        <v>11.818455999999999</v>
      </c>
      <c r="AB24" s="1277">
        <f t="shared" si="7"/>
        <v>95.835999999999999</v>
      </c>
      <c r="AC24" s="244">
        <f t="shared" si="8"/>
        <v>26.330076004343105</v>
      </c>
      <c r="AD24" s="1277">
        <f t="shared" si="8"/>
        <v>69.202474502591528</v>
      </c>
      <c r="AE24" s="241">
        <f t="shared" si="9"/>
        <v>31</v>
      </c>
      <c r="AF24" s="244">
        <f t="shared" si="10"/>
        <v>112.833552</v>
      </c>
      <c r="AG24" s="1281"/>
      <c r="AI24" s="1282">
        <f t="shared" si="3"/>
        <v>14.892998895155445</v>
      </c>
      <c r="AJ24" s="1252">
        <v>0.9032</v>
      </c>
      <c r="AK24" s="1252">
        <v>1.0249999999999999</v>
      </c>
      <c r="AL24" s="1252">
        <v>9.1150370000000005E-4</v>
      </c>
    </row>
    <row r="25" spans="1:41" ht="18.75" customHeight="1" x14ac:dyDescent="0.2">
      <c r="A25" s="1273">
        <v>9</v>
      </c>
      <c r="B25" s="1274" t="s">
        <v>147</v>
      </c>
      <c r="C25" s="241" t="s">
        <v>840</v>
      </c>
      <c r="D25" s="241">
        <v>650.1</v>
      </c>
      <c r="E25" s="241" t="s">
        <v>74</v>
      </c>
      <c r="F25" s="241">
        <v>177.8</v>
      </c>
      <c r="G25" s="241" t="s">
        <v>28</v>
      </c>
      <c r="H25" s="241" t="s">
        <v>793</v>
      </c>
      <c r="I25" s="1815">
        <v>547.62</v>
      </c>
      <c r="J25" s="241">
        <v>155</v>
      </c>
      <c r="K25" s="241"/>
      <c r="L25" s="1277">
        <v>391</v>
      </c>
      <c r="M25" s="241"/>
      <c r="N25" s="1278">
        <v>1.7</v>
      </c>
      <c r="O25" s="241"/>
      <c r="P25" s="1278">
        <f t="shared" si="4"/>
        <v>16.492703359808726</v>
      </c>
      <c r="Q25" s="1278">
        <f t="shared" si="11"/>
        <v>21.7</v>
      </c>
      <c r="R25" s="244">
        <v>8.093</v>
      </c>
      <c r="S25" s="244">
        <v>19.702999999999999</v>
      </c>
      <c r="T25" s="1277">
        <v>24</v>
      </c>
      <c r="U25" s="1278">
        <f t="shared" si="5"/>
        <v>2.9655257630050662</v>
      </c>
      <c r="V25" s="1278">
        <f t="shared" si="6"/>
        <v>58.925036796426944</v>
      </c>
      <c r="W25" s="1279">
        <v>0.2</v>
      </c>
      <c r="X25" s="1316">
        <v>155</v>
      </c>
      <c r="Y25" s="1277">
        <f t="shared" si="1"/>
        <v>90.79723502304148</v>
      </c>
      <c r="Z25" s="244">
        <f t="shared" si="7"/>
        <v>7.9958840000000002</v>
      </c>
      <c r="AA25" s="244">
        <f t="shared" si="7"/>
        <v>19.466563999999998</v>
      </c>
      <c r="AB25" s="1277">
        <f t="shared" si="7"/>
        <v>23.712</v>
      </c>
      <c r="AC25" s="244">
        <f t="shared" si="8"/>
        <v>2.9655257630050662</v>
      </c>
      <c r="AD25" s="1277">
        <f t="shared" si="8"/>
        <v>58.925036796426944</v>
      </c>
      <c r="AE25" s="241">
        <f t="shared" si="9"/>
        <v>31</v>
      </c>
      <c r="AF25" s="244">
        <f t="shared" si="10"/>
        <v>247.87240400000002</v>
      </c>
      <c r="AG25" s="1281"/>
      <c r="AI25" s="1282">
        <f t="shared" si="3"/>
        <v>16.492703359808726</v>
      </c>
      <c r="AJ25" s="1252">
        <v>0.90539999999999998</v>
      </c>
      <c r="AK25" s="1252">
        <v>1.0209999999999999</v>
      </c>
      <c r="AL25" s="1252">
        <v>8.1276750000000011E-4</v>
      </c>
    </row>
    <row r="26" spans="1:41" ht="18" customHeight="1" x14ac:dyDescent="0.2">
      <c r="A26" s="1273">
        <v>10</v>
      </c>
      <c r="B26" s="1274" t="s">
        <v>148</v>
      </c>
      <c r="C26" s="241" t="s">
        <v>840</v>
      </c>
      <c r="D26" s="241">
        <v>640.20000000000005</v>
      </c>
      <c r="E26" s="241" t="s">
        <v>398</v>
      </c>
      <c r="F26" s="241">
        <v>177.8</v>
      </c>
      <c r="G26" s="241" t="s">
        <v>28</v>
      </c>
      <c r="H26" s="1404" t="s">
        <v>753</v>
      </c>
      <c r="I26" s="1815">
        <v>566.99</v>
      </c>
      <c r="J26" s="1448">
        <v>105</v>
      </c>
      <c r="K26" s="241"/>
      <c r="L26" s="1277">
        <v>320</v>
      </c>
      <c r="M26" s="241"/>
      <c r="N26" s="1278">
        <v>0.2</v>
      </c>
      <c r="O26" s="241"/>
      <c r="P26" s="1278">
        <f t="shared" si="4"/>
        <v>23.715965978913818</v>
      </c>
      <c r="Q26" s="1278">
        <f>J26*14/100</f>
        <v>14.7</v>
      </c>
      <c r="R26" s="244">
        <v>4.6180000000000003</v>
      </c>
      <c r="S26" s="244">
        <v>11.234</v>
      </c>
      <c r="T26" s="1277">
        <v>38</v>
      </c>
      <c r="U26" s="1278">
        <f t="shared" si="5"/>
        <v>8.2286704200952787</v>
      </c>
      <c r="V26" s="1278">
        <f t="shared" si="6"/>
        <v>58.892647320633785</v>
      </c>
      <c r="W26" s="1279">
        <v>0.2</v>
      </c>
      <c r="X26" s="1449">
        <v>105</v>
      </c>
      <c r="Y26" s="1277">
        <f t="shared" si="1"/>
        <v>76.421768707482997</v>
      </c>
      <c r="Z26" s="244">
        <f t="shared" si="7"/>
        <v>4.5625840000000002</v>
      </c>
      <c r="AA26" s="244">
        <f t="shared" si="7"/>
        <v>11.099192</v>
      </c>
      <c r="AB26" s="1277">
        <f t="shared" si="7"/>
        <v>37.543999999999997</v>
      </c>
      <c r="AC26" s="244">
        <f t="shared" si="8"/>
        <v>8.2286704200952787</v>
      </c>
      <c r="AD26" s="1277">
        <f t="shared" si="8"/>
        <v>58.892647320633785</v>
      </c>
      <c r="AE26" s="241">
        <f t="shared" si="9"/>
        <v>31</v>
      </c>
      <c r="AF26" s="244">
        <f t="shared" si="10"/>
        <v>141.44010400000002</v>
      </c>
      <c r="AG26" s="1281"/>
      <c r="AI26" s="1282">
        <f t="shared" si="3"/>
        <v>23.715965978913818</v>
      </c>
      <c r="AJ26" s="1252">
        <v>0.91849999999999998</v>
      </c>
      <c r="AK26" s="1252">
        <v>1.0269999999999999</v>
      </c>
      <c r="AL26" s="1252">
        <v>7.7447712000000004E-4</v>
      </c>
    </row>
    <row r="27" spans="1:41" ht="18.75" customHeight="1" x14ac:dyDescent="0.2">
      <c r="A27" s="1273">
        <v>11</v>
      </c>
      <c r="B27" s="1274" t="s">
        <v>149</v>
      </c>
      <c r="C27" s="241" t="s">
        <v>840</v>
      </c>
      <c r="D27" s="241">
        <v>606.29999999999995</v>
      </c>
      <c r="E27" s="241" t="s">
        <v>76</v>
      </c>
      <c r="F27" s="241">
        <v>177.8</v>
      </c>
      <c r="G27" s="241" t="s">
        <v>28</v>
      </c>
      <c r="H27" s="1299" t="s">
        <v>800</v>
      </c>
      <c r="I27" s="1812">
        <v>594.42999999999995</v>
      </c>
      <c r="J27" s="241">
        <v>100</v>
      </c>
      <c r="K27" s="241"/>
      <c r="L27" s="1277">
        <v>435</v>
      </c>
      <c r="M27" s="241"/>
      <c r="N27" s="1278">
        <v>5.0999999999999996</v>
      </c>
      <c r="O27" s="241"/>
      <c r="P27" s="1278">
        <f t="shared" si="4"/>
        <v>20.577339774837316</v>
      </c>
      <c r="Q27" s="1278">
        <f>(7/100)*J27</f>
        <v>7.0000000000000009</v>
      </c>
      <c r="R27" s="244">
        <v>1.9319999999999999</v>
      </c>
      <c r="S27" s="244">
        <v>5.6660000000000004</v>
      </c>
      <c r="T27" s="1277">
        <v>46</v>
      </c>
      <c r="U27" s="1278">
        <f t="shared" si="5"/>
        <v>23.80952380952381</v>
      </c>
      <c r="V27" s="1278">
        <f t="shared" si="6"/>
        <v>65.901870808330401</v>
      </c>
      <c r="W27" s="1279">
        <v>0.27</v>
      </c>
      <c r="X27" s="1316">
        <v>100</v>
      </c>
      <c r="Y27" s="1277">
        <f t="shared" si="1"/>
        <v>80.942857142857136</v>
      </c>
      <c r="Z27" s="244">
        <f t="shared" si="7"/>
        <v>1.9088159999999998</v>
      </c>
      <c r="AA27" s="244">
        <f t="shared" si="7"/>
        <v>5.5980080000000001</v>
      </c>
      <c r="AB27" s="1277">
        <f t="shared" si="7"/>
        <v>45.448</v>
      </c>
      <c r="AC27" s="244">
        <f t="shared" si="8"/>
        <v>23.80952380952381</v>
      </c>
      <c r="AD27" s="1277">
        <f t="shared" si="8"/>
        <v>65.901870808330401</v>
      </c>
      <c r="AE27" s="241">
        <f t="shared" si="9"/>
        <v>31</v>
      </c>
      <c r="AF27" s="244">
        <f t="shared" si="10"/>
        <v>59.173295999999993</v>
      </c>
      <c r="AG27" s="1281"/>
      <c r="AI27" s="1282">
        <f t="shared" si="3"/>
        <v>20.577339774837316</v>
      </c>
      <c r="AJ27" s="1252">
        <v>0.91520000000000001</v>
      </c>
      <c r="AK27" s="1252">
        <v>1.044</v>
      </c>
      <c r="AL27" s="1252">
        <v>9.6207590000000004E-4</v>
      </c>
    </row>
    <row r="28" spans="1:41" ht="18.75" customHeight="1" x14ac:dyDescent="0.2">
      <c r="A28" s="1273">
        <v>12</v>
      </c>
      <c r="B28" s="1274" t="s">
        <v>151</v>
      </c>
      <c r="C28" s="241" t="s">
        <v>840</v>
      </c>
      <c r="D28" s="241">
        <v>675.42</v>
      </c>
      <c r="E28" s="1815" t="s">
        <v>298</v>
      </c>
      <c r="F28" s="241">
        <v>177.8</v>
      </c>
      <c r="G28" s="241" t="s">
        <v>28</v>
      </c>
      <c r="H28" s="1299" t="s">
        <v>687</v>
      </c>
      <c r="I28" s="1815">
        <v>558.21</v>
      </c>
      <c r="J28" s="1448">
        <v>105</v>
      </c>
      <c r="K28" s="241"/>
      <c r="L28" s="1277">
        <v>257</v>
      </c>
      <c r="M28" s="241"/>
      <c r="N28" s="1278">
        <v>3.8</v>
      </c>
      <c r="O28" s="241"/>
      <c r="P28" s="1278">
        <f t="shared" si="4"/>
        <v>32.912154135600986</v>
      </c>
      <c r="Q28" s="1278">
        <f>20*J28/100</f>
        <v>21</v>
      </c>
      <c r="R28" s="244">
        <v>1.413</v>
      </c>
      <c r="S28" s="244">
        <v>9.0299999999999994</v>
      </c>
      <c r="T28" s="1277">
        <v>4</v>
      </c>
      <c r="U28" s="1278">
        <f t="shared" si="5"/>
        <v>2.8308563340410475</v>
      </c>
      <c r="V28" s="1278">
        <f t="shared" si="6"/>
        <v>84.352159468438543</v>
      </c>
      <c r="W28" s="1279">
        <v>0.3</v>
      </c>
      <c r="X28" s="1449">
        <v>105</v>
      </c>
      <c r="Y28" s="1277">
        <f t="shared" si="1"/>
        <v>43</v>
      </c>
      <c r="Z28" s="244">
        <f t="shared" si="7"/>
        <v>1.3960440000000001</v>
      </c>
      <c r="AA28" s="244">
        <f t="shared" si="7"/>
        <v>8.92164</v>
      </c>
      <c r="AB28" s="1277">
        <f t="shared" si="7"/>
        <v>3.952</v>
      </c>
      <c r="AC28" s="244">
        <f t="shared" si="8"/>
        <v>2.8308563340410475</v>
      </c>
      <c r="AD28" s="1277">
        <f t="shared" si="8"/>
        <v>84.352159468438543</v>
      </c>
      <c r="AE28" s="241">
        <f t="shared" si="9"/>
        <v>31</v>
      </c>
      <c r="AF28" s="244">
        <f>Z28*AE28</f>
        <v>43.277363999999999</v>
      </c>
      <c r="AG28" s="1281"/>
      <c r="AI28" s="1282">
        <f t="shared" si="3"/>
        <v>32.912154135600986</v>
      </c>
      <c r="AJ28" s="1252">
        <v>0.92010000000000003</v>
      </c>
      <c r="AK28" s="1252">
        <v>1.012</v>
      </c>
      <c r="AL28" s="1252">
        <v>7.7447712000000004E-4</v>
      </c>
    </row>
    <row r="29" spans="1:41" ht="18.75" customHeight="1" x14ac:dyDescent="0.2">
      <c r="A29" s="1273">
        <v>13</v>
      </c>
      <c r="B29" s="1274" t="s">
        <v>36</v>
      </c>
      <c r="C29" s="241" t="s">
        <v>840</v>
      </c>
      <c r="D29" s="241">
        <v>584.42999999999995</v>
      </c>
      <c r="E29" s="1815" t="s">
        <v>79</v>
      </c>
      <c r="F29" s="241">
        <v>177.8</v>
      </c>
      <c r="G29" s="241" t="s">
        <v>28</v>
      </c>
      <c r="H29" s="1299" t="s">
        <v>565</v>
      </c>
      <c r="I29" s="1815">
        <v>526.29</v>
      </c>
      <c r="J29" s="1448">
        <v>315</v>
      </c>
      <c r="K29" s="241"/>
      <c r="L29" s="1277">
        <v>335</v>
      </c>
      <c r="M29" s="241"/>
      <c r="N29" s="1278">
        <v>1.6</v>
      </c>
      <c r="O29" s="241"/>
      <c r="P29" s="1278">
        <f t="shared" si="4"/>
        <v>19.866157767939022</v>
      </c>
      <c r="Q29" s="1278">
        <f>LEFT(H29,(FIND("E",H29,1)-1))*J29/100</f>
        <v>100.8</v>
      </c>
      <c r="R29" s="244">
        <v>14.959</v>
      </c>
      <c r="S29" s="244">
        <v>48.691000000000003</v>
      </c>
      <c r="T29" s="1277">
        <v>765</v>
      </c>
      <c r="U29" s="1278">
        <f t="shared" si="5"/>
        <v>51.139782070994052</v>
      </c>
      <c r="V29" s="1278">
        <f t="shared" si="6"/>
        <v>69.277689922162196</v>
      </c>
      <c r="W29" s="1279">
        <v>0.2</v>
      </c>
      <c r="X29" s="1449">
        <v>315</v>
      </c>
      <c r="Y29" s="1277">
        <f t="shared" si="1"/>
        <v>48.304563492063494</v>
      </c>
      <c r="Z29" s="244">
        <f t="shared" si="7"/>
        <v>14.779491999999999</v>
      </c>
      <c r="AA29" s="244">
        <f t="shared" si="7"/>
        <v>48.106708000000005</v>
      </c>
      <c r="AB29" s="1277">
        <f t="shared" si="7"/>
        <v>755.81999999999994</v>
      </c>
      <c r="AC29" s="244">
        <f t="shared" si="8"/>
        <v>51.139782070994052</v>
      </c>
      <c r="AD29" s="1277">
        <f t="shared" si="8"/>
        <v>69.277689922162196</v>
      </c>
      <c r="AE29" s="241">
        <f t="shared" si="9"/>
        <v>31</v>
      </c>
      <c r="AF29" s="244">
        <f>Z29*AE29</f>
        <v>458.16425199999998</v>
      </c>
      <c r="AG29" s="1281"/>
      <c r="AI29" s="1282">
        <f t="shared" si="3"/>
        <v>19.866157767939022</v>
      </c>
      <c r="AJ29" s="1252">
        <v>0.89659999999999995</v>
      </c>
      <c r="AK29" s="1252">
        <v>1.024</v>
      </c>
      <c r="AL29" s="1252">
        <v>8.1397160000000013E-4</v>
      </c>
    </row>
    <row r="30" spans="1:41" ht="18.75" customHeight="1" x14ac:dyDescent="0.2">
      <c r="A30" s="1273">
        <v>14</v>
      </c>
      <c r="B30" s="1274" t="s">
        <v>152</v>
      </c>
      <c r="C30" s="241" t="s">
        <v>840</v>
      </c>
      <c r="D30" s="241">
        <v>564.97999999999979</v>
      </c>
      <c r="E30" s="1815" t="s">
        <v>80</v>
      </c>
      <c r="F30" s="241">
        <v>177.8</v>
      </c>
      <c r="G30" s="241" t="s">
        <v>28</v>
      </c>
      <c r="H30" s="241" t="s">
        <v>684</v>
      </c>
      <c r="I30" s="1301">
        <v>519.13</v>
      </c>
      <c r="J30" s="241">
        <v>125</v>
      </c>
      <c r="K30" s="241"/>
      <c r="L30" s="1277">
        <v>374</v>
      </c>
      <c r="M30" s="241"/>
      <c r="N30" s="1278">
        <v>6</v>
      </c>
      <c r="O30" s="241"/>
      <c r="P30" s="1278">
        <f t="shared" si="4"/>
        <v>19.457680125676649</v>
      </c>
      <c r="Q30" s="1278">
        <f>32*J30/100</f>
        <v>40</v>
      </c>
      <c r="R30" s="244">
        <v>11.87</v>
      </c>
      <c r="S30" s="244">
        <v>24.696000000000002</v>
      </c>
      <c r="T30" s="1277">
        <v>130</v>
      </c>
      <c r="U30" s="1278">
        <f t="shared" si="5"/>
        <v>10.951979780960405</v>
      </c>
      <c r="V30" s="1278">
        <f t="shared" si="6"/>
        <v>51.935536119209594</v>
      </c>
      <c r="W30" s="1279">
        <v>0.2</v>
      </c>
      <c r="X30" s="1316">
        <v>125</v>
      </c>
      <c r="Y30" s="1277">
        <f t="shared" si="1"/>
        <v>61.740000000000009</v>
      </c>
      <c r="Z30" s="244">
        <f t="shared" si="7"/>
        <v>11.727559999999999</v>
      </c>
      <c r="AA30" s="244">
        <f t="shared" si="7"/>
        <v>24.399648000000003</v>
      </c>
      <c r="AB30" s="1277">
        <f t="shared" si="7"/>
        <v>128.44</v>
      </c>
      <c r="AC30" s="244">
        <f t="shared" si="8"/>
        <v>10.951979780960405</v>
      </c>
      <c r="AD30" s="1277">
        <f t="shared" si="8"/>
        <v>51.935536119209594</v>
      </c>
      <c r="AE30" s="241">
        <f t="shared" si="9"/>
        <v>31</v>
      </c>
      <c r="AF30" s="244">
        <f t="shared" si="10"/>
        <v>363.55435999999997</v>
      </c>
      <c r="AG30" s="1281"/>
      <c r="AI30" s="1282">
        <f t="shared" si="3"/>
        <v>19.457680125676649</v>
      </c>
      <c r="AJ30" s="1252">
        <v>0.88029999999999997</v>
      </c>
      <c r="AK30" s="1252">
        <v>1.0249999999999999</v>
      </c>
      <c r="AL30" s="1252">
        <v>8.9946269999999998E-4</v>
      </c>
    </row>
    <row r="31" spans="1:41" ht="18.75" customHeight="1" x14ac:dyDescent="0.2">
      <c r="A31" s="1273">
        <v>15</v>
      </c>
      <c r="B31" s="1274" t="s">
        <v>37</v>
      </c>
      <c r="C31" s="241" t="s">
        <v>840</v>
      </c>
      <c r="D31" s="241">
        <v>670</v>
      </c>
      <c r="E31" s="241" t="s">
        <v>81</v>
      </c>
      <c r="F31" s="241">
        <v>177.8</v>
      </c>
      <c r="G31" s="241" t="s">
        <v>28</v>
      </c>
      <c r="H31" s="1299" t="s">
        <v>48</v>
      </c>
      <c r="I31" s="1815">
        <v>569.99</v>
      </c>
      <c r="J31" s="1448">
        <v>260</v>
      </c>
      <c r="K31" s="241"/>
      <c r="L31" s="1277">
        <v>373</v>
      </c>
      <c r="M31" s="241"/>
      <c r="N31" s="1278">
        <v>2.5</v>
      </c>
      <c r="O31" s="241"/>
      <c r="P31" s="1278">
        <f t="shared" si="4"/>
        <v>21.556804805020246</v>
      </c>
      <c r="Q31" s="1278">
        <f>LEFT(H31,(FIND("K",H31,1)-1))*J31/100</f>
        <v>33.799999999999997</v>
      </c>
      <c r="R31" s="244">
        <v>4.5069999999999997</v>
      </c>
      <c r="S31" s="244">
        <v>17.155000000000001</v>
      </c>
      <c r="T31" s="1277">
        <v>72.3</v>
      </c>
      <c r="U31" s="1278">
        <f t="shared" si="5"/>
        <v>16.041712891058353</v>
      </c>
      <c r="V31" s="1278">
        <f t="shared" si="6"/>
        <v>73.727776158554363</v>
      </c>
      <c r="W31" s="1279">
        <v>0.2</v>
      </c>
      <c r="X31" s="1449">
        <v>260</v>
      </c>
      <c r="Y31" s="1277">
        <f t="shared" si="1"/>
        <v>50.754437869822489</v>
      </c>
      <c r="Z31" s="244">
        <f t="shared" si="7"/>
        <v>4.4529159999999992</v>
      </c>
      <c r="AA31" s="244">
        <f t="shared" si="7"/>
        <v>16.94914</v>
      </c>
      <c r="AB31" s="1277">
        <f t="shared" si="7"/>
        <v>71.432400000000001</v>
      </c>
      <c r="AC31" s="244">
        <f t="shared" si="8"/>
        <v>16.041712891058353</v>
      </c>
      <c r="AD31" s="1277">
        <f t="shared" si="8"/>
        <v>73.727776158554363</v>
      </c>
      <c r="AE31" s="241">
        <f t="shared" si="9"/>
        <v>31</v>
      </c>
      <c r="AF31" s="244">
        <f>Z31*AE31</f>
        <v>138.04039599999999</v>
      </c>
      <c r="AG31" s="1285"/>
      <c r="AI31" s="1282">
        <f t="shared" si="3"/>
        <v>21.556804805020246</v>
      </c>
      <c r="AJ31" s="1252">
        <v>0.92159999999999997</v>
      </c>
      <c r="AK31" s="1252">
        <v>1.0249999999999999</v>
      </c>
      <c r="AL31" s="1252">
        <v>7.2245999999999996E-4</v>
      </c>
    </row>
    <row r="32" spans="1:41" ht="18.75" customHeight="1" x14ac:dyDescent="0.2">
      <c r="A32" s="1273">
        <v>16</v>
      </c>
      <c r="B32" s="1274" t="s">
        <v>153</v>
      </c>
      <c r="C32" s="241" t="s">
        <v>840</v>
      </c>
      <c r="D32" s="1274">
        <v>574.61</v>
      </c>
      <c r="E32" s="1811" t="s">
        <v>688</v>
      </c>
      <c r="F32" s="1274">
        <v>177.8</v>
      </c>
      <c r="G32" s="1274" t="s">
        <v>28</v>
      </c>
      <c r="H32" s="1299" t="s">
        <v>540</v>
      </c>
      <c r="I32" s="1274">
        <v>541.78</v>
      </c>
      <c r="J32" s="1274">
        <v>0</v>
      </c>
      <c r="K32" s="1274"/>
      <c r="L32" s="1305"/>
      <c r="M32" s="1274"/>
      <c r="N32" s="1306"/>
      <c r="O32" s="1274"/>
      <c r="P32" s="1278" t="e">
        <f t="shared" si="4"/>
        <v>#DIV/0!</v>
      </c>
      <c r="Q32" s="1278">
        <f>22*J32/100</f>
        <v>0</v>
      </c>
      <c r="R32" s="1307">
        <v>0</v>
      </c>
      <c r="S32" s="244">
        <v>0</v>
      </c>
      <c r="T32" s="1305">
        <v>0</v>
      </c>
      <c r="U32" s="1278">
        <f t="shared" si="5"/>
        <v>0</v>
      </c>
      <c r="V32" s="1278" t="e">
        <f t="shared" si="6"/>
        <v>#DIV/0!</v>
      </c>
      <c r="W32" s="1308">
        <v>0</v>
      </c>
      <c r="X32" s="1410">
        <v>85</v>
      </c>
      <c r="Y32" s="1277">
        <f t="shared" si="1"/>
        <v>0</v>
      </c>
      <c r="Z32" s="244">
        <v>6</v>
      </c>
      <c r="AA32" s="244">
        <v>6.5</v>
      </c>
      <c r="AB32" s="1277">
        <v>235</v>
      </c>
      <c r="AC32" s="244">
        <f>AB32/Z32</f>
        <v>39.166666666666664</v>
      </c>
      <c r="AD32" s="244">
        <f>AA32-Z32/AA32/100</f>
        <v>6.4907692307692306</v>
      </c>
      <c r="AE32" s="241">
        <v>10</v>
      </c>
      <c r="AF32" s="244">
        <f t="shared" ref="AF32" si="12">Z32*AE32</f>
        <v>60</v>
      </c>
      <c r="AG32" s="1281" t="s">
        <v>833</v>
      </c>
      <c r="AI32" s="1282" t="e">
        <f t="shared" si="3"/>
        <v>#DIV/0!</v>
      </c>
      <c r="AJ32" s="1252">
        <v>0.91959999999999997</v>
      </c>
      <c r="AK32" s="1252">
        <v>1.022</v>
      </c>
      <c r="AL32" s="1252">
        <v>9.1150370000000005E-4</v>
      </c>
    </row>
    <row r="33" spans="1:38" ht="18.600000000000001" customHeight="1" x14ac:dyDescent="0.2">
      <c r="A33" s="1273">
        <v>17</v>
      </c>
      <c r="B33" s="1274" t="s">
        <v>154</v>
      </c>
      <c r="C33" s="241" t="s">
        <v>840</v>
      </c>
      <c r="D33" s="1311">
        <v>644.79999999999995</v>
      </c>
      <c r="E33" s="1300" t="s">
        <v>421</v>
      </c>
      <c r="F33" s="241">
        <v>177.8</v>
      </c>
      <c r="G33" s="241" t="s">
        <v>28</v>
      </c>
      <c r="H33" s="1299" t="s">
        <v>687</v>
      </c>
      <c r="I33" s="1301">
        <v>562.54999999999995</v>
      </c>
      <c r="J33" s="241">
        <v>115</v>
      </c>
      <c r="K33" s="241"/>
      <c r="L33" s="1277">
        <v>437</v>
      </c>
      <c r="M33" s="241"/>
      <c r="N33" s="1278">
        <v>1.7</v>
      </c>
      <c r="O33" s="241"/>
      <c r="P33" s="1278">
        <f t="shared" si="4"/>
        <v>13.541599846757681</v>
      </c>
      <c r="Q33" s="1278">
        <f>20*J33/100</f>
        <v>23</v>
      </c>
      <c r="R33" s="244">
        <v>2.0049999999999999</v>
      </c>
      <c r="S33" s="244">
        <v>4.5979999999999999</v>
      </c>
      <c r="T33" s="1277">
        <v>20</v>
      </c>
      <c r="U33" s="1278">
        <f t="shared" si="5"/>
        <v>9.9750623441396513</v>
      </c>
      <c r="V33" s="1278">
        <f t="shared" si="6"/>
        <v>56.394084384515011</v>
      </c>
      <c r="W33" s="1279">
        <v>0.2</v>
      </c>
      <c r="X33" s="1316">
        <v>115</v>
      </c>
      <c r="Y33" s="1277">
        <f t="shared" si="1"/>
        <v>19.991304347826087</v>
      </c>
      <c r="Z33" s="244">
        <f t="shared" si="7"/>
        <v>1.9809399999999999</v>
      </c>
      <c r="AA33" s="244">
        <f t="shared" si="7"/>
        <v>4.5428239999999995</v>
      </c>
      <c r="AB33" s="1277">
        <f t="shared" si="7"/>
        <v>19.759999999999998</v>
      </c>
      <c r="AC33" s="1307">
        <f t="shared" si="8"/>
        <v>9.9750623441396513</v>
      </c>
      <c r="AD33" s="1305">
        <f t="shared" si="8"/>
        <v>56.394084384515011</v>
      </c>
      <c r="AE33" s="241">
        <f t="shared" si="9"/>
        <v>31</v>
      </c>
      <c r="AF33" s="1307">
        <f>Z33*AE33</f>
        <v>61.409140000000001</v>
      </c>
      <c r="AG33" s="1285"/>
      <c r="AI33" s="1282">
        <f t="shared" si="3"/>
        <v>13.541599846757681</v>
      </c>
      <c r="AJ33" s="1252">
        <v>0.90269999999999995</v>
      </c>
      <c r="AK33" s="1252">
        <v>1.0249999999999999</v>
      </c>
      <c r="AL33" s="1252">
        <v>7.2245999999999996E-4</v>
      </c>
    </row>
    <row r="34" spans="1:38" ht="18.75" customHeight="1" x14ac:dyDescent="0.2">
      <c r="A34" s="1273">
        <v>18</v>
      </c>
      <c r="B34" s="1274" t="s">
        <v>38</v>
      </c>
      <c r="C34" s="241" t="s">
        <v>840</v>
      </c>
      <c r="D34" s="1278">
        <v>580</v>
      </c>
      <c r="E34" s="241" t="s">
        <v>84</v>
      </c>
      <c r="F34" s="241">
        <v>177.8</v>
      </c>
      <c r="G34" s="241" t="s">
        <v>28</v>
      </c>
      <c r="H34" s="1299" t="s">
        <v>687</v>
      </c>
      <c r="I34" s="1815">
        <v>562.66</v>
      </c>
      <c r="J34" s="241">
        <v>115</v>
      </c>
      <c r="K34" s="241"/>
      <c r="L34" s="1277">
        <v>384</v>
      </c>
      <c r="M34" s="241"/>
      <c r="N34" s="1278">
        <v>0</v>
      </c>
      <c r="O34" s="241"/>
      <c r="P34" s="1278">
        <f t="shared" si="4"/>
        <v>17.003809887956667</v>
      </c>
      <c r="Q34" s="1278">
        <f>20*J34/100</f>
        <v>23</v>
      </c>
      <c r="R34" s="244">
        <v>4.7279999999999998</v>
      </c>
      <c r="S34" s="244">
        <v>12.323</v>
      </c>
      <c r="T34" s="1277">
        <v>9.5</v>
      </c>
      <c r="U34" s="1278">
        <f t="shared" si="5"/>
        <v>2.009306260575296</v>
      </c>
      <c r="V34" s="1278">
        <f t="shared" si="6"/>
        <v>61.632719305363956</v>
      </c>
      <c r="W34" s="1279">
        <v>0</v>
      </c>
      <c r="X34" s="1316">
        <v>115</v>
      </c>
      <c r="Y34" s="1277">
        <f t="shared" si="1"/>
        <v>53.57826086956522</v>
      </c>
      <c r="Z34" s="244">
        <f t="shared" si="7"/>
        <v>4.6712639999999999</v>
      </c>
      <c r="AA34" s="244">
        <f t="shared" si="7"/>
        <v>12.175124</v>
      </c>
      <c r="AB34" s="1277">
        <f t="shared" si="7"/>
        <v>9.3859999999999992</v>
      </c>
      <c r="AC34" s="1307">
        <f t="shared" si="8"/>
        <v>2.009306260575296</v>
      </c>
      <c r="AD34" s="1305">
        <f t="shared" si="8"/>
        <v>61.632719305363956</v>
      </c>
      <c r="AE34" s="241">
        <f t="shared" si="9"/>
        <v>31</v>
      </c>
      <c r="AF34" s="244">
        <f t="shared" si="10"/>
        <v>144.80918399999999</v>
      </c>
      <c r="AG34" s="1281"/>
      <c r="AI34" s="1282">
        <f t="shared" si="3"/>
        <v>17.003809887956667</v>
      </c>
      <c r="AJ34" s="1252">
        <v>0.92230000000000001</v>
      </c>
      <c r="AK34" s="1252">
        <v>1.018</v>
      </c>
      <c r="AL34" s="1252">
        <v>8.1276750000000011E-4</v>
      </c>
    </row>
    <row r="35" spans="1:38" ht="18.75" customHeight="1" x14ac:dyDescent="0.2">
      <c r="A35" s="1273">
        <v>19</v>
      </c>
      <c r="B35" s="1274" t="s">
        <v>39</v>
      </c>
      <c r="C35" s="241" t="s">
        <v>840</v>
      </c>
      <c r="D35" s="241">
        <v>575.26</v>
      </c>
      <c r="E35" s="241" t="s">
        <v>411</v>
      </c>
      <c r="F35" s="241">
        <v>177.8</v>
      </c>
      <c r="G35" s="241" t="s">
        <v>28</v>
      </c>
      <c r="H35" s="1299" t="s">
        <v>588</v>
      </c>
      <c r="I35" s="1815">
        <v>538.45000000000005</v>
      </c>
      <c r="J35" s="1448">
        <v>165</v>
      </c>
      <c r="K35" s="241"/>
      <c r="L35" s="1277">
        <v>400</v>
      </c>
      <c r="M35" s="241"/>
      <c r="N35" s="1278">
        <v>1</v>
      </c>
      <c r="O35" s="241"/>
      <c r="P35" s="1278">
        <f t="shared" si="4"/>
        <v>13.966406720685056</v>
      </c>
      <c r="Q35" s="1278">
        <f>14*J35/100</f>
        <v>23.1</v>
      </c>
      <c r="R35" s="244">
        <v>6.6369999999999996</v>
      </c>
      <c r="S35" s="244">
        <v>15.475</v>
      </c>
      <c r="T35" s="1277">
        <v>100</v>
      </c>
      <c r="U35" s="1278">
        <f t="shared" si="5"/>
        <v>15.067048365225252</v>
      </c>
      <c r="V35" s="1278">
        <f t="shared" si="6"/>
        <v>57.11147011308563</v>
      </c>
      <c r="W35" s="1279">
        <v>0.2</v>
      </c>
      <c r="X35" s="1449">
        <v>145</v>
      </c>
      <c r="Y35" s="1277">
        <f t="shared" si="1"/>
        <v>66.991341991341997</v>
      </c>
      <c r="Z35" s="244">
        <f t="shared" ref="Z35:AB49" si="13">R35*0.988</f>
        <v>6.5573559999999995</v>
      </c>
      <c r="AA35" s="244">
        <f t="shared" si="13"/>
        <v>15.289299999999999</v>
      </c>
      <c r="AB35" s="1277">
        <f t="shared" si="13"/>
        <v>98.8</v>
      </c>
      <c r="AC35" s="244">
        <f t="shared" ref="AC35:AD37" si="14">U35</f>
        <v>15.067048365225252</v>
      </c>
      <c r="AD35" s="1305">
        <f t="shared" si="14"/>
        <v>57.11147011308563</v>
      </c>
      <c r="AE35" s="241">
        <f t="shared" si="9"/>
        <v>31</v>
      </c>
      <c r="AF35" s="244">
        <f t="shared" si="10"/>
        <v>203.27803599999999</v>
      </c>
      <c r="AG35" s="1281"/>
      <c r="AI35" s="1282">
        <f t="shared" si="3"/>
        <v>13.966406720685056</v>
      </c>
      <c r="AJ35" s="1252">
        <v>0.88505</v>
      </c>
      <c r="AK35" s="1252">
        <v>1.0249999999999999</v>
      </c>
      <c r="AL35" s="1252">
        <v>8.1397160000000013E-4</v>
      </c>
    </row>
    <row r="36" spans="1:38" ht="18.75" customHeight="1" x14ac:dyDescent="0.2">
      <c r="A36" s="1273">
        <v>20</v>
      </c>
      <c r="B36" s="1274" t="s">
        <v>40</v>
      </c>
      <c r="C36" s="241" t="s">
        <v>840</v>
      </c>
      <c r="D36" s="241">
        <v>604.16999999999996</v>
      </c>
      <c r="E36" s="241" t="s">
        <v>689</v>
      </c>
      <c r="F36" s="241">
        <v>177.8</v>
      </c>
      <c r="G36" s="241" t="s">
        <v>28</v>
      </c>
      <c r="H36" s="241" t="s">
        <v>556</v>
      </c>
      <c r="I36" s="1815">
        <v>565.36</v>
      </c>
      <c r="J36" s="241">
        <v>120</v>
      </c>
      <c r="K36" s="241"/>
      <c r="L36" s="1277">
        <v>275</v>
      </c>
      <c r="M36" s="241"/>
      <c r="N36" s="1278">
        <v>0</v>
      </c>
      <c r="O36" s="241"/>
      <c r="P36" s="1278">
        <f t="shared" si="4"/>
        <v>27.818584307409331</v>
      </c>
      <c r="Q36" s="1278">
        <f>13*J36/100</f>
        <v>15.6</v>
      </c>
      <c r="R36" s="244">
        <v>2.6150000000000002</v>
      </c>
      <c r="S36" s="244">
        <v>9.74</v>
      </c>
      <c r="T36" s="1277">
        <v>9</v>
      </c>
      <c r="U36" s="1278">
        <f>IF(R36=0,0,T36/R36)</f>
        <v>3.4416826003824088</v>
      </c>
      <c r="V36" s="1278">
        <f t="shared" si="6"/>
        <v>73.151950718685839</v>
      </c>
      <c r="W36" s="1279">
        <v>0.2</v>
      </c>
      <c r="X36" s="1316">
        <v>120</v>
      </c>
      <c r="Y36" s="1277">
        <f t="shared" si="1"/>
        <v>62.435897435897438</v>
      </c>
      <c r="Z36" s="244">
        <f t="shared" si="13"/>
        <v>2.5836200000000002</v>
      </c>
      <c r="AA36" s="244">
        <f t="shared" si="13"/>
        <v>9.6231200000000001</v>
      </c>
      <c r="AB36" s="1277">
        <f t="shared" si="13"/>
        <v>8.8919999999999995</v>
      </c>
      <c r="AC36" s="244">
        <f t="shared" si="14"/>
        <v>3.4416826003824088</v>
      </c>
      <c r="AD36" s="1305">
        <f t="shared" si="14"/>
        <v>73.151950718685839</v>
      </c>
      <c r="AE36" s="241">
        <f t="shared" si="9"/>
        <v>31</v>
      </c>
      <c r="AF36" s="244">
        <f t="shared" si="10"/>
        <v>80.092220000000012</v>
      </c>
      <c r="AG36" s="1281"/>
      <c r="AI36" s="1282">
        <f t="shared" si="3"/>
        <v>27.818584307409331</v>
      </c>
      <c r="AJ36" s="1252">
        <v>0.91759999999999997</v>
      </c>
      <c r="AK36" s="1252">
        <v>1.0149999999999999</v>
      </c>
      <c r="AL36" s="1252">
        <v>7.5858300000000007E-4</v>
      </c>
    </row>
    <row r="37" spans="1:38" ht="18.75" customHeight="1" x14ac:dyDescent="0.2">
      <c r="A37" s="1273">
        <v>21</v>
      </c>
      <c r="B37" s="1274" t="s">
        <v>41</v>
      </c>
      <c r="C37" s="241" t="s">
        <v>840</v>
      </c>
      <c r="D37" s="241">
        <v>573.37</v>
      </c>
      <c r="E37" s="241" t="s">
        <v>87</v>
      </c>
      <c r="F37" s="241">
        <v>177.8</v>
      </c>
      <c r="G37" s="241" t="s">
        <v>28</v>
      </c>
      <c r="H37" s="241" t="s">
        <v>461</v>
      </c>
      <c r="I37" s="1815">
        <v>535.91</v>
      </c>
      <c r="J37" s="1448">
        <v>300</v>
      </c>
      <c r="K37" s="241"/>
      <c r="L37" s="1277">
        <v>448</v>
      </c>
      <c r="M37" s="241"/>
      <c r="N37" s="1278">
        <v>2.4</v>
      </c>
      <c r="O37" s="241"/>
      <c r="P37" s="1278">
        <f t="shared" si="4"/>
        <v>10.466887438538315</v>
      </c>
      <c r="Q37" s="1278">
        <f>(20/100)*J37</f>
        <v>60</v>
      </c>
      <c r="R37" s="244">
        <v>8.2330000000000005</v>
      </c>
      <c r="S37" s="244">
        <v>13.72</v>
      </c>
      <c r="T37" s="1277">
        <v>187</v>
      </c>
      <c r="U37" s="1278">
        <f t="shared" ref="U37:U86" si="15">IF(R37=0,0,T37/R37)</f>
        <v>22.713470180978984</v>
      </c>
      <c r="V37" s="1278">
        <f t="shared" si="6"/>
        <v>39.992711370262391</v>
      </c>
      <c r="W37" s="1279">
        <v>0.2</v>
      </c>
      <c r="X37" s="1449">
        <v>300</v>
      </c>
      <c r="Y37" s="1277">
        <f t="shared" si="1"/>
        <v>22.866666666666667</v>
      </c>
      <c r="Z37" s="244">
        <f t="shared" si="13"/>
        <v>8.1342040000000004</v>
      </c>
      <c r="AA37" s="244">
        <f t="shared" si="13"/>
        <v>13.55536</v>
      </c>
      <c r="AB37" s="1277">
        <f t="shared" si="13"/>
        <v>184.756</v>
      </c>
      <c r="AC37" s="244">
        <f t="shared" si="14"/>
        <v>22.713470180978984</v>
      </c>
      <c r="AD37" s="1305">
        <f>V37</f>
        <v>39.992711370262391</v>
      </c>
      <c r="AE37" s="241">
        <f t="shared" si="9"/>
        <v>31</v>
      </c>
      <c r="AF37" s="244">
        <f t="shared" si="10"/>
        <v>252.160324</v>
      </c>
      <c r="AG37" s="1281"/>
      <c r="AI37" s="1282">
        <f t="shared" si="3"/>
        <v>10.466887438538315</v>
      </c>
      <c r="AJ37" s="1252">
        <v>0.89019999999999999</v>
      </c>
      <c r="AK37" s="1252">
        <v>1.024</v>
      </c>
      <c r="AL37" s="1252">
        <v>8.0193060000000006E-4</v>
      </c>
    </row>
    <row r="38" spans="1:38" ht="18.75" customHeight="1" x14ac:dyDescent="0.2">
      <c r="A38" s="1273">
        <v>22</v>
      </c>
      <c r="B38" s="1274" t="s">
        <v>42</v>
      </c>
      <c r="C38" s="241" t="s">
        <v>840</v>
      </c>
      <c r="D38" s="241">
        <v>583.20000000000005</v>
      </c>
      <c r="E38" s="241" t="s">
        <v>88</v>
      </c>
      <c r="F38" s="241">
        <v>177.8</v>
      </c>
      <c r="G38" s="241" t="s">
        <v>28</v>
      </c>
      <c r="H38" s="1299" t="s">
        <v>540</v>
      </c>
      <c r="I38" s="1815">
        <v>563.91</v>
      </c>
      <c r="J38" s="1448">
        <v>85</v>
      </c>
      <c r="K38" s="241"/>
      <c r="L38" s="1277">
        <v>194</v>
      </c>
      <c r="M38" s="241"/>
      <c r="N38" s="1278">
        <v>0.1</v>
      </c>
      <c r="O38" s="241"/>
      <c r="P38" s="1278">
        <f t="shared" si="4"/>
        <v>35.637220067278015</v>
      </c>
      <c r="Q38" s="1278">
        <f>22*J38/100</f>
        <v>18.7</v>
      </c>
      <c r="R38" s="244">
        <v>6.1829999999999998</v>
      </c>
      <c r="S38" s="244">
        <v>19.757000000000001</v>
      </c>
      <c r="T38" s="1277">
        <v>48</v>
      </c>
      <c r="U38" s="1278">
        <f t="shared" si="15"/>
        <v>7.7632217370208636</v>
      </c>
      <c r="V38" s="1278">
        <f t="shared" si="6"/>
        <v>68.704762868856605</v>
      </c>
      <c r="W38" s="1279">
        <v>0</v>
      </c>
      <c r="X38" s="1449">
        <v>85</v>
      </c>
      <c r="Y38" s="1277">
        <f t="shared" si="1"/>
        <v>105.6524064171123</v>
      </c>
      <c r="Z38" s="244">
        <f t="shared" si="13"/>
        <v>6.1088040000000001</v>
      </c>
      <c r="AA38" s="244">
        <f t="shared" si="13"/>
        <v>19.519916000000002</v>
      </c>
      <c r="AB38" s="1277">
        <f t="shared" si="13"/>
        <v>47.423999999999999</v>
      </c>
      <c r="AC38" s="244">
        <f>U38</f>
        <v>7.7632217370208636</v>
      </c>
      <c r="AD38" s="1277">
        <f>V38</f>
        <v>68.704762868856605</v>
      </c>
      <c r="AE38" s="241">
        <f t="shared" si="9"/>
        <v>31</v>
      </c>
      <c r="AF38" s="244">
        <f t="shared" si="10"/>
        <v>189.37292400000001</v>
      </c>
      <c r="AG38" s="1281"/>
      <c r="AI38" s="1282">
        <f t="shared" si="3"/>
        <v>35.637220067278015</v>
      </c>
      <c r="AJ38" s="1252">
        <v>0.91469999999999996</v>
      </c>
      <c r="AK38" s="1252">
        <v>1.0269999999999999</v>
      </c>
      <c r="AL38" s="1252">
        <v>8.1276750000000011E-4</v>
      </c>
    </row>
    <row r="39" spans="1:38" ht="18.75" customHeight="1" x14ac:dyDescent="0.2">
      <c r="A39" s="1273">
        <v>23</v>
      </c>
      <c r="B39" s="1274" t="s">
        <v>43</v>
      </c>
      <c r="C39" s="241" t="s">
        <v>840</v>
      </c>
      <c r="D39" s="241">
        <v>682.7</v>
      </c>
      <c r="E39" s="241" t="s">
        <v>690</v>
      </c>
      <c r="F39" s="241">
        <v>177.8</v>
      </c>
      <c r="G39" s="241" t="s">
        <v>28</v>
      </c>
      <c r="H39" s="1299" t="s">
        <v>685</v>
      </c>
      <c r="I39" s="1315">
        <v>553.84</v>
      </c>
      <c r="J39" s="241">
        <v>95</v>
      </c>
      <c r="K39" s="241"/>
      <c r="L39" s="1277">
        <v>335</v>
      </c>
      <c r="M39" s="241"/>
      <c r="N39" s="1278">
        <v>4.2</v>
      </c>
      <c r="O39" s="241"/>
      <c r="P39" s="1278">
        <f t="shared" si="4"/>
        <v>25.491237279541963</v>
      </c>
      <c r="Q39" s="1278">
        <f>14*J39/100</f>
        <v>13.3</v>
      </c>
      <c r="R39" s="244">
        <v>1.38</v>
      </c>
      <c r="S39" s="244">
        <v>8.6780000000000008</v>
      </c>
      <c r="T39" s="1277">
        <v>6</v>
      </c>
      <c r="U39" s="1278">
        <f t="shared" si="15"/>
        <v>4.3478260869565224</v>
      </c>
      <c r="V39" s="1278">
        <f t="shared" si="6"/>
        <v>84.097718368287616</v>
      </c>
      <c r="W39" s="1279">
        <v>0.2</v>
      </c>
      <c r="X39" s="1449">
        <v>95</v>
      </c>
      <c r="Y39" s="1277">
        <f t="shared" si="1"/>
        <v>65.248120300751879</v>
      </c>
      <c r="Z39" s="244">
        <f t="shared" si="13"/>
        <v>1.36344</v>
      </c>
      <c r="AA39" s="244">
        <f t="shared" si="13"/>
        <v>8.5738640000000004</v>
      </c>
      <c r="AB39" s="1277">
        <f t="shared" si="13"/>
        <v>5.9279999999999999</v>
      </c>
      <c r="AC39" s="244">
        <f>U39</f>
        <v>4.3478260869565224</v>
      </c>
      <c r="AD39" s="1277">
        <f>V39</f>
        <v>84.097718368287616</v>
      </c>
      <c r="AE39" s="241">
        <f t="shared" si="9"/>
        <v>31</v>
      </c>
      <c r="AF39" s="244">
        <f t="shared" si="10"/>
        <v>42.266640000000002</v>
      </c>
      <c r="AG39" s="1281"/>
      <c r="AI39" s="1282">
        <f t="shared" si="3"/>
        <v>25.491237279541963</v>
      </c>
      <c r="AJ39" s="1252">
        <v>0.9123</v>
      </c>
      <c r="AK39" s="1252">
        <v>1.0209999999999999</v>
      </c>
      <c r="AL39" s="1252">
        <v>7.7303220000000006E-4</v>
      </c>
    </row>
    <row r="40" spans="1:38" ht="18.75" customHeight="1" x14ac:dyDescent="0.2">
      <c r="A40" s="1273">
        <v>24</v>
      </c>
      <c r="B40" s="1274" t="s">
        <v>44</v>
      </c>
      <c r="C40" s="241" t="s">
        <v>445</v>
      </c>
      <c r="D40" s="241">
        <v>734.5</v>
      </c>
      <c r="E40" s="1815" t="s">
        <v>821</v>
      </c>
      <c r="F40" s="241">
        <v>177.8</v>
      </c>
      <c r="G40" s="241" t="s">
        <v>28</v>
      </c>
      <c r="H40" s="1299" t="s">
        <v>822</v>
      </c>
      <c r="I40" s="1315">
        <v>617.66</v>
      </c>
      <c r="J40" s="241">
        <v>105</v>
      </c>
      <c r="K40" s="241"/>
      <c r="L40" s="1277">
        <v>257</v>
      </c>
      <c r="M40" s="241"/>
      <c r="N40" s="1278">
        <v>1.5</v>
      </c>
      <c r="O40" s="241"/>
      <c r="P40" s="1278">
        <f t="shared" si="4"/>
        <v>35.432573048754826</v>
      </c>
      <c r="Q40" s="1278">
        <f>(32/100)*J40</f>
        <v>33.6</v>
      </c>
      <c r="R40" s="244">
        <v>8.8030000000000008</v>
      </c>
      <c r="S40" s="244">
        <v>20.428999999999998</v>
      </c>
      <c r="T40" s="1277">
        <v>404</v>
      </c>
      <c r="U40" s="1278">
        <f t="shared" si="15"/>
        <v>45.893445416335339</v>
      </c>
      <c r="V40" s="1278">
        <f t="shared" si="6"/>
        <v>56.909295609183019</v>
      </c>
      <c r="W40" s="1279">
        <v>0.2</v>
      </c>
      <c r="X40" s="1316">
        <v>105</v>
      </c>
      <c r="Y40" s="1277">
        <f t="shared" si="1"/>
        <v>60.800595238095234</v>
      </c>
      <c r="Z40" s="244">
        <f t="shared" si="13"/>
        <v>8.6973640000000003</v>
      </c>
      <c r="AA40" s="244">
        <f t="shared" si="13"/>
        <v>20.183851999999998</v>
      </c>
      <c r="AB40" s="1277">
        <f t="shared" si="13"/>
        <v>399.15199999999999</v>
      </c>
      <c r="AC40" s="244">
        <f>U40</f>
        <v>45.893445416335339</v>
      </c>
      <c r="AD40" s="1277">
        <f>V40</f>
        <v>56.909295609183019</v>
      </c>
      <c r="AE40" s="241">
        <f t="shared" si="9"/>
        <v>31</v>
      </c>
      <c r="AF40" s="244">
        <f t="shared" si="10"/>
        <v>269.61828400000002</v>
      </c>
      <c r="AG40" s="1281"/>
      <c r="AI40" s="1282">
        <f t="shared" si="3"/>
        <v>35.432573048754826</v>
      </c>
      <c r="AJ40" s="1252">
        <v>0.90390000000000004</v>
      </c>
      <c r="AK40" s="1252">
        <v>1.022</v>
      </c>
      <c r="AL40" s="1252">
        <v>9.3558570000000008E-4</v>
      </c>
    </row>
    <row r="41" spans="1:38" ht="18.75" customHeight="1" x14ac:dyDescent="0.2">
      <c r="A41" s="1273">
        <v>25</v>
      </c>
      <c r="B41" s="1274" t="s">
        <v>45</v>
      </c>
      <c r="C41" s="241" t="s">
        <v>840</v>
      </c>
      <c r="D41" s="241">
        <v>636.4</v>
      </c>
      <c r="E41" s="241" t="s">
        <v>595</v>
      </c>
      <c r="F41" s="241">
        <v>177.8</v>
      </c>
      <c r="G41" s="241" t="s">
        <v>28</v>
      </c>
      <c r="H41" s="241" t="s">
        <v>684</v>
      </c>
      <c r="I41" s="1815">
        <v>554.16999999999996</v>
      </c>
      <c r="J41" s="1448">
        <v>125</v>
      </c>
      <c r="K41" s="241"/>
      <c r="L41" s="1277">
        <v>305</v>
      </c>
      <c r="M41" s="241"/>
      <c r="N41" s="1278">
        <v>3.2</v>
      </c>
      <c r="O41" s="241"/>
      <c r="P41" s="1278">
        <f t="shared" si="4"/>
        <v>27.385618966368742</v>
      </c>
      <c r="Q41" s="1278">
        <f>(32/100)*J41</f>
        <v>40</v>
      </c>
      <c r="R41" s="244">
        <v>6.8810000000000002</v>
      </c>
      <c r="S41" s="244">
        <v>34.097000000000001</v>
      </c>
      <c r="T41" s="1277">
        <v>300</v>
      </c>
      <c r="U41" s="1278">
        <f t="shared" si="15"/>
        <v>43.598314198517656</v>
      </c>
      <c r="V41" s="1278">
        <f t="shared" si="6"/>
        <v>79.819338944775197</v>
      </c>
      <c r="W41" s="1279">
        <v>0.2</v>
      </c>
      <c r="X41" s="1449">
        <v>125</v>
      </c>
      <c r="Y41" s="1277">
        <f t="shared" si="1"/>
        <v>85.242499999999993</v>
      </c>
      <c r="Z41" s="244">
        <f t="shared" si="13"/>
        <v>6.7984280000000004</v>
      </c>
      <c r="AA41" s="244">
        <f t="shared" si="13"/>
        <v>33.687836000000004</v>
      </c>
      <c r="AB41" s="1277">
        <f t="shared" si="13"/>
        <v>296.39999999999998</v>
      </c>
      <c r="AC41" s="244">
        <f>U41</f>
        <v>43.598314198517656</v>
      </c>
      <c r="AD41" s="1277">
        <f>V41</f>
        <v>79.819338944775197</v>
      </c>
      <c r="AE41" s="241">
        <f>(DAY(EOMONTH($AH$15,0))-AH41)</f>
        <v>31</v>
      </c>
      <c r="AF41" s="244">
        <f t="shared" si="10"/>
        <v>210.75126800000001</v>
      </c>
      <c r="AG41" s="1281"/>
      <c r="AI41" s="1282">
        <f t="shared" si="3"/>
        <v>27.385618966368742</v>
      </c>
      <c r="AJ41" s="1252">
        <v>0.90939999999999999</v>
      </c>
      <c r="AK41" s="1252">
        <v>1.0249999999999999</v>
      </c>
      <c r="AL41" s="1252">
        <v>7.2366409999999998E-4</v>
      </c>
    </row>
    <row r="42" spans="1:38" ht="18.600000000000001" customHeight="1" x14ac:dyDescent="0.2">
      <c r="A42" s="1273">
        <v>26</v>
      </c>
      <c r="B42" s="1274" t="s">
        <v>56</v>
      </c>
      <c r="C42" s="241" t="s">
        <v>840</v>
      </c>
      <c r="D42" s="241">
        <v>680.52</v>
      </c>
      <c r="E42" s="1274" t="s">
        <v>596</v>
      </c>
      <c r="F42" s="241">
        <v>177.8</v>
      </c>
      <c r="G42" s="241" t="s">
        <v>28</v>
      </c>
      <c r="H42" s="1299" t="s">
        <v>349</v>
      </c>
      <c r="I42" s="1808">
        <v>583.46</v>
      </c>
      <c r="J42" s="1448"/>
      <c r="K42" s="241"/>
      <c r="L42" s="1277"/>
      <c r="M42" s="241"/>
      <c r="N42" s="1278"/>
      <c r="O42" s="241"/>
      <c r="P42" s="1278"/>
      <c r="Q42" s="1278"/>
      <c r="R42" s="244"/>
      <c r="S42" s="244"/>
      <c r="T42" s="1277"/>
      <c r="U42" s="1278"/>
      <c r="V42" s="1278"/>
      <c r="W42" s="1279"/>
      <c r="X42" s="1449"/>
      <c r="Y42" s="1277">
        <f t="shared" si="1"/>
        <v>0</v>
      </c>
      <c r="Z42" s="244"/>
      <c r="AA42" s="244"/>
      <c r="AB42" s="1277"/>
      <c r="AC42" s="244"/>
      <c r="AD42" s="1277"/>
      <c r="AE42" s="241"/>
      <c r="AF42" s="244"/>
      <c r="AG42" s="1285" t="s">
        <v>681</v>
      </c>
      <c r="AI42" s="1282">
        <f t="shared" si="3"/>
        <v>51.69303580814212</v>
      </c>
      <c r="AJ42" s="1252">
        <v>0.91510000000000002</v>
      </c>
      <c r="AK42" s="1252">
        <v>1.022</v>
      </c>
      <c r="AL42" s="1252">
        <v>6.1000000000000004E-3</v>
      </c>
    </row>
    <row r="43" spans="1:38" ht="18.75" customHeight="1" x14ac:dyDescent="0.2">
      <c r="A43" s="1273">
        <v>27</v>
      </c>
      <c r="B43" s="1274" t="s">
        <v>206</v>
      </c>
      <c r="C43" s="241" t="s">
        <v>840</v>
      </c>
      <c r="D43" s="241">
        <v>660.74</v>
      </c>
      <c r="E43" s="241" t="s">
        <v>436</v>
      </c>
      <c r="F43" s="241">
        <v>177.8</v>
      </c>
      <c r="G43" s="241" t="s">
        <v>28</v>
      </c>
      <c r="H43" s="241" t="s">
        <v>693</v>
      </c>
      <c r="I43" s="1815">
        <v>544.70000000000005</v>
      </c>
      <c r="J43" s="241">
        <v>160</v>
      </c>
      <c r="K43" s="241"/>
      <c r="L43" s="1277">
        <v>91</v>
      </c>
      <c r="M43" s="241"/>
      <c r="N43" s="1278">
        <v>2.2999999999999998</v>
      </c>
      <c r="O43" s="241"/>
      <c r="P43" s="1278">
        <f t="shared" si="4"/>
        <v>46.529530173433002</v>
      </c>
      <c r="Q43" s="1278">
        <f>J43*20/100</f>
        <v>32</v>
      </c>
      <c r="R43" s="244">
        <v>2.5510000000000002</v>
      </c>
      <c r="S43" s="244">
        <v>19.378</v>
      </c>
      <c r="T43" s="1277">
        <v>32</v>
      </c>
      <c r="U43" s="1278">
        <f t="shared" si="15"/>
        <v>12.544100352802822</v>
      </c>
      <c r="V43" s="1278">
        <f t="shared" si="6"/>
        <v>86.835586747858386</v>
      </c>
      <c r="W43" s="1279">
        <v>0.2</v>
      </c>
      <c r="X43" s="1316">
        <v>160</v>
      </c>
      <c r="Y43" s="1277">
        <f t="shared" si="1"/>
        <v>60.556249999999999</v>
      </c>
      <c r="Z43" s="244">
        <f t="shared" si="13"/>
        <v>2.5203880000000001</v>
      </c>
      <c r="AA43" s="244">
        <f t="shared" si="13"/>
        <v>19.145464</v>
      </c>
      <c r="AB43" s="1277">
        <f t="shared" si="13"/>
        <v>31.616</v>
      </c>
      <c r="AC43" s="244">
        <f t="shared" ref="AC43:AD49" si="16">U43</f>
        <v>12.544100352802822</v>
      </c>
      <c r="AD43" s="1277">
        <f t="shared" si="16"/>
        <v>86.835586747858386</v>
      </c>
      <c r="AE43" s="241">
        <f>(DAY(EOMONTH($AH$15,0))-AH43)</f>
        <v>31</v>
      </c>
      <c r="AF43" s="244">
        <f t="shared" si="10"/>
        <v>78.132028000000005</v>
      </c>
      <c r="AG43" s="1281"/>
      <c r="AI43" s="1282">
        <f t="shared" si="3"/>
        <v>46.529530173433002</v>
      </c>
      <c r="AJ43" s="1252">
        <v>0.91279999999999994</v>
      </c>
      <c r="AK43" s="1252">
        <v>1.0209999999999999</v>
      </c>
      <c r="AL43" s="1252">
        <v>7.7303220000000006E-4</v>
      </c>
    </row>
    <row r="44" spans="1:38" ht="28.5" customHeight="1" x14ac:dyDescent="0.2">
      <c r="A44" s="1273">
        <v>28</v>
      </c>
      <c r="B44" s="1317" t="s">
        <v>161</v>
      </c>
      <c r="C44" s="241" t="s">
        <v>840</v>
      </c>
      <c r="D44" s="1815">
        <v>677</v>
      </c>
      <c r="E44" s="1318" t="s">
        <v>178</v>
      </c>
      <c r="F44" s="241">
        <v>177.8</v>
      </c>
      <c r="G44" s="241" t="s">
        <v>28</v>
      </c>
      <c r="H44" s="241" t="s">
        <v>684</v>
      </c>
      <c r="I44" s="1815">
        <v>500.03</v>
      </c>
      <c r="J44" s="1815">
        <v>125</v>
      </c>
      <c r="K44" s="1815"/>
      <c r="L44" s="1319">
        <v>382</v>
      </c>
      <c r="M44" s="1815"/>
      <c r="N44" s="1278">
        <v>1.6</v>
      </c>
      <c r="O44" s="1815"/>
      <c r="P44" s="1278">
        <f t="shared" si="4"/>
        <v>12.708021521257082</v>
      </c>
      <c r="Q44" s="1278">
        <f>J44*32/100</f>
        <v>40</v>
      </c>
      <c r="R44" s="244">
        <v>9.2439999999999998</v>
      </c>
      <c r="S44" s="244">
        <v>23.093</v>
      </c>
      <c r="T44" s="1319">
        <v>127</v>
      </c>
      <c r="U44" s="1278">
        <f t="shared" si="15"/>
        <v>13.738641280830809</v>
      </c>
      <c r="V44" s="1278">
        <f t="shared" si="6"/>
        <v>59.970553847486251</v>
      </c>
      <c r="W44" s="1279">
        <v>0.2</v>
      </c>
      <c r="X44" s="1410">
        <v>125</v>
      </c>
      <c r="Y44" s="1277">
        <f t="shared" si="1"/>
        <v>57.732499999999995</v>
      </c>
      <c r="Z44" s="244">
        <f t="shared" si="13"/>
        <v>9.1330720000000003</v>
      </c>
      <c r="AA44" s="244">
        <f t="shared" si="13"/>
        <v>22.815884</v>
      </c>
      <c r="AB44" s="1277">
        <f t="shared" si="13"/>
        <v>125.476</v>
      </c>
      <c r="AC44" s="244">
        <f t="shared" si="16"/>
        <v>13.738641280830809</v>
      </c>
      <c r="AD44" s="1277">
        <f t="shared" si="16"/>
        <v>59.970553847486251</v>
      </c>
      <c r="AE44" s="241">
        <f t="shared" ref="AE44:AE49" si="17">(DAY(EOMONTH($AH$15,0))-AH44)</f>
        <v>31</v>
      </c>
      <c r="AF44" s="244">
        <f t="shared" si="10"/>
        <v>283.12523199999998</v>
      </c>
      <c r="AG44" s="1281"/>
      <c r="AI44" s="1282">
        <f t="shared" si="3"/>
        <v>12.708021521257082</v>
      </c>
      <c r="AJ44" s="1252">
        <v>0.89039999999999997</v>
      </c>
      <c r="AK44" s="1252">
        <v>1.0209999999999999</v>
      </c>
      <c r="AL44" s="1252">
        <v>1.0307096000000001E-3</v>
      </c>
    </row>
    <row r="45" spans="1:38" ht="29.25" customHeight="1" x14ac:dyDescent="0.2">
      <c r="A45" s="1273">
        <v>29</v>
      </c>
      <c r="B45" s="1317" t="s">
        <v>162</v>
      </c>
      <c r="C45" s="241" t="s">
        <v>840</v>
      </c>
      <c r="D45" s="1815">
        <v>676.97</v>
      </c>
      <c r="E45" s="1318" t="s">
        <v>437</v>
      </c>
      <c r="F45" s="241">
        <v>177.8</v>
      </c>
      <c r="G45" s="241" t="s">
        <v>28</v>
      </c>
      <c r="H45" s="1299" t="s">
        <v>588</v>
      </c>
      <c r="I45" s="1815">
        <v>550.59</v>
      </c>
      <c r="J45" s="1373">
        <v>70</v>
      </c>
      <c r="K45" s="1815"/>
      <c r="L45" s="1277">
        <v>398</v>
      </c>
      <c r="M45" s="1815"/>
      <c r="N45" s="1278">
        <v>0.3</v>
      </c>
      <c r="O45" s="1815"/>
      <c r="P45" s="1278">
        <f t="shared" si="4"/>
        <v>14.789843452876717</v>
      </c>
      <c r="Q45" s="1278">
        <f>RIGHT(H45,(FIND("T",H45,1)-0))*J45/100</f>
        <v>9.8000000000000007</v>
      </c>
      <c r="R45" s="244">
        <v>1.1279999999999999</v>
      </c>
      <c r="S45" s="244">
        <v>2.411</v>
      </c>
      <c r="T45" s="1319">
        <v>8.1999999999999993</v>
      </c>
      <c r="U45" s="1278">
        <f t="shared" si="15"/>
        <v>7.2695035460992905</v>
      </c>
      <c r="V45" s="1278">
        <f t="shared" si="6"/>
        <v>53.214433844877654</v>
      </c>
      <c r="W45" s="1279">
        <v>0.2</v>
      </c>
      <c r="X45" s="1452">
        <v>70</v>
      </c>
      <c r="Y45" s="1277">
        <f t="shared" si="1"/>
        <v>24.602040816326529</v>
      </c>
      <c r="Z45" s="244">
        <f t="shared" si="13"/>
        <v>1.1144639999999999</v>
      </c>
      <c r="AA45" s="244">
        <f t="shared" si="13"/>
        <v>2.3820679999999999</v>
      </c>
      <c r="AB45" s="1277">
        <f t="shared" si="13"/>
        <v>8.1015999999999995</v>
      </c>
      <c r="AC45" s="244">
        <f t="shared" si="16"/>
        <v>7.2695035460992905</v>
      </c>
      <c r="AD45" s="1277">
        <f t="shared" si="16"/>
        <v>53.214433844877654</v>
      </c>
      <c r="AE45" s="241">
        <f t="shared" si="17"/>
        <v>31</v>
      </c>
      <c r="AF45" s="244">
        <f t="shared" si="10"/>
        <v>34.548383999999999</v>
      </c>
      <c r="AG45" s="1281"/>
      <c r="AI45" s="1282">
        <f t="shared" si="3"/>
        <v>14.789843452876717</v>
      </c>
      <c r="AJ45" s="1252">
        <v>0.92269999999999996</v>
      </c>
      <c r="AK45" s="1252">
        <v>1.028</v>
      </c>
      <c r="AL45" s="1252">
        <v>7.9591010000000008E-4</v>
      </c>
    </row>
    <row r="46" spans="1:38" ht="18.75" customHeight="1" x14ac:dyDescent="0.2">
      <c r="A46" s="1273">
        <v>30</v>
      </c>
      <c r="B46" s="1317" t="s">
        <v>163</v>
      </c>
      <c r="C46" s="241" t="s">
        <v>840</v>
      </c>
      <c r="D46" s="1815">
        <v>579</v>
      </c>
      <c r="E46" s="241" t="s">
        <v>597</v>
      </c>
      <c r="F46" s="241">
        <v>177.8</v>
      </c>
      <c r="G46" s="241" t="s">
        <v>28</v>
      </c>
      <c r="H46" s="1299" t="s">
        <v>800</v>
      </c>
      <c r="I46" s="1815">
        <v>548.82000000000005</v>
      </c>
      <c r="J46" s="1815">
        <v>115</v>
      </c>
      <c r="K46" s="1815"/>
      <c r="L46" s="1319">
        <v>305</v>
      </c>
      <c r="M46" s="1815"/>
      <c r="N46" s="1278">
        <v>1.3</v>
      </c>
      <c r="O46" s="1815"/>
      <c r="P46" s="1278">
        <f t="shared" si="4"/>
        <v>24.075055720074626</v>
      </c>
      <c r="Q46" s="1278">
        <f>7*J46/100</f>
        <v>8.0500000000000007</v>
      </c>
      <c r="R46" s="244">
        <v>4.194</v>
      </c>
      <c r="S46" s="244">
        <v>9.4819999999999993</v>
      </c>
      <c r="T46" s="1319">
        <v>23</v>
      </c>
      <c r="U46" s="1278">
        <f t="shared" si="15"/>
        <v>5.4840247973295186</v>
      </c>
      <c r="V46" s="1278">
        <f t="shared" si="6"/>
        <v>55.768825142375022</v>
      </c>
      <c r="W46" s="1279">
        <v>0.2</v>
      </c>
      <c r="X46" s="1410">
        <v>115</v>
      </c>
      <c r="Y46" s="1277">
        <f t="shared" si="1"/>
        <v>117.78881987577638</v>
      </c>
      <c r="Z46" s="244">
        <f t="shared" si="13"/>
        <v>4.1436719999999996</v>
      </c>
      <c r="AA46" s="244">
        <f t="shared" si="13"/>
        <v>9.3682159999999985</v>
      </c>
      <c r="AB46" s="1277">
        <f t="shared" si="13"/>
        <v>22.724</v>
      </c>
      <c r="AC46" s="244">
        <f t="shared" si="16"/>
        <v>5.4840247973295186</v>
      </c>
      <c r="AD46" s="1277">
        <f t="shared" si="16"/>
        <v>55.768825142375022</v>
      </c>
      <c r="AE46" s="241">
        <f t="shared" si="17"/>
        <v>31</v>
      </c>
      <c r="AF46" s="244">
        <f t="shared" si="10"/>
        <v>128.45383199999998</v>
      </c>
      <c r="AG46" s="1281"/>
      <c r="AI46" s="1282">
        <f t="shared" si="3"/>
        <v>24.075055720074626</v>
      </c>
      <c r="AJ46" s="1252">
        <v>0.90429999999999999</v>
      </c>
      <c r="AK46" s="1252">
        <v>1.0109999999999999</v>
      </c>
      <c r="AL46" s="1252">
        <v>7.9591010000000008E-4</v>
      </c>
    </row>
    <row r="47" spans="1:38" ht="18.75" customHeight="1" x14ac:dyDescent="0.2">
      <c r="A47" s="1273">
        <v>31</v>
      </c>
      <c r="B47" s="1274" t="s">
        <v>59</v>
      </c>
      <c r="C47" s="241" t="s">
        <v>840</v>
      </c>
      <c r="D47" s="241">
        <v>615</v>
      </c>
      <c r="E47" s="241" t="s">
        <v>454</v>
      </c>
      <c r="F47" s="241">
        <v>177.8</v>
      </c>
      <c r="G47" s="241" t="s">
        <v>28</v>
      </c>
      <c r="H47" s="1299" t="s">
        <v>686</v>
      </c>
      <c r="I47" s="1815">
        <v>538.69000000000005</v>
      </c>
      <c r="J47" s="241">
        <v>100</v>
      </c>
      <c r="K47" s="241"/>
      <c r="L47" s="1277">
        <v>419</v>
      </c>
      <c r="M47" s="241"/>
      <c r="N47" s="1278">
        <v>1.4</v>
      </c>
      <c r="O47" s="241"/>
      <c r="P47" s="1278">
        <f t="shared" si="4"/>
        <v>12.707592597565617</v>
      </c>
      <c r="Q47" s="1278">
        <f>20*J47/100</f>
        <v>20</v>
      </c>
      <c r="R47" s="244">
        <v>2.9870000000000001</v>
      </c>
      <c r="S47" s="244">
        <v>7.8609999999999998</v>
      </c>
      <c r="T47" s="1277">
        <v>42</v>
      </c>
      <c r="U47" s="1278">
        <f t="shared" si="15"/>
        <v>14.060930699698694</v>
      </c>
      <c r="V47" s="1278">
        <f t="shared" si="6"/>
        <v>62.002289785014632</v>
      </c>
      <c r="W47" s="1279">
        <v>0.2</v>
      </c>
      <c r="X47" s="1410">
        <v>100</v>
      </c>
      <c r="Y47" s="1277">
        <f t="shared" si="1"/>
        <v>39.305</v>
      </c>
      <c r="Z47" s="244">
        <f t="shared" si="13"/>
        <v>2.9511560000000001</v>
      </c>
      <c r="AA47" s="244">
        <f t="shared" si="13"/>
        <v>7.7666680000000001</v>
      </c>
      <c r="AB47" s="1277">
        <f t="shared" si="13"/>
        <v>41.496000000000002</v>
      </c>
      <c r="AC47" s="244">
        <f t="shared" si="16"/>
        <v>14.060930699698694</v>
      </c>
      <c r="AD47" s="1277">
        <f t="shared" si="16"/>
        <v>62.002289785014632</v>
      </c>
      <c r="AE47" s="241">
        <f t="shared" si="17"/>
        <v>31</v>
      </c>
      <c r="AF47" s="244">
        <f t="shared" si="10"/>
        <v>91.485836000000006</v>
      </c>
      <c r="AG47" s="1285"/>
      <c r="AI47" s="1282">
        <f t="shared" si="3"/>
        <v>12.707592597565617</v>
      </c>
      <c r="AJ47" s="1252">
        <v>0.89980000000000004</v>
      </c>
      <c r="AK47" s="1252">
        <v>1.018</v>
      </c>
      <c r="AL47" s="1252">
        <v>7.7447712000000004E-4</v>
      </c>
    </row>
    <row r="48" spans="1:38" s="1478" customFormat="1" ht="18.600000000000001" customHeight="1" x14ac:dyDescent="0.2">
      <c r="A48" s="1273">
        <v>32</v>
      </c>
      <c r="B48" s="1274" t="s">
        <v>207</v>
      </c>
      <c r="C48" s="241" t="s">
        <v>840</v>
      </c>
      <c r="D48" s="241">
        <v>674.39</v>
      </c>
      <c r="E48" s="241" t="s">
        <v>598</v>
      </c>
      <c r="F48" s="241">
        <v>177.8</v>
      </c>
      <c r="G48" s="241" t="s">
        <v>28</v>
      </c>
      <c r="H48" s="1299" t="s">
        <v>588</v>
      </c>
      <c r="I48" s="1815">
        <v>572.85</v>
      </c>
      <c r="J48" s="241">
        <v>135</v>
      </c>
      <c r="K48" s="241"/>
      <c r="L48" s="1277">
        <v>258</v>
      </c>
      <c r="M48" s="241"/>
      <c r="N48" s="1278">
        <v>3.5</v>
      </c>
      <c r="O48" s="241"/>
      <c r="P48" s="1278">
        <f t="shared" si="4"/>
        <v>33.805438129610756</v>
      </c>
      <c r="Q48" s="1278">
        <f>14*J48/100</f>
        <v>18.899999999999999</v>
      </c>
      <c r="R48" s="244">
        <v>3.839</v>
      </c>
      <c r="S48" s="244">
        <v>13.911</v>
      </c>
      <c r="T48" s="1277">
        <v>7.5720000000000001</v>
      </c>
      <c r="U48" s="1278">
        <f t="shared" si="15"/>
        <v>1.9723886428757489</v>
      </c>
      <c r="V48" s="1278">
        <f t="shared" si="6"/>
        <v>72.403134210337143</v>
      </c>
      <c r="W48" s="1279">
        <v>0.3</v>
      </c>
      <c r="X48" s="1316">
        <v>135</v>
      </c>
      <c r="Y48" s="1277">
        <f t="shared" si="1"/>
        <v>73.603174603174608</v>
      </c>
      <c r="Z48" s="244">
        <f t="shared" si="13"/>
        <v>3.792932</v>
      </c>
      <c r="AA48" s="244">
        <f t="shared" si="13"/>
        <v>13.744067999999999</v>
      </c>
      <c r="AB48" s="1277">
        <f t="shared" si="13"/>
        <v>7.4811360000000002</v>
      </c>
      <c r="AC48" s="244">
        <f t="shared" si="16"/>
        <v>1.9723886428757489</v>
      </c>
      <c r="AD48" s="1277">
        <f t="shared" si="16"/>
        <v>72.403134210337143</v>
      </c>
      <c r="AE48" s="241">
        <f t="shared" si="17"/>
        <v>31</v>
      </c>
      <c r="AF48" s="244">
        <f t="shared" si="10"/>
        <v>117.58089200000001</v>
      </c>
      <c r="AG48" s="1285"/>
      <c r="AH48" s="1252"/>
      <c r="AI48" s="1282">
        <f t="shared" si="3"/>
        <v>33.805438129610756</v>
      </c>
      <c r="AJ48" s="1252">
        <v>0.91620000000000001</v>
      </c>
      <c r="AK48" s="1252">
        <v>1.0229999999999999</v>
      </c>
      <c r="AL48" s="1252">
        <v>7.9591010000000008E-4</v>
      </c>
    </row>
    <row r="49" spans="1:38" ht="30" customHeight="1" x14ac:dyDescent="0.2">
      <c r="A49" s="1273">
        <v>33</v>
      </c>
      <c r="B49" s="1274" t="s">
        <v>599</v>
      </c>
      <c r="C49" s="241" t="s">
        <v>840</v>
      </c>
      <c r="D49" s="1278">
        <v>684.01</v>
      </c>
      <c r="E49" s="1815" t="s">
        <v>600</v>
      </c>
      <c r="F49" s="241">
        <v>177.8</v>
      </c>
      <c r="G49" s="241" t="s">
        <v>28</v>
      </c>
      <c r="H49" s="1299" t="s">
        <v>687</v>
      </c>
      <c r="I49" s="1815">
        <v>546.08000000000004</v>
      </c>
      <c r="J49" s="241">
        <v>125</v>
      </c>
      <c r="K49" s="241"/>
      <c r="L49" s="1322">
        <v>172</v>
      </c>
      <c r="M49" s="241"/>
      <c r="N49" s="1306">
        <v>4.3</v>
      </c>
      <c r="O49" s="241"/>
      <c r="P49" s="1278">
        <f t="shared" si="4"/>
        <v>40.277820848556161</v>
      </c>
      <c r="Q49" s="1278">
        <f>20*J49/100</f>
        <v>25</v>
      </c>
      <c r="R49" s="244">
        <v>4.133</v>
      </c>
      <c r="S49" s="244">
        <v>15.663</v>
      </c>
      <c r="T49" s="1277">
        <v>71</v>
      </c>
      <c r="U49" s="1278">
        <f t="shared" si="15"/>
        <v>17.178804742317929</v>
      </c>
      <c r="V49" s="1278">
        <f t="shared" si="6"/>
        <v>73.6129732490583</v>
      </c>
      <c r="W49" s="1279">
        <v>0.2</v>
      </c>
      <c r="X49" s="1316">
        <v>125</v>
      </c>
      <c r="Y49" s="1277">
        <f t="shared" si="1"/>
        <v>62.651999999999994</v>
      </c>
      <c r="Z49" s="244">
        <f t="shared" si="13"/>
        <v>4.0834039999999998</v>
      </c>
      <c r="AA49" s="244">
        <f t="shared" si="13"/>
        <v>15.475044</v>
      </c>
      <c r="AB49" s="1277">
        <f t="shared" si="13"/>
        <v>70.147999999999996</v>
      </c>
      <c r="AC49" s="244">
        <f t="shared" si="16"/>
        <v>17.178804742317929</v>
      </c>
      <c r="AD49" s="1277">
        <f t="shared" si="16"/>
        <v>73.6129732490583</v>
      </c>
      <c r="AE49" s="241">
        <f t="shared" si="17"/>
        <v>31</v>
      </c>
      <c r="AF49" s="244">
        <f t="shared" si="10"/>
        <v>126.58552399999999</v>
      </c>
      <c r="AG49" s="1285"/>
      <c r="AI49" s="1282">
        <f t="shared" si="3"/>
        <v>40.277820848556161</v>
      </c>
      <c r="AJ49" s="1252">
        <v>0.91500000000000004</v>
      </c>
      <c r="AK49" s="1252">
        <v>1.0209999999999999</v>
      </c>
      <c r="AL49" s="1252">
        <v>7.7447712000000004E-4</v>
      </c>
    </row>
    <row r="50" spans="1:38" ht="18.75" customHeight="1" x14ac:dyDescent="0.2">
      <c r="A50" s="1273">
        <v>34</v>
      </c>
      <c r="B50" s="1274" t="s">
        <v>196</v>
      </c>
      <c r="C50" s="241" t="s">
        <v>840</v>
      </c>
      <c r="D50" s="241">
        <v>641</v>
      </c>
      <c r="E50" s="241" t="s">
        <v>619</v>
      </c>
      <c r="F50" s="241">
        <v>177.8</v>
      </c>
      <c r="G50" s="241" t="s">
        <v>28</v>
      </c>
      <c r="H50" s="241" t="s">
        <v>50</v>
      </c>
      <c r="I50" s="1808">
        <v>607.85</v>
      </c>
      <c r="J50" s="241"/>
      <c r="K50" s="1323">
        <v>58.46</v>
      </c>
      <c r="L50" s="1324"/>
      <c r="M50" s="1325">
        <v>0.3</v>
      </c>
      <c r="N50" s="1326"/>
      <c r="O50" s="241"/>
      <c r="P50" s="1278">
        <f t="shared" si="4"/>
        <v>52.724000149518879</v>
      </c>
      <c r="Q50" s="1278"/>
      <c r="R50" s="244"/>
      <c r="S50" s="244"/>
      <c r="T50" s="1277"/>
      <c r="U50" s="1278"/>
      <c r="V50" s="1278"/>
      <c r="W50" s="1279"/>
      <c r="X50" s="1316"/>
      <c r="Y50" s="1277">
        <f t="shared" si="1"/>
        <v>0</v>
      </c>
      <c r="Z50" s="244"/>
      <c r="AA50" s="244"/>
      <c r="AB50" s="1277"/>
      <c r="AC50" s="244"/>
      <c r="AD50" s="1277"/>
      <c r="AE50" s="241"/>
      <c r="AF50" s="244"/>
      <c r="AG50" s="1281" t="s">
        <v>682</v>
      </c>
      <c r="AI50" s="1282">
        <f t="shared" si="3"/>
        <v>52.724000149518879</v>
      </c>
      <c r="AJ50" s="1252">
        <v>0.89590000000000003</v>
      </c>
      <c r="AK50" s="1252">
        <v>1.0169999999999999</v>
      </c>
      <c r="AL50" s="1252">
        <v>1.1667729E-3</v>
      </c>
    </row>
    <row r="51" spans="1:38" ht="18.75" customHeight="1" x14ac:dyDescent="0.2">
      <c r="A51" s="1273">
        <v>35</v>
      </c>
      <c r="B51" s="1274" t="s">
        <v>60</v>
      </c>
      <c r="C51" s="241" t="s">
        <v>840</v>
      </c>
      <c r="D51" s="241">
        <v>641.04999999999995</v>
      </c>
      <c r="E51" s="241" t="s">
        <v>462</v>
      </c>
      <c r="F51" s="241">
        <v>177.8</v>
      </c>
      <c r="G51" s="241" t="s">
        <v>28</v>
      </c>
      <c r="H51" s="1299" t="s">
        <v>592</v>
      </c>
      <c r="I51" s="1815">
        <v>535</v>
      </c>
      <c r="J51" s="1448">
        <v>110</v>
      </c>
      <c r="K51" s="241"/>
      <c r="L51" s="1277">
        <v>453</v>
      </c>
      <c r="M51" s="241"/>
      <c r="N51" s="1278">
        <v>4.7</v>
      </c>
      <c r="O51" s="241"/>
      <c r="P51" s="1278">
        <f t="shared" si="4"/>
        <v>12.463881357891601</v>
      </c>
      <c r="Q51" s="1278">
        <f>RIGHT(H51,(FIND("T",H51,1)-0))*J51/100</f>
        <v>15.4</v>
      </c>
      <c r="R51" s="244">
        <v>4.0380000000000003</v>
      </c>
      <c r="S51" s="244">
        <v>11.11</v>
      </c>
      <c r="T51" s="1277">
        <v>78</v>
      </c>
      <c r="U51" s="1278">
        <f t="shared" si="15"/>
        <v>19.316493313521544</v>
      </c>
      <c r="V51" s="1278">
        <f t="shared" si="6"/>
        <v>63.65436543654365</v>
      </c>
      <c r="W51" s="1279">
        <v>0.2</v>
      </c>
      <c r="X51" s="1449">
        <v>110</v>
      </c>
      <c r="Y51" s="1277">
        <f t="shared" si="1"/>
        <v>72.142857142857139</v>
      </c>
      <c r="Z51" s="244">
        <f t="shared" ref="Z51:AB51" si="18">R51*0.988</f>
        <v>3.9895440000000004</v>
      </c>
      <c r="AA51" s="244">
        <f t="shared" si="18"/>
        <v>10.97668</v>
      </c>
      <c r="AB51" s="1277">
        <f t="shared" si="18"/>
        <v>77.063999999999993</v>
      </c>
      <c r="AC51" s="244">
        <f>U51</f>
        <v>19.316493313521544</v>
      </c>
      <c r="AD51" s="1278">
        <f t="shared" ref="AD51" si="19">(AA51-Z51)/AA51*100</f>
        <v>63.65436543654365</v>
      </c>
      <c r="AE51" s="241">
        <f>(DAY(EOMONTH($AH$15,0))-AH51)</f>
        <v>31</v>
      </c>
      <c r="AF51" s="244">
        <f t="shared" si="10"/>
        <v>123.67586400000002</v>
      </c>
      <c r="AG51" s="1281"/>
      <c r="AI51" s="1282">
        <f t="shared" si="3"/>
        <v>12.463881357891601</v>
      </c>
      <c r="AJ51" s="1252">
        <v>0.89180000000000004</v>
      </c>
      <c r="AK51" s="1252">
        <v>1.0169999999999999</v>
      </c>
      <c r="AL51" s="1252">
        <v>1.1667729E-3</v>
      </c>
    </row>
    <row r="52" spans="1:38" ht="18.75" customHeight="1" x14ac:dyDescent="0.2">
      <c r="A52" s="1273">
        <v>36</v>
      </c>
      <c r="B52" s="1274" t="s">
        <v>119</v>
      </c>
      <c r="C52" s="241" t="s">
        <v>840</v>
      </c>
      <c r="D52" s="241">
        <v>654.07000000000005</v>
      </c>
      <c r="E52" s="241" t="s">
        <v>410</v>
      </c>
      <c r="F52" s="241">
        <v>177.8</v>
      </c>
      <c r="G52" s="241" t="s">
        <v>28</v>
      </c>
      <c r="H52" s="241" t="s">
        <v>566</v>
      </c>
      <c r="I52" s="1815">
        <v>500.38</v>
      </c>
      <c r="J52" s="241"/>
      <c r="K52" s="241">
        <v>478</v>
      </c>
      <c r="L52" s="1277"/>
      <c r="M52" s="241">
        <v>0</v>
      </c>
      <c r="N52" s="1278"/>
      <c r="O52" s="241"/>
      <c r="P52" s="1278">
        <f t="shared" si="4"/>
        <v>42.733666838193933</v>
      </c>
      <c r="Q52" s="1278"/>
      <c r="R52" s="244"/>
      <c r="S52" s="244"/>
      <c r="T52" s="1277"/>
      <c r="U52" s="1278"/>
      <c r="V52" s="1278"/>
      <c r="W52" s="1279"/>
      <c r="X52" s="1316"/>
      <c r="Y52" s="1277">
        <f t="shared" si="1"/>
        <v>0</v>
      </c>
      <c r="Z52" s="244"/>
      <c r="AA52" s="244"/>
      <c r="AB52" s="1277"/>
      <c r="AC52" s="244"/>
      <c r="AD52" s="1277"/>
      <c r="AE52" s="241"/>
      <c r="AF52" s="244"/>
      <c r="AG52" s="1281" t="s">
        <v>682</v>
      </c>
      <c r="AI52" s="1282">
        <f t="shared" si="3"/>
        <v>42.733666838193933</v>
      </c>
      <c r="AJ52" s="1252">
        <v>0.8821</v>
      </c>
      <c r="AK52" s="1252">
        <v>1.018</v>
      </c>
      <c r="AL52" s="1252">
        <v>1.0764654000000001E-3</v>
      </c>
    </row>
    <row r="53" spans="1:38" ht="29.25" customHeight="1" x14ac:dyDescent="0.2">
      <c r="A53" s="1273">
        <v>37</v>
      </c>
      <c r="B53" s="1274" t="s">
        <v>118</v>
      </c>
      <c r="C53" s="241" t="s">
        <v>840</v>
      </c>
      <c r="D53" s="241">
        <v>728.77</v>
      </c>
      <c r="E53" s="1818" t="s">
        <v>442</v>
      </c>
      <c r="F53" s="241">
        <v>177.8</v>
      </c>
      <c r="G53" s="241" t="s">
        <v>28</v>
      </c>
      <c r="H53" s="241" t="s">
        <v>687</v>
      </c>
      <c r="I53" s="1818">
        <v>515.54</v>
      </c>
      <c r="J53" s="241">
        <v>105</v>
      </c>
      <c r="K53" s="241"/>
      <c r="L53" s="1277">
        <v>306</v>
      </c>
      <c r="M53" s="241"/>
      <c r="N53" s="1278">
        <v>2.5</v>
      </c>
      <c r="O53" s="241"/>
      <c r="P53" s="1278">
        <f t="shared" si="4"/>
        <v>22.614018231211674</v>
      </c>
      <c r="Q53" s="1325">
        <f>J53*20/100</f>
        <v>21</v>
      </c>
      <c r="R53" s="244">
        <v>3.88</v>
      </c>
      <c r="S53" s="244">
        <v>12.98</v>
      </c>
      <c r="T53" s="1277">
        <v>9</v>
      </c>
      <c r="U53" s="1278">
        <f t="shared" ref="U53" si="20">IF(R53=0,0,T53/R53)</f>
        <v>2.3195876288659796</v>
      </c>
      <c r="V53" s="1278">
        <f t="shared" ref="V53" si="21">(S53-R53)/S53*100</f>
        <v>70.107858243451474</v>
      </c>
      <c r="W53" s="1279">
        <v>0.2</v>
      </c>
      <c r="X53" s="1449">
        <v>105</v>
      </c>
      <c r="Y53" s="1277">
        <f t="shared" si="1"/>
        <v>61.809523809523817</v>
      </c>
      <c r="Z53" s="244">
        <f t="shared" ref="Z53:AB57" si="22">R53*0.988</f>
        <v>3.83344</v>
      </c>
      <c r="AA53" s="244">
        <f t="shared" si="22"/>
        <v>12.82424</v>
      </c>
      <c r="AB53" s="1277">
        <f t="shared" si="22"/>
        <v>8.8919999999999995</v>
      </c>
      <c r="AC53" s="244">
        <f>U53</f>
        <v>2.3195876288659796</v>
      </c>
      <c r="AD53" s="1278">
        <f t="shared" ref="AD53:AD57" si="23">(AA53-Z53)/AA53*100</f>
        <v>70.107858243451474</v>
      </c>
      <c r="AE53" s="241">
        <f>(DAY(EOMONTH($AH$15,0))-AH53)</f>
        <v>31</v>
      </c>
      <c r="AF53" s="244">
        <f t="shared" ref="AF53:AF59" si="24">Z53*AE53</f>
        <v>118.83664</v>
      </c>
      <c r="AG53" s="1281"/>
      <c r="AI53" s="1282">
        <f t="shared" si="3"/>
        <v>22.614018231211674</v>
      </c>
      <c r="AJ53" s="1252">
        <v>0.90880000000000005</v>
      </c>
      <c r="AK53" s="1252">
        <v>1.0249999999999999</v>
      </c>
      <c r="AL53" s="1252">
        <v>8.2480850000000007E-4</v>
      </c>
    </row>
    <row r="54" spans="1:38" ht="18.75" customHeight="1" x14ac:dyDescent="0.2">
      <c r="A54" s="1273">
        <v>38</v>
      </c>
      <c r="B54" s="1274" t="s">
        <v>117</v>
      </c>
      <c r="C54" s="241" t="s">
        <v>840</v>
      </c>
      <c r="D54" s="241">
        <v>671.45</v>
      </c>
      <c r="E54" s="241" t="s">
        <v>554</v>
      </c>
      <c r="F54" s="241">
        <v>177.8</v>
      </c>
      <c r="G54" s="241" t="s">
        <v>28</v>
      </c>
      <c r="H54" s="1299" t="s">
        <v>588</v>
      </c>
      <c r="I54" s="1808">
        <v>564.6500000000002</v>
      </c>
      <c r="J54" s="1448">
        <v>0</v>
      </c>
      <c r="K54" s="241"/>
      <c r="L54" s="1277">
        <v>0</v>
      </c>
      <c r="M54" s="241"/>
      <c r="N54" s="1278">
        <v>0</v>
      </c>
      <c r="O54" s="241"/>
      <c r="P54" s="1278" t="e">
        <v>#DIV/0!</v>
      </c>
      <c r="Q54" s="1278">
        <v>0</v>
      </c>
      <c r="R54" s="244">
        <v>0</v>
      </c>
      <c r="S54" s="244">
        <v>0</v>
      </c>
      <c r="T54" s="1277">
        <v>0</v>
      </c>
      <c r="U54" s="1278">
        <v>0</v>
      </c>
      <c r="V54" s="1278" t="e">
        <v>#DIV/0!</v>
      </c>
      <c r="W54" s="1279">
        <v>0</v>
      </c>
      <c r="X54" s="1449"/>
      <c r="Y54" s="1277"/>
      <c r="Z54" s="244"/>
      <c r="AA54" s="244"/>
      <c r="AB54" s="1277"/>
      <c r="AC54" s="244"/>
      <c r="AD54" s="1278"/>
      <c r="AE54" s="241"/>
      <c r="AF54" s="244"/>
      <c r="AG54" s="1281" t="s">
        <v>682</v>
      </c>
      <c r="AI54" s="1282" t="e">
        <f t="shared" si="3"/>
        <v>#DIV/0!</v>
      </c>
      <c r="AJ54" s="1252">
        <v>0.91290000000000004</v>
      </c>
      <c r="AK54" s="1252">
        <v>1.0189999999999999</v>
      </c>
      <c r="AL54" s="1252">
        <v>8.1276750000000011E-4</v>
      </c>
    </row>
    <row r="55" spans="1:38" ht="18.75" customHeight="1" x14ac:dyDescent="0.2">
      <c r="A55" s="1273">
        <v>39</v>
      </c>
      <c r="B55" s="1473" t="s">
        <v>115</v>
      </c>
      <c r="C55" s="241" t="s">
        <v>840</v>
      </c>
      <c r="D55" s="1275">
        <v>580.71</v>
      </c>
      <c r="E55" s="1275" t="s">
        <v>286</v>
      </c>
      <c r="F55" s="241">
        <v>177.8</v>
      </c>
      <c r="G55" s="1275" t="s">
        <v>28</v>
      </c>
      <c r="H55" s="1474" t="s">
        <v>685</v>
      </c>
      <c r="I55" s="1475">
        <v>566.44000000000005</v>
      </c>
      <c r="J55" s="1448">
        <v>95</v>
      </c>
      <c r="K55" s="241"/>
      <c r="L55" s="1277">
        <v>317</v>
      </c>
      <c r="M55" s="241"/>
      <c r="N55" s="1278">
        <v>1.5</v>
      </c>
      <c r="O55" s="241"/>
      <c r="P55" s="1278">
        <f t="shared" ref="P55:P59" si="25">AI55</f>
        <v>25.277000131940216</v>
      </c>
      <c r="Q55" s="1278">
        <f>(14/100)*J55</f>
        <v>13.3</v>
      </c>
      <c r="R55" s="244">
        <v>5.5469999999999997</v>
      </c>
      <c r="S55" s="244">
        <v>15.055999999999999</v>
      </c>
      <c r="T55" s="1277">
        <v>11.5</v>
      </c>
      <c r="U55" s="1278">
        <f t="shared" ref="U55:U59" si="26">IF(R55=0,0,T55/R55)</f>
        <v>2.0731927167838471</v>
      </c>
      <c r="V55" s="1278">
        <f t="shared" ref="V55:V86" si="27">(S55-R55)/S55*100</f>
        <v>63.157545164718385</v>
      </c>
      <c r="W55" s="1279">
        <v>0.2</v>
      </c>
      <c r="X55" s="1453">
        <v>95</v>
      </c>
      <c r="Y55" s="1277">
        <f t="shared" si="1"/>
        <v>113.20300751879697</v>
      </c>
      <c r="Z55" s="244">
        <f t="shared" si="22"/>
        <v>5.4804360000000001</v>
      </c>
      <c r="AA55" s="244">
        <f t="shared" si="22"/>
        <v>14.875328</v>
      </c>
      <c r="AB55" s="1277">
        <f t="shared" si="22"/>
        <v>11.362</v>
      </c>
      <c r="AC55" s="244">
        <f t="shared" ref="AC55:AC57" si="28">U55</f>
        <v>2.0731927167838471</v>
      </c>
      <c r="AD55" s="1278">
        <f t="shared" si="23"/>
        <v>63.157545164718378</v>
      </c>
      <c r="AE55" s="241">
        <f>(DAY(EOMONTH($AH$15,0))-AH55)</f>
        <v>31</v>
      </c>
      <c r="AF55" s="244">
        <f t="shared" si="24"/>
        <v>169.89351600000001</v>
      </c>
      <c r="AG55" s="1281"/>
      <c r="AI55" s="1282">
        <f t="shared" si="3"/>
        <v>25.277000131940216</v>
      </c>
      <c r="AJ55" s="1252">
        <v>0.90959999999999996</v>
      </c>
      <c r="AK55" s="1252">
        <v>1.016</v>
      </c>
      <c r="AL55" s="1252">
        <v>6.1000000000000004E-3</v>
      </c>
    </row>
    <row r="56" spans="1:38" ht="18.75" customHeight="1" x14ac:dyDescent="0.2">
      <c r="A56" s="1273">
        <v>40</v>
      </c>
      <c r="B56" s="1274" t="s">
        <v>116</v>
      </c>
      <c r="C56" s="241" t="s">
        <v>840</v>
      </c>
      <c r="D56" s="241">
        <v>681.27</v>
      </c>
      <c r="E56" s="241" t="s">
        <v>601</v>
      </c>
      <c r="F56" s="241">
        <v>177.8</v>
      </c>
      <c r="G56" s="241" t="s">
        <v>28</v>
      </c>
      <c r="H56" s="241" t="s">
        <v>687</v>
      </c>
      <c r="I56" s="1815">
        <v>589.64</v>
      </c>
      <c r="J56" s="1448">
        <v>100</v>
      </c>
      <c r="K56" s="241"/>
      <c r="L56" s="1277">
        <v>163</v>
      </c>
      <c r="M56" s="241"/>
      <c r="N56" s="1278">
        <v>1.6</v>
      </c>
      <c r="O56" s="241"/>
      <c r="P56" s="1278">
        <f t="shared" si="25"/>
        <v>43.088260586870035</v>
      </c>
      <c r="Q56" s="1278">
        <f>(20/100)*J56</f>
        <v>20</v>
      </c>
      <c r="R56" s="244">
        <v>3.5739999999999998</v>
      </c>
      <c r="S56" s="244">
        <v>19.588999999999999</v>
      </c>
      <c r="T56" s="1277">
        <v>6</v>
      </c>
      <c r="U56" s="1278">
        <f t="shared" si="26"/>
        <v>1.6787912702853947</v>
      </c>
      <c r="V56" s="1278">
        <f t="shared" si="27"/>
        <v>81.755066619020894</v>
      </c>
      <c r="W56" s="1279">
        <v>0.2</v>
      </c>
      <c r="X56" s="1449">
        <v>100</v>
      </c>
      <c r="Y56" s="1277">
        <f t="shared" si="1"/>
        <v>97.944999999999993</v>
      </c>
      <c r="Z56" s="244">
        <f t="shared" si="22"/>
        <v>3.5311119999999998</v>
      </c>
      <c r="AA56" s="244">
        <f t="shared" si="22"/>
        <v>19.353931999999997</v>
      </c>
      <c r="AB56" s="1277">
        <f t="shared" si="22"/>
        <v>5.9279999999999999</v>
      </c>
      <c r="AC56" s="244">
        <f t="shared" si="28"/>
        <v>1.6787912702853947</v>
      </c>
      <c r="AD56" s="1278">
        <f t="shared" si="23"/>
        <v>81.75506661902088</v>
      </c>
      <c r="AE56" s="241">
        <f>(DAY(EOMONTH($AH$15,0))-AH56)</f>
        <v>31</v>
      </c>
      <c r="AF56" s="244">
        <f t="shared" si="24"/>
        <v>109.464472</v>
      </c>
      <c r="AG56" s="1281"/>
      <c r="AI56" s="1282">
        <f t="shared" si="3"/>
        <v>43.088260586870035</v>
      </c>
      <c r="AJ56" s="1252">
        <v>0.9173</v>
      </c>
      <c r="AK56" s="1252">
        <v>1.0209999999999999</v>
      </c>
      <c r="AL56" s="1252">
        <v>6.1000000000000004E-3</v>
      </c>
    </row>
    <row r="57" spans="1:38" ht="18.75" customHeight="1" x14ac:dyDescent="0.2">
      <c r="A57" s="1273">
        <v>41</v>
      </c>
      <c r="B57" s="1274" t="s">
        <v>120</v>
      </c>
      <c r="C57" s="241" t="s">
        <v>840</v>
      </c>
      <c r="D57" s="241">
        <v>669.48</v>
      </c>
      <c r="E57" s="241" t="s">
        <v>285</v>
      </c>
      <c r="F57" s="241">
        <v>177.8</v>
      </c>
      <c r="G57" s="241" t="s">
        <v>28</v>
      </c>
      <c r="H57" s="1275" t="s">
        <v>563</v>
      </c>
      <c r="I57" s="1815">
        <v>560.83000000000004</v>
      </c>
      <c r="J57" s="1448">
        <v>100</v>
      </c>
      <c r="K57" s="241"/>
      <c r="L57" s="1277">
        <v>234</v>
      </c>
      <c r="M57" s="241"/>
      <c r="N57" s="1278">
        <v>0</v>
      </c>
      <c r="O57" s="241"/>
      <c r="P57" s="1278">
        <f t="shared" si="25"/>
        <v>31.039611876590335</v>
      </c>
      <c r="Q57" s="1278">
        <f>(15/100)*J57</f>
        <v>15</v>
      </c>
      <c r="R57" s="244">
        <v>6.9219999999999997</v>
      </c>
      <c r="S57" s="244">
        <v>16.943000000000001</v>
      </c>
      <c r="T57" s="1277">
        <v>8</v>
      </c>
      <c r="U57" s="1278">
        <f t="shared" si="26"/>
        <v>1.1557353366079168</v>
      </c>
      <c r="V57" s="1278">
        <f t="shared" si="27"/>
        <v>59.145369769226228</v>
      </c>
      <c r="W57" s="1279">
        <v>0.2</v>
      </c>
      <c r="X57" s="1316">
        <v>100</v>
      </c>
      <c r="Y57" s="1277">
        <f t="shared" si="1"/>
        <v>112.95333333333335</v>
      </c>
      <c r="Z57" s="244">
        <f t="shared" si="22"/>
        <v>6.8389359999999995</v>
      </c>
      <c r="AA57" s="244">
        <f t="shared" si="22"/>
        <v>16.739684</v>
      </c>
      <c r="AB57" s="1277">
        <f t="shared" si="22"/>
        <v>7.9039999999999999</v>
      </c>
      <c r="AC57" s="244">
        <f t="shared" si="28"/>
        <v>1.1557353366079168</v>
      </c>
      <c r="AD57" s="1278">
        <f t="shared" si="23"/>
        <v>59.145369769226228</v>
      </c>
      <c r="AE57" s="241">
        <f>(DAY(EOMONTH($AH$15,0))-AH57)</f>
        <v>31</v>
      </c>
      <c r="AF57" s="244">
        <f t="shared" si="24"/>
        <v>212.00701599999999</v>
      </c>
      <c r="AG57" s="1281"/>
      <c r="AI57" s="1282">
        <f t="shared" si="3"/>
        <v>31.039611876590335</v>
      </c>
      <c r="AJ57" s="1252">
        <v>0.91369999999999996</v>
      </c>
      <c r="AK57" s="1252">
        <v>1.02</v>
      </c>
      <c r="AL57" s="1252">
        <v>6.1000000000000004E-3</v>
      </c>
    </row>
    <row r="58" spans="1:38" ht="18.75" customHeight="1" x14ac:dyDescent="0.2">
      <c r="A58" s="1273">
        <v>42</v>
      </c>
      <c r="B58" s="1274" t="s">
        <v>114</v>
      </c>
      <c r="C58" s="241" t="s">
        <v>840</v>
      </c>
      <c r="D58" s="241">
        <v>584.25</v>
      </c>
      <c r="E58" s="241" t="s">
        <v>602</v>
      </c>
      <c r="F58" s="241">
        <v>177.8</v>
      </c>
      <c r="G58" s="241" t="s">
        <v>28</v>
      </c>
      <c r="H58" s="1299" t="s">
        <v>540</v>
      </c>
      <c r="I58" s="1808">
        <v>556.55999999999995</v>
      </c>
      <c r="J58" s="1448">
        <v>0</v>
      </c>
      <c r="K58" s="241"/>
      <c r="L58" s="1277">
        <v>0</v>
      </c>
      <c r="M58" s="241"/>
      <c r="N58" s="1278">
        <v>0</v>
      </c>
      <c r="O58" s="241"/>
      <c r="P58" s="1278" t="e">
        <f t="shared" si="25"/>
        <v>#DIV/0!</v>
      </c>
      <c r="Q58" s="1278">
        <f>(20/100)*J58</f>
        <v>0</v>
      </c>
      <c r="R58" s="244">
        <v>0</v>
      </c>
      <c r="S58" s="244">
        <v>0</v>
      </c>
      <c r="T58" s="1277">
        <v>0</v>
      </c>
      <c r="U58" s="1278">
        <f t="shared" si="26"/>
        <v>0</v>
      </c>
      <c r="V58" s="1278" t="e">
        <f t="shared" si="27"/>
        <v>#DIV/0!</v>
      </c>
      <c r="W58" s="1279">
        <v>0</v>
      </c>
      <c r="X58" s="1316">
        <v>100</v>
      </c>
      <c r="Y58" s="1277">
        <v>88.231818181818184</v>
      </c>
      <c r="Z58" s="244">
        <v>2.095548</v>
      </c>
      <c r="AA58" s="244">
        <v>19.178068</v>
      </c>
      <c r="AB58" s="1277">
        <v>8.8919999999999995</v>
      </c>
      <c r="AC58" s="244">
        <v>4.2432814710042432</v>
      </c>
      <c r="AD58" s="1277">
        <v>89.073205914172377</v>
      </c>
      <c r="AE58" s="241">
        <v>10</v>
      </c>
      <c r="AF58" s="244">
        <f t="shared" si="24"/>
        <v>20.955480000000001</v>
      </c>
      <c r="AG58" s="1281" t="s">
        <v>808</v>
      </c>
      <c r="AI58" s="1282" t="e">
        <f t="shared" si="3"/>
        <v>#DIV/0!</v>
      </c>
      <c r="AJ58" s="1252">
        <v>0.9254</v>
      </c>
      <c r="AK58" s="1252">
        <v>1.018</v>
      </c>
      <c r="AL58" s="1252">
        <v>6.1000000000000004E-3</v>
      </c>
    </row>
    <row r="59" spans="1:38" ht="18.75" customHeight="1" x14ac:dyDescent="0.2">
      <c r="A59" s="1273">
        <v>43</v>
      </c>
      <c r="B59" s="1274" t="s">
        <v>106</v>
      </c>
      <c r="C59" s="241" t="s">
        <v>840</v>
      </c>
      <c r="D59" s="241">
        <v>582.16</v>
      </c>
      <c r="E59" s="241" t="s">
        <v>691</v>
      </c>
      <c r="F59" s="241">
        <v>177.8</v>
      </c>
      <c r="G59" s="241" t="s">
        <v>28</v>
      </c>
      <c r="H59" s="1299" t="s">
        <v>685</v>
      </c>
      <c r="I59" s="1815">
        <v>551.66</v>
      </c>
      <c r="J59" s="1448">
        <v>0</v>
      </c>
      <c r="K59" s="241"/>
      <c r="L59" s="1277">
        <v>0</v>
      </c>
      <c r="M59" s="241"/>
      <c r="N59" s="1278">
        <v>0</v>
      </c>
      <c r="O59" s="241"/>
      <c r="P59" s="1278" t="e">
        <f t="shared" si="25"/>
        <v>#DIV/0!</v>
      </c>
      <c r="Q59" s="1278">
        <f>(20/100)*J59</f>
        <v>0</v>
      </c>
      <c r="R59" s="244">
        <v>0</v>
      </c>
      <c r="S59" s="244">
        <v>0</v>
      </c>
      <c r="T59" s="1277">
        <v>0</v>
      </c>
      <c r="U59" s="1278">
        <f t="shared" si="26"/>
        <v>0</v>
      </c>
      <c r="V59" s="1278" t="e">
        <f t="shared" si="27"/>
        <v>#DIV/0!</v>
      </c>
      <c r="W59" s="1279">
        <v>0</v>
      </c>
      <c r="X59" s="1316">
        <v>120</v>
      </c>
      <c r="Y59" s="1277">
        <v>68.208333333333329</v>
      </c>
      <c r="Z59" s="244">
        <v>1.068028</v>
      </c>
      <c r="AA59" s="244">
        <v>11.321491999999999</v>
      </c>
      <c r="AB59" s="1277">
        <v>10.868</v>
      </c>
      <c r="AC59" s="244">
        <v>10.175763182238668</v>
      </c>
      <c r="AD59" s="1277">
        <v>90.566367047735412</v>
      </c>
      <c r="AE59" s="241">
        <v>10</v>
      </c>
      <c r="AF59" s="244">
        <f t="shared" si="24"/>
        <v>10.68028</v>
      </c>
      <c r="AG59" s="1281" t="s">
        <v>769</v>
      </c>
      <c r="AI59" s="1282" t="e">
        <f t="shared" si="3"/>
        <v>#DIV/0!</v>
      </c>
      <c r="AJ59" s="1252">
        <v>0.90449999999999997</v>
      </c>
      <c r="AK59" s="1252">
        <v>1.024</v>
      </c>
      <c r="AL59" s="1252">
        <v>6.1000000000000004E-3</v>
      </c>
    </row>
    <row r="60" spans="1:38" ht="18.75" customHeight="1" x14ac:dyDescent="0.2">
      <c r="A60" s="1273">
        <v>44</v>
      </c>
      <c r="B60" s="1274" t="s">
        <v>105</v>
      </c>
      <c r="C60" s="241" t="s">
        <v>445</v>
      </c>
      <c r="D60" s="241">
        <v>565</v>
      </c>
      <c r="E60" s="241" t="s">
        <v>797</v>
      </c>
      <c r="F60" s="241">
        <v>177.8</v>
      </c>
      <c r="G60" s="241" t="s">
        <v>28</v>
      </c>
      <c r="H60" s="1299" t="s">
        <v>685</v>
      </c>
      <c r="I60" s="1812">
        <v>582.49</v>
      </c>
      <c r="J60" s="241">
        <v>120</v>
      </c>
      <c r="K60" s="241"/>
      <c r="L60" s="1319">
        <v>489</v>
      </c>
      <c r="M60" s="1278"/>
      <c r="N60" s="1278">
        <v>2.2000000000000002</v>
      </c>
      <c r="O60" s="241"/>
      <c r="P60" s="1278">
        <f t="shared" si="4"/>
        <v>10.387529876625274</v>
      </c>
      <c r="Q60" s="1278">
        <f>14*J60/100</f>
        <v>16.8</v>
      </c>
      <c r="R60" s="244">
        <v>5.327</v>
      </c>
      <c r="S60" s="244">
        <v>5.6550000000000002</v>
      </c>
      <c r="T60" s="1277">
        <v>255</v>
      </c>
      <c r="U60" s="1278">
        <f t="shared" si="15"/>
        <v>47.86934484700582</v>
      </c>
      <c r="V60" s="1278">
        <f t="shared" si="27"/>
        <v>5.8001768346595988</v>
      </c>
      <c r="W60" s="1279">
        <v>0.2</v>
      </c>
      <c r="X60" s="1316">
        <v>120</v>
      </c>
      <c r="Y60" s="1277">
        <f t="shared" si="1"/>
        <v>33.660714285714292</v>
      </c>
      <c r="Z60" s="244">
        <f t="shared" ref="Z60:AB74" si="29">R60*0.988</f>
        <v>5.2630759999999999</v>
      </c>
      <c r="AA60" s="244">
        <f t="shared" si="29"/>
        <v>5.5871399999999998</v>
      </c>
      <c r="AB60" s="1277">
        <f t="shared" si="29"/>
        <v>251.94</v>
      </c>
      <c r="AC60" s="244">
        <f>U60</f>
        <v>47.86934484700582</v>
      </c>
      <c r="AD60" s="1277">
        <f>V60</f>
        <v>5.8001768346595988</v>
      </c>
      <c r="AE60" s="241">
        <f t="shared" ref="AE60:AE85" si="30">(DAY(EOMONTH($AH$15,0))-AH60)</f>
        <v>31</v>
      </c>
      <c r="AF60" s="244">
        <f t="shared" si="10"/>
        <v>163.15535599999998</v>
      </c>
      <c r="AG60" s="1281"/>
      <c r="AI60" s="1282">
        <f t="shared" si="3"/>
        <v>10.387529876625274</v>
      </c>
      <c r="AJ60" s="1252">
        <v>0.86370000000000002</v>
      </c>
      <c r="AK60" s="1252">
        <v>1.018</v>
      </c>
      <c r="AL60" s="1252">
        <v>6.1000000000000004E-3</v>
      </c>
    </row>
    <row r="61" spans="1:38" ht="18.75" customHeight="1" x14ac:dyDescent="0.2">
      <c r="A61" s="1273">
        <v>45</v>
      </c>
      <c r="B61" s="1274" t="s">
        <v>104</v>
      </c>
      <c r="C61" s="241" t="s">
        <v>840</v>
      </c>
      <c r="D61" s="241">
        <v>705.7</v>
      </c>
      <c r="E61" s="1815" t="s">
        <v>692</v>
      </c>
      <c r="F61" s="241">
        <v>177.8</v>
      </c>
      <c r="G61" s="241" t="s">
        <v>28</v>
      </c>
      <c r="H61" s="1299" t="s">
        <v>683</v>
      </c>
      <c r="I61" s="1815">
        <v>513.6</v>
      </c>
      <c r="J61" s="241">
        <v>125</v>
      </c>
      <c r="K61" s="241"/>
      <c r="L61" s="1277">
        <v>385</v>
      </c>
      <c r="M61" s="241"/>
      <c r="N61" s="1278">
        <v>1.2</v>
      </c>
      <c r="O61" s="241"/>
      <c r="P61" s="1278">
        <f t="shared" si="4"/>
        <v>13.3088083965827</v>
      </c>
      <c r="Q61" s="1278">
        <f>J61*13/100</f>
        <v>16.25</v>
      </c>
      <c r="R61" s="244">
        <v>1.4219999999999999</v>
      </c>
      <c r="S61" s="244">
        <v>2.3250000000000002</v>
      </c>
      <c r="T61" s="1277">
        <v>22</v>
      </c>
      <c r="U61" s="1278">
        <f t="shared" si="15"/>
        <v>15.471167369901547</v>
      </c>
      <c r="V61" s="1278">
        <f t="shared" si="27"/>
        <v>38.838709677419367</v>
      </c>
      <c r="W61" s="1279">
        <v>0.2</v>
      </c>
      <c r="X61" s="1316">
        <v>125</v>
      </c>
      <c r="Y61" s="1277">
        <f t="shared" si="1"/>
        <v>14.30769230769231</v>
      </c>
      <c r="Z61" s="244">
        <f t="shared" si="29"/>
        <v>1.404936</v>
      </c>
      <c r="AA61" s="244">
        <f t="shared" si="29"/>
        <v>2.2971000000000004</v>
      </c>
      <c r="AB61" s="1277">
        <f t="shared" si="29"/>
        <v>21.736000000000001</v>
      </c>
      <c r="AC61" s="244">
        <f t="shared" ref="AC61:AD69" si="31">U61</f>
        <v>15.471167369901547</v>
      </c>
      <c r="AD61" s="1277">
        <f>V61</f>
        <v>38.838709677419367</v>
      </c>
      <c r="AE61" s="241">
        <f t="shared" si="30"/>
        <v>31</v>
      </c>
      <c r="AF61" s="244">
        <f t="shared" si="10"/>
        <v>43.553016</v>
      </c>
      <c r="AG61" s="1281"/>
      <c r="AI61" s="1282">
        <f t="shared" si="3"/>
        <v>13.3088083965827</v>
      </c>
      <c r="AJ61" s="1252">
        <v>0.90810000000000002</v>
      </c>
      <c r="AK61" s="1252">
        <v>1.0269999999999999</v>
      </c>
      <c r="AL61" s="1252">
        <v>6.1000000000000004E-3</v>
      </c>
    </row>
    <row r="62" spans="1:38" ht="18.600000000000001" customHeight="1" x14ac:dyDescent="0.25">
      <c r="A62" s="1273">
        <v>46</v>
      </c>
      <c r="B62" s="1317" t="s">
        <v>158</v>
      </c>
      <c r="C62" s="241" t="s">
        <v>840</v>
      </c>
      <c r="D62" s="1815">
        <v>674.45</v>
      </c>
      <c r="E62" s="1815" t="s">
        <v>232</v>
      </c>
      <c r="F62" s="241">
        <v>177.8</v>
      </c>
      <c r="G62" s="241" t="s">
        <v>28</v>
      </c>
      <c r="H62" s="1299" t="s">
        <v>464</v>
      </c>
      <c r="I62" s="1815">
        <v>542.6</v>
      </c>
      <c r="J62" s="1815">
        <v>150</v>
      </c>
      <c r="K62" s="1815"/>
      <c r="L62" s="1319">
        <v>473</v>
      </c>
      <c r="M62" s="1815"/>
      <c r="N62" s="1278">
        <v>2.2999999999999998</v>
      </c>
      <c r="O62" s="1815"/>
      <c r="P62" s="1278">
        <f t="shared" si="4"/>
        <v>8.8874180865828674</v>
      </c>
      <c r="Q62" s="1278">
        <f>RIGHT(H62,(FIND("T",H62,1)-0))*J62/100</f>
        <v>21</v>
      </c>
      <c r="R62" s="244">
        <v>5.6420000000000003</v>
      </c>
      <c r="S62" s="244">
        <v>8.4749999999999996</v>
      </c>
      <c r="T62" s="1319">
        <v>10</v>
      </c>
      <c r="U62" s="1278">
        <f t="shared" si="15"/>
        <v>1.7724211272598369</v>
      </c>
      <c r="V62" s="1278">
        <f t="shared" si="27"/>
        <v>33.427728613569315</v>
      </c>
      <c r="W62" s="1279">
        <v>0.2</v>
      </c>
      <c r="X62" s="1410">
        <v>150</v>
      </c>
      <c r="Y62" s="1277">
        <f t="shared" si="1"/>
        <v>40.357142857142861</v>
      </c>
      <c r="Z62" s="244">
        <f t="shared" si="29"/>
        <v>5.5742960000000004</v>
      </c>
      <c r="AA62" s="244">
        <f t="shared" si="29"/>
        <v>8.3733000000000004</v>
      </c>
      <c r="AB62" s="1277">
        <f t="shared" si="29"/>
        <v>9.879999999999999</v>
      </c>
      <c r="AC62" s="244">
        <f t="shared" si="31"/>
        <v>1.7724211272598369</v>
      </c>
      <c r="AD62" s="1277">
        <f t="shared" si="31"/>
        <v>33.427728613569315</v>
      </c>
      <c r="AE62" s="241">
        <f t="shared" si="30"/>
        <v>31</v>
      </c>
      <c r="AF62" s="244">
        <f>Z62*AE62</f>
        <v>172.80317600000001</v>
      </c>
      <c r="AG62" s="1342"/>
      <c r="AI62" s="1282">
        <f t="shared" si="3"/>
        <v>8.8874180865828674</v>
      </c>
      <c r="AJ62" s="1252">
        <v>0.89100000000000001</v>
      </c>
      <c r="AK62" s="1252">
        <v>1.026</v>
      </c>
      <c r="AL62" s="1252">
        <v>6.1000000000000004E-3</v>
      </c>
    </row>
    <row r="63" spans="1:38" ht="18.600000000000001" customHeight="1" x14ac:dyDescent="0.25">
      <c r="A63" s="1273">
        <v>47</v>
      </c>
      <c r="B63" s="1317" t="s">
        <v>160</v>
      </c>
      <c r="C63" s="241" t="s">
        <v>445</v>
      </c>
      <c r="D63" s="1818">
        <v>659.8</v>
      </c>
      <c r="E63" s="241" t="s">
        <v>832</v>
      </c>
      <c r="F63" s="241">
        <v>177.8</v>
      </c>
      <c r="G63" s="241" t="s">
        <v>28</v>
      </c>
      <c r="H63" s="1299" t="s">
        <v>800</v>
      </c>
      <c r="I63" s="1818">
        <v>645.67999999999995</v>
      </c>
      <c r="J63" s="1818">
        <v>150</v>
      </c>
      <c r="K63" s="1818"/>
      <c r="L63" s="1319">
        <v>111</v>
      </c>
      <c r="M63" s="1818"/>
      <c r="N63" s="1278">
        <v>3.5</v>
      </c>
      <c r="O63" s="1818"/>
      <c r="P63" s="1278">
        <f t="shared" si="4"/>
        <v>8.1080149690506165</v>
      </c>
      <c r="Q63" s="1278">
        <f>J63*7/100</f>
        <v>10.5</v>
      </c>
      <c r="R63" s="244">
        <v>0.53700000000000003</v>
      </c>
      <c r="S63" s="244">
        <v>5.3890000000000002</v>
      </c>
      <c r="T63" s="1319">
        <v>4</v>
      </c>
      <c r="U63" s="1278">
        <f t="shared" si="15"/>
        <v>7.4487895716945989</v>
      </c>
      <c r="V63" s="1278">
        <f t="shared" si="27"/>
        <v>90.035257005010209</v>
      </c>
      <c r="W63" s="1279">
        <v>0.2</v>
      </c>
      <c r="X63" s="1452">
        <v>150</v>
      </c>
      <c r="Y63" s="1277">
        <f t="shared" si="1"/>
        <v>51.32380952380953</v>
      </c>
      <c r="Z63" s="244">
        <v>2</v>
      </c>
      <c r="AA63" s="244">
        <v>2.5</v>
      </c>
      <c r="AB63" s="1277">
        <f t="shared" si="29"/>
        <v>3.952</v>
      </c>
      <c r="AC63" s="244">
        <f>AB63/Z63</f>
        <v>1.976</v>
      </c>
      <c r="AD63" s="1277">
        <f>(AA63-Z63)/AA63*100</f>
        <v>20</v>
      </c>
      <c r="AE63" s="1277">
        <v>25</v>
      </c>
      <c r="AF63" s="1278">
        <f t="shared" ref="AF63:AF74" si="32">Z63*AE63</f>
        <v>50</v>
      </c>
      <c r="AG63" s="1342" t="s">
        <v>841</v>
      </c>
      <c r="AI63" s="1282">
        <f t="shared" si="3"/>
        <v>8.1080149690506165</v>
      </c>
      <c r="AJ63" s="1252">
        <v>0.88060000000000005</v>
      </c>
      <c r="AL63" s="1252">
        <v>6.1000000000000004E-3</v>
      </c>
    </row>
    <row r="64" spans="1:38" ht="18.75" customHeight="1" x14ac:dyDescent="0.2">
      <c r="A64" s="1273">
        <v>48</v>
      </c>
      <c r="B64" s="1274" t="s">
        <v>164</v>
      </c>
      <c r="C64" s="241" t="s">
        <v>840</v>
      </c>
      <c r="D64" s="1818">
        <v>678.47</v>
      </c>
      <c r="E64" s="1818" t="s">
        <v>837</v>
      </c>
      <c r="F64" s="241">
        <v>177.8</v>
      </c>
      <c r="G64" s="241" t="s">
        <v>28</v>
      </c>
      <c r="H64" s="1299" t="s">
        <v>464</v>
      </c>
      <c r="I64" s="1818">
        <v>560.51</v>
      </c>
      <c r="J64" s="1373">
        <v>130</v>
      </c>
      <c r="K64" s="1818"/>
      <c r="L64" s="1319">
        <v>420</v>
      </c>
      <c r="M64" s="1818"/>
      <c r="N64" s="1278">
        <v>2.1</v>
      </c>
      <c r="O64" s="1818"/>
      <c r="P64" s="1278">
        <f t="shared" si="4"/>
        <v>15.227355981349058</v>
      </c>
      <c r="Q64" s="1278">
        <f>RIGHT(H64,(FIND("T",H64,1)-0))*J64/100</f>
        <v>18.2</v>
      </c>
      <c r="R64" s="244">
        <v>4.6589999999999998</v>
      </c>
      <c r="S64" s="244">
        <v>6.3609999999999998</v>
      </c>
      <c r="T64" s="1277">
        <v>4</v>
      </c>
      <c r="U64" s="1278">
        <f t="shared" si="15"/>
        <v>0.85855333762610009</v>
      </c>
      <c r="V64" s="1278">
        <f t="shared" si="27"/>
        <v>26.75679924540167</v>
      </c>
      <c r="W64" s="1279">
        <v>0.2</v>
      </c>
      <c r="X64" s="1452">
        <v>130</v>
      </c>
      <c r="Y64" s="1277">
        <f t="shared" si="1"/>
        <v>34.950549450549453</v>
      </c>
      <c r="Z64" s="244">
        <f t="shared" si="29"/>
        <v>4.6030920000000002</v>
      </c>
      <c r="AA64" s="244">
        <f t="shared" si="29"/>
        <v>6.2846679999999999</v>
      </c>
      <c r="AB64" s="1277">
        <f t="shared" si="29"/>
        <v>3.952</v>
      </c>
      <c r="AC64" s="244">
        <f t="shared" si="31"/>
        <v>0.85855333762610009</v>
      </c>
      <c r="AD64" s="1277">
        <f t="shared" si="31"/>
        <v>26.75679924540167</v>
      </c>
      <c r="AE64" s="241">
        <f t="shared" si="30"/>
        <v>31</v>
      </c>
      <c r="AF64" s="244">
        <f t="shared" si="32"/>
        <v>142.695852</v>
      </c>
      <c r="AG64" s="1281"/>
      <c r="AI64" s="1282">
        <f t="shared" si="3"/>
        <v>15.227355981349058</v>
      </c>
      <c r="AJ64" s="1252">
        <v>0.91559999999999997</v>
      </c>
      <c r="AK64" s="1252">
        <v>1.032</v>
      </c>
      <c r="AL64" s="1252">
        <v>6.1000000000000004E-3</v>
      </c>
    </row>
    <row r="65" spans="1:38" ht="18.75" customHeight="1" x14ac:dyDescent="0.2">
      <c r="A65" s="1273">
        <v>49</v>
      </c>
      <c r="B65" s="1274" t="s">
        <v>61</v>
      </c>
      <c r="C65" s="241" t="s">
        <v>840</v>
      </c>
      <c r="D65" s="241">
        <v>667.18</v>
      </c>
      <c r="E65" s="241" t="s">
        <v>96</v>
      </c>
      <c r="F65" s="241">
        <v>177.8</v>
      </c>
      <c r="G65" s="241" t="s">
        <v>28</v>
      </c>
      <c r="H65" s="1299" t="s">
        <v>693</v>
      </c>
      <c r="I65" s="1815">
        <v>541.12</v>
      </c>
      <c r="J65" s="241">
        <v>185</v>
      </c>
      <c r="K65" s="241"/>
      <c r="L65" s="1277">
        <v>451</v>
      </c>
      <c r="M65" s="241"/>
      <c r="N65" s="1278">
        <v>5.6</v>
      </c>
      <c r="O65" s="241"/>
      <c r="P65" s="1278">
        <f t="shared" si="4"/>
        <v>14.544288814195664</v>
      </c>
      <c r="Q65" s="1278">
        <f>20*J65/100</f>
        <v>37</v>
      </c>
      <c r="R65" s="244">
        <v>4.1379999999999999</v>
      </c>
      <c r="S65" s="244">
        <v>15.512</v>
      </c>
      <c r="T65" s="1277">
        <v>65</v>
      </c>
      <c r="U65" s="1278">
        <f t="shared" si="15"/>
        <v>15.708071532141131</v>
      </c>
      <c r="V65" s="1278">
        <f t="shared" si="27"/>
        <v>73.323878287777205</v>
      </c>
      <c r="W65" s="1279">
        <v>0.2</v>
      </c>
      <c r="X65" s="1316">
        <v>185</v>
      </c>
      <c r="Y65" s="1277">
        <f t="shared" si="1"/>
        <v>41.924324324324324</v>
      </c>
      <c r="Z65" s="244">
        <f t="shared" si="29"/>
        <v>4.0883440000000002</v>
      </c>
      <c r="AA65" s="244">
        <f t="shared" si="29"/>
        <v>15.325856</v>
      </c>
      <c r="AB65" s="1277">
        <f t="shared" si="29"/>
        <v>64.22</v>
      </c>
      <c r="AC65" s="244">
        <f t="shared" si="31"/>
        <v>15.708071532141131</v>
      </c>
      <c r="AD65" s="1277">
        <f t="shared" si="31"/>
        <v>73.323878287777205</v>
      </c>
      <c r="AE65" s="241">
        <f t="shared" si="30"/>
        <v>31</v>
      </c>
      <c r="AF65" s="244">
        <f t="shared" si="32"/>
        <v>126.738664</v>
      </c>
      <c r="AG65" s="1285"/>
      <c r="AI65" s="1282">
        <f t="shared" si="3"/>
        <v>14.544288814195664</v>
      </c>
      <c r="AJ65" s="1252">
        <v>0.89449999999999996</v>
      </c>
      <c r="AK65" s="1252">
        <v>1.0309999999999999</v>
      </c>
      <c r="AL65" s="1252">
        <v>6.1000000000000004E-3</v>
      </c>
    </row>
    <row r="66" spans="1:38" ht="18.75" customHeight="1" x14ac:dyDescent="0.2">
      <c r="A66" s="1273">
        <v>50</v>
      </c>
      <c r="B66" s="1274" t="s">
        <v>64</v>
      </c>
      <c r="C66" s="241" t="s">
        <v>840</v>
      </c>
      <c r="D66" s="241">
        <v>674.52</v>
      </c>
      <c r="E66" s="241" t="s">
        <v>444</v>
      </c>
      <c r="F66" s="241">
        <v>177.8</v>
      </c>
      <c r="G66" s="241" t="s">
        <v>28</v>
      </c>
      <c r="H66" s="1299" t="s">
        <v>464</v>
      </c>
      <c r="I66" s="1815">
        <v>521.42999999999995</v>
      </c>
      <c r="J66" s="241">
        <v>300</v>
      </c>
      <c r="K66" s="241"/>
      <c r="L66" s="1277">
        <v>455</v>
      </c>
      <c r="M66" s="241"/>
      <c r="N66" s="1278">
        <v>3.8</v>
      </c>
      <c r="O66" s="241"/>
      <c r="P66" s="1278">
        <f t="shared" si="4"/>
        <v>10.089882229173543</v>
      </c>
      <c r="Q66" s="1278">
        <f>J66*14/100</f>
        <v>42</v>
      </c>
      <c r="R66" s="244">
        <v>9.1210000000000004</v>
      </c>
      <c r="S66" s="244">
        <v>14.795999999999999</v>
      </c>
      <c r="T66" s="1277">
        <v>217</v>
      </c>
      <c r="U66" s="1278">
        <f t="shared" si="15"/>
        <v>23.791250959324636</v>
      </c>
      <c r="V66" s="1278">
        <f t="shared" si="27"/>
        <v>38.354960800216269</v>
      </c>
      <c r="W66" s="1279">
        <v>0.2</v>
      </c>
      <c r="X66" s="1316">
        <v>300</v>
      </c>
      <c r="Y66" s="1277">
        <f t="shared" si="1"/>
        <v>35.228571428571428</v>
      </c>
      <c r="Z66" s="244">
        <f t="shared" si="29"/>
        <v>9.0115480000000012</v>
      </c>
      <c r="AA66" s="244">
        <f t="shared" si="29"/>
        <v>14.618447999999999</v>
      </c>
      <c r="AB66" s="1277">
        <f t="shared" si="29"/>
        <v>214.39599999999999</v>
      </c>
      <c r="AC66" s="244">
        <f t="shared" si="31"/>
        <v>23.791250959324636</v>
      </c>
      <c r="AD66" s="1277">
        <f t="shared" si="31"/>
        <v>38.354960800216269</v>
      </c>
      <c r="AE66" s="241">
        <f t="shared" si="30"/>
        <v>31</v>
      </c>
      <c r="AF66" s="244">
        <f t="shared" si="32"/>
        <v>279.35798800000003</v>
      </c>
      <c r="AG66" s="1281"/>
      <c r="AI66" s="1282">
        <f t="shared" si="3"/>
        <v>10.089882229173543</v>
      </c>
      <c r="AJ66" s="1252">
        <v>0.87719999999999998</v>
      </c>
      <c r="AK66" s="1252">
        <v>1.0309999999999999</v>
      </c>
      <c r="AL66" s="1252">
        <v>6.1000000000000004E-3</v>
      </c>
    </row>
    <row r="67" spans="1:38" ht="29.25" customHeight="1" x14ac:dyDescent="0.2">
      <c r="A67" s="1273">
        <v>51</v>
      </c>
      <c r="B67" s="1274" t="s">
        <v>156</v>
      </c>
      <c r="C67" s="241" t="s">
        <v>840</v>
      </c>
      <c r="D67" s="241">
        <v>679.54</v>
      </c>
      <c r="E67" s="1815" t="s">
        <v>607</v>
      </c>
      <c r="F67" s="241">
        <v>177.8</v>
      </c>
      <c r="G67" s="241" t="s">
        <v>28</v>
      </c>
      <c r="H67" s="241" t="s">
        <v>464</v>
      </c>
      <c r="I67" s="1815">
        <v>512.28</v>
      </c>
      <c r="J67" s="241">
        <v>195</v>
      </c>
      <c r="K67" s="241"/>
      <c r="L67" s="1277">
        <v>416</v>
      </c>
      <c r="M67" s="241"/>
      <c r="N67" s="1278">
        <v>2.5</v>
      </c>
      <c r="O67" s="241"/>
      <c r="P67" s="1278">
        <f t="shared" si="4"/>
        <v>11.739675188052322</v>
      </c>
      <c r="Q67" s="1278">
        <f>J67*14/100</f>
        <v>27.3</v>
      </c>
      <c r="R67" s="244">
        <v>5.2450000000000001</v>
      </c>
      <c r="S67" s="244">
        <v>10.666</v>
      </c>
      <c r="T67" s="1277">
        <v>40</v>
      </c>
      <c r="U67" s="1278">
        <f t="shared" si="15"/>
        <v>7.6263107721639658</v>
      </c>
      <c r="V67" s="1278">
        <f t="shared" si="27"/>
        <v>50.825051565722859</v>
      </c>
      <c r="W67" s="1279">
        <v>0.2</v>
      </c>
      <c r="X67" s="1316">
        <v>195</v>
      </c>
      <c r="Y67" s="1277">
        <f t="shared" si="1"/>
        <v>39.069597069597066</v>
      </c>
      <c r="Z67" s="244">
        <f t="shared" si="29"/>
        <v>5.1820599999999999</v>
      </c>
      <c r="AA67" s="244">
        <f t="shared" si="29"/>
        <v>10.538008</v>
      </c>
      <c r="AB67" s="1277">
        <f t="shared" si="29"/>
        <v>39.519999999999996</v>
      </c>
      <c r="AC67" s="244">
        <f t="shared" si="31"/>
        <v>7.6263107721639658</v>
      </c>
      <c r="AD67" s="1277">
        <f t="shared" si="31"/>
        <v>50.825051565722859</v>
      </c>
      <c r="AE67" s="241">
        <f t="shared" si="30"/>
        <v>31</v>
      </c>
      <c r="AF67" s="244">
        <f t="shared" si="32"/>
        <v>160.64385999999999</v>
      </c>
      <c r="AG67" s="1285"/>
      <c r="AI67" s="1282">
        <f t="shared" si="3"/>
        <v>11.739675188052322</v>
      </c>
      <c r="AJ67" s="1252">
        <v>0.89959999999999996</v>
      </c>
      <c r="AK67" s="1252">
        <v>1.028</v>
      </c>
      <c r="AL67" s="1252">
        <v>6.1000000000000004E-3</v>
      </c>
    </row>
    <row r="68" spans="1:38" ht="18.75" customHeight="1" x14ac:dyDescent="0.2">
      <c r="A68" s="1273">
        <v>52</v>
      </c>
      <c r="B68" s="1274" t="s">
        <v>169</v>
      </c>
      <c r="C68" s="241" t="s">
        <v>840</v>
      </c>
      <c r="D68" s="241">
        <v>578.64</v>
      </c>
      <c r="E68" s="241" t="s">
        <v>694</v>
      </c>
      <c r="F68" s="241">
        <v>177.8</v>
      </c>
      <c r="G68" s="241" t="s">
        <v>28</v>
      </c>
      <c r="H68" s="241" t="s">
        <v>466</v>
      </c>
      <c r="I68" s="1815">
        <v>539.28</v>
      </c>
      <c r="J68" s="241">
        <v>110</v>
      </c>
      <c r="K68" s="241"/>
      <c r="L68" s="1277">
        <v>250</v>
      </c>
      <c r="M68" s="241"/>
      <c r="N68" s="1278">
        <v>2.8</v>
      </c>
      <c r="O68" s="241"/>
      <c r="P68" s="1278">
        <f t="shared" si="4"/>
        <v>31.046437544053461</v>
      </c>
      <c r="Q68" s="1278">
        <f>J68*13/100</f>
        <v>14.3</v>
      </c>
      <c r="R68" s="244">
        <v>0.71</v>
      </c>
      <c r="S68" s="244">
        <v>3.698</v>
      </c>
      <c r="T68" s="1277">
        <v>9</v>
      </c>
      <c r="U68" s="1278">
        <f t="shared" si="15"/>
        <v>12.67605633802817</v>
      </c>
      <c r="V68" s="1278">
        <f t="shared" si="27"/>
        <v>80.800432666306108</v>
      </c>
      <c r="W68" s="1279">
        <v>0.2</v>
      </c>
      <c r="X68" s="1316">
        <v>110</v>
      </c>
      <c r="Y68" s="1277">
        <f t="shared" si="1"/>
        <v>25.860139860139856</v>
      </c>
      <c r="Z68" s="244">
        <f t="shared" si="29"/>
        <v>0.70147999999999999</v>
      </c>
      <c r="AA68" s="244">
        <f t="shared" si="29"/>
        <v>3.6536239999999998</v>
      </c>
      <c r="AB68" s="1277">
        <f t="shared" si="29"/>
        <v>8.8919999999999995</v>
      </c>
      <c r="AC68" s="244">
        <f t="shared" si="31"/>
        <v>12.67605633802817</v>
      </c>
      <c r="AD68" s="1277">
        <f t="shared" si="31"/>
        <v>80.800432666306108</v>
      </c>
      <c r="AE68" s="241">
        <f t="shared" si="30"/>
        <v>31</v>
      </c>
      <c r="AF68" s="244">
        <f>Z68*AE68</f>
        <v>21.74588</v>
      </c>
      <c r="AG68" s="1281"/>
      <c r="AI68" s="1282">
        <f t="shared" si="3"/>
        <v>31.046437544053461</v>
      </c>
      <c r="AJ68" s="1252">
        <v>0.90759999999999996</v>
      </c>
      <c r="AK68" s="1252">
        <v>1.026</v>
      </c>
      <c r="AL68" s="1252">
        <v>6.1000000000000004E-3</v>
      </c>
    </row>
    <row r="69" spans="1:38" ht="19.5" customHeight="1" x14ac:dyDescent="0.2">
      <c r="A69" s="1273">
        <v>53</v>
      </c>
      <c r="B69" s="1274" t="s">
        <v>62</v>
      </c>
      <c r="C69" s="241" t="s">
        <v>840</v>
      </c>
      <c r="D69" s="241">
        <v>673.73</v>
      </c>
      <c r="E69" s="241" t="s">
        <v>97</v>
      </c>
      <c r="F69" s="241">
        <v>177.8</v>
      </c>
      <c r="G69" s="241" t="s">
        <v>28</v>
      </c>
      <c r="H69" s="1299" t="s">
        <v>565</v>
      </c>
      <c r="I69" s="1815">
        <v>541.46</v>
      </c>
      <c r="J69" s="241">
        <v>85</v>
      </c>
      <c r="K69" s="241"/>
      <c r="L69" s="1277">
        <v>248</v>
      </c>
      <c r="M69" s="241"/>
      <c r="N69" s="1278">
        <v>3.8</v>
      </c>
      <c r="O69" s="241"/>
      <c r="P69" s="1278">
        <f t="shared" si="4"/>
        <v>32.455075781357401</v>
      </c>
      <c r="Q69" s="1278">
        <f>(32/100)*J69</f>
        <v>27.2</v>
      </c>
      <c r="R69" s="244">
        <v>4.2690000000000001</v>
      </c>
      <c r="S69" s="244">
        <v>22.986999999999998</v>
      </c>
      <c r="T69" s="1277">
        <v>15</v>
      </c>
      <c r="U69" s="1278">
        <f t="shared" si="15"/>
        <v>3.5137034434293746</v>
      </c>
      <c r="V69" s="1278">
        <f t="shared" si="27"/>
        <v>81.428633575499191</v>
      </c>
      <c r="W69" s="1279">
        <v>0.2</v>
      </c>
      <c r="X69" s="1316">
        <v>85</v>
      </c>
      <c r="Y69" s="1277">
        <f t="shared" si="1"/>
        <v>84.51102941176471</v>
      </c>
      <c r="Z69" s="244">
        <f t="shared" si="29"/>
        <v>4.2177720000000001</v>
      </c>
      <c r="AA69" s="244">
        <f t="shared" si="29"/>
        <v>22.711155999999999</v>
      </c>
      <c r="AB69" s="1277">
        <f t="shared" si="29"/>
        <v>14.82</v>
      </c>
      <c r="AC69" s="244">
        <f>U69</f>
        <v>3.5137034434293746</v>
      </c>
      <c r="AD69" s="1277">
        <f t="shared" si="31"/>
        <v>81.428633575499191</v>
      </c>
      <c r="AE69" s="241">
        <f t="shared" si="30"/>
        <v>31</v>
      </c>
      <c r="AF69" s="244">
        <f t="shared" si="32"/>
        <v>130.75093200000001</v>
      </c>
      <c r="AG69" s="1285"/>
      <c r="AI69" s="1282">
        <f t="shared" si="3"/>
        <v>32.455075781357401</v>
      </c>
      <c r="AJ69" s="1252">
        <v>0.90869999999999995</v>
      </c>
      <c r="AK69" s="1252">
        <v>1.0249999999999999</v>
      </c>
      <c r="AL69" s="1252">
        <v>6.1000000000000004E-3</v>
      </c>
    </row>
    <row r="70" spans="1:38" ht="18.75" customHeight="1" x14ac:dyDescent="0.2">
      <c r="A70" s="1273">
        <v>54</v>
      </c>
      <c r="B70" s="1274" t="s">
        <v>157</v>
      </c>
      <c r="C70" s="241" t="s">
        <v>840</v>
      </c>
      <c r="D70" s="241">
        <v>602</v>
      </c>
      <c r="E70" s="241" t="s">
        <v>608</v>
      </c>
      <c r="F70" s="241">
        <v>177.8</v>
      </c>
      <c r="G70" s="241" t="s">
        <v>28</v>
      </c>
      <c r="H70" s="241" t="s">
        <v>695</v>
      </c>
      <c r="I70" s="1815">
        <v>541.84</v>
      </c>
      <c r="J70" s="1448">
        <v>0</v>
      </c>
      <c r="K70" s="241"/>
      <c r="L70" s="1277">
        <v>0</v>
      </c>
      <c r="M70" s="1278"/>
      <c r="N70" s="1278">
        <v>0</v>
      </c>
      <c r="O70" s="241"/>
      <c r="P70" s="1278" t="e">
        <f t="shared" si="4"/>
        <v>#DIV/0!</v>
      </c>
      <c r="Q70" s="1278">
        <f>(32/100)*J70</f>
        <v>0</v>
      </c>
      <c r="R70" s="244">
        <v>0</v>
      </c>
      <c r="S70" s="244">
        <v>0</v>
      </c>
      <c r="T70" s="1277">
        <v>0</v>
      </c>
      <c r="U70" s="1278">
        <f t="shared" si="15"/>
        <v>0</v>
      </c>
      <c r="V70" s="1278" t="e">
        <f t="shared" si="27"/>
        <v>#DIV/0!</v>
      </c>
      <c r="W70" s="1279">
        <v>0</v>
      </c>
      <c r="X70" s="1449">
        <v>0</v>
      </c>
      <c r="Y70" s="1277">
        <f t="shared" si="1"/>
        <v>0</v>
      </c>
      <c r="Z70" s="244">
        <f t="shared" si="29"/>
        <v>0</v>
      </c>
      <c r="AA70" s="244">
        <f t="shared" si="29"/>
        <v>0</v>
      </c>
      <c r="AB70" s="1277">
        <f t="shared" si="29"/>
        <v>0</v>
      </c>
      <c r="AC70" s="244">
        <f>U70</f>
        <v>0</v>
      </c>
      <c r="AD70" s="1277" t="e">
        <f>V70</f>
        <v>#DIV/0!</v>
      </c>
      <c r="AE70" s="241">
        <v>0</v>
      </c>
      <c r="AF70" s="244">
        <f t="shared" si="32"/>
        <v>0</v>
      </c>
      <c r="AG70" s="1281" t="s">
        <v>769</v>
      </c>
      <c r="AI70" s="1282" t="e">
        <f t="shared" si="3"/>
        <v>#DIV/0!</v>
      </c>
      <c r="AJ70" s="1252">
        <v>0.90700000000000003</v>
      </c>
      <c r="AK70" s="1252">
        <v>1.03</v>
      </c>
      <c r="AL70" s="1252">
        <v>6.1000000000000004E-3</v>
      </c>
    </row>
    <row r="71" spans="1:38" ht="18.75" customHeight="1" x14ac:dyDescent="0.2">
      <c r="A71" s="1273">
        <v>55</v>
      </c>
      <c r="B71" s="1274" t="s">
        <v>159</v>
      </c>
      <c r="C71" s="241" t="s">
        <v>840</v>
      </c>
      <c r="D71" s="241">
        <v>676.1</v>
      </c>
      <c r="E71" s="241" t="s">
        <v>167</v>
      </c>
      <c r="F71" s="241">
        <v>177.8</v>
      </c>
      <c r="G71" s="241" t="s">
        <v>28</v>
      </c>
      <c r="H71" s="1299" t="s">
        <v>565</v>
      </c>
      <c r="I71" s="1815">
        <v>512.47</v>
      </c>
      <c r="J71" s="1277">
        <v>255</v>
      </c>
      <c r="K71" s="241"/>
      <c r="L71" s="1277">
        <v>463</v>
      </c>
      <c r="M71" s="241"/>
      <c r="N71" s="1278">
        <v>4.2</v>
      </c>
      <c r="O71" s="241"/>
      <c r="P71" s="1278">
        <f t="shared" si="4"/>
        <v>8.8611242237507497</v>
      </c>
      <c r="Q71" s="1278">
        <f>(32*J71)/100</f>
        <v>81.599999999999994</v>
      </c>
      <c r="R71" s="244">
        <v>14.419</v>
      </c>
      <c r="S71" s="244">
        <v>19.489000000000001</v>
      </c>
      <c r="T71" s="1277">
        <v>562</v>
      </c>
      <c r="U71" s="1278">
        <f t="shared" si="15"/>
        <v>38.976350648449959</v>
      </c>
      <c r="V71" s="1278">
        <f t="shared" si="27"/>
        <v>26.014674944840682</v>
      </c>
      <c r="W71" s="1279">
        <v>0.2</v>
      </c>
      <c r="X71" s="1454">
        <v>255</v>
      </c>
      <c r="Y71" s="1277">
        <f t="shared" si="1"/>
        <v>23.883578431372552</v>
      </c>
      <c r="Z71" s="244">
        <f t="shared" si="29"/>
        <v>14.245972</v>
      </c>
      <c r="AA71" s="244">
        <f t="shared" si="29"/>
        <v>19.255132</v>
      </c>
      <c r="AB71" s="1277">
        <f t="shared" si="29"/>
        <v>555.25599999999997</v>
      </c>
      <c r="AC71" s="244">
        <f>U71</f>
        <v>38.976350648449959</v>
      </c>
      <c r="AD71" s="1277">
        <f>V71</f>
        <v>26.014674944840682</v>
      </c>
      <c r="AE71" s="241">
        <f t="shared" si="30"/>
        <v>31</v>
      </c>
      <c r="AF71" s="244">
        <f t="shared" si="32"/>
        <v>441.62513200000001</v>
      </c>
      <c r="AG71" s="1281"/>
      <c r="AI71" s="1282">
        <f t="shared" si="3"/>
        <v>8.8611242237507497</v>
      </c>
      <c r="AJ71" s="1252">
        <v>0.87709999999999999</v>
      </c>
      <c r="AK71" s="1252">
        <v>1.0269999999999999</v>
      </c>
      <c r="AL71" s="1252">
        <v>6.1000000000000004E-3</v>
      </c>
    </row>
    <row r="72" spans="1:38" ht="18.75" customHeight="1" x14ac:dyDescent="0.2">
      <c r="A72" s="1273">
        <v>56</v>
      </c>
      <c r="B72" s="1274" t="s">
        <v>330</v>
      </c>
      <c r="C72" s="241" t="s">
        <v>840</v>
      </c>
      <c r="D72" s="241">
        <v>594.58000000000004</v>
      </c>
      <c r="E72" s="241" t="s">
        <v>758</v>
      </c>
      <c r="F72" s="241">
        <v>178.8</v>
      </c>
      <c r="G72" s="241" t="s">
        <v>28</v>
      </c>
      <c r="H72" s="1299" t="s">
        <v>565</v>
      </c>
      <c r="I72" s="1815">
        <v>507.46</v>
      </c>
      <c r="J72" s="1448">
        <v>110</v>
      </c>
      <c r="K72" s="241"/>
      <c r="L72" s="1277">
        <v>418</v>
      </c>
      <c r="M72" s="241"/>
      <c r="N72" s="1278">
        <v>5.5</v>
      </c>
      <c r="O72" s="241"/>
      <c r="P72" s="1278">
        <f t="shared" si="4"/>
        <v>13.570658539106343</v>
      </c>
      <c r="Q72" s="1278">
        <f>J72*32/100</f>
        <v>35.200000000000003</v>
      </c>
      <c r="R72" s="244">
        <v>13.837999999999999</v>
      </c>
      <c r="S72" s="244">
        <v>16.968</v>
      </c>
      <c r="T72" s="1277">
        <v>182</v>
      </c>
      <c r="U72" s="1278">
        <f t="shared" si="15"/>
        <v>13.152189622777859</v>
      </c>
      <c r="V72" s="1278">
        <f t="shared" si="27"/>
        <v>18.446487505893451</v>
      </c>
      <c r="W72" s="1279">
        <v>0.2</v>
      </c>
      <c r="X72" s="1449">
        <v>110</v>
      </c>
      <c r="Y72" s="1277">
        <f t="shared" si="1"/>
        <v>48.204545454545453</v>
      </c>
      <c r="Z72" s="244">
        <f t="shared" si="29"/>
        <v>13.671944</v>
      </c>
      <c r="AA72" s="244">
        <f t="shared" si="29"/>
        <v>16.764384</v>
      </c>
      <c r="AB72" s="1277">
        <f t="shared" si="29"/>
        <v>179.816</v>
      </c>
      <c r="AC72" s="244">
        <v>20</v>
      </c>
      <c r="AD72" s="1277">
        <v>17</v>
      </c>
      <c r="AE72" s="241">
        <f t="shared" si="30"/>
        <v>31</v>
      </c>
      <c r="AF72" s="244">
        <f t="shared" si="32"/>
        <v>423.830264</v>
      </c>
      <c r="AG72" s="1281"/>
      <c r="AI72" s="1282">
        <f t="shared" si="3"/>
        <v>13.570658539106343</v>
      </c>
      <c r="AJ72" s="1252">
        <v>0.87419999999999998</v>
      </c>
      <c r="AK72" s="1252">
        <v>1.032</v>
      </c>
      <c r="AL72" s="1252">
        <v>6.1000000000000004E-3</v>
      </c>
    </row>
    <row r="73" spans="1:38" ht="18.75" customHeight="1" x14ac:dyDescent="0.2">
      <c r="A73" s="1273">
        <v>57</v>
      </c>
      <c r="B73" s="1274" t="s">
        <v>210</v>
      </c>
      <c r="C73" s="241" t="s">
        <v>840</v>
      </c>
      <c r="D73" s="241">
        <v>728.8</v>
      </c>
      <c r="E73" s="241" t="s">
        <v>610</v>
      </c>
      <c r="F73" s="241">
        <v>177.8</v>
      </c>
      <c r="G73" s="241" t="s">
        <v>28</v>
      </c>
      <c r="H73" s="1299" t="s">
        <v>540</v>
      </c>
      <c r="I73" s="1815">
        <v>549.1</v>
      </c>
      <c r="J73" s="1448">
        <v>220</v>
      </c>
      <c r="K73" s="241"/>
      <c r="L73" s="1277">
        <v>388</v>
      </c>
      <c r="M73" s="241"/>
      <c r="N73" s="1278">
        <v>6</v>
      </c>
      <c r="O73" s="241"/>
      <c r="P73" s="1278">
        <f t="shared" si="4"/>
        <v>21.452813030603497</v>
      </c>
      <c r="Q73" s="1278">
        <f>LEFT(H73,(FIND("E",H73,1)-1))*J73/100</f>
        <v>48.4</v>
      </c>
      <c r="R73" s="244">
        <v>10.846</v>
      </c>
      <c r="S73" s="244">
        <v>29.908000000000001</v>
      </c>
      <c r="T73" s="1277">
        <v>264</v>
      </c>
      <c r="U73" s="1278">
        <f t="shared" si="15"/>
        <v>24.340770791075052</v>
      </c>
      <c r="V73" s="1278">
        <f t="shared" si="27"/>
        <v>63.735455396549426</v>
      </c>
      <c r="W73" s="1279">
        <v>0.2</v>
      </c>
      <c r="X73" s="1449">
        <v>220</v>
      </c>
      <c r="Y73" s="1277">
        <f t="shared" si="1"/>
        <v>61.793388429752071</v>
      </c>
      <c r="Z73" s="244">
        <f t="shared" si="29"/>
        <v>10.715847999999999</v>
      </c>
      <c r="AA73" s="244">
        <f t="shared" si="29"/>
        <v>29.549104</v>
      </c>
      <c r="AB73" s="1277">
        <f t="shared" si="29"/>
        <v>260.83199999999999</v>
      </c>
      <c r="AC73" s="244">
        <f>U73</f>
        <v>24.340770791075052</v>
      </c>
      <c r="AD73" s="1277">
        <f>V73</f>
        <v>63.735455396549426</v>
      </c>
      <c r="AE73" s="241">
        <f t="shared" si="30"/>
        <v>31</v>
      </c>
      <c r="AF73" s="244">
        <f t="shared" si="32"/>
        <v>332.19128799999999</v>
      </c>
      <c r="AG73" s="1285"/>
      <c r="AI73" s="1282">
        <f t="shared" si="3"/>
        <v>21.452813030603497</v>
      </c>
      <c r="AJ73" s="1252">
        <v>0.88649999999999995</v>
      </c>
      <c r="AK73" s="1252">
        <v>1.0269999999999999</v>
      </c>
      <c r="AL73" s="1252">
        <v>6.1000000000000004E-3</v>
      </c>
    </row>
    <row r="74" spans="1:38" ht="18.75" customHeight="1" x14ac:dyDescent="0.2">
      <c r="A74" s="1273">
        <v>58</v>
      </c>
      <c r="B74" s="1274" t="s">
        <v>63</v>
      </c>
      <c r="C74" s="241" t="s">
        <v>840</v>
      </c>
      <c r="D74" s="241">
        <v>672.99</v>
      </c>
      <c r="E74" s="241" t="s">
        <v>98</v>
      </c>
      <c r="F74" s="241">
        <v>177.8</v>
      </c>
      <c r="G74" s="241" t="s">
        <v>28</v>
      </c>
      <c r="H74" s="241" t="s">
        <v>686</v>
      </c>
      <c r="I74" s="1815">
        <v>541.97</v>
      </c>
      <c r="J74" s="1448">
        <v>100</v>
      </c>
      <c r="K74" s="241"/>
      <c r="L74" s="1277">
        <v>66</v>
      </c>
      <c r="M74" s="241"/>
      <c r="N74" s="1278">
        <v>1.2</v>
      </c>
      <c r="O74" s="241"/>
      <c r="P74" s="1278">
        <f t="shared" si="4"/>
        <v>47.09955801508233</v>
      </c>
      <c r="Q74" s="1278">
        <f>(20/100)*J74</f>
        <v>20</v>
      </c>
      <c r="R74" s="244">
        <v>5.5659999999999998</v>
      </c>
      <c r="S74" s="244">
        <v>22.277000000000001</v>
      </c>
      <c r="T74" s="1277">
        <v>88</v>
      </c>
      <c r="U74" s="1278">
        <f t="shared" si="15"/>
        <v>15.810276679841898</v>
      </c>
      <c r="V74" s="1278">
        <f t="shared" si="27"/>
        <v>75.014589038021285</v>
      </c>
      <c r="W74" s="1279">
        <v>0.2</v>
      </c>
      <c r="X74" s="1449">
        <v>100</v>
      </c>
      <c r="Y74" s="1277">
        <f t="shared" si="1"/>
        <v>111.38500000000001</v>
      </c>
      <c r="Z74" s="244">
        <f t="shared" si="29"/>
        <v>5.4992079999999994</v>
      </c>
      <c r="AA74" s="244">
        <f t="shared" si="29"/>
        <v>22.009676000000002</v>
      </c>
      <c r="AB74" s="1277">
        <f t="shared" si="29"/>
        <v>86.944000000000003</v>
      </c>
      <c r="AC74" s="244">
        <f>U74</f>
        <v>15.810276679841898</v>
      </c>
      <c r="AD74" s="1277">
        <f>V74</f>
        <v>75.014589038021285</v>
      </c>
      <c r="AE74" s="241">
        <f t="shared" si="30"/>
        <v>31</v>
      </c>
      <c r="AF74" s="244">
        <f t="shared" si="32"/>
        <v>170.47544799999997</v>
      </c>
      <c r="AG74" s="1285"/>
      <c r="AI74" s="1282">
        <f t="shared" si="3"/>
        <v>47.09955801508233</v>
      </c>
      <c r="AJ74" s="1252">
        <v>0.89970000000000006</v>
      </c>
      <c r="AK74" s="1252">
        <v>1.0269999999999999</v>
      </c>
      <c r="AL74" s="1252">
        <v>6.1000000000000004E-3</v>
      </c>
    </row>
    <row r="75" spans="1:38" ht="18.75" customHeight="1" x14ac:dyDescent="0.2">
      <c r="A75" s="1273">
        <v>59</v>
      </c>
      <c r="B75" s="1274" t="s">
        <v>217</v>
      </c>
      <c r="C75" s="241" t="s">
        <v>840</v>
      </c>
      <c r="D75" s="241">
        <v>587.72</v>
      </c>
      <c r="E75" s="241" t="s">
        <v>611</v>
      </c>
      <c r="F75" s="241">
        <v>177.8</v>
      </c>
      <c r="G75" s="241" t="s">
        <v>28</v>
      </c>
      <c r="H75" s="1299" t="s">
        <v>466</v>
      </c>
      <c r="I75" s="1815">
        <v>555.54999999999995</v>
      </c>
      <c r="J75" s="1448">
        <v>0</v>
      </c>
      <c r="K75" s="241">
        <v>51</v>
      </c>
      <c r="L75" s="1277"/>
      <c r="M75" s="241">
        <v>4.8</v>
      </c>
      <c r="N75" s="1278"/>
      <c r="O75" s="241"/>
      <c r="P75" s="1278">
        <f t="shared" si="4"/>
        <v>47.870234344929671</v>
      </c>
      <c r="Q75" s="1278"/>
      <c r="R75" s="244"/>
      <c r="S75" s="244"/>
      <c r="T75" s="1277"/>
      <c r="U75" s="1278"/>
      <c r="V75" s="1278"/>
      <c r="W75" s="1279"/>
      <c r="X75" s="1449">
        <v>0</v>
      </c>
      <c r="Y75" s="1277">
        <f t="shared" si="1"/>
        <v>0</v>
      </c>
      <c r="Z75" s="244"/>
      <c r="AA75" s="244"/>
      <c r="AB75" s="1277"/>
      <c r="AC75" s="244"/>
      <c r="AD75" s="1277"/>
      <c r="AE75" s="241"/>
      <c r="AF75" s="244"/>
      <c r="AG75" s="1281" t="s">
        <v>682</v>
      </c>
      <c r="AI75" s="1282">
        <f t="shared" si="3"/>
        <v>47.870234344929671</v>
      </c>
      <c r="AJ75" s="1252">
        <v>0.89</v>
      </c>
      <c r="AK75" s="1252">
        <v>1.018</v>
      </c>
      <c r="AL75" s="1252">
        <v>6.1000000000000004E-3</v>
      </c>
    </row>
    <row r="76" spans="1:38" ht="30" customHeight="1" x14ac:dyDescent="0.2">
      <c r="A76" s="1273">
        <v>60</v>
      </c>
      <c r="B76" s="1274" t="s">
        <v>504</v>
      </c>
      <c r="C76" s="241" t="s">
        <v>445</v>
      </c>
      <c r="D76" s="1813">
        <v>695.15</v>
      </c>
      <c r="E76" s="1813" t="s">
        <v>823</v>
      </c>
      <c r="F76" s="1274">
        <v>177.8</v>
      </c>
      <c r="G76" s="241" t="s">
        <v>28</v>
      </c>
      <c r="H76" s="241" t="s">
        <v>464</v>
      </c>
      <c r="I76" s="1813">
        <v>640.19000000000005</v>
      </c>
      <c r="J76" s="1813">
        <v>75</v>
      </c>
      <c r="K76" s="1813"/>
      <c r="L76" s="1277">
        <v>456</v>
      </c>
      <c r="M76" s="241"/>
      <c r="N76" s="1278">
        <v>4.8</v>
      </c>
      <c r="O76" s="241"/>
      <c r="P76" s="1278">
        <f t="shared" si="4"/>
        <v>20.015793402541131</v>
      </c>
      <c r="Q76" s="1278">
        <f>(14/100)*J76</f>
        <v>10.500000000000002</v>
      </c>
      <c r="R76" s="244">
        <v>1.6180000000000001</v>
      </c>
      <c r="S76" s="244">
        <v>1.694</v>
      </c>
      <c r="T76" s="1277">
        <v>73</v>
      </c>
      <c r="U76" s="1278">
        <f t="shared" ref="U76" si="33">IF(R76=0,0,T76/R76)</f>
        <v>45.117428924598265</v>
      </c>
      <c r="V76" s="1278">
        <f t="shared" ref="V76" si="34">(S76-R76)/S76*100</f>
        <v>4.4864226682408406</v>
      </c>
      <c r="W76" s="1279">
        <v>0.2</v>
      </c>
      <c r="X76" s="1449">
        <v>75</v>
      </c>
      <c r="Y76" s="1277">
        <f t="shared" si="1"/>
        <v>16.133333333333329</v>
      </c>
      <c r="Z76" s="244">
        <f t="shared" ref="Z76:AB84" si="35">R76*0.988</f>
        <v>1.598584</v>
      </c>
      <c r="AA76" s="244">
        <f t="shared" si="35"/>
        <v>1.6736719999999998</v>
      </c>
      <c r="AB76" s="1277">
        <f t="shared" si="35"/>
        <v>72.123999999999995</v>
      </c>
      <c r="AC76" s="244">
        <f>U76</f>
        <v>45.117428924598265</v>
      </c>
      <c r="AD76" s="1277">
        <f>V76</f>
        <v>4.4864226682408406</v>
      </c>
      <c r="AE76" s="241">
        <f t="shared" si="30"/>
        <v>31</v>
      </c>
      <c r="AF76" s="244">
        <f t="shared" ref="AF76:AF84" si="36">Z76*AE76</f>
        <v>49.556103999999998</v>
      </c>
      <c r="AG76" s="1281"/>
      <c r="AI76" s="1282">
        <f t="shared" si="3"/>
        <v>20.015793402541131</v>
      </c>
      <c r="AJ76" s="1252">
        <v>0.82969999999999999</v>
      </c>
      <c r="AK76" s="1252">
        <v>1.018</v>
      </c>
      <c r="AL76" s="1252">
        <v>6.1000000000000004E-3</v>
      </c>
    </row>
    <row r="77" spans="1:38" ht="20.25" customHeight="1" x14ac:dyDescent="0.2">
      <c r="A77" s="1273">
        <v>61</v>
      </c>
      <c r="B77" s="1274" t="s">
        <v>211</v>
      </c>
      <c r="C77" s="241" t="s">
        <v>840</v>
      </c>
      <c r="D77" s="241">
        <v>684.03</v>
      </c>
      <c r="E77" s="241" t="s">
        <v>794</v>
      </c>
      <c r="F77" s="241">
        <v>177.8</v>
      </c>
      <c r="G77" s="241" t="s">
        <v>28</v>
      </c>
      <c r="H77" s="1299" t="s">
        <v>687</v>
      </c>
      <c r="I77" s="1815">
        <v>560.02</v>
      </c>
      <c r="J77" s="1448">
        <v>220</v>
      </c>
      <c r="K77" s="241"/>
      <c r="L77" s="1277">
        <v>200</v>
      </c>
      <c r="M77" s="241"/>
      <c r="N77" s="1278">
        <v>0.1</v>
      </c>
      <c r="O77" s="241"/>
      <c r="P77" s="1278">
        <f t="shared" si="4"/>
        <v>34.934181460899381</v>
      </c>
      <c r="Q77" s="1278">
        <f>(20*J77)/100</f>
        <v>44</v>
      </c>
      <c r="R77" s="244">
        <v>2.9409999999999998</v>
      </c>
      <c r="S77" s="244">
        <v>10.167</v>
      </c>
      <c r="T77" s="1277">
        <v>76</v>
      </c>
      <c r="U77" s="1278">
        <f t="shared" si="15"/>
        <v>25.841550493029583</v>
      </c>
      <c r="V77" s="1278">
        <f t="shared" si="27"/>
        <v>71.0730795711616</v>
      </c>
      <c r="W77" s="1279">
        <v>0.2</v>
      </c>
      <c r="X77" s="1449">
        <v>220</v>
      </c>
      <c r="Y77" s="1277">
        <f t="shared" si="1"/>
        <v>23.106818181818181</v>
      </c>
      <c r="Z77" s="244">
        <f t="shared" si="35"/>
        <v>2.9057079999999997</v>
      </c>
      <c r="AA77" s="244">
        <f t="shared" si="35"/>
        <v>10.044995999999999</v>
      </c>
      <c r="AB77" s="1277">
        <f t="shared" si="35"/>
        <v>75.087999999999994</v>
      </c>
      <c r="AC77" s="244">
        <f t="shared" ref="AC77:AD84" si="37">U77</f>
        <v>25.841550493029583</v>
      </c>
      <c r="AD77" s="1277">
        <f t="shared" si="37"/>
        <v>71.0730795711616</v>
      </c>
      <c r="AE77" s="241">
        <f t="shared" si="30"/>
        <v>31</v>
      </c>
      <c r="AF77" s="244">
        <f t="shared" si="36"/>
        <v>90.076947999999987</v>
      </c>
      <c r="AG77" s="1281"/>
      <c r="AI77" s="1282">
        <f t="shared" si="3"/>
        <v>34.934181460899381</v>
      </c>
      <c r="AJ77" s="1252">
        <v>0.91239999999999999</v>
      </c>
      <c r="AK77" s="1252">
        <v>1.03</v>
      </c>
      <c r="AL77" s="1252">
        <v>6.1000000000000004E-3</v>
      </c>
    </row>
    <row r="78" spans="1:38" ht="18.600000000000001" customHeight="1" x14ac:dyDescent="0.2">
      <c r="A78" s="1273">
        <v>62</v>
      </c>
      <c r="B78" s="1274" t="s">
        <v>341</v>
      </c>
      <c r="C78" s="241" t="s">
        <v>840</v>
      </c>
      <c r="D78" s="241">
        <v>675.29</v>
      </c>
      <c r="E78" s="241" t="s">
        <v>343</v>
      </c>
      <c r="F78" s="241">
        <v>177.8</v>
      </c>
      <c r="G78" s="241" t="s">
        <v>28</v>
      </c>
      <c r="H78" s="1299" t="s">
        <v>799</v>
      </c>
      <c r="I78" s="1815">
        <v>510.1</v>
      </c>
      <c r="J78" s="1448">
        <v>95</v>
      </c>
      <c r="K78" s="241"/>
      <c r="L78" s="1277">
        <v>172</v>
      </c>
      <c r="M78" s="241"/>
      <c r="N78" s="1278">
        <v>5.0999999999999996</v>
      </c>
      <c r="O78" s="241"/>
      <c r="P78" s="1278">
        <f t="shared" si="4"/>
        <v>37.428277114116099</v>
      </c>
      <c r="Q78" s="1278">
        <f>(32*J78)/100</f>
        <v>30.4</v>
      </c>
      <c r="R78" s="244">
        <v>7.3540000000000001</v>
      </c>
      <c r="S78" s="244">
        <v>22.960999999999999</v>
      </c>
      <c r="T78" s="1277">
        <v>540</v>
      </c>
      <c r="U78" s="1278">
        <f t="shared" si="15"/>
        <v>73.429426162632581</v>
      </c>
      <c r="V78" s="1278">
        <f t="shared" si="27"/>
        <v>67.971778232655382</v>
      </c>
      <c r="W78" s="1279">
        <v>0.2</v>
      </c>
      <c r="X78" s="1449">
        <v>95</v>
      </c>
      <c r="Y78" s="1277">
        <f t="shared" si="1"/>
        <v>75.52960526315789</v>
      </c>
      <c r="Z78" s="244">
        <f t="shared" si="35"/>
        <v>7.265752</v>
      </c>
      <c r="AA78" s="244">
        <f t="shared" si="35"/>
        <v>22.685467999999997</v>
      </c>
      <c r="AB78" s="1277">
        <f t="shared" si="35"/>
        <v>533.52</v>
      </c>
      <c r="AC78" s="244">
        <f t="shared" si="37"/>
        <v>73.429426162632581</v>
      </c>
      <c r="AD78" s="1277">
        <f t="shared" si="37"/>
        <v>67.971778232655382</v>
      </c>
      <c r="AE78" s="241">
        <f t="shared" si="30"/>
        <v>31</v>
      </c>
      <c r="AF78" s="244">
        <f t="shared" si="36"/>
        <v>225.23831200000001</v>
      </c>
      <c r="AG78" s="1285"/>
      <c r="AI78" s="1282">
        <f t="shared" si="3"/>
        <v>37.428277114116099</v>
      </c>
      <c r="AJ78" s="1252">
        <v>0.89219999999999999</v>
      </c>
      <c r="AK78" s="1252">
        <v>1.028</v>
      </c>
      <c r="AL78" s="1252">
        <v>6.1000000000000004E-3</v>
      </c>
    </row>
    <row r="79" spans="1:38" ht="18.75" customHeight="1" x14ac:dyDescent="0.2">
      <c r="A79" s="1273">
        <v>63</v>
      </c>
      <c r="B79" s="1274" t="s">
        <v>354</v>
      </c>
      <c r="C79" s="241" t="s">
        <v>840</v>
      </c>
      <c r="D79" s="241">
        <v>563.85</v>
      </c>
      <c r="E79" s="1346" t="s">
        <v>839</v>
      </c>
      <c r="F79" s="241">
        <v>178.8</v>
      </c>
      <c r="G79" s="241" t="s">
        <v>28</v>
      </c>
      <c r="H79" s="241" t="s">
        <v>464</v>
      </c>
      <c r="I79" s="1818">
        <v>557.15</v>
      </c>
      <c r="J79" s="1448">
        <v>85</v>
      </c>
      <c r="K79" s="241"/>
      <c r="L79" s="1277">
        <v>340</v>
      </c>
      <c r="M79" s="241"/>
      <c r="N79" s="1278">
        <v>4.5999999999999996</v>
      </c>
      <c r="O79" s="241"/>
      <c r="P79" s="1278">
        <f t="shared" si="4"/>
        <v>24.759136739361935</v>
      </c>
      <c r="Q79" s="1278">
        <f>(14/100)*J79</f>
        <v>11.9</v>
      </c>
      <c r="R79" s="244">
        <v>4.7169999999999996</v>
      </c>
      <c r="S79" s="244">
        <v>7.13</v>
      </c>
      <c r="T79" s="1277">
        <v>4</v>
      </c>
      <c r="U79" s="1278">
        <f t="shared" si="15"/>
        <v>0.84799660801356802</v>
      </c>
      <c r="V79" s="1278">
        <f t="shared" si="27"/>
        <v>33.842917251051894</v>
      </c>
      <c r="W79" s="1279">
        <v>0.2</v>
      </c>
      <c r="X79" s="1449">
        <v>85</v>
      </c>
      <c r="Y79" s="1277">
        <f t="shared" si="1"/>
        <v>59.915966386554622</v>
      </c>
      <c r="Z79" s="244">
        <v>5</v>
      </c>
      <c r="AA79" s="244">
        <v>8</v>
      </c>
      <c r="AB79" s="1277">
        <f t="shared" si="35"/>
        <v>3.952</v>
      </c>
      <c r="AC79" s="244">
        <f>AB79/Z79</f>
        <v>0.79039999999999999</v>
      </c>
      <c r="AD79" s="1277">
        <f>(AA79-Z79)/AA79*100</f>
        <v>37.5</v>
      </c>
      <c r="AE79" s="241">
        <v>28</v>
      </c>
      <c r="AF79" s="244">
        <f t="shared" si="36"/>
        <v>140</v>
      </c>
      <c r="AG79" s="1281" t="s">
        <v>826</v>
      </c>
      <c r="AI79" s="1282">
        <f t="shared" si="3"/>
        <v>24.759136739361935</v>
      </c>
      <c r="AJ79" s="1252">
        <v>0.90600000000000003</v>
      </c>
      <c r="AK79" s="1252">
        <v>1.034</v>
      </c>
      <c r="AL79" s="1252">
        <v>6.1000000000000004E-3</v>
      </c>
    </row>
    <row r="80" spans="1:38" ht="18.75" customHeight="1" x14ac:dyDescent="0.2">
      <c r="A80" s="1273">
        <v>64</v>
      </c>
      <c r="B80" s="1274" t="s">
        <v>423</v>
      </c>
      <c r="C80" s="241" t="s">
        <v>445</v>
      </c>
      <c r="D80" s="241">
        <v>672</v>
      </c>
      <c r="E80" s="26" t="s">
        <v>819</v>
      </c>
      <c r="F80" s="241">
        <v>179.8</v>
      </c>
      <c r="G80" s="241" t="s">
        <v>28</v>
      </c>
      <c r="H80" s="1299" t="s">
        <v>565</v>
      </c>
      <c r="I80" s="1815">
        <v>582.05999999999995</v>
      </c>
      <c r="J80" s="1448">
        <v>100</v>
      </c>
      <c r="K80" s="241"/>
      <c r="L80" s="1277">
        <v>389</v>
      </c>
      <c r="M80" s="241"/>
      <c r="N80" s="1278">
        <v>4.7</v>
      </c>
      <c r="O80" s="241"/>
      <c r="P80" s="1278">
        <f t="shared" si="4"/>
        <v>21.147932082595403</v>
      </c>
      <c r="Q80" s="1278">
        <f>(32/100)*J80</f>
        <v>32</v>
      </c>
      <c r="R80" s="244">
        <v>9.64</v>
      </c>
      <c r="S80" s="244">
        <v>11.992000000000001</v>
      </c>
      <c r="T80" s="1277">
        <v>549</v>
      </c>
      <c r="U80" s="1278">
        <f t="shared" si="15"/>
        <v>56.950207468879668</v>
      </c>
      <c r="V80" s="1278">
        <f t="shared" si="27"/>
        <v>19.613075383589059</v>
      </c>
      <c r="W80" s="1279">
        <v>0.2</v>
      </c>
      <c r="X80" s="1449">
        <v>100</v>
      </c>
      <c r="Y80" s="1277">
        <f t="shared" si="1"/>
        <v>37.475000000000001</v>
      </c>
      <c r="Z80" s="244">
        <f t="shared" si="35"/>
        <v>9.5243200000000012</v>
      </c>
      <c r="AA80" s="244">
        <f t="shared" si="35"/>
        <v>11.848096</v>
      </c>
      <c r="AB80" s="1277">
        <f t="shared" si="35"/>
        <v>542.41200000000003</v>
      </c>
      <c r="AC80" s="244">
        <f t="shared" si="37"/>
        <v>56.950207468879668</v>
      </c>
      <c r="AD80" s="1277">
        <f t="shared" si="37"/>
        <v>19.613075383589059</v>
      </c>
      <c r="AE80" s="241">
        <f t="shared" si="30"/>
        <v>31</v>
      </c>
      <c r="AF80" s="244">
        <f t="shared" si="36"/>
        <v>295.25392000000005</v>
      </c>
      <c r="AG80" s="1285"/>
      <c r="AI80" s="1282">
        <f t="shared" si="3"/>
        <v>21.147932082595403</v>
      </c>
      <c r="AJ80" s="1252">
        <v>0.83099999999999996</v>
      </c>
      <c r="AK80" s="1252">
        <v>1.018</v>
      </c>
      <c r="AL80" s="1252">
        <v>6.1000000000000004E-3</v>
      </c>
    </row>
    <row r="81" spans="1:38" ht="18.75" customHeight="1" x14ac:dyDescent="0.2">
      <c r="A81" s="1273">
        <v>65</v>
      </c>
      <c r="B81" s="1274" t="s">
        <v>213</v>
      </c>
      <c r="C81" s="241" t="s">
        <v>445</v>
      </c>
      <c r="D81" s="241">
        <v>694.35</v>
      </c>
      <c r="E81" s="241" t="s">
        <v>452</v>
      </c>
      <c r="F81" s="241">
        <v>177.8</v>
      </c>
      <c r="G81" s="241" t="s">
        <v>28</v>
      </c>
      <c r="H81" s="241" t="s">
        <v>464</v>
      </c>
      <c r="I81" s="1813">
        <v>665.09</v>
      </c>
      <c r="J81" s="1448">
        <v>165</v>
      </c>
      <c r="K81" s="241"/>
      <c r="L81" s="1277">
        <v>34</v>
      </c>
      <c r="M81" s="241"/>
      <c r="N81" s="1278">
        <v>0.2</v>
      </c>
      <c r="O81" s="241"/>
      <c r="P81" s="1278">
        <f t="shared" si="4"/>
        <v>51.356336331772475</v>
      </c>
      <c r="Q81" s="1278">
        <f>14*J81/100</f>
        <v>23.1</v>
      </c>
      <c r="R81" s="244">
        <v>4.8380000000000001</v>
      </c>
      <c r="S81" s="244">
        <v>5.0469999999999997</v>
      </c>
      <c r="T81" s="1277">
        <v>237</v>
      </c>
      <c r="U81" s="1278">
        <f t="shared" si="15"/>
        <v>48.987184787102109</v>
      </c>
      <c r="V81" s="1278">
        <f t="shared" si="27"/>
        <v>4.1410739052902645</v>
      </c>
      <c r="W81" s="1279">
        <v>0.2</v>
      </c>
      <c r="X81" s="1449">
        <v>165</v>
      </c>
      <c r="Y81" s="1277">
        <f t="shared" si="1"/>
        <v>21.848484848484844</v>
      </c>
      <c r="Z81" s="244">
        <f t="shared" si="35"/>
        <v>4.7799440000000004</v>
      </c>
      <c r="AA81" s="244">
        <f t="shared" si="35"/>
        <v>4.9864359999999994</v>
      </c>
      <c r="AB81" s="1277">
        <f t="shared" si="35"/>
        <v>234.15600000000001</v>
      </c>
      <c r="AC81" s="244">
        <f t="shared" si="37"/>
        <v>48.987184787102109</v>
      </c>
      <c r="AD81" s="1277">
        <f t="shared" si="37"/>
        <v>4.1410739052902645</v>
      </c>
      <c r="AE81" s="241">
        <f t="shared" si="30"/>
        <v>31</v>
      </c>
      <c r="AF81" s="244">
        <f t="shared" si="36"/>
        <v>148.17826400000001</v>
      </c>
      <c r="AG81" s="1285"/>
      <c r="AI81" s="1282">
        <f t="shared" si="3"/>
        <v>51.356336331772475</v>
      </c>
      <c r="AJ81" s="1252">
        <v>0.82909999999999995</v>
      </c>
      <c r="AK81" s="1252">
        <v>1.018</v>
      </c>
      <c r="AL81" s="1252">
        <v>6.1000000000000004E-3</v>
      </c>
    </row>
    <row r="82" spans="1:38" ht="18.75" customHeight="1" x14ac:dyDescent="0.2">
      <c r="A82" s="1273">
        <v>66</v>
      </c>
      <c r="B82" s="1274" t="s">
        <v>506</v>
      </c>
      <c r="C82" s="241" t="s">
        <v>840</v>
      </c>
      <c r="D82" s="1815">
        <v>700</v>
      </c>
      <c r="E82" s="1815" t="s">
        <v>547</v>
      </c>
      <c r="F82" s="241">
        <v>177.8</v>
      </c>
      <c r="G82" s="241" t="s">
        <v>28</v>
      </c>
      <c r="H82" s="241" t="s">
        <v>464</v>
      </c>
      <c r="I82" s="1815">
        <v>608.22</v>
      </c>
      <c r="J82" s="1815">
        <v>0</v>
      </c>
      <c r="K82" s="1815"/>
      <c r="L82" s="1319">
        <v>0</v>
      </c>
      <c r="M82" s="1815"/>
      <c r="N82" s="1278">
        <v>0</v>
      </c>
      <c r="O82" s="1815"/>
      <c r="P82" s="1278">
        <f t="shared" si="4"/>
        <v>48.239526409474465</v>
      </c>
      <c r="Q82" s="1278"/>
      <c r="R82" s="244"/>
      <c r="S82" s="244"/>
      <c r="T82" s="1319"/>
      <c r="U82" s="244"/>
      <c r="V82" s="1278"/>
      <c r="W82" s="1279"/>
      <c r="X82" s="1410"/>
      <c r="Y82" s="1277"/>
      <c r="Z82" s="244"/>
      <c r="AA82" s="244"/>
      <c r="AB82" s="1277"/>
      <c r="AC82" s="244"/>
      <c r="AD82" s="244"/>
      <c r="AE82" s="241"/>
      <c r="AF82" s="244"/>
      <c r="AG82" s="1281" t="s">
        <v>682</v>
      </c>
      <c r="AI82" s="1282">
        <f t="shared" si="3"/>
        <v>48.239526409474465</v>
      </c>
      <c r="AJ82" s="1252">
        <v>0.81920000000000004</v>
      </c>
      <c r="AK82" s="1252">
        <v>1.018</v>
      </c>
      <c r="AL82" s="1252">
        <v>6.1000000000000004E-3</v>
      </c>
    </row>
    <row r="83" spans="1:38" ht="18.75" customHeight="1" x14ac:dyDescent="0.2">
      <c r="A83" s="1273">
        <v>67</v>
      </c>
      <c r="B83" s="1274" t="s">
        <v>451</v>
      </c>
      <c r="C83" s="241" t="s">
        <v>445</v>
      </c>
      <c r="D83" s="1818">
        <v>674.5</v>
      </c>
      <c r="E83" s="1818" t="s">
        <v>820</v>
      </c>
      <c r="F83" s="241">
        <v>177.8</v>
      </c>
      <c r="G83" s="241" t="s">
        <v>28</v>
      </c>
      <c r="H83" s="241" t="s">
        <v>464</v>
      </c>
      <c r="I83" s="1818">
        <v>630.33000000000004</v>
      </c>
      <c r="J83" s="1818">
        <v>170</v>
      </c>
      <c r="K83" s="1818"/>
      <c r="L83" s="1319">
        <v>54</v>
      </c>
      <c r="M83" s="1818"/>
      <c r="N83" s="1278">
        <v>1.2</v>
      </c>
      <c r="O83" s="1818"/>
      <c r="P83" s="1278">
        <f t="shared" si="4"/>
        <v>48.05613103526003</v>
      </c>
      <c r="Q83" s="1278">
        <f t="shared" ref="Q83" si="38">14*J83/100</f>
        <v>23.8</v>
      </c>
      <c r="R83" s="244">
        <v>2.8149999999999999</v>
      </c>
      <c r="S83" s="244">
        <v>2.9420000000000002</v>
      </c>
      <c r="T83" s="1319">
        <v>139</v>
      </c>
      <c r="U83" s="244">
        <f t="shared" si="15"/>
        <v>49.378330373001781</v>
      </c>
      <c r="V83" s="1278">
        <f t="shared" si="27"/>
        <v>4.3167912984364456</v>
      </c>
      <c r="W83" s="1279">
        <v>0.2</v>
      </c>
      <c r="X83" s="1410">
        <v>85</v>
      </c>
      <c r="Y83" s="1277">
        <f t="shared" si="1"/>
        <v>12.361344537815127</v>
      </c>
      <c r="Z83" s="244">
        <v>4</v>
      </c>
      <c r="AA83" s="244">
        <v>5</v>
      </c>
      <c r="AB83" s="1277">
        <v>130</v>
      </c>
      <c r="AC83" s="244">
        <f>AB83/Z83</f>
        <v>32.5</v>
      </c>
      <c r="AD83" s="1277">
        <f>(AA83-Z83)/AA83*100</f>
        <v>20</v>
      </c>
      <c r="AE83" s="241">
        <v>16</v>
      </c>
      <c r="AF83" s="244">
        <f t="shared" si="36"/>
        <v>64</v>
      </c>
      <c r="AG83" s="1281" t="s">
        <v>826</v>
      </c>
      <c r="AI83" s="1282">
        <f t="shared" ref="AI83:AI86" si="39">(9.81*(AJ83*(100%-(V83/100))+AK83*(V83/100))*(I83-L83)+N83*101.325+9.81*(AL83)*L83)/101.325</f>
        <v>48.05613103526003</v>
      </c>
      <c r="AJ83" s="1252">
        <v>0.8306</v>
      </c>
      <c r="AK83" s="1252">
        <v>1.0289999999999999</v>
      </c>
      <c r="AL83" s="1252">
        <v>6.1000000000000004E-3</v>
      </c>
    </row>
    <row r="84" spans="1:38" ht="29.25" customHeight="1" x14ac:dyDescent="0.2">
      <c r="A84" s="1273">
        <v>68</v>
      </c>
      <c r="B84" s="1274" t="s">
        <v>424</v>
      </c>
      <c r="C84" s="241" t="s">
        <v>445</v>
      </c>
      <c r="D84" s="1813">
        <v>689.4</v>
      </c>
      <c r="E84" s="1813" t="s">
        <v>831</v>
      </c>
      <c r="F84" s="241">
        <v>177.8</v>
      </c>
      <c r="G84" s="241" t="s">
        <v>28</v>
      </c>
      <c r="H84" s="1299" t="s">
        <v>800</v>
      </c>
      <c r="I84" s="1813">
        <v>666.63</v>
      </c>
      <c r="J84" s="1813">
        <v>100</v>
      </c>
      <c r="K84" s="1813"/>
      <c r="L84" s="1319">
        <v>252</v>
      </c>
      <c r="M84" s="1813"/>
      <c r="N84" s="1278">
        <v>0</v>
      </c>
      <c r="O84" s="1813"/>
      <c r="P84" s="1278">
        <f t="shared" si="4"/>
        <v>34.335783696627971</v>
      </c>
      <c r="Q84" s="1278">
        <f>7*J84/100</f>
        <v>7</v>
      </c>
      <c r="R84" s="244">
        <v>3.1779999999999999</v>
      </c>
      <c r="S84" s="244">
        <v>3.5489999999999999</v>
      </c>
      <c r="T84" s="1319">
        <v>88</v>
      </c>
      <c r="U84" s="244">
        <f t="shared" ref="U84" si="40">IF(R84=0,0,T84/R84)</f>
        <v>27.690371302706104</v>
      </c>
      <c r="V84" s="1278">
        <f t="shared" ref="V84" si="41">(S84-R84)/S84*100</f>
        <v>10.453648915187378</v>
      </c>
      <c r="W84" s="1279">
        <v>1.2</v>
      </c>
      <c r="X84" s="1410">
        <v>100</v>
      </c>
      <c r="Y84" s="1277">
        <f t="shared" ref="Y84:Y86" si="42">IF(S84=0,0,S84/Q84)*100</f>
        <v>50.7</v>
      </c>
      <c r="Z84" s="244">
        <f t="shared" si="35"/>
        <v>3.1398639999999998</v>
      </c>
      <c r="AA84" s="244">
        <f t="shared" si="35"/>
        <v>3.5064120000000001</v>
      </c>
      <c r="AB84" s="1277">
        <f t="shared" si="35"/>
        <v>86.944000000000003</v>
      </c>
      <c r="AC84" s="244">
        <f t="shared" si="37"/>
        <v>27.690371302706104</v>
      </c>
      <c r="AD84" s="1277">
        <f t="shared" si="37"/>
        <v>10.453648915187378</v>
      </c>
      <c r="AE84" s="241">
        <f t="shared" si="30"/>
        <v>31</v>
      </c>
      <c r="AF84" s="244">
        <f t="shared" si="36"/>
        <v>97.33578399999999</v>
      </c>
      <c r="AG84" s="1281"/>
      <c r="AI84" s="1282">
        <f t="shared" si="39"/>
        <v>34.335783696627971</v>
      </c>
      <c r="AJ84" s="1252">
        <v>0.83220000000000005</v>
      </c>
      <c r="AK84" s="1252">
        <v>1.018</v>
      </c>
      <c r="AL84" s="1252">
        <v>6.1000000000000004E-3</v>
      </c>
    </row>
    <row r="85" spans="1:38" ht="18.75" customHeight="1" x14ac:dyDescent="0.2">
      <c r="A85" s="1273">
        <v>69</v>
      </c>
      <c r="B85" s="1274" t="s">
        <v>567</v>
      </c>
      <c r="C85" s="241" t="s">
        <v>840</v>
      </c>
      <c r="D85" s="1815">
        <v>577.12</v>
      </c>
      <c r="E85" s="1815" t="s">
        <v>614</v>
      </c>
      <c r="F85" s="241">
        <v>177.8</v>
      </c>
      <c r="G85" s="241" t="s">
        <v>28</v>
      </c>
      <c r="H85" s="1299" t="s">
        <v>687</v>
      </c>
      <c r="I85" s="1815">
        <v>536.02</v>
      </c>
      <c r="J85" s="1815">
        <v>135</v>
      </c>
      <c r="K85" s="1815"/>
      <c r="L85" s="1319">
        <v>377</v>
      </c>
      <c r="M85" s="1815"/>
      <c r="N85" s="1278">
        <v>0</v>
      </c>
      <c r="O85" s="1815"/>
      <c r="P85" s="1278">
        <f t="shared" ref="P85:P86" si="43">AI85</f>
        <v>15.117861305846672</v>
      </c>
      <c r="Q85" s="1278">
        <f>RIGHT(H85,(FIND("T",H85,1)-0))*J85/100</f>
        <v>27</v>
      </c>
      <c r="R85" s="244">
        <v>3.3420000000000001</v>
      </c>
      <c r="S85" s="244">
        <v>7.1769999999999996</v>
      </c>
      <c r="T85" s="1319">
        <v>5</v>
      </c>
      <c r="U85" s="244">
        <f t="shared" ref="U85" si="44">IF(R85=0,0,T85/R85)</f>
        <v>1.4961101137043686</v>
      </c>
      <c r="V85" s="1278">
        <f t="shared" si="27"/>
        <v>53.434582694719232</v>
      </c>
      <c r="W85" s="1279">
        <v>0.2</v>
      </c>
      <c r="X85" s="1410">
        <v>135</v>
      </c>
      <c r="Y85" s="1277">
        <f t="shared" si="42"/>
        <v>26.581481481481479</v>
      </c>
      <c r="Z85" s="244">
        <f t="shared" ref="Z85:AB86" si="45">R85*0.988</f>
        <v>3.3018960000000002</v>
      </c>
      <c r="AA85" s="244">
        <f t="shared" si="45"/>
        <v>7.0908759999999997</v>
      </c>
      <c r="AB85" s="1277">
        <f t="shared" si="45"/>
        <v>4.9399999999999995</v>
      </c>
      <c r="AC85" s="244">
        <f t="shared" ref="AC85:AD85" si="46">U85</f>
        <v>1.4961101137043686</v>
      </c>
      <c r="AD85" s="1277">
        <f t="shared" si="46"/>
        <v>53.434582694719232</v>
      </c>
      <c r="AE85" s="241">
        <f t="shared" si="30"/>
        <v>31</v>
      </c>
      <c r="AF85" s="244">
        <f>Z85*AE85</f>
        <v>102.35877600000001</v>
      </c>
      <c r="AG85" s="1281"/>
      <c r="AI85" s="1282">
        <f t="shared" si="39"/>
        <v>15.117861305846672</v>
      </c>
      <c r="AJ85" s="1252">
        <v>0.91410000000000002</v>
      </c>
      <c r="AK85" s="1252">
        <v>1.014</v>
      </c>
      <c r="AL85" s="1252">
        <v>6.1000000000000004E-3</v>
      </c>
    </row>
    <row r="86" spans="1:38" ht="18.75" customHeight="1" x14ac:dyDescent="0.25">
      <c r="A86" s="1273">
        <v>70</v>
      </c>
      <c r="B86" s="1274" t="s">
        <v>172</v>
      </c>
      <c r="C86" s="241" t="s">
        <v>840</v>
      </c>
      <c r="D86" s="241">
        <v>673.05</v>
      </c>
      <c r="E86" s="241" t="s">
        <v>838</v>
      </c>
      <c r="F86" s="241">
        <v>177.8</v>
      </c>
      <c r="G86" s="241" t="s">
        <v>28</v>
      </c>
      <c r="H86" s="241" t="s">
        <v>464</v>
      </c>
      <c r="I86" s="1818">
        <v>565.51</v>
      </c>
      <c r="J86" s="1448">
        <v>100</v>
      </c>
      <c r="K86" s="241"/>
      <c r="L86" s="1277">
        <v>166</v>
      </c>
      <c r="M86" s="241"/>
      <c r="N86" s="1278">
        <v>1.8</v>
      </c>
      <c r="O86" s="241"/>
      <c r="P86" s="1278">
        <f t="shared" si="43"/>
        <v>41.123431205729581</v>
      </c>
      <c r="Q86" s="1278">
        <f>14*J86/100</f>
        <v>14</v>
      </c>
      <c r="R86" s="244">
        <v>1.3140000000000001</v>
      </c>
      <c r="S86" s="244">
        <v>14.742000000000001</v>
      </c>
      <c r="T86" s="1277">
        <v>2.8</v>
      </c>
      <c r="U86" s="1278">
        <f t="shared" si="15"/>
        <v>2.1308980213089801</v>
      </c>
      <c r="V86" s="1278">
        <f t="shared" si="27"/>
        <v>91.08669108669109</v>
      </c>
      <c r="W86" s="1279">
        <v>0</v>
      </c>
      <c r="X86" s="1449">
        <v>100</v>
      </c>
      <c r="Y86" s="1277">
        <f t="shared" si="42"/>
        <v>105.30000000000001</v>
      </c>
      <c r="Z86" s="244">
        <v>3.5</v>
      </c>
      <c r="AA86" s="244">
        <v>6</v>
      </c>
      <c r="AB86" s="1277">
        <f t="shared" si="45"/>
        <v>2.7664</v>
      </c>
      <c r="AC86" s="244">
        <f>AB86/Z86</f>
        <v>0.79039999999999999</v>
      </c>
      <c r="AD86" s="1277">
        <f>(AA86-Z86)/AA86*100</f>
        <v>41.666666666666671</v>
      </c>
      <c r="AE86" s="241">
        <v>28</v>
      </c>
      <c r="AF86" s="244">
        <f>Z86*AE86</f>
        <v>98</v>
      </c>
      <c r="AG86" s="1342" t="s">
        <v>841</v>
      </c>
      <c r="AI86" s="1282">
        <f t="shared" si="39"/>
        <v>41.123431205729581</v>
      </c>
      <c r="AJ86" s="1252">
        <v>0.91310000000000002</v>
      </c>
      <c r="AK86" s="1252">
        <v>1.024</v>
      </c>
      <c r="AL86" s="1252">
        <v>6.1000000000000004E-3</v>
      </c>
    </row>
    <row r="87" spans="1:38" ht="18.75" customHeight="1" x14ac:dyDescent="0.2">
      <c r="A87" s="1347"/>
      <c r="B87" s="241"/>
      <c r="C87" s="241"/>
      <c r="D87" s="1815"/>
      <c r="E87" s="1815"/>
      <c r="F87" s="1274"/>
      <c r="G87" s="241"/>
      <c r="H87" s="241"/>
      <c r="I87" s="1815"/>
      <c r="J87" s="1815"/>
      <c r="K87" s="1815"/>
      <c r="L87" s="1815"/>
      <c r="M87" s="1815"/>
      <c r="N87" s="241"/>
      <c r="O87" s="1815"/>
      <c r="P87" s="1278"/>
      <c r="Q87" s="1269"/>
      <c r="R87" s="1348">
        <f>SUM(R17:R86)</f>
        <v>310.3549999999999</v>
      </c>
      <c r="S87" s="1348">
        <f>SUM(S17:S86)</f>
        <v>790.70200000000023</v>
      </c>
      <c r="T87" s="1349">
        <f>SUM(T17:T86)</f>
        <v>6418.8720000000003</v>
      </c>
      <c r="U87" s="1348">
        <f>T87/R87</f>
        <v>20.682354078394106</v>
      </c>
      <c r="V87" s="1348"/>
      <c r="W87" s="1350"/>
      <c r="X87" s="1410"/>
      <c r="Y87" s="1348"/>
      <c r="Z87" s="1348">
        <f>SUM(Z17:Z86)</f>
        <v>322.92723200000006</v>
      </c>
      <c r="AA87" s="1348">
        <f>SUM(AA17:AA86)</f>
        <v>811.80039600000009</v>
      </c>
      <c r="AB87" s="1351">
        <f>SUM(AB17:AB86)</f>
        <v>6589.2735360000006</v>
      </c>
      <c r="AC87" s="1348">
        <f>AB87/Z87</f>
        <v>20.404824626248924</v>
      </c>
      <c r="AD87" s="1348"/>
      <c r="AE87" s="1302"/>
      <c r="AF87" s="1348">
        <f>SUM(AF17:AF86)</f>
        <v>9651.1901159999979</v>
      </c>
      <c r="AG87" s="1281"/>
      <c r="AI87" s="1282"/>
    </row>
    <row r="88" spans="1:38" ht="18.75" customHeight="1" x14ac:dyDescent="0.2">
      <c r="A88" s="1347"/>
      <c r="B88" s="241"/>
      <c r="C88" s="241"/>
      <c r="D88" s="1815"/>
      <c r="E88" s="1814" t="s">
        <v>388</v>
      </c>
      <c r="F88" s="1274"/>
      <c r="G88" s="241"/>
      <c r="H88" s="241"/>
      <c r="I88" s="1815"/>
      <c r="J88" s="1815"/>
      <c r="K88" s="1815"/>
      <c r="L88" s="1815"/>
      <c r="M88" s="1815"/>
      <c r="N88" s="241"/>
      <c r="O88" s="1815"/>
      <c r="P88" s="1278"/>
      <c r="Q88" s="1269"/>
      <c r="R88" s="1348"/>
      <c r="S88" s="1348"/>
      <c r="T88" s="1349"/>
      <c r="U88" s="1348"/>
      <c r="V88" s="1348"/>
      <c r="W88" s="1350"/>
      <c r="X88" s="1410"/>
      <c r="Y88" s="1348"/>
      <c r="Z88" s="1348"/>
      <c r="AA88" s="1352"/>
      <c r="AB88" s="1351"/>
      <c r="AC88" s="1348"/>
      <c r="AD88" s="1348"/>
      <c r="AE88" s="1302"/>
      <c r="AF88" s="1348"/>
      <c r="AG88" s="1281"/>
      <c r="AI88" s="1282"/>
    </row>
    <row r="89" spans="1:38" ht="18.75" customHeight="1" x14ac:dyDescent="0.2">
      <c r="A89" s="1273">
        <v>71</v>
      </c>
      <c r="B89" s="1274" t="s">
        <v>505</v>
      </c>
      <c r="C89" s="241" t="s">
        <v>445</v>
      </c>
      <c r="D89" s="1815">
        <v>737.21</v>
      </c>
      <c r="E89" s="1815" t="s">
        <v>507</v>
      </c>
      <c r="F89" s="241">
        <v>177.8</v>
      </c>
      <c r="G89" s="241" t="s">
        <v>28</v>
      </c>
      <c r="H89" s="1354" t="s">
        <v>466</v>
      </c>
      <c r="I89" s="1815">
        <v>680.94</v>
      </c>
      <c r="J89" s="1815"/>
      <c r="K89" s="1815"/>
      <c r="L89" s="1815"/>
      <c r="M89" s="1815"/>
      <c r="N89" s="241"/>
      <c r="O89" s="1815"/>
      <c r="P89" s="1278"/>
      <c r="Q89" s="1269"/>
      <c r="R89" s="244"/>
      <c r="S89" s="244"/>
      <c r="T89" s="1319"/>
      <c r="U89" s="244"/>
      <c r="V89" s="244"/>
      <c r="W89" s="1355"/>
      <c r="X89" s="1410"/>
      <c r="Y89" s="244">
        <f>IF(S89=0,0,S89/Q89)</f>
        <v>0</v>
      </c>
      <c r="Z89" s="244">
        <f t="shared" ref="Z89:AB91" si="47">R89*0.988</f>
        <v>0</v>
      </c>
      <c r="AA89" s="244">
        <f t="shared" si="47"/>
        <v>0</v>
      </c>
      <c r="AB89" s="1277">
        <f t="shared" si="47"/>
        <v>0</v>
      </c>
      <c r="AC89" s="244">
        <f t="shared" ref="AC89:AD91" si="48">U89</f>
        <v>0</v>
      </c>
      <c r="AD89" s="244">
        <f t="shared" si="48"/>
        <v>0</v>
      </c>
      <c r="AE89" s="241">
        <v>0</v>
      </c>
      <c r="AF89" s="244">
        <f>Z89*AE89</f>
        <v>0</v>
      </c>
      <c r="AG89" s="1281" t="s">
        <v>682</v>
      </c>
      <c r="AI89" s="1282">
        <f>(9.81*(AJ89*(100%-(V89/100))+AK89*(V89/100))*(I89-L89)+N89*101.325+9.81*(AL89)*L89)/101.325</f>
        <v>58.978012775129535</v>
      </c>
      <c r="AJ89" s="1252">
        <v>0.89459999999999995</v>
      </c>
      <c r="AK89" s="1252">
        <v>1.018</v>
      </c>
      <c r="AL89" s="1252">
        <v>6.1000000000000004E-3</v>
      </c>
    </row>
    <row r="90" spans="1:38" ht="18.75" customHeight="1" x14ac:dyDescent="0.2">
      <c r="A90" s="1273">
        <v>72</v>
      </c>
      <c r="B90" s="1317" t="s">
        <v>220</v>
      </c>
      <c r="C90" s="241" t="s">
        <v>445</v>
      </c>
      <c r="D90" s="1815">
        <v>685.69</v>
      </c>
      <c r="E90" s="1815" t="s">
        <v>579</v>
      </c>
      <c r="F90" s="241">
        <v>177.8</v>
      </c>
      <c r="G90" s="241" t="s">
        <v>28</v>
      </c>
      <c r="H90" s="1299" t="s">
        <v>466</v>
      </c>
      <c r="I90" s="1815">
        <v>639.97</v>
      </c>
      <c r="J90" s="1815"/>
      <c r="K90" s="1815"/>
      <c r="L90" s="1815"/>
      <c r="M90" s="1815"/>
      <c r="N90" s="241"/>
      <c r="O90" s="1815"/>
      <c r="P90" s="1278"/>
      <c r="Q90" s="1269"/>
      <c r="R90" s="1356"/>
      <c r="S90" s="1356"/>
      <c r="T90" s="1356"/>
      <c r="U90" s="1356"/>
      <c r="V90" s="1356"/>
      <c r="W90" s="1357"/>
      <c r="X90" s="1410"/>
      <c r="Y90" s="244">
        <f>IF(S90=0,0,S90/Q90)</f>
        <v>0</v>
      </c>
      <c r="Z90" s="244">
        <f t="shared" si="47"/>
        <v>0</v>
      </c>
      <c r="AA90" s="244">
        <f t="shared" si="47"/>
        <v>0</v>
      </c>
      <c r="AB90" s="1277">
        <f t="shared" si="47"/>
        <v>0</v>
      </c>
      <c r="AC90" s="244">
        <f t="shared" si="48"/>
        <v>0</v>
      </c>
      <c r="AD90" s="244">
        <f t="shared" si="48"/>
        <v>0</v>
      </c>
      <c r="AE90" s="241">
        <v>0</v>
      </c>
      <c r="AF90" s="244">
        <f t="shared" ref="AF90:AF91" si="49">Z90*AE90</f>
        <v>0</v>
      </c>
      <c r="AG90" s="1281" t="s">
        <v>682</v>
      </c>
      <c r="AI90" s="1282">
        <f>(9.81*(AJ90*(100%-(V90/100))+AK90*(V90/100))*(I90-L90)+N90*101.325+9.81*(AL90)*L90)/101.325</f>
        <v>55.429492812435235</v>
      </c>
      <c r="AJ90" s="1252">
        <v>0.89459999999999995</v>
      </c>
      <c r="AK90" s="1252">
        <v>1.018</v>
      </c>
      <c r="AL90" s="1252">
        <v>6.1000000000000004E-3</v>
      </c>
    </row>
    <row r="91" spans="1:38" ht="18.75" customHeight="1" x14ac:dyDescent="0.2">
      <c r="A91" s="1273">
        <v>73</v>
      </c>
      <c r="B91" s="1274" t="s">
        <v>465</v>
      </c>
      <c r="C91" s="241" t="s">
        <v>46</v>
      </c>
      <c r="D91" s="241">
        <v>571.91</v>
      </c>
      <c r="E91" s="241" t="s">
        <v>478</v>
      </c>
      <c r="F91" s="241">
        <v>177.8</v>
      </c>
      <c r="G91" s="241" t="s">
        <v>618</v>
      </c>
      <c r="H91" s="1303"/>
      <c r="I91" s="1815">
        <v>9.5</v>
      </c>
      <c r="J91" s="1815"/>
      <c r="K91" s="1815"/>
      <c r="L91" s="1815"/>
      <c r="M91" s="1815"/>
      <c r="N91" s="241"/>
      <c r="O91" s="1815"/>
      <c r="P91" s="1278"/>
      <c r="Q91" s="1269"/>
      <c r="R91" s="1348"/>
      <c r="S91" s="1348"/>
      <c r="T91" s="1349"/>
      <c r="U91" s="1348"/>
      <c r="V91" s="1348"/>
      <c r="W91" s="1350"/>
      <c r="X91" s="1410"/>
      <c r="Y91" s="244">
        <f>IF(S91=0,0,S91/Q91)</f>
        <v>0</v>
      </c>
      <c r="Z91" s="244">
        <f t="shared" si="47"/>
        <v>0</v>
      </c>
      <c r="AA91" s="244">
        <f t="shared" si="47"/>
        <v>0</v>
      </c>
      <c r="AB91" s="1277">
        <f t="shared" si="47"/>
        <v>0</v>
      </c>
      <c r="AC91" s="244">
        <f t="shared" si="48"/>
        <v>0</v>
      </c>
      <c r="AD91" s="244">
        <f t="shared" si="48"/>
        <v>0</v>
      </c>
      <c r="AE91" s="241">
        <v>0</v>
      </c>
      <c r="AF91" s="244">
        <f t="shared" si="49"/>
        <v>0</v>
      </c>
      <c r="AG91" s="1281" t="s">
        <v>682</v>
      </c>
      <c r="AI91" s="1282">
        <f>(9.81*(AJ91*(100%-(V91/100))+AK91*(V91/100))*(I91-L91)+N91*101.325+9.81*(AL91)*L91)/101.325</f>
        <v>0.82282010362694302</v>
      </c>
      <c r="AJ91" s="1252">
        <v>0.89459999999999995</v>
      </c>
      <c r="AK91" s="1252">
        <v>1.018</v>
      </c>
      <c r="AL91" s="1252">
        <v>6.1000000000000004E-3</v>
      </c>
    </row>
    <row r="92" spans="1:38" ht="18.75" customHeight="1" x14ac:dyDescent="0.2">
      <c r="A92" s="1359"/>
      <c r="B92" s="1358"/>
      <c r="C92" s="1358"/>
      <c r="D92" s="1358"/>
      <c r="E92" s="1360" t="s">
        <v>470</v>
      </c>
      <c r="F92" s="1274"/>
      <c r="G92" s="241"/>
      <c r="H92" s="241"/>
      <c r="I92" s="241"/>
      <c r="J92" s="1815"/>
      <c r="K92" s="1815"/>
      <c r="L92" s="1815"/>
      <c r="M92" s="1815"/>
      <c r="N92" s="1815"/>
      <c r="O92" s="1815"/>
      <c r="P92" s="1269"/>
      <c r="Q92" s="1269"/>
      <c r="R92" s="1348"/>
      <c r="S92" s="1348"/>
      <c r="T92" s="1349"/>
      <c r="U92" s="1348"/>
      <c r="V92" s="1348"/>
      <c r="W92" s="1350"/>
      <c r="X92" s="1410"/>
      <c r="Y92" s="1348"/>
      <c r="Z92" s="1348"/>
      <c r="AA92" s="1348"/>
      <c r="AB92" s="1351"/>
      <c r="AC92" s="1348"/>
      <c r="AD92" s="1348"/>
      <c r="AE92" s="1302"/>
      <c r="AF92" s="1348"/>
      <c r="AG92" s="1281"/>
      <c r="AI92" s="1282"/>
    </row>
    <row r="93" spans="1:38" ht="18.75" customHeight="1" x14ac:dyDescent="0.2">
      <c r="A93" s="1273">
        <v>74</v>
      </c>
      <c r="B93" s="241" t="s">
        <v>582</v>
      </c>
      <c r="C93" s="1316" t="s">
        <v>344</v>
      </c>
      <c r="D93" s="241">
        <v>371.11</v>
      </c>
      <c r="E93" s="1318" t="s">
        <v>583</v>
      </c>
      <c r="F93" s="241">
        <v>177.8</v>
      </c>
      <c r="G93" s="241" t="s">
        <v>28</v>
      </c>
      <c r="H93" s="1299" t="s">
        <v>584</v>
      </c>
      <c r="I93" s="1815">
        <v>183.38</v>
      </c>
      <c r="J93" s="1815">
        <v>150</v>
      </c>
      <c r="K93" s="241"/>
      <c r="L93" s="241">
        <v>123</v>
      </c>
      <c r="M93" s="241"/>
      <c r="N93" s="241">
        <v>0.2</v>
      </c>
      <c r="O93" s="241"/>
      <c r="P93" s="1278">
        <f t="shared" ref="P93:P98" si="50">AI93</f>
        <v>5.7466740082638692</v>
      </c>
      <c r="Q93" s="1269">
        <f>(13*J93)/100</f>
        <v>19.5</v>
      </c>
      <c r="R93" s="244">
        <v>6.5129999999999999</v>
      </c>
      <c r="S93" s="244">
        <v>7.4450000000000003</v>
      </c>
      <c r="T93" s="1277">
        <v>0</v>
      </c>
      <c r="U93" s="244">
        <f t="shared" ref="U93:U98" si="51">IF(R93=0,0,T93/R93)</f>
        <v>0</v>
      </c>
      <c r="V93" s="1278">
        <f t="shared" ref="V93:V98" si="52">(S93-R93)/S93*100</f>
        <v>12.518468770987246</v>
      </c>
      <c r="W93" s="1279">
        <v>0.2</v>
      </c>
      <c r="X93" s="1410">
        <v>150</v>
      </c>
      <c r="Y93" s="1277">
        <f>IF(S93=0,0,S93/Q93)*100</f>
        <v>38.179487179487182</v>
      </c>
      <c r="Z93" s="244">
        <f t="shared" ref="Z93:AB98" si="53">R93*0.988</f>
        <v>6.434844</v>
      </c>
      <c r="AA93" s="244">
        <f t="shared" si="53"/>
        <v>7.3556600000000003</v>
      </c>
      <c r="AB93" s="244">
        <f t="shared" si="53"/>
        <v>0</v>
      </c>
      <c r="AC93" s="244">
        <f>U93</f>
        <v>0</v>
      </c>
      <c r="AD93" s="1278">
        <f>V93</f>
        <v>12.518468770987246</v>
      </c>
      <c r="AE93" s="241">
        <f t="shared" ref="AE93:AE98" si="54">(DAY(EOMONTH($AH$15,0))-AH93)</f>
        <v>31</v>
      </c>
      <c r="AF93" s="244">
        <f t="shared" ref="AF93:AF98" si="55">Z93*AE93</f>
        <v>199.480164</v>
      </c>
      <c r="AG93" s="1285"/>
      <c r="AI93" s="1282">
        <f t="shared" ref="AI93:AI98" si="56">(9.81*(AJ93*(100%-(V93/100))+AK93*(V93/100))*(I93-L93)+N93*101.325+9.81*(AL93)*L93)/101.325</f>
        <v>5.7466740082638692</v>
      </c>
      <c r="AJ93" s="1252">
        <v>0.92730000000000001</v>
      </c>
      <c r="AK93" s="1252">
        <v>1</v>
      </c>
      <c r="AL93" s="1252">
        <v>6.1000000000000004E-3</v>
      </c>
    </row>
    <row r="94" spans="1:38" ht="18.75" customHeight="1" x14ac:dyDescent="0.2">
      <c r="A94" s="1273">
        <v>75</v>
      </c>
      <c r="B94" s="241" t="s">
        <v>131</v>
      </c>
      <c r="C94" s="1316" t="s">
        <v>344</v>
      </c>
      <c r="D94" s="241">
        <v>389.74</v>
      </c>
      <c r="E94" s="1318" t="s">
        <v>713</v>
      </c>
      <c r="F94" s="241">
        <v>177.8</v>
      </c>
      <c r="G94" s="241" t="s">
        <v>28</v>
      </c>
      <c r="H94" s="1299" t="s">
        <v>540</v>
      </c>
      <c r="I94" s="1813">
        <v>136.35</v>
      </c>
      <c r="J94" s="1813">
        <v>160</v>
      </c>
      <c r="K94" s="1813"/>
      <c r="L94" s="1319">
        <v>89</v>
      </c>
      <c r="M94" s="1813"/>
      <c r="N94" s="1278">
        <v>1.5</v>
      </c>
      <c r="O94" s="1813"/>
      <c r="P94" s="1278">
        <f t="shared" si="50"/>
        <v>5.9358443507396093</v>
      </c>
      <c r="Q94" s="1278">
        <f>(22*J94)/100</f>
        <v>35.200000000000003</v>
      </c>
      <c r="R94" s="244">
        <v>15.618</v>
      </c>
      <c r="S94" s="244">
        <v>22.933</v>
      </c>
      <c r="T94" s="1319">
        <v>0</v>
      </c>
      <c r="U94" s="244">
        <f t="shared" si="51"/>
        <v>0</v>
      </c>
      <c r="V94" s="1278">
        <f t="shared" si="52"/>
        <v>31.897265948632974</v>
      </c>
      <c r="W94" s="1279">
        <v>0.2</v>
      </c>
      <c r="X94" s="1410">
        <v>160</v>
      </c>
      <c r="Y94" s="1277">
        <f t="shared" ref="Y94:Y102" si="57">IF(S94=0,0,S94/Q94)*100</f>
        <v>65.150568181818187</v>
      </c>
      <c r="Z94" s="244">
        <f t="shared" si="53"/>
        <v>15.430584</v>
      </c>
      <c r="AA94" s="244">
        <f t="shared" si="53"/>
        <v>22.657803999999999</v>
      </c>
      <c r="AB94" s="244">
        <f t="shared" si="53"/>
        <v>0</v>
      </c>
      <c r="AC94" s="244">
        <f t="shared" ref="AC94:AD98" si="58">U94</f>
        <v>0</v>
      </c>
      <c r="AD94" s="1278">
        <f t="shared" si="58"/>
        <v>31.897265948632974</v>
      </c>
      <c r="AE94" s="241">
        <f t="shared" si="54"/>
        <v>31</v>
      </c>
      <c r="AF94" s="244">
        <f>Z94*AE94</f>
        <v>478.34810399999998</v>
      </c>
      <c r="AG94" s="1285"/>
      <c r="AI94" s="1282">
        <f t="shared" si="56"/>
        <v>5.9358443507396093</v>
      </c>
      <c r="AJ94" s="1252">
        <v>0.93140000000000001</v>
      </c>
      <c r="AK94" s="1252">
        <v>1.0089999999999999</v>
      </c>
      <c r="AL94" s="1252">
        <v>6.1000000000000004E-3</v>
      </c>
    </row>
    <row r="95" spans="1:38" ht="32.25" customHeight="1" x14ac:dyDescent="0.2">
      <c r="A95" s="1273">
        <v>76</v>
      </c>
      <c r="B95" s="241" t="s">
        <v>132</v>
      </c>
      <c r="C95" s="1316" t="s">
        <v>313</v>
      </c>
      <c r="D95" s="241">
        <v>389.09</v>
      </c>
      <c r="E95" s="1318" t="s">
        <v>135</v>
      </c>
      <c r="F95" s="241">
        <v>177.8</v>
      </c>
      <c r="G95" s="241" t="s">
        <v>28</v>
      </c>
      <c r="H95" s="241" t="s">
        <v>485</v>
      </c>
      <c r="I95" s="1813">
        <v>130.11000000000001</v>
      </c>
      <c r="J95" s="1813">
        <v>170</v>
      </c>
      <c r="K95" s="1813"/>
      <c r="L95" s="1319">
        <v>69</v>
      </c>
      <c r="M95" s="1813"/>
      <c r="N95" s="1278">
        <v>0</v>
      </c>
      <c r="O95" s="1813"/>
      <c r="P95" s="1278">
        <f t="shared" si="50"/>
        <v>5.5642076555250517</v>
      </c>
      <c r="Q95" s="1278">
        <f>(15*J95)/100</f>
        <v>25.5</v>
      </c>
      <c r="R95" s="244">
        <v>10.55</v>
      </c>
      <c r="S95" s="244">
        <v>11.085000000000001</v>
      </c>
      <c r="T95" s="1319">
        <v>0</v>
      </c>
      <c r="U95" s="244">
        <f t="shared" si="51"/>
        <v>0</v>
      </c>
      <c r="V95" s="1278">
        <f t="shared" si="52"/>
        <v>4.8263419034731632</v>
      </c>
      <c r="W95" s="1279">
        <v>0.2</v>
      </c>
      <c r="X95" s="1410">
        <v>170</v>
      </c>
      <c r="Y95" s="1277">
        <f t="shared" si="57"/>
        <v>43.470588235294123</v>
      </c>
      <c r="Z95" s="244">
        <f t="shared" si="53"/>
        <v>10.423400000000001</v>
      </c>
      <c r="AA95" s="244">
        <f t="shared" si="53"/>
        <v>10.951980000000001</v>
      </c>
      <c r="AB95" s="244">
        <f t="shared" si="53"/>
        <v>0</v>
      </c>
      <c r="AC95" s="244">
        <f t="shared" si="58"/>
        <v>0</v>
      </c>
      <c r="AD95" s="1278">
        <f t="shared" si="58"/>
        <v>4.8263419034731632</v>
      </c>
      <c r="AE95" s="241">
        <f t="shared" si="54"/>
        <v>31</v>
      </c>
      <c r="AF95" s="244">
        <f t="shared" si="55"/>
        <v>323.12540000000001</v>
      </c>
      <c r="AG95" s="1285"/>
      <c r="AI95" s="1282">
        <f t="shared" si="56"/>
        <v>5.5642076555250517</v>
      </c>
      <c r="AJ95" s="1252">
        <v>0.93020000000000003</v>
      </c>
      <c r="AK95" s="1252">
        <v>1</v>
      </c>
      <c r="AL95" s="1252">
        <v>6.1000000000000004E-3</v>
      </c>
    </row>
    <row r="96" spans="1:38" ht="18.75" customHeight="1" x14ac:dyDescent="0.2">
      <c r="A96" s="1273">
        <v>77</v>
      </c>
      <c r="B96" s="241" t="s">
        <v>121</v>
      </c>
      <c r="C96" s="1316" t="s">
        <v>313</v>
      </c>
      <c r="D96" s="241">
        <v>389.57</v>
      </c>
      <c r="E96" s="241" t="s">
        <v>137</v>
      </c>
      <c r="F96" s="241">
        <v>177.8</v>
      </c>
      <c r="G96" s="241" t="s">
        <v>28</v>
      </c>
      <c r="H96" s="241" t="s">
        <v>588</v>
      </c>
      <c r="I96" s="1813">
        <v>134.97</v>
      </c>
      <c r="J96" s="1813">
        <v>170</v>
      </c>
      <c r="K96" s="1813"/>
      <c r="L96" s="1319">
        <v>54</v>
      </c>
      <c r="M96" s="1813"/>
      <c r="N96" s="1278">
        <v>0</v>
      </c>
      <c r="O96" s="1813"/>
      <c r="P96" s="1278">
        <f t="shared" si="50"/>
        <v>7.3776859030436075</v>
      </c>
      <c r="Q96" s="1278">
        <f>(14*J96)/100</f>
        <v>23.8</v>
      </c>
      <c r="R96" s="244">
        <v>13.779</v>
      </c>
      <c r="S96" s="244">
        <v>14.906000000000001</v>
      </c>
      <c r="T96" s="1319">
        <v>0</v>
      </c>
      <c r="U96" s="244">
        <f t="shared" si="51"/>
        <v>0</v>
      </c>
      <c r="V96" s="1278">
        <f t="shared" si="52"/>
        <v>7.5607138065208677</v>
      </c>
      <c r="W96" s="1279">
        <v>0.2</v>
      </c>
      <c r="X96" s="1410">
        <v>170</v>
      </c>
      <c r="Y96" s="1277">
        <f t="shared" si="57"/>
        <v>62.63025210084033</v>
      </c>
      <c r="Z96" s="244">
        <f t="shared" si="53"/>
        <v>13.613652</v>
      </c>
      <c r="AA96" s="244">
        <f t="shared" si="53"/>
        <v>14.727128</v>
      </c>
      <c r="AB96" s="244">
        <f t="shared" si="53"/>
        <v>0</v>
      </c>
      <c r="AC96" s="244">
        <f t="shared" si="58"/>
        <v>0</v>
      </c>
      <c r="AD96" s="1278">
        <f t="shared" si="58"/>
        <v>7.5607138065208677</v>
      </c>
      <c r="AE96" s="241">
        <f t="shared" si="54"/>
        <v>31</v>
      </c>
      <c r="AF96" s="244">
        <f t="shared" si="55"/>
        <v>422.023212</v>
      </c>
      <c r="AG96" s="1285"/>
      <c r="AI96" s="1282">
        <f t="shared" si="56"/>
        <v>7.3776859030436075</v>
      </c>
      <c r="AJ96" s="1252">
        <v>0.93189999999999995</v>
      </c>
      <c r="AK96" s="1252">
        <v>1</v>
      </c>
      <c r="AL96" s="1252">
        <v>6.1000000000000004E-3</v>
      </c>
    </row>
    <row r="97" spans="1:38" ht="18.75" customHeight="1" x14ac:dyDescent="0.2">
      <c r="A97" s="1273">
        <v>78</v>
      </c>
      <c r="B97" s="241" t="s">
        <v>122</v>
      </c>
      <c r="C97" s="1316" t="s">
        <v>313</v>
      </c>
      <c r="D97" s="241">
        <v>391.06</v>
      </c>
      <c r="E97" s="241" t="s">
        <v>138</v>
      </c>
      <c r="F97" s="241">
        <v>177.8</v>
      </c>
      <c r="G97" s="241" t="s">
        <v>28</v>
      </c>
      <c r="H97" s="241" t="s">
        <v>588</v>
      </c>
      <c r="I97" s="244">
        <v>149.84</v>
      </c>
      <c r="J97" s="1808">
        <v>150</v>
      </c>
      <c r="K97" s="1808"/>
      <c r="L97" s="1319">
        <v>105</v>
      </c>
      <c r="M97" s="1808"/>
      <c r="N97" s="1278">
        <v>0.5</v>
      </c>
      <c r="O97" s="1808"/>
      <c r="P97" s="1278">
        <f t="shared" si="50"/>
        <v>4.6465299249112064</v>
      </c>
      <c r="Q97" s="1278">
        <f>(14*J97)/100</f>
        <v>21</v>
      </c>
      <c r="R97" s="244">
        <v>6.9690000000000003</v>
      </c>
      <c r="S97" s="244">
        <v>8.0340000000000007</v>
      </c>
      <c r="T97" s="1319">
        <v>0</v>
      </c>
      <c r="U97" s="244">
        <f t="shared" si="51"/>
        <v>0</v>
      </c>
      <c r="V97" s="1278">
        <f t="shared" si="52"/>
        <v>13.256161314413745</v>
      </c>
      <c r="W97" s="1279">
        <v>0.2</v>
      </c>
      <c r="X97" s="1410">
        <v>150</v>
      </c>
      <c r="Y97" s="1277">
        <f t="shared" si="57"/>
        <v>38.25714285714286</v>
      </c>
      <c r="Z97" s="244">
        <f t="shared" si="53"/>
        <v>6.8853720000000003</v>
      </c>
      <c r="AA97" s="244">
        <f t="shared" si="53"/>
        <v>7.9375920000000004</v>
      </c>
      <c r="AB97" s="244">
        <f t="shared" si="53"/>
        <v>0</v>
      </c>
      <c r="AC97" s="244">
        <f t="shared" si="58"/>
        <v>0</v>
      </c>
      <c r="AD97" s="1278">
        <f t="shared" si="58"/>
        <v>13.256161314413745</v>
      </c>
      <c r="AE97" s="241">
        <f t="shared" si="54"/>
        <v>31</v>
      </c>
      <c r="AF97" s="244">
        <f t="shared" si="55"/>
        <v>213.44653200000002</v>
      </c>
      <c r="AG97" s="1285"/>
      <c r="AI97" s="1282">
        <f t="shared" si="56"/>
        <v>4.6465299249112064</v>
      </c>
      <c r="AJ97" s="1252">
        <v>0.93089999999999995</v>
      </c>
      <c r="AK97" s="1252">
        <v>1.006</v>
      </c>
      <c r="AL97" s="1252">
        <v>6.1000000000000004E-3</v>
      </c>
    </row>
    <row r="98" spans="1:38" ht="18.75" customHeight="1" x14ac:dyDescent="0.2">
      <c r="A98" s="1273">
        <v>79</v>
      </c>
      <c r="B98" s="241" t="s">
        <v>697</v>
      </c>
      <c r="C98" s="1316" t="s">
        <v>344</v>
      </c>
      <c r="D98" s="241">
        <v>383.1</v>
      </c>
      <c r="E98" s="241" t="s">
        <v>698</v>
      </c>
      <c r="F98" s="241">
        <v>177.8</v>
      </c>
      <c r="G98" s="241" t="s">
        <v>28</v>
      </c>
      <c r="H98" s="1299" t="s">
        <v>800</v>
      </c>
      <c r="I98" s="244">
        <v>206.58</v>
      </c>
      <c r="J98" s="241">
        <v>150</v>
      </c>
      <c r="K98" s="1302"/>
      <c r="L98" s="1277">
        <v>43</v>
      </c>
      <c r="M98" s="1302"/>
      <c r="N98" s="241">
        <v>0.6</v>
      </c>
      <c r="O98" s="1302"/>
      <c r="P98" s="1278">
        <f t="shared" si="50"/>
        <v>15.624431782873797</v>
      </c>
      <c r="Q98" s="1269">
        <f>(7*J98)/100</f>
        <v>10.5</v>
      </c>
      <c r="R98" s="244">
        <v>6.0309999999999997</v>
      </c>
      <c r="S98" s="244">
        <v>7.93</v>
      </c>
      <c r="T98" s="1277">
        <v>0</v>
      </c>
      <c r="U98" s="244">
        <f t="shared" si="51"/>
        <v>0</v>
      </c>
      <c r="V98" s="1278">
        <f t="shared" si="52"/>
        <v>23.947036569987389</v>
      </c>
      <c r="W98" s="1279">
        <v>0.2</v>
      </c>
      <c r="X98" s="1410">
        <v>150</v>
      </c>
      <c r="Y98" s="1277">
        <f t="shared" si="57"/>
        <v>75.523809523809533</v>
      </c>
      <c r="Z98" s="244">
        <f t="shared" si="53"/>
        <v>5.958628</v>
      </c>
      <c r="AA98" s="244">
        <f t="shared" si="53"/>
        <v>7.8348399999999998</v>
      </c>
      <c r="AB98" s="244">
        <f t="shared" si="53"/>
        <v>0</v>
      </c>
      <c r="AC98" s="244">
        <f t="shared" si="58"/>
        <v>0</v>
      </c>
      <c r="AD98" s="1278">
        <f t="shared" si="58"/>
        <v>23.947036569987389</v>
      </c>
      <c r="AE98" s="241">
        <f t="shared" si="54"/>
        <v>31</v>
      </c>
      <c r="AF98" s="244">
        <f t="shared" si="55"/>
        <v>184.717468</v>
      </c>
      <c r="AG98" s="1285"/>
      <c r="AI98" s="1282">
        <f t="shared" si="56"/>
        <v>15.624431782873797</v>
      </c>
      <c r="AJ98" s="1252">
        <v>0.9304</v>
      </c>
      <c r="AK98" s="1252">
        <v>1</v>
      </c>
      <c r="AL98" s="1252">
        <v>6.1000000000000004E-3</v>
      </c>
    </row>
    <row r="99" spans="1:38" ht="18.75" customHeight="1" x14ac:dyDescent="0.2">
      <c r="A99" s="1273">
        <v>80</v>
      </c>
      <c r="B99" s="241" t="s">
        <v>188</v>
      </c>
      <c r="C99" s="1316" t="s">
        <v>344</v>
      </c>
      <c r="D99" s="241">
        <v>224.89</v>
      </c>
      <c r="E99" s="241" t="s">
        <v>385</v>
      </c>
      <c r="F99" s="241">
        <v>177.8</v>
      </c>
      <c r="G99" s="241" t="s">
        <v>28</v>
      </c>
      <c r="H99" s="241" t="s">
        <v>383</v>
      </c>
      <c r="I99" s="244">
        <v>144.54</v>
      </c>
      <c r="J99" s="241"/>
      <c r="K99" s="1302"/>
      <c r="L99" s="241"/>
      <c r="M99" s="1302"/>
      <c r="N99" s="241"/>
      <c r="O99" s="1302"/>
      <c r="P99" s="1278"/>
      <c r="Q99" s="1269"/>
      <c r="R99" s="244"/>
      <c r="S99" s="244"/>
      <c r="T99" s="244"/>
      <c r="U99" s="244"/>
      <c r="V99" s="244"/>
      <c r="W99" s="1355"/>
      <c r="X99" s="1316"/>
      <c r="Y99" s="1277">
        <f t="shared" si="57"/>
        <v>0</v>
      </c>
      <c r="Z99" s="244"/>
      <c r="AA99" s="244"/>
      <c r="AB99" s="244"/>
      <c r="AC99" s="244"/>
      <c r="AD99" s="244"/>
      <c r="AE99" s="241"/>
      <c r="AF99" s="244"/>
      <c r="AG99" s="1281" t="s">
        <v>682</v>
      </c>
    </row>
    <row r="100" spans="1:38" ht="18.75" customHeight="1" x14ac:dyDescent="0.2">
      <c r="A100" s="1273">
        <v>81</v>
      </c>
      <c r="B100" s="241" t="s">
        <v>186</v>
      </c>
      <c r="C100" s="1316" t="s">
        <v>346</v>
      </c>
      <c r="D100" s="241">
        <v>349.5</v>
      </c>
      <c r="E100" s="1274" t="s">
        <v>347</v>
      </c>
      <c r="F100" s="241">
        <v>177.8</v>
      </c>
      <c r="G100" s="241" t="s">
        <v>618</v>
      </c>
      <c r="H100" s="1299" t="s">
        <v>466</v>
      </c>
      <c r="I100" s="244">
        <v>9</v>
      </c>
      <c r="J100" s="241"/>
      <c r="K100" s="241"/>
      <c r="L100" s="241"/>
      <c r="M100" s="1302"/>
      <c r="N100" s="241"/>
      <c r="O100" s="1302"/>
      <c r="P100" s="1278"/>
      <c r="Q100" s="1269"/>
      <c r="R100" s="244"/>
      <c r="S100" s="244"/>
      <c r="T100" s="244"/>
      <c r="U100" s="244"/>
      <c r="V100" s="244"/>
      <c r="W100" s="1355"/>
      <c r="X100" s="1316"/>
      <c r="Y100" s="1277">
        <f t="shared" si="57"/>
        <v>0</v>
      </c>
      <c r="Z100" s="244"/>
      <c r="AA100" s="244"/>
      <c r="AB100" s="244"/>
      <c r="AC100" s="244"/>
      <c r="AD100" s="244"/>
      <c r="AE100" s="241"/>
      <c r="AF100" s="244"/>
      <c r="AG100" s="1281" t="s">
        <v>682</v>
      </c>
    </row>
    <row r="101" spans="1:38" ht="18.75" customHeight="1" x14ac:dyDescent="0.2">
      <c r="A101" s="1273">
        <v>82</v>
      </c>
      <c r="B101" s="241" t="s">
        <v>57</v>
      </c>
      <c r="C101" s="1316" t="s">
        <v>346</v>
      </c>
      <c r="D101" s="241">
        <v>376.58</v>
      </c>
      <c r="E101" s="1274" t="s">
        <v>568</v>
      </c>
      <c r="F101" s="241">
        <v>177.8</v>
      </c>
      <c r="G101" s="241" t="s">
        <v>28</v>
      </c>
      <c r="H101" s="1299" t="s">
        <v>466</v>
      </c>
      <c r="I101" s="1808">
        <v>131.13</v>
      </c>
      <c r="J101" s="1448">
        <v>0</v>
      </c>
      <c r="K101" s="241"/>
      <c r="L101" s="241">
        <v>0</v>
      </c>
      <c r="M101" s="241"/>
      <c r="N101" s="1278">
        <v>0</v>
      </c>
      <c r="O101" s="241"/>
      <c r="P101" s="1278">
        <v>15.793855791841201</v>
      </c>
      <c r="Q101" s="1278">
        <f>(32/100)*J101</f>
        <v>0</v>
      </c>
      <c r="R101" s="244"/>
      <c r="S101" s="244">
        <v>0</v>
      </c>
      <c r="T101" s="1277">
        <v>0</v>
      </c>
      <c r="U101" s="1278">
        <f t="shared" ref="U101:U102" si="59">IF(R101=0,0,T101/R101)</f>
        <v>0</v>
      </c>
      <c r="V101" s="1278">
        <v>0.5</v>
      </c>
      <c r="W101" s="1279">
        <v>0.3</v>
      </c>
      <c r="X101" s="1449">
        <v>0</v>
      </c>
      <c r="Y101" s="1277">
        <f t="shared" si="57"/>
        <v>0</v>
      </c>
      <c r="Z101" s="244"/>
      <c r="AA101" s="244"/>
      <c r="AB101" s="244"/>
      <c r="AC101" s="244"/>
      <c r="AD101" s="244"/>
      <c r="AE101" s="241"/>
      <c r="AF101" s="244"/>
      <c r="AG101" s="1281" t="s">
        <v>682</v>
      </c>
    </row>
    <row r="102" spans="1:38" ht="18.75" customHeight="1" x14ac:dyDescent="0.2">
      <c r="A102" s="1273">
        <v>83</v>
      </c>
      <c r="B102" s="241" t="s">
        <v>184</v>
      </c>
      <c r="C102" s="1316" t="s">
        <v>314</v>
      </c>
      <c r="D102" s="241">
        <v>422.78</v>
      </c>
      <c r="E102" s="1274" t="s">
        <v>573</v>
      </c>
      <c r="F102" s="241">
        <v>177.8</v>
      </c>
      <c r="G102" s="241" t="s">
        <v>28</v>
      </c>
      <c r="H102" s="1299" t="s">
        <v>466</v>
      </c>
      <c r="I102" s="1808">
        <v>209.37</v>
      </c>
      <c r="J102" s="1448">
        <v>0</v>
      </c>
      <c r="K102" s="241"/>
      <c r="L102" s="241">
        <v>0</v>
      </c>
      <c r="M102" s="241"/>
      <c r="N102" s="1278">
        <v>0</v>
      </c>
      <c r="O102" s="241"/>
      <c r="P102" s="1278">
        <v>15.793855791841201</v>
      </c>
      <c r="Q102" s="1278">
        <f>(32/100)*J102</f>
        <v>0</v>
      </c>
      <c r="R102" s="244"/>
      <c r="S102" s="244">
        <v>0</v>
      </c>
      <c r="T102" s="1277">
        <v>0</v>
      </c>
      <c r="U102" s="1278">
        <f t="shared" si="59"/>
        <v>0</v>
      </c>
      <c r="V102" s="1278">
        <v>0.3</v>
      </c>
      <c r="W102" s="1279">
        <v>0.3</v>
      </c>
      <c r="X102" s="1449">
        <v>0</v>
      </c>
      <c r="Y102" s="1277">
        <f t="shared" si="57"/>
        <v>0</v>
      </c>
      <c r="Z102" s="244"/>
      <c r="AA102" s="244"/>
      <c r="AB102" s="244"/>
      <c r="AC102" s="244"/>
      <c r="AD102" s="244"/>
      <c r="AE102" s="241"/>
      <c r="AF102" s="244"/>
      <c r="AG102" s="1281" t="s">
        <v>682</v>
      </c>
    </row>
    <row r="103" spans="1:38" ht="18.75" customHeight="1" x14ac:dyDescent="0.2">
      <c r="A103" s="1347"/>
      <c r="B103" s="1364"/>
      <c r="C103" s="1365"/>
      <c r="D103" s="1365"/>
      <c r="E103" s="1366"/>
      <c r="F103" s="1808"/>
      <c r="G103" s="1805"/>
      <c r="H103" s="1807"/>
      <c r="I103" s="1807"/>
      <c r="J103" s="1808"/>
      <c r="K103" s="1808"/>
      <c r="L103" s="1808"/>
      <c r="M103" s="1808"/>
      <c r="N103" s="1808"/>
      <c r="O103" s="1808"/>
      <c r="P103" s="1269"/>
      <c r="Q103" s="1269"/>
      <c r="R103" s="1348">
        <f>SUM(R93:R98)</f>
        <v>59.459999999999994</v>
      </c>
      <c r="S103" s="1348">
        <f>SUM(S93:S98)</f>
        <v>72.332999999999998</v>
      </c>
      <c r="T103" s="1348">
        <f>SUM(T93:T98)</f>
        <v>0</v>
      </c>
      <c r="U103" s="1348">
        <f>SUM(U93:U98)</f>
        <v>0</v>
      </c>
      <c r="V103" s="1805"/>
      <c r="W103" s="1806"/>
      <c r="X103" s="1410"/>
      <c r="Y103" s="1805"/>
      <c r="Z103" s="1348">
        <f>SUM(Z93:Z98)</f>
        <v>58.746479999999998</v>
      </c>
      <c r="AA103" s="1348">
        <f>SUM(AA93:AA100)</f>
        <v>71.465003999999993</v>
      </c>
      <c r="AB103" s="1348">
        <f>SUM(AB94:AB97)</f>
        <v>0</v>
      </c>
      <c r="AC103" s="1348">
        <v>0</v>
      </c>
      <c r="AD103" s="1805"/>
      <c r="AE103" s="1818"/>
      <c r="AF103" s="1348">
        <f>SUM(AF93:AF100)</f>
        <v>1821.1408799999999</v>
      </c>
      <c r="AG103" s="1368"/>
    </row>
    <row r="104" spans="1:38" ht="18.75" customHeight="1" x14ac:dyDescent="0.2">
      <c r="A104" s="1347"/>
      <c r="B104" s="1370"/>
      <c r="C104" s="1371"/>
      <c r="D104" s="1371"/>
      <c r="E104" s="1807" t="s">
        <v>835</v>
      </c>
      <c r="F104" s="1371"/>
      <c r="G104" s="1805"/>
      <c r="H104" s="1807"/>
      <c r="I104" s="1807"/>
      <c r="J104" s="1808"/>
      <c r="K104" s="1808"/>
      <c r="L104" s="1808"/>
      <c r="M104" s="1808"/>
      <c r="N104" s="1808"/>
      <c r="O104" s="1808"/>
      <c r="P104" s="1269"/>
      <c r="Q104" s="1269"/>
      <c r="R104" s="1808"/>
      <c r="S104" s="1808"/>
      <c r="T104" s="1808"/>
      <c r="U104" s="1805"/>
      <c r="V104" s="1805"/>
      <c r="W104" s="1806"/>
      <c r="X104" s="1410"/>
      <c r="Y104" s="1805"/>
      <c r="Z104" s="1808"/>
      <c r="AA104" s="1808"/>
      <c r="AB104" s="1808"/>
      <c r="AC104" s="1817"/>
      <c r="AD104" s="1805"/>
      <c r="AE104" s="1818"/>
      <c r="AF104" s="1808"/>
      <c r="AG104" s="1810"/>
    </row>
    <row r="105" spans="1:38" ht="18.75" customHeight="1" x14ac:dyDescent="0.2">
      <c r="A105" s="1273">
        <v>84</v>
      </c>
      <c r="B105" s="1317" t="s">
        <v>107</v>
      </c>
      <c r="C105" s="1808" t="s">
        <v>109</v>
      </c>
      <c r="D105" s="1808"/>
      <c r="E105" s="1808"/>
      <c r="F105" s="1808"/>
      <c r="G105" s="1805"/>
      <c r="H105" s="1807"/>
      <c r="I105" s="1807"/>
      <c r="J105" s="1808"/>
      <c r="K105" s="1808"/>
      <c r="L105" s="1808"/>
      <c r="M105" s="1808"/>
      <c r="N105" s="1808"/>
      <c r="O105" s="1808"/>
      <c r="P105" s="1269"/>
      <c r="Q105" s="1269"/>
      <c r="R105" s="1808"/>
      <c r="S105" s="1808"/>
      <c r="T105" s="1808"/>
      <c r="U105" s="1805"/>
      <c r="V105" s="1805"/>
      <c r="W105" s="1806"/>
      <c r="X105" s="1410"/>
      <c r="Y105" s="1805"/>
      <c r="Z105" s="1807"/>
      <c r="AA105" s="1807"/>
      <c r="AB105" s="1808"/>
      <c r="AC105" s="1817"/>
      <c r="AD105" s="1805"/>
      <c r="AE105" s="1373"/>
      <c r="AF105" s="1808"/>
      <c r="AG105" s="1810"/>
    </row>
    <row r="106" spans="1:38" ht="18.75" customHeight="1" x14ac:dyDescent="0.2">
      <c r="A106" s="1273">
        <v>85</v>
      </c>
      <c r="B106" s="1317" t="s">
        <v>108</v>
      </c>
      <c r="C106" s="1808" t="s">
        <v>109</v>
      </c>
      <c r="D106" s="1808"/>
      <c r="E106" s="1808"/>
      <c r="F106" s="1808"/>
      <c r="G106" s="1805"/>
      <c r="H106" s="1807"/>
      <c r="I106" s="1807"/>
      <c r="J106" s="1808"/>
      <c r="K106" s="1808"/>
      <c r="L106" s="1808"/>
      <c r="M106" s="1808"/>
      <c r="N106" s="1808"/>
      <c r="O106" s="1808"/>
      <c r="P106" s="1269"/>
      <c r="Q106" s="1269"/>
      <c r="R106" s="1301"/>
      <c r="S106" s="1808"/>
      <c r="T106" s="1808"/>
      <c r="U106" s="1805"/>
      <c r="V106" s="1805"/>
      <c r="W106" s="1806"/>
      <c r="X106" s="1410"/>
      <c r="Y106" s="1805"/>
      <c r="Z106" s="1807"/>
      <c r="AA106" s="1807"/>
      <c r="AB106" s="1808"/>
      <c r="AC106" s="1817"/>
      <c r="AD106" s="1805"/>
      <c r="AE106" s="1373"/>
      <c r="AF106" s="1808"/>
      <c r="AG106" s="1810"/>
    </row>
    <row r="107" spans="1:38" ht="18.75" customHeight="1" x14ac:dyDescent="0.2">
      <c r="A107" s="1273">
        <v>86</v>
      </c>
      <c r="B107" s="1317" t="s">
        <v>195</v>
      </c>
      <c r="C107" s="1316" t="s">
        <v>484</v>
      </c>
      <c r="D107" s="1808"/>
      <c r="E107" s="1808"/>
      <c r="F107" s="1808"/>
      <c r="G107" s="1805"/>
      <c r="H107" s="1807"/>
      <c r="I107" s="1807"/>
      <c r="J107" s="1808"/>
      <c r="K107" s="1808"/>
      <c r="L107" s="1808"/>
      <c r="M107" s="1808"/>
      <c r="N107" s="1808"/>
      <c r="O107" s="1808"/>
      <c r="P107" s="1269"/>
      <c r="Q107" s="1269"/>
      <c r="R107" s="1808"/>
      <c r="S107" s="1808"/>
      <c r="T107" s="1808"/>
      <c r="U107" s="1805"/>
      <c r="V107" s="1805"/>
      <c r="W107" s="1806"/>
      <c r="X107" s="1410"/>
      <c r="Y107" s="1805"/>
      <c r="Z107" s="1807"/>
      <c r="AA107" s="1807"/>
      <c r="AB107" s="1808"/>
      <c r="AC107" s="1817"/>
      <c r="AD107" s="1805"/>
      <c r="AE107" s="1373"/>
      <c r="AF107" s="1808"/>
      <c r="AG107" s="1285"/>
    </row>
    <row r="108" spans="1:38" ht="18.75" customHeight="1" x14ac:dyDescent="0.2">
      <c r="A108" s="1273">
        <v>87</v>
      </c>
      <c r="B108" s="1317" t="s">
        <v>192</v>
      </c>
      <c r="C108" s="1316" t="s">
        <v>484</v>
      </c>
      <c r="D108" s="1808"/>
      <c r="E108" s="1808"/>
      <c r="F108" s="1808"/>
      <c r="G108" s="1805"/>
      <c r="H108" s="1807"/>
      <c r="I108" s="1807"/>
      <c r="J108" s="1808"/>
      <c r="K108" s="1808"/>
      <c r="L108" s="1808"/>
      <c r="M108" s="1808"/>
      <c r="N108" s="1808"/>
      <c r="O108" s="1808"/>
      <c r="P108" s="1269"/>
      <c r="Q108" s="1269"/>
      <c r="R108" s="1808"/>
      <c r="S108" s="1808"/>
      <c r="T108" s="1808"/>
      <c r="U108" s="1805"/>
      <c r="V108" s="1805"/>
      <c r="W108" s="1806"/>
      <c r="X108" s="1410"/>
      <c r="Y108" s="1805"/>
      <c r="Z108" s="1807"/>
      <c r="AA108" s="1807"/>
      <c r="AB108" s="1808"/>
      <c r="AC108" s="1817"/>
      <c r="AD108" s="1805"/>
      <c r="AE108" s="1373"/>
      <c r="AF108" s="1808"/>
      <c r="AG108" s="1285"/>
    </row>
    <row r="109" spans="1:38" ht="18.75" customHeight="1" x14ac:dyDescent="0.2">
      <c r="A109" s="1273"/>
      <c r="B109" s="1262"/>
      <c r="C109" s="1371"/>
      <c r="D109" s="1371"/>
      <c r="E109" s="1807" t="s">
        <v>278</v>
      </c>
      <c r="F109" s="1371"/>
      <c r="G109" s="1805"/>
      <c r="H109" s="1807"/>
      <c r="I109" s="1807"/>
      <c r="J109" s="1808"/>
      <c r="K109" s="1808"/>
      <c r="L109" s="1808"/>
      <c r="M109" s="1808"/>
      <c r="N109" s="1808"/>
      <c r="O109" s="1808"/>
      <c r="P109" s="1269"/>
      <c r="Q109" s="1269"/>
      <c r="R109" s="1808"/>
      <c r="S109" s="1808"/>
      <c r="T109" s="1808"/>
      <c r="U109" s="1805"/>
      <c r="V109" s="1805"/>
      <c r="W109" s="1806"/>
      <c r="X109" s="1410"/>
      <c r="Y109" s="1805"/>
      <c r="Z109" s="1301"/>
      <c r="AA109" s="1808"/>
      <c r="AB109" s="1808"/>
      <c r="AC109" s="1817"/>
      <c r="AD109" s="1805"/>
      <c r="AE109" s="1818"/>
      <c r="AF109" s="1808"/>
      <c r="AG109" s="1810"/>
    </row>
    <row r="110" spans="1:38" ht="18.75" customHeight="1" x14ac:dyDescent="0.25">
      <c r="A110" s="1273">
        <v>88</v>
      </c>
      <c r="B110" s="1274" t="s">
        <v>181</v>
      </c>
      <c r="C110" s="1374" t="s">
        <v>344</v>
      </c>
      <c r="D110" s="241">
        <v>374.5</v>
      </c>
      <c r="E110" s="241" t="s">
        <v>182</v>
      </c>
      <c r="F110" s="241">
        <v>177.8</v>
      </c>
      <c r="G110" s="241"/>
      <c r="H110" s="241"/>
      <c r="I110" s="1808"/>
      <c r="J110" s="241"/>
      <c r="K110" s="241"/>
      <c r="L110" s="241"/>
      <c r="M110" s="241"/>
      <c r="N110" s="1278"/>
      <c r="O110" s="241"/>
      <c r="P110" s="244"/>
      <c r="Q110" s="1278"/>
      <c r="R110" s="244"/>
      <c r="S110" s="244"/>
      <c r="T110" s="244"/>
      <c r="U110" s="244"/>
      <c r="V110" s="244"/>
      <c r="W110" s="1355"/>
      <c r="X110" s="1316"/>
      <c r="Y110" s="1375"/>
      <c r="Z110" s="244"/>
      <c r="AA110" s="244"/>
      <c r="AB110" s="244"/>
      <c r="AC110" s="244"/>
      <c r="AD110" s="244"/>
      <c r="AE110" s="241"/>
      <c r="AF110" s="244"/>
      <c r="AG110" s="1285"/>
    </row>
    <row r="111" spans="1:38" ht="18.75" customHeight="1" x14ac:dyDescent="0.2">
      <c r="A111" s="1273"/>
      <c r="B111" s="1317"/>
      <c r="C111" s="241"/>
      <c r="D111" s="1808"/>
      <c r="E111" s="1808"/>
      <c r="F111" s="241"/>
      <c r="G111" s="241"/>
      <c r="H111" s="241"/>
      <c r="I111" s="244"/>
      <c r="J111" s="1808"/>
      <c r="K111" s="1808"/>
      <c r="L111" s="1808"/>
      <c r="M111" s="1808"/>
      <c r="N111" s="1808"/>
      <c r="O111" s="1808"/>
      <c r="P111" s="1269"/>
      <c r="Q111" s="1269"/>
      <c r="R111" s="1808"/>
      <c r="S111" s="1808"/>
      <c r="T111" s="1808"/>
      <c r="U111" s="1805"/>
      <c r="V111" s="1805"/>
      <c r="W111" s="1806"/>
      <c r="X111" s="1410"/>
      <c r="Y111" s="1376"/>
      <c r="Z111" s="1319"/>
      <c r="AA111" s="1808"/>
      <c r="AB111" s="1808"/>
      <c r="AC111" s="1817"/>
      <c r="AD111" s="1808"/>
      <c r="AE111" s="1373"/>
      <c r="AF111" s="1301"/>
      <c r="AG111" s="1285"/>
    </row>
    <row r="112" spans="1:38" ht="15" x14ac:dyDescent="0.2">
      <c r="A112" s="1359"/>
      <c r="B112" s="241"/>
      <c r="C112" s="241"/>
      <c r="D112" s="241"/>
      <c r="E112" s="1274"/>
      <c r="F112" s="241"/>
      <c r="G112" s="241"/>
      <c r="H112" s="241"/>
      <c r="I112" s="1808"/>
      <c r="J112" s="241"/>
      <c r="K112" s="241"/>
      <c r="L112" s="241"/>
      <c r="M112" s="241"/>
      <c r="N112" s="1278"/>
      <c r="O112" s="241"/>
      <c r="P112" s="244"/>
      <c r="Q112" s="1377"/>
      <c r="R112" s="244"/>
      <c r="S112" s="244"/>
      <c r="T112" s="244"/>
      <c r="U112" s="244"/>
      <c r="V112" s="244"/>
      <c r="W112" s="1355"/>
      <c r="X112" s="1316"/>
      <c r="Y112" s="1375"/>
      <c r="Z112" s="244"/>
      <c r="AA112" s="244"/>
      <c r="AB112" s="244"/>
      <c r="AC112" s="244"/>
      <c r="AD112" s="244"/>
      <c r="AE112" s="241"/>
      <c r="AF112" s="244"/>
      <c r="AG112" s="1285"/>
    </row>
    <row r="113" spans="1:33" ht="15.75" thickBot="1" x14ac:dyDescent="0.25">
      <c r="A113" s="1378"/>
      <c r="B113" s="1801"/>
      <c r="C113" s="1801"/>
      <c r="D113" s="1801"/>
      <c r="E113" s="1802"/>
      <c r="F113" s="1379"/>
      <c r="G113" s="1380"/>
      <c r="H113" s="1380"/>
      <c r="I113" s="1381"/>
      <c r="J113" s="1380"/>
      <c r="K113" s="1379"/>
      <c r="L113" s="1380"/>
      <c r="M113" s="1379"/>
      <c r="N113" s="1383"/>
      <c r="O113" s="1379"/>
      <c r="P113" s="1384"/>
      <c r="Q113" s="1385"/>
      <c r="R113" s="1386">
        <f>R87+R103</f>
        <v>369.81499999999988</v>
      </c>
      <c r="S113" s="1386">
        <f>S87+S103</f>
        <v>863.0350000000002</v>
      </c>
      <c r="T113" s="1387">
        <f>T87+T103</f>
        <v>6418.8720000000003</v>
      </c>
      <c r="U113" s="1386">
        <f>T113/R113</f>
        <v>17.356981193299358</v>
      </c>
      <c r="V113" s="1386"/>
      <c r="W113" s="1388"/>
      <c r="X113" s="1456"/>
      <c r="Y113" s="1386"/>
      <c r="Z113" s="1386">
        <f>Z87+Z103</f>
        <v>381.67371200000008</v>
      </c>
      <c r="AA113" s="1386">
        <f>AA87+AA103</f>
        <v>883.26540000000011</v>
      </c>
      <c r="AB113" s="1387">
        <f>AB87+AB103</f>
        <v>6589.2735360000006</v>
      </c>
      <c r="AC113" s="1386">
        <f>AC87+AC103</f>
        <v>20.404824626248924</v>
      </c>
      <c r="AD113" s="1386"/>
      <c r="AE113" s="1386"/>
      <c r="AF113" s="1390">
        <f>AF87+AF103</f>
        <v>11472.330995999997</v>
      </c>
      <c r="AG113" s="1391"/>
    </row>
    <row r="114" spans="1:33" ht="15" x14ac:dyDescent="0.2">
      <c r="B114" s="254"/>
      <c r="C114" s="254"/>
      <c r="D114" s="254"/>
      <c r="E114" s="254"/>
      <c r="F114" s="254"/>
      <c r="G114" s="255"/>
      <c r="H114" s="256"/>
      <c r="I114" s="256"/>
      <c r="J114" s="254"/>
      <c r="K114" s="254"/>
      <c r="L114" s="254"/>
      <c r="M114" s="254"/>
      <c r="N114" s="254"/>
      <c r="O114" s="254"/>
      <c r="P114" s="257"/>
      <c r="Q114" s="1393"/>
      <c r="R114" s="254"/>
      <c r="S114" s="254"/>
      <c r="T114" s="254"/>
      <c r="U114" s="255"/>
      <c r="V114" s="255"/>
      <c r="W114" s="255"/>
      <c r="X114" s="254"/>
      <c r="Y114" s="255"/>
      <c r="Z114" s="254"/>
      <c r="AA114" s="254"/>
      <c r="AB114" s="254"/>
      <c r="AC114" s="255"/>
      <c r="AD114" s="255"/>
      <c r="AE114" s="254"/>
      <c r="AF114" s="254"/>
      <c r="AG114" s="256"/>
    </row>
    <row r="115" spans="1:33" ht="15" x14ac:dyDescent="0.2">
      <c r="B115" s="148"/>
      <c r="C115" s="1809"/>
      <c r="D115" s="148"/>
      <c r="E115" s="1394">
        <v>0.97</v>
      </c>
      <c r="F115" s="148"/>
      <c r="G115" s="148" t="s">
        <v>102</v>
      </c>
      <c r="H115" s="1809"/>
      <c r="I115" s="1395"/>
      <c r="J115" s="148"/>
      <c r="K115" s="1983">
        <f>AF113*E115</f>
        <v>11128.161066119997</v>
      </c>
      <c r="L115" s="1984"/>
      <c r="M115" s="1984"/>
      <c r="N115" s="1809" t="s">
        <v>27</v>
      </c>
      <c r="O115" s="254"/>
      <c r="P115" s="257"/>
      <c r="Q115" s="1393"/>
      <c r="R115" s="254"/>
      <c r="S115" s="254"/>
      <c r="T115" s="254"/>
      <c r="U115" s="255"/>
      <c r="V115" s="255"/>
      <c r="W115" s="255"/>
      <c r="X115" s="148"/>
      <c r="Y115" s="255"/>
      <c r="Z115" s="258"/>
      <c r="AA115" s="258">
        <f>AA113-Z113</f>
        <v>501.59168800000003</v>
      </c>
      <c r="AB115" s="254"/>
      <c r="AC115" s="255"/>
      <c r="AD115" s="255"/>
      <c r="AE115" s="254"/>
      <c r="AF115" s="258"/>
      <c r="AG115" s="256"/>
    </row>
    <row r="116" spans="1:33" ht="15" x14ac:dyDescent="0.2">
      <c r="B116" s="148"/>
      <c r="C116" s="1809"/>
      <c r="D116" s="148"/>
      <c r="E116" s="154"/>
      <c r="F116" s="148"/>
      <c r="G116" s="148" t="s">
        <v>733</v>
      </c>
      <c r="H116" s="1809"/>
      <c r="I116" s="1395"/>
      <c r="J116" s="148"/>
      <c r="K116" s="1809"/>
      <c r="L116" s="1397"/>
      <c r="M116" s="148">
        <f>K115*0.8705</f>
        <v>9687.064208057458</v>
      </c>
      <c r="N116" s="148" t="s">
        <v>734</v>
      </c>
      <c r="O116" s="148"/>
      <c r="P116" s="1398"/>
      <c r="Q116" s="1399"/>
      <c r="R116" s="148"/>
      <c r="S116" s="148"/>
      <c r="T116" s="148"/>
      <c r="U116" s="148"/>
      <c r="V116" s="148"/>
      <c r="W116" s="148"/>
      <c r="X116" s="148"/>
      <c r="Y116" s="1804"/>
      <c r="Z116" s="1804"/>
      <c r="AA116" s="150"/>
      <c r="AB116" s="1804"/>
      <c r="AC116" s="1816"/>
      <c r="AD116" s="1804"/>
      <c r="AE116" s="1816"/>
      <c r="AF116" s="1804"/>
      <c r="AG116" s="1400"/>
    </row>
    <row r="117" spans="1:33" ht="15" x14ac:dyDescent="0.2">
      <c r="B117" s="148"/>
      <c r="C117" s="1809"/>
      <c r="D117" s="148"/>
      <c r="E117" s="154"/>
      <c r="F117" s="148"/>
      <c r="G117" s="148"/>
      <c r="H117" s="1809"/>
      <c r="I117" s="1395"/>
      <c r="J117" s="148"/>
      <c r="K117" s="1809"/>
      <c r="L117" s="1397"/>
      <c r="M117" s="148"/>
      <c r="N117" s="148"/>
      <c r="O117" s="148"/>
      <c r="P117" s="1398"/>
      <c r="Q117" s="1399"/>
      <c r="R117" s="148"/>
      <c r="S117" s="148"/>
      <c r="T117" s="148"/>
      <c r="U117" s="148"/>
      <c r="V117" s="148"/>
      <c r="W117" s="148"/>
      <c r="X117" s="148"/>
      <c r="Y117" s="1804"/>
      <c r="Z117" s="1804"/>
      <c r="AA117" s="1804"/>
      <c r="AB117" s="1804"/>
      <c r="AC117" s="1816"/>
      <c r="AD117" s="1804"/>
      <c r="AE117" s="1816"/>
      <c r="AF117" s="1804"/>
      <c r="AG117" s="1400"/>
    </row>
    <row r="118" spans="1:33" ht="15" x14ac:dyDescent="0.2">
      <c r="B118" s="148"/>
      <c r="C118" s="148"/>
      <c r="D118" s="148"/>
      <c r="E118" s="1401" t="s">
        <v>214</v>
      </c>
      <c r="F118" s="1826" t="s">
        <v>730</v>
      </c>
      <c r="G118" s="1826"/>
      <c r="H118" s="1826"/>
      <c r="I118" s="148"/>
      <c r="J118" s="148"/>
      <c r="K118" s="1809"/>
      <c r="L118" s="1809"/>
      <c r="M118" s="148"/>
      <c r="N118" s="148"/>
      <c r="O118" s="148"/>
      <c r="P118" s="148"/>
      <c r="Q118" s="1399"/>
      <c r="R118" s="148"/>
      <c r="S118" s="148"/>
      <c r="T118" s="148"/>
      <c r="U118" s="148"/>
      <c r="V118" s="148"/>
      <c r="W118" s="148"/>
      <c r="X118" s="148"/>
      <c r="Y118" s="1985" t="s">
        <v>352</v>
      </c>
      <c r="Z118" s="1986"/>
      <c r="AA118" s="1986"/>
      <c r="AB118" s="1986"/>
      <c r="AC118" s="1816" t="s">
        <v>561</v>
      </c>
      <c r="AD118" s="1804"/>
      <c r="AE118" s="1816"/>
      <c r="AF118" s="1804"/>
      <c r="AG118" s="1804"/>
    </row>
    <row r="119" spans="1:33" x14ac:dyDescent="0.2">
      <c r="R119" s="1282"/>
    </row>
    <row r="120" spans="1:33" x14ac:dyDescent="0.2">
      <c r="AA120" s="1282"/>
    </row>
    <row r="122" spans="1:33" x14ac:dyDescent="0.2">
      <c r="E122" s="1267"/>
    </row>
  </sheetData>
  <mergeCells count="40">
    <mergeCell ref="K115:M115"/>
    <mergeCell ref="F118:H118"/>
    <mergeCell ref="Y118:AB118"/>
    <mergeCell ref="Z15:AB15"/>
    <mergeCell ref="AC15:AC16"/>
    <mergeCell ref="H15:H16"/>
    <mergeCell ref="K15:L15"/>
    <mergeCell ref="M15:N15"/>
    <mergeCell ref="O15:P15"/>
    <mergeCell ref="R15:T15"/>
    <mergeCell ref="U15:U16"/>
    <mergeCell ref="V15:V16"/>
    <mergeCell ref="W15:W16"/>
    <mergeCell ref="AD15:AD16"/>
    <mergeCell ref="AG15:AG16"/>
    <mergeCell ref="AN15:AN16"/>
    <mergeCell ref="AO15:AO16"/>
    <mergeCell ref="X14:AG14"/>
    <mergeCell ref="Y15:Y16"/>
    <mergeCell ref="J13:W13"/>
    <mergeCell ref="A14:A16"/>
    <mergeCell ref="B14:B16"/>
    <mergeCell ref="C14:C16"/>
    <mergeCell ref="D14:D16"/>
    <mergeCell ref="E14:E16"/>
    <mergeCell ref="F14:F16"/>
    <mergeCell ref="G14:G16"/>
    <mergeCell ref="H14:W14"/>
    <mergeCell ref="H12:X12"/>
    <mergeCell ref="A1:D1"/>
    <mergeCell ref="I1:Y1"/>
    <mergeCell ref="A2:D2"/>
    <mergeCell ref="AF2:AG2"/>
    <mergeCell ref="A4:D4"/>
    <mergeCell ref="A5:D5"/>
    <mergeCell ref="A6:D6"/>
    <mergeCell ref="A7:D7"/>
    <mergeCell ref="A8:D8"/>
    <mergeCell ref="A10:D10"/>
    <mergeCell ref="A11:D11"/>
  </mergeCells>
  <pageMargins left="7.874015748031496E-2" right="7.874015748031496E-2" top="0" bottom="0" header="0" footer="0"/>
  <pageSetup paperSize="8" scale="60" fitToWidth="2" fitToHeight="2" orientation="landscape" r:id="rId1"/>
  <ignoredErrors>
    <ignoredError sqref="AD79 AD63" formula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3025-5D0E-411A-9F3C-56417A83F4C0}">
  <dimension ref="H1:Q98"/>
  <sheetViews>
    <sheetView topLeftCell="A70" workbookViewId="0">
      <selection activeCell="Q99" sqref="Q99"/>
    </sheetView>
  </sheetViews>
  <sheetFormatPr defaultRowHeight="12.75" x14ac:dyDescent="0.2"/>
  <sheetData>
    <row r="1" spans="8:17" x14ac:dyDescent="0.2">
      <c r="H1" t="s">
        <v>139</v>
      </c>
      <c r="M1">
        <v>1.679</v>
      </c>
      <c r="N1">
        <v>8.2550000000000008</v>
      </c>
    </row>
    <row r="2" spans="8:17" x14ac:dyDescent="0.2">
      <c r="H2" t="s">
        <v>140</v>
      </c>
    </row>
    <row r="3" spans="8:17" x14ac:dyDescent="0.2">
      <c r="H3" t="s">
        <v>141</v>
      </c>
      <c r="I3">
        <v>7.798</v>
      </c>
      <c r="J3">
        <v>14.750999999999999</v>
      </c>
      <c r="M3">
        <v>8.7520000000000007</v>
      </c>
      <c r="N3">
        <v>15.7</v>
      </c>
      <c r="P3">
        <f>M3/I3</f>
        <v>1.1223390612977688</v>
      </c>
      <c r="Q3">
        <f>N3/J3</f>
        <v>1.0643346213816012</v>
      </c>
    </row>
    <row r="4" spans="8:17" x14ac:dyDescent="0.2">
      <c r="H4" t="s">
        <v>142</v>
      </c>
      <c r="I4">
        <v>10.680999999999999</v>
      </c>
      <c r="J4">
        <v>19.55</v>
      </c>
      <c r="M4">
        <v>9.0329999999999995</v>
      </c>
      <c r="N4">
        <v>19.047999999999998</v>
      </c>
      <c r="P4">
        <f t="shared" ref="P4:P67" si="0">M4/I4</f>
        <v>0.84570733077427207</v>
      </c>
    </row>
    <row r="5" spans="8:17" x14ac:dyDescent="0.2">
      <c r="H5" t="s">
        <v>143</v>
      </c>
      <c r="I5">
        <v>6.0910000000000002</v>
      </c>
      <c r="J5">
        <v>8.4380000000000006</v>
      </c>
      <c r="M5">
        <v>6.28</v>
      </c>
      <c r="N5">
        <v>8.5709999999999997</v>
      </c>
      <c r="P5">
        <f t="shared" si="0"/>
        <v>1.0310293876210803</v>
      </c>
    </row>
    <row r="6" spans="8:17" x14ac:dyDescent="0.2">
      <c r="H6" t="s">
        <v>144</v>
      </c>
      <c r="I6">
        <v>5.0229999999999997</v>
      </c>
      <c r="J6">
        <v>6.1369999999999996</v>
      </c>
      <c r="M6">
        <v>5.0890000000000004</v>
      </c>
      <c r="N6">
        <v>6.3680000000000003</v>
      </c>
      <c r="P6">
        <f t="shared" si="0"/>
        <v>1.0131395580330482</v>
      </c>
    </row>
    <row r="7" spans="8:17" x14ac:dyDescent="0.2">
      <c r="H7" t="s">
        <v>145</v>
      </c>
      <c r="I7">
        <v>3.1309999999999998</v>
      </c>
      <c r="J7">
        <v>7.2380000000000004</v>
      </c>
      <c r="M7">
        <v>3.427</v>
      </c>
      <c r="N7">
        <v>6.8390000000000004</v>
      </c>
      <c r="P7">
        <f t="shared" si="0"/>
        <v>1.0945384861066754</v>
      </c>
    </row>
    <row r="8" spans="8:17" x14ac:dyDescent="0.2">
      <c r="H8" t="s">
        <v>146</v>
      </c>
      <c r="I8">
        <v>7.1189999999999998</v>
      </c>
      <c r="J8">
        <v>15.038</v>
      </c>
      <c r="M8">
        <v>4.4820000000000002</v>
      </c>
      <c r="N8">
        <v>15.038</v>
      </c>
      <c r="P8">
        <f t="shared" si="0"/>
        <v>0.62958280657395704</v>
      </c>
    </row>
    <row r="9" spans="8:17" x14ac:dyDescent="0.2">
      <c r="H9" t="s">
        <v>147</v>
      </c>
      <c r="I9">
        <v>5.4630000000000001</v>
      </c>
      <c r="J9">
        <v>14.907</v>
      </c>
      <c r="M9">
        <v>7.4039999999999999</v>
      </c>
      <c r="N9">
        <v>15.462999999999999</v>
      </c>
      <c r="P9">
        <f t="shared" si="0"/>
        <v>1.3552992861065349</v>
      </c>
    </row>
    <row r="10" spans="8:17" x14ac:dyDescent="0.2">
      <c r="H10" t="s">
        <v>148</v>
      </c>
      <c r="I10">
        <v>3.5619999999999998</v>
      </c>
      <c r="J10">
        <v>8.8889999999999993</v>
      </c>
      <c r="M10">
        <v>4.6509999999999998</v>
      </c>
      <c r="N10">
        <v>10.141</v>
      </c>
      <c r="P10">
        <f t="shared" si="0"/>
        <v>1.3057271195957327</v>
      </c>
    </row>
    <row r="11" spans="8:17" x14ac:dyDescent="0.2">
      <c r="H11" t="s">
        <v>149</v>
      </c>
      <c r="I11">
        <v>2.8340000000000001</v>
      </c>
      <c r="J11">
        <v>6.1719999999999997</v>
      </c>
      <c r="M11">
        <v>2.742</v>
      </c>
      <c r="N11">
        <v>6.97</v>
      </c>
      <c r="P11">
        <f t="shared" si="0"/>
        <v>0.96753705010585744</v>
      </c>
    </row>
    <row r="12" spans="8:17" x14ac:dyDescent="0.2">
      <c r="H12" t="s">
        <v>151</v>
      </c>
      <c r="I12">
        <v>2.2690000000000001</v>
      </c>
      <c r="J12">
        <v>10.061</v>
      </c>
      <c r="M12">
        <v>1.5680000000000001</v>
      </c>
      <c r="N12">
        <v>9.5559999999999992</v>
      </c>
      <c r="P12">
        <f t="shared" si="0"/>
        <v>0.69105332745702952</v>
      </c>
    </row>
    <row r="13" spans="8:17" x14ac:dyDescent="0.2">
      <c r="H13" t="s">
        <v>36</v>
      </c>
      <c r="I13">
        <v>15.484</v>
      </c>
      <c r="J13">
        <v>55.576999999999998</v>
      </c>
      <c r="M13">
        <v>15.087999999999999</v>
      </c>
      <c r="N13">
        <v>53.847000000000001</v>
      </c>
      <c r="P13">
        <f t="shared" si="0"/>
        <v>0.97442521312322394</v>
      </c>
    </row>
    <row r="14" spans="8:17" x14ac:dyDescent="0.2">
      <c r="H14" t="s">
        <v>152</v>
      </c>
      <c r="I14">
        <v>13.558</v>
      </c>
      <c r="J14">
        <v>25.584</v>
      </c>
      <c r="M14">
        <v>13.272</v>
      </c>
      <c r="N14">
        <v>24.693999999999999</v>
      </c>
      <c r="P14">
        <f t="shared" si="0"/>
        <v>0.97890544328071993</v>
      </c>
    </row>
    <row r="15" spans="8:17" x14ac:dyDescent="0.2">
      <c r="H15" t="s">
        <v>37</v>
      </c>
      <c r="I15">
        <v>5.3719999999999999</v>
      </c>
      <c r="J15">
        <v>17.038</v>
      </c>
      <c r="M15">
        <v>5.8579999999999997</v>
      </c>
      <c r="N15">
        <v>18.666</v>
      </c>
      <c r="P15">
        <f t="shared" si="0"/>
        <v>1.0904690990320178</v>
      </c>
    </row>
    <row r="16" spans="8:17" x14ac:dyDescent="0.2">
      <c r="H16" t="s">
        <v>153</v>
      </c>
      <c r="I16">
        <v>0</v>
      </c>
      <c r="J16">
        <v>0</v>
      </c>
      <c r="M16">
        <v>0</v>
      </c>
      <c r="N16">
        <v>0</v>
      </c>
      <c r="P16" t="e">
        <f t="shared" si="0"/>
        <v>#DIV/0!</v>
      </c>
    </row>
    <row r="17" spans="8:16" x14ac:dyDescent="0.2">
      <c r="H17" t="s">
        <v>154</v>
      </c>
      <c r="I17">
        <v>1.732</v>
      </c>
      <c r="J17">
        <v>5.6539999999999999</v>
      </c>
      <c r="M17">
        <v>1.946</v>
      </c>
      <c r="N17">
        <v>6.1040000000000001</v>
      </c>
      <c r="P17">
        <f t="shared" si="0"/>
        <v>1.1235565819861433</v>
      </c>
    </row>
    <row r="18" spans="8:16" x14ac:dyDescent="0.2">
      <c r="H18" t="s">
        <v>38</v>
      </c>
      <c r="I18">
        <v>4.6269999999999998</v>
      </c>
      <c r="J18">
        <v>14.292999999999999</v>
      </c>
      <c r="M18">
        <v>4.4279999999999999</v>
      </c>
      <c r="N18">
        <v>13.686999999999999</v>
      </c>
      <c r="P18">
        <f t="shared" si="0"/>
        <v>0.95699157121244871</v>
      </c>
    </row>
    <row r="19" spans="8:16" x14ac:dyDescent="0.2">
      <c r="H19" t="s">
        <v>39</v>
      </c>
      <c r="I19">
        <v>5.6710000000000003</v>
      </c>
      <c r="J19">
        <v>11.06</v>
      </c>
      <c r="M19">
        <v>6.4560000000000004</v>
      </c>
      <c r="N19">
        <v>15.262</v>
      </c>
      <c r="P19">
        <f t="shared" si="0"/>
        <v>1.1384235584552989</v>
      </c>
    </row>
    <row r="20" spans="8:16" x14ac:dyDescent="0.2">
      <c r="H20" t="s">
        <v>40</v>
      </c>
      <c r="M20">
        <v>2.1800000000000002</v>
      </c>
      <c r="N20">
        <v>8.68</v>
      </c>
      <c r="P20" t="e">
        <f t="shared" si="0"/>
        <v>#DIV/0!</v>
      </c>
    </row>
    <row r="21" spans="8:16" x14ac:dyDescent="0.2">
      <c r="H21" t="s">
        <v>41</v>
      </c>
      <c r="I21">
        <v>11.741</v>
      </c>
      <c r="J21">
        <v>16.591000000000001</v>
      </c>
      <c r="M21">
        <v>7.7359999999999998</v>
      </c>
      <c r="N21">
        <v>14.016</v>
      </c>
      <c r="P21">
        <f t="shared" si="0"/>
        <v>0.65888765863214371</v>
      </c>
    </row>
    <row r="22" spans="8:16" x14ac:dyDescent="0.2">
      <c r="H22" t="s">
        <v>42</v>
      </c>
      <c r="I22">
        <v>4.0289999999999999</v>
      </c>
      <c r="J22">
        <v>18.803000000000001</v>
      </c>
      <c r="M22">
        <v>4.3250000000000002</v>
      </c>
      <c r="N22">
        <v>19.669</v>
      </c>
      <c r="P22">
        <f t="shared" si="0"/>
        <v>1.0734673616281956</v>
      </c>
    </row>
    <row r="23" spans="8:16" x14ac:dyDescent="0.2">
      <c r="H23" t="s">
        <v>43</v>
      </c>
      <c r="M23">
        <v>2.0910000000000002</v>
      </c>
      <c r="N23">
        <v>9.8309999999999995</v>
      </c>
      <c r="P23" t="e">
        <f t="shared" si="0"/>
        <v>#DIV/0!</v>
      </c>
    </row>
    <row r="24" spans="8:16" x14ac:dyDescent="0.2">
      <c r="H24" t="s">
        <v>44</v>
      </c>
      <c r="I24">
        <v>16.669</v>
      </c>
      <c r="J24">
        <v>23.173999999999999</v>
      </c>
      <c r="M24">
        <v>11.331</v>
      </c>
      <c r="N24">
        <v>18.559000000000001</v>
      </c>
      <c r="P24">
        <f t="shared" si="0"/>
        <v>0.67976483292339063</v>
      </c>
    </row>
    <row r="25" spans="8:16" x14ac:dyDescent="0.2">
      <c r="H25" t="s">
        <v>45</v>
      </c>
      <c r="I25">
        <v>8.7240000000000002</v>
      </c>
      <c r="J25">
        <v>37.887</v>
      </c>
      <c r="M25">
        <v>7.89</v>
      </c>
      <c r="N25">
        <v>36.777999999999999</v>
      </c>
      <c r="P25">
        <f t="shared" si="0"/>
        <v>0.90440165061898203</v>
      </c>
    </row>
    <row r="26" spans="8:16" x14ac:dyDescent="0.2">
      <c r="H26" t="s">
        <v>56</v>
      </c>
      <c r="P26" t="e">
        <f t="shared" si="0"/>
        <v>#DIV/0!</v>
      </c>
    </row>
    <row r="27" spans="8:16" x14ac:dyDescent="0.2">
      <c r="H27" t="s">
        <v>206</v>
      </c>
      <c r="I27">
        <v>2.74</v>
      </c>
      <c r="J27">
        <v>18.640999999999998</v>
      </c>
      <c r="M27">
        <v>2.9129999999999998</v>
      </c>
      <c r="N27">
        <v>20.376999999999999</v>
      </c>
      <c r="P27">
        <f t="shared" si="0"/>
        <v>1.0631386861313867</v>
      </c>
    </row>
    <row r="28" spans="8:16" x14ac:dyDescent="0.2">
      <c r="H28" t="s">
        <v>161</v>
      </c>
      <c r="I28">
        <v>9.9459999999999997</v>
      </c>
      <c r="J28">
        <v>24.72</v>
      </c>
      <c r="M28">
        <v>8.8729999999999993</v>
      </c>
      <c r="N28">
        <v>22.259</v>
      </c>
      <c r="P28">
        <f t="shared" si="0"/>
        <v>0.89211743414437961</v>
      </c>
    </row>
    <row r="29" spans="8:16" x14ac:dyDescent="0.2">
      <c r="H29" t="s">
        <v>162</v>
      </c>
      <c r="I29">
        <v>1.133</v>
      </c>
      <c r="J29">
        <v>2.609</v>
      </c>
      <c r="M29">
        <v>1.1200000000000001</v>
      </c>
      <c r="N29">
        <v>2.6480000000000001</v>
      </c>
      <c r="P29">
        <f t="shared" si="0"/>
        <v>0.98852603706972653</v>
      </c>
    </row>
    <row r="30" spans="8:16" x14ac:dyDescent="0.2">
      <c r="H30" t="s">
        <v>163</v>
      </c>
      <c r="I30">
        <v>2.4550000000000001</v>
      </c>
      <c r="J30">
        <v>6.8689999999999998</v>
      </c>
      <c r="M30">
        <v>3.5179999999999998</v>
      </c>
      <c r="N30">
        <v>8.0350000000000001</v>
      </c>
      <c r="P30">
        <f t="shared" si="0"/>
        <v>1.4329938900203665</v>
      </c>
    </row>
    <row r="31" spans="8:16" x14ac:dyDescent="0.2">
      <c r="H31" t="s">
        <v>59</v>
      </c>
      <c r="M31">
        <v>2.2730000000000001</v>
      </c>
      <c r="N31">
        <v>7.38</v>
      </c>
      <c r="P31" t="e">
        <f t="shared" si="0"/>
        <v>#DIV/0!</v>
      </c>
    </row>
    <row r="32" spans="8:16" x14ac:dyDescent="0.2">
      <c r="H32" t="s">
        <v>207</v>
      </c>
      <c r="I32">
        <v>5.63</v>
      </c>
      <c r="J32">
        <v>15.499000000000001</v>
      </c>
      <c r="M32">
        <v>5.48</v>
      </c>
      <c r="N32">
        <v>14.946999999999999</v>
      </c>
      <c r="P32">
        <f t="shared" si="0"/>
        <v>0.9733570159857905</v>
      </c>
    </row>
    <row r="33" spans="8:16" x14ac:dyDescent="0.2">
      <c r="H33" t="s">
        <v>599</v>
      </c>
      <c r="I33">
        <v>0</v>
      </c>
      <c r="J33">
        <v>0</v>
      </c>
      <c r="M33">
        <v>2.669</v>
      </c>
      <c r="N33">
        <v>13.385</v>
      </c>
      <c r="P33" t="e">
        <f t="shared" si="0"/>
        <v>#DIV/0!</v>
      </c>
    </row>
    <row r="34" spans="8:16" x14ac:dyDescent="0.2">
      <c r="H34" t="s">
        <v>196</v>
      </c>
      <c r="P34" t="e">
        <f t="shared" si="0"/>
        <v>#DIV/0!</v>
      </c>
    </row>
    <row r="35" spans="8:16" x14ac:dyDescent="0.2">
      <c r="H35" t="s">
        <v>60</v>
      </c>
      <c r="I35">
        <v>4.1829999999999998</v>
      </c>
      <c r="J35">
        <v>13.856999999999999</v>
      </c>
      <c r="M35">
        <v>4.3310000000000004</v>
      </c>
      <c r="N35">
        <v>10.615</v>
      </c>
      <c r="P35">
        <f t="shared" si="0"/>
        <v>1.0353813052832896</v>
      </c>
    </row>
    <row r="36" spans="8:16" x14ac:dyDescent="0.2">
      <c r="H36" t="s">
        <v>119</v>
      </c>
      <c r="P36" t="e">
        <f t="shared" si="0"/>
        <v>#DIV/0!</v>
      </c>
    </row>
    <row r="37" spans="8:16" x14ac:dyDescent="0.2">
      <c r="H37" t="s">
        <v>118</v>
      </c>
      <c r="I37">
        <v>0</v>
      </c>
      <c r="J37">
        <v>0</v>
      </c>
      <c r="M37">
        <v>3.1619999999999999</v>
      </c>
      <c r="N37">
        <v>13.821</v>
      </c>
      <c r="P37" t="e">
        <f t="shared" si="0"/>
        <v>#DIV/0!</v>
      </c>
    </row>
    <row r="38" spans="8:16" x14ac:dyDescent="0.2">
      <c r="H38" t="s">
        <v>117</v>
      </c>
      <c r="I38">
        <v>0</v>
      </c>
      <c r="J38">
        <v>0</v>
      </c>
      <c r="M38">
        <v>0</v>
      </c>
      <c r="N38">
        <v>0</v>
      </c>
      <c r="P38" t="e">
        <f t="shared" si="0"/>
        <v>#DIV/0!</v>
      </c>
    </row>
    <row r="39" spans="8:16" x14ac:dyDescent="0.2">
      <c r="H39" t="s">
        <v>115</v>
      </c>
      <c r="I39">
        <v>0</v>
      </c>
      <c r="J39">
        <v>0</v>
      </c>
      <c r="M39">
        <v>0</v>
      </c>
      <c r="N39">
        <v>0</v>
      </c>
      <c r="P39" t="e">
        <f t="shared" si="0"/>
        <v>#DIV/0!</v>
      </c>
    </row>
    <row r="40" spans="8:16" x14ac:dyDescent="0.2">
      <c r="H40" t="s">
        <v>116</v>
      </c>
      <c r="I40">
        <v>0</v>
      </c>
      <c r="J40">
        <v>0</v>
      </c>
      <c r="M40">
        <v>0</v>
      </c>
      <c r="N40">
        <v>0</v>
      </c>
      <c r="P40" t="e">
        <f t="shared" si="0"/>
        <v>#DIV/0!</v>
      </c>
    </row>
    <row r="41" spans="8:16" x14ac:dyDescent="0.2">
      <c r="H41" t="s">
        <v>120</v>
      </c>
      <c r="I41">
        <v>0</v>
      </c>
      <c r="J41">
        <v>0</v>
      </c>
      <c r="M41">
        <v>0</v>
      </c>
      <c r="N41">
        <v>0</v>
      </c>
      <c r="P41" t="e">
        <f t="shared" si="0"/>
        <v>#DIV/0!</v>
      </c>
    </row>
    <row r="42" spans="8:16" x14ac:dyDescent="0.2">
      <c r="H42" t="s">
        <v>114</v>
      </c>
      <c r="I42">
        <v>0</v>
      </c>
      <c r="J42">
        <v>0</v>
      </c>
      <c r="M42">
        <v>0</v>
      </c>
      <c r="N42">
        <v>0</v>
      </c>
      <c r="P42" t="e">
        <f t="shared" si="0"/>
        <v>#DIV/0!</v>
      </c>
    </row>
    <row r="43" spans="8:16" x14ac:dyDescent="0.2">
      <c r="H43" t="s">
        <v>106</v>
      </c>
      <c r="I43">
        <v>0</v>
      </c>
      <c r="J43">
        <v>0</v>
      </c>
      <c r="M43">
        <v>0</v>
      </c>
      <c r="N43">
        <v>0</v>
      </c>
      <c r="P43" t="e">
        <f t="shared" si="0"/>
        <v>#DIV/0!</v>
      </c>
    </row>
    <row r="44" spans="8:16" x14ac:dyDescent="0.2">
      <c r="H44" t="s">
        <v>105</v>
      </c>
      <c r="I44">
        <v>5.585</v>
      </c>
      <c r="J44">
        <v>5.8979999999999997</v>
      </c>
      <c r="M44">
        <v>4.7910000000000004</v>
      </c>
      <c r="N44">
        <v>5.2640000000000002</v>
      </c>
      <c r="P44">
        <f t="shared" si="0"/>
        <v>0.85783348254252467</v>
      </c>
    </row>
    <row r="45" spans="8:16" x14ac:dyDescent="0.2">
      <c r="H45" t="s">
        <v>104</v>
      </c>
      <c r="I45">
        <v>1.8680000000000001</v>
      </c>
      <c r="J45">
        <v>2.8330000000000002</v>
      </c>
      <c r="M45">
        <v>1.9410000000000001</v>
      </c>
      <c r="N45">
        <v>3.2709999999999999</v>
      </c>
      <c r="P45">
        <f t="shared" si="0"/>
        <v>1.0390792291220556</v>
      </c>
    </row>
    <row r="46" spans="8:16" x14ac:dyDescent="0.2">
      <c r="H46" t="s">
        <v>158</v>
      </c>
      <c r="I46">
        <v>6.0839999999999996</v>
      </c>
      <c r="J46">
        <v>8.6539999999999999</v>
      </c>
      <c r="M46">
        <v>5.6689999999999996</v>
      </c>
      <c r="N46">
        <v>8.4510000000000005</v>
      </c>
      <c r="P46">
        <f t="shared" si="0"/>
        <v>0.93178829717291256</v>
      </c>
    </row>
    <row r="47" spans="8:16" x14ac:dyDescent="0.2">
      <c r="P47" t="e">
        <f t="shared" si="0"/>
        <v>#DIV/0!</v>
      </c>
    </row>
    <row r="48" spans="8:16" x14ac:dyDescent="0.2">
      <c r="H48" t="s">
        <v>164</v>
      </c>
      <c r="I48">
        <v>4.3179999999999996</v>
      </c>
      <c r="J48">
        <v>19.526</v>
      </c>
      <c r="M48">
        <v>2.5659999999999998</v>
      </c>
      <c r="N48">
        <v>17.622</v>
      </c>
      <c r="P48">
        <f t="shared" si="0"/>
        <v>0.5942566002779065</v>
      </c>
    </row>
    <row r="49" spans="8:16" x14ac:dyDescent="0.2">
      <c r="H49" t="s">
        <v>61</v>
      </c>
      <c r="I49">
        <v>5.0190000000000001</v>
      </c>
      <c r="J49">
        <v>18.527000000000001</v>
      </c>
      <c r="M49">
        <v>4.7030000000000003</v>
      </c>
      <c r="N49">
        <v>16.824999999999999</v>
      </c>
      <c r="P49">
        <f t="shared" si="0"/>
        <v>0.9370392508467823</v>
      </c>
    </row>
    <row r="50" spans="8:16" x14ac:dyDescent="0.2">
      <c r="H50" t="s">
        <v>64</v>
      </c>
      <c r="I50">
        <v>9.1229999999999993</v>
      </c>
      <c r="J50">
        <v>14.837</v>
      </c>
      <c r="M50">
        <v>8.9890000000000008</v>
      </c>
      <c r="N50">
        <v>15.423999999999999</v>
      </c>
      <c r="P50">
        <f t="shared" si="0"/>
        <v>0.98531184917242154</v>
      </c>
    </row>
    <row r="51" spans="8:16" x14ac:dyDescent="0.2">
      <c r="H51" t="s">
        <v>156</v>
      </c>
      <c r="I51">
        <v>5.694</v>
      </c>
      <c r="J51">
        <v>12.542999999999999</v>
      </c>
      <c r="M51">
        <v>5.0570000000000004</v>
      </c>
      <c r="N51">
        <v>10.324999999999999</v>
      </c>
      <c r="P51">
        <f t="shared" si="0"/>
        <v>0.88812785388127857</v>
      </c>
    </row>
    <row r="52" spans="8:16" x14ac:dyDescent="0.2">
      <c r="H52" t="s">
        <v>169</v>
      </c>
      <c r="I52">
        <v>0.77900000000000003</v>
      </c>
      <c r="J52">
        <v>5.8970000000000002</v>
      </c>
      <c r="M52">
        <v>1.482</v>
      </c>
      <c r="N52">
        <v>6.0789999999999997</v>
      </c>
      <c r="P52">
        <f t="shared" si="0"/>
        <v>1.9024390243902438</v>
      </c>
    </row>
    <row r="53" spans="8:16" x14ac:dyDescent="0.2">
      <c r="H53" t="s">
        <v>62</v>
      </c>
      <c r="I53">
        <v>5.5359999999999996</v>
      </c>
      <c r="J53">
        <v>29.324000000000002</v>
      </c>
      <c r="M53">
        <v>3.1440000000000001</v>
      </c>
      <c r="N53">
        <v>27.347999999999999</v>
      </c>
      <c r="P53">
        <f t="shared" si="0"/>
        <v>0.56791907514450879</v>
      </c>
    </row>
    <row r="54" spans="8:16" x14ac:dyDescent="0.2">
      <c r="H54" t="s">
        <v>157</v>
      </c>
      <c r="I54">
        <v>0</v>
      </c>
      <c r="J54">
        <v>0</v>
      </c>
      <c r="M54">
        <v>0</v>
      </c>
      <c r="N54">
        <v>0</v>
      </c>
      <c r="P54" t="e">
        <f t="shared" si="0"/>
        <v>#DIV/0!</v>
      </c>
    </row>
    <row r="55" spans="8:16" x14ac:dyDescent="0.2">
      <c r="H55" t="s">
        <v>159</v>
      </c>
      <c r="I55">
        <v>14.933</v>
      </c>
      <c r="J55">
        <v>19.251000000000001</v>
      </c>
      <c r="M55">
        <v>15.987</v>
      </c>
      <c r="N55">
        <v>20.026</v>
      </c>
      <c r="P55">
        <f t="shared" si="0"/>
        <v>1.0705819326324248</v>
      </c>
    </row>
    <row r="56" spans="8:16" x14ac:dyDescent="0.2">
      <c r="H56" t="s">
        <v>330</v>
      </c>
      <c r="I56">
        <v>14.173999999999999</v>
      </c>
      <c r="J56">
        <v>15.362</v>
      </c>
      <c r="M56">
        <v>13.95</v>
      </c>
      <c r="N56">
        <v>17.257999999999999</v>
      </c>
      <c r="P56">
        <f t="shared" si="0"/>
        <v>0.98419641597290808</v>
      </c>
    </row>
    <row r="57" spans="8:16" x14ac:dyDescent="0.2">
      <c r="H57" t="s">
        <v>210</v>
      </c>
      <c r="I57">
        <v>11.817</v>
      </c>
      <c r="J57">
        <v>29.506</v>
      </c>
      <c r="M57">
        <v>11.048</v>
      </c>
      <c r="N57">
        <v>29.943999999999999</v>
      </c>
      <c r="P57">
        <f t="shared" si="0"/>
        <v>0.93492426165693487</v>
      </c>
    </row>
    <row r="58" spans="8:16" x14ac:dyDescent="0.2">
      <c r="H58" t="s">
        <v>63</v>
      </c>
      <c r="I58">
        <v>7.8890000000000002</v>
      </c>
      <c r="J58">
        <v>17.393000000000001</v>
      </c>
      <c r="M58">
        <v>4.476</v>
      </c>
      <c r="N58">
        <v>20.466999999999999</v>
      </c>
      <c r="P58">
        <f t="shared" si="0"/>
        <v>0.56737229053111926</v>
      </c>
    </row>
    <row r="59" spans="8:16" x14ac:dyDescent="0.2">
      <c r="H59" t="s">
        <v>217</v>
      </c>
      <c r="P59" t="e">
        <f t="shared" si="0"/>
        <v>#DIV/0!</v>
      </c>
    </row>
    <row r="60" spans="8:16" x14ac:dyDescent="0.2">
      <c r="H60" t="s">
        <v>504</v>
      </c>
      <c r="I60">
        <v>2</v>
      </c>
      <c r="J60">
        <v>2.1</v>
      </c>
      <c r="M60">
        <v>1.5069999999999999</v>
      </c>
      <c r="N60">
        <v>1.611</v>
      </c>
      <c r="P60">
        <f t="shared" si="0"/>
        <v>0.75349999999999995</v>
      </c>
    </row>
    <row r="61" spans="8:16" x14ac:dyDescent="0.2">
      <c r="H61" t="s">
        <v>211</v>
      </c>
      <c r="I61">
        <v>2.5089999999999999</v>
      </c>
      <c r="J61">
        <v>9.8439999999999994</v>
      </c>
      <c r="M61">
        <v>2.4790000000000001</v>
      </c>
      <c r="N61">
        <v>9.6590000000000007</v>
      </c>
      <c r="P61">
        <f t="shared" si="0"/>
        <v>0.98804304503786378</v>
      </c>
    </row>
    <row r="62" spans="8:16" x14ac:dyDescent="0.2">
      <c r="H62" t="s">
        <v>341</v>
      </c>
      <c r="I62">
        <v>10.129</v>
      </c>
      <c r="J62">
        <v>28.635999999999999</v>
      </c>
      <c r="M62">
        <v>8.1189999999999998</v>
      </c>
      <c r="N62">
        <v>29.498000000000001</v>
      </c>
      <c r="P62">
        <f t="shared" si="0"/>
        <v>0.80155987757922798</v>
      </c>
    </row>
    <row r="63" spans="8:16" x14ac:dyDescent="0.2">
      <c r="H63" t="s">
        <v>354</v>
      </c>
      <c r="I63">
        <v>0</v>
      </c>
      <c r="J63">
        <v>0</v>
      </c>
      <c r="M63">
        <v>0</v>
      </c>
      <c r="N63">
        <v>0</v>
      </c>
      <c r="P63" t="e">
        <f t="shared" si="0"/>
        <v>#DIV/0!</v>
      </c>
    </row>
    <row r="64" spans="8:16" x14ac:dyDescent="0.2">
      <c r="H64" t="s">
        <v>423</v>
      </c>
      <c r="I64">
        <v>12.885</v>
      </c>
      <c r="J64">
        <v>15.101000000000001</v>
      </c>
      <c r="M64">
        <v>12.41</v>
      </c>
      <c r="N64">
        <v>13.724</v>
      </c>
      <c r="P64">
        <f t="shared" si="0"/>
        <v>0.96313542879317038</v>
      </c>
    </row>
    <row r="65" spans="8:16" x14ac:dyDescent="0.2">
      <c r="H65" t="s">
        <v>213</v>
      </c>
      <c r="I65">
        <v>5.5270000000000001</v>
      </c>
      <c r="J65">
        <v>5.601</v>
      </c>
      <c r="M65">
        <v>5.0810000000000004</v>
      </c>
      <c r="N65">
        <v>5.8979999999999997</v>
      </c>
      <c r="P65">
        <f t="shared" si="0"/>
        <v>0.91930522887642485</v>
      </c>
    </row>
    <row r="66" spans="8:16" x14ac:dyDescent="0.2">
      <c r="H66" t="s">
        <v>506</v>
      </c>
      <c r="P66" t="e">
        <f t="shared" si="0"/>
        <v>#DIV/0!</v>
      </c>
    </row>
    <row r="67" spans="8:16" x14ac:dyDescent="0.2">
      <c r="H67" t="s">
        <v>451</v>
      </c>
      <c r="I67">
        <v>3.6120000000000001</v>
      </c>
      <c r="J67">
        <v>3.8029999999999999</v>
      </c>
      <c r="M67">
        <v>3.86</v>
      </c>
      <c r="N67">
        <v>4.3209999999999997</v>
      </c>
      <c r="P67">
        <f t="shared" si="0"/>
        <v>1.0686600221483942</v>
      </c>
    </row>
    <row r="68" spans="8:16" x14ac:dyDescent="0.2">
      <c r="H68" t="s">
        <v>424</v>
      </c>
      <c r="P68" t="e">
        <f t="shared" ref="P68:P88" si="1">M68/I68</f>
        <v>#DIV/0!</v>
      </c>
    </row>
    <row r="69" spans="8:16" x14ac:dyDescent="0.2">
      <c r="H69" t="s">
        <v>567</v>
      </c>
      <c r="I69">
        <v>3.4780000000000002</v>
      </c>
      <c r="J69">
        <v>6.7510000000000003</v>
      </c>
      <c r="M69">
        <v>3.5640000000000001</v>
      </c>
      <c r="N69">
        <v>7.2670000000000003</v>
      </c>
      <c r="P69">
        <f t="shared" si="1"/>
        <v>1.0247268545140884</v>
      </c>
    </row>
    <row r="70" spans="8:16" x14ac:dyDescent="0.2">
      <c r="H70" t="s">
        <v>172</v>
      </c>
      <c r="I70">
        <v>0</v>
      </c>
      <c r="J70">
        <v>0</v>
      </c>
      <c r="M70">
        <v>0</v>
      </c>
      <c r="N70">
        <v>0</v>
      </c>
      <c r="P70" t="e">
        <f t="shared" si="1"/>
        <v>#DIV/0!</v>
      </c>
    </row>
    <row r="71" spans="8:16" x14ac:dyDescent="0.2">
      <c r="I71">
        <v>300.62400000000008</v>
      </c>
      <c r="J71">
        <v>690.42399999999986</v>
      </c>
      <c r="M71">
        <v>292.87</v>
      </c>
      <c r="N71">
        <v>745.49100000000033</v>
      </c>
      <c r="P71">
        <f t="shared" si="1"/>
        <v>0.97420698280909013</v>
      </c>
    </row>
    <row r="72" spans="8:16" x14ac:dyDescent="0.2">
      <c r="P72" t="e">
        <f t="shared" si="1"/>
        <v>#DIV/0!</v>
      </c>
    </row>
    <row r="73" spans="8:16" x14ac:dyDescent="0.2">
      <c r="H73" t="s">
        <v>505</v>
      </c>
      <c r="P73" t="e">
        <f t="shared" si="1"/>
        <v>#DIV/0!</v>
      </c>
    </row>
    <row r="74" spans="8:16" x14ac:dyDescent="0.2">
      <c r="H74" t="s">
        <v>220</v>
      </c>
      <c r="P74" t="e">
        <f t="shared" si="1"/>
        <v>#DIV/0!</v>
      </c>
    </row>
    <row r="75" spans="8:16" x14ac:dyDescent="0.2">
      <c r="H75" t="s">
        <v>465</v>
      </c>
      <c r="P75" t="e">
        <f t="shared" si="1"/>
        <v>#DIV/0!</v>
      </c>
    </row>
    <row r="76" spans="8:16" x14ac:dyDescent="0.2">
      <c r="P76" t="e">
        <f t="shared" si="1"/>
        <v>#DIV/0!</v>
      </c>
    </row>
    <row r="77" spans="8:16" x14ac:dyDescent="0.2">
      <c r="P77" t="e">
        <f t="shared" si="1"/>
        <v>#DIV/0!</v>
      </c>
    </row>
    <row r="78" spans="8:16" x14ac:dyDescent="0.2">
      <c r="H78" t="s">
        <v>582</v>
      </c>
      <c r="I78">
        <v>7.06</v>
      </c>
      <c r="J78">
        <v>7.9690000000000003</v>
      </c>
      <c r="M78">
        <v>6.657</v>
      </c>
      <c r="N78">
        <v>7.5789999999999997</v>
      </c>
      <c r="P78">
        <f t="shared" si="1"/>
        <v>0.94291784702549586</v>
      </c>
    </row>
    <row r="79" spans="8:16" x14ac:dyDescent="0.2">
      <c r="H79" t="s">
        <v>131</v>
      </c>
      <c r="I79">
        <v>15.736000000000001</v>
      </c>
      <c r="J79">
        <v>24.4</v>
      </c>
      <c r="M79">
        <v>16.567</v>
      </c>
      <c r="N79">
        <v>25.346</v>
      </c>
      <c r="P79">
        <f t="shared" si="1"/>
        <v>1.052808845958312</v>
      </c>
    </row>
    <row r="80" spans="8:16" x14ac:dyDescent="0.2">
      <c r="H80" t="s">
        <v>132</v>
      </c>
      <c r="I80">
        <v>11.586</v>
      </c>
      <c r="J80">
        <v>12.164999999999999</v>
      </c>
      <c r="M80">
        <v>11.395</v>
      </c>
      <c r="N80">
        <v>11.98</v>
      </c>
      <c r="P80">
        <f t="shared" si="1"/>
        <v>0.98351458656999824</v>
      </c>
    </row>
    <row r="81" spans="8:16" x14ac:dyDescent="0.2">
      <c r="H81" t="s">
        <v>121</v>
      </c>
      <c r="I81">
        <v>12.586</v>
      </c>
      <c r="J81">
        <v>13.817</v>
      </c>
      <c r="M81">
        <v>13.227</v>
      </c>
      <c r="N81">
        <v>14.211</v>
      </c>
      <c r="P81">
        <f t="shared" si="1"/>
        <v>1.0509296043222629</v>
      </c>
    </row>
    <row r="82" spans="8:16" x14ac:dyDescent="0.2">
      <c r="H82" t="s">
        <v>122</v>
      </c>
      <c r="I82">
        <v>8.7650000000000006</v>
      </c>
      <c r="J82">
        <v>9.407</v>
      </c>
      <c r="M82">
        <v>7.3019999999999996</v>
      </c>
      <c r="N82">
        <v>8.1310000000000002</v>
      </c>
      <c r="P82">
        <f t="shared" si="1"/>
        <v>0.83308613804905862</v>
      </c>
    </row>
    <row r="83" spans="8:16" x14ac:dyDescent="0.2">
      <c r="H83" t="s">
        <v>697</v>
      </c>
      <c r="I83">
        <v>6.0330000000000004</v>
      </c>
      <c r="J83">
        <v>8.3130000000000006</v>
      </c>
      <c r="M83">
        <v>5.4349999999999996</v>
      </c>
      <c r="N83">
        <v>7.8239999999999998</v>
      </c>
      <c r="P83">
        <f t="shared" si="1"/>
        <v>0.90087850157467253</v>
      </c>
    </row>
    <row r="84" spans="8:16" x14ac:dyDescent="0.2">
      <c r="H84" t="s">
        <v>188</v>
      </c>
      <c r="P84" t="e">
        <f t="shared" si="1"/>
        <v>#DIV/0!</v>
      </c>
    </row>
    <row r="85" spans="8:16" x14ac:dyDescent="0.2">
      <c r="H85" t="s">
        <v>186</v>
      </c>
      <c r="P85" t="e">
        <f t="shared" si="1"/>
        <v>#DIV/0!</v>
      </c>
    </row>
    <row r="86" spans="8:16" x14ac:dyDescent="0.2">
      <c r="H86" t="s">
        <v>57</v>
      </c>
      <c r="J86">
        <v>0</v>
      </c>
      <c r="N86">
        <v>0</v>
      </c>
      <c r="P86" t="e">
        <f t="shared" si="1"/>
        <v>#DIV/0!</v>
      </c>
    </row>
    <row r="87" spans="8:16" x14ac:dyDescent="0.2">
      <c r="H87" t="s">
        <v>184</v>
      </c>
      <c r="J87">
        <v>0</v>
      </c>
      <c r="N87">
        <v>0</v>
      </c>
      <c r="P87" t="e">
        <f t="shared" si="1"/>
        <v>#DIV/0!</v>
      </c>
    </row>
    <row r="88" spans="8:16" x14ac:dyDescent="0.2">
      <c r="I88">
        <v>61.765999999999998</v>
      </c>
      <c r="J88">
        <v>76.070999999999998</v>
      </c>
      <c r="M88">
        <v>60.583000000000006</v>
      </c>
      <c r="N88">
        <v>75.070999999999998</v>
      </c>
      <c r="P88">
        <f t="shared" si="1"/>
        <v>0.98084706796619514</v>
      </c>
    </row>
    <row r="90" spans="8:16" x14ac:dyDescent="0.2">
      <c r="H90" t="s">
        <v>107</v>
      </c>
    </row>
    <row r="91" spans="8:16" x14ac:dyDescent="0.2">
      <c r="H91" t="s">
        <v>108</v>
      </c>
    </row>
    <row r="92" spans="8:16" x14ac:dyDescent="0.2">
      <c r="H92" t="s">
        <v>195</v>
      </c>
    </row>
    <row r="93" spans="8:16" x14ac:dyDescent="0.2">
      <c r="H93" t="s">
        <v>192</v>
      </c>
    </row>
    <row r="95" spans="8:16" x14ac:dyDescent="0.2">
      <c r="H95" t="s">
        <v>181</v>
      </c>
    </row>
    <row r="96" spans="8:16" x14ac:dyDescent="0.2">
      <c r="H96" t="s">
        <v>160</v>
      </c>
    </row>
    <row r="98" spans="9:17" x14ac:dyDescent="0.2">
      <c r="I98">
        <v>362.3900000000001</v>
      </c>
      <c r="J98">
        <v>766.49499999999989</v>
      </c>
      <c r="M98">
        <v>353.45300000000003</v>
      </c>
      <c r="N98">
        <v>820.56200000000035</v>
      </c>
      <c r="P98">
        <f>M98/I98</f>
        <v>0.9753387234747094</v>
      </c>
      <c r="Q98">
        <f>N98/J98</f>
        <v>1.0705379682842033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66</vt:i4>
      </vt:variant>
      <vt:variant>
        <vt:lpstr>Именованные диапазоны</vt:lpstr>
      </vt:variant>
      <vt:variant>
        <vt:i4>25</vt:i4>
      </vt:variant>
    </vt:vector>
  </HeadingPairs>
  <TitlesOfParts>
    <vt:vector size="91" baseType="lpstr">
      <vt:lpstr>Январь  2016</vt:lpstr>
      <vt:lpstr>Февраль  2016</vt:lpstr>
      <vt:lpstr>Март  2016</vt:lpstr>
      <vt:lpstr>Апрель  2016</vt:lpstr>
      <vt:lpstr>Май 2016</vt:lpstr>
      <vt:lpstr>Июнь 2016</vt:lpstr>
      <vt:lpstr>Июль 2016</vt:lpstr>
      <vt:lpstr>Август 2016 </vt:lpstr>
      <vt:lpstr>Сентябрь 2016</vt:lpstr>
      <vt:lpstr>Октябрь 2016</vt:lpstr>
      <vt:lpstr>Ноябрь 2016</vt:lpstr>
      <vt:lpstr>Декабрь 2016</vt:lpstr>
      <vt:lpstr>Январь 2017</vt:lpstr>
      <vt:lpstr>Февраль 2017</vt:lpstr>
      <vt:lpstr>Март 2017</vt:lpstr>
      <vt:lpstr>Апрель 2017</vt:lpstr>
      <vt:lpstr>Май 2017</vt:lpstr>
      <vt:lpstr>Июнь 2017</vt:lpstr>
      <vt:lpstr>Июль 2017</vt:lpstr>
      <vt:lpstr>Август 2017</vt:lpstr>
      <vt:lpstr>Сентябрь 2017</vt:lpstr>
      <vt:lpstr>Октябрь 2017</vt:lpstr>
      <vt:lpstr>Ноябрь 2017</vt:lpstr>
      <vt:lpstr>Декабрь 2017</vt:lpstr>
      <vt:lpstr>Январь 2018</vt:lpstr>
      <vt:lpstr>Февраль 2018</vt:lpstr>
      <vt:lpstr>Март 2018</vt:lpstr>
      <vt:lpstr>Апрель 2018</vt:lpstr>
      <vt:lpstr>Май 2018</vt:lpstr>
      <vt:lpstr>Июнь 2018</vt:lpstr>
      <vt:lpstr>Июль 2018</vt:lpstr>
      <vt:lpstr>Август 2018</vt:lpstr>
      <vt:lpstr>Сентябрь 2018</vt:lpstr>
      <vt:lpstr>Октябрь 2018</vt:lpstr>
      <vt:lpstr>Декабрь 2018</vt:lpstr>
      <vt:lpstr>Январь 2019</vt:lpstr>
      <vt:lpstr>Март2019</vt:lpstr>
      <vt:lpstr>Апрель2019</vt:lpstr>
      <vt:lpstr>Июнь 2019</vt:lpstr>
      <vt:lpstr>Октябрь 2019</vt:lpstr>
      <vt:lpstr>Январь 2020</vt:lpstr>
      <vt:lpstr>Февраль 2020</vt:lpstr>
      <vt:lpstr>Сентябрь 2021</vt:lpstr>
      <vt:lpstr>Ноябрь 2022 </vt:lpstr>
      <vt:lpstr>Декабрь 2022</vt:lpstr>
      <vt:lpstr>Январь 2023 </vt:lpstr>
      <vt:lpstr>Февраль 2023</vt:lpstr>
      <vt:lpstr>Март 2023 </vt:lpstr>
      <vt:lpstr>Март 2023  (2)</vt:lpstr>
      <vt:lpstr>Март 2023  (3)</vt:lpstr>
      <vt:lpstr>Апрель 2023</vt:lpstr>
      <vt:lpstr>Май 2023</vt:lpstr>
      <vt:lpstr>Июнь 2023</vt:lpstr>
      <vt:lpstr>Июль 2023</vt:lpstr>
      <vt:lpstr>Август 2023</vt:lpstr>
      <vt:lpstr>Сентябрь 2023</vt:lpstr>
      <vt:lpstr>Октябрь 2023</vt:lpstr>
      <vt:lpstr>Ноябрь 2023</vt:lpstr>
      <vt:lpstr>Декабрь 2023</vt:lpstr>
      <vt:lpstr>Январь 2024</vt:lpstr>
      <vt:lpstr>Март 2024</vt:lpstr>
      <vt:lpstr>Апрель 2024</vt:lpstr>
      <vt:lpstr>Май 2024</vt:lpstr>
      <vt:lpstr>Июнь 2024</vt:lpstr>
      <vt:lpstr>Июль 2024</vt:lpstr>
      <vt:lpstr>Лист1</vt:lpstr>
      <vt:lpstr>'Август 2023'!Заголовки_для_печати</vt:lpstr>
      <vt:lpstr>'Апрель 2023'!Заголовки_для_печати</vt:lpstr>
      <vt:lpstr>'Апрель 2024'!Заголовки_для_печати</vt:lpstr>
      <vt:lpstr>'Декабрь 2022'!Заголовки_для_печати</vt:lpstr>
      <vt:lpstr>'Декабрь 2023'!Заголовки_для_печати</vt:lpstr>
      <vt:lpstr>'Июль 2023'!Заголовки_для_печати</vt:lpstr>
      <vt:lpstr>'Июль 2024'!Заголовки_для_печати</vt:lpstr>
      <vt:lpstr>'Июнь 2023'!Заголовки_для_печати</vt:lpstr>
      <vt:lpstr>'Июнь 2024'!Заголовки_для_печати</vt:lpstr>
      <vt:lpstr>'Май 2023'!Заголовки_для_печати</vt:lpstr>
      <vt:lpstr>'Май 2024'!Заголовки_для_печати</vt:lpstr>
      <vt:lpstr>'Март 2023 '!Заголовки_для_печати</vt:lpstr>
      <vt:lpstr>'Март 2023  (2)'!Заголовки_для_печати</vt:lpstr>
      <vt:lpstr>'Март 2023  (3)'!Заголовки_для_печати</vt:lpstr>
      <vt:lpstr>'Март 2024'!Заголовки_для_печати</vt:lpstr>
      <vt:lpstr>'Ноябрь 2023'!Заголовки_для_печати</vt:lpstr>
      <vt:lpstr>'Октябрь 2023'!Заголовки_для_печати</vt:lpstr>
      <vt:lpstr>'Сентябрь 2023'!Заголовки_для_печати</vt:lpstr>
      <vt:lpstr>'Февраль 2023'!Заголовки_для_печати</vt:lpstr>
      <vt:lpstr>'Январь 2023 '!Заголовки_для_печати</vt:lpstr>
      <vt:lpstr>'Январь 2024'!Заголовки_для_печати</vt:lpstr>
      <vt:lpstr>'Апрель  2016'!Область_печати</vt:lpstr>
      <vt:lpstr>'Март  2016'!Область_печати</vt:lpstr>
      <vt:lpstr>'Февраль  2016'!Область_печати</vt:lpstr>
      <vt:lpstr>'Январь  2016'!Область_печати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Rustam Galiyev</cp:lastModifiedBy>
  <cp:lastPrinted>2024-07-01T09:23:24Z</cp:lastPrinted>
  <dcterms:created xsi:type="dcterms:W3CDTF">1996-10-08T23:32:33Z</dcterms:created>
  <dcterms:modified xsi:type="dcterms:W3CDTF">2024-07-16T04:52:14Z</dcterms:modified>
</cp:coreProperties>
</file>